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DAAD" lockStructure="1"/>
  <bookViews>
    <workbookView xWindow="11508" yWindow="108" windowWidth="11532" windowHeight="9216" tabRatio="776"/>
  </bookViews>
  <sheets>
    <sheet name="0.Start" sheetId="20" r:id="rId1"/>
    <sheet name="1.Description" sheetId="1" r:id="rId2"/>
    <sheet name="2.LUC" sheetId="30" r:id="rId3"/>
    <sheet name="A-R" sheetId="19" state="hidden" r:id="rId4"/>
    <sheet name="non Forest LUC" sheetId="25" state="hidden" r:id="rId5"/>
    <sheet name="Deforestation" sheetId="4" state="hidden" r:id="rId6"/>
    <sheet name="3.Cropland" sheetId="31"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sheetId="29" state="hidden" r:id="rId15"/>
    <sheet name="Livestock" sheetId="5" state="hidden" r:id="rId16"/>
    <sheet name="5. Degradation" sheetId="37" r:id="rId17"/>
    <sheet name="Inputs" sheetId="16" state="hidden" r:id="rId18"/>
    <sheet name="Other investments" sheetId="17" state="hidden" r:id="rId19"/>
    <sheet name="6. Inputs" sheetId="36" r:id="rId20"/>
    <sheet name="7. Results" sheetId="38" r:id="rId21"/>
    <sheet name="Gross Results" sheetId="28" state="hidden" r:id="rId22"/>
    <sheet name="BALANCE" sheetId="26" state="hidden" r:id="rId23"/>
    <sheet name="Help" sheetId="2" r:id="rId24"/>
    <sheet name="Yield" sheetId="32" r:id="rId25"/>
    <sheet name="Stats_yield" sheetId="33" state="hidden" r:id="rId26"/>
    <sheet name="List_Yield" sheetId="34" state="hidden" r:id="rId27"/>
    <sheet name="List" sheetId="3" state="hidden" r:id="rId28"/>
    <sheet name=" IPCC" sheetId="7" state="hidden" r:id="rId29"/>
    <sheet name="Elec_EF" sheetId="18" state="hidden" r:id="rId30"/>
    <sheet name="translations" sheetId="39" state="hidden" r:id="rId31"/>
    <sheet name="Name translation" sheetId="41" state="hidden" r:id="rId32"/>
    <sheet name="Other Translations" sheetId="40" state="hidden" r:id="rId33"/>
    <sheet name="Other translations2" sheetId="43" state="hidden" r:id="rId34"/>
  </sheets>
  <definedNames>
    <definedName name="_xlnm._FilterDatabase" localSheetId="25" hidden="1">Stats_yield!$A$1:$BA$1363</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inent">List!$A$6:$A$17</definedName>
    <definedName name="country">Elec_EF!$A$6:$A$143</definedName>
    <definedName name="country_type">List!$A$30:$A$32</definedName>
    <definedName name="deg_evol">List!$F$51:$F$53</definedName>
    <definedName name="deg_list">List!$C$51:$C$57</definedName>
    <definedName name="dyn_simple">List!$D$35:$D$37</definedName>
    <definedName name="finaluse">List!$A$61:$A$69</definedName>
    <definedName name="forest1" localSheetId="3">'A-R'!$D$10</definedName>
    <definedName name="forest1" localSheetId="13">'Forest Degradation'!$D$10</definedName>
    <definedName name="forest1" localSheetId="4">'non Forest LUC'!$F$11</definedName>
    <definedName name="forest1" localSheetId="8">Perennial!#REF!</definedName>
    <definedName name="forest1">Deforestation!$D$10</definedName>
    <definedName name="forest2" localSheetId="3">'A-R'!$D$11</definedName>
    <definedName name="forest2" localSheetId="13">'Forest Degradation'!$D$11</definedName>
    <definedName name="forest2" localSheetId="4">'non Forest LUC'!$F$12</definedName>
    <definedName name="forest2" localSheetId="8">Perennial!#REF!</definedName>
    <definedName name="forest2">Deforestation!$D$11</definedName>
    <definedName name="forest3" localSheetId="3">'A-R'!$D$12</definedName>
    <definedName name="forest3" localSheetId="13">'Forest Degradation'!$D$12</definedName>
    <definedName name="forest3" localSheetId="4">'non Forest LUC'!$F$13</definedName>
    <definedName name="forest3" localSheetId="8">Perennial!#REF!</definedName>
    <definedName name="forest3">Deforestation!$D$12</definedName>
    <definedName name="forest4" localSheetId="3">'A-R'!$D$13</definedName>
    <definedName name="forest4" localSheetId="13">'Forest Degradation'!$D$13</definedName>
    <definedName name="forest4" localSheetId="4">'non Forest LUC'!$F$14</definedName>
    <definedName name="forest4" localSheetId="8">Perennial!#REF!</definedName>
    <definedName name="forest4">Deforestation!$D$13</definedName>
    <definedName name="forest5" localSheetId="3">'A-R'!#REF!</definedName>
    <definedName name="forest5" localSheetId="4">'non Forest LUC'!#REF!</definedName>
    <definedName name="forest5" localSheetId="8">Perennial!#REF!</definedName>
    <definedName name="grassland_type">Grass!$Y$8:$Y$13</definedName>
    <definedName name="GWP">List!$B$40:$D$40</definedName>
    <definedName name="input">List!$A$100:$A$104</definedName>
    <definedName name="irrig_sys">' IPCC'!$A$694:$A$703</definedName>
    <definedName name="Item">List_Yield!$C$2:$C$63</definedName>
    <definedName name="Langs">'Other Translations'!$A$1:$L$1</definedName>
    <definedName name="Livestocks">' IPCC'!$A$336:$A$343</definedName>
    <definedName name="LUC_fin">List!$A$129:$A$137</definedName>
    <definedName name="LUC_ini">List!$A$117:$A$126</definedName>
    <definedName name="MAT">Livestock!$N$26</definedName>
    <definedName name="methane">'7. Results'!$T$4</definedName>
    <definedName name="moist_type">'1.Description'!$C$12</definedName>
    <definedName name="moisture">List!$F$20:$F$23</definedName>
    <definedName name="Nitrous">'7. Results'!$T$5</definedName>
    <definedName name="Nlang">List!$D$15</definedName>
    <definedName name="Non_UN">translations!$H$1</definedName>
    <definedName name="plantation1" localSheetId="3">'A-R'!$D$14</definedName>
    <definedName name="plantation1" localSheetId="13">'Forest Degradation'!$D$14</definedName>
    <definedName name="plantation1" localSheetId="4">'non Forest LUC'!$F$15</definedName>
    <definedName name="plantation1" localSheetId="8">Perennial!#REF!</definedName>
    <definedName name="plantation1">Deforestation!$D$14</definedName>
    <definedName name="plantation2" localSheetId="3">'A-R'!$D$15</definedName>
    <definedName name="plantation2" localSheetId="13">'Forest Degradation'!$D$15</definedName>
    <definedName name="plantation2" localSheetId="4">'non Forest LUC'!$F$16</definedName>
    <definedName name="plantation2" localSheetId="8">Perennial!#REF!</definedName>
    <definedName name="plantation2">Deforestation!$D$15</definedName>
    <definedName name="plantation3" localSheetId="3">'A-R'!$D$16</definedName>
    <definedName name="plantation3" localSheetId="13">'Forest Degradation'!$D$16</definedName>
    <definedName name="plantation3" localSheetId="4">'non Forest LUC'!$F$17</definedName>
    <definedName name="plantation3" localSheetId="8">Perennial!#REF!</definedName>
    <definedName name="plantation3">Deforestation!$D$16</definedName>
    <definedName name="plantation4" localSheetId="3">'A-R'!$D$17</definedName>
    <definedName name="plantation4" localSheetId="13">'Forest Degradation'!$D$17</definedName>
    <definedName name="plantation4" localSheetId="4">'non Forest LUC'!$F$18</definedName>
    <definedName name="plantation4" localSheetId="8">Perennial!#REF!</definedName>
    <definedName name="plantation4">Deforestation!$D$17</definedName>
    <definedName name="plantation5" localSheetId="3">'A-R'!#REF!</definedName>
    <definedName name="plantation5" localSheetId="4">'non Forest LUC'!#REF!</definedName>
    <definedName name="plantation5" localSheetId="8">Perennial!#REF!</definedName>
    <definedName name="precedent">List!$A$111:$A$114</definedName>
    <definedName name="prevuse">List!$A$83:$A$91</definedName>
    <definedName name="Rate">List!$A$35:$A$37</definedName>
    <definedName name="region">'1.Description'!$C$9</definedName>
    <definedName name="Region_y">List_Yield!$A$2:$A$31</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age">List!$A$95:$A$97</definedName>
    <definedName name="time">'1.Description'!$E$18</definedName>
    <definedName name="time_tot">'1.Description'!$E$20</definedName>
    <definedName name="time2">'1.Description'!$E$19</definedName>
    <definedName name="title">'1.Description'!$C$7</definedName>
    <definedName name="veg_type" localSheetId="3">List!$A$50:$A$58</definedName>
    <definedName name="veg_type" localSheetId="4">'non Forest LUC'!$E$11:$E$18</definedName>
    <definedName name="veg_type" localSheetId="8">Perennial!#REF!</definedName>
    <definedName name="veg_type">List!$A$50:$A$58</definedName>
    <definedName name="Veget_type2">List!$A$72:$A$80</definedName>
    <definedName name="water">List!$A$107:$A$108</definedName>
    <definedName name="YES_NO">List!$A$46:$A$47</definedName>
    <definedName name="Yes_No_Annual">List!$C$46:$C$48</definedName>
    <definedName name="_xlnm.Print_Area" localSheetId="1">'1.Description'!$B$7:$L$41</definedName>
    <definedName name="_xlnm.Print_Area" localSheetId="2">'2.LUC'!$B$6:$N$29</definedName>
    <definedName name="_xlnm.Print_Area" localSheetId="6">'3.Cropland'!$B$6:$R$9</definedName>
    <definedName name="_xlnm.Print_Area" localSheetId="12">'4.Grassland'!$B$6:$S$9</definedName>
    <definedName name="_xlnm.Print_Area" localSheetId="16">'5. Degradation'!$B$6:$G$8</definedName>
    <definedName name="_xlnm.Print_Area" localSheetId="19">'6. Inputs'!$B$6:$G$8</definedName>
    <definedName name="_xlnm.Print_Area" localSheetId="7">Annual!$A$5:$Y$54</definedName>
    <definedName name="_xlnm.Print_Area" localSheetId="3">'A-R'!$A$5:$V$59</definedName>
    <definedName name="_xlnm.Print_Area" localSheetId="11">Grass!$A$5:$AG$45</definedName>
    <definedName name="_xlnm.Print_Area" localSheetId="23">Help!$A$5:$S$101</definedName>
    <definedName name="_xlnm.Print_Area" localSheetId="17">Inputs!$A$5:$T$52</definedName>
    <definedName name="_xlnm.Print_Area" localSheetId="9">'Irrigated Rice'!$A$5:$AB$48</definedName>
    <definedName name="_xlnm.Print_Area" localSheetId="15">Livestock!$A$5:$T$105</definedName>
    <definedName name="_xlnm.Print_Area" localSheetId="10">Matrix!$B$5:$M$46</definedName>
    <definedName name="_xlnm.Print_Area" localSheetId="4">'non Forest LUC'!$A$5:$V$54</definedName>
    <definedName name="_xlnm.Print_Area" localSheetId="18">'Other investments'!$A$5:$M$75</definedName>
    <definedName name="_xlnm.Print_Area" localSheetId="8">Perennial!$A$5:$T$49</definedName>
  </definedNames>
  <calcPr calcId="145621"/>
</workbook>
</file>

<file path=xl/calcChain.xml><?xml version="1.0" encoding="utf-8"?>
<calcChain xmlns="http://schemas.openxmlformats.org/spreadsheetml/2006/main">
  <c r="C528" i="7" l="1"/>
  <c r="D528" i="7"/>
  <c r="E528" i="7"/>
  <c r="F528" i="7"/>
  <c r="G528" i="7"/>
  <c r="B528" i="7"/>
  <c r="L79" i="2" l="1"/>
  <c r="L92" i="2"/>
  <c r="M92" i="2" s="1"/>
  <c r="G37" i="24" l="1"/>
  <c r="G38" i="24"/>
  <c r="G39" i="24"/>
  <c r="G40" i="24"/>
  <c r="G41" i="24"/>
  <c r="G42" i="24"/>
  <c r="G43" i="24"/>
  <c r="G44" i="24"/>
  <c r="G45" i="24"/>
  <c r="E37" i="24"/>
  <c r="E38" i="24"/>
  <c r="E39" i="24"/>
  <c r="E40" i="24"/>
  <c r="E41" i="24"/>
  <c r="E42" i="24"/>
  <c r="E43" i="24"/>
  <c r="E44" i="24"/>
  <c r="E45" i="24"/>
  <c r="T30" i="30" l="1"/>
  <c r="T31" i="30"/>
  <c r="T32" i="30"/>
  <c r="T33" i="30"/>
  <c r="T34" i="30"/>
  <c r="S30" i="30"/>
  <c r="S31" i="30"/>
  <c r="S32" i="30"/>
  <c r="S33" i="30"/>
  <c r="S34" i="30"/>
  <c r="R30" i="30"/>
  <c r="R31" i="30"/>
  <c r="R32" i="30"/>
  <c r="R33" i="30"/>
  <c r="R34" i="30"/>
  <c r="T13" i="30"/>
  <c r="T14" i="30"/>
  <c r="T15" i="30"/>
  <c r="T16" i="30"/>
  <c r="T17" i="30"/>
  <c r="S13" i="30"/>
  <c r="S14" i="30"/>
  <c r="S15" i="30"/>
  <c r="S16" i="30"/>
  <c r="S17" i="30"/>
  <c r="R13" i="30"/>
  <c r="R14" i="30"/>
  <c r="R15" i="30"/>
  <c r="R16" i="30"/>
  <c r="R17" i="30"/>
  <c r="G512" i="39"/>
  <c r="G513" i="39"/>
  <c r="G514" i="39"/>
  <c r="G515" i="39"/>
  <c r="G516" i="39"/>
  <c r="G517" i="39"/>
  <c r="G518" i="39"/>
  <c r="F513" i="39"/>
  <c r="F514" i="39"/>
  <c r="F515" i="39"/>
  <c r="F516" i="39"/>
  <c r="F517" i="39"/>
  <c r="F518" i="39"/>
  <c r="F512" i="39"/>
  <c r="E513" i="39"/>
  <c r="E514" i="39"/>
  <c r="E515" i="39"/>
  <c r="E516" i="39"/>
  <c r="E517" i="39"/>
  <c r="E518" i="39"/>
  <c r="E512" i="39"/>
  <c r="N254" i="31" l="1"/>
  <c r="C511" i="40" l="1"/>
  <c r="B511" i="40"/>
  <c r="G511" i="39"/>
  <c r="F511" i="39"/>
  <c r="E511" i="39"/>
  <c r="I254" i="31" l="1"/>
  <c r="N260" i="31"/>
  <c r="N261" i="31"/>
  <c r="N262" i="31"/>
  <c r="N263" i="31"/>
  <c r="N264" i="31"/>
  <c r="N265" i="31"/>
  <c r="N266" i="31"/>
  <c r="N267" i="31"/>
  <c r="N268" i="31"/>
  <c r="N259" i="31"/>
  <c r="N255" i="31"/>
  <c r="N256" i="31"/>
  <c r="N257" i="31"/>
  <c r="I260" i="31"/>
  <c r="I261" i="31"/>
  <c r="I262" i="31"/>
  <c r="I263" i="31"/>
  <c r="I264" i="31"/>
  <c r="I265" i="31"/>
  <c r="I266" i="31"/>
  <c r="I267" i="31"/>
  <c r="I268" i="31"/>
  <c r="I259" i="31"/>
  <c r="I255" i="31"/>
  <c r="I256" i="31"/>
  <c r="I257" i="31"/>
  <c r="F260" i="31"/>
  <c r="F261" i="31"/>
  <c r="F262" i="31"/>
  <c r="F263" i="31"/>
  <c r="F264" i="31"/>
  <c r="F265" i="31"/>
  <c r="F266" i="31"/>
  <c r="F267" i="31"/>
  <c r="F268" i="31"/>
  <c r="F259" i="31"/>
  <c r="F255" i="31"/>
  <c r="F256" i="31"/>
  <c r="F257" i="31"/>
  <c r="F254" i="31"/>
  <c r="D255" i="31"/>
  <c r="D256" i="31" s="1"/>
  <c r="P254" i="31" l="1"/>
  <c r="S11" i="15" s="1"/>
  <c r="P256" i="31"/>
  <c r="S13" i="15" s="1"/>
  <c r="D257" i="31"/>
  <c r="P255" i="31"/>
  <c r="S12" i="15" s="1"/>
  <c r="H301" i="7"/>
  <c r="H302" i="7" s="1"/>
  <c r="H300" i="7"/>
  <c r="H299" i="7"/>
  <c r="H298" i="7"/>
  <c r="H297" i="7"/>
  <c r="H296" i="7"/>
  <c r="H295" i="7"/>
  <c r="H294" i="7"/>
  <c r="H292" i="7"/>
  <c r="L196" i="30"/>
  <c r="L197" i="30"/>
  <c r="L198" i="30"/>
  <c r="L199" i="30"/>
  <c r="S199" i="30" s="1"/>
  <c r="N13" i="25" s="1"/>
  <c r="L200" i="30"/>
  <c r="Q200" i="30" s="1"/>
  <c r="L14" i="25" s="1"/>
  <c r="L201" i="30"/>
  <c r="Q201" i="30" s="1"/>
  <c r="L15" i="25" s="1"/>
  <c r="L202" i="30"/>
  <c r="Q202" i="30" s="1"/>
  <c r="L16" i="25" s="1"/>
  <c r="L203" i="30"/>
  <c r="S203" i="30" s="1"/>
  <c r="N17" i="25" s="1"/>
  <c r="L204" i="30"/>
  <c r="Q204" i="30" s="1"/>
  <c r="L18" i="25" s="1"/>
  <c r="L195" i="30"/>
  <c r="D196" i="30"/>
  <c r="D197" i="30"/>
  <c r="D198" i="30"/>
  <c r="D199" i="30"/>
  <c r="D200" i="30"/>
  <c r="I200" i="30" s="1"/>
  <c r="M14" i="25" s="1"/>
  <c r="D201" i="30"/>
  <c r="G201" i="30" s="1"/>
  <c r="K15" i="25" s="1"/>
  <c r="D202" i="30"/>
  <c r="I202" i="30" s="1"/>
  <c r="M16" i="25" s="1"/>
  <c r="D203" i="30"/>
  <c r="D204" i="30"/>
  <c r="D195" i="30"/>
  <c r="B196" i="30"/>
  <c r="B197" i="30"/>
  <c r="B198" i="30"/>
  <c r="B199" i="30"/>
  <c r="B200" i="30"/>
  <c r="B201" i="30"/>
  <c r="B202" i="30"/>
  <c r="B203" i="30"/>
  <c r="B204" i="30"/>
  <c r="B205" i="30"/>
  <c r="B195" i="30"/>
  <c r="P257" i="31" l="1"/>
  <c r="S14" i="15" s="1"/>
  <c r="D259" i="31"/>
  <c r="P259" i="31" s="1"/>
  <c r="S15" i="15" s="1"/>
  <c r="Q203" i="30"/>
  <c r="L17" i="25" s="1"/>
  <c r="S204" i="30"/>
  <c r="N18" i="25" s="1"/>
  <c r="S202" i="30"/>
  <c r="N16" i="25" s="1"/>
  <c r="S201" i="30"/>
  <c r="N15" i="25" s="1"/>
  <c r="S200" i="30"/>
  <c r="N14" i="25" s="1"/>
  <c r="G202" i="30"/>
  <c r="K16" i="25" s="1"/>
  <c r="I201" i="30"/>
  <c r="M15" i="25" s="1"/>
  <c r="G200" i="30"/>
  <c r="K14" i="25" s="1"/>
  <c r="Q199" i="30"/>
  <c r="L13" i="25" s="1"/>
  <c r="C1" i="43"/>
  <c r="D260" i="31" l="1"/>
  <c r="Q34" i="5"/>
  <c r="E71" i="5" s="1"/>
  <c r="Q33" i="5"/>
  <c r="E70" i="5" s="1"/>
  <c r="Q32" i="5"/>
  <c r="E69" i="5" s="1"/>
  <c r="K31" i="5"/>
  <c r="J31" i="5"/>
  <c r="D261" i="31" l="1"/>
  <c r="P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H180" i="31"/>
  <c r="H181" i="31"/>
  <c r="H182" i="31"/>
  <c r="H183" i="31"/>
  <c r="H184" i="31"/>
  <c r="H185" i="31"/>
  <c r="H186" i="31"/>
  <c r="H187" i="31"/>
  <c r="E16" i="24"/>
  <c r="F16" i="24"/>
  <c r="E17" i="24"/>
  <c r="F17" i="24"/>
  <c r="E18" i="24"/>
  <c r="F18" i="24"/>
  <c r="E19" i="24"/>
  <c r="F19" i="24"/>
  <c r="E20" i="24"/>
  <c r="F20" i="24"/>
  <c r="E21" i="24"/>
  <c r="F21" i="24"/>
  <c r="E22" i="24"/>
  <c r="F22" i="24"/>
  <c r="E23" i="24"/>
  <c r="F23" i="24"/>
  <c r="E181" i="31"/>
  <c r="E182" i="31"/>
  <c r="E183" i="31"/>
  <c r="E184" i="31"/>
  <c r="E185" i="31"/>
  <c r="E186" i="31"/>
  <c r="E187" i="31"/>
  <c r="B180" i="31"/>
  <c r="B181" i="31"/>
  <c r="B182" i="31"/>
  <c r="B183" i="31"/>
  <c r="B184" i="31"/>
  <c r="B185" i="31"/>
  <c r="B186" i="31"/>
  <c r="B187" i="31"/>
  <c r="B179" i="31"/>
  <c r="D17" i="24"/>
  <c r="D18" i="24"/>
  <c r="D19" i="24"/>
  <c r="D20" i="24"/>
  <c r="D21" i="24"/>
  <c r="D22" i="24"/>
  <c r="D23" i="24"/>
  <c r="N23" i="24" s="1"/>
  <c r="D262" i="31" l="1"/>
  <c r="P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T42" i="24" s="1"/>
  <c r="R40" i="24"/>
  <c r="AE18" i="24"/>
  <c r="O19" i="24"/>
  <c r="N18" i="24"/>
  <c r="N21" i="24"/>
  <c r="N22" i="24"/>
  <c r="O18" i="24"/>
  <c r="N17" i="24"/>
  <c r="N19" i="24"/>
  <c r="O20" i="24"/>
  <c r="O23" i="24"/>
  <c r="O22" i="24"/>
  <c r="O21" i="24"/>
  <c r="O17" i="24"/>
  <c r="E178" i="31"/>
  <c r="E179" i="31"/>
  <c r="E180" i="31"/>
  <c r="B178" i="31"/>
  <c r="D263" i="31" l="1"/>
  <c r="P262" i="31"/>
  <c r="S18" i="15" s="1"/>
  <c r="T44" i="24"/>
  <c r="T39" i="24"/>
  <c r="T41" i="24"/>
  <c r="T43" i="24"/>
  <c r="T45" i="24"/>
  <c r="T40" i="24"/>
  <c r="D13" i="4"/>
  <c r="R14" i="20"/>
  <c r="D12" i="4"/>
  <c r="D11" i="4"/>
  <c r="D10" i="4"/>
  <c r="H1" i="39"/>
  <c r="G7" i="7"/>
  <c r="C27" i="4"/>
  <c r="C42" i="4"/>
  <c r="K33" i="4"/>
  <c r="K34" i="4"/>
  <c r="L49" i="4" s="1"/>
  <c r="K35" i="4"/>
  <c r="K36" i="4"/>
  <c r="I27" i="4"/>
  <c r="E20" i="1"/>
  <c r="N33" i="4"/>
  <c r="O33" i="4" s="1"/>
  <c r="P33" i="4" s="1"/>
  <c r="N34" i="4"/>
  <c r="O34" i="4" s="1"/>
  <c r="P34" i="4" s="1"/>
  <c r="N35" i="4"/>
  <c r="O35" i="4" s="1"/>
  <c r="P35" i="4" s="1"/>
  <c r="N36" i="4"/>
  <c r="O36" i="4" s="1"/>
  <c r="P36" i="4" s="1"/>
  <c r="G27" i="4"/>
  <c r="AI8" i="4" s="1"/>
  <c r="AI14" i="4"/>
  <c r="AI15" i="4"/>
  <c r="AI16" i="4"/>
  <c r="AI17" i="4"/>
  <c r="AG14" i="4"/>
  <c r="AG15" i="4"/>
  <c r="AG16" i="4"/>
  <c r="AG17" i="4"/>
  <c r="D17" i="4"/>
  <c r="U17" i="4" s="1"/>
  <c r="D17" i="27"/>
  <c r="D10" i="27"/>
  <c r="H33" i="19"/>
  <c r="K48" i="19" s="1"/>
  <c r="AH31" i="19" s="1"/>
  <c r="H34" i="19"/>
  <c r="H35" i="19"/>
  <c r="L50" i="19" s="1"/>
  <c r="AI33" i="19" s="1"/>
  <c r="H36" i="19"/>
  <c r="J33" i="19"/>
  <c r="K33" i="19" s="1"/>
  <c r="L33" i="19" s="1"/>
  <c r="AK31" i="19" s="1"/>
  <c r="J34" i="19"/>
  <c r="K34" i="19" s="1"/>
  <c r="L34" i="19" s="1"/>
  <c r="AK32" i="19" s="1"/>
  <c r="J35" i="19"/>
  <c r="K35" i="19" s="1"/>
  <c r="L35" i="19" s="1"/>
  <c r="AK33" i="19" s="1"/>
  <c r="J36" i="19"/>
  <c r="K36" i="19" s="1"/>
  <c r="L36" i="19" s="1"/>
  <c r="AJ34" i="19" s="1"/>
  <c r="AD16" i="19"/>
  <c r="AD17" i="19"/>
  <c r="AD18" i="19"/>
  <c r="AD19" i="19"/>
  <c r="AB16" i="19"/>
  <c r="AB17" i="19"/>
  <c r="AB18" i="19"/>
  <c r="AB19" i="19"/>
  <c r="D9" i="25"/>
  <c r="F9" i="25"/>
  <c r="F31" i="25"/>
  <c r="I42" i="25"/>
  <c r="I43" i="25"/>
  <c r="A126" i="7"/>
  <c r="A648" i="7"/>
  <c r="J84" i="5"/>
  <c r="J92" i="5"/>
  <c r="D42" i="4"/>
  <c r="AH14" i="4"/>
  <c r="AH15" i="4"/>
  <c r="AH16" i="4"/>
  <c r="AH17" i="4"/>
  <c r="AF14" i="4"/>
  <c r="AF15" i="4"/>
  <c r="AF16" i="4"/>
  <c r="AF17" i="4"/>
  <c r="AC16" i="19"/>
  <c r="AC17" i="19"/>
  <c r="AC18" i="19"/>
  <c r="AC19" i="19"/>
  <c r="AA16" i="19"/>
  <c r="AA17" i="19"/>
  <c r="AA18" i="19"/>
  <c r="AA19" i="19"/>
  <c r="H42" i="25"/>
  <c r="H43" i="25"/>
  <c r="H44" i="25"/>
  <c r="T5" i="38"/>
  <c r="AK20" i="24" s="1"/>
  <c r="T4" i="38"/>
  <c r="L27" i="27"/>
  <c r="M27" i="27" s="1"/>
  <c r="D11" i="27"/>
  <c r="C28" i="27"/>
  <c r="L28" i="27"/>
  <c r="M28" i="27"/>
  <c r="E28" i="27"/>
  <c r="F28" i="27"/>
  <c r="I28" i="27"/>
  <c r="N28" i="27"/>
  <c r="O28" i="27"/>
  <c r="P28" i="27"/>
  <c r="C44" i="27"/>
  <c r="G28" i="27"/>
  <c r="H28" i="27" s="1"/>
  <c r="J28" i="27"/>
  <c r="K28" i="27"/>
  <c r="G29" i="27"/>
  <c r="H29" i="27" s="1"/>
  <c r="E27" i="19"/>
  <c r="H27" i="19" s="1"/>
  <c r="G27" i="19"/>
  <c r="AD10" i="19" s="1"/>
  <c r="F42" i="4"/>
  <c r="D10" i="25"/>
  <c r="L12" i="9"/>
  <c r="AQ37" i="9" s="1"/>
  <c r="C38" i="9"/>
  <c r="F39" i="9"/>
  <c r="L15" i="9"/>
  <c r="AK40" i="9" s="1"/>
  <c r="F40" i="9"/>
  <c r="D38" i="9"/>
  <c r="D39" i="9"/>
  <c r="D14" i="24"/>
  <c r="C36" i="24"/>
  <c r="F37" i="24"/>
  <c r="F38" i="24"/>
  <c r="D36" i="24"/>
  <c r="D37" i="24"/>
  <c r="L12" i="15"/>
  <c r="L15" i="15"/>
  <c r="C36" i="15"/>
  <c r="F36" i="15"/>
  <c r="L16" i="15"/>
  <c r="F37" i="15"/>
  <c r="L21" i="15"/>
  <c r="U21" i="15" s="1"/>
  <c r="D37" i="15"/>
  <c r="E11" i="15"/>
  <c r="E15" i="15"/>
  <c r="H15" i="15"/>
  <c r="E16" i="15"/>
  <c r="H16" i="15"/>
  <c r="O15" i="10"/>
  <c r="M15" i="10"/>
  <c r="F22" i="29"/>
  <c r="F39" i="29"/>
  <c r="L39" i="29" s="1"/>
  <c r="F23" i="29"/>
  <c r="F40" i="29"/>
  <c r="I23" i="29"/>
  <c r="I40" i="29"/>
  <c r="F12" i="29"/>
  <c r="I12" i="29"/>
  <c r="G12" i="29"/>
  <c r="F12" i="5"/>
  <c r="F40" i="5" s="1"/>
  <c r="J12" i="5"/>
  <c r="J40" i="5" s="1"/>
  <c r="G14" i="5"/>
  <c r="B18" i="5"/>
  <c r="B46" i="5" s="1"/>
  <c r="B69" i="5" s="1"/>
  <c r="J18" i="5"/>
  <c r="J46" i="5" s="1"/>
  <c r="B19" i="5"/>
  <c r="B47" i="5" s="1"/>
  <c r="B70" i="5" s="1"/>
  <c r="N72" i="5"/>
  <c r="O73" i="5"/>
  <c r="N73" i="5"/>
  <c r="M21" i="5"/>
  <c r="F21" i="16"/>
  <c r="F28" i="16"/>
  <c r="J21" i="16"/>
  <c r="J28" i="16" s="1"/>
  <c r="G21" i="16"/>
  <c r="G28" i="16"/>
  <c r="B65" i="17"/>
  <c r="D65" i="17" s="1"/>
  <c r="I242" i="36" s="1"/>
  <c r="E65" i="17" s="1"/>
  <c r="B63" i="17"/>
  <c r="D63" i="17"/>
  <c r="I240" i="36" s="1"/>
  <c r="E63" i="17" s="1"/>
  <c r="D237" i="36"/>
  <c r="I237" i="36" s="1"/>
  <c r="D54" i="17" s="1"/>
  <c r="D56" i="17" s="1"/>
  <c r="E55" i="17"/>
  <c r="D236" i="36"/>
  <c r="I236" i="36" s="1"/>
  <c r="D53" i="17" s="1"/>
  <c r="A570" i="7"/>
  <c r="D12" i="27"/>
  <c r="D13" i="27"/>
  <c r="D14" i="4"/>
  <c r="D14" i="27"/>
  <c r="V14" i="27" s="1"/>
  <c r="D15" i="4"/>
  <c r="D15" i="27"/>
  <c r="D16" i="4"/>
  <c r="D16" i="27"/>
  <c r="C28" i="4"/>
  <c r="L28" i="4" s="1"/>
  <c r="M28" i="4" s="1"/>
  <c r="C30" i="4"/>
  <c r="F30" i="4" s="1"/>
  <c r="A156" i="7"/>
  <c r="F44" i="27"/>
  <c r="D44" i="27"/>
  <c r="D10" i="19"/>
  <c r="C27" i="19"/>
  <c r="G42" i="19"/>
  <c r="D15" i="19"/>
  <c r="C30" i="19"/>
  <c r="E42"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H33" i="4"/>
  <c r="AH48" i="4" s="1"/>
  <c r="H34" i="4"/>
  <c r="AH49" i="4" s="1"/>
  <c r="H35" i="4"/>
  <c r="AH50" i="4" s="1"/>
  <c r="H36" i="4"/>
  <c r="AH51" i="4" s="1"/>
  <c r="P48" i="19"/>
  <c r="P49" i="19"/>
  <c r="P50" i="19"/>
  <c r="P51" i="19"/>
  <c r="J9" i="25"/>
  <c r="J10" i="25"/>
  <c r="Q19" i="25"/>
  <c r="R19" i="25"/>
  <c r="Q20" i="25"/>
  <c r="R20" i="25"/>
  <c r="Q21" i="25"/>
  <c r="V43" i="25" s="1"/>
  <c r="R21" i="25"/>
  <c r="Q22" i="25"/>
  <c r="U44" i="25" s="1"/>
  <c r="R22" i="25"/>
  <c r="Q23" i="25"/>
  <c r="V45" i="25" s="1"/>
  <c r="R23" i="25"/>
  <c r="Q24" i="25"/>
  <c r="U46" i="25" s="1"/>
  <c r="R24" i="25"/>
  <c r="R15" i="15"/>
  <c r="F12" i="16"/>
  <c r="F44" i="16" s="1"/>
  <c r="J12" i="16"/>
  <c r="J44" i="16" s="1"/>
  <c r="F47" i="16"/>
  <c r="O48" i="19"/>
  <c r="O49" i="19"/>
  <c r="O50" i="19"/>
  <c r="O51" i="19"/>
  <c r="G12" i="16"/>
  <c r="G44" i="16"/>
  <c r="B134" i="43"/>
  <c r="B144" i="43" s="1"/>
  <c r="D20" i="39"/>
  <c r="D7" i="39"/>
  <c r="C7" i="3"/>
  <c r="C8" i="3"/>
  <c r="C9" i="3"/>
  <c r="H17" i="15"/>
  <c r="I114" i="26"/>
  <c r="I96" i="26"/>
  <c r="U96" i="26" s="1"/>
  <c r="I115" i="26"/>
  <c r="U115" i="26" s="1"/>
  <c r="I97" i="26"/>
  <c r="U97" i="26" s="1"/>
  <c r="N115" i="26"/>
  <c r="D38" i="24"/>
  <c r="C37" i="24"/>
  <c r="C38" i="24"/>
  <c r="U114" i="26"/>
  <c r="Y116" i="26"/>
  <c r="Q117" i="26"/>
  <c r="R117" i="26"/>
  <c r="Y98" i="26"/>
  <c r="N76" i="26"/>
  <c r="U75" i="26"/>
  <c r="U76" i="26"/>
  <c r="Y77" i="26"/>
  <c r="X78" i="26"/>
  <c r="Y78" i="26"/>
  <c r="I112" i="26"/>
  <c r="U112" i="26" s="1"/>
  <c r="I94" i="26"/>
  <c r="U94" i="26" s="1"/>
  <c r="A222" i="40"/>
  <c r="B145" i="40"/>
  <c r="E20" i="39"/>
  <c r="I10" i="3"/>
  <c r="E1" i="41"/>
  <c r="E491" i="39"/>
  <c r="E445" i="39"/>
  <c r="E436" i="39"/>
  <c r="E341" i="39"/>
  <c r="E251" i="39"/>
  <c r="E209" i="39"/>
  <c r="E145" i="39"/>
  <c r="E76" i="39"/>
  <c r="E7" i="39"/>
  <c r="G1" i="41"/>
  <c r="G491" i="39"/>
  <c r="G436" i="39"/>
  <c r="G445" i="39" s="1"/>
  <c r="G341" i="39"/>
  <c r="G251" i="39"/>
  <c r="G209" i="39"/>
  <c r="G145" i="39"/>
  <c r="G76" i="39"/>
  <c r="C12" i="3"/>
  <c r="I12" i="3" s="1"/>
  <c r="F1" i="41"/>
  <c r="I11" i="3"/>
  <c r="F491" i="39"/>
  <c r="F445" i="39"/>
  <c r="F436" i="39"/>
  <c r="F341" i="39"/>
  <c r="F251" i="39"/>
  <c r="F209" i="39"/>
  <c r="F145" i="39"/>
  <c r="F76" i="39"/>
  <c r="AX20" i="22"/>
  <c r="AY19" i="22"/>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BF18" i="22"/>
  <c r="BF21" i="22"/>
  <c r="BH18" i="22"/>
  <c r="BH21" i="22"/>
  <c r="BG20" i="22"/>
  <c r="E120" i="26"/>
  <c r="E119" i="26"/>
  <c r="E116" i="26"/>
  <c r="E113" i="26"/>
  <c r="E112" i="26"/>
  <c r="E109" i="26"/>
  <c r="E108" i="26"/>
  <c r="E107" i="26"/>
  <c r="E102" i="26"/>
  <c r="E98" i="26"/>
  <c r="E91" i="26"/>
  <c r="E90" i="26"/>
  <c r="E89" i="26"/>
  <c r="R13" i="20"/>
  <c r="B14" i="43"/>
  <c r="C7" i="39"/>
  <c r="A24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471" i="40"/>
  <c r="A472" i="40"/>
  <c r="A473" i="40"/>
  <c r="A474" i="40"/>
  <c r="A475" i="40"/>
  <c r="A476" i="40"/>
  <c r="A477" i="40"/>
  <c r="A478" i="40"/>
  <c r="A479" i="40"/>
  <c r="A480" i="40"/>
  <c r="A481" i="40"/>
  <c r="A482" i="40"/>
  <c r="A483" i="40"/>
  <c r="A484" i="40"/>
  <c r="A485" i="40"/>
  <c r="A486" i="40"/>
  <c r="A487" i="40"/>
  <c r="A488" i="40"/>
  <c r="A489" i="40"/>
  <c r="A490" i="40"/>
  <c r="A491" i="40"/>
  <c r="A492" i="40"/>
  <c r="A493" i="40"/>
  <c r="A494" i="40"/>
  <c r="A495" i="40"/>
  <c r="A496" i="40"/>
  <c r="A497" i="40"/>
  <c r="A498" i="40"/>
  <c r="A499" i="40"/>
  <c r="A500" i="40"/>
  <c r="A501" i="40"/>
  <c r="A502" i="40"/>
  <c r="A503" i="40"/>
  <c r="A504" i="40"/>
  <c r="A505" i="40"/>
  <c r="A506" i="40"/>
  <c r="A507" i="40"/>
  <c r="A508" i="40"/>
  <c r="A509" i="40"/>
  <c r="A510" i="40"/>
  <c r="A511" i="40"/>
  <c r="A512" i="40"/>
  <c r="A513" i="40"/>
  <c r="A514" i="40"/>
  <c r="A515" i="40"/>
  <c r="A516" i="40"/>
  <c r="A517" i="40"/>
  <c r="A518" i="40"/>
  <c r="A519" i="40"/>
  <c r="A520" i="40"/>
  <c r="A521" i="40"/>
  <c r="A522" i="40"/>
  <c r="A523" i="40"/>
  <c r="A524" i="40"/>
  <c r="A525" i="40"/>
  <c r="A526" i="40"/>
  <c r="A527" i="40"/>
  <c r="A528" i="40"/>
  <c r="A529" i="40"/>
  <c r="A530" i="40"/>
  <c r="A531" i="40"/>
  <c r="A532" i="40"/>
  <c r="A533" i="40"/>
  <c r="A534" i="40"/>
  <c r="A535" i="40"/>
  <c r="A536" i="40"/>
  <c r="A537" i="40"/>
  <c r="A538" i="40"/>
  <c r="A539" i="40"/>
  <c r="A540" i="40"/>
  <c r="A541" i="40"/>
  <c r="A542" i="40"/>
  <c r="A543" i="40"/>
  <c r="A544" i="40"/>
  <c r="A545" i="40"/>
  <c r="A546" i="40"/>
  <c r="A547" i="40"/>
  <c r="A548" i="40"/>
  <c r="A549" i="40"/>
  <c r="A550" i="40"/>
  <c r="A551" i="40"/>
  <c r="A552" i="40"/>
  <c r="A553" i="40"/>
  <c r="A554" i="40"/>
  <c r="A555" i="40"/>
  <c r="A556" i="40"/>
  <c r="A557" i="40"/>
  <c r="A558" i="40"/>
  <c r="A559" i="40"/>
  <c r="A560" i="40"/>
  <c r="A561" i="40"/>
  <c r="A562" i="40"/>
  <c r="A563" i="40"/>
  <c r="A564" i="40"/>
  <c r="A565" i="40"/>
  <c r="A566" i="40"/>
  <c r="A567" i="40"/>
  <c r="A568" i="40"/>
  <c r="A569" i="40"/>
  <c r="A570" i="40"/>
  <c r="A571" i="40"/>
  <c r="A572" i="40"/>
  <c r="A573" i="40"/>
  <c r="A574" i="40"/>
  <c r="A575" i="40"/>
  <c r="A576" i="40"/>
  <c r="A577" i="40"/>
  <c r="A578" i="40"/>
  <c r="A579" i="40"/>
  <c r="A580" i="40"/>
  <c r="A581" i="40"/>
  <c r="A582" i="40"/>
  <c r="A583" i="40"/>
  <c r="A584" i="40"/>
  <c r="A585" i="40"/>
  <c r="A586" i="40"/>
  <c r="A587" i="40"/>
  <c r="A588" i="40"/>
  <c r="A589" i="40"/>
  <c r="A590" i="40"/>
  <c r="A591" i="40"/>
  <c r="A592" i="40"/>
  <c r="A593" i="40"/>
  <c r="A594" i="40"/>
  <c r="A595" i="40"/>
  <c r="A177" i="43"/>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165" i="43"/>
  <c r="A166" i="43"/>
  <c r="A167" i="43"/>
  <c r="A168" i="43"/>
  <c r="A169" i="43"/>
  <c r="A170" i="43"/>
  <c r="A171" i="43"/>
  <c r="A172" i="43"/>
  <c r="A173" i="43"/>
  <c r="A174" i="43"/>
  <c r="A175" i="43"/>
  <c r="A176" i="43"/>
  <c r="D491" i="40"/>
  <c r="E491" i="40"/>
  <c r="F491" i="40"/>
  <c r="G491" i="40"/>
  <c r="H491" i="40"/>
  <c r="I491" i="40"/>
  <c r="J491" i="40"/>
  <c r="K491" i="40"/>
  <c r="L491" i="40"/>
  <c r="B491" i="40"/>
  <c r="C20" i="3"/>
  <c r="F20" i="3" s="1"/>
  <c r="D436" i="40"/>
  <c r="E436" i="40"/>
  <c r="F436" i="40"/>
  <c r="G436" i="40"/>
  <c r="H436" i="40"/>
  <c r="I436" i="40"/>
  <c r="J436" i="40"/>
  <c r="K436" i="40"/>
  <c r="L436" i="40"/>
  <c r="B436" i="40"/>
  <c r="D341" i="40"/>
  <c r="E341" i="40"/>
  <c r="F341" i="40"/>
  <c r="G341" i="40"/>
  <c r="H341" i="40"/>
  <c r="I341" i="40"/>
  <c r="J341" i="40"/>
  <c r="K341" i="40"/>
  <c r="L341" i="40"/>
  <c r="B341" i="40"/>
  <c r="D251" i="40"/>
  <c r="E251" i="40"/>
  <c r="F251" i="40"/>
  <c r="G251" i="40"/>
  <c r="H251" i="40"/>
  <c r="I251" i="40"/>
  <c r="J251" i="40"/>
  <c r="K251" i="40"/>
  <c r="L251" i="40"/>
  <c r="B251" i="40"/>
  <c r="D209" i="40"/>
  <c r="E209" i="40"/>
  <c r="F209" i="40"/>
  <c r="G209" i="40"/>
  <c r="H209" i="40"/>
  <c r="I209" i="40"/>
  <c r="J209" i="40"/>
  <c r="K209" i="40"/>
  <c r="L209" i="40"/>
  <c r="B209" i="40"/>
  <c r="C76" i="40"/>
  <c r="D76" i="40"/>
  <c r="E76" i="40"/>
  <c r="F76" i="40"/>
  <c r="G76" i="40"/>
  <c r="H76" i="40"/>
  <c r="I76" i="40"/>
  <c r="J76" i="40"/>
  <c r="K76" i="40"/>
  <c r="L76" i="40"/>
  <c r="B76" i="40"/>
  <c r="D7" i="40"/>
  <c r="D20" i="40" s="1"/>
  <c r="E7" i="40"/>
  <c r="E20" i="40" s="1"/>
  <c r="F7" i="40"/>
  <c r="F20" i="40"/>
  <c r="G7" i="40"/>
  <c r="G20" i="40" s="1"/>
  <c r="H7" i="40"/>
  <c r="H20" i="40"/>
  <c r="I7" i="40"/>
  <c r="I20" i="40" s="1"/>
  <c r="J7" i="40"/>
  <c r="J20" i="40"/>
  <c r="K7" i="40"/>
  <c r="K20" i="40"/>
  <c r="L7" i="40"/>
  <c r="L20" i="40" s="1"/>
  <c r="B7" i="40"/>
  <c r="B20" i="40" s="1"/>
  <c r="A438" i="40"/>
  <c r="A439" i="40"/>
  <c r="A440" i="40"/>
  <c r="A441" i="40"/>
  <c r="A442" i="40"/>
  <c r="A443" i="40"/>
  <c r="A444" i="40"/>
  <c r="A445" i="40"/>
  <c r="A446" i="40"/>
  <c r="A447" i="40"/>
  <c r="A448" i="40"/>
  <c r="A449" i="40"/>
  <c r="A450" i="40"/>
  <c r="A451" i="40"/>
  <c r="A452" i="40"/>
  <c r="A453" i="40"/>
  <c r="A454" i="40"/>
  <c r="A455" i="40"/>
  <c r="A456" i="40"/>
  <c r="A457" i="40"/>
  <c r="A458" i="40"/>
  <c r="A459" i="40"/>
  <c r="A460" i="40"/>
  <c r="A461" i="40"/>
  <c r="A462" i="40"/>
  <c r="A463" i="40"/>
  <c r="A464" i="40"/>
  <c r="A465" i="40"/>
  <c r="A466" i="40"/>
  <c r="A467" i="40"/>
  <c r="A468" i="40"/>
  <c r="A469" i="40"/>
  <c r="A470" i="40"/>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2" i="43"/>
  <c r="A3" i="40"/>
  <c r="A4" i="40"/>
  <c r="A5" i="40"/>
  <c r="A6" i="40"/>
  <c r="A8" i="40"/>
  <c r="A9" i="40"/>
  <c r="A10" i="40"/>
  <c r="A11" i="40"/>
  <c r="A12" i="40"/>
  <c r="A13" i="40"/>
  <c r="A14" i="40"/>
  <c r="A15" i="40"/>
  <c r="A16" i="40"/>
  <c r="A17" i="40"/>
  <c r="A18" i="40"/>
  <c r="A19"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A170" i="40"/>
  <c r="A171" i="40"/>
  <c r="A172" i="40"/>
  <c r="A173" i="40"/>
  <c r="A174" i="40"/>
  <c r="A175" i="40"/>
  <c r="A176" i="40"/>
  <c r="A177" i="40"/>
  <c r="A178" i="40"/>
  <c r="A179" i="40"/>
  <c r="A180" i="40"/>
  <c r="A181" i="40"/>
  <c r="A182" i="40"/>
  <c r="A183" i="40"/>
  <c r="A184" i="40"/>
  <c r="A185" i="40"/>
  <c r="A186" i="40"/>
  <c r="A187" i="40"/>
  <c r="A188" i="40"/>
  <c r="A189" i="40"/>
  <c r="A190" i="40"/>
  <c r="A191" i="40"/>
  <c r="A192" i="40"/>
  <c r="A193" i="40"/>
  <c r="A194" i="40"/>
  <c r="A195" i="40"/>
  <c r="A196" i="40"/>
  <c r="A197" i="40"/>
  <c r="A198" i="40"/>
  <c r="A199" i="40"/>
  <c r="A200" i="40"/>
  <c r="A201" i="40"/>
  <c r="A202" i="40"/>
  <c r="A203" i="40"/>
  <c r="A204" i="40"/>
  <c r="A205" i="40"/>
  <c r="A206" i="40"/>
  <c r="A207" i="40"/>
  <c r="A208" i="40"/>
  <c r="A209" i="40"/>
  <c r="A210" i="40"/>
  <c r="A211" i="40"/>
  <c r="A212" i="40"/>
  <c r="A213" i="40"/>
  <c r="A214" i="40"/>
  <c r="A215" i="40"/>
  <c r="A216" i="40"/>
  <c r="A217" i="40"/>
  <c r="A218" i="40"/>
  <c r="A219" i="40"/>
  <c r="A220" i="40"/>
  <c r="A221" i="40"/>
  <c r="A223" i="40"/>
  <c r="A224" i="40"/>
  <c r="A225" i="40"/>
  <c r="A226" i="40"/>
  <c r="A227" i="40"/>
  <c r="A228" i="40"/>
  <c r="A229" i="40"/>
  <c r="A230" i="40"/>
  <c r="A231" i="40"/>
  <c r="A232" i="40"/>
  <c r="A233" i="40"/>
  <c r="A234" i="40"/>
  <c r="A235" i="40"/>
  <c r="A236" i="40"/>
  <c r="A237" i="40"/>
  <c r="A238" i="40"/>
  <c r="A239" i="40"/>
  <c r="A240" i="40"/>
  <c r="A241" i="40"/>
  <c r="A242" i="40"/>
  <c r="A243" i="40"/>
  <c r="A244" i="40"/>
  <c r="A245" i="40"/>
  <c r="A246" i="40"/>
  <c r="A247" i="40"/>
  <c r="A248" i="40"/>
  <c r="A249" i="40"/>
  <c r="A250" i="40"/>
  <c r="A251" i="40"/>
  <c r="A252" i="40"/>
  <c r="A253" i="40"/>
  <c r="A254" i="40"/>
  <c r="A255" i="40"/>
  <c r="A256" i="40"/>
  <c r="A257" i="40"/>
  <c r="A258" i="40"/>
  <c r="A259" i="40"/>
  <c r="A260" i="40"/>
  <c r="A261" i="40"/>
  <c r="A262" i="40"/>
  <c r="A263" i="40"/>
  <c r="A264" i="40"/>
  <c r="A265" i="40"/>
  <c r="A266" i="40"/>
  <c r="A267" i="40"/>
  <c r="A268" i="40"/>
  <c r="A269" i="40"/>
  <c r="A270" i="40"/>
  <c r="A271" i="40"/>
  <c r="A272" i="40"/>
  <c r="A273" i="40"/>
  <c r="A274" i="40"/>
  <c r="A275" i="40"/>
  <c r="A276" i="40"/>
  <c r="A277" i="40"/>
  <c r="A278" i="40"/>
  <c r="A279" i="40"/>
  <c r="A280" i="40"/>
  <c r="A281" i="40"/>
  <c r="A282" i="40"/>
  <c r="A283" i="40"/>
  <c r="A284" i="40"/>
  <c r="A285" i="40"/>
  <c r="A286" i="40"/>
  <c r="A287" i="40"/>
  <c r="A288" i="40"/>
  <c r="A289" i="40"/>
  <c r="A290" i="40"/>
  <c r="A291" i="40"/>
  <c r="A292" i="40"/>
  <c r="A293" i="40"/>
  <c r="A294" i="40"/>
  <c r="A295" i="40"/>
  <c r="A296" i="40"/>
  <c r="A297" i="40"/>
  <c r="A298" i="40"/>
  <c r="A299" i="40"/>
  <c r="A300" i="40"/>
  <c r="A301" i="40"/>
  <c r="A302" i="40"/>
  <c r="A303" i="40"/>
  <c r="A304" i="40"/>
  <c r="A305" i="40"/>
  <c r="A306" i="40"/>
  <c r="A307" i="40"/>
  <c r="A308" i="40"/>
  <c r="A309" i="40"/>
  <c r="A310" i="40"/>
  <c r="A311" i="40"/>
  <c r="A312" i="40"/>
  <c r="A313" i="40"/>
  <c r="A314" i="40"/>
  <c r="A315" i="40"/>
  <c r="A316" i="40"/>
  <c r="A317" i="40"/>
  <c r="A318" i="40"/>
  <c r="A319" i="40"/>
  <c r="A320" i="40"/>
  <c r="A321" i="40"/>
  <c r="A322" i="40"/>
  <c r="A323" i="40"/>
  <c r="A324" i="40"/>
  <c r="A325" i="40"/>
  <c r="A326" i="40"/>
  <c r="A327" i="40"/>
  <c r="A328" i="40"/>
  <c r="A329" i="40"/>
  <c r="A330" i="40"/>
  <c r="A331" i="40"/>
  <c r="A332" i="40"/>
  <c r="A333" i="40"/>
  <c r="A334" i="40"/>
  <c r="A335" i="40"/>
  <c r="A336" i="40"/>
  <c r="A337" i="40"/>
  <c r="A338" i="40"/>
  <c r="A339" i="40"/>
  <c r="A340" i="40"/>
  <c r="A341" i="40"/>
  <c r="A342" i="40"/>
  <c r="A343" i="40"/>
  <c r="A344" i="40"/>
  <c r="A345" i="40"/>
  <c r="A346" i="40"/>
  <c r="A347" i="40"/>
  <c r="A348" i="40"/>
  <c r="A349" i="40"/>
  <c r="A350" i="40"/>
  <c r="A351" i="40"/>
  <c r="A352" i="40"/>
  <c r="A353" i="40"/>
  <c r="A354" i="40"/>
  <c r="A355" i="40"/>
  <c r="A356" i="40"/>
  <c r="A357" i="40"/>
  <c r="A358" i="40"/>
  <c r="A359" i="40"/>
  <c r="A360" i="40"/>
  <c r="A361" i="40"/>
  <c r="A362" i="40"/>
  <c r="A363" i="40"/>
  <c r="A364" i="40"/>
  <c r="A365" i="40"/>
  <c r="A366" i="40"/>
  <c r="A367" i="40"/>
  <c r="A368" i="40"/>
  <c r="A369" i="40"/>
  <c r="A370" i="40"/>
  <c r="A371" i="40"/>
  <c r="A372" i="40"/>
  <c r="A373" i="40"/>
  <c r="A374" i="40"/>
  <c r="A375" i="40"/>
  <c r="A376" i="40"/>
  <c r="A377" i="40"/>
  <c r="A378" i="40"/>
  <c r="A379" i="40"/>
  <c r="A380" i="40"/>
  <c r="A381" i="40"/>
  <c r="A382" i="40"/>
  <c r="A383" i="40"/>
  <c r="A384" i="40"/>
  <c r="A385" i="40"/>
  <c r="A386" i="40"/>
  <c r="A387" i="40"/>
  <c r="A388" i="40"/>
  <c r="A389" i="40"/>
  <c r="A390" i="40"/>
  <c r="A391" i="40"/>
  <c r="A392" i="40"/>
  <c r="A393" i="40"/>
  <c r="A394" i="40"/>
  <c r="A395" i="40"/>
  <c r="A396" i="40"/>
  <c r="A397" i="40"/>
  <c r="A398" i="40"/>
  <c r="A399" i="40"/>
  <c r="A400" i="40"/>
  <c r="A401" i="40"/>
  <c r="A402" i="40"/>
  <c r="A403" i="40"/>
  <c r="A404" i="40"/>
  <c r="A405" i="40"/>
  <c r="A406" i="40"/>
  <c r="A407" i="40"/>
  <c r="A408" i="40"/>
  <c r="A409" i="40"/>
  <c r="A410" i="40"/>
  <c r="A411" i="40"/>
  <c r="A412" i="40"/>
  <c r="A413" i="40"/>
  <c r="A414" i="40"/>
  <c r="A415" i="40"/>
  <c r="A416" i="40"/>
  <c r="A417" i="40"/>
  <c r="A418" i="40"/>
  <c r="A419" i="40"/>
  <c r="A420" i="40"/>
  <c r="A421" i="40"/>
  <c r="A422" i="40"/>
  <c r="A423" i="40"/>
  <c r="A424" i="40"/>
  <c r="A425" i="40"/>
  <c r="A426" i="40"/>
  <c r="A427" i="40"/>
  <c r="A428" i="40"/>
  <c r="A429" i="40"/>
  <c r="A430" i="40"/>
  <c r="A431" i="40"/>
  <c r="A432" i="40"/>
  <c r="A433" i="40"/>
  <c r="A434" i="40"/>
  <c r="A435" i="40"/>
  <c r="A436" i="40"/>
  <c r="A437" i="40"/>
  <c r="D7" i="38"/>
  <c r="D150" i="38" s="1"/>
  <c r="E10" i="37"/>
  <c r="C73" i="41"/>
  <c r="C71" i="41"/>
  <c r="A30" i="41"/>
  <c r="A30" i="43" s="1"/>
  <c r="C14" i="41"/>
  <c r="A14" i="41"/>
  <c r="A14" i="43" s="1"/>
  <c r="A2" i="40"/>
  <c r="A857" i="7"/>
  <c r="B848" i="7"/>
  <c r="B847" i="7"/>
  <c r="B846" i="7"/>
  <c r="B845" i="7"/>
  <c r="B844" i="7"/>
  <c r="J684" i="7" s="1"/>
  <c r="B684" i="7" s="1"/>
  <c r="C46" i="17" s="1"/>
  <c r="K214" i="36" s="1"/>
  <c r="D46" i="17" s="1"/>
  <c r="A844" i="7"/>
  <c r="A858" i="7" s="1"/>
  <c r="B843" i="7"/>
  <c r="B842" i="7"/>
  <c r="B841" i="7"/>
  <c r="B840" i="7"/>
  <c r="B839" i="7"/>
  <c r="B838" i="7"/>
  <c r="B834" i="7"/>
  <c r="B833" i="7"/>
  <c r="B832" i="7"/>
  <c r="B831" i="7"/>
  <c r="B830" i="7"/>
  <c r="A830" i="7"/>
  <c r="B829" i="7"/>
  <c r="B828" i="7"/>
  <c r="B827" i="7"/>
  <c r="B826" i="7"/>
  <c r="B825" i="7"/>
  <c r="B824" i="7"/>
  <c r="A809" i="7"/>
  <c r="A823" i="7" s="1"/>
  <c r="A837" i="7" s="1"/>
  <c r="A851" i="7" s="1"/>
  <c r="A865" i="7" s="1"/>
  <c r="A790" i="7"/>
  <c r="A804" i="7" s="1"/>
  <c r="A818" i="7" s="1"/>
  <c r="A832" i="7" s="1"/>
  <c r="A846" i="7" s="1"/>
  <c r="A860" i="7" s="1"/>
  <c r="A773" i="7"/>
  <c r="A787" i="7" s="1"/>
  <c r="A801" i="7" s="1"/>
  <c r="A815" i="7" s="1"/>
  <c r="A829" i="7" s="1"/>
  <c r="A843" i="7" s="1"/>
  <c r="A771" i="7"/>
  <c r="A785" i="7" s="1"/>
  <c r="A799" i="7" s="1"/>
  <c r="A813" i="7" s="1"/>
  <c r="A827" i="7" s="1"/>
  <c r="A841" i="7" s="1"/>
  <c r="A855" i="7" s="1"/>
  <c r="A753" i="7"/>
  <c r="A767" i="7" s="1"/>
  <c r="A781" i="7" s="1"/>
  <c r="A795" i="7" s="1"/>
  <c r="A748" i="7"/>
  <c r="A762" i="7" s="1"/>
  <c r="A776" i="7" s="1"/>
  <c r="A746" i="7"/>
  <c r="A760" i="7" s="1"/>
  <c r="A774" i="7" s="1"/>
  <c r="A788" i="7" s="1"/>
  <c r="A802" i="7" s="1"/>
  <c r="A816" i="7" s="1"/>
  <c r="A745" i="7"/>
  <c r="A759" i="7" s="1"/>
  <c r="A743" i="7"/>
  <c r="A757" i="7" s="1"/>
  <c r="A736" i="7"/>
  <c r="A750" i="7" s="1"/>
  <c r="A764" i="7" s="1"/>
  <c r="A778" i="7" s="1"/>
  <c r="A792" i="7" s="1"/>
  <c r="A806" i="7" s="1"/>
  <c r="A820" i="7" s="1"/>
  <c r="A834" i="7" s="1"/>
  <c r="A848" i="7" s="1"/>
  <c r="A862" i="7" s="1"/>
  <c r="A735" i="7"/>
  <c r="A749" i="7" s="1"/>
  <c r="A763" i="7" s="1"/>
  <c r="A777" i="7" s="1"/>
  <c r="A791" i="7" s="1"/>
  <c r="A805" i="7" s="1"/>
  <c r="A819" i="7" s="1"/>
  <c r="A833" i="7" s="1"/>
  <c r="A847" i="7" s="1"/>
  <c r="A861" i="7" s="1"/>
  <c r="A734" i="7"/>
  <c r="A733" i="7"/>
  <c r="A747" i="7" s="1"/>
  <c r="A761" i="7" s="1"/>
  <c r="A775" i="7" s="1"/>
  <c r="A789" i="7" s="1"/>
  <c r="A803" i="7" s="1"/>
  <c r="A817" i="7" s="1"/>
  <c r="A831" i="7" s="1"/>
  <c r="A845" i="7" s="1"/>
  <c r="A859" i="7" s="1"/>
  <c r="A732" i="7"/>
  <c r="A731" i="7"/>
  <c r="A730" i="7"/>
  <c r="A744" i="7" s="1"/>
  <c r="A758" i="7" s="1"/>
  <c r="A772" i="7" s="1"/>
  <c r="A786" i="7" s="1"/>
  <c r="A800" i="7" s="1"/>
  <c r="A814" i="7" s="1"/>
  <c r="A828" i="7" s="1"/>
  <c r="A842" i="7" s="1"/>
  <c r="A856" i="7" s="1"/>
  <c r="A729" i="7"/>
  <c r="A728" i="7"/>
  <c r="A742" i="7" s="1"/>
  <c r="A756" i="7" s="1"/>
  <c r="A770" i="7" s="1"/>
  <c r="A784" i="7" s="1"/>
  <c r="A798" i="7" s="1"/>
  <c r="A812" i="7" s="1"/>
  <c r="A826" i="7" s="1"/>
  <c r="A840" i="7" s="1"/>
  <c r="A854" i="7" s="1"/>
  <c r="A727" i="7"/>
  <c r="A741" i="7" s="1"/>
  <c r="A755" i="7" s="1"/>
  <c r="A769" i="7" s="1"/>
  <c r="A783" i="7" s="1"/>
  <c r="A797" i="7" s="1"/>
  <c r="A811" i="7" s="1"/>
  <c r="A825" i="7" s="1"/>
  <c r="A839" i="7" s="1"/>
  <c r="A853" i="7" s="1"/>
  <c r="A726" i="7"/>
  <c r="A740" i="7" s="1"/>
  <c r="A754" i="7" s="1"/>
  <c r="A768" i="7" s="1"/>
  <c r="A782" i="7" s="1"/>
  <c r="A796" i="7" s="1"/>
  <c r="A810" i="7" s="1"/>
  <c r="A824" i="7" s="1"/>
  <c r="A838" i="7" s="1"/>
  <c r="A852" i="7" s="1"/>
  <c r="A725" i="7"/>
  <c r="A739" i="7" s="1"/>
  <c r="B722" i="7"/>
  <c r="B721" i="7"/>
  <c r="B720" i="7"/>
  <c r="B719" i="7"/>
  <c r="D690" i="7"/>
  <c r="C690" i="7"/>
  <c r="B690" i="7" s="1"/>
  <c r="C45" i="17" s="1"/>
  <c r="K213" i="36" s="1"/>
  <c r="D45" i="17" s="1"/>
  <c r="I679" i="7"/>
  <c r="H679" i="7"/>
  <c r="B610" i="7"/>
  <c r="H578" i="7"/>
  <c r="G578" i="7"/>
  <c r="E578" i="7"/>
  <c r="D578" i="7"/>
  <c r="C578" i="7"/>
  <c r="H577" i="7"/>
  <c r="G577" i="7"/>
  <c r="E577" i="7"/>
  <c r="D577" i="7"/>
  <c r="C577" i="7"/>
  <c r="H572" i="7"/>
  <c r="G572" i="7"/>
  <c r="F572" i="7"/>
  <c r="E572" i="7"/>
  <c r="C572" i="7"/>
  <c r="B569" i="7"/>
  <c r="Q563" i="7"/>
  <c r="P563" i="7"/>
  <c r="O563" i="7"/>
  <c r="M563" i="7"/>
  <c r="L563" i="7"/>
  <c r="I563" i="7"/>
  <c r="G563" i="7"/>
  <c r="E563" i="7"/>
  <c r="D563" i="7"/>
  <c r="C563" i="7"/>
  <c r="A554" i="7"/>
  <c r="E86" i="5" s="1"/>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E297" i="7"/>
  <c r="C297" i="7"/>
  <c r="D297" i="7" s="1"/>
  <c r="E296" i="7"/>
  <c r="C296" i="7"/>
  <c r="D296" i="7" s="1"/>
  <c r="C295" i="7"/>
  <c r="E295" i="7" s="1"/>
  <c r="C294" i="7"/>
  <c r="H293" i="7"/>
  <c r="D293" i="7"/>
  <c r="E293" i="7" s="1"/>
  <c r="C293" i="7"/>
  <c r="C292" i="7"/>
  <c r="D292" i="7" s="1"/>
  <c r="E292" i="7" s="1"/>
  <c r="F290" i="7"/>
  <c r="F306" i="7" s="1"/>
  <c r="A326" i="7" s="1"/>
  <c r="A276" i="7"/>
  <c r="A291" i="7" s="1"/>
  <c r="A307" i="7" s="1"/>
  <c r="M275" i="7"/>
  <c r="L275" i="7"/>
  <c r="F275" i="7"/>
  <c r="E275" i="7"/>
  <c r="A261" i="7"/>
  <c r="H261" i="7" s="1"/>
  <c r="M260" i="7"/>
  <c r="F260" i="7"/>
  <c r="A246" i="7"/>
  <c r="H246" i="7" s="1"/>
  <c r="M245" i="7"/>
  <c r="F245" i="7"/>
  <c r="D241" i="7"/>
  <c r="B240" i="7"/>
  <c r="A231" i="7"/>
  <c r="H231" i="7" s="1"/>
  <c r="A216" i="7"/>
  <c r="H216" i="7" s="1"/>
  <c r="M215" i="7"/>
  <c r="L215" i="7"/>
  <c r="G215" i="7"/>
  <c r="G230" i="7" s="1"/>
  <c r="G245" i="7" s="1"/>
  <c r="G260" i="7" s="1"/>
  <c r="G275" i="7" s="1"/>
  <c r="F215" i="7"/>
  <c r="E215" i="7"/>
  <c r="A201" i="7"/>
  <c r="H201" i="7" s="1"/>
  <c r="M200" i="7"/>
  <c r="F200" i="7"/>
  <c r="A186" i="7"/>
  <c r="H186" i="7" s="1"/>
  <c r="N185" i="7"/>
  <c r="N200" i="7" s="1"/>
  <c r="N215" i="7" s="1"/>
  <c r="N230" i="7" s="1"/>
  <c r="N245" i="7" s="1"/>
  <c r="N260" i="7" s="1"/>
  <c r="N275" i="7" s="1"/>
  <c r="M185" i="7"/>
  <c r="F185" i="7"/>
  <c r="D181" i="7"/>
  <c r="B180" i="7"/>
  <c r="A171" i="7"/>
  <c r="H171" i="7" s="1"/>
  <c r="N170" i="7"/>
  <c r="G170" i="7"/>
  <c r="G185" i="7" s="1"/>
  <c r="G200" i="7" s="1"/>
  <c r="I167" i="7"/>
  <c r="G167" i="7"/>
  <c r="G166" i="7"/>
  <c r="I166" i="7" s="1"/>
  <c r="G165" i="7"/>
  <c r="I165" i="7" s="1"/>
  <c r="I164" i="7"/>
  <c r="G164" i="7"/>
  <c r="I163" i="7"/>
  <c r="G163" i="7"/>
  <c r="G162" i="7"/>
  <c r="I162" i="7" s="1"/>
  <c r="G161" i="7"/>
  <c r="I161" i="7" s="1"/>
  <c r="G160" i="7"/>
  <c r="I160" i="7" s="1"/>
  <c r="I159" i="7"/>
  <c r="G159" i="7"/>
  <c r="G158" i="7"/>
  <c r="I158" i="7" s="1"/>
  <c r="B157" i="7"/>
  <c r="G157" i="7" s="1"/>
  <c r="I157" i="7" s="1"/>
  <c r="F136" i="7"/>
  <c r="F137" i="7" s="1"/>
  <c r="F135" i="7"/>
  <c r="F134" i="7"/>
  <c r="F133" i="7"/>
  <c r="F132" i="7"/>
  <c r="F131" i="7"/>
  <c r="F130" i="7"/>
  <c r="F129" i="7"/>
  <c r="F128" i="7"/>
  <c r="F127" i="7"/>
  <c r="D125" i="7"/>
  <c r="A107" i="7"/>
  <c r="F103" i="7"/>
  <c r="E103" i="7"/>
  <c r="D103" i="7"/>
  <c r="C103" i="7"/>
  <c r="B103" i="7"/>
  <c r="F102" i="7"/>
  <c r="E102" i="7"/>
  <c r="D102" i="7"/>
  <c r="C102" i="7"/>
  <c r="B102" i="7"/>
  <c r="E100" i="7"/>
  <c r="D100" i="7"/>
  <c r="F99" i="7"/>
  <c r="F100" i="7" s="1"/>
  <c r="E99" i="7"/>
  <c r="D99" i="7"/>
  <c r="C99" i="7"/>
  <c r="C100" i="7" s="1"/>
  <c r="B99" i="7"/>
  <c r="B100" i="7" s="1"/>
  <c r="C97" i="7"/>
  <c r="D97" i="7" s="1"/>
  <c r="E97" i="7" s="1"/>
  <c r="F97" i="7" s="1"/>
  <c r="B97" i="7"/>
  <c r="C96" i="7"/>
  <c r="D96" i="7" s="1"/>
  <c r="E96" i="7" s="1"/>
  <c r="F96" i="7" s="1"/>
  <c r="D95" i="7"/>
  <c r="E95" i="7" s="1"/>
  <c r="F95" i="7" s="1"/>
  <c r="C94" i="7"/>
  <c r="D94" i="7" s="1"/>
  <c r="E94" i="7" s="1"/>
  <c r="C93" i="7"/>
  <c r="D93" i="7" s="1"/>
  <c r="E93" i="7" s="1"/>
  <c r="F93" i="7" s="1"/>
  <c r="C92" i="7"/>
  <c r="D92" i="7" s="1"/>
  <c r="E92" i="7" s="1"/>
  <c r="F92" i="7" s="1"/>
  <c r="F91" i="7"/>
  <c r="E91" i="7"/>
  <c r="D91" i="7"/>
  <c r="D90" i="7"/>
  <c r="E90" i="7" s="1"/>
  <c r="C90" i="7"/>
  <c r="C89" i="7"/>
  <c r="D89" i="7" s="1"/>
  <c r="E89" i="7" s="1"/>
  <c r="F89" i="7" s="1"/>
  <c r="B83" i="7"/>
  <c r="A60" i="7"/>
  <c r="H60" i="7" s="1"/>
  <c r="M59" i="7"/>
  <c r="L59" i="7"/>
  <c r="F59" i="7"/>
  <c r="E59" i="7"/>
  <c r="A45" i="7"/>
  <c r="M44" i="7"/>
  <c r="G44" i="7"/>
  <c r="G59" i="7" s="1"/>
  <c r="F44" i="7"/>
  <c r="A30" i="7"/>
  <c r="H30" i="7" s="1"/>
  <c r="N29" i="7"/>
  <c r="N44" i="7" s="1"/>
  <c r="N59" i="7" s="1"/>
  <c r="M29" i="7"/>
  <c r="G29" i="7"/>
  <c r="F29" i="7"/>
  <c r="A15" i="7"/>
  <c r="H15" i="7" s="1"/>
  <c r="N14" i="7"/>
  <c r="G14" i="7"/>
  <c r="F11" i="7"/>
  <c r="E11" i="7"/>
  <c r="D11" i="7"/>
  <c r="G10" i="7"/>
  <c r="G11" i="7" s="1"/>
  <c r="F10" i="7"/>
  <c r="G9" i="7"/>
  <c r="F9" i="7"/>
  <c r="A69" i="3"/>
  <c r="A68" i="3"/>
  <c r="D57" i="3"/>
  <c r="D56" i="3"/>
  <c r="D55" i="3"/>
  <c r="D54" i="3"/>
  <c r="D53" i="3"/>
  <c r="D52" i="3"/>
  <c r="C11" i="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6" i="26"/>
  <c r="K76" i="26"/>
  <c r="J76" i="26"/>
  <c r="I76" i="26"/>
  <c r="N97" i="26" s="1"/>
  <c r="L75" i="26"/>
  <c r="K75" i="26"/>
  <c r="I75" i="26"/>
  <c r="E73" i="26"/>
  <c r="L73" i="26" s="1"/>
  <c r="L71" i="26"/>
  <c r="K71" i="26"/>
  <c r="J71" i="26"/>
  <c r="I71" i="26"/>
  <c r="E70" i="26"/>
  <c r="K70" i="26" s="1"/>
  <c r="E69" i="26"/>
  <c r="L69" i="26" s="1"/>
  <c r="E68" i="26"/>
  <c r="L68" i="26" s="1"/>
  <c r="F28" i="26"/>
  <c r="I23" i="26"/>
  <c r="F22" i="26"/>
  <c r="C13" i="26"/>
  <c r="O9" i="26"/>
  <c r="C9" i="26"/>
  <c r="O8" i="26"/>
  <c r="C7" i="26"/>
  <c r="J28" i="28"/>
  <c r="F28" i="28"/>
  <c r="J22" i="28"/>
  <c r="F22" i="28"/>
  <c r="C13" i="28"/>
  <c r="O9" i="28"/>
  <c r="C9" i="28"/>
  <c r="O8" i="28"/>
  <c r="C7" i="28"/>
  <c r="L200" i="38"/>
  <c r="K200" i="38"/>
  <c r="L199" i="38"/>
  <c r="K199" i="38"/>
  <c r="L198" i="38"/>
  <c r="K198" i="38"/>
  <c r="K194" i="38"/>
  <c r="K209" i="38" s="1"/>
  <c r="L193" i="38"/>
  <c r="K193" i="38"/>
  <c r="L192" i="38"/>
  <c r="K192" i="38"/>
  <c r="L191" i="38"/>
  <c r="L194" i="38" s="1"/>
  <c r="L209" i="38" s="1"/>
  <c r="K191" i="38"/>
  <c r="L186" i="38"/>
  <c r="K186" i="38"/>
  <c r="L185" i="38"/>
  <c r="K185" i="38"/>
  <c r="L184" i="38"/>
  <c r="L187" i="38"/>
  <c r="L208" i="38" s="1"/>
  <c r="K184" i="38"/>
  <c r="L179" i="38"/>
  <c r="K179" i="38"/>
  <c r="L178" i="38"/>
  <c r="L180" i="38" s="1"/>
  <c r="L207" i="38" s="1"/>
  <c r="K178" i="38"/>
  <c r="L177" i="38"/>
  <c r="K177" i="38"/>
  <c r="L176" i="38"/>
  <c r="K176" i="38"/>
  <c r="H23" i="38"/>
  <c r="H21" i="38"/>
  <c r="T3" i="38"/>
  <c r="H69" i="17"/>
  <c r="G69" i="17"/>
  <c r="B69" i="17"/>
  <c r="D69" i="17" s="1"/>
  <c r="I246" i="36" s="1"/>
  <c r="E69" i="17" s="1"/>
  <c r="H68" i="17"/>
  <c r="G68" i="17"/>
  <c r="B68" i="17"/>
  <c r="D68" i="17"/>
  <c r="I245" i="36" s="1"/>
  <c r="E68" i="17" s="1"/>
  <c r="H67" i="17"/>
  <c r="G67" i="17"/>
  <c r="B67" i="17"/>
  <c r="D67" i="17" s="1"/>
  <c r="I244" i="36" s="1"/>
  <c r="E67" i="17" s="1"/>
  <c r="H66" i="17"/>
  <c r="G66" i="17"/>
  <c r="B66" i="17"/>
  <c r="D66" i="17" s="1"/>
  <c r="I243" i="36" s="1"/>
  <c r="E66" i="17" s="1"/>
  <c r="H65" i="17"/>
  <c r="G65" i="17"/>
  <c r="H64" i="17"/>
  <c r="G64" i="17"/>
  <c r="B64" i="17"/>
  <c r="D64" i="17" s="1"/>
  <c r="I241" i="36" s="1"/>
  <c r="E64" i="17" s="1"/>
  <c r="H63" i="17"/>
  <c r="G63" i="17"/>
  <c r="E56" i="17"/>
  <c r="F54" i="17"/>
  <c r="F56" i="17" s="1"/>
  <c r="E54" i="17"/>
  <c r="F53" i="17"/>
  <c r="F55" i="17" s="1"/>
  <c r="E53" i="17"/>
  <c r="J46" i="17"/>
  <c r="I46" i="17"/>
  <c r="H46" i="17"/>
  <c r="G46" i="17"/>
  <c r="F46" i="17"/>
  <c r="J45" i="17"/>
  <c r="I45" i="17"/>
  <c r="H45" i="17"/>
  <c r="G45" i="17"/>
  <c r="Q45" i="17" s="1"/>
  <c r="F45" i="17"/>
  <c r="J43" i="17"/>
  <c r="I43" i="17"/>
  <c r="H43" i="17"/>
  <c r="G43" i="17"/>
  <c r="F43" i="17"/>
  <c r="D43" i="17"/>
  <c r="J42" i="17"/>
  <c r="R42" i="17" s="1"/>
  <c r="I42" i="17"/>
  <c r="H42" i="17"/>
  <c r="G42" i="17"/>
  <c r="F42" i="17"/>
  <c r="D42" i="17"/>
  <c r="J41" i="17"/>
  <c r="I41" i="17"/>
  <c r="H41" i="17"/>
  <c r="G41" i="17"/>
  <c r="F41" i="17"/>
  <c r="C41" i="17"/>
  <c r="J40" i="17"/>
  <c r="I40" i="17"/>
  <c r="R40" i="17" s="1"/>
  <c r="H40" i="17"/>
  <c r="G40" i="17"/>
  <c r="F40" i="17"/>
  <c r="Q40" i="17" s="1"/>
  <c r="C40" i="17"/>
  <c r="J39" i="17"/>
  <c r="I39" i="17"/>
  <c r="H39" i="17"/>
  <c r="G39" i="17"/>
  <c r="F39" i="17"/>
  <c r="J38" i="17"/>
  <c r="I38" i="17"/>
  <c r="H38" i="17"/>
  <c r="G38" i="17"/>
  <c r="F38" i="17"/>
  <c r="J37" i="17"/>
  <c r="I37" i="17"/>
  <c r="H37" i="17"/>
  <c r="G37" i="17"/>
  <c r="F37" i="17"/>
  <c r="F22" i="17"/>
  <c r="E22" i="17"/>
  <c r="D22" i="17"/>
  <c r="C22" i="17"/>
  <c r="B22" i="17"/>
  <c r="K11" i="17"/>
  <c r="F11" i="17"/>
  <c r="D10" i="17"/>
  <c r="E11" i="17" s="1"/>
  <c r="K201" i="36" s="1"/>
  <c r="G11" i="17" s="1"/>
  <c r="F15" i="17" s="1"/>
  <c r="K49" i="16"/>
  <c r="J49" i="16"/>
  <c r="H49" i="16"/>
  <c r="G49" i="16"/>
  <c r="F49" i="16"/>
  <c r="C49" i="16"/>
  <c r="K48" i="16"/>
  <c r="J48" i="16"/>
  <c r="O48" i="16" s="1"/>
  <c r="H48" i="16"/>
  <c r="G48" i="16"/>
  <c r="F48" i="16"/>
  <c r="C48" i="16"/>
  <c r="K47" i="16"/>
  <c r="J47" i="16"/>
  <c r="H47" i="16"/>
  <c r="G47" i="16"/>
  <c r="N47" i="16" s="1"/>
  <c r="C47" i="16"/>
  <c r="C46" i="16"/>
  <c r="C45" i="16"/>
  <c r="W134" i="36" s="1"/>
  <c r="D45" i="16" s="1"/>
  <c r="C44" i="16"/>
  <c r="K43" i="16"/>
  <c r="J43" i="16"/>
  <c r="H43" i="16"/>
  <c r="G43" i="16"/>
  <c r="N43" i="16" s="1"/>
  <c r="F43" i="16"/>
  <c r="C43" i="16"/>
  <c r="K42" i="16"/>
  <c r="J42" i="16"/>
  <c r="H42" i="16"/>
  <c r="G42" i="16"/>
  <c r="F42" i="16"/>
  <c r="C42" i="16"/>
  <c r="W142" i="36" s="1"/>
  <c r="D42" i="16" s="1"/>
  <c r="N42" i="16" s="1"/>
  <c r="B41" i="16"/>
  <c r="B40" i="16"/>
  <c r="C39" i="16"/>
  <c r="W137" i="36" s="1"/>
  <c r="D39" i="16" s="1"/>
  <c r="B39" i="16"/>
  <c r="K32" i="16"/>
  <c r="J32" i="16"/>
  <c r="H32" i="16"/>
  <c r="G32" i="16"/>
  <c r="N32" i="16" s="1"/>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c r="G13" i="16"/>
  <c r="G45" i="16"/>
  <c r="F13" i="16"/>
  <c r="F45" i="16" s="1"/>
  <c r="M45" i="16" s="1"/>
  <c r="K12" i="16"/>
  <c r="K44" i="16" s="1"/>
  <c r="H12" i="16"/>
  <c r="H44" i="16"/>
  <c r="D246" i="36"/>
  <c r="D245" i="36"/>
  <c r="D244" i="36"/>
  <c r="D243" i="36"/>
  <c r="D242" i="36"/>
  <c r="D241" i="36"/>
  <c r="D240" i="36"/>
  <c r="K209" i="36"/>
  <c r="D41" i="17" s="1"/>
  <c r="K208" i="36"/>
  <c r="D40" i="17" s="1"/>
  <c r="W147" i="36"/>
  <c r="D49" i="16" s="1"/>
  <c r="W146" i="36"/>
  <c r="D48" i="16" s="1"/>
  <c r="W145" i="36"/>
  <c r="D47" i="16" s="1"/>
  <c r="M47" i="16" s="1"/>
  <c r="W143" i="36"/>
  <c r="D43" i="16" s="1"/>
  <c r="P141" i="36"/>
  <c r="D32" i="16" s="1"/>
  <c r="P140" i="36"/>
  <c r="D31" i="16" s="1"/>
  <c r="P139" i="36"/>
  <c r="D30" i="16" s="1"/>
  <c r="P138" i="36"/>
  <c r="D29" i="16"/>
  <c r="P137" i="36"/>
  <c r="D28" i="16" s="1"/>
  <c r="I137" i="36"/>
  <c r="D21" i="16"/>
  <c r="W135" i="36"/>
  <c r="D46" i="16" s="1"/>
  <c r="O46" i="16" s="1"/>
  <c r="I135" i="36"/>
  <c r="D14" i="16" s="1"/>
  <c r="N14" i="16" s="1"/>
  <c r="I134" i="36"/>
  <c r="D13" i="16" s="1"/>
  <c r="W133" i="36"/>
  <c r="D44" i="16" s="1"/>
  <c r="I133" i="36"/>
  <c r="D12" i="16" s="1"/>
  <c r="V16" i="36"/>
  <c r="T16" i="36"/>
  <c r="X15" i="36"/>
  <c r="Y15" i="36" s="1"/>
  <c r="W15" i="36"/>
  <c r="U23" i="29"/>
  <c r="J23" i="29"/>
  <c r="J40" i="29" s="1"/>
  <c r="H23" i="29"/>
  <c r="H40" i="29"/>
  <c r="G23" i="29"/>
  <c r="U22" i="29"/>
  <c r="J22" i="29"/>
  <c r="J39" i="29"/>
  <c r="I22" i="29"/>
  <c r="I39" i="29" s="1"/>
  <c r="N39" i="29" s="1"/>
  <c r="H22" i="29"/>
  <c r="H39" i="29"/>
  <c r="G22" i="29"/>
  <c r="G39" i="29" s="1"/>
  <c r="U15" i="29"/>
  <c r="J15" i="29"/>
  <c r="I15" i="29"/>
  <c r="H15" i="29"/>
  <c r="G15" i="29"/>
  <c r="F15" i="29"/>
  <c r="U14" i="29"/>
  <c r="J14" i="29"/>
  <c r="I14" i="29"/>
  <c r="H14" i="29"/>
  <c r="G14" i="29"/>
  <c r="F14" i="29"/>
  <c r="U13" i="29"/>
  <c r="J13" i="29"/>
  <c r="I13" i="29"/>
  <c r="H13" i="29"/>
  <c r="G13" i="29"/>
  <c r="F13" i="29"/>
  <c r="U12" i="29"/>
  <c r="J12" i="29"/>
  <c r="H12" i="29"/>
  <c r="F52" i="27"/>
  <c r="D52" i="27"/>
  <c r="B52" i="27"/>
  <c r="F51" i="27"/>
  <c r="D51" i="27"/>
  <c r="B51" i="27"/>
  <c r="F50" i="27"/>
  <c r="AU49" i="27" s="1"/>
  <c r="D50" i="27"/>
  <c r="B50" i="27"/>
  <c r="F49" i="27"/>
  <c r="D49" i="27"/>
  <c r="B49" i="27"/>
  <c r="G48" i="27"/>
  <c r="E48" i="27"/>
  <c r="C48" i="27"/>
  <c r="B48" i="27"/>
  <c r="G47" i="27"/>
  <c r="E47" i="27"/>
  <c r="C47" i="27"/>
  <c r="D47" i="27" s="1"/>
  <c r="AT46" i="27" s="1"/>
  <c r="B47" i="27"/>
  <c r="G46" i="27"/>
  <c r="E46" i="27"/>
  <c r="C46" i="27"/>
  <c r="B46" i="27"/>
  <c r="G45" i="27"/>
  <c r="E45" i="27"/>
  <c r="C45" i="27"/>
  <c r="D45" i="27" s="1"/>
  <c r="B45" i="27"/>
  <c r="G44" i="27"/>
  <c r="E44" i="27"/>
  <c r="B44" i="27"/>
  <c r="G43" i="27"/>
  <c r="E43" i="27"/>
  <c r="C43" i="27"/>
  <c r="F43" i="27" s="1"/>
  <c r="B43" i="27"/>
  <c r="M36" i="27"/>
  <c r="H36" i="27"/>
  <c r="F36" i="27"/>
  <c r="C36" i="27"/>
  <c r="M35" i="27"/>
  <c r="H35" i="27"/>
  <c r="AT50" i="27" s="1"/>
  <c r="F35" i="27"/>
  <c r="T35" i="27" s="1"/>
  <c r="C35" i="27"/>
  <c r="AI34" i="27"/>
  <c r="M34" i="27"/>
  <c r="H34" i="27"/>
  <c r="F34" i="27"/>
  <c r="C34" i="27"/>
  <c r="AI33" i="27"/>
  <c r="M33" i="27"/>
  <c r="H33" i="27"/>
  <c r="F33" i="27"/>
  <c r="AS48" i="27" s="1"/>
  <c r="C33" i="27"/>
  <c r="AI32" i="27"/>
  <c r="P32" i="27"/>
  <c r="O32" i="27"/>
  <c r="N32" i="27"/>
  <c r="L32" i="27"/>
  <c r="M32" i="27" s="1"/>
  <c r="K32" i="27"/>
  <c r="J32" i="27"/>
  <c r="I32" i="27"/>
  <c r="G32" i="27"/>
  <c r="H32" i="27" s="1"/>
  <c r="E32" i="27"/>
  <c r="F32" i="27" s="1"/>
  <c r="C32" i="27"/>
  <c r="P31" i="27"/>
  <c r="O31" i="27"/>
  <c r="N31" i="27"/>
  <c r="L31" i="27"/>
  <c r="M31" i="27" s="1"/>
  <c r="K31" i="27"/>
  <c r="J31" i="27"/>
  <c r="I31" i="27"/>
  <c r="G31" i="27"/>
  <c r="H31" i="27" s="1"/>
  <c r="E31" i="27"/>
  <c r="F31" i="27"/>
  <c r="C31" i="27"/>
  <c r="P30" i="27"/>
  <c r="O30" i="27"/>
  <c r="N30" i="27"/>
  <c r="L30" i="27"/>
  <c r="M30" i="27" s="1"/>
  <c r="K30" i="27"/>
  <c r="J30" i="27"/>
  <c r="I30" i="27"/>
  <c r="G30" i="27"/>
  <c r="H30" i="27" s="1"/>
  <c r="E30" i="27"/>
  <c r="F30" i="27" s="1"/>
  <c r="AS45" i="27" s="1"/>
  <c r="C30" i="27"/>
  <c r="P29" i="27"/>
  <c r="O29" i="27"/>
  <c r="N29" i="27"/>
  <c r="L29" i="27"/>
  <c r="M29" i="27" s="1"/>
  <c r="K29" i="27"/>
  <c r="J29" i="27"/>
  <c r="I29" i="27"/>
  <c r="E29" i="27"/>
  <c r="F29" i="27"/>
  <c r="C29" i="27"/>
  <c r="P27" i="27"/>
  <c r="O27" i="27"/>
  <c r="N27" i="27"/>
  <c r="K27" i="27"/>
  <c r="J27" i="27"/>
  <c r="I27" i="27"/>
  <c r="G27" i="27"/>
  <c r="H27" i="27" s="1"/>
  <c r="E27" i="27"/>
  <c r="F27" i="27" s="1"/>
  <c r="C27" i="27"/>
  <c r="M22" i="27"/>
  <c r="T22" i="27" s="1"/>
  <c r="R36" i="27" s="1"/>
  <c r="J22" i="27"/>
  <c r="M21" i="27"/>
  <c r="T21" i="27" s="1"/>
  <c r="J21" i="27"/>
  <c r="T20" i="27"/>
  <c r="S34" i="27" s="1"/>
  <c r="M20" i="27"/>
  <c r="J20" i="27"/>
  <c r="M19" i="27"/>
  <c r="J19" i="27"/>
  <c r="T19" i="27" s="1"/>
  <c r="Q33" i="27" s="1"/>
  <c r="H49" i="27" s="1"/>
  <c r="L210" i="37"/>
  <c r="D39" i="29"/>
  <c r="W18" i="37"/>
  <c r="U18" i="37"/>
  <c r="W17" i="37"/>
  <c r="U17" i="37"/>
  <c r="W16" i="37"/>
  <c r="U16" i="37"/>
  <c r="W15" i="37"/>
  <c r="U15" i="37"/>
  <c r="W14" i="37"/>
  <c r="U14" i="37"/>
  <c r="W13" i="37"/>
  <c r="U13" i="37"/>
  <c r="C20" i="39"/>
  <c r="G7" i="39"/>
  <c r="G20" i="39" s="1"/>
  <c r="B7" i="39"/>
  <c r="A7" i="40" s="1"/>
  <c r="J98" i="5"/>
  <c r="G98" i="5"/>
  <c r="F98" i="5"/>
  <c r="J97" i="5"/>
  <c r="G97" i="5"/>
  <c r="F97" i="5"/>
  <c r="J96" i="5"/>
  <c r="G96" i="5"/>
  <c r="F96" i="5"/>
  <c r="J94" i="5"/>
  <c r="G94" i="5"/>
  <c r="F94" i="5"/>
  <c r="K93" i="5"/>
  <c r="J93" i="5"/>
  <c r="G93" i="5"/>
  <c r="F93" i="5"/>
  <c r="K92" i="5"/>
  <c r="K95" i="5" s="1"/>
  <c r="H92" i="5"/>
  <c r="H95" i="5" s="1"/>
  <c r="G92" i="5"/>
  <c r="F92" i="5"/>
  <c r="J90" i="5"/>
  <c r="G90" i="5"/>
  <c r="F90" i="5"/>
  <c r="J89" i="5"/>
  <c r="G89" i="5"/>
  <c r="F89" i="5"/>
  <c r="J88" i="5"/>
  <c r="G88" i="5"/>
  <c r="F88" i="5"/>
  <c r="J86" i="5"/>
  <c r="G86" i="5"/>
  <c r="F86" i="5"/>
  <c r="J85" i="5"/>
  <c r="G85" i="5"/>
  <c r="F85" i="5"/>
  <c r="G84" i="5"/>
  <c r="F84" i="5"/>
  <c r="H73" i="5"/>
  <c r="C60" i="5"/>
  <c r="C62" i="5" s="1"/>
  <c r="C64" i="5" s="1"/>
  <c r="C66" i="5" s="1"/>
  <c r="C68" i="5" s="1"/>
  <c r="C59" i="5"/>
  <c r="C61" i="5" s="1"/>
  <c r="C63" i="5" s="1"/>
  <c r="C65" i="5" s="1"/>
  <c r="C67" i="5" s="1"/>
  <c r="K50" i="5"/>
  <c r="K73" i="5" s="1"/>
  <c r="J50" i="5"/>
  <c r="H50" i="5"/>
  <c r="B50" i="5"/>
  <c r="B73" i="5" s="1"/>
  <c r="K49" i="5"/>
  <c r="K72" i="5" s="1"/>
  <c r="J49" i="5"/>
  <c r="H49" i="5"/>
  <c r="H72" i="5" s="1"/>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K68"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K59" i="5" s="1"/>
  <c r="J14" i="5"/>
  <c r="H14" i="5"/>
  <c r="H42" i="5" s="1"/>
  <c r="H59" i="5" s="1"/>
  <c r="F14" i="5"/>
  <c r="F42" i="5" s="1"/>
  <c r="X13" i="5"/>
  <c r="W13" i="5"/>
  <c r="V13" i="5"/>
  <c r="K13" i="5"/>
  <c r="K41" i="5" s="1"/>
  <c r="K58" i="5" s="1"/>
  <c r="J13" i="5"/>
  <c r="J41" i="5" s="1"/>
  <c r="H13" i="5"/>
  <c r="H41" i="5" s="1"/>
  <c r="H58" i="5" s="1"/>
  <c r="G13" i="5"/>
  <c r="G41" i="5" s="1"/>
  <c r="F13" i="5"/>
  <c r="B76" i="5" s="1"/>
  <c r="X12" i="5"/>
  <c r="W12" i="5"/>
  <c r="V12" i="5"/>
  <c r="K12" i="5"/>
  <c r="K84" i="5" s="1"/>
  <c r="H12" i="5"/>
  <c r="H40" i="5" s="1"/>
  <c r="H57"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CB24" i="22"/>
  <c r="BN24" i="22"/>
  <c r="BL24" i="22"/>
  <c r="BC24" i="22"/>
  <c r="BB24" i="22"/>
  <c r="AY24" i="22"/>
  <c r="AX24"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E8" i="22"/>
  <c r="AE24" i="22" s="1"/>
  <c r="AD8" i="22"/>
  <c r="AD18" i="22" s="1"/>
  <c r="AC8" i="22"/>
  <c r="AC24" i="22" s="1"/>
  <c r="AB8" i="22"/>
  <c r="AA8" i="22"/>
  <c r="AA24" i="22" s="1"/>
  <c r="Z8" i="22"/>
  <c r="Y8" i="22"/>
  <c r="Y24" i="22" s="1"/>
  <c r="X8" i="22"/>
  <c r="X18" i="22" s="1"/>
  <c r="BU7" i="22"/>
  <c r="CB7" i="22" s="1"/>
  <c r="CI7" i="22" s="1"/>
  <c r="CI24" i="22" s="1"/>
  <c r="BP7" i="22"/>
  <c r="BP24" i="22" s="1"/>
  <c r="BO7" i="22"/>
  <c r="BR7" i="22" s="1"/>
  <c r="BN7" i="22"/>
  <c r="BI7" i="22"/>
  <c r="BI24" i="22" s="1"/>
  <c r="BH7" i="22"/>
  <c r="BH24" i="22" s="1"/>
  <c r="BE7" i="22"/>
  <c r="BL7" i="22" s="1"/>
  <c r="BS7" i="22" s="1"/>
  <c r="BC7" i="22"/>
  <c r="BJ7" i="22" s="1"/>
  <c r="BB7" i="22"/>
  <c r="BA7" i="22"/>
  <c r="BA24" i="22" s="1"/>
  <c r="AZ7" i="22"/>
  <c r="AZ24" i="22" s="1"/>
  <c r="AY7" i="22"/>
  <c r="BD7" i="22" s="1"/>
  <c r="AX7" i="22"/>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G46" i="9"/>
  <c r="F46" i="9"/>
  <c r="E46" i="9"/>
  <c r="D46" i="9"/>
  <c r="C46" i="9"/>
  <c r="B46" i="9"/>
  <c r="G45" i="9"/>
  <c r="F45" i="9"/>
  <c r="E45" i="9"/>
  <c r="D45" i="9"/>
  <c r="C45" i="9"/>
  <c r="B45" i="9"/>
  <c r="G44" i="9"/>
  <c r="F44" i="9"/>
  <c r="E44" i="9"/>
  <c r="D44" i="9"/>
  <c r="C44" i="9"/>
  <c r="B44" i="9"/>
  <c r="G43" i="9"/>
  <c r="F43" i="9"/>
  <c r="E43" i="9"/>
  <c r="D43" i="9"/>
  <c r="C43" i="9"/>
  <c r="B43" i="9"/>
  <c r="G42" i="9"/>
  <c r="F42" i="9"/>
  <c r="E42" i="9"/>
  <c r="D42" i="9"/>
  <c r="C42" i="9"/>
  <c r="B42" i="9"/>
  <c r="G41" i="9"/>
  <c r="F41" i="9"/>
  <c r="E41" i="9"/>
  <c r="D41" i="9"/>
  <c r="C41" i="9"/>
  <c r="B41" i="9"/>
  <c r="G40" i="9"/>
  <c r="E40" i="9"/>
  <c r="D40" i="9"/>
  <c r="C40" i="9"/>
  <c r="B40" i="9"/>
  <c r="G39" i="9"/>
  <c r="E39" i="9"/>
  <c r="C39" i="9"/>
  <c r="B39" i="9"/>
  <c r="G38" i="9"/>
  <c r="F38" i="9"/>
  <c r="E38" i="9"/>
  <c r="B38" i="9"/>
  <c r="AW33" i="9"/>
  <c r="AV33" i="9"/>
  <c r="AU33" i="9"/>
  <c r="AT33" i="9"/>
  <c r="AQ33" i="9"/>
  <c r="AP33" i="9"/>
  <c r="AO33" i="9"/>
  <c r="AN33" i="9"/>
  <c r="AM33" i="9"/>
  <c r="AS33" i="9" s="1"/>
  <c r="AL33" i="9"/>
  <c r="AR33" i="9" s="1"/>
  <c r="AT32" i="9"/>
  <c r="AS32" i="9"/>
  <c r="AR32" i="9"/>
  <c r="AQ32" i="9"/>
  <c r="AW32" i="9" s="1"/>
  <c r="AP32" i="9"/>
  <c r="AV32" i="9" s="1"/>
  <c r="AO32" i="9"/>
  <c r="AU32" i="9" s="1"/>
  <c r="AN32" i="9"/>
  <c r="AM32" i="9"/>
  <c r="AL32" i="9"/>
  <c r="AL31" i="9"/>
  <c r="AR31" i="9" s="1"/>
  <c r="U22" i="9"/>
  <c r="N22" i="9"/>
  <c r="M22" i="9"/>
  <c r="L22" i="9"/>
  <c r="W22" i="9" s="1"/>
  <c r="K22" i="9"/>
  <c r="T22" i="9" s="1"/>
  <c r="J22" i="9"/>
  <c r="AU47" i="9" s="1"/>
  <c r="I22" i="9"/>
  <c r="H22" i="9"/>
  <c r="Q22" i="9" s="1"/>
  <c r="G22" i="9"/>
  <c r="P22" i="9" s="1"/>
  <c r="U21" i="9"/>
  <c r="N21" i="9"/>
  <c r="M21" i="9"/>
  <c r="L21" i="9"/>
  <c r="AK46" i="9" s="1"/>
  <c r="K21" i="9"/>
  <c r="AJ46" i="9" s="1"/>
  <c r="J21" i="9"/>
  <c r="AU46" i="9" s="1"/>
  <c r="I21" i="9"/>
  <c r="R21" i="9" s="1"/>
  <c r="H21" i="9"/>
  <c r="AG46" i="9" s="1"/>
  <c r="G21" i="9"/>
  <c r="U20" i="9"/>
  <c r="N20" i="9"/>
  <c r="M20" i="9"/>
  <c r="L20" i="9"/>
  <c r="W20" i="9" s="1"/>
  <c r="K20" i="9"/>
  <c r="AP45" i="9" s="1"/>
  <c r="J20" i="9"/>
  <c r="AO45" i="9" s="1"/>
  <c r="I20" i="9"/>
  <c r="AT45" i="9" s="1"/>
  <c r="H20" i="9"/>
  <c r="AM45" i="9" s="1"/>
  <c r="G20" i="9"/>
  <c r="AL45" i="9" s="1"/>
  <c r="U19" i="9"/>
  <c r="N19" i="9"/>
  <c r="M19" i="9"/>
  <c r="L19" i="9"/>
  <c r="X19" i="9" s="1"/>
  <c r="K19" i="9"/>
  <c r="T19" i="9" s="1"/>
  <c r="J19" i="9"/>
  <c r="I19" i="9"/>
  <c r="R19" i="9" s="1"/>
  <c r="H19" i="9"/>
  <c r="Q19" i="9" s="1"/>
  <c r="G19" i="9"/>
  <c r="P19" i="9" s="1"/>
  <c r="U18" i="9"/>
  <c r="N18" i="9"/>
  <c r="M18" i="9"/>
  <c r="L18" i="9"/>
  <c r="W18" i="9" s="1"/>
  <c r="K18" i="9"/>
  <c r="T18" i="9" s="1"/>
  <c r="J18" i="9"/>
  <c r="AU43" i="9" s="1"/>
  <c r="I18" i="9"/>
  <c r="AH43" i="9" s="1"/>
  <c r="H18" i="9"/>
  <c r="AM43" i="9" s="1"/>
  <c r="G18" i="9"/>
  <c r="AF43" i="9" s="1"/>
  <c r="U17" i="9"/>
  <c r="N17" i="9"/>
  <c r="M17" i="9"/>
  <c r="L17" i="9"/>
  <c r="AW42" i="9" s="1"/>
  <c r="K17" i="9"/>
  <c r="T17" i="9" s="1"/>
  <c r="J17" i="9"/>
  <c r="S17" i="9" s="1"/>
  <c r="I17" i="9"/>
  <c r="AT42" i="9" s="1"/>
  <c r="H17" i="9"/>
  <c r="Q17" i="9" s="1"/>
  <c r="G17" i="9"/>
  <c r="AL42" i="9" s="1"/>
  <c r="U16" i="9"/>
  <c r="N16" i="9"/>
  <c r="M16" i="9"/>
  <c r="L16" i="9"/>
  <c r="W16" i="9" s="1"/>
  <c r="K16" i="9"/>
  <c r="T16" i="9" s="1"/>
  <c r="J16" i="9"/>
  <c r="S16" i="9" s="1"/>
  <c r="I16" i="9"/>
  <c r="AN41" i="9" s="1"/>
  <c r="H16" i="9"/>
  <c r="AS41" i="9" s="1"/>
  <c r="G16" i="9"/>
  <c r="AR41" i="9" s="1"/>
  <c r="U15" i="9"/>
  <c r="N15" i="9"/>
  <c r="M15" i="9"/>
  <c r="K15" i="9"/>
  <c r="AV40" i="9" s="1"/>
  <c r="I15" i="9"/>
  <c r="R15" i="9" s="1"/>
  <c r="H15" i="9"/>
  <c r="Q15" i="9" s="1"/>
  <c r="G15" i="9"/>
  <c r="P15" i="9" s="1"/>
  <c r="U14" i="9"/>
  <c r="N14" i="9"/>
  <c r="M14" i="9"/>
  <c r="L14" i="9"/>
  <c r="AK39" i="9" s="1"/>
  <c r="K14" i="9"/>
  <c r="T14" i="9" s="1"/>
  <c r="J14" i="9"/>
  <c r="S14" i="9" s="1"/>
  <c r="H14" i="9"/>
  <c r="AS39" i="9" s="1"/>
  <c r="G14" i="9"/>
  <c r="AR39" i="9" s="1"/>
  <c r="U13" i="9"/>
  <c r="N13" i="9"/>
  <c r="M13" i="9"/>
  <c r="L13" i="9"/>
  <c r="AK38" i="9" s="1"/>
  <c r="K13" i="9"/>
  <c r="T13" i="9" s="1"/>
  <c r="J13" i="9"/>
  <c r="AO38" i="9" s="1"/>
  <c r="I13" i="9"/>
  <c r="R13" i="9" s="1"/>
  <c r="G13" i="9"/>
  <c r="AL38" i="9" s="1"/>
  <c r="AT12" i="9"/>
  <c r="U12" i="9"/>
  <c r="N12" i="9"/>
  <c r="M12" i="9"/>
  <c r="K12" i="9"/>
  <c r="AP37" i="9" s="1"/>
  <c r="J12" i="9"/>
  <c r="AU37" i="9" s="1"/>
  <c r="I12" i="9"/>
  <c r="R12" i="9" s="1"/>
  <c r="H12" i="9"/>
  <c r="Q12" i="9" s="1"/>
  <c r="G12" i="9"/>
  <c r="P12" i="9" s="1"/>
  <c r="U11" i="9"/>
  <c r="N11" i="9"/>
  <c r="M11" i="9"/>
  <c r="L11" i="9"/>
  <c r="AK36" i="9" s="1"/>
  <c r="K11" i="9"/>
  <c r="AJ36" i="9" s="1"/>
  <c r="I11" i="9"/>
  <c r="R11" i="9" s="1"/>
  <c r="H11" i="9"/>
  <c r="AG36" i="9" s="1"/>
  <c r="G11" i="9"/>
  <c r="AF36" i="9" s="1"/>
  <c r="U10" i="9"/>
  <c r="N10" i="9"/>
  <c r="M10" i="9"/>
  <c r="L10" i="9"/>
  <c r="W10" i="9" s="1"/>
  <c r="K10" i="9"/>
  <c r="T10" i="9" s="1"/>
  <c r="J10" i="9"/>
  <c r="AI35" i="9" s="1"/>
  <c r="I10" i="9"/>
  <c r="H10" i="9"/>
  <c r="Q10" i="9" s="1"/>
  <c r="G10" i="9"/>
  <c r="U9" i="9"/>
  <c r="N9" i="9"/>
  <c r="M9" i="9"/>
  <c r="L9" i="9"/>
  <c r="AK34" i="9" s="1"/>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H179" i="31"/>
  <c r="H178" i="31"/>
  <c r="H176" i="31"/>
  <c r="E176" i="31"/>
  <c r="H175" i="31"/>
  <c r="H174" i="31"/>
  <c r="E174" i="31"/>
  <c r="H173" i="31"/>
  <c r="B143" i="31"/>
  <c r="B142" i="31"/>
  <c r="B141" i="31"/>
  <c r="B140" i="31"/>
  <c r="B139" i="31"/>
  <c r="B138" i="31"/>
  <c r="B137" i="31"/>
  <c r="B136" i="31"/>
  <c r="B135" i="31"/>
  <c r="B134" i="31"/>
  <c r="V77" i="31"/>
  <c r="V75" i="31"/>
  <c r="O46" i="31"/>
  <c r="O44" i="31"/>
  <c r="O15" i="31"/>
  <c r="O13" i="31"/>
  <c r="AF51" i="4"/>
  <c r="I51" i="4"/>
  <c r="H51" i="4"/>
  <c r="B51" i="4"/>
  <c r="AF50" i="4"/>
  <c r="AF53" i="4" s="1"/>
  <c r="I50" i="4"/>
  <c r="H50" i="4"/>
  <c r="J50" i="4" s="1"/>
  <c r="B50" i="4"/>
  <c r="I49" i="4"/>
  <c r="H49" i="4"/>
  <c r="B49" i="4"/>
  <c r="I48" i="4"/>
  <c r="H48" i="4"/>
  <c r="J48" i="4" s="1"/>
  <c r="B48" i="4"/>
  <c r="G47" i="4"/>
  <c r="F47" i="4"/>
  <c r="E47" i="4"/>
  <c r="D47" i="4"/>
  <c r="C47" i="4"/>
  <c r="B47" i="4"/>
  <c r="G46" i="4"/>
  <c r="F46" i="4"/>
  <c r="E46" i="4"/>
  <c r="D46" i="4"/>
  <c r="C46" i="4"/>
  <c r="B46" i="4"/>
  <c r="G45" i="4"/>
  <c r="F45" i="4"/>
  <c r="E45" i="4"/>
  <c r="D45" i="4"/>
  <c r="C45" i="4"/>
  <c r="B45" i="4"/>
  <c r="G44" i="4"/>
  <c r="F44" i="4"/>
  <c r="E44" i="4"/>
  <c r="D44" i="4"/>
  <c r="C44" i="4"/>
  <c r="B44" i="4"/>
  <c r="G43" i="4"/>
  <c r="F43" i="4"/>
  <c r="E43" i="4"/>
  <c r="D43" i="4"/>
  <c r="C43" i="4"/>
  <c r="B43" i="4"/>
  <c r="G42" i="4"/>
  <c r="E42" i="4"/>
  <c r="B42" i="4"/>
  <c r="C36" i="4"/>
  <c r="C35" i="4"/>
  <c r="AI34" i="4"/>
  <c r="F34" i="4"/>
  <c r="L34" i="4" s="1"/>
  <c r="M34" i="4" s="1"/>
  <c r="C34" i="4"/>
  <c r="AI33" i="4"/>
  <c r="C33" i="4"/>
  <c r="I32" i="4"/>
  <c r="G32" i="4"/>
  <c r="E32" i="4"/>
  <c r="C32" i="4"/>
  <c r="I31" i="4"/>
  <c r="N31" i="4" s="1"/>
  <c r="G31" i="4"/>
  <c r="AG12" i="4" s="1"/>
  <c r="E31" i="4"/>
  <c r="C31" i="4"/>
  <c r="I30" i="4"/>
  <c r="K30" i="4" s="1"/>
  <c r="G30" i="4"/>
  <c r="AF11" i="4" s="1"/>
  <c r="E30" i="4"/>
  <c r="I29" i="4"/>
  <c r="K29" i="4" s="1"/>
  <c r="G29" i="4"/>
  <c r="E29" i="4"/>
  <c r="C29" i="4"/>
  <c r="I28" i="4"/>
  <c r="G28" i="4"/>
  <c r="AF9" i="4" s="1"/>
  <c r="E28" i="4"/>
  <c r="E27" i="4"/>
  <c r="M22" i="4"/>
  <c r="J22" i="4"/>
  <c r="F36" i="4" s="1"/>
  <c r="M21" i="4"/>
  <c r="J21" i="4"/>
  <c r="F35" i="4" s="1"/>
  <c r="L35" i="4" s="1"/>
  <c r="M35" i="4" s="1"/>
  <c r="M20" i="4"/>
  <c r="J20" i="4"/>
  <c r="M19" i="4"/>
  <c r="J19" i="4"/>
  <c r="F33" i="4" s="1"/>
  <c r="L33" i="4" s="1"/>
  <c r="M33" i="4" s="1"/>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O22" i="25"/>
  <c r="N22" i="25"/>
  <c r="M22" i="25"/>
  <c r="L22" i="25"/>
  <c r="K22" i="25"/>
  <c r="H22" i="25"/>
  <c r="I44" i="25" s="1"/>
  <c r="O21" i="25"/>
  <c r="N21" i="25"/>
  <c r="M21" i="25"/>
  <c r="L21" i="25"/>
  <c r="K21" i="25"/>
  <c r="H21" i="25"/>
  <c r="P21" i="25" s="1"/>
  <c r="N20" i="25"/>
  <c r="M20" i="25"/>
  <c r="L20" i="25"/>
  <c r="K20" i="25"/>
  <c r="H20" i="25"/>
  <c r="N19" i="25"/>
  <c r="M19" i="25"/>
  <c r="L19" i="25"/>
  <c r="K19" i="25"/>
  <c r="H19" i="25"/>
  <c r="J18" i="25"/>
  <c r="Q18" i="25" s="1"/>
  <c r="V40" i="25" s="1"/>
  <c r="F18" i="25"/>
  <c r="D18" i="25"/>
  <c r="J17" i="25"/>
  <c r="F17" i="25"/>
  <c r="D17" i="25"/>
  <c r="J16" i="25"/>
  <c r="R16" i="25" s="1"/>
  <c r="F16" i="25"/>
  <c r="D16" i="25"/>
  <c r="J15" i="25"/>
  <c r="F15" i="25"/>
  <c r="D15" i="25"/>
  <c r="J14" i="25"/>
  <c r="F14" i="25"/>
  <c r="D14" i="25"/>
  <c r="J13" i="25"/>
  <c r="Q13" i="25" s="1"/>
  <c r="U35" i="25" s="1"/>
  <c r="F13" i="25"/>
  <c r="D13" i="25"/>
  <c r="AU29" i="22" s="1"/>
  <c r="J12" i="25"/>
  <c r="Q12" i="25" s="1"/>
  <c r="U34" i="25" s="1"/>
  <c r="F12" i="25"/>
  <c r="D12" i="25"/>
  <c r="J11" i="25"/>
  <c r="F11" i="25"/>
  <c r="D11" i="25"/>
  <c r="AT27" i="22" s="1"/>
  <c r="B51" i="19"/>
  <c r="B50" i="19"/>
  <c r="B49" i="19"/>
  <c r="B48" i="19"/>
  <c r="H47" i="19"/>
  <c r="G47" i="19"/>
  <c r="F47" i="19"/>
  <c r="E47" i="19"/>
  <c r="B47" i="19"/>
  <c r="H46" i="19"/>
  <c r="G46" i="19"/>
  <c r="F46" i="19"/>
  <c r="E46" i="19"/>
  <c r="B46" i="19"/>
  <c r="H45" i="19"/>
  <c r="G45" i="19"/>
  <c r="F45" i="19"/>
  <c r="E45" i="19"/>
  <c r="B45" i="19"/>
  <c r="H44" i="19"/>
  <c r="G44" i="19"/>
  <c r="F44" i="19"/>
  <c r="E44" i="19"/>
  <c r="B44" i="19"/>
  <c r="H43" i="19"/>
  <c r="G43" i="19"/>
  <c r="F43" i="19"/>
  <c r="E43" i="19"/>
  <c r="B43" i="19"/>
  <c r="H42" i="19"/>
  <c r="F42" i="19"/>
  <c r="B42" i="19"/>
  <c r="AD36" i="19"/>
  <c r="R36" i="19"/>
  <c r="N36" i="19"/>
  <c r="M36" i="19"/>
  <c r="C36" i="19"/>
  <c r="AD35" i="19"/>
  <c r="R35" i="19"/>
  <c r="Q35" i="19"/>
  <c r="N35" i="19"/>
  <c r="M35" i="19"/>
  <c r="C35" i="19"/>
  <c r="R34" i="19"/>
  <c r="P34" i="19"/>
  <c r="N34" i="19"/>
  <c r="M34" i="19"/>
  <c r="AA49" i="19" s="1"/>
  <c r="C34" i="19"/>
  <c r="R33" i="19"/>
  <c r="N33" i="19"/>
  <c r="M33" i="19"/>
  <c r="AA48" i="19" s="1"/>
  <c r="C33" i="19"/>
  <c r="G32" i="19"/>
  <c r="E32" i="19"/>
  <c r="C32" i="19"/>
  <c r="G31" i="19"/>
  <c r="AC14" i="19" s="1"/>
  <c r="E31" i="19"/>
  <c r="AI29" i="22" s="1"/>
  <c r="C31" i="19"/>
  <c r="G30" i="19"/>
  <c r="AC13" i="19" s="1"/>
  <c r="E30" i="19"/>
  <c r="AL12" i="22" s="1"/>
  <c r="G29" i="19"/>
  <c r="AD12" i="19" s="1"/>
  <c r="E29" i="19"/>
  <c r="N29" i="19" s="1"/>
  <c r="C29" i="19"/>
  <c r="G28" i="19"/>
  <c r="AB11" i="19" s="1"/>
  <c r="E28" i="19"/>
  <c r="AJ26" i="22" s="1"/>
  <c r="C28" i="19"/>
  <c r="P22" i="19"/>
  <c r="N22" i="19"/>
  <c r="Q36" i="19" s="1"/>
  <c r="L22" i="19"/>
  <c r="P36" i="19" s="1"/>
  <c r="K22" i="19"/>
  <c r="J22" i="19"/>
  <c r="P21" i="19"/>
  <c r="N21" i="19"/>
  <c r="K21" i="19"/>
  <c r="L21" i="19" s="1"/>
  <c r="J21" i="19"/>
  <c r="P35" i="19" s="1"/>
  <c r="P20" i="19"/>
  <c r="Q34" i="19" s="1"/>
  <c r="N20" i="19"/>
  <c r="L20" i="19"/>
  <c r="K20" i="19"/>
  <c r="J20" i="19"/>
  <c r="P19" i="19"/>
  <c r="N19" i="19"/>
  <c r="Q33" i="19" s="1"/>
  <c r="K19" i="19"/>
  <c r="L19" i="19" s="1"/>
  <c r="P33" i="19" s="1"/>
  <c r="J19" i="19"/>
  <c r="C17" i="19"/>
  <c r="C16" i="19"/>
  <c r="C15" i="19"/>
  <c r="D14" i="19"/>
  <c r="C14" i="19"/>
  <c r="C13" i="19"/>
  <c r="C12" i="19"/>
  <c r="C11" i="19"/>
  <c r="C10" i="19"/>
  <c r="O140" i="30"/>
  <c r="J140" i="30"/>
  <c r="O139" i="30"/>
  <c r="J139" i="30"/>
  <c r="O90" i="30"/>
  <c r="O89" i="30"/>
  <c r="I54" i="30"/>
  <c r="I53" i="30"/>
  <c r="I52" i="30"/>
  <c r="I51" i="30"/>
  <c r="I50" i="30"/>
  <c r="I49" i="30"/>
  <c r="I48" i="30"/>
  <c r="I47" i="30"/>
  <c r="I46" i="30"/>
  <c r="I45" i="30"/>
  <c r="K68" i="26"/>
  <c r="I68" i="26"/>
  <c r="J68" i="26"/>
  <c r="H457" i="39"/>
  <c r="D11" i="19"/>
  <c r="I11" i="19" s="1"/>
  <c r="D16" i="19"/>
  <c r="I16" i="19" s="1"/>
  <c r="D13" i="19"/>
  <c r="D17" i="19"/>
  <c r="I17" i="19" s="1"/>
  <c r="J17" i="19" s="1"/>
  <c r="D12" i="19"/>
  <c r="AW46" i="9"/>
  <c r="Q43" i="17"/>
  <c r="O47" i="16"/>
  <c r="R43" i="17"/>
  <c r="J66" i="17"/>
  <c r="X73" i="36" s="1"/>
  <c r="I66" i="17"/>
  <c r="W73" i="36" s="1"/>
  <c r="Y73" i="36" s="1"/>
  <c r="J68" i="17"/>
  <c r="X75" i="36" s="1"/>
  <c r="Y75" i="36" s="1"/>
  <c r="I68" i="17"/>
  <c r="W75" i="36"/>
  <c r="O14" i="16"/>
  <c r="M13" i="16"/>
  <c r="N13" i="16"/>
  <c r="V15" i="29"/>
  <c r="AS44" i="27"/>
  <c r="R33" i="27"/>
  <c r="F45" i="27"/>
  <c r="AU44" i="27" s="1"/>
  <c r="AU48" i="27"/>
  <c r="S33" i="27"/>
  <c r="S36" i="27"/>
  <c r="U36" i="27"/>
  <c r="AS50" i="27"/>
  <c r="V36" i="27"/>
  <c r="AS42" i="27"/>
  <c r="V13" i="29"/>
  <c r="AT49" i="27"/>
  <c r="V23" i="29"/>
  <c r="V14" i="29"/>
  <c r="V12" i="29"/>
  <c r="G40" i="29"/>
  <c r="AS43" i="27"/>
  <c r="AS49" i="27"/>
  <c r="AS46" i="27"/>
  <c r="F47" i="27"/>
  <c r="AU46" i="27" s="1"/>
  <c r="V35" i="27"/>
  <c r="X35" i="27" s="1"/>
  <c r="AI50" i="27" s="1"/>
  <c r="AU50" i="27"/>
  <c r="AT51" i="27"/>
  <c r="D46" i="27"/>
  <c r="AT45" i="27" s="1"/>
  <c r="F46" i="27"/>
  <c r="AT44" i="27"/>
  <c r="AT43" i="27"/>
  <c r="AU43" i="27"/>
  <c r="G50" i="5"/>
  <c r="O138" i="30"/>
  <c r="J89" i="30"/>
  <c r="O88" i="30"/>
  <c r="I252" i="31" l="1"/>
  <c r="F252" i="31"/>
  <c r="G54" i="17"/>
  <c r="W66" i="36" s="1"/>
  <c r="H517" i="39"/>
  <c r="H518" i="39"/>
  <c r="H513" i="39"/>
  <c r="H512" i="39"/>
  <c r="H511" i="39"/>
  <c r="H514" i="39"/>
  <c r="H515" i="39"/>
  <c r="H516" i="39"/>
  <c r="H385" i="39"/>
  <c r="P252" i="31"/>
  <c r="N252" i="31"/>
  <c r="D252" i="31"/>
  <c r="D264" i="31"/>
  <c r="P263" i="31"/>
  <c r="S19" i="15" s="1"/>
  <c r="AS42" i="9"/>
  <c r="AU40" i="9"/>
  <c r="AM36" i="9"/>
  <c r="H34" i="5"/>
  <c r="C32" i="5"/>
  <c r="K130" i="35" s="1"/>
  <c r="D32" i="5" s="1"/>
  <c r="C34" i="5"/>
  <c r="K132" i="35" s="1"/>
  <c r="E34" i="5" s="1"/>
  <c r="H33" i="5"/>
  <c r="K134" i="35" s="1"/>
  <c r="J33" i="5" s="1"/>
  <c r="C33" i="5"/>
  <c r="K131" i="35" s="1"/>
  <c r="E33" i="5" s="1"/>
  <c r="Q46" i="17"/>
  <c r="R46" i="17"/>
  <c r="R35" i="27"/>
  <c r="S35" i="27"/>
  <c r="Q35" i="27"/>
  <c r="P19" i="25"/>
  <c r="K41" i="25" s="1"/>
  <c r="H41" i="25"/>
  <c r="BT19" i="22"/>
  <c r="BU19" i="22"/>
  <c r="BW19" i="22"/>
  <c r="BT20" i="22"/>
  <c r="BU20" i="22"/>
  <c r="BW20" i="22"/>
  <c r="BS19" i="22"/>
  <c r="BV18" i="22"/>
  <c r="BX18" i="22"/>
  <c r="BS20" i="22"/>
  <c r="BV19" i="22"/>
  <c r="BX19" i="22"/>
  <c r="BV21" i="22"/>
  <c r="BT18" i="22"/>
  <c r="BW18" i="22"/>
  <c r="BR24" i="22"/>
  <c r="BX20" i="22"/>
  <c r="BT21" i="22"/>
  <c r="BW21" i="22"/>
  <c r="X10" i="4"/>
  <c r="X19" i="4" s="1"/>
  <c r="X20" i="4" s="1"/>
  <c r="X21" i="4" s="1"/>
  <c r="U10" i="4"/>
  <c r="U19" i="4" s="1"/>
  <c r="U20" i="4" s="1"/>
  <c r="U21" i="4" s="1"/>
  <c r="U22" i="4" s="1"/>
  <c r="W10" i="4"/>
  <c r="W19" i="4" s="1"/>
  <c r="W20" i="4" s="1"/>
  <c r="W21" i="4" s="1"/>
  <c r="BX21" i="22"/>
  <c r="I41" i="25"/>
  <c r="U12" i="4"/>
  <c r="AU45" i="27"/>
  <c r="V22" i="29"/>
  <c r="S45" i="29" s="1"/>
  <c r="R22" i="17"/>
  <c r="M12" i="19"/>
  <c r="O12" i="19" s="1"/>
  <c r="P12" i="19" s="1"/>
  <c r="BG7" i="22"/>
  <c r="BO24" i="22"/>
  <c r="AS51" i="27"/>
  <c r="T36" i="27"/>
  <c r="BV20" i="22"/>
  <c r="N28" i="16"/>
  <c r="Q28" i="16" s="1"/>
  <c r="G39" i="16"/>
  <c r="N39" i="16" s="1"/>
  <c r="Q36" i="27"/>
  <c r="I52" i="27" s="1"/>
  <c r="F16" i="17"/>
  <c r="L36" i="4"/>
  <c r="M36" i="4" s="1"/>
  <c r="K49" i="4"/>
  <c r="J49" i="4"/>
  <c r="BF19" i="22"/>
  <c r="BH19" i="22"/>
  <c r="BG18" i="22"/>
  <c r="BJ18" i="22"/>
  <c r="BF20" i="22"/>
  <c r="BH20" i="22"/>
  <c r="BG19" i="22"/>
  <c r="BJ19" i="22"/>
  <c r="BE19" i="22"/>
  <c r="BG21" i="22"/>
  <c r="BJ21" i="22"/>
  <c r="BE20" i="22"/>
  <c r="BI18" i="22"/>
  <c r="BI20" i="22"/>
  <c r="BI21" i="22"/>
  <c r="BE18" i="22"/>
  <c r="BJ20" i="22"/>
  <c r="BE21" i="22"/>
  <c r="BW7" i="22"/>
  <c r="BD24" i="22"/>
  <c r="BJ26" i="22" s="1"/>
  <c r="V33" i="27"/>
  <c r="T33" i="27"/>
  <c r="U33" i="27"/>
  <c r="E294" i="7"/>
  <c r="D294" i="7"/>
  <c r="BU21" i="22"/>
  <c r="BC19" i="22"/>
  <c r="M50" i="5"/>
  <c r="U34" i="27"/>
  <c r="V34" i="27"/>
  <c r="R41" i="17"/>
  <c r="Q41" i="17"/>
  <c r="X12" i="27"/>
  <c r="W12" i="27"/>
  <c r="F134" i="37"/>
  <c r="J10" i="27" s="1"/>
  <c r="K50" i="4"/>
  <c r="D48" i="27"/>
  <c r="AT47" i="27" s="1"/>
  <c r="AT52" i="27" s="1"/>
  <c r="F48" i="27"/>
  <c r="AU47" i="27" s="1"/>
  <c r="AS47" i="27"/>
  <c r="AS52" i="27" s="1"/>
  <c r="J64" i="17"/>
  <c r="X71" i="36" s="1"/>
  <c r="I64" i="17"/>
  <c r="W71" i="36" s="1"/>
  <c r="BA17" i="22"/>
  <c r="P24" i="25"/>
  <c r="AA25" i="25" s="1"/>
  <c r="H46" i="25"/>
  <c r="I46" i="25"/>
  <c r="O24" i="25"/>
  <c r="BU24" i="22"/>
  <c r="B84" i="7"/>
  <c r="B85" i="7" s="1"/>
  <c r="B81" i="7"/>
  <c r="B82" i="7" s="1"/>
  <c r="BU18" i="22"/>
  <c r="BB20" i="22"/>
  <c r="P20" i="25"/>
  <c r="AB21" i="25" s="1"/>
  <c r="O20" i="25"/>
  <c r="K48" i="4"/>
  <c r="M39" i="29"/>
  <c r="Q42" i="17"/>
  <c r="D295" i="7"/>
  <c r="M28" i="16"/>
  <c r="F39" i="16"/>
  <c r="BQ7" i="22"/>
  <c r="BJ24" i="22"/>
  <c r="BS18" i="22"/>
  <c r="BS24" i="22"/>
  <c r="BZ7" i="22"/>
  <c r="U11" i="4"/>
  <c r="M14" i="16"/>
  <c r="AX18" i="22"/>
  <c r="AZ18" i="22"/>
  <c r="BB18" i="22"/>
  <c r="AX19" i="22"/>
  <c r="AZ19" i="22"/>
  <c r="BB19" i="22"/>
  <c r="AX21" i="22"/>
  <c r="AZ21" i="22"/>
  <c r="BB21" i="22"/>
  <c r="AY18" i="22"/>
  <c r="BA18" i="22"/>
  <c r="BC18" i="22"/>
  <c r="AY20" i="22"/>
  <c r="BC20" i="22"/>
  <c r="AY21" i="22"/>
  <c r="BC21" i="22"/>
  <c r="BA19" i="22"/>
  <c r="AZ20" i="22"/>
  <c r="BF7" i="22"/>
  <c r="I67" i="17"/>
  <c r="W74" i="36" s="1"/>
  <c r="J67" i="17"/>
  <c r="X74" i="36" s="1"/>
  <c r="T34" i="27"/>
  <c r="O19" i="25"/>
  <c r="BE24" i="22"/>
  <c r="R45" i="17"/>
  <c r="U35" i="27"/>
  <c r="W35" i="27" s="1"/>
  <c r="AH50" i="27" s="1"/>
  <c r="H45" i="25"/>
  <c r="I45" i="25"/>
  <c r="P23" i="25"/>
  <c r="J45" i="25" s="1"/>
  <c r="CD7" i="22"/>
  <c r="AW24" i="22"/>
  <c r="B20" i="39"/>
  <c r="I49" i="27"/>
  <c r="K180" i="38"/>
  <c r="K207" i="38" s="1"/>
  <c r="K201" i="38"/>
  <c r="K210" i="38" s="1"/>
  <c r="I70" i="26"/>
  <c r="BI19" i="22"/>
  <c r="BS21" i="22"/>
  <c r="BA20" i="22"/>
  <c r="AH72" i="5"/>
  <c r="M39" i="16"/>
  <c r="D43" i="27"/>
  <c r="AT42" i="27" s="1"/>
  <c r="B681" i="7"/>
  <c r="M21" i="16"/>
  <c r="M22" i="16" s="1"/>
  <c r="P22" i="25"/>
  <c r="AB23" i="25" s="1"/>
  <c r="BS25" i="22"/>
  <c r="Z18" i="22"/>
  <c r="U73" i="26"/>
  <c r="H19" i="38"/>
  <c r="AH17" i="24"/>
  <c r="N21" i="5"/>
  <c r="M22" i="5"/>
  <c r="N22" i="5"/>
  <c r="B680" i="7"/>
  <c r="C37" i="17" s="1"/>
  <c r="K205" i="36" s="1"/>
  <c r="D37" i="17" s="1"/>
  <c r="M49" i="5"/>
  <c r="Q49" i="5" s="1"/>
  <c r="BU11" i="22"/>
  <c r="AB18" i="22"/>
  <c r="C40" i="16"/>
  <c r="B679" i="7"/>
  <c r="C38" i="17" s="1"/>
  <c r="K206" i="36" s="1"/>
  <c r="D38" i="17" s="1"/>
  <c r="K38" i="17" s="1"/>
  <c r="W44" i="36" s="1"/>
  <c r="X16" i="4"/>
  <c r="B683" i="7"/>
  <c r="O22" i="5"/>
  <c r="BA30" i="22"/>
  <c r="BC14" i="22"/>
  <c r="AU42" i="27"/>
  <c r="K187" i="38"/>
  <c r="K208" i="38" s="1"/>
  <c r="L201" i="38"/>
  <c r="L210" i="38" s="1"/>
  <c r="N96" i="26"/>
  <c r="N75" i="26"/>
  <c r="B682" i="7"/>
  <c r="C39" i="17" s="1"/>
  <c r="K207" i="36" s="1"/>
  <c r="D39" i="17" s="1"/>
  <c r="O21" i="5"/>
  <c r="M29" i="16"/>
  <c r="G56" i="17"/>
  <c r="I12" i="4"/>
  <c r="L12" i="4" s="1"/>
  <c r="V12" i="27"/>
  <c r="N29" i="16"/>
  <c r="Y29" i="16" s="1"/>
  <c r="N114" i="26"/>
  <c r="M73" i="5"/>
  <c r="BE26" i="22"/>
  <c r="X13" i="4"/>
  <c r="K94" i="5"/>
  <c r="O13" i="16"/>
  <c r="O29" i="16"/>
  <c r="X15" i="27"/>
  <c r="O72" i="5"/>
  <c r="W11" i="27"/>
  <c r="X10" i="27"/>
  <c r="X19" i="27" s="1"/>
  <c r="X20" i="27" s="1"/>
  <c r="X21" i="27" s="1"/>
  <c r="X22" i="27" s="1"/>
  <c r="AT48" i="27"/>
  <c r="AU51" i="27"/>
  <c r="M72" i="5"/>
  <c r="Y71" i="36"/>
  <c r="Z13" i="16"/>
  <c r="Y13" i="16"/>
  <c r="Y14" i="16"/>
  <c r="Z14" i="16"/>
  <c r="Y34" i="22"/>
  <c r="Y33" i="22"/>
  <c r="Y32" i="22"/>
  <c r="Y31" i="22"/>
  <c r="AA34" i="22"/>
  <c r="AA33" i="22"/>
  <c r="AA32" i="22"/>
  <c r="AA31" i="22"/>
  <c r="AC34" i="22"/>
  <c r="AC33" i="22"/>
  <c r="AC32" i="22"/>
  <c r="AC31" i="22"/>
  <c r="AE34" i="22"/>
  <c r="AE33" i="22"/>
  <c r="AE32" i="22"/>
  <c r="AE31" i="22"/>
  <c r="M12" i="16"/>
  <c r="O12" i="16"/>
  <c r="N12" i="16"/>
  <c r="N15" i="16" s="1"/>
  <c r="Y39" i="16"/>
  <c r="M43" i="16"/>
  <c r="O43" i="16"/>
  <c r="R43" i="16" s="1"/>
  <c r="N48" i="16"/>
  <c r="M48" i="16"/>
  <c r="Y28" i="16"/>
  <c r="M37" i="22"/>
  <c r="V253" i="38" s="1"/>
  <c r="W33" i="27"/>
  <c r="AH48" i="27" s="1"/>
  <c r="N46" i="16"/>
  <c r="M30" i="16"/>
  <c r="N31" i="16"/>
  <c r="O31" i="16"/>
  <c r="R31" i="16" s="1"/>
  <c r="M32" i="16"/>
  <c r="Q32" i="16" s="1"/>
  <c r="P20" i="36" s="1"/>
  <c r="W20" i="36" s="1"/>
  <c r="M44" i="16"/>
  <c r="O44" i="16"/>
  <c r="O45" i="16"/>
  <c r="Z45" i="16" s="1"/>
  <c r="N45" i="16"/>
  <c r="Y45" i="16" s="1"/>
  <c r="E101" i="26"/>
  <c r="M42" i="16"/>
  <c r="Q42" i="16" s="1"/>
  <c r="S21" i="36" s="1"/>
  <c r="W21" i="36" s="1"/>
  <c r="Y47" i="16"/>
  <c r="Z47" i="16"/>
  <c r="M49" i="16"/>
  <c r="N49" i="16"/>
  <c r="O49" i="16"/>
  <c r="R49" i="16" s="1"/>
  <c r="U26" i="36" s="1"/>
  <c r="X26" i="36" s="1"/>
  <c r="Z29" i="16"/>
  <c r="Q22" i="17"/>
  <c r="J69" i="17"/>
  <c r="X76" i="36" s="1"/>
  <c r="I69" i="17"/>
  <c r="W76" i="36" s="1"/>
  <c r="J63" i="17"/>
  <c r="I63" i="17"/>
  <c r="J65" i="17"/>
  <c r="X72" i="36" s="1"/>
  <c r="I65" i="17"/>
  <c r="W72" i="36" s="1"/>
  <c r="O28" i="16"/>
  <c r="J39" i="16"/>
  <c r="O39" i="16" s="1"/>
  <c r="Z39" i="16" s="1"/>
  <c r="Y39" i="29"/>
  <c r="Z39" i="29"/>
  <c r="M46" i="16"/>
  <c r="N30" i="16"/>
  <c r="O30" i="16"/>
  <c r="M31" i="16"/>
  <c r="O32" i="16"/>
  <c r="O42" i="16"/>
  <c r="R42" i="16" s="1"/>
  <c r="N44" i="16"/>
  <c r="I14" i="19"/>
  <c r="D152" i="30" s="1"/>
  <c r="Y15" i="22"/>
  <c r="AA15" i="22"/>
  <c r="AC15" i="22"/>
  <c r="AE15" i="22"/>
  <c r="Y16" i="22"/>
  <c r="AA16" i="22"/>
  <c r="AC16" i="22"/>
  <c r="AE16" i="22"/>
  <c r="Y17" i="22"/>
  <c r="AA17" i="22"/>
  <c r="AC17" i="22"/>
  <c r="AE17" i="22"/>
  <c r="Y18" i="22"/>
  <c r="AA18" i="22"/>
  <c r="AC18" i="22"/>
  <c r="AE18" i="22"/>
  <c r="X24" i="22"/>
  <c r="Z24" i="22"/>
  <c r="AB24" i="22"/>
  <c r="AD24" i="22"/>
  <c r="Q34" i="27"/>
  <c r="R34" i="27"/>
  <c r="AU52" i="27"/>
  <c r="F40" i="16"/>
  <c r="G40" i="16"/>
  <c r="J40" i="16"/>
  <c r="F41" i="16"/>
  <c r="G41" i="16"/>
  <c r="J41" i="16"/>
  <c r="I69" i="26"/>
  <c r="K69" i="26"/>
  <c r="J70" i="26"/>
  <c r="L70" i="26"/>
  <c r="I73" i="26"/>
  <c r="K73" i="26"/>
  <c r="H45" i="7"/>
  <c r="H276" i="7"/>
  <c r="N21" i="16"/>
  <c r="O21" i="16"/>
  <c r="O22" i="16" s="1"/>
  <c r="I15" i="19"/>
  <c r="D153" i="30" s="1"/>
  <c r="I15" i="4"/>
  <c r="L15" i="4" s="1"/>
  <c r="I14" i="4"/>
  <c r="L14" i="4" s="1"/>
  <c r="AG21" i="5"/>
  <c r="AG72" i="5"/>
  <c r="E98" i="5"/>
  <c r="E96" i="5"/>
  <c r="E94" i="5"/>
  <c r="E91" i="5"/>
  <c r="E89" i="5"/>
  <c r="E87" i="5"/>
  <c r="E85" i="5"/>
  <c r="E84" i="5"/>
  <c r="C13" i="5"/>
  <c r="D131" i="35" s="1"/>
  <c r="D13" i="5" s="1"/>
  <c r="N13" i="5" s="1"/>
  <c r="K37" i="17"/>
  <c r="W43" i="36" s="1"/>
  <c r="E98" i="30"/>
  <c r="J10" i="4" s="1"/>
  <c r="F27" i="4"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Q50" i="5" s="1"/>
  <c r="O50" i="5"/>
  <c r="AI23" i="24"/>
  <c r="AI20" i="24"/>
  <c r="AH23" i="24"/>
  <c r="AA20" i="24"/>
  <c r="AH20" i="24"/>
  <c r="AA23" i="24"/>
  <c r="X15" i="22"/>
  <c r="Z15" i="22"/>
  <c r="AB15" i="22"/>
  <c r="AD15" i="22"/>
  <c r="X16" i="22"/>
  <c r="Z16" i="22"/>
  <c r="AB16" i="22"/>
  <c r="AD16" i="22"/>
  <c r="X17" i="22"/>
  <c r="Z17" i="22"/>
  <c r="AB17" i="22"/>
  <c r="AD17" i="22"/>
  <c r="J69" i="26"/>
  <c r="J73" i="26"/>
  <c r="M10" i="19"/>
  <c r="N10" i="19" s="1"/>
  <c r="I16" i="27"/>
  <c r="L16" i="27" s="1"/>
  <c r="G104" i="30" s="1"/>
  <c r="M16" i="4" s="1"/>
  <c r="AG50" i="5"/>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E102" i="30"/>
  <c r="J14" i="4" s="1"/>
  <c r="I12" i="27"/>
  <c r="L12" i="27" s="1"/>
  <c r="J136" i="37" s="1"/>
  <c r="M12" i="27" s="1"/>
  <c r="B102" i="30"/>
  <c r="V15" i="27"/>
  <c r="B98" i="30"/>
  <c r="I15" i="27"/>
  <c r="L15" i="27" s="1"/>
  <c r="I10" i="4"/>
  <c r="L10" i="4" s="1"/>
  <c r="W16" i="27"/>
  <c r="B148" i="30"/>
  <c r="X16" i="27"/>
  <c r="F138" i="37"/>
  <c r="J14" i="27" s="1"/>
  <c r="C134" i="37"/>
  <c r="BI25" i="22"/>
  <c r="E103" i="30"/>
  <c r="J15" i="4" s="1"/>
  <c r="C139" i="37"/>
  <c r="I10" i="27"/>
  <c r="L10" i="27" s="1"/>
  <c r="J134" i="37" s="1"/>
  <c r="M10" i="27" s="1"/>
  <c r="BV26" i="22"/>
  <c r="P42" i="4"/>
  <c r="I47" i="4"/>
  <c r="BB26" i="22"/>
  <c r="H30" i="4"/>
  <c r="AG45" i="4" s="1"/>
  <c r="I45" i="4"/>
  <c r="AE28" i="22" s="1"/>
  <c r="H28" i="4"/>
  <c r="AH43" i="4" s="1"/>
  <c r="BU26" i="22"/>
  <c r="AQ15" i="22"/>
  <c r="AI25" i="22"/>
  <c r="H16" i="25"/>
  <c r="O16" i="25" s="1"/>
  <c r="I46" i="4"/>
  <c r="X29" i="22" s="1"/>
  <c r="AQ16" i="22"/>
  <c r="H13" i="25"/>
  <c r="O13" i="25" s="1"/>
  <c r="BA9" i="22"/>
  <c r="AR26" i="22"/>
  <c r="AU9" i="22"/>
  <c r="AZ9" i="22"/>
  <c r="BX26" i="22"/>
  <c r="H10" i="25"/>
  <c r="BJ9" i="22"/>
  <c r="BT26" i="22"/>
  <c r="AT9" i="22"/>
  <c r="BH26" i="22"/>
  <c r="AV9" i="22"/>
  <c r="BW26" i="22"/>
  <c r="BC26" i="22"/>
  <c r="AS9" i="22"/>
  <c r="BX9" i="22"/>
  <c r="BT9" i="22"/>
  <c r="AZ26" i="22"/>
  <c r="BU9" i="22"/>
  <c r="AY26" i="22"/>
  <c r="AV26" i="22"/>
  <c r="O51" i="4"/>
  <c r="F139" i="37"/>
  <c r="J15" i="27" s="1"/>
  <c r="I10" i="19"/>
  <c r="J10" i="19" s="1"/>
  <c r="AX26" i="22"/>
  <c r="H42" i="4"/>
  <c r="I43" i="4"/>
  <c r="AE26" i="22" s="1"/>
  <c r="BX25" i="22"/>
  <c r="AU25" i="22"/>
  <c r="BE25" i="22"/>
  <c r="BG9" i="22"/>
  <c r="AY9" i="22"/>
  <c r="BS9" i="22"/>
  <c r="AS26" i="22"/>
  <c r="BS26" i="22"/>
  <c r="BU8" i="22"/>
  <c r="BA12" i="22"/>
  <c r="BH8" i="22"/>
  <c r="AL11" i="22"/>
  <c r="BE12" i="22"/>
  <c r="R28" i="4"/>
  <c r="F28" i="4"/>
  <c r="BG8" i="22"/>
  <c r="AH8" i="4"/>
  <c r="AN25" i="22"/>
  <c r="AN9" i="22"/>
  <c r="BJ14" i="22"/>
  <c r="O42" i="19"/>
  <c r="AM9" i="22"/>
  <c r="J27" i="19"/>
  <c r="H47" i="4"/>
  <c r="Y14" i="22" s="1"/>
  <c r="BG13" i="22"/>
  <c r="J29" i="19"/>
  <c r="N29" i="4"/>
  <c r="AT12" i="22"/>
  <c r="K32" i="4"/>
  <c r="H44" i="4"/>
  <c r="P42" i="19"/>
  <c r="AL25" i="22"/>
  <c r="BW9" i="22"/>
  <c r="BI9" i="22"/>
  <c r="BC9" i="22"/>
  <c r="BE9" i="22"/>
  <c r="AU26" i="22"/>
  <c r="AR9" i="22"/>
  <c r="H27" i="4"/>
  <c r="AG42" i="4" s="1"/>
  <c r="AL9" i="22"/>
  <c r="N32" i="4"/>
  <c r="AM11" i="22"/>
  <c r="Q16" i="25"/>
  <c r="V38" i="25" s="1"/>
  <c r="I44" i="4"/>
  <c r="AN27" i="22"/>
  <c r="BC31" i="22"/>
  <c r="AX34" i="22"/>
  <c r="BV9" i="22"/>
  <c r="BH9" i="22"/>
  <c r="BB9" i="22"/>
  <c r="AI9" i="22"/>
  <c r="AX9" i="22"/>
  <c r="AT26" i="22"/>
  <c r="AQ9" i="22"/>
  <c r="AI10" i="22"/>
  <c r="H46" i="4"/>
  <c r="AD13" i="22" s="1"/>
  <c r="AM10" i="22"/>
  <c r="AL28" i="22"/>
  <c r="BV14" i="22"/>
  <c r="BV25" i="22"/>
  <c r="H28" i="19"/>
  <c r="M29" i="19"/>
  <c r="AA44" i="19" s="1"/>
  <c r="H45" i="4"/>
  <c r="AM28" i="22"/>
  <c r="BG14" i="22"/>
  <c r="BW33" i="22"/>
  <c r="BU32" i="22"/>
  <c r="BV13" i="22"/>
  <c r="AR30" i="22"/>
  <c r="AV14" i="22"/>
  <c r="AX31" i="22"/>
  <c r="AY13" i="22"/>
  <c r="R18" i="25"/>
  <c r="M40" i="25" s="1"/>
  <c r="Q28" i="4"/>
  <c r="BG25" i="22"/>
  <c r="BE8" i="22"/>
  <c r="AC10" i="19"/>
  <c r="BW8" i="22"/>
  <c r="AB10" i="19"/>
  <c r="AI26" i="22"/>
  <c r="H43" i="4"/>
  <c r="X10" i="22" s="1"/>
  <c r="AL26" i="22"/>
  <c r="BW14" i="22"/>
  <c r="N28" i="19"/>
  <c r="H30" i="19"/>
  <c r="K31" i="4"/>
  <c r="AH12" i="22"/>
  <c r="AM26" i="22"/>
  <c r="BI14" i="22"/>
  <c r="BX34" i="22"/>
  <c r="BH17" i="22"/>
  <c r="AZ14" i="22"/>
  <c r="J28" i="19"/>
  <c r="N30" i="19"/>
  <c r="H15" i="25"/>
  <c r="I37" i="25" s="1"/>
  <c r="AI12" i="22"/>
  <c r="BX33" i="22"/>
  <c r="BV33" i="22"/>
  <c r="BH15" i="22"/>
  <c r="AU31" i="22"/>
  <c r="AS30" i="22"/>
  <c r="O28" i="4"/>
  <c r="P28" i="4" s="1"/>
  <c r="AN28" i="22"/>
  <c r="M28" i="19"/>
  <c r="AB43" i="19" s="1"/>
  <c r="H14" i="25"/>
  <c r="O14" i="25" s="1"/>
  <c r="H18" i="25"/>
  <c r="O18" i="25" s="1"/>
  <c r="AH10" i="22"/>
  <c r="AI27" i="22"/>
  <c r="BI31" i="22"/>
  <c r="BJ16" i="22"/>
  <c r="BX15" i="22"/>
  <c r="BT29" i="22"/>
  <c r="BS14" i="22"/>
  <c r="AX14" i="22"/>
  <c r="N30" i="4"/>
  <c r="BF8" i="22"/>
  <c r="AF8" i="4"/>
  <c r="BC25" i="22"/>
  <c r="AK30" i="22"/>
  <c r="AN14" i="22"/>
  <c r="AH30" i="22"/>
  <c r="AK14" i="22"/>
  <c r="AG30" i="22"/>
  <c r="AJ14" i="22"/>
  <c r="AM14" i="22"/>
  <c r="AN30" i="22"/>
  <c r="AL14" i="22"/>
  <c r="AM30" i="22"/>
  <c r="AI14" i="22"/>
  <c r="N32" i="19"/>
  <c r="AL30" i="22"/>
  <c r="AH14" i="22"/>
  <c r="M32" i="19"/>
  <c r="AA47" i="19" s="1"/>
  <c r="AJ30" i="22"/>
  <c r="AG14" i="22"/>
  <c r="J32" i="19"/>
  <c r="AI30" i="22"/>
  <c r="H32" i="19"/>
  <c r="BA27" i="22"/>
  <c r="BS27" i="22"/>
  <c r="AR27" i="22"/>
  <c r="BE10" i="22"/>
  <c r="BS10" i="22"/>
  <c r="AR10" i="22"/>
  <c r="AT10" i="22"/>
  <c r="AV10" i="22"/>
  <c r="AU27" i="22"/>
  <c r="AV27" i="22"/>
  <c r="BC10" i="22"/>
  <c r="AX27" i="22"/>
  <c r="AY27" i="22"/>
  <c r="AZ27" i="22"/>
  <c r="BB27" i="22"/>
  <c r="BC27" i="22"/>
  <c r="AS10" i="22"/>
  <c r="BV27" i="22"/>
  <c r="BJ27" i="22"/>
  <c r="AY10" i="22"/>
  <c r="BW27" i="22"/>
  <c r="AQ27" i="22"/>
  <c r="BT27" i="22"/>
  <c r="BT10" i="22"/>
  <c r="BW10" i="22"/>
  <c r="BB10" i="22"/>
  <c r="BA10" i="22"/>
  <c r="AS27" i="22"/>
  <c r="BF27" i="22"/>
  <c r="BX10" i="22"/>
  <c r="BH10" i="22"/>
  <c r="BG10" i="22"/>
  <c r="BI10" i="22"/>
  <c r="BJ10" i="22"/>
  <c r="AX10" i="22"/>
  <c r="BE27" i="22"/>
  <c r="BU27" i="22"/>
  <c r="AU10" i="22"/>
  <c r="BX27" i="22"/>
  <c r="AQ10" i="22"/>
  <c r="BF10" i="22"/>
  <c r="H11" i="25"/>
  <c r="BU10" i="22"/>
  <c r="BV10" i="22"/>
  <c r="AZ10" i="22"/>
  <c r="O32" i="4"/>
  <c r="P32" i="4" s="1"/>
  <c r="L32" i="4"/>
  <c r="M32" i="4" s="1"/>
  <c r="Q32" i="4"/>
  <c r="H32" i="4"/>
  <c r="AH47" i="4" s="1"/>
  <c r="R32" i="4"/>
  <c r="F32" i="4"/>
  <c r="P31" i="19"/>
  <c r="P46" i="19"/>
  <c r="O46" i="19"/>
  <c r="K31" i="19"/>
  <c r="L31" i="19" s="1"/>
  <c r="AJ29" i="19" s="1"/>
  <c r="R31" i="19"/>
  <c r="Q31" i="19"/>
  <c r="AC14" i="22"/>
  <c r="AI10" i="4"/>
  <c r="AH10" i="4"/>
  <c r="AG10" i="4"/>
  <c r="AF10" i="4"/>
  <c r="Q31" i="4"/>
  <c r="R31" i="4"/>
  <c r="L31" i="4"/>
  <c r="M31" i="4" s="1"/>
  <c r="O31" i="4"/>
  <c r="P31" i="4" s="1"/>
  <c r="H31" i="4"/>
  <c r="AG46" i="4" s="1"/>
  <c r="F31" i="4"/>
  <c r="AK29" i="22"/>
  <c r="AN13" i="22"/>
  <c r="AH29" i="22"/>
  <c r="AK13" i="22"/>
  <c r="AG29" i="22"/>
  <c r="AJ13" i="22"/>
  <c r="AC15" i="19"/>
  <c r="AB15" i="19"/>
  <c r="AD15" i="19"/>
  <c r="AX11" i="22"/>
  <c r="AZ11" i="22"/>
  <c r="BB11" i="22"/>
  <c r="AX28" i="22"/>
  <c r="BA28" i="22"/>
  <c r="BS28" i="22"/>
  <c r="AR28" i="22"/>
  <c r="AY11" i="22"/>
  <c r="BA11" i="22"/>
  <c r="BC11" i="22"/>
  <c r="BB28" i="22"/>
  <c r="AS28" i="22"/>
  <c r="AQ11" i="22"/>
  <c r="AR11" i="22"/>
  <c r="BT11" i="22"/>
  <c r="BX28" i="22"/>
  <c r="BG11" i="22"/>
  <c r="BJ11" i="22"/>
  <c r="BS11" i="22"/>
  <c r="AU11" i="22"/>
  <c r="AV11" i="22"/>
  <c r="BI11" i="22"/>
  <c r="BE11" i="22"/>
  <c r="AU28" i="22"/>
  <c r="BV11" i="22"/>
  <c r="BJ28" i="22"/>
  <c r="AT28" i="22"/>
  <c r="BF11" i="22"/>
  <c r="BH11" i="22"/>
  <c r="BU28" i="22"/>
  <c r="AZ28" i="22"/>
  <c r="AG13" i="22"/>
  <c r="AJ29" i="22"/>
  <c r="BW28" i="22"/>
  <c r="BT28" i="22"/>
  <c r="AT11" i="22"/>
  <c r="BC28" i="22"/>
  <c r="P30" i="19"/>
  <c r="K30" i="19"/>
  <c r="L30" i="19" s="1"/>
  <c r="AJ28" i="19" s="1"/>
  <c r="R30" i="19"/>
  <c r="P45" i="19"/>
  <c r="O45" i="19"/>
  <c r="Q30" i="19"/>
  <c r="AD14" i="19"/>
  <c r="AB14" i="19"/>
  <c r="AA14" i="19"/>
  <c r="BC29" i="22"/>
  <c r="BE29" i="22"/>
  <c r="AT29" i="22"/>
  <c r="BF12" i="22"/>
  <c r="BT12" i="22"/>
  <c r="AX12" i="22"/>
  <c r="AZ12" i="22"/>
  <c r="BB12" i="22"/>
  <c r="AX29" i="22"/>
  <c r="AY29" i="22"/>
  <c r="BH12" i="22"/>
  <c r="BU12" i="22"/>
  <c r="BW12" i="22"/>
  <c r="BU29" i="22"/>
  <c r="BC12" i="22"/>
  <c r="BA29" i="22"/>
  <c r="AQ12" i="22"/>
  <c r="AR12" i="22"/>
  <c r="BX29" i="22"/>
  <c r="BG12" i="22"/>
  <c r="BJ12" i="22"/>
  <c r="BV12" i="22"/>
  <c r="BX12" i="22"/>
  <c r="BB29" i="22"/>
  <c r="BS12" i="22"/>
  <c r="BS29" i="22"/>
  <c r="AS12" i="22"/>
  <c r="BV29" i="22"/>
  <c r="BW29" i="22"/>
  <c r="BE17" i="22"/>
  <c r="BS17" i="22"/>
  <c r="AR17" i="22"/>
  <c r="AT17" i="22"/>
  <c r="AV17" i="22"/>
  <c r="AU34" i="22"/>
  <c r="AY34" i="22"/>
  <c r="AZ34" i="22"/>
  <c r="AQ17" i="22"/>
  <c r="AS17" i="22"/>
  <c r="AU17" i="22"/>
  <c r="AQ34" i="22"/>
  <c r="BT34" i="22"/>
  <c r="AY17" i="22"/>
  <c r="BV34" i="22"/>
  <c r="BJ34" i="22"/>
  <c r="AZ17" i="22"/>
  <c r="AR34" i="22"/>
  <c r="AS34" i="22"/>
  <c r="AT34" i="22"/>
  <c r="AV34" i="22"/>
  <c r="BF34" i="22"/>
  <c r="BF17" i="22"/>
  <c r="BV17" i="22"/>
  <c r="BX17" i="22"/>
  <c r="BC17" i="22"/>
  <c r="BC34" i="22"/>
  <c r="BJ17" i="22"/>
  <c r="BA34" i="22"/>
  <c r="BW17" i="22"/>
  <c r="BG34" i="22"/>
  <c r="AH13" i="22"/>
  <c r="AL29" i="22"/>
  <c r="BW11" i="22"/>
  <c r="AR29" i="22"/>
  <c r="AU12" i="22"/>
  <c r="AK28" i="22"/>
  <c r="AN12" i="22"/>
  <c r="AH28" i="22"/>
  <c r="AK12" i="22"/>
  <c r="J30" i="19"/>
  <c r="AG28" i="22"/>
  <c r="AJ12" i="22"/>
  <c r="H31" i="19"/>
  <c r="Q11" i="25"/>
  <c r="V33" i="25" s="1"/>
  <c r="R11" i="25"/>
  <c r="H12" i="25"/>
  <c r="AZ30" i="22"/>
  <c r="AQ13" i="22"/>
  <c r="AS13" i="22"/>
  <c r="AU13" i="22"/>
  <c r="AQ30" i="22"/>
  <c r="BT30" i="22"/>
  <c r="BC30" i="22"/>
  <c r="AT30" i="22"/>
  <c r="BF13" i="22"/>
  <c r="BT13" i="22"/>
  <c r="BE13" i="22"/>
  <c r="BS13" i="22"/>
  <c r="AR13" i="22"/>
  <c r="AT13" i="22"/>
  <c r="AV13" i="22"/>
  <c r="AU30" i="22"/>
  <c r="BA13" i="22"/>
  <c r="BB13" i="22"/>
  <c r="BH13" i="22"/>
  <c r="BU13" i="22"/>
  <c r="BW13" i="22"/>
  <c r="BU30" i="22"/>
  <c r="AX13" i="22"/>
  <c r="BV30" i="22"/>
  <c r="BJ30" i="22"/>
  <c r="AX30" i="22"/>
  <c r="AV30" i="22"/>
  <c r="BI13" i="22"/>
  <c r="BJ13" i="22"/>
  <c r="BX13" i="22"/>
  <c r="BX30" i="22"/>
  <c r="BS30" i="22"/>
  <c r="BH30" i="22"/>
  <c r="BW30" i="22"/>
  <c r="AY15" i="22"/>
  <c r="BA15" i="22"/>
  <c r="BC15" i="22"/>
  <c r="BB32" i="22"/>
  <c r="AS32" i="22"/>
  <c r="AV32" i="22"/>
  <c r="AX15" i="22"/>
  <c r="AZ15" i="22"/>
  <c r="BB15" i="22"/>
  <c r="AX32" i="22"/>
  <c r="AQ32" i="22"/>
  <c r="AT32" i="22"/>
  <c r="AU32" i="22"/>
  <c r="BT32" i="22"/>
  <c r="BF15" i="22"/>
  <c r="BH32" i="22"/>
  <c r="BI15" i="22"/>
  <c r="BG32" i="22"/>
  <c r="BW32" i="22"/>
  <c r="AZ32" i="22"/>
  <c r="BC32" i="22"/>
  <c r="BS32" i="22"/>
  <c r="AS15" i="22"/>
  <c r="BX32" i="22"/>
  <c r="BG15" i="22"/>
  <c r="BJ15" i="22"/>
  <c r="AY32" i="22"/>
  <c r="AR32" i="22"/>
  <c r="BA32" i="22"/>
  <c r="BE32" i="22"/>
  <c r="AT15" i="22"/>
  <c r="AU15" i="22"/>
  <c r="AV15" i="22"/>
  <c r="BV15" i="22"/>
  <c r="BW15" i="22"/>
  <c r="BJ32" i="22"/>
  <c r="AY33" i="22"/>
  <c r="AY16" i="22"/>
  <c r="BA16" i="22"/>
  <c r="BC16" i="22"/>
  <c r="BB33" i="22"/>
  <c r="AS33" i="22"/>
  <c r="BF33" i="22"/>
  <c r="BC33" i="22"/>
  <c r="BE33" i="22"/>
  <c r="AT33" i="22"/>
  <c r="BF16" i="22"/>
  <c r="BT16" i="22"/>
  <c r="AZ16" i="22"/>
  <c r="BS16" i="22"/>
  <c r="AV16" i="22"/>
  <c r="AR33" i="22"/>
  <c r="AV33" i="22"/>
  <c r="BV16" i="22"/>
  <c r="BX16" i="22"/>
  <c r="AQ33" i="22"/>
  <c r="AU33" i="22"/>
  <c r="BT33" i="22"/>
  <c r="BH33" i="22"/>
  <c r="BI16" i="22"/>
  <c r="AX33" i="22"/>
  <c r="BA33" i="22"/>
  <c r="AR16" i="22"/>
  <c r="BH16" i="22"/>
  <c r="BU16" i="22"/>
  <c r="BW16" i="22"/>
  <c r="BU33" i="22"/>
  <c r="AX16" i="22"/>
  <c r="BG16" i="22"/>
  <c r="BE16" i="22"/>
  <c r="BB16" i="22"/>
  <c r="AS16" i="22"/>
  <c r="AT16" i="22"/>
  <c r="AU16" i="22"/>
  <c r="H17" i="25"/>
  <c r="AF12" i="4"/>
  <c r="AI12" i="4"/>
  <c r="AH12" i="4"/>
  <c r="AG13" i="4"/>
  <c r="AH13" i="4"/>
  <c r="AF13" i="4"/>
  <c r="AG10" i="22"/>
  <c r="AM12" i="22"/>
  <c r="AI13" i="22"/>
  <c r="AM29" i="22"/>
  <c r="BI17" i="22"/>
  <c r="BG17" i="22"/>
  <c r="BU34" i="22"/>
  <c r="BX11" i="22"/>
  <c r="AR15" i="22"/>
  <c r="BS15" i="22"/>
  <c r="AY30" i="22"/>
  <c r="BB17" i="22"/>
  <c r="AX17" i="22"/>
  <c r="R13" i="25"/>
  <c r="L35" i="25" s="1"/>
  <c r="Q29" i="19"/>
  <c r="K29" i="19"/>
  <c r="L29" i="19" s="1"/>
  <c r="M44" i="19" s="1"/>
  <c r="O44" i="19"/>
  <c r="P44" i="19"/>
  <c r="R29" i="19"/>
  <c r="AA13" i="19"/>
  <c r="AD13" i="19"/>
  <c r="AB13" i="19"/>
  <c r="J31" i="19"/>
  <c r="AI9" i="4"/>
  <c r="AG9" i="4"/>
  <c r="AH9" i="4"/>
  <c r="AL13" i="22"/>
  <c r="AN29" i="22"/>
  <c r="AY28" i="22"/>
  <c r="AK27" i="22"/>
  <c r="AN11" i="22"/>
  <c r="AH27" i="22"/>
  <c r="AK11" i="22"/>
  <c r="AG27" i="22"/>
  <c r="AJ11" i="22"/>
  <c r="M31" i="19"/>
  <c r="AG11" i="22"/>
  <c r="AM13" i="22"/>
  <c r="AJ27" i="22"/>
  <c r="BI12" i="22"/>
  <c r="AV12" i="22"/>
  <c r="BB34" i="22"/>
  <c r="R10" i="25"/>
  <c r="Q10" i="25"/>
  <c r="U32" i="25" s="1"/>
  <c r="AK26" i="22"/>
  <c r="AN10" i="22"/>
  <c r="AH26" i="22"/>
  <c r="AK10" i="22"/>
  <c r="AG26" i="22"/>
  <c r="AJ10" i="22"/>
  <c r="AC12" i="19"/>
  <c r="AB12" i="19"/>
  <c r="AA12" i="19"/>
  <c r="M30" i="19"/>
  <c r="AB45" i="19" s="1"/>
  <c r="N31" i="19"/>
  <c r="Q14" i="25"/>
  <c r="V36" i="25" s="1"/>
  <c r="R14" i="25"/>
  <c r="AL10" i="22"/>
  <c r="AH11" i="22"/>
  <c r="AD12" i="22"/>
  <c r="AN26" i="22"/>
  <c r="AL27" i="22"/>
  <c r="AI28" i="22"/>
  <c r="BG30" i="22"/>
  <c r="BV32" i="22"/>
  <c r="BU17" i="22"/>
  <c r="BT17" i="22"/>
  <c r="BF30" i="22"/>
  <c r="AV29" i="22"/>
  <c r="AQ29" i="22"/>
  <c r="AS11" i="22"/>
  <c r="BS34" i="22"/>
  <c r="BB30" i="22"/>
  <c r="AZ33" i="22"/>
  <c r="BC13" i="22"/>
  <c r="AY12" i="22"/>
  <c r="AQ8" i="22"/>
  <c r="AZ25" i="22"/>
  <c r="BB25" i="22"/>
  <c r="AX25" i="22"/>
  <c r="BB8" i="22"/>
  <c r="BA8" i="22"/>
  <c r="H9" i="25"/>
  <c r="R12" i="25"/>
  <c r="L34" i="25" s="1"/>
  <c r="AA15" i="19"/>
  <c r="O43" i="19"/>
  <c r="P43" i="19"/>
  <c r="R28" i="19"/>
  <c r="P28" i="19"/>
  <c r="Q28" i="19"/>
  <c r="K28" i="19"/>
  <c r="L28" i="19" s="1"/>
  <c r="M43" i="19" s="1"/>
  <c r="Q17" i="25"/>
  <c r="U39" i="25" s="1"/>
  <c r="R17" i="25"/>
  <c r="N28" i="4"/>
  <c r="K28" i="4"/>
  <c r="Z26" i="22"/>
  <c r="AS29" i="22"/>
  <c r="AC11" i="19"/>
  <c r="AD11" i="19"/>
  <c r="AA11" i="19"/>
  <c r="H29" i="19"/>
  <c r="R32" i="19"/>
  <c r="Q32" i="19"/>
  <c r="O47" i="19"/>
  <c r="P32" i="19"/>
  <c r="K32" i="19"/>
  <c r="L32" i="19" s="1"/>
  <c r="AJ30" i="19" s="1"/>
  <c r="P47" i="19"/>
  <c r="Q15" i="25"/>
  <c r="V37" i="25" s="1"/>
  <c r="R15" i="25"/>
  <c r="AI11" i="22"/>
  <c r="AG12" i="22"/>
  <c r="AM27" i="22"/>
  <c r="AJ28" i="22"/>
  <c r="BW34" i="22"/>
  <c r="BV28" i="22"/>
  <c r="BU15" i="22"/>
  <c r="BT15" i="22"/>
  <c r="BF29" i="22"/>
  <c r="AV28" i="22"/>
  <c r="AQ28" i="22"/>
  <c r="BE15" i="22"/>
  <c r="BS33" i="22"/>
  <c r="AZ29" i="22"/>
  <c r="AZ13" i="22"/>
  <c r="P29" i="19"/>
  <c r="AI13" i="4"/>
  <c r="BX31" i="22"/>
  <c r="BV31" i="22"/>
  <c r="BU31" i="22"/>
  <c r="BX14" i="22"/>
  <c r="BH14" i="22"/>
  <c r="BF14" i="22"/>
  <c r="AT31" i="22"/>
  <c r="AR14" i="22"/>
  <c r="L30" i="4"/>
  <c r="M30" i="4" s="1"/>
  <c r="K45" i="4" s="1"/>
  <c r="Q30" i="4"/>
  <c r="R30" i="4"/>
  <c r="Y30" i="22"/>
  <c r="AJ9" i="22"/>
  <c r="AM25" i="22"/>
  <c r="N27" i="19"/>
  <c r="AJ25" i="22"/>
  <c r="AG25" i="22"/>
  <c r="AH9" i="22"/>
  <c r="AK25" i="22"/>
  <c r="M27" i="19"/>
  <c r="AK9" i="22"/>
  <c r="AG9" i="22"/>
  <c r="AH25" i="22"/>
  <c r="AV31" i="22"/>
  <c r="AZ31" i="22"/>
  <c r="AQ14" i="22"/>
  <c r="AS14" i="22"/>
  <c r="AU14" i="22"/>
  <c r="AQ31" i="22"/>
  <c r="BT31" i="22"/>
  <c r="BA31" i="22"/>
  <c r="BS31" i="22"/>
  <c r="AR31" i="22"/>
  <c r="AS31" i="22"/>
  <c r="BF31" i="22"/>
  <c r="BW31" i="22"/>
  <c r="BA14" i="22"/>
  <c r="BB14" i="22"/>
  <c r="BT14" i="22"/>
  <c r="AY31" i="22"/>
  <c r="BB31" i="22"/>
  <c r="BE14" i="22"/>
  <c r="AT14" i="22"/>
  <c r="BU14" i="22"/>
  <c r="AY14" i="22"/>
  <c r="AH11" i="4"/>
  <c r="AG11" i="4"/>
  <c r="AI11" i="4"/>
  <c r="O30" i="4"/>
  <c r="P30" i="4" s="1"/>
  <c r="AG8" i="4"/>
  <c r="I42" i="4"/>
  <c r="BF9" i="22"/>
  <c r="BA26" i="22"/>
  <c r="BF26" i="22"/>
  <c r="AQ26" i="22"/>
  <c r="AA10" i="19"/>
  <c r="H55" i="39"/>
  <c r="BW25" i="22"/>
  <c r="BV8" i="22"/>
  <c r="BA25" i="22"/>
  <c r="AZ8" i="22"/>
  <c r="BT25" i="22"/>
  <c r="BJ8" i="22"/>
  <c r="BT8" i="22"/>
  <c r="AV8" i="22"/>
  <c r="BU25" i="22"/>
  <c r="AY25" i="22"/>
  <c r="AY8" i="22"/>
  <c r="AR25" i="22"/>
  <c r="BI8" i="22"/>
  <c r="BX8" i="22"/>
  <c r="BS8" i="22"/>
  <c r="BC8" i="22"/>
  <c r="AX8" i="22"/>
  <c r="AS8" i="22"/>
  <c r="H37" i="24"/>
  <c r="B152" i="30"/>
  <c r="X11" i="27"/>
  <c r="X14" i="4"/>
  <c r="M11" i="19"/>
  <c r="H149" i="30" s="1"/>
  <c r="I16" i="4"/>
  <c r="L16" i="4" s="1"/>
  <c r="W14" i="4"/>
  <c r="C138" i="37"/>
  <c r="B153" i="30"/>
  <c r="B151" i="30"/>
  <c r="AG49" i="4"/>
  <c r="W10" i="27"/>
  <c r="W19" i="27" s="1"/>
  <c r="W20" i="27" s="1"/>
  <c r="W21" i="27" s="1"/>
  <c r="W22" i="27" s="1"/>
  <c r="V11" i="27"/>
  <c r="AG48" i="4"/>
  <c r="B103" i="30"/>
  <c r="U15" i="4"/>
  <c r="K17" i="19"/>
  <c r="O17" i="19" s="1"/>
  <c r="J155" i="30" s="1"/>
  <c r="H348" i="39"/>
  <c r="H37" i="39"/>
  <c r="H428" i="39"/>
  <c r="H306" i="39"/>
  <c r="H350" i="39"/>
  <c r="H244" i="39"/>
  <c r="H257" i="39"/>
  <c r="H147" i="41"/>
  <c r="H103" i="39"/>
  <c r="H254" i="39"/>
  <c r="H173" i="41"/>
  <c r="H8" i="41"/>
  <c r="H149" i="41"/>
  <c r="H313" i="39"/>
  <c r="H400" i="39"/>
  <c r="H236" i="39"/>
  <c r="H372" i="39"/>
  <c r="H262" i="39"/>
  <c r="H195" i="41"/>
  <c r="H137" i="41"/>
  <c r="H407" i="39"/>
  <c r="H22" i="39"/>
  <c r="H496" i="39"/>
  <c r="H420" i="39"/>
  <c r="H69" i="41"/>
  <c r="H178" i="39"/>
  <c r="H168" i="41"/>
  <c r="H347" i="39"/>
  <c r="H115" i="39"/>
  <c r="H61" i="41"/>
  <c r="H49" i="41"/>
  <c r="H225" i="39"/>
  <c r="H475" i="39"/>
  <c r="H208" i="41"/>
  <c r="H156" i="41"/>
  <c r="H102" i="41"/>
  <c r="H73" i="41"/>
  <c r="H388" i="39"/>
  <c r="H156" i="39"/>
  <c r="H140" i="39"/>
  <c r="H255" i="39"/>
  <c r="H213" i="41"/>
  <c r="H126" i="39"/>
  <c r="H97" i="39"/>
  <c r="H33" i="39"/>
  <c r="H342" i="39"/>
  <c r="H45" i="39"/>
  <c r="H409" i="39"/>
  <c r="H222" i="39"/>
  <c r="H233" i="41"/>
  <c r="H118" i="39"/>
  <c r="H247" i="39"/>
  <c r="H349" i="39"/>
  <c r="H194" i="39"/>
  <c r="H7" i="39"/>
  <c r="H353" i="39"/>
  <c r="H44" i="39"/>
  <c r="H201" i="41"/>
  <c r="H5" i="39"/>
  <c r="B16" i="20" s="1"/>
  <c r="H6" i="39"/>
  <c r="B41" i="20" s="1"/>
  <c r="H57" i="41"/>
  <c r="H431" i="39"/>
  <c r="H51" i="39"/>
  <c r="H264" i="39"/>
  <c r="H210" i="39"/>
  <c r="H88" i="39"/>
  <c r="H422" i="39"/>
  <c r="H116" i="41"/>
  <c r="H425" i="39"/>
  <c r="H111" i="39"/>
  <c r="H405" i="39"/>
  <c r="H63" i="39"/>
  <c r="H326" i="39"/>
  <c r="H261" i="39"/>
  <c r="H97" i="41"/>
  <c r="H451" i="39"/>
  <c r="H303" i="39"/>
  <c r="H458" i="39"/>
  <c r="H231" i="41"/>
  <c r="H250" i="41"/>
  <c r="H359" i="39"/>
  <c r="H42" i="39"/>
  <c r="H393" i="39"/>
  <c r="H489" i="39"/>
  <c r="H143" i="39"/>
  <c r="H79" i="39"/>
  <c r="H477" i="39"/>
  <c r="H402" i="39"/>
  <c r="H88" i="41"/>
  <c r="H406" i="39"/>
  <c r="H92" i="39"/>
  <c r="H369" i="39"/>
  <c r="H54" i="39"/>
  <c r="H281" i="39"/>
  <c r="H187" i="39"/>
  <c r="H371" i="39"/>
  <c r="H448" i="39"/>
  <c r="H263" i="39"/>
  <c r="H509" i="39"/>
  <c r="H494" i="39"/>
  <c r="H241" i="41"/>
  <c r="H439" i="39"/>
  <c r="H189" i="39"/>
  <c r="H292" i="39"/>
  <c r="H282" i="39"/>
  <c r="H32" i="39"/>
  <c r="H259" i="39"/>
  <c r="H239" i="39"/>
  <c r="H21" i="39"/>
  <c r="H67" i="41"/>
  <c r="H498" i="39"/>
  <c r="H181" i="41"/>
  <c r="H10" i="41"/>
  <c r="H318" i="39"/>
  <c r="H108" i="41"/>
  <c r="H50" i="39"/>
  <c r="H172" i="39"/>
  <c r="H48" i="41"/>
  <c r="H208" i="39"/>
  <c r="H454" i="39"/>
  <c r="H124" i="41"/>
  <c r="H240" i="39"/>
  <c r="H122" i="41"/>
  <c r="H211" i="39"/>
  <c r="H63" i="41"/>
  <c r="H78" i="39"/>
  <c r="H463" i="39"/>
  <c r="H149" i="39"/>
  <c r="H441" i="39"/>
  <c r="H93" i="39"/>
  <c r="H248" i="41"/>
  <c r="H253" i="41"/>
  <c r="H499" i="39"/>
  <c r="H5" i="41"/>
  <c r="H138" i="41"/>
  <c r="H74" i="41"/>
  <c r="H160" i="41"/>
  <c r="H132" i="41"/>
  <c r="H109" i="41"/>
  <c r="H132" i="39"/>
  <c r="H195" i="39"/>
  <c r="H133" i="39"/>
  <c r="H503" i="39"/>
  <c r="H9" i="41"/>
  <c r="H274" i="39"/>
  <c r="H421" i="39"/>
  <c r="H487" i="39"/>
  <c r="H121" i="41"/>
  <c r="H404" i="39"/>
  <c r="H181" i="39"/>
  <c r="H34" i="41"/>
  <c r="H105" i="41"/>
  <c r="H231" i="39"/>
  <c r="H95" i="41"/>
  <c r="H202" i="39"/>
  <c r="H54" i="41"/>
  <c r="H67" i="39"/>
  <c r="H71" i="41"/>
  <c r="H139" i="39"/>
  <c r="H432" i="39"/>
  <c r="H77" i="39"/>
  <c r="H240" i="41"/>
  <c r="H245" i="41"/>
  <c r="H134" i="41"/>
  <c r="H4" i="39"/>
  <c r="B31" i="20" s="1"/>
  <c r="H251" i="39"/>
  <c r="H442" i="39"/>
  <c r="H163" i="39"/>
  <c r="H273" i="39"/>
  <c r="H386" i="39"/>
  <c r="H103" i="41"/>
  <c r="H158" i="41"/>
  <c r="H412" i="39"/>
  <c r="H171" i="39"/>
  <c r="H200" i="39"/>
  <c r="H383" i="39"/>
  <c r="H112" i="41"/>
  <c r="H81" i="39"/>
  <c r="H301" i="39"/>
  <c r="H399" i="39"/>
  <c r="H33" i="41"/>
  <c r="H96" i="41"/>
  <c r="H351" i="39"/>
  <c r="H203" i="39"/>
  <c r="H46" i="39"/>
  <c r="H86" i="41"/>
  <c r="H340" i="39"/>
  <c r="H165" i="39"/>
  <c r="H16" i="39"/>
  <c r="H26" i="41"/>
  <c r="H253" i="39"/>
  <c r="H58" i="39"/>
  <c r="H160" i="39"/>
  <c r="H53" i="41"/>
  <c r="H333" i="39"/>
  <c r="H121" i="39"/>
  <c r="H467" i="39"/>
  <c r="H424" i="39"/>
  <c r="H238" i="39"/>
  <c r="H68" i="39"/>
  <c r="H235" i="41"/>
  <c r="H224" i="41"/>
  <c r="H192" i="41"/>
  <c r="H237" i="41"/>
  <c r="H217" i="41"/>
  <c r="C13" i="3"/>
  <c r="D15" i="3" s="1"/>
  <c r="H14" i="41"/>
  <c r="H15" i="41"/>
  <c r="H38" i="39"/>
  <c r="H344" i="39"/>
  <c r="H1" i="41"/>
  <c r="H16" i="41"/>
  <c r="H491" i="39"/>
  <c r="H436" i="39"/>
  <c r="H445" i="39" s="1"/>
  <c r="H500" i="39"/>
  <c r="H251" i="41"/>
  <c r="H225" i="41"/>
  <c r="H172" i="41"/>
  <c r="H197" i="41"/>
  <c r="H167" i="41"/>
  <c r="H206" i="41"/>
  <c r="H176" i="41"/>
  <c r="H215" i="41"/>
  <c r="H185" i="41"/>
  <c r="H232" i="41"/>
  <c r="H506" i="39"/>
  <c r="H180" i="41"/>
  <c r="H204" i="41"/>
  <c r="H482" i="39"/>
  <c r="H52" i="39"/>
  <c r="H117" i="39"/>
  <c r="H182" i="39"/>
  <c r="H246" i="39"/>
  <c r="H311" i="39"/>
  <c r="H384" i="39"/>
  <c r="H27" i="41"/>
  <c r="H91" i="41"/>
  <c r="H155" i="41"/>
  <c r="H472" i="39"/>
  <c r="H56" i="39"/>
  <c r="H130" i="39"/>
  <c r="H204" i="39"/>
  <c r="H278" i="39"/>
  <c r="H398" i="39"/>
  <c r="H215" i="39"/>
  <c r="H427" i="39"/>
  <c r="H452" i="39"/>
  <c r="H86" i="39"/>
  <c r="H169" i="39"/>
  <c r="H289" i="39"/>
  <c r="H453" i="39"/>
  <c r="H87" i="39"/>
  <c r="H161" i="39"/>
  <c r="H234" i="39"/>
  <c r="H308" i="39"/>
  <c r="H382" i="39"/>
  <c r="H36" i="41"/>
  <c r="H118" i="41"/>
  <c r="H449" i="39"/>
  <c r="H72" i="39"/>
  <c r="H147" i="39"/>
  <c r="H220" i="39"/>
  <c r="H294" i="39"/>
  <c r="H378" i="39"/>
  <c r="H31" i="41"/>
  <c r="H104" i="41"/>
  <c r="H471" i="39"/>
  <c r="H64" i="39"/>
  <c r="H138" i="39"/>
  <c r="H212" i="39"/>
  <c r="H286" i="39"/>
  <c r="H361" i="39"/>
  <c r="H434" i="39"/>
  <c r="H78" i="41"/>
  <c r="H151" i="41"/>
  <c r="H426" i="39"/>
  <c r="H106" i="41"/>
  <c r="H325" i="39"/>
  <c r="H468" i="39"/>
  <c r="H180" i="39"/>
  <c r="H375" i="39"/>
  <c r="H148" i="41"/>
  <c r="H155" i="39"/>
  <c r="H356" i="39"/>
  <c r="H130" i="41"/>
  <c r="H135" i="39"/>
  <c r="H330" i="39"/>
  <c r="H117" i="41"/>
  <c r="H124" i="39"/>
  <c r="H366" i="39"/>
  <c r="H85" i="41"/>
  <c r="H24" i="39"/>
  <c r="H90" i="39"/>
  <c r="H173" i="39"/>
  <c r="H64" i="41"/>
  <c r="H76" i="39"/>
  <c r="N11" i="31" s="1"/>
  <c r="W10" i="35" s="1"/>
  <c r="W19" i="35" s="1"/>
  <c r="H17" i="41"/>
  <c r="H492" i="39"/>
  <c r="H40" i="39"/>
  <c r="H358" i="39"/>
  <c r="H22" i="41"/>
  <c r="H178" i="41"/>
  <c r="H212" i="41"/>
  <c r="H488" i="39"/>
  <c r="H171" i="41"/>
  <c r="H165" i="41"/>
  <c r="H229" i="41"/>
  <c r="H495" i="39"/>
  <c r="H238" i="41"/>
  <c r="H504" i="39"/>
  <c r="H247" i="41"/>
  <c r="H200" i="41"/>
  <c r="H170" i="41"/>
  <c r="H202" i="41"/>
  <c r="H219" i="41"/>
  <c r="H502" i="39"/>
  <c r="H19" i="39"/>
  <c r="H85" i="39"/>
  <c r="H150" i="39"/>
  <c r="H214" i="39"/>
  <c r="H279" i="39"/>
  <c r="H352" i="39"/>
  <c r="H416" i="39"/>
  <c r="H59" i="41"/>
  <c r="H123" i="41"/>
  <c r="H483" i="39"/>
  <c r="H9" i="39"/>
  <c r="H94" i="39"/>
  <c r="H168" i="39"/>
  <c r="H241" i="39"/>
  <c r="H324" i="39"/>
  <c r="H70" i="41"/>
  <c r="H345" i="39"/>
  <c r="H89" i="41"/>
  <c r="H48" i="39"/>
  <c r="H131" i="39"/>
  <c r="H224" i="39"/>
  <c r="H44" i="41"/>
  <c r="H49" i="39"/>
  <c r="H123" i="39"/>
  <c r="H197" i="39"/>
  <c r="H272" i="39"/>
  <c r="H346" i="39"/>
  <c r="H419" i="39"/>
  <c r="H81" i="41"/>
  <c r="H154" i="41"/>
  <c r="H35" i="39"/>
  <c r="H110" i="39"/>
  <c r="H184" i="39"/>
  <c r="H258" i="39"/>
  <c r="H331" i="39"/>
  <c r="H414" i="39"/>
  <c r="H68" i="41"/>
  <c r="H141" i="41"/>
  <c r="H27" i="39"/>
  <c r="H102" i="39"/>
  <c r="H176" i="39"/>
  <c r="H249" i="39"/>
  <c r="H323" i="39"/>
  <c r="H397" i="39"/>
  <c r="H41" i="41"/>
  <c r="H114" i="41"/>
  <c r="H362" i="39"/>
  <c r="H52" i="41"/>
  <c r="H205" i="39"/>
  <c r="H418" i="39"/>
  <c r="H80" i="39"/>
  <c r="H275" i="39"/>
  <c r="H66" i="41"/>
  <c r="H59" i="39"/>
  <c r="H256" i="39"/>
  <c r="H47" i="41"/>
  <c r="H34" i="39"/>
  <c r="H235" i="39"/>
  <c r="H28" i="41"/>
  <c r="H41" i="39"/>
  <c r="H55" i="41"/>
  <c r="H337" i="39"/>
  <c r="H411" i="39"/>
  <c r="H120" i="41"/>
  <c r="H479" i="39"/>
  <c r="H226" i="41"/>
  <c r="H189" i="41"/>
  <c r="H249" i="41"/>
  <c r="H236" i="41"/>
  <c r="H175" i="41"/>
  <c r="H230" i="41"/>
  <c r="H199" i="41"/>
  <c r="H193" i="41"/>
  <c r="H256" i="41"/>
  <c r="H218" i="41"/>
  <c r="H220" i="41"/>
  <c r="H11" i="39"/>
  <c r="H101" i="39"/>
  <c r="H190" i="39"/>
  <c r="H271" i="39"/>
  <c r="H368" i="39"/>
  <c r="H35" i="41"/>
  <c r="H115" i="41"/>
  <c r="H456" i="39"/>
  <c r="H65" i="39"/>
  <c r="H159" i="39"/>
  <c r="H260" i="39"/>
  <c r="H417" i="39"/>
  <c r="H316" i="39"/>
  <c r="H473" i="39"/>
  <c r="H95" i="39"/>
  <c r="H196" i="39"/>
  <c r="H476" i="39"/>
  <c r="H96" i="39"/>
  <c r="H188" i="39"/>
  <c r="H290" i="39"/>
  <c r="H391" i="39"/>
  <c r="H72" i="41"/>
  <c r="H470" i="39"/>
  <c r="H82" i="39"/>
  <c r="H175" i="39"/>
  <c r="H276" i="39"/>
  <c r="H387" i="39"/>
  <c r="H58" i="41"/>
  <c r="H159" i="41"/>
  <c r="H73" i="39"/>
  <c r="H167" i="39"/>
  <c r="H268" i="39"/>
  <c r="H370" i="39"/>
  <c r="H32" i="41"/>
  <c r="H133" i="41"/>
  <c r="H435" i="39"/>
  <c r="H161" i="41"/>
  <c r="H62" i="41"/>
  <c r="H201" i="39"/>
  <c r="H46" i="41"/>
  <c r="H107" i="39"/>
  <c r="H377" i="39"/>
  <c r="H13" i="39"/>
  <c r="H283" i="39"/>
  <c r="H153" i="41"/>
  <c r="H365" i="39"/>
  <c r="H71" i="39"/>
  <c r="H164" i="39"/>
  <c r="H126" i="41"/>
  <c r="H374" i="39"/>
  <c r="H98" i="39"/>
  <c r="H30" i="41"/>
  <c r="H146" i="39"/>
  <c r="H37" i="41"/>
  <c r="H153" i="39"/>
  <c r="H38" i="41"/>
  <c r="H199" i="39"/>
  <c r="H119" i="41"/>
  <c r="H217" i="39"/>
  <c r="H2" i="41"/>
  <c r="H6" i="41"/>
  <c r="H205" i="41"/>
  <c r="H194" i="41"/>
  <c r="H36" i="39"/>
  <c r="H206" i="39"/>
  <c r="H392" i="39"/>
  <c r="H139" i="41"/>
  <c r="H84" i="39"/>
  <c r="H288" i="39"/>
  <c r="H390" i="39"/>
  <c r="H122" i="39"/>
  <c r="H12" i="39"/>
  <c r="H216" i="39"/>
  <c r="H410" i="39"/>
  <c r="H20" i="41"/>
  <c r="H164" i="41"/>
  <c r="H228" i="41"/>
  <c r="H187" i="41"/>
  <c r="H166" i="41"/>
  <c r="H183" i="41"/>
  <c r="H246" i="41"/>
  <c r="H207" i="41"/>
  <c r="H497" i="39"/>
  <c r="H186" i="41"/>
  <c r="H234" i="41"/>
  <c r="H252" i="41"/>
  <c r="H28" i="39"/>
  <c r="H109" i="39"/>
  <c r="H198" i="39"/>
  <c r="H287" i="39"/>
  <c r="H376" i="39"/>
  <c r="H43" i="41"/>
  <c r="H131" i="41"/>
  <c r="H462" i="39"/>
  <c r="H74" i="39"/>
  <c r="H177" i="39"/>
  <c r="H269" i="39"/>
  <c r="H8" i="39"/>
  <c r="H363" i="39"/>
  <c r="H485" i="39"/>
  <c r="H113" i="39"/>
  <c r="H233" i="39"/>
  <c r="H486" i="39"/>
  <c r="H105" i="39"/>
  <c r="H207" i="39"/>
  <c r="H299" i="39"/>
  <c r="H401" i="39"/>
  <c r="H90" i="41"/>
  <c r="H480" i="39"/>
  <c r="H91" i="39"/>
  <c r="H193" i="39"/>
  <c r="H285" i="39"/>
  <c r="H396" i="39"/>
  <c r="H77" i="41"/>
  <c r="H461" i="39"/>
  <c r="H83" i="39"/>
  <c r="H185" i="39"/>
  <c r="H277" i="39"/>
  <c r="H379" i="39"/>
  <c r="H50" i="41"/>
  <c r="H142" i="41"/>
  <c r="H24" i="41"/>
  <c r="H252" i="39"/>
  <c r="H80" i="41"/>
  <c r="H227" i="39"/>
  <c r="H93" i="41"/>
  <c r="H134" i="39"/>
  <c r="H403" i="39"/>
  <c r="H61" i="39"/>
  <c r="H309" i="39"/>
  <c r="H478" i="39"/>
  <c r="H146" i="41"/>
  <c r="H320" i="39"/>
  <c r="H284" i="39"/>
  <c r="H43" i="39"/>
  <c r="H413" i="39"/>
  <c r="H144" i="39"/>
  <c r="H65" i="41"/>
  <c r="H191" i="39"/>
  <c r="H76" i="41"/>
  <c r="H192" i="39"/>
  <c r="H82" i="41"/>
  <c r="H237" i="39"/>
  <c r="H144" i="41"/>
  <c r="H367" i="39"/>
  <c r="H3" i="41"/>
  <c r="H11" i="41"/>
  <c r="H341" i="39"/>
  <c r="K153" i="38" s="1"/>
  <c r="H21" i="41"/>
  <c r="H243" i="41"/>
  <c r="H190" i="41"/>
  <c r="H507" i="39"/>
  <c r="H191" i="41"/>
  <c r="H254" i="41"/>
  <c r="H223" i="41"/>
  <c r="H505" i="39"/>
  <c r="H188" i="41"/>
  <c r="H174" i="41"/>
  <c r="H125" i="39"/>
  <c r="H295" i="39"/>
  <c r="H51" i="41"/>
  <c r="H484" i="39"/>
  <c r="H186" i="39"/>
  <c r="H42" i="41"/>
  <c r="H10" i="39"/>
  <c r="H242" i="39"/>
  <c r="H114" i="39"/>
  <c r="H317" i="39"/>
  <c r="H100" i="41"/>
  <c r="H20" i="39"/>
  <c r="H18" i="41"/>
  <c r="H357" i="39"/>
  <c r="H39" i="39"/>
  <c r="H501" i="39"/>
  <c r="H209" i="41"/>
  <c r="H508" i="39"/>
  <c r="H221" i="41"/>
  <c r="H493" i="39"/>
  <c r="H184" i="41"/>
  <c r="H239" i="41"/>
  <c r="H216" i="41"/>
  <c r="H163" i="41"/>
  <c r="H203" i="41"/>
  <c r="H466" i="39"/>
  <c r="H60" i="39"/>
  <c r="H141" i="39"/>
  <c r="H230" i="39"/>
  <c r="H319" i="39"/>
  <c r="H408" i="39"/>
  <c r="H75" i="41"/>
  <c r="H459" i="39"/>
  <c r="H145" i="39"/>
  <c r="H112" i="39"/>
  <c r="H213" i="39"/>
  <c r="H315" i="39"/>
  <c r="H125" i="41"/>
  <c r="H25" i="41"/>
  <c r="H30" i="39"/>
  <c r="H151" i="39"/>
  <c r="H334" i="39"/>
  <c r="H31" i="39"/>
  <c r="H142" i="39"/>
  <c r="H243" i="39"/>
  <c r="H336" i="39"/>
  <c r="H438" i="39"/>
  <c r="H127" i="41"/>
  <c r="H26" i="39"/>
  <c r="H128" i="39"/>
  <c r="H229" i="39"/>
  <c r="H322" i="39"/>
  <c r="H433" i="39"/>
  <c r="H113" i="41"/>
  <c r="H17" i="39"/>
  <c r="H120" i="39"/>
  <c r="H221" i="39"/>
  <c r="H314" i="39"/>
  <c r="H415" i="39"/>
  <c r="H87" i="41"/>
  <c r="H343" i="39"/>
  <c r="H79" i="41"/>
  <c r="H354" i="39"/>
  <c r="H53" i="39"/>
  <c r="H328" i="39"/>
  <c r="H469" i="39"/>
  <c r="H228" i="39"/>
  <c r="H94" i="41"/>
  <c r="H162" i="39"/>
  <c r="H430" i="39"/>
  <c r="H89" i="39"/>
  <c r="H92" i="41"/>
  <c r="H291" i="39"/>
  <c r="H245" i="39"/>
  <c r="H218" i="39"/>
  <c r="H128" i="41"/>
  <c r="H265" i="39"/>
  <c r="H162" i="41"/>
  <c r="H310" i="39"/>
  <c r="H490" i="39"/>
  <c r="H312" i="39"/>
  <c r="H23" i="39"/>
  <c r="H394" i="39"/>
  <c r="H321" i="39"/>
  <c r="H7" i="41"/>
  <c r="H2" i="39"/>
  <c r="B25" i="20" s="1"/>
  <c r="H3" i="39"/>
  <c r="B26" i="20" s="1"/>
  <c r="H45" i="41"/>
  <c r="H135" i="41"/>
  <c r="H12" i="41"/>
  <c r="H70" i="39"/>
  <c r="H266" i="39"/>
  <c r="H29" i="41"/>
  <c r="H101" i="41"/>
  <c r="H209" i="39"/>
  <c r="H446" i="39"/>
  <c r="H307" i="39"/>
  <c r="H389" i="39"/>
  <c r="H332" i="39"/>
  <c r="H450" i="39"/>
  <c r="H304" i="39"/>
  <c r="H460" i="39"/>
  <c r="H179" i="39"/>
  <c r="H75" i="39"/>
  <c r="H250" i="39"/>
  <c r="H107" i="41"/>
  <c r="H174" i="39"/>
  <c r="H210" i="41"/>
  <c r="H222" i="41"/>
  <c r="H242" i="41"/>
  <c r="H4" i="41"/>
  <c r="H84" i="41"/>
  <c r="H140" i="41"/>
  <c r="H69" i="39"/>
  <c r="H226" i="39"/>
  <c r="H300" i="39"/>
  <c r="H338" i="39"/>
  <c r="H25" i="39"/>
  <c r="H136" i="39"/>
  <c r="H14" i="39"/>
  <c r="H183" i="39"/>
  <c r="H329" i="39"/>
  <c r="H129" i="41"/>
  <c r="H127" i="39"/>
  <c r="H280" i="39"/>
  <c r="H380" i="39"/>
  <c r="H23" i="41"/>
  <c r="H305" i="39"/>
  <c r="H148" i="39"/>
  <c r="H481" i="39"/>
  <c r="H443" i="39"/>
  <c r="H267" i="39"/>
  <c r="H119" i="39"/>
  <c r="H145" i="41"/>
  <c r="H364" i="39"/>
  <c r="H170" i="39"/>
  <c r="H437" i="39"/>
  <c r="H66" i="39"/>
  <c r="H270" i="39"/>
  <c r="H232" i="39"/>
  <c r="H29" i="39"/>
  <c r="H99" i="41"/>
  <c r="H335" i="39"/>
  <c r="H166" i="39"/>
  <c r="H447" i="39"/>
  <c r="H510" i="39"/>
  <c r="H169" i="41"/>
  <c r="H214" i="41"/>
  <c r="H227" i="41"/>
  <c r="H182" i="41"/>
  <c r="H19" i="41"/>
  <c r="H440" i="39"/>
  <c r="H116" i="39"/>
  <c r="H339" i="39"/>
  <c r="H56" i="41"/>
  <c r="H62" i="39"/>
  <c r="H429" i="39"/>
  <c r="H154" i="39"/>
  <c r="H60" i="41"/>
  <c r="H157" i="39"/>
  <c r="H40" i="41"/>
  <c r="H137" i="39"/>
  <c r="H373" i="39"/>
  <c r="H464" i="39"/>
  <c r="H298" i="39"/>
  <c r="H47" i="39"/>
  <c r="H360" i="39"/>
  <c r="H455" i="39"/>
  <c r="H177" i="41"/>
  <c r="H196" i="41"/>
  <c r="H13" i="41"/>
  <c r="H157" i="41"/>
  <c r="H39" i="41"/>
  <c r="H110" i="41"/>
  <c r="H15" i="39"/>
  <c r="H99" i="39"/>
  <c r="H219" i="39"/>
  <c r="H293" i="39"/>
  <c r="H395" i="39"/>
  <c r="H465" i="39"/>
  <c r="H98" i="41"/>
  <c r="H108" i="39"/>
  <c r="H302" i="39"/>
  <c r="H111" i="41"/>
  <c r="H106" i="39"/>
  <c r="H143" i="41"/>
  <c r="H297" i="39"/>
  <c r="H444" i="39"/>
  <c r="H296" i="39"/>
  <c r="H129" i="39"/>
  <c r="H150" i="41"/>
  <c r="H423" i="39"/>
  <c r="H248" i="39"/>
  <c r="H100" i="39"/>
  <c r="H136" i="41"/>
  <c r="H355" i="39"/>
  <c r="H152" i="39"/>
  <c r="H381" i="39"/>
  <c r="H57" i="39"/>
  <c r="H152" i="41"/>
  <c r="H223" i="39"/>
  <c r="H18" i="39"/>
  <c r="H83" i="41"/>
  <c r="H327" i="39"/>
  <c r="H158" i="39"/>
  <c r="H474" i="39"/>
  <c r="H179" i="41"/>
  <c r="H255" i="41"/>
  <c r="H198" i="41"/>
  <c r="H211" i="41"/>
  <c r="H244" i="41"/>
  <c r="H104" i="39"/>
  <c r="G69" i="5"/>
  <c r="N69" i="5" s="1"/>
  <c r="J69" i="5"/>
  <c r="O69" i="5" s="1"/>
  <c r="J32" i="5"/>
  <c r="K32" i="5"/>
  <c r="J64" i="5" s="1"/>
  <c r="D14" i="5"/>
  <c r="N14" i="5" s="1"/>
  <c r="N94" i="5" s="1"/>
  <c r="E14" i="5"/>
  <c r="O14" i="5" s="1"/>
  <c r="D12" i="5"/>
  <c r="N12" i="5" s="1"/>
  <c r="E12" i="5"/>
  <c r="O12" i="5" s="1"/>
  <c r="J42" i="5"/>
  <c r="AH50" i="5"/>
  <c r="D60" i="5"/>
  <c r="Q34" i="10"/>
  <c r="AA12" i="5"/>
  <c r="AB18" i="5"/>
  <c r="Q38" i="10"/>
  <c r="Q40" i="10"/>
  <c r="D59" i="5"/>
  <c r="E34" i="10"/>
  <c r="R34" i="10" s="1"/>
  <c r="G40" i="5"/>
  <c r="D55" i="17"/>
  <c r="G55" i="17" s="1"/>
  <c r="G53" i="17"/>
  <c r="E36" i="10"/>
  <c r="R36" i="10" s="1"/>
  <c r="F95" i="5"/>
  <c r="S40" i="10"/>
  <c r="Z19" i="5"/>
  <c r="G95" i="5"/>
  <c r="E40" i="10"/>
  <c r="R40" i="10" s="1"/>
  <c r="Q37" i="10"/>
  <c r="Q41" i="10"/>
  <c r="AA16" i="5"/>
  <c r="J87" i="5"/>
  <c r="Q39" i="10"/>
  <c r="F91" i="5"/>
  <c r="AH22"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H66" i="5" s="1"/>
  <c r="G41" i="10"/>
  <c r="S41" i="10" s="1"/>
  <c r="G44" i="5"/>
  <c r="S36" i="10"/>
  <c r="S38" i="10"/>
  <c r="S35" i="10"/>
  <c r="AB16" i="5"/>
  <c r="AB17" i="5"/>
  <c r="AB19" i="5"/>
  <c r="AA20" i="5"/>
  <c r="H93" i="5"/>
  <c r="AB13" i="5"/>
  <c r="AA18" i="5"/>
  <c r="Z18" i="5"/>
  <c r="AB20" i="5"/>
  <c r="K40" i="5"/>
  <c r="K57" i="5" s="1"/>
  <c r="F46" i="5"/>
  <c r="K85" i="5"/>
  <c r="K86" i="5"/>
  <c r="K87" i="5"/>
  <c r="H60" i="5"/>
  <c r="H65" i="5"/>
  <c r="H63" i="5"/>
  <c r="H68" i="5"/>
  <c r="H62" i="5"/>
  <c r="K60" i="5"/>
  <c r="K65" i="5"/>
  <c r="K63" i="5"/>
  <c r="K66" i="5"/>
  <c r="K64" i="5"/>
  <c r="K67" i="5"/>
  <c r="K61"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AH49" i="5"/>
  <c r="M33" i="5"/>
  <c r="K62" i="5"/>
  <c r="M34" i="5"/>
  <c r="F44" i="5"/>
  <c r="M32" i="5"/>
  <c r="C15" i="5"/>
  <c r="D133" i="35" s="1"/>
  <c r="J70" i="5"/>
  <c r="O70" i="5" s="1"/>
  <c r="F63" i="5"/>
  <c r="C20" i="5"/>
  <c r="D138" i="35" s="1"/>
  <c r="F70" i="5"/>
  <c r="M70" i="5" s="1"/>
  <c r="C17" i="5"/>
  <c r="D135" i="35" s="1"/>
  <c r="G71" i="5"/>
  <c r="N71" i="5" s="1"/>
  <c r="F69" i="5"/>
  <c r="M69" i="5" s="1"/>
  <c r="C19" i="5"/>
  <c r="D137" i="35" s="1"/>
  <c r="C16" i="5"/>
  <c r="D134" i="35" s="1"/>
  <c r="J71" i="5"/>
  <c r="O71" i="5" s="1"/>
  <c r="F64" i="5"/>
  <c r="C18" i="5"/>
  <c r="D136" i="35" s="1"/>
  <c r="F71" i="5"/>
  <c r="M71" i="5" s="1"/>
  <c r="B155" i="30"/>
  <c r="E101" i="30"/>
  <c r="J13" i="4" s="1"/>
  <c r="B101" i="30"/>
  <c r="U16" i="4"/>
  <c r="W13" i="4"/>
  <c r="C137" i="37"/>
  <c r="AG51" i="4"/>
  <c r="U13" i="4"/>
  <c r="F141" i="37"/>
  <c r="J17" i="27" s="1"/>
  <c r="B104" i="30"/>
  <c r="F140" i="37"/>
  <c r="J16" i="27" s="1"/>
  <c r="X17" i="4"/>
  <c r="I13" i="4"/>
  <c r="L13" i="4" s="1"/>
  <c r="F137" i="37"/>
  <c r="J13" i="27" s="1"/>
  <c r="I12" i="19"/>
  <c r="J12" i="19" s="1"/>
  <c r="E105" i="30"/>
  <c r="J17" i="4" s="1"/>
  <c r="AB12" i="5"/>
  <c r="U45" i="25"/>
  <c r="L48" i="19"/>
  <c r="AI31" i="19" s="1"/>
  <c r="K50" i="19"/>
  <c r="AH33" i="19" s="1"/>
  <c r="L44" i="25"/>
  <c r="U43" i="25"/>
  <c r="L43" i="25"/>
  <c r="V46" i="25"/>
  <c r="U40" i="25"/>
  <c r="O36" i="19"/>
  <c r="V34" i="25"/>
  <c r="T18" i="10"/>
  <c r="AK36" i="10" s="1"/>
  <c r="T22" i="10"/>
  <c r="I40" i="10" s="1"/>
  <c r="W22" i="4"/>
  <c r="Q36" i="4" s="1"/>
  <c r="Q35" i="4"/>
  <c r="B100" i="30"/>
  <c r="F136" i="37"/>
  <c r="J12" i="27" s="1"/>
  <c r="U20" i="10"/>
  <c r="J38" i="10" s="1"/>
  <c r="W15" i="27"/>
  <c r="O33" i="19"/>
  <c r="C140" i="37"/>
  <c r="I17" i="4"/>
  <c r="L17" i="4" s="1"/>
  <c r="X15" i="4"/>
  <c r="U14" i="4"/>
  <c r="I11" i="27"/>
  <c r="L11" i="27" s="1"/>
  <c r="J135" i="37" s="1"/>
  <c r="M11" i="27" s="1"/>
  <c r="B150" i="30"/>
  <c r="C141" i="37"/>
  <c r="AB48" i="19"/>
  <c r="W16" i="4"/>
  <c r="E100" i="30"/>
  <c r="J12" i="4" s="1"/>
  <c r="C136" i="37"/>
  <c r="X12" i="4"/>
  <c r="W17" i="4"/>
  <c r="W12" i="4"/>
  <c r="T20" i="10"/>
  <c r="I38" i="10" s="1"/>
  <c r="H150" i="30"/>
  <c r="B105" i="30"/>
  <c r="V16" i="27"/>
  <c r="B154" i="30"/>
  <c r="E104" i="30"/>
  <c r="J16" i="4" s="1"/>
  <c r="T11" i="10"/>
  <c r="K135" i="35"/>
  <c r="H44" i="24"/>
  <c r="I44" i="24"/>
  <c r="AC18" i="24"/>
  <c r="Z21" i="24"/>
  <c r="H41" i="24"/>
  <c r="Z19" i="24"/>
  <c r="AB21" i="24"/>
  <c r="Z17" i="24"/>
  <c r="AB19" i="24"/>
  <c r="H43" i="24"/>
  <c r="I39" i="24"/>
  <c r="AC19" i="24"/>
  <c r="Z22" i="24"/>
  <c r="M45" i="24"/>
  <c r="I41" i="24"/>
  <c r="M42"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M44" i="25"/>
  <c r="L49" i="19"/>
  <c r="AI32" i="19" s="1"/>
  <c r="K49" i="19"/>
  <c r="AH32" i="19" s="1"/>
  <c r="T21" i="10"/>
  <c r="AK39" i="10" s="1"/>
  <c r="U23" i="10"/>
  <c r="AL41" i="10" s="1"/>
  <c r="AO46" i="9"/>
  <c r="AK37" i="9"/>
  <c r="AR47" i="9"/>
  <c r="AJ45" i="9"/>
  <c r="AO36" i="9"/>
  <c r="S13" i="9"/>
  <c r="W11" i="9"/>
  <c r="AW36" i="9"/>
  <c r="AO37" i="9"/>
  <c r="AG42" i="9"/>
  <c r="AF42" i="15"/>
  <c r="AS37" i="9"/>
  <c r="W21" i="9"/>
  <c r="AN23" i="9" s="1"/>
  <c r="O12" i="24"/>
  <c r="O15" i="24"/>
  <c r="AN36" i="9"/>
  <c r="AQ46" i="9"/>
  <c r="AI38" i="9"/>
  <c r="AI46" i="9"/>
  <c r="AU38" i="9"/>
  <c r="X21" i="9"/>
  <c r="AH23" i="9" s="1"/>
  <c r="AM42" i="9"/>
  <c r="X20" i="9"/>
  <c r="Y20" i="9" s="1"/>
  <c r="AZ45" i="9" s="1"/>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X13" i="9"/>
  <c r="AI15" i="9" s="1"/>
  <c r="AT46" i="9"/>
  <c r="AK41" i="9"/>
  <c r="AF38" i="15"/>
  <c r="AS47" i="9"/>
  <c r="AP47" i="9"/>
  <c r="AH46" i="9"/>
  <c r="AH38" i="9"/>
  <c r="X11" i="9"/>
  <c r="AI17" i="15"/>
  <c r="S21" i="9"/>
  <c r="AN34" i="9"/>
  <c r="AF45" i="9"/>
  <c r="AP42" i="9"/>
  <c r="AT36" i="9"/>
  <c r="AI42" i="9"/>
  <c r="AS44" i="9"/>
  <c r="AF36" i="15"/>
  <c r="P20" i="9"/>
  <c r="AM41" i="9"/>
  <c r="AJ42" i="9"/>
  <c r="AQ35" i="9"/>
  <c r="AF34" i="15"/>
  <c r="AW47" i="9"/>
  <c r="AM44" i="9"/>
  <c r="AR42" i="9"/>
  <c r="AL47" i="9"/>
  <c r="S18" i="9"/>
  <c r="Q46" i="9"/>
  <c r="AG41" i="9"/>
  <c r="AV39" i="9"/>
  <c r="AN37" i="9"/>
  <c r="AL39" i="9"/>
  <c r="AP35" i="9"/>
  <c r="AI41" i="9"/>
  <c r="T19" i="15"/>
  <c r="AK21" i="15" s="1"/>
  <c r="AJ17" i="15"/>
  <c r="AF41" i="15"/>
  <c r="R42" i="15"/>
  <c r="AF45" i="15"/>
  <c r="U13" i="15"/>
  <c r="R18" i="9"/>
  <c r="AG44" i="9"/>
  <c r="AV35" i="9"/>
  <c r="AH44" i="15"/>
  <c r="AW35" i="9"/>
  <c r="AT44" i="9"/>
  <c r="AG37" i="9"/>
  <c r="AT34" i="9"/>
  <c r="AW45" i="9"/>
  <c r="R36" i="15"/>
  <c r="AI20" i="15"/>
  <c r="R40" i="15"/>
  <c r="AO21" i="15"/>
  <c r="AO25" i="15"/>
  <c r="Q16" i="9"/>
  <c r="AH34" i="9"/>
  <c r="AR45" i="9"/>
  <c r="AP38" i="9"/>
  <c r="AH44" i="9"/>
  <c r="AM37" i="9"/>
  <c r="AR38" i="9"/>
  <c r="AJ35" i="9"/>
  <c r="P45" i="9"/>
  <c r="O10" i="24"/>
  <c r="O13" i="24"/>
  <c r="AG40" i="15"/>
  <c r="AH41" i="15"/>
  <c r="AG44" i="15"/>
  <c r="AP43" i="9"/>
  <c r="R44" i="15"/>
  <c r="AF40" i="9"/>
  <c r="W17" i="9"/>
  <c r="AH43" i="15"/>
  <c r="Q39" i="9"/>
  <c r="P13" i="9"/>
  <c r="AF42" i="9"/>
  <c r="AV47" i="9"/>
  <c r="AU41" i="9"/>
  <c r="X17" i="9"/>
  <c r="AI19" i="9" s="1"/>
  <c r="AN44" i="9"/>
  <c r="AP44" i="9"/>
  <c r="W14" i="9"/>
  <c r="AN16" i="9" s="1"/>
  <c r="AI37" i="9"/>
  <c r="AT40" i="9"/>
  <c r="AF37" i="9"/>
  <c r="AM35" i="9"/>
  <c r="AM39" i="9"/>
  <c r="Q44" i="9"/>
  <c r="AQ38" i="9"/>
  <c r="AW37" i="9"/>
  <c r="P44" i="9"/>
  <c r="T12" i="15"/>
  <c r="AM17" i="15"/>
  <c r="T9" i="9"/>
  <c r="E129" i="31" s="1"/>
  <c r="V9" i="9" s="1"/>
  <c r="AG43" i="9"/>
  <c r="AV44" i="9"/>
  <c r="AK35" i="9"/>
  <c r="AV43" i="9"/>
  <c r="AG43" i="15"/>
  <c r="AI24" i="15"/>
  <c r="AN21" i="15"/>
  <c r="AL40" i="9"/>
  <c r="AH36" i="15"/>
  <c r="AG40" i="9"/>
  <c r="AH37" i="9"/>
  <c r="AV46" i="9"/>
  <c r="AO41" i="9"/>
  <c r="W13" i="9"/>
  <c r="AG15" i="9" s="1"/>
  <c r="AJ44" i="9"/>
  <c r="AW39" i="9"/>
  <c r="AQ39" i="9"/>
  <c r="AH40" i="9"/>
  <c r="AL37" i="9"/>
  <c r="P39" i="9"/>
  <c r="AU36" i="9"/>
  <c r="AF32" i="15"/>
  <c r="AF34" i="9"/>
  <c r="X10" i="9"/>
  <c r="Y10" i="9" s="1"/>
  <c r="AZ35" i="9" s="1"/>
  <c r="AH36" i="9"/>
  <c r="AV38" i="9"/>
  <c r="AR40" i="9"/>
  <c r="AG47" i="9"/>
  <c r="AP21" i="9"/>
  <c r="AO17" i="15"/>
  <c r="AM19" i="15"/>
  <c r="X12" i="9"/>
  <c r="R20" i="9"/>
  <c r="T11" i="9"/>
  <c r="AF43" i="15"/>
  <c r="AQ36" i="9"/>
  <c r="X14" i="9"/>
  <c r="AO16" i="9" s="1"/>
  <c r="AJ22" i="15"/>
  <c r="S39" i="15"/>
  <c r="AP24" i="15"/>
  <c r="AO24" i="15"/>
  <c r="AI25" i="15"/>
  <c r="AO18" i="15"/>
  <c r="W15" i="9"/>
  <c r="AM17" i="9" s="1"/>
  <c r="T12" i="9"/>
  <c r="AM47" i="9"/>
  <c r="AH45" i="9"/>
  <c r="W19" i="9"/>
  <c r="Y19" i="9" s="1"/>
  <c r="K44" i="9" s="1"/>
  <c r="AW38" i="9"/>
  <c r="AR34" i="9"/>
  <c r="AV34" i="9"/>
  <c r="AP39" i="9"/>
  <c r="AT38" i="9"/>
  <c r="AO42" i="9"/>
  <c r="AN40" i="9"/>
  <c r="AM40" i="9"/>
  <c r="AG34" i="9"/>
  <c r="AI36" i="9"/>
  <c r="AS40" i="9"/>
  <c r="D48" i="9"/>
  <c r="Q43" i="9"/>
  <c r="O11" i="24"/>
  <c r="T15" i="15"/>
  <c r="J36" i="15" s="1"/>
  <c r="AJ21" i="15"/>
  <c r="R41" i="15"/>
  <c r="AH45" i="15"/>
  <c r="AP19" i="15"/>
  <c r="AM26" i="15"/>
  <c r="W12" i="9"/>
  <c r="S12" i="9"/>
  <c r="AS45" i="9"/>
  <c r="AJ43" i="9"/>
  <c r="AL34" i="9"/>
  <c r="AN38" i="9"/>
  <c r="AU42" i="9"/>
  <c r="AO40" i="9"/>
  <c r="AN45" i="9"/>
  <c r="Q41" i="9"/>
  <c r="T14" i="15"/>
  <c r="AO44" i="9"/>
  <c r="S19" i="9"/>
  <c r="E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AT35" i="9"/>
  <c r="AN35" i="9"/>
  <c r="AH35" i="9"/>
  <c r="Q14" i="9"/>
  <c r="AG39" i="9"/>
  <c r="P16" i="9"/>
  <c r="AF41" i="9"/>
  <c r="AL41" i="9"/>
  <c r="AM46" i="9"/>
  <c r="AS46" i="9"/>
  <c r="Q21" i="9"/>
  <c r="AJ26" i="15"/>
  <c r="AM21" i="15"/>
  <c r="AP22" i="15"/>
  <c r="AM25" i="15"/>
  <c r="AI22" i="15"/>
  <c r="AN17" i="15"/>
  <c r="AG36" i="15"/>
  <c r="AP17" i="15"/>
  <c r="U15" i="15"/>
  <c r="L36" i="15" s="1"/>
  <c r="P14" i="9"/>
  <c r="S10" i="9"/>
  <c r="AJ24" i="15"/>
  <c r="T17" i="15"/>
  <c r="AG37" i="15"/>
  <c r="R37" i="15"/>
  <c r="U12" i="15"/>
  <c r="P42" i="9"/>
  <c r="AL46" i="9"/>
  <c r="P21" i="9"/>
  <c r="S41" i="15"/>
  <c r="AN19" i="15"/>
  <c r="F46" i="15"/>
  <c r="Y93" i="31" s="1"/>
  <c r="AH38" i="15"/>
  <c r="AJ23" i="15"/>
  <c r="AM18" i="9"/>
  <c r="AG39" i="15"/>
  <c r="AQ34" i="9"/>
  <c r="AF39" i="15"/>
  <c r="AS38" i="9"/>
  <c r="AI34" i="9"/>
  <c r="AU34" i="9"/>
  <c r="AO34" i="9"/>
  <c r="AW41" i="9"/>
  <c r="AQ41" i="9"/>
  <c r="P18" i="9"/>
  <c r="AL43" i="9"/>
  <c r="AR43" i="9"/>
  <c r="S22" i="9"/>
  <c r="AI47" i="9"/>
  <c r="P41" i="9"/>
  <c r="Q42" i="9"/>
  <c r="AM22" i="9"/>
  <c r="AN18" i="15"/>
  <c r="AF46" i="9"/>
  <c r="AO43" i="9"/>
  <c r="X16" i="9"/>
  <c r="AP18" i="9" s="1"/>
  <c r="AN42" i="9"/>
  <c r="S42" i="15"/>
  <c r="R45" i="15"/>
  <c r="S43" i="15"/>
  <c r="AR46" i="9"/>
  <c r="AP36" i="9"/>
  <c r="AV36" i="9"/>
  <c r="AI39" i="9"/>
  <c r="AU39" i="9"/>
  <c r="AO39" i="9"/>
  <c r="AR44" i="9"/>
  <c r="T20" i="9"/>
  <c r="AV45" i="9"/>
  <c r="AJ18" i="15"/>
  <c r="AI18" i="15"/>
  <c r="S45" i="15"/>
  <c r="R39" i="15"/>
  <c r="C46" i="15"/>
  <c r="AI21" i="15"/>
  <c r="AN22" i="9"/>
  <c r="X15" i="9"/>
  <c r="AP17" i="9" s="1"/>
  <c r="Q20" i="9"/>
  <c r="P17" i="9"/>
  <c r="R10" i="9"/>
  <c r="AQ43" i="9"/>
  <c r="AK43" i="9"/>
  <c r="X18" i="9"/>
  <c r="Y18" i="9" s="1"/>
  <c r="AW43" i="9"/>
  <c r="AN47" i="9"/>
  <c r="AH47" i="9"/>
  <c r="AN20" i="9"/>
  <c r="AN24" i="9"/>
  <c r="AP20" i="15"/>
  <c r="AN22" i="15"/>
  <c r="AG45" i="9"/>
  <c r="X9" i="9"/>
  <c r="W9" i="9"/>
  <c r="AW34" i="9"/>
  <c r="P11" i="9"/>
  <c r="AL36" i="9"/>
  <c r="AR36" i="9"/>
  <c r="AN43" i="9"/>
  <c r="AT43" i="9"/>
  <c r="AK47" i="9"/>
  <c r="X22" i="9"/>
  <c r="AP24" i="9" s="1"/>
  <c r="F48" i="9"/>
  <c r="R32" i="31" s="1"/>
  <c r="AG45" i="15"/>
  <c r="AH41" i="9"/>
  <c r="R16" i="9"/>
  <c r="AQ42" i="9"/>
  <c r="AK42" i="9"/>
  <c r="AM24" i="9"/>
  <c r="T11" i="15"/>
  <c r="AI23" i="15"/>
  <c r="AN26" i="15"/>
  <c r="AN18" i="9"/>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W93" i="31" s="1"/>
  <c r="C48" i="9"/>
  <c r="AG38" i="9"/>
  <c r="Q38" i="9"/>
  <c r="P38" i="9"/>
  <c r="T15" i="9"/>
  <c r="E136" i="31" s="1"/>
  <c r="V15" i="9" s="1"/>
  <c r="H40" i="9" s="1"/>
  <c r="AJ40" i="9"/>
  <c r="Q45" i="9"/>
  <c r="AH39" i="15"/>
  <c r="AF40" i="15"/>
  <c r="U19" i="15"/>
  <c r="M40" i="15" s="1"/>
  <c r="AH40" i="15"/>
  <c r="AO19" i="15"/>
  <c r="AG38" i="15"/>
  <c r="R38" i="15"/>
  <c r="AN20" i="15"/>
  <c r="AG42" i="15"/>
  <c r="AO23" i="15"/>
  <c r="AN24" i="15"/>
  <c r="AO26" i="15"/>
  <c r="AP21" i="15"/>
  <c r="AN23" i="15"/>
  <c r="AM20" i="9"/>
  <c r="T21" i="9"/>
  <c r="AP26" i="15"/>
  <c r="AP18" i="15"/>
  <c r="AI19" i="15"/>
  <c r="AO21" i="9"/>
  <c r="Q18" i="9"/>
  <c r="AP25" i="15"/>
  <c r="AM24" i="15"/>
  <c r="AI26" i="15"/>
  <c r="U14" i="15"/>
  <c r="R36" i="24"/>
  <c r="O16" i="24"/>
  <c r="AJ16" i="24" s="1"/>
  <c r="N14" i="24"/>
  <c r="AA14" i="24" s="1"/>
  <c r="D46" i="24"/>
  <c r="N11" i="24"/>
  <c r="AE15" i="24"/>
  <c r="AD16" i="24"/>
  <c r="O14" i="24"/>
  <c r="AJ14" i="24" s="1"/>
  <c r="N16" i="24"/>
  <c r="AH16" i="24" s="1"/>
  <c r="AD14" i="24"/>
  <c r="S37" i="24"/>
  <c r="AD15" i="24"/>
  <c r="N10" i="24"/>
  <c r="N13" i="24"/>
  <c r="R38" i="24"/>
  <c r="N12" i="24"/>
  <c r="C46" i="24"/>
  <c r="O62" i="31" s="1"/>
  <c r="N15" i="24"/>
  <c r="AA15" i="24" s="1"/>
  <c r="R37" i="24"/>
  <c r="AE14" i="24"/>
  <c r="F29" i="4"/>
  <c r="L29" i="4" s="1"/>
  <c r="M29" i="4" s="1"/>
  <c r="H29" i="4"/>
  <c r="AH44" i="4" s="1"/>
  <c r="O29" i="4"/>
  <c r="P29" i="4" s="1"/>
  <c r="U16" i="10"/>
  <c r="AL34" i="10" s="1"/>
  <c r="AB50" i="19"/>
  <c r="AA50" i="19"/>
  <c r="AB51" i="19"/>
  <c r="AA51" i="19"/>
  <c r="M51" i="4"/>
  <c r="L51" i="4"/>
  <c r="L51" i="19"/>
  <c r="AI34" i="19" s="1"/>
  <c r="K51" i="19"/>
  <c r="AH34" i="19" s="1"/>
  <c r="O35" i="19"/>
  <c r="T16" i="10"/>
  <c r="AK34" i="10" s="1"/>
  <c r="T13" i="10"/>
  <c r="T14" i="10"/>
  <c r="S38" i="24"/>
  <c r="AE16" i="24"/>
  <c r="S36" i="24"/>
  <c r="F46" i="24"/>
  <c r="O7" i="38"/>
  <c r="O150" i="38" s="1"/>
  <c r="AG34" i="19"/>
  <c r="L49" i="27"/>
  <c r="AG33" i="19"/>
  <c r="Q14" i="16"/>
  <c r="M14" i="36" s="1"/>
  <c r="AG20" i="15"/>
  <c r="Q13" i="16"/>
  <c r="M13" i="36" s="1"/>
  <c r="AF26" i="15"/>
  <c r="AH19" i="15"/>
  <c r="R50" i="5"/>
  <c r="I49" i="19"/>
  <c r="AG21" i="15"/>
  <c r="AH17" i="15"/>
  <c r="AF23" i="15"/>
  <c r="AE17" i="15"/>
  <c r="AE25" i="15"/>
  <c r="L37" i="17"/>
  <c r="H22" i="17"/>
  <c r="K46" i="17"/>
  <c r="W52" i="36" s="1"/>
  <c r="M39" i="15"/>
  <c r="M41" i="15"/>
  <c r="M43" i="15"/>
  <c r="M45" i="15"/>
  <c r="R21" i="16"/>
  <c r="H36" i="15"/>
  <c r="L39" i="15"/>
  <c r="H44" i="15"/>
  <c r="L51" i="27"/>
  <c r="I50" i="19"/>
  <c r="AG22" i="15"/>
  <c r="Q72" i="5"/>
  <c r="AG24" i="9"/>
  <c r="AF18" i="9"/>
  <c r="AH23" i="15"/>
  <c r="AF24" i="15"/>
  <c r="AE18" i="15"/>
  <c r="AE26" i="15"/>
  <c r="L46" i="17"/>
  <c r="X52" i="36" s="1"/>
  <c r="I37" i="15"/>
  <c r="I39" i="15"/>
  <c r="I41" i="15"/>
  <c r="I43" i="15"/>
  <c r="I45" i="15"/>
  <c r="R46" i="16"/>
  <c r="H39" i="15"/>
  <c r="L42" i="15"/>
  <c r="J48" i="19"/>
  <c r="N51" i="4"/>
  <c r="I51" i="19"/>
  <c r="AG23" i="15"/>
  <c r="AH24" i="15"/>
  <c r="AF17" i="15"/>
  <c r="AF25" i="15"/>
  <c r="AE19" i="15"/>
  <c r="K40" i="17"/>
  <c r="W46" i="36" s="1"/>
  <c r="R12" i="16"/>
  <c r="H42" i="15"/>
  <c r="L45" i="15"/>
  <c r="Q12" i="16"/>
  <c r="Q44" i="16"/>
  <c r="S12" i="36" s="1"/>
  <c r="I38" i="24"/>
  <c r="Q21" i="5"/>
  <c r="AG18" i="9"/>
  <c r="AH21" i="15"/>
  <c r="AF18" i="15"/>
  <c r="Q29" i="16"/>
  <c r="P17" i="36" s="1"/>
  <c r="L43" i="17"/>
  <c r="X49" i="36" s="1"/>
  <c r="M42" i="15"/>
  <c r="R13" i="16"/>
  <c r="H41" i="15"/>
  <c r="Q43" i="16"/>
  <c r="S22" i="36" s="1"/>
  <c r="W22" i="36" s="1"/>
  <c r="S15" i="17"/>
  <c r="AD34" i="19"/>
  <c r="R72" i="5"/>
  <c r="AG17" i="15"/>
  <c r="AH22" i="15"/>
  <c r="AF19" i="15"/>
  <c r="K41" i="17"/>
  <c r="W47" i="36" s="1"/>
  <c r="I42" i="15"/>
  <c r="R14" i="16"/>
  <c r="R39" i="16"/>
  <c r="L38" i="15"/>
  <c r="AF31" i="19"/>
  <c r="J49" i="19"/>
  <c r="N51" i="19"/>
  <c r="H36" i="24"/>
  <c r="AG18" i="15"/>
  <c r="AG20" i="9"/>
  <c r="AF20" i="9"/>
  <c r="AF20" i="15"/>
  <c r="AE20" i="15"/>
  <c r="Q31" i="16"/>
  <c r="P19" i="36" s="1"/>
  <c r="W19" i="36" s="1"/>
  <c r="K42" i="17"/>
  <c r="W48" i="36" s="1"/>
  <c r="I36" i="15"/>
  <c r="R47" i="16"/>
  <c r="H38" i="15"/>
  <c r="L43" i="15"/>
  <c r="AF32" i="19"/>
  <c r="O10" i="28"/>
  <c r="O10" i="26"/>
  <c r="R49" i="5"/>
  <c r="AI21" i="9"/>
  <c r="AH26" i="15"/>
  <c r="I44" i="15"/>
  <c r="H37" i="15"/>
  <c r="L44" i="15"/>
  <c r="AF33" i="19"/>
  <c r="AE21" i="15"/>
  <c r="R29" i="16"/>
  <c r="I40" i="15"/>
  <c r="H45" i="15"/>
  <c r="Q45" i="16"/>
  <c r="S13" i="36" s="1"/>
  <c r="AF34" i="19"/>
  <c r="J50" i="19"/>
  <c r="H38" i="24"/>
  <c r="AE22" i="15"/>
  <c r="L40" i="17"/>
  <c r="X46" i="36" s="1"/>
  <c r="K45" i="17"/>
  <c r="W51" i="36" s="1"/>
  <c r="R44" i="16"/>
  <c r="Q46" i="16"/>
  <c r="S14" i="36" s="1"/>
  <c r="AI32" i="4"/>
  <c r="J51" i="19"/>
  <c r="Q39" i="29"/>
  <c r="AG19" i="15"/>
  <c r="AH18" i="15"/>
  <c r="AE23" i="15"/>
  <c r="L41" i="17"/>
  <c r="X47" i="36" s="1"/>
  <c r="H40" i="15"/>
  <c r="Q39" i="16"/>
  <c r="Q47" i="16"/>
  <c r="S24" i="36" s="1"/>
  <c r="W24" i="36" s="1"/>
  <c r="AF22" i="9"/>
  <c r="AH20" i="15"/>
  <c r="R30" i="16"/>
  <c r="L41" i="15"/>
  <c r="Q48" i="16"/>
  <c r="S25" i="36" s="1"/>
  <c r="W25" i="36" s="1"/>
  <c r="I36" i="24"/>
  <c r="I48" i="19"/>
  <c r="AH21" i="9"/>
  <c r="K43" i="17"/>
  <c r="W49" i="36" s="1"/>
  <c r="H43" i="15"/>
  <c r="Q49" i="16"/>
  <c r="S26" i="36" s="1"/>
  <c r="W26" i="36" s="1"/>
  <c r="I37" i="24"/>
  <c r="AF24" i="9"/>
  <c r="AH25" i="15"/>
  <c r="AF21" i="15"/>
  <c r="Q30" i="16"/>
  <c r="P18" i="36" s="1"/>
  <c r="M38" i="15"/>
  <c r="M44" i="15"/>
  <c r="AG31" i="19"/>
  <c r="R22" i="5"/>
  <c r="M48" i="19"/>
  <c r="AF22" i="15"/>
  <c r="G22" i="17"/>
  <c r="I38" i="15"/>
  <c r="AG32" i="19"/>
  <c r="R48" i="16"/>
  <c r="L45" i="17"/>
  <c r="X51" i="36" s="1"/>
  <c r="AG22" i="9"/>
  <c r="M51" i="27"/>
  <c r="AG26" i="15"/>
  <c r="L42" i="17"/>
  <c r="X48" i="36" s="1"/>
  <c r="AE24" i="15"/>
  <c r="AG25" i="15"/>
  <c r="P39" i="29"/>
  <c r="AG24" i="15"/>
  <c r="M49" i="19"/>
  <c r="N49" i="4"/>
  <c r="N48" i="19"/>
  <c r="K43" i="25"/>
  <c r="M51" i="19"/>
  <c r="N50" i="4"/>
  <c r="O50" i="4"/>
  <c r="O34" i="19"/>
  <c r="V35" i="25"/>
  <c r="AB49" i="19"/>
  <c r="U22" i="10"/>
  <c r="J40" i="10" s="1"/>
  <c r="U15" i="10"/>
  <c r="AL33" i="10" s="1"/>
  <c r="U14" i="10"/>
  <c r="N49" i="19"/>
  <c r="O49" i="4"/>
  <c r="M49" i="4"/>
  <c r="U24" i="10"/>
  <c r="J42" i="10" s="1"/>
  <c r="AJ32" i="19"/>
  <c r="T12" i="10"/>
  <c r="V44" i="25"/>
  <c r="AJ31" i="19"/>
  <c r="L46" i="25"/>
  <c r="AK34" i="19"/>
  <c r="T24" i="10"/>
  <c r="I42" i="10" s="1"/>
  <c r="AA22" i="25"/>
  <c r="U19" i="10"/>
  <c r="U21" i="10"/>
  <c r="U11" i="10"/>
  <c r="J43" i="25"/>
  <c r="U13" i="10"/>
  <c r="AB22" i="25"/>
  <c r="U18" i="10"/>
  <c r="N48" i="4"/>
  <c r="O48" i="4"/>
  <c r="I13" i="19"/>
  <c r="M13" i="19"/>
  <c r="M41" i="25"/>
  <c r="L41" i="25"/>
  <c r="U41" i="25"/>
  <c r="V41" i="25"/>
  <c r="M48" i="4"/>
  <c r="L48" i="4"/>
  <c r="I13" i="27"/>
  <c r="L13" i="27" s="1"/>
  <c r="V13" i="27"/>
  <c r="X13" i="27"/>
  <c r="AG50" i="4"/>
  <c r="E99" i="30"/>
  <c r="M50" i="19"/>
  <c r="N50" i="19"/>
  <c r="AJ33" i="19"/>
  <c r="C135" i="37"/>
  <c r="E119" i="37"/>
  <c r="W13" i="27"/>
  <c r="J150" i="30"/>
  <c r="L42" i="25"/>
  <c r="M42" i="25"/>
  <c r="U17" i="10"/>
  <c r="T17" i="10"/>
  <c r="X11" i="4"/>
  <c r="I14" i="27"/>
  <c r="L14" i="27" s="1"/>
  <c r="W14" i="27"/>
  <c r="X14" i="27"/>
  <c r="D155" i="30"/>
  <c r="M17" i="19"/>
  <c r="M45" i="25"/>
  <c r="L45" i="25"/>
  <c r="W11" i="4"/>
  <c r="F135" i="37"/>
  <c r="I11" i="4"/>
  <c r="L11" i="4" s="1"/>
  <c r="B149" i="30"/>
  <c r="B99" i="30"/>
  <c r="N12" i="19"/>
  <c r="G98" i="30"/>
  <c r="M10" i="4" s="1"/>
  <c r="M43" i="25"/>
  <c r="X17" i="27"/>
  <c r="W17" i="27"/>
  <c r="I17" i="27"/>
  <c r="L17" i="27" s="1"/>
  <c r="V17" i="27"/>
  <c r="U12" i="10"/>
  <c r="M46" i="25"/>
  <c r="M50" i="4"/>
  <c r="L50" i="4"/>
  <c r="T23" i="10"/>
  <c r="W15" i="4"/>
  <c r="T19" i="10"/>
  <c r="T15" i="10"/>
  <c r="V10" i="27"/>
  <c r="V19" i="27" s="1"/>
  <c r="M16" i="19"/>
  <c r="D154" i="30"/>
  <c r="K16" i="19"/>
  <c r="J16" i="19"/>
  <c r="K11" i="19"/>
  <c r="D149" i="30"/>
  <c r="J11" i="19"/>
  <c r="X66" i="36" l="1"/>
  <c r="Y66" i="36" s="1"/>
  <c r="W65" i="36"/>
  <c r="AC9" i="22"/>
  <c r="O12" i="30"/>
  <c r="Y51" i="36"/>
  <c r="G100" i="30"/>
  <c r="M12" i="4" s="1"/>
  <c r="C250" i="31"/>
  <c r="D251" i="31"/>
  <c r="B233" i="31"/>
  <c r="B253" i="31" s="1"/>
  <c r="D265" i="31"/>
  <c r="P264" i="31"/>
  <c r="S20" i="15" s="1"/>
  <c r="T20" i="15" s="1"/>
  <c r="AK22" i="15" s="1"/>
  <c r="M44" i="24"/>
  <c r="L43" i="24"/>
  <c r="L40" i="24"/>
  <c r="M41" i="24"/>
  <c r="AH22" i="9"/>
  <c r="J44" i="9"/>
  <c r="AF23" i="9"/>
  <c r="AI23" i="9"/>
  <c r="R34" i="4"/>
  <c r="H148" i="30"/>
  <c r="O10" i="19"/>
  <c r="P10" i="19" s="1"/>
  <c r="R33" i="4"/>
  <c r="G66" i="5"/>
  <c r="G65" i="5"/>
  <c r="M15" i="19"/>
  <c r="N15" i="19" s="1"/>
  <c r="K15" i="19"/>
  <c r="O15" i="19" s="1"/>
  <c r="J140" i="37"/>
  <c r="M16" i="27" s="1"/>
  <c r="J15" i="19"/>
  <c r="O94" i="5"/>
  <c r="K33" i="5"/>
  <c r="F65" i="5" s="1"/>
  <c r="K14" i="19"/>
  <c r="F152" i="30" s="1"/>
  <c r="D33" i="5"/>
  <c r="G60" i="5" s="1"/>
  <c r="N60" i="5" s="1"/>
  <c r="M14" i="19"/>
  <c r="H152" i="30" s="1"/>
  <c r="J14" i="19"/>
  <c r="D34" i="5"/>
  <c r="G62" i="5" s="1"/>
  <c r="S12" i="35"/>
  <c r="U12" i="35" s="1"/>
  <c r="U21" i="35" s="1"/>
  <c r="B135" i="30"/>
  <c r="B24" i="30"/>
  <c r="Z9" i="22"/>
  <c r="C26" i="36"/>
  <c r="D147" i="36" s="1"/>
  <c r="B13" i="35"/>
  <c r="B47" i="35"/>
  <c r="B132" i="35" s="1"/>
  <c r="B14" i="35"/>
  <c r="W43" i="35"/>
  <c r="H242" i="36"/>
  <c r="B16" i="35"/>
  <c r="B15" i="35"/>
  <c r="K42" i="25"/>
  <c r="O42" i="25" s="1"/>
  <c r="AA21" i="25"/>
  <c r="J42" i="25"/>
  <c r="N42" i="25" s="1"/>
  <c r="B80" i="31"/>
  <c r="D299" i="31"/>
  <c r="D73" i="31"/>
  <c r="D81" i="31" s="1"/>
  <c r="M9" i="36"/>
  <c r="Q65" i="31"/>
  <c r="A5" i="30"/>
  <c r="D149" i="36"/>
  <c r="C48" i="36"/>
  <c r="D210" i="36" s="1"/>
  <c r="U139" i="36"/>
  <c r="B49" i="31"/>
  <c r="J95" i="30"/>
  <c r="M142" i="30" s="1"/>
  <c r="M190" i="30" s="1"/>
  <c r="B46" i="31"/>
  <c r="B175" i="31" s="1"/>
  <c r="B15" i="36"/>
  <c r="C136" i="36" s="1"/>
  <c r="H9" i="36"/>
  <c r="A5" i="20"/>
  <c r="I208" i="36"/>
  <c r="C18" i="1"/>
  <c r="B42" i="36"/>
  <c r="C204" i="36" s="1"/>
  <c r="H133" i="36"/>
  <c r="C19" i="36"/>
  <c r="D140" i="36" s="1"/>
  <c r="L74" i="2"/>
  <c r="B7" i="36"/>
  <c r="C122" i="36" s="1"/>
  <c r="L59" i="2"/>
  <c r="C14" i="36"/>
  <c r="D135" i="36" s="1"/>
  <c r="S9" i="36"/>
  <c r="C235" i="36"/>
  <c r="C52" i="2"/>
  <c r="B12" i="1"/>
  <c r="U135" i="36"/>
  <c r="B96" i="2"/>
  <c r="O56" i="2"/>
  <c r="B92" i="35"/>
  <c r="AF10" i="35"/>
  <c r="Y10" i="37" s="1"/>
  <c r="W42" i="35"/>
  <c r="B50" i="35"/>
  <c r="B135" i="35" s="1"/>
  <c r="J42" i="35"/>
  <c r="N122" i="35"/>
  <c r="N49" i="35"/>
  <c r="B122" i="35"/>
  <c r="B93" i="35"/>
  <c r="AF11" i="35"/>
  <c r="Y11" i="37" s="1"/>
  <c r="B45" i="35"/>
  <c r="B130" i="35" s="1"/>
  <c r="B40" i="35"/>
  <c r="B113" i="35" s="1"/>
  <c r="AA23" i="25"/>
  <c r="L50" i="2"/>
  <c r="E174" i="38"/>
  <c r="E182" i="38" s="1"/>
  <c r="E189" i="38" s="1"/>
  <c r="E196" i="38" s="1"/>
  <c r="B72" i="31"/>
  <c r="I11" i="31"/>
  <c r="I20" i="31" s="1"/>
  <c r="P224" i="31"/>
  <c r="D287" i="31"/>
  <c r="E126" i="31"/>
  <c r="J170" i="31" s="1"/>
  <c r="E231" i="31" s="1"/>
  <c r="B41" i="31"/>
  <c r="B24" i="38"/>
  <c r="B162" i="38" s="1"/>
  <c r="N40" i="31"/>
  <c r="N73" i="31"/>
  <c r="N81" i="31" s="1"/>
  <c r="AJ81" i="31" s="1"/>
  <c r="H10" i="31"/>
  <c r="B70" i="31"/>
  <c r="B222" i="31" s="1"/>
  <c r="B77" i="31"/>
  <c r="B236" i="31" s="1"/>
  <c r="B256" i="31" s="1"/>
  <c r="N32" i="31"/>
  <c r="N62" i="31" s="1"/>
  <c r="U93" i="31" s="1"/>
  <c r="B11" i="31"/>
  <c r="B10" i="35" s="1"/>
  <c r="B44" i="31"/>
  <c r="B173" i="31" s="1"/>
  <c r="I126" i="31"/>
  <c r="B14" i="31"/>
  <c r="B130" i="31" s="1"/>
  <c r="P236" i="31"/>
  <c r="K11" i="31"/>
  <c r="K20" i="31" s="1"/>
  <c r="J42" i="31" s="1"/>
  <c r="J50" i="31" s="1"/>
  <c r="B13" i="31"/>
  <c r="B129" i="31" s="1"/>
  <c r="E73" i="31"/>
  <c r="E81" i="31" s="1"/>
  <c r="AE81" i="31" s="1"/>
  <c r="F11" i="31"/>
  <c r="B294" i="31" s="1"/>
  <c r="H11" i="31"/>
  <c r="H20" i="31" s="1"/>
  <c r="B47" i="31"/>
  <c r="B176" i="31" s="1"/>
  <c r="D297" i="31"/>
  <c r="J46" i="25"/>
  <c r="N46" i="25" s="1"/>
  <c r="K46" i="25"/>
  <c r="O46" i="25" s="1"/>
  <c r="AB25" i="25"/>
  <c r="AB24" i="25"/>
  <c r="J44" i="25"/>
  <c r="N44" i="25" s="1"/>
  <c r="K44" i="25"/>
  <c r="O44" i="25" s="1"/>
  <c r="AA24" i="25"/>
  <c r="A20" i="40"/>
  <c r="O96" i="30"/>
  <c r="T132" i="37" s="1"/>
  <c r="R21" i="5"/>
  <c r="T21" i="5" s="1"/>
  <c r="AH21" i="5"/>
  <c r="N22" i="16"/>
  <c r="Q21" i="16"/>
  <c r="T21" i="16" s="1"/>
  <c r="T22" i="16" s="1"/>
  <c r="Q73" i="5"/>
  <c r="R73" i="5"/>
  <c r="AG73" i="5"/>
  <c r="AH73" i="5"/>
  <c r="R39" i="17"/>
  <c r="Q39" i="17"/>
  <c r="L39" i="17"/>
  <c r="X45" i="36" s="1"/>
  <c r="K39" i="17"/>
  <c r="W45" i="36" s="1"/>
  <c r="G31" i="17"/>
  <c r="G30" i="17"/>
  <c r="Q37" i="17"/>
  <c r="CD24" i="22"/>
  <c r="CK7" i="22"/>
  <c r="CK24" i="22" s="1"/>
  <c r="R37" i="17"/>
  <c r="M39" i="24"/>
  <c r="L39" i="24"/>
  <c r="O41" i="16"/>
  <c r="R41" i="16" s="1"/>
  <c r="U18" i="36" s="1"/>
  <c r="R32" i="16"/>
  <c r="R28" i="16"/>
  <c r="T28" i="16" s="1"/>
  <c r="E81" i="26"/>
  <c r="I81" i="26" s="1"/>
  <c r="AG22" i="5"/>
  <c r="Q22" i="5"/>
  <c r="T22" i="5" s="1"/>
  <c r="AB20" i="25"/>
  <c r="J41" i="25"/>
  <c r="N41" i="25" s="1"/>
  <c r="AA20" i="25"/>
  <c r="I205" i="36"/>
  <c r="I210" i="36"/>
  <c r="G103" i="30"/>
  <c r="M15" i="4" s="1"/>
  <c r="J139" i="37"/>
  <c r="M15" i="27" s="1"/>
  <c r="E13" i="5"/>
  <c r="O13" i="5" s="1"/>
  <c r="O90" i="5" s="1"/>
  <c r="B18" i="38"/>
  <c r="B77" i="38" s="1"/>
  <c r="E244" i="38" s="1"/>
  <c r="I240" i="38" s="1"/>
  <c r="I254" i="38" s="1"/>
  <c r="B80" i="38"/>
  <c r="E247" i="38" s="1"/>
  <c r="N240" i="38" s="1"/>
  <c r="X12" i="22"/>
  <c r="AA12" i="22"/>
  <c r="C207" i="37"/>
  <c r="L10" i="37"/>
  <c r="C32" i="32"/>
  <c r="M41" i="16"/>
  <c r="BK7" i="22"/>
  <c r="BG24" i="22"/>
  <c r="AP22" i="9"/>
  <c r="AO22" i="9"/>
  <c r="AB15" i="24"/>
  <c r="AJ15" i="24"/>
  <c r="D239" i="38"/>
  <c r="N11" i="37"/>
  <c r="R11" i="37" s="1"/>
  <c r="Y11" i="22"/>
  <c r="AA11" i="22"/>
  <c r="AD30" i="22"/>
  <c r="Q17" i="30"/>
  <c r="S23" i="17"/>
  <c r="X22" i="4"/>
  <c r="R36" i="4" s="1"/>
  <c r="S36" i="4" s="1"/>
  <c r="P51" i="4" s="1"/>
  <c r="R35" i="4"/>
  <c r="S35" i="4" s="1"/>
  <c r="Q50" i="4" s="1"/>
  <c r="S50" i="4" s="1"/>
  <c r="AG49" i="5"/>
  <c r="N33" i="16"/>
  <c r="O13" i="26"/>
  <c r="K14" i="26" s="1"/>
  <c r="M20" i="22"/>
  <c r="Q33" i="4"/>
  <c r="S33" i="4" s="1"/>
  <c r="P48" i="4" s="1"/>
  <c r="R48" i="4" s="1"/>
  <c r="R45" i="16"/>
  <c r="U13" i="36" s="1"/>
  <c r="Q23" i="32"/>
  <c r="BG31" i="22"/>
  <c r="BG33" i="22"/>
  <c r="BH34" i="22"/>
  <c r="BI34" i="22"/>
  <c r="BI29" i="22"/>
  <c r="BF28" i="22"/>
  <c r="O13" i="28"/>
  <c r="K14" i="28" s="1"/>
  <c r="H52" i="27"/>
  <c r="BF24" i="22"/>
  <c r="BM7" i="22"/>
  <c r="X33" i="27"/>
  <c r="J51" i="4"/>
  <c r="K51" i="4"/>
  <c r="BT37" i="22"/>
  <c r="BT38" i="22" s="1"/>
  <c r="G31" i="22" s="1"/>
  <c r="J260" i="38" s="1"/>
  <c r="BU36" i="22"/>
  <c r="BX35" i="22"/>
  <c r="BS35" i="22"/>
  <c r="BU37" i="22"/>
  <c r="BX36" i="22"/>
  <c r="BS37" i="22"/>
  <c r="BV36" i="22"/>
  <c r="BV38" i="22" s="1"/>
  <c r="BV37" i="22"/>
  <c r="BT35" i="22"/>
  <c r="BW36" i="22"/>
  <c r="BT36" i="22"/>
  <c r="BW37" i="22"/>
  <c r="BX37" i="22"/>
  <c r="BW35" i="22"/>
  <c r="BW38" i="22" s="1"/>
  <c r="J31" i="22" s="1"/>
  <c r="N260" i="38" s="1"/>
  <c r="BU35" i="22"/>
  <c r="BU38" i="22" s="1"/>
  <c r="H31" i="22" s="1"/>
  <c r="K260" i="38" s="1"/>
  <c r="BS36" i="22"/>
  <c r="BS38" i="22" s="1"/>
  <c r="F31" i="22" s="1"/>
  <c r="I260" i="38" s="1"/>
  <c r="BV35" i="22"/>
  <c r="BQ24" i="22"/>
  <c r="BX7" i="22"/>
  <c r="BE36" i="22"/>
  <c r="BI36" i="22"/>
  <c r="BE37" i="22"/>
  <c r="BI37" i="22"/>
  <c r="BJ36" i="22"/>
  <c r="BF35" i="22"/>
  <c r="BH35" i="22"/>
  <c r="BG35" i="22"/>
  <c r="BJ37" i="22"/>
  <c r="BE35" i="22"/>
  <c r="BH36" i="22"/>
  <c r="BF36" i="22"/>
  <c r="BG36" i="22"/>
  <c r="BH25" i="22"/>
  <c r="BG37" i="22"/>
  <c r="BI35" i="22"/>
  <c r="BH37" i="22"/>
  <c r="BJ35" i="22"/>
  <c r="BF37" i="22"/>
  <c r="H51" i="27"/>
  <c r="Q34" i="4"/>
  <c r="BJ25" i="22"/>
  <c r="BG29" i="22"/>
  <c r="BE30" i="22"/>
  <c r="BI28" i="22"/>
  <c r="BE34" i="22"/>
  <c r="BH29" i="22"/>
  <c r="BG28" i="22"/>
  <c r="O46" i="4"/>
  <c r="BH31" i="22"/>
  <c r="BJ31" i="22"/>
  <c r="AX35" i="22"/>
  <c r="AX38" i="22" s="1"/>
  <c r="F29" i="22" s="1"/>
  <c r="I258" i="38" s="1"/>
  <c r="AZ37" i="22"/>
  <c r="BC36" i="22"/>
  <c r="AX36" i="22"/>
  <c r="BA35" i="22"/>
  <c r="BA38" i="22" s="1"/>
  <c r="I29" i="22" s="1"/>
  <c r="L258" i="38" s="1"/>
  <c r="BC37" i="22"/>
  <c r="AY35" i="22"/>
  <c r="BA37" i="22"/>
  <c r="AY36" i="22"/>
  <c r="AY38" i="22" s="1"/>
  <c r="H29" i="22" s="1"/>
  <c r="K258" i="38" s="1"/>
  <c r="BB35" i="22"/>
  <c r="BB38" i="22" s="1"/>
  <c r="J29" i="22" s="1"/>
  <c r="N258" i="38" s="1"/>
  <c r="BB37" i="22"/>
  <c r="BC35" i="22"/>
  <c r="AX37" i="22"/>
  <c r="AY37" i="22"/>
  <c r="BB36" i="22"/>
  <c r="AZ35" i="22"/>
  <c r="AZ36" i="22"/>
  <c r="AZ38" i="22" s="1"/>
  <c r="BA36" i="22"/>
  <c r="BY7" i="22"/>
  <c r="BW24" i="22"/>
  <c r="BH27" i="22"/>
  <c r="K45" i="25"/>
  <c r="O45" i="25" s="1"/>
  <c r="E32" i="5"/>
  <c r="F57" i="5" s="1"/>
  <c r="M57" i="5" s="1"/>
  <c r="BE31" i="22"/>
  <c r="BI33" i="22"/>
  <c r="BI32" i="22"/>
  <c r="BF32" i="22"/>
  <c r="BI30" i="22"/>
  <c r="BI27" i="22"/>
  <c r="BF25" i="22"/>
  <c r="C41" i="16"/>
  <c r="W139" i="36" s="1"/>
  <c r="D41" i="16" s="1"/>
  <c r="N41" i="16" s="1"/>
  <c r="W138" i="36"/>
  <c r="D40" i="16" s="1"/>
  <c r="E80" i="26" s="1"/>
  <c r="Y74" i="36"/>
  <c r="CG7" i="22"/>
  <c r="CG24" i="22" s="1"/>
  <c r="BZ24" i="22"/>
  <c r="W36" i="27"/>
  <c r="X36" i="27"/>
  <c r="R38" i="17"/>
  <c r="Q38" i="17"/>
  <c r="W34" i="27"/>
  <c r="X34" i="27"/>
  <c r="L38" i="17"/>
  <c r="X44" i="36" s="1"/>
  <c r="Y44" i="36" s="1"/>
  <c r="AP23" i="9"/>
  <c r="K43" i="4"/>
  <c r="M43" i="4" s="1"/>
  <c r="M14" i="5"/>
  <c r="M93" i="5" s="1"/>
  <c r="O85" i="5"/>
  <c r="BE28" i="22"/>
  <c r="BJ29" i="22"/>
  <c r="BJ33" i="22"/>
  <c r="BH28" i="22"/>
  <c r="BG27" i="22"/>
  <c r="BG38" i="22" s="1"/>
  <c r="Z27" i="22"/>
  <c r="BG26" i="22"/>
  <c r="BI26" i="22"/>
  <c r="M40" i="16"/>
  <c r="I51" i="27"/>
  <c r="O15" i="16"/>
  <c r="AA44" i="24"/>
  <c r="AB44" i="24"/>
  <c r="AA40" i="24"/>
  <c r="AB40" i="24"/>
  <c r="H50" i="27"/>
  <c r="I50" i="27"/>
  <c r="AB34" i="22"/>
  <c r="AB33" i="22"/>
  <c r="AB32" i="22"/>
  <c r="AB31" i="22"/>
  <c r="X34" i="22"/>
  <c r="X33" i="22"/>
  <c r="X32" i="22"/>
  <c r="X31" i="22"/>
  <c r="Z46" i="16"/>
  <c r="Y46" i="16"/>
  <c r="H71" i="17"/>
  <c r="X70" i="36"/>
  <c r="Z42" i="16"/>
  <c r="Y42" i="16"/>
  <c r="Y32" i="16"/>
  <c r="Z32" i="16"/>
  <c r="Z48" i="16"/>
  <c r="Y48" i="16"/>
  <c r="J63" i="5"/>
  <c r="O33" i="16"/>
  <c r="Y72" i="36"/>
  <c r="Y76" i="36"/>
  <c r="Y21" i="16"/>
  <c r="AA41" i="24"/>
  <c r="AB41" i="24"/>
  <c r="AA39" i="24"/>
  <c r="AB39" i="24"/>
  <c r="AA45" i="24"/>
  <c r="AB45" i="24"/>
  <c r="AA42" i="24"/>
  <c r="AB42" i="24"/>
  <c r="AA43" i="24"/>
  <c r="AB43" i="24"/>
  <c r="N112" i="26"/>
  <c r="N94" i="26"/>
  <c r="N73" i="26"/>
  <c r="M50" i="16"/>
  <c r="AD34" i="22"/>
  <c r="AD33" i="22"/>
  <c r="AD32" i="22"/>
  <c r="AD31" i="22"/>
  <c r="Z34" i="22"/>
  <c r="Z33" i="22"/>
  <c r="Z32" i="22"/>
  <c r="Z31" i="22"/>
  <c r="Z31" i="16"/>
  <c r="Y31" i="16"/>
  <c r="G71" i="17"/>
  <c r="W70" i="36"/>
  <c r="Y49" i="16"/>
  <c r="Z49" i="16"/>
  <c r="Z44" i="16"/>
  <c r="Y44" i="16"/>
  <c r="Y30" i="16"/>
  <c r="Z30" i="16"/>
  <c r="M33" i="16"/>
  <c r="Y43" i="16"/>
  <c r="Z43" i="16"/>
  <c r="Y12" i="16"/>
  <c r="Z12" i="16"/>
  <c r="M15" i="16"/>
  <c r="B121" i="35"/>
  <c r="Z28" i="16"/>
  <c r="Z21" i="16"/>
  <c r="R27" i="4"/>
  <c r="Q27" i="4"/>
  <c r="B133" i="31"/>
  <c r="B51" i="2"/>
  <c r="M59" i="2" s="1"/>
  <c r="C199" i="37"/>
  <c r="H19" i="31"/>
  <c r="L49" i="2"/>
  <c r="E127" i="31"/>
  <c r="K171" i="31" s="1"/>
  <c r="E232" i="31" s="1"/>
  <c r="I213" i="36"/>
  <c r="B238" i="31"/>
  <c r="B258" i="31" s="1"/>
  <c r="S72" i="31"/>
  <c r="O11" i="31"/>
  <c r="AA10" i="35" s="1"/>
  <c r="T10" i="37" s="1"/>
  <c r="H122" i="35"/>
  <c r="J49" i="35"/>
  <c r="B184" i="30"/>
  <c r="B94" i="35"/>
  <c r="N124" i="35"/>
  <c r="K94" i="35"/>
  <c r="B49" i="35"/>
  <c r="B134" i="35" s="1"/>
  <c r="N123" i="35"/>
  <c r="J43" i="35"/>
  <c r="N11" i="35"/>
  <c r="N20" i="35" s="1"/>
  <c r="G43" i="35" s="1"/>
  <c r="B9" i="35"/>
  <c r="I231" i="31"/>
  <c r="P126" i="35"/>
  <c r="B15" i="31"/>
  <c r="B131" i="31" s="1"/>
  <c r="C94" i="38"/>
  <c r="B126" i="31"/>
  <c r="B170" i="31" s="1"/>
  <c r="B231" i="31" s="1"/>
  <c r="B250" i="31" s="1"/>
  <c r="D148" i="30"/>
  <c r="K10" i="19"/>
  <c r="L10" i="19" s="1"/>
  <c r="H35" i="25"/>
  <c r="AH45" i="4"/>
  <c r="AA30" i="22"/>
  <c r="AA29" i="22"/>
  <c r="AE27" i="22"/>
  <c r="X27" i="22"/>
  <c r="Z30" i="22"/>
  <c r="AB29" i="22"/>
  <c r="AD27" i="22"/>
  <c r="AE30" i="22"/>
  <c r="Z14" i="22"/>
  <c r="AC29" i="22"/>
  <c r="AB27" i="22"/>
  <c r="O44" i="4"/>
  <c r="S28" i="4"/>
  <c r="Q43" i="4" s="1"/>
  <c r="H38" i="25"/>
  <c r="Q14" i="30"/>
  <c r="AB14" i="22"/>
  <c r="AA14" i="22"/>
  <c r="J47" i="4"/>
  <c r="L47" i="4" s="1"/>
  <c r="Z12" i="22"/>
  <c r="AE14" i="22"/>
  <c r="X14" i="22"/>
  <c r="U38" i="25"/>
  <c r="Y27" i="22"/>
  <c r="X30" i="22"/>
  <c r="AB30" i="22"/>
  <c r="AC27" i="22"/>
  <c r="N47" i="4"/>
  <c r="AC12" i="22"/>
  <c r="AC30" i="22"/>
  <c r="AB9" i="22"/>
  <c r="AA9" i="22"/>
  <c r="AD14" i="22"/>
  <c r="AD29" i="22"/>
  <c r="O17" i="30"/>
  <c r="AC28" i="22"/>
  <c r="Y28" i="22"/>
  <c r="AD28" i="22"/>
  <c r="Z29" i="22"/>
  <c r="AE29" i="22"/>
  <c r="X28" i="22"/>
  <c r="U37" i="25"/>
  <c r="O45" i="4"/>
  <c r="AB28" i="22"/>
  <c r="AG27" i="19"/>
  <c r="Z28" i="22"/>
  <c r="Y29" i="22"/>
  <c r="Y9" i="22"/>
  <c r="Q16" i="30"/>
  <c r="K46" i="4"/>
  <c r="M46" i="4" s="1"/>
  <c r="Q15" i="30"/>
  <c r="AA28" i="22"/>
  <c r="M37" i="25"/>
  <c r="AA43" i="19"/>
  <c r="P16" i="25"/>
  <c r="AB17" i="25" s="1"/>
  <c r="I38" i="25"/>
  <c r="I35" i="25"/>
  <c r="O28" i="19"/>
  <c r="P18" i="25"/>
  <c r="AA19" i="25" s="1"/>
  <c r="I40" i="25"/>
  <c r="L38" i="25"/>
  <c r="AG43" i="4"/>
  <c r="K47" i="4"/>
  <c r="M47" i="4" s="1"/>
  <c r="P13" i="25"/>
  <c r="AB14" i="25" s="1"/>
  <c r="O47" i="4"/>
  <c r="L37" i="25"/>
  <c r="AH42" i="4"/>
  <c r="I47" i="19"/>
  <c r="K47" i="19" s="1"/>
  <c r="AH30" i="19" s="1"/>
  <c r="U33" i="25"/>
  <c r="V39" i="25"/>
  <c r="I44" i="19"/>
  <c r="K44" i="19" s="1"/>
  <c r="AH27" i="19" s="1"/>
  <c r="O31" i="19"/>
  <c r="AK29" i="19"/>
  <c r="AB26" i="4"/>
  <c r="K89" i="26" s="1"/>
  <c r="Q89" i="26" s="1"/>
  <c r="D150" i="30"/>
  <c r="S32" i="4"/>
  <c r="Q47" i="4" s="1"/>
  <c r="Z11" i="22"/>
  <c r="AJ26" i="19"/>
  <c r="M45" i="19"/>
  <c r="O29" i="19"/>
  <c r="AH35" i="22"/>
  <c r="AB26" i="22"/>
  <c r="I36" i="25"/>
  <c r="BG22" i="22"/>
  <c r="AD11" i="22"/>
  <c r="AA27" i="22"/>
  <c r="Y26" i="22"/>
  <c r="BX22" i="22"/>
  <c r="H36" i="25"/>
  <c r="AC11" i="22"/>
  <c r="O43" i="4"/>
  <c r="N43" i="19"/>
  <c r="AB11" i="22"/>
  <c r="AL35" i="22"/>
  <c r="E33" i="22" s="1"/>
  <c r="H262" i="38" s="1"/>
  <c r="AD9" i="22"/>
  <c r="O14" i="30"/>
  <c r="X11" i="22"/>
  <c r="M39" i="25"/>
  <c r="O15" i="25"/>
  <c r="AB44" i="19"/>
  <c r="P14" i="25"/>
  <c r="AB15" i="25" s="1"/>
  <c r="AE9" i="22"/>
  <c r="AA26" i="22"/>
  <c r="AD26" i="22"/>
  <c r="AE11" i="22"/>
  <c r="AC26" i="22"/>
  <c r="Q13" i="30"/>
  <c r="M35" i="25"/>
  <c r="O30" i="19"/>
  <c r="AK26" i="19"/>
  <c r="L40" i="25"/>
  <c r="X26" i="22"/>
  <c r="X9" i="22"/>
  <c r="Z13" i="22"/>
  <c r="AB47" i="19"/>
  <c r="AA45" i="19"/>
  <c r="AC25" i="4"/>
  <c r="L107" i="26" s="1"/>
  <c r="R107" i="26" s="1"/>
  <c r="AB12" i="22"/>
  <c r="O15" i="30"/>
  <c r="AK30" i="19"/>
  <c r="AM35" i="22"/>
  <c r="E31" i="22" s="1"/>
  <c r="H260" i="38" s="1"/>
  <c r="J43" i="19"/>
  <c r="L43" i="19" s="1"/>
  <c r="AI26" i="19" s="1"/>
  <c r="J46" i="19"/>
  <c r="L46" i="19" s="1"/>
  <c r="N47" i="19"/>
  <c r="AX22" i="22"/>
  <c r="F12" i="22" s="1"/>
  <c r="I244" i="38" s="1"/>
  <c r="BF22" i="22"/>
  <c r="G13" i="22" s="1"/>
  <c r="J245" i="38" s="1"/>
  <c r="AU38" i="22"/>
  <c r="J28" i="22" s="1"/>
  <c r="N257" i="38" s="1"/>
  <c r="O32" i="19"/>
  <c r="AI35" i="22"/>
  <c r="AG30" i="19"/>
  <c r="V30" i="19"/>
  <c r="K109" i="26" s="1"/>
  <c r="Q109" i="26" s="1"/>
  <c r="AE12" i="22"/>
  <c r="H40" i="25"/>
  <c r="AM19" i="22"/>
  <c r="E14" i="22" s="1"/>
  <c r="H246" i="38" s="1"/>
  <c r="S31" i="4"/>
  <c r="Q46" i="4" s="1"/>
  <c r="U30" i="19"/>
  <c r="K91" i="26" s="1"/>
  <c r="Q91" i="26" s="1"/>
  <c r="M38" i="25"/>
  <c r="V29" i="19"/>
  <c r="L109" i="26" s="1"/>
  <c r="Y109" i="26" s="1"/>
  <c r="Y12" i="22"/>
  <c r="J43" i="4"/>
  <c r="L43" i="4" s="1"/>
  <c r="BC22" i="22"/>
  <c r="AA10" i="22"/>
  <c r="AN35" i="22"/>
  <c r="E32" i="22" s="1"/>
  <c r="H261" i="38" s="1"/>
  <c r="P15" i="25"/>
  <c r="Y13" i="22"/>
  <c r="AB25" i="4"/>
  <c r="L89" i="26" s="1"/>
  <c r="Y89" i="26" s="1"/>
  <c r="BX38" i="22"/>
  <c r="BH22" i="22"/>
  <c r="I13" i="22" s="1"/>
  <c r="L245" i="38" s="1"/>
  <c r="BW22" i="22"/>
  <c r="J14" i="22" s="1"/>
  <c r="N246" i="38" s="1"/>
  <c r="N46" i="4"/>
  <c r="AH46" i="4"/>
  <c r="L36" i="25"/>
  <c r="AE13" i="22"/>
  <c r="AJ19" i="22"/>
  <c r="AB13" i="22"/>
  <c r="AI19" i="22"/>
  <c r="J47" i="19"/>
  <c r="L47" i="19" s="1"/>
  <c r="AI30" i="19" s="1"/>
  <c r="H37" i="25"/>
  <c r="AC13" i="22"/>
  <c r="I46" i="19"/>
  <c r="K46" i="19" s="1"/>
  <c r="AD10" i="22"/>
  <c r="M47" i="19"/>
  <c r="L33" i="25"/>
  <c r="E10" i="22"/>
  <c r="H242" i="38" s="1"/>
  <c r="N43" i="4"/>
  <c r="U36" i="25"/>
  <c r="AH19" i="22"/>
  <c r="S30" i="4"/>
  <c r="P45" i="4" s="1"/>
  <c r="AA13" i="22"/>
  <c r="BC38" i="22"/>
  <c r="BI38" i="22"/>
  <c r="J30" i="22" s="1"/>
  <c r="N259" i="38" s="1"/>
  <c r="AC10" i="22"/>
  <c r="AB10" i="22"/>
  <c r="M46" i="19"/>
  <c r="M33" i="25"/>
  <c r="BU22" i="22"/>
  <c r="H14" i="22" s="1"/>
  <c r="K246" i="38" s="1"/>
  <c r="AE10" i="22"/>
  <c r="AL19" i="22"/>
  <c r="E16" i="22" s="1"/>
  <c r="H248" i="38" s="1"/>
  <c r="BE22" i="22"/>
  <c r="F13" i="22" s="1"/>
  <c r="I245" i="38" s="1"/>
  <c r="AB28" i="19"/>
  <c r="AC28" i="19" s="1"/>
  <c r="O16" i="30"/>
  <c r="J46" i="4"/>
  <c r="L46" i="4" s="1"/>
  <c r="O13" i="30"/>
  <c r="Z10" i="22"/>
  <c r="AB46" i="19"/>
  <c r="AR22" i="22"/>
  <c r="H11" i="22" s="1"/>
  <c r="K243" i="38" s="1"/>
  <c r="O27" i="19"/>
  <c r="Y10" i="22"/>
  <c r="J45" i="19"/>
  <c r="L45" i="19" s="1"/>
  <c r="AG26" i="19"/>
  <c r="AG29" i="19"/>
  <c r="M36" i="25"/>
  <c r="AT22" i="22"/>
  <c r="I11" i="22" s="1"/>
  <c r="L243" i="38" s="1"/>
  <c r="L32" i="25"/>
  <c r="AS22" i="22"/>
  <c r="U29" i="19"/>
  <c r="L91" i="26" s="1"/>
  <c r="R91" i="26" s="1"/>
  <c r="AF26" i="19"/>
  <c r="BE38" i="22"/>
  <c r="F30" i="22" s="1"/>
  <c r="I259" i="38" s="1"/>
  <c r="BA22" i="22"/>
  <c r="I12" i="22" s="1"/>
  <c r="L244" i="38" s="1"/>
  <c r="AG27" i="4"/>
  <c r="AH27" i="4" s="1"/>
  <c r="J44" i="19"/>
  <c r="L44" i="19" s="1"/>
  <c r="AI27" i="19" s="1"/>
  <c r="X13" i="22"/>
  <c r="AK27" i="19"/>
  <c r="AF28" i="19"/>
  <c r="M32" i="25"/>
  <c r="AB42" i="19"/>
  <c r="O11" i="19"/>
  <c r="J149" i="30" s="1"/>
  <c r="V32" i="25"/>
  <c r="N45" i="4"/>
  <c r="J45" i="4"/>
  <c r="L45" i="4" s="1"/>
  <c r="AF27" i="19"/>
  <c r="AC26" i="4"/>
  <c r="K107" i="26" s="1"/>
  <c r="Q107" i="26" s="1"/>
  <c r="AG28" i="19"/>
  <c r="AF30" i="19"/>
  <c r="M34" i="25"/>
  <c r="N45" i="19"/>
  <c r="AA46" i="19"/>
  <c r="AA42" i="19"/>
  <c r="BT22" i="22"/>
  <c r="G14" i="22" s="1"/>
  <c r="J246" i="38" s="1"/>
  <c r="AG35" i="22"/>
  <c r="E28" i="22" s="1"/>
  <c r="AQ22" i="22"/>
  <c r="G11" i="22" s="1"/>
  <c r="J243" i="38" s="1"/>
  <c r="AG26" i="4"/>
  <c r="AH26" i="4" s="1"/>
  <c r="I43" i="19"/>
  <c r="K43" i="19" s="1"/>
  <c r="AH26" i="19" s="1"/>
  <c r="N44" i="19"/>
  <c r="AV38" i="22"/>
  <c r="I45" i="19"/>
  <c r="K45" i="19" s="1"/>
  <c r="AF29" i="19"/>
  <c r="AB29" i="19"/>
  <c r="AC29" i="19" s="1"/>
  <c r="N46" i="19"/>
  <c r="AS38" i="22"/>
  <c r="AG47" i="4"/>
  <c r="AR38" i="22"/>
  <c r="H28" i="22" s="1"/>
  <c r="K257" i="38" s="1"/>
  <c r="AZ22" i="22"/>
  <c r="AJ35" i="22"/>
  <c r="P17" i="25"/>
  <c r="H39" i="25"/>
  <c r="I39" i="25"/>
  <c r="O17" i="25"/>
  <c r="AG19" i="22"/>
  <c r="E11" i="22" s="1"/>
  <c r="AJ27" i="19"/>
  <c r="L39" i="25"/>
  <c r="AQ38" i="22"/>
  <c r="G28" i="22" s="1"/>
  <c r="J257" i="38" s="1"/>
  <c r="AU22" i="22"/>
  <c r="J11" i="22" s="1"/>
  <c r="N243" i="38" s="1"/>
  <c r="AK28" i="19"/>
  <c r="BS22" i="22"/>
  <c r="BJ22" i="22"/>
  <c r="BV22" i="22"/>
  <c r="AK19" i="22"/>
  <c r="E13" i="22" s="1"/>
  <c r="BB22" i="22"/>
  <c r="J12" i="22" s="1"/>
  <c r="N244" i="38" s="1"/>
  <c r="AN19" i="22"/>
  <c r="E15" i="22" s="1"/>
  <c r="H247" i="38" s="1"/>
  <c r="AT38" i="22"/>
  <c r="I28" i="22" s="1"/>
  <c r="L257" i="38" s="1"/>
  <c r="AY22" i="22"/>
  <c r="H12" i="22" s="1"/>
  <c r="K244" i="38" s="1"/>
  <c r="N11" i="19"/>
  <c r="BI22" i="22"/>
  <c r="J13" i="22" s="1"/>
  <c r="N245" i="38" s="1"/>
  <c r="AV22" i="22"/>
  <c r="Z25" i="22"/>
  <c r="AA25" i="22"/>
  <c r="X25" i="22"/>
  <c r="Y25" i="22"/>
  <c r="AE25" i="22"/>
  <c r="AB25" i="22"/>
  <c r="Q12" i="30"/>
  <c r="AC25" i="22"/>
  <c r="AD25" i="22"/>
  <c r="AK35" i="22"/>
  <c r="E30" i="22" s="1"/>
  <c r="E27" i="22"/>
  <c r="L51" i="2"/>
  <c r="H130" i="36"/>
  <c r="C13" i="36"/>
  <c r="D134" i="36" s="1"/>
  <c r="L63" i="2"/>
  <c r="B78" i="2"/>
  <c r="C22" i="36"/>
  <c r="D143" i="36" s="1"/>
  <c r="B59" i="36"/>
  <c r="C226" i="36" s="1"/>
  <c r="H137" i="36"/>
  <c r="C16" i="36"/>
  <c r="D137" i="36" s="1"/>
  <c r="H246" i="36"/>
  <c r="C21" i="36"/>
  <c r="D142" i="36" s="1"/>
  <c r="C20" i="36"/>
  <c r="D141" i="36" s="1"/>
  <c r="I211" i="36"/>
  <c r="U142" i="36"/>
  <c r="H131" i="36"/>
  <c r="B34" i="36"/>
  <c r="C191" i="36" s="1"/>
  <c r="C51" i="36"/>
  <c r="D213" i="36" s="1"/>
  <c r="N141" i="36"/>
  <c r="P8" i="2"/>
  <c r="C47" i="36"/>
  <c r="D209" i="36" s="1"/>
  <c r="B53" i="2"/>
  <c r="M57" i="2" s="1"/>
  <c r="S79" i="36"/>
  <c r="B41" i="37"/>
  <c r="B43" i="37"/>
  <c r="C208" i="37" s="1"/>
  <c r="B23" i="36"/>
  <c r="C144" i="36" s="1"/>
  <c r="F97" i="30"/>
  <c r="E147" i="30" s="1"/>
  <c r="C41" i="36"/>
  <c r="S30" i="36"/>
  <c r="M10" i="36"/>
  <c r="C44" i="36"/>
  <c r="D206" i="36" s="1"/>
  <c r="H237" i="36"/>
  <c r="B7" i="37"/>
  <c r="C118" i="37" s="1"/>
  <c r="M65" i="2"/>
  <c r="N138" i="36"/>
  <c r="P10" i="36"/>
  <c r="D150" i="36"/>
  <c r="M66" i="2"/>
  <c r="C46" i="36"/>
  <c r="D208" i="36" s="1"/>
  <c r="U133" i="36"/>
  <c r="H36" i="36"/>
  <c r="Q8" i="2"/>
  <c r="B11" i="36"/>
  <c r="C132" i="36" s="1"/>
  <c r="A110" i="2"/>
  <c r="I206" i="36"/>
  <c r="I61" i="36"/>
  <c r="D202" i="36"/>
  <c r="B16" i="31"/>
  <c r="B132" i="31" s="1"/>
  <c r="B39" i="36"/>
  <c r="C200" i="36" s="1"/>
  <c r="H134" i="36"/>
  <c r="M74" i="2"/>
  <c r="U134" i="36"/>
  <c r="A5" i="31"/>
  <c r="C24" i="36"/>
  <c r="D145" i="36" s="1"/>
  <c r="N126" i="37"/>
  <c r="B65" i="2"/>
  <c r="N131" i="36"/>
  <c r="C44" i="2"/>
  <c r="D211" i="36"/>
  <c r="E49" i="36" s="1"/>
  <c r="C49" i="36"/>
  <c r="U146" i="36"/>
  <c r="H11" i="37"/>
  <c r="H31" i="37" s="1"/>
  <c r="H44" i="37" s="1"/>
  <c r="C51" i="2"/>
  <c r="D92" i="2" s="1"/>
  <c r="L56" i="2"/>
  <c r="N10" i="31"/>
  <c r="C18" i="36"/>
  <c r="D139" i="36" s="1"/>
  <c r="N125" i="37"/>
  <c r="N12" i="37"/>
  <c r="R12" i="37" s="1"/>
  <c r="B52" i="2"/>
  <c r="M58" i="2" s="1"/>
  <c r="B47" i="37"/>
  <c r="C211" i="37" s="1"/>
  <c r="B69" i="36"/>
  <c r="N137" i="36"/>
  <c r="H132" i="36"/>
  <c r="I200" i="36" s="1"/>
  <c r="H235" i="36" s="1"/>
  <c r="L60" i="2"/>
  <c r="S55" i="36"/>
  <c r="W150" i="36"/>
  <c r="I209" i="36"/>
  <c r="L52" i="2"/>
  <c r="B64" i="36"/>
  <c r="D43" i="30"/>
  <c r="D193" i="30" s="1"/>
  <c r="B93" i="30"/>
  <c r="C128" i="36" s="1"/>
  <c r="P7" i="2"/>
  <c r="A5" i="32"/>
  <c r="N140" i="36"/>
  <c r="L57" i="2"/>
  <c r="F208" i="37"/>
  <c r="B98" i="2"/>
  <c r="I214" i="36"/>
  <c r="R10" i="35"/>
  <c r="R19" i="35" s="1"/>
  <c r="B94" i="2"/>
  <c r="U138" i="36"/>
  <c r="L62" i="2"/>
  <c r="D127" i="35"/>
  <c r="P127" i="35" s="1"/>
  <c r="O54" i="2"/>
  <c r="Q19" i="32"/>
  <c r="K95" i="35"/>
  <c r="L69" i="2"/>
  <c r="B11" i="1"/>
  <c r="F7" i="38" s="1"/>
  <c r="F150" i="38" s="1"/>
  <c r="C239" i="36"/>
  <c r="C7" i="2"/>
  <c r="S80" i="31"/>
  <c r="C43" i="36"/>
  <c r="D205" i="36" s="1"/>
  <c r="A5" i="38"/>
  <c r="N129" i="37"/>
  <c r="B99" i="2"/>
  <c r="U147" i="36"/>
  <c r="C12" i="36"/>
  <c r="D133" i="36" s="1"/>
  <c r="B50" i="36"/>
  <c r="C212" i="36" s="1"/>
  <c r="N139" i="36"/>
  <c r="S130" i="36"/>
  <c r="M11" i="37"/>
  <c r="Q11" i="37" s="1"/>
  <c r="I207" i="36"/>
  <c r="M72" i="2"/>
  <c r="D201" i="36"/>
  <c r="M69" i="2"/>
  <c r="M76" i="2"/>
  <c r="L208" i="37"/>
  <c r="C105" i="2"/>
  <c r="B9" i="36"/>
  <c r="B36" i="36" s="1"/>
  <c r="B61" i="36" s="1"/>
  <c r="C149" i="36"/>
  <c r="C130" i="36"/>
  <c r="C234" i="36" s="1"/>
  <c r="U143" i="36"/>
  <c r="H241" i="36"/>
  <c r="C50" i="2"/>
  <c r="C92" i="2" s="1"/>
  <c r="M64" i="2"/>
  <c r="L58" i="2"/>
  <c r="I202" i="36"/>
  <c r="Q24" i="32"/>
  <c r="C45" i="36"/>
  <c r="D207" i="36" s="1"/>
  <c r="C52" i="36"/>
  <c r="D214" i="36" s="1"/>
  <c r="C25" i="36"/>
  <c r="D146" i="36" s="1"/>
  <c r="Q21" i="32"/>
  <c r="F10" i="37"/>
  <c r="AE10" i="37" s="1"/>
  <c r="L47" i="2"/>
  <c r="L17" i="19"/>
  <c r="P17" i="19"/>
  <c r="F155" i="30"/>
  <c r="K12" i="19"/>
  <c r="L12" i="19" s="1"/>
  <c r="G57" i="5"/>
  <c r="N57" i="5" s="1"/>
  <c r="G58" i="5"/>
  <c r="N58" i="5" s="1"/>
  <c r="J60" i="5"/>
  <c r="O60" i="5" s="1"/>
  <c r="J59" i="5"/>
  <c r="O59" i="5" s="1"/>
  <c r="B10" i="38"/>
  <c r="B153" i="38" s="1"/>
  <c r="B181" i="38"/>
  <c r="B49" i="2"/>
  <c r="I14" i="38"/>
  <c r="A5" i="36"/>
  <c r="A5" i="37"/>
  <c r="N153" i="38"/>
  <c r="H13" i="38"/>
  <c r="G193" i="30" s="1"/>
  <c r="Q193" i="30" s="1"/>
  <c r="A5" i="2"/>
  <c r="B173" i="38"/>
  <c r="B9" i="1"/>
  <c r="B8" i="38" s="1"/>
  <c r="B151" i="38" s="1"/>
  <c r="B239" i="38"/>
  <c r="B253" i="38" s="1"/>
  <c r="Q74" i="38"/>
  <c r="B17" i="38"/>
  <c r="C97" i="38" s="1"/>
  <c r="N124" i="37"/>
  <c r="H174" i="38"/>
  <c r="H182" i="38" s="1"/>
  <c r="H189" i="38" s="1"/>
  <c r="H196" i="38" s="1"/>
  <c r="B93" i="38"/>
  <c r="B54" i="38"/>
  <c r="B75" i="38"/>
  <c r="E242" i="38" s="1"/>
  <c r="E256" i="38" s="1"/>
  <c r="B14" i="38"/>
  <c r="N83" i="38"/>
  <c r="B207" i="38"/>
  <c r="N128" i="37"/>
  <c r="I201" i="36"/>
  <c r="C17" i="36"/>
  <c r="D138" i="36" s="1"/>
  <c r="B171" i="38"/>
  <c r="B26" i="38"/>
  <c r="B164" i="38" s="1"/>
  <c r="N10" i="38"/>
  <c r="B34" i="38"/>
  <c r="Q240" i="38"/>
  <c r="Q254" i="38" s="1"/>
  <c r="K154" i="38"/>
  <c r="T239" i="38"/>
  <c r="T253" i="38" s="1"/>
  <c r="B148" i="38"/>
  <c r="B213" i="38" s="1"/>
  <c r="B242" i="38" s="1"/>
  <c r="B32" i="38"/>
  <c r="B73" i="38"/>
  <c r="J201" i="38"/>
  <c r="D10" i="38"/>
  <c r="M75" i="38" s="1"/>
  <c r="B88" i="38"/>
  <c r="B195" i="38"/>
  <c r="J13" i="38"/>
  <c r="C95" i="38"/>
  <c r="H153" i="38"/>
  <c r="J14" i="38"/>
  <c r="I54" i="38"/>
  <c r="B21" i="38"/>
  <c r="C78" i="38" s="1"/>
  <c r="F245" i="38" s="1"/>
  <c r="F259" i="38" s="1"/>
  <c r="H135" i="36"/>
  <c r="H14" i="38"/>
  <c r="B20" i="38"/>
  <c r="C99" i="38" s="1"/>
  <c r="B159" i="38" s="1"/>
  <c r="C90" i="38"/>
  <c r="C100" i="38" s="1"/>
  <c r="B160" i="38" s="1"/>
  <c r="I13" i="38"/>
  <c r="B19" i="38"/>
  <c r="C76" i="38" s="1"/>
  <c r="F243" i="38" s="1"/>
  <c r="B206" i="38"/>
  <c r="Q153" i="38"/>
  <c r="U137" i="36"/>
  <c r="G15" i="1"/>
  <c r="B48" i="35"/>
  <c r="B133" i="35" s="1"/>
  <c r="B15" i="1"/>
  <c r="F8" i="38" s="1"/>
  <c r="F151" i="38" s="1"/>
  <c r="H154" i="38"/>
  <c r="B204" i="38"/>
  <c r="B23" i="38"/>
  <c r="C101" i="38" s="1"/>
  <c r="B161" i="38" s="1"/>
  <c r="E246" i="38" s="1"/>
  <c r="B50" i="2"/>
  <c r="M60" i="2" s="1"/>
  <c r="M79" i="38"/>
  <c r="S1" i="38"/>
  <c r="B15" i="38"/>
  <c r="N8" i="38"/>
  <c r="B84" i="38" s="1"/>
  <c r="I34" i="38"/>
  <c r="J180" i="38"/>
  <c r="B157" i="38"/>
  <c r="B168" i="38"/>
  <c r="B188" i="38"/>
  <c r="V29" i="38"/>
  <c r="C91" i="38"/>
  <c r="M73" i="38"/>
  <c r="B170" i="38"/>
  <c r="B175" i="38"/>
  <c r="B183" i="38" s="1"/>
  <c r="B190" i="38" s="1"/>
  <c r="B197" i="38" s="1"/>
  <c r="D13" i="38"/>
  <c r="C80" i="38"/>
  <c r="F247" i="38" s="1"/>
  <c r="N241" i="38" s="1"/>
  <c r="N255" i="38" s="1"/>
  <c r="A5" i="35"/>
  <c r="B30" i="38"/>
  <c r="F250" i="38"/>
  <c r="F264" i="38" s="1"/>
  <c r="B28" i="38"/>
  <c r="D92" i="38" s="1"/>
  <c r="D102" i="38" s="1"/>
  <c r="B166" i="38" s="1"/>
  <c r="J211" i="38" s="1"/>
  <c r="B25" i="38"/>
  <c r="B163" i="38" s="1"/>
  <c r="B210" i="38"/>
  <c r="H239" i="38"/>
  <c r="H253" i="38" s="1"/>
  <c r="H10" i="38"/>
  <c r="B209" i="38"/>
  <c r="D242" i="38"/>
  <c r="D256" i="38" s="1"/>
  <c r="B18" i="1"/>
  <c r="N7" i="38" s="1"/>
  <c r="N150" i="38" s="1"/>
  <c r="B7" i="1"/>
  <c r="B7" i="38" s="1"/>
  <c r="B150" i="38" s="1"/>
  <c r="B208" i="38"/>
  <c r="B82" i="38"/>
  <c r="J187" i="38"/>
  <c r="A5" i="1"/>
  <c r="J194" i="38"/>
  <c r="C81" i="38"/>
  <c r="F248" i="38" s="1"/>
  <c r="F262" i="38" s="1"/>
  <c r="D12" i="38"/>
  <c r="D155" i="38" s="1"/>
  <c r="B89" i="38"/>
  <c r="C19" i="1"/>
  <c r="B22" i="38"/>
  <c r="B54" i="2"/>
  <c r="G67" i="2" s="1"/>
  <c r="B11" i="37"/>
  <c r="C132" i="37" s="1"/>
  <c r="B16" i="38"/>
  <c r="C96" i="38" s="1"/>
  <c r="G12" i="1"/>
  <c r="B174" i="38"/>
  <c r="B182" i="38" s="1"/>
  <c r="B189" i="38" s="1"/>
  <c r="B196" i="38" s="1"/>
  <c r="N127" i="37"/>
  <c r="I8" i="1"/>
  <c r="W19" i="32"/>
  <c r="C20" i="1"/>
  <c r="K168" i="38"/>
  <c r="K204" i="38" s="1"/>
  <c r="O194" i="38" s="1"/>
  <c r="D145" i="30"/>
  <c r="B43" i="30"/>
  <c r="B20" i="31" s="1"/>
  <c r="B19" i="35" s="1"/>
  <c r="H236" i="36"/>
  <c r="J10" i="30"/>
  <c r="D11" i="30"/>
  <c r="F30" i="37"/>
  <c r="F43" i="37" s="1"/>
  <c r="R39" i="37"/>
  <c r="F171" i="31"/>
  <c r="H171" i="31" s="1"/>
  <c r="G43" i="30"/>
  <c r="G96" i="30"/>
  <c r="F146" i="30" s="1"/>
  <c r="J146" i="30" s="1"/>
  <c r="N122" i="37"/>
  <c r="B7" i="35"/>
  <c r="B82" i="35" s="1"/>
  <c r="B9" i="31"/>
  <c r="B10" i="30"/>
  <c r="V10" i="30" s="1"/>
  <c r="B33" i="37"/>
  <c r="C202" i="37" s="1"/>
  <c r="R21" i="37"/>
  <c r="B28" i="37"/>
  <c r="G18" i="30"/>
  <c r="I33" i="31" s="1"/>
  <c r="D119" i="37"/>
  <c r="V9" i="30"/>
  <c r="N64" i="36" s="1"/>
  <c r="N235" i="36" s="1"/>
  <c r="B42" i="35"/>
  <c r="B126" i="35" s="1"/>
  <c r="Q35" i="31"/>
  <c r="P233" i="31"/>
  <c r="R49" i="35"/>
  <c r="N121" i="35"/>
  <c r="E96" i="30"/>
  <c r="E170" i="31" s="1"/>
  <c r="E90" i="35"/>
  <c r="B39" i="31"/>
  <c r="B162" i="31" s="1"/>
  <c r="D10" i="30"/>
  <c r="W96" i="31"/>
  <c r="J10" i="35"/>
  <c r="J19" i="35" s="1"/>
  <c r="E97" i="30"/>
  <c r="D147" i="30" s="1"/>
  <c r="E11" i="31"/>
  <c r="E20" i="31" s="1"/>
  <c r="I43" i="30"/>
  <c r="X56" i="30" s="1"/>
  <c r="B41" i="30"/>
  <c r="U145" i="36"/>
  <c r="B34" i="37"/>
  <c r="C203" i="37" s="1"/>
  <c r="D18" i="30"/>
  <c r="F10" i="30"/>
  <c r="X10" i="30" s="1"/>
  <c r="N43" i="35"/>
  <c r="B45" i="31"/>
  <c r="B174" i="31" s="1"/>
  <c r="Z55" i="35"/>
  <c r="B92" i="30"/>
  <c r="B142" i="30" s="1"/>
  <c r="B190" i="30" s="1"/>
  <c r="B35" i="37"/>
  <c r="C204" i="37" s="1"/>
  <c r="B95" i="35"/>
  <c r="O10" i="30"/>
  <c r="N49" i="31"/>
  <c r="D10" i="31"/>
  <c r="D19" i="31" s="1"/>
  <c r="O170" i="31"/>
  <c r="D10" i="35"/>
  <c r="E74" i="38" s="1"/>
  <c r="E89" i="38" s="1"/>
  <c r="B11" i="30"/>
  <c r="B96" i="30" s="1"/>
  <c r="U19" i="32"/>
  <c r="D126" i="35"/>
  <c r="B7" i="31"/>
  <c r="B117" i="31" s="1"/>
  <c r="B281" i="31" s="1"/>
  <c r="C8" i="37"/>
  <c r="B7" i="30"/>
  <c r="B85" i="30" s="1"/>
  <c r="H244" i="36"/>
  <c r="N20" i="30"/>
  <c r="M11" i="30"/>
  <c r="S12" i="31" s="1"/>
  <c r="W12" i="31" s="1"/>
  <c r="W21" i="31" s="1"/>
  <c r="N57" i="30"/>
  <c r="E11" i="30"/>
  <c r="E28" i="30" s="1"/>
  <c r="K44" i="30" s="1"/>
  <c r="R12" i="35" s="1"/>
  <c r="R21" i="35" s="1"/>
  <c r="D88" i="30"/>
  <c r="D138" i="30" s="1"/>
  <c r="B8" i="30"/>
  <c r="B25" i="30" s="1"/>
  <c r="B86" i="30" s="1"/>
  <c r="T10" i="30"/>
  <c r="T27" i="30" s="1"/>
  <c r="T43" i="30" s="1"/>
  <c r="R43" i="35"/>
  <c r="R50" i="37"/>
  <c r="I127" i="31"/>
  <c r="O171" i="31" s="1"/>
  <c r="I232" i="31" s="1"/>
  <c r="I96" i="30"/>
  <c r="M146" i="30" s="1"/>
  <c r="D294" i="31"/>
  <c r="N37" i="30"/>
  <c r="N12" i="31"/>
  <c r="W12" i="35" s="1"/>
  <c r="W21" i="35" s="1"/>
  <c r="B75" i="31"/>
  <c r="B234" i="31" s="1"/>
  <c r="B254" i="31" s="1"/>
  <c r="B177" i="31"/>
  <c r="Q22" i="32"/>
  <c r="D290" i="31"/>
  <c r="B26" i="37"/>
  <c r="C190" i="37" s="1"/>
  <c r="B96" i="35"/>
  <c r="H74" i="31"/>
  <c r="H82" i="31" s="1"/>
  <c r="AG82" i="31" s="1"/>
  <c r="B46" i="35"/>
  <c r="B131" i="35" s="1"/>
  <c r="K27" i="30"/>
  <c r="B7" i="32"/>
  <c r="E74" i="31"/>
  <c r="E82" i="31" s="1"/>
  <c r="AE82" i="31" s="1"/>
  <c r="Z35" i="35"/>
  <c r="B18" i="35"/>
  <c r="F200" i="37"/>
  <c r="B31" i="37"/>
  <c r="C201" i="37" s="1"/>
  <c r="H243" i="36"/>
  <c r="H121" i="35"/>
  <c r="E10" i="30"/>
  <c r="E27" i="30" s="1"/>
  <c r="K43" i="30" s="1"/>
  <c r="B28" i="30"/>
  <c r="B146" i="30" s="1"/>
  <c r="B172" i="31"/>
  <c r="K96" i="30"/>
  <c r="Q132" i="37" s="1"/>
  <c r="B36" i="37"/>
  <c r="C205" i="37" s="1"/>
  <c r="K126" i="35"/>
  <c r="F27" i="30"/>
  <c r="X27" i="30" s="1"/>
  <c r="J11" i="30"/>
  <c r="O12" i="31" s="1"/>
  <c r="O21" i="31" s="1"/>
  <c r="O43" i="31" s="1"/>
  <c r="O51" i="31" s="1"/>
  <c r="H240" i="36"/>
  <c r="R10" i="30"/>
  <c r="R27" i="30" s="1"/>
  <c r="R43" i="30" s="1"/>
  <c r="B18" i="31"/>
  <c r="B76" i="31"/>
  <c r="B235" i="31" s="1"/>
  <c r="B255" i="31" s="1"/>
  <c r="B90" i="35"/>
  <c r="B78" i="31"/>
  <c r="B237" i="31" s="1"/>
  <c r="B257" i="31" s="1"/>
  <c r="N19" i="31"/>
  <c r="H245" i="36"/>
  <c r="K11" i="30"/>
  <c r="O11" i="30" s="1"/>
  <c r="B46" i="37"/>
  <c r="C210" i="37" s="1"/>
  <c r="B285" i="31"/>
  <c r="D42" i="35"/>
  <c r="D11" i="31"/>
  <c r="B287" i="31" s="1"/>
  <c r="S171" i="31"/>
  <c r="P229" i="31"/>
  <c r="J11" i="35"/>
  <c r="H12" i="37" s="1"/>
  <c r="M43" i="30"/>
  <c r="Z19" i="32"/>
  <c r="H145" i="30"/>
  <c r="B128" i="31"/>
  <c r="J62" i="5"/>
  <c r="J61" i="5"/>
  <c r="J34" i="5"/>
  <c r="K34" i="5"/>
  <c r="J68" i="5" s="1"/>
  <c r="G64" i="5"/>
  <c r="G63" i="5"/>
  <c r="AE18" i="5"/>
  <c r="AD13" i="5"/>
  <c r="M12" i="5"/>
  <c r="M84" i="5" s="1"/>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J57" i="17"/>
  <c r="S57" i="17" s="1"/>
  <c r="X65" i="36"/>
  <c r="Y65" i="36" s="1"/>
  <c r="AE13" i="5"/>
  <c r="AE15" i="5"/>
  <c r="AE12" i="5"/>
  <c r="AD19" i="5"/>
  <c r="U39" i="10"/>
  <c r="V36" i="10"/>
  <c r="AD15" i="5"/>
  <c r="AE14" i="5"/>
  <c r="AE19" i="5"/>
  <c r="N93" i="5"/>
  <c r="AD14" i="5"/>
  <c r="M95" i="5"/>
  <c r="R14" i="5"/>
  <c r="H64" i="5"/>
  <c r="H86" i="5"/>
  <c r="H61" i="5"/>
  <c r="N92" i="5"/>
  <c r="H85" i="5"/>
  <c r="U35" i="10"/>
  <c r="R71" i="5"/>
  <c r="H67" i="5"/>
  <c r="N95" i="5"/>
  <c r="AD17" i="5"/>
  <c r="AD18" i="5"/>
  <c r="O87" i="5"/>
  <c r="K98" i="5"/>
  <c r="K99" i="5"/>
  <c r="K97" i="5"/>
  <c r="AE17" i="5"/>
  <c r="AG14" i="5"/>
  <c r="M94" i="5"/>
  <c r="AH14" i="5"/>
  <c r="H97" i="5"/>
  <c r="H98" i="5"/>
  <c r="H99" i="5"/>
  <c r="O84" i="5"/>
  <c r="Q14" i="5"/>
  <c r="G43" i="10"/>
  <c r="M92" i="5"/>
  <c r="K90" i="5"/>
  <c r="K91" i="5"/>
  <c r="K89" i="5"/>
  <c r="O86" i="5"/>
  <c r="E43" i="10"/>
  <c r="AG69" i="5"/>
  <c r="AH69" i="5"/>
  <c r="R69" i="5"/>
  <c r="AH70" i="5"/>
  <c r="Q69" i="5"/>
  <c r="AH71" i="5"/>
  <c r="Q71" i="5"/>
  <c r="AG71" i="5"/>
  <c r="R70" i="5"/>
  <c r="Q70" i="5"/>
  <c r="AG70" i="5"/>
  <c r="J33" i="10"/>
  <c r="G99" i="30"/>
  <c r="M11" i="4" s="1"/>
  <c r="AK40" i="10"/>
  <c r="N20" i="31"/>
  <c r="N50" i="31" s="1"/>
  <c r="C63" i="34"/>
  <c r="AG87" i="31"/>
  <c r="A152" i="2"/>
  <c r="C20" i="34"/>
  <c r="AK38" i="10"/>
  <c r="AL40" i="10"/>
  <c r="C6" i="34"/>
  <c r="N43" i="25"/>
  <c r="C59" i="34"/>
  <c r="I36" i="10"/>
  <c r="AJ24" i="35"/>
  <c r="M152" i="2"/>
  <c r="N152" i="2"/>
  <c r="A19" i="34"/>
  <c r="C8" i="34"/>
  <c r="A7" i="34"/>
  <c r="X59" i="30"/>
  <c r="AE78" i="31"/>
  <c r="W48" i="30"/>
  <c r="V50" i="30"/>
  <c r="I12" i="1"/>
  <c r="C61" i="34"/>
  <c r="AL38" i="10"/>
  <c r="J34" i="10"/>
  <c r="I34" i="10"/>
  <c r="J41" i="10"/>
  <c r="N44" i="4"/>
  <c r="V33" i="10"/>
  <c r="E57" i="35"/>
  <c r="X57" i="30"/>
  <c r="C51" i="34"/>
  <c r="C53" i="34"/>
  <c r="AL28" i="35"/>
  <c r="W54" i="30"/>
  <c r="AE88" i="31"/>
  <c r="J153" i="2"/>
  <c r="X30" i="30"/>
  <c r="D8" i="30"/>
  <c r="C19" i="34"/>
  <c r="AE15" i="37"/>
  <c r="B153" i="2"/>
  <c r="C23" i="34"/>
  <c r="AJ89" i="31"/>
  <c r="V17" i="30"/>
  <c r="X2" i="38"/>
  <c r="V12" i="30"/>
  <c r="J88" i="30" s="1"/>
  <c r="AC14" i="37"/>
  <c r="A15" i="34"/>
  <c r="R8" i="37"/>
  <c r="H120" i="37" s="1"/>
  <c r="Q8" i="30"/>
  <c r="I39" i="10"/>
  <c r="AL15" i="35"/>
  <c r="AC17" i="37"/>
  <c r="A11" i="34"/>
  <c r="E56" i="35"/>
  <c r="AJ14" i="35"/>
  <c r="N65" i="36"/>
  <c r="N236" i="36" s="1"/>
  <c r="AC16" i="37"/>
  <c r="B152" i="2"/>
  <c r="C30" i="34"/>
  <c r="K8" i="30"/>
  <c r="A10" i="34"/>
  <c r="X48" i="30"/>
  <c r="N153" i="2"/>
  <c r="AN27" i="35"/>
  <c r="AG77" i="31"/>
  <c r="A16" i="34"/>
  <c r="W51" i="30"/>
  <c r="I155" i="2"/>
  <c r="C45" i="34"/>
  <c r="C22" i="34"/>
  <c r="AJ86" i="31"/>
  <c r="V32" i="30"/>
  <c r="AN29" i="35"/>
  <c r="AN25" i="35"/>
  <c r="AJ28" i="35"/>
  <c r="C36" i="34"/>
  <c r="C43" i="34"/>
  <c r="B156" i="2"/>
  <c r="X46" i="30"/>
  <c r="X15" i="30"/>
  <c r="V30" i="30"/>
  <c r="A20" i="34"/>
  <c r="C24" i="34"/>
  <c r="AN22" i="35"/>
  <c r="AE83" i="31"/>
  <c r="A9" i="34"/>
  <c r="A29" i="34"/>
  <c r="AI14" i="37"/>
  <c r="C12" i="34"/>
  <c r="AJ91" i="31"/>
  <c r="C58" i="34"/>
  <c r="F58" i="35"/>
  <c r="B138" i="35" s="1"/>
  <c r="W46" i="30"/>
  <c r="C11" i="32"/>
  <c r="C14" i="32" s="1"/>
  <c r="E151" i="2"/>
  <c r="X12" i="30"/>
  <c r="B35" i="2"/>
  <c r="AJ13" i="35"/>
  <c r="A8" i="34"/>
  <c r="AL14" i="35"/>
  <c r="AJ30" i="35"/>
  <c r="C14" i="34"/>
  <c r="AJ16" i="35"/>
  <c r="A26" i="34"/>
  <c r="A22" i="34"/>
  <c r="C27" i="34"/>
  <c r="A154" i="2"/>
  <c r="E58" i="35"/>
  <c r="B155" i="2"/>
  <c r="V54" i="30"/>
  <c r="C56" i="34"/>
  <c r="C49" i="34"/>
  <c r="A13" i="34"/>
  <c r="V13" i="30"/>
  <c r="AI13" i="37"/>
  <c r="A151" i="2"/>
  <c r="J151" i="2"/>
  <c r="A31" i="34"/>
  <c r="AJ90" i="31"/>
  <c r="C50" i="34"/>
  <c r="C55" i="34"/>
  <c r="F56" i="35"/>
  <c r="B136" i="35" s="1"/>
  <c r="W8" i="37"/>
  <c r="O120" i="37" s="1"/>
  <c r="W53" i="30"/>
  <c r="X13" i="30"/>
  <c r="AG88" i="31"/>
  <c r="A155" i="2"/>
  <c r="M153" i="2"/>
  <c r="V47" i="30"/>
  <c r="A4" i="34"/>
  <c r="N76" i="36"/>
  <c r="N246" i="36" s="1"/>
  <c r="AJ15" i="35"/>
  <c r="W45" i="30"/>
  <c r="AJ84" i="31"/>
  <c r="C54" i="34"/>
  <c r="AN30" i="35"/>
  <c r="X32" i="30"/>
  <c r="AE90" i="31"/>
  <c r="A23" i="34"/>
  <c r="N151" i="2"/>
  <c r="AJ87" i="31"/>
  <c r="AG91" i="31"/>
  <c r="A17" i="34"/>
  <c r="AE87" i="31"/>
  <c r="C52" i="34"/>
  <c r="J152" i="2"/>
  <c r="B31" i="2"/>
  <c r="AG15" i="37"/>
  <c r="AG86" i="31"/>
  <c r="X45" i="30"/>
  <c r="V19" i="30"/>
  <c r="V36" i="30" s="1"/>
  <c r="C4" i="34"/>
  <c r="V16" i="30"/>
  <c r="X58" i="30"/>
  <c r="AG17" i="37"/>
  <c r="C40" i="34"/>
  <c r="C34" i="34"/>
  <c r="N74" i="36"/>
  <c r="N244" i="36" s="1"/>
  <c r="X53" i="30"/>
  <c r="A6" i="34"/>
  <c r="AJ29" i="35"/>
  <c r="AI17" i="37"/>
  <c r="C17" i="34"/>
  <c r="J155" i="2"/>
  <c r="V29" i="30"/>
  <c r="J138" i="30" s="1"/>
  <c r="C16" i="34"/>
  <c r="C57" i="34"/>
  <c r="X31" i="30"/>
  <c r="F153" i="2"/>
  <c r="AG83" i="31"/>
  <c r="X33" i="30"/>
  <c r="AL31" i="35"/>
  <c r="AG18" i="37"/>
  <c r="X34" i="30"/>
  <c r="F57" i="35"/>
  <c r="B137" i="35" s="1"/>
  <c r="A18" i="34"/>
  <c r="AE86" i="31"/>
  <c r="X52" i="30"/>
  <c r="L8" i="32"/>
  <c r="C35" i="34"/>
  <c r="C62" i="34"/>
  <c r="C18" i="34"/>
  <c r="AG90" i="31"/>
  <c r="AL30" i="35"/>
  <c r="W52" i="30"/>
  <c r="F151" i="2"/>
  <c r="AG89" i="31"/>
  <c r="C7" i="34"/>
  <c r="X14" i="30"/>
  <c r="X29" i="30"/>
  <c r="AJ88" i="31"/>
  <c r="C10" i="34"/>
  <c r="AE17" i="37"/>
  <c r="A25" i="34"/>
  <c r="A156" i="2"/>
  <c r="X47" i="30"/>
  <c r="C28" i="34"/>
  <c r="AL27" i="35"/>
  <c r="C31" i="34"/>
  <c r="J154" i="2"/>
  <c r="V14" i="30"/>
  <c r="J90" i="30" s="1"/>
  <c r="A14" i="34"/>
  <c r="C15" i="34"/>
  <c r="I152" i="2"/>
  <c r="C33" i="34"/>
  <c r="C39" i="34"/>
  <c r="C5" i="34"/>
  <c r="AE85" i="31"/>
  <c r="N70" i="36"/>
  <c r="N240" i="36" s="1"/>
  <c r="N72" i="36"/>
  <c r="N242" i="36" s="1"/>
  <c r="V31" i="30"/>
  <c r="I15" i="1"/>
  <c r="H8" i="38" s="1"/>
  <c r="H151" i="38" s="1"/>
  <c r="AN14" i="35"/>
  <c r="C25" i="34"/>
  <c r="C26" i="34"/>
  <c r="N155" i="2"/>
  <c r="C13" i="34"/>
  <c r="X51" i="30"/>
  <c r="C32" i="34"/>
  <c r="A21" i="34"/>
  <c r="AL26" i="35"/>
  <c r="I9" i="1"/>
  <c r="D8" i="38" s="1"/>
  <c r="D151" i="38" s="1"/>
  <c r="C12" i="32"/>
  <c r="C15" i="32" s="1"/>
  <c r="AJ78" i="31"/>
  <c r="G66" i="2"/>
  <c r="AJ23" i="35"/>
  <c r="A2" i="34"/>
  <c r="AG16" i="37"/>
  <c r="AN13" i="35"/>
  <c r="AG13" i="37"/>
  <c r="B154" i="2"/>
  <c r="AG92" i="31"/>
  <c r="AL29" i="35"/>
  <c r="AC15" i="37"/>
  <c r="AJ83" i="31"/>
  <c r="N73" i="36"/>
  <c r="N243" i="36" s="1"/>
  <c r="AL25" i="35"/>
  <c r="C47" i="34"/>
  <c r="N67" i="36"/>
  <c r="N238" i="36" s="1"/>
  <c r="N71" i="36"/>
  <c r="N241" i="36" s="1"/>
  <c r="B29" i="2"/>
  <c r="AJ77" i="31"/>
  <c r="F155" i="2"/>
  <c r="B39" i="2"/>
  <c r="I151" i="2"/>
  <c r="X54" i="30"/>
  <c r="E153" i="2"/>
  <c r="C29" i="34"/>
  <c r="X49" i="30"/>
  <c r="A12" i="34"/>
  <c r="A27" i="34"/>
  <c r="AG84" i="31"/>
  <c r="AE91" i="31"/>
  <c r="C46" i="34"/>
  <c r="C3" i="34"/>
  <c r="AN15" i="35"/>
  <c r="C60" i="34"/>
  <c r="AG85" i="31"/>
  <c r="I153" i="2"/>
  <c r="C11" i="34"/>
  <c r="AL13" i="35"/>
  <c r="A24" i="34"/>
  <c r="AJ85" i="31"/>
  <c r="AJ25" i="35"/>
  <c r="N75" i="36"/>
  <c r="N245" i="36" s="1"/>
  <c r="AE18" i="37"/>
  <c r="V15" i="30"/>
  <c r="C2" i="34"/>
  <c r="V45" i="30"/>
  <c r="AI15" i="37"/>
  <c r="M151" i="2"/>
  <c r="N66" i="36"/>
  <c r="N237" i="36" s="1"/>
  <c r="C9" i="34"/>
  <c r="AE16" i="37"/>
  <c r="L8" i="37"/>
  <c r="M119" i="37" s="1"/>
  <c r="V33" i="30"/>
  <c r="C44" i="34"/>
  <c r="AL16" i="35"/>
  <c r="A3" i="34"/>
  <c r="A30" i="34"/>
  <c r="AL22" i="35"/>
  <c r="C48" i="34"/>
  <c r="AG76" i="31"/>
  <c r="AN23" i="35"/>
  <c r="AG78" i="31"/>
  <c r="C37" i="34"/>
  <c r="E154" i="2"/>
  <c r="F152" i="2"/>
  <c r="E155" i="2"/>
  <c r="AN24" i="35"/>
  <c r="AJ22" i="35"/>
  <c r="V53" i="30"/>
  <c r="E152" i="2"/>
  <c r="F154" i="2"/>
  <c r="AE92" i="31"/>
  <c r="AE75" i="31"/>
  <c r="V51" i="30"/>
  <c r="AE13" i="37"/>
  <c r="AL23" i="35"/>
  <c r="B33" i="2"/>
  <c r="AJ75" i="31"/>
  <c r="AE89" i="31"/>
  <c r="I154" i="2"/>
  <c r="AN28" i="35"/>
  <c r="AG14" i="37"/>
  <c r="V48" i="30"/>
  <c r="AJ27" i="35"/>
  <c r="W50" i="30"/>
  <c r="G8" i="32"/>
  <c r="AI18" i="37"/>
  <c r="C41" i="34"/>
  <c r="A153" i="2"/>
  <c r="G9" i="32"/>
  <c r="A5" i="34"/>
  <c r="B25" i="2"/>
  <c r="AJ31" i="35"/>
  <c r="AE76" i="31"/>
  <c r="AI16" i="37"/>
  <c r="X16" i="30"/>
  <c r="X50" i="30"/>
  <c r="X17" i="30"/>
  <c r="AE14" i="37"/>
  <c r="AN16" i="35"/>
  <c r="AN26" i="35"/>
  <c r="V34" i="30"/>
  <c r="C21" i="34"/>
  <c r="W49" i="30"/>
  <c r="V49" i="30"/>
  <c r="AC18" i="37"/>
  <c r="B37" i="2"/>
  <c r="AL24" i="35"/>
  <c r="W47" i="30"/>
  <c r="B151" i="2"/>
  <c r="AN31" i="35"/>
  <c r="V46" i="30"/>
  <c r="AJ26" i="35"/>
  <c r="C38" i="34"/>
  <c r="A28" i="34"/>
  <c r="F8" i="37"/>
  <c r="F119" i="37" s="1"/>
  <c r="AJ92" i="31"/>
  <c r="G8" i="30"/>
  <c r="AJ76" i="31"/>
  <c r="AC13" i="37"/>
  <c r="AE77" i="31"/>
  <c r="AE84" i="31"/>
  <c r="C42" i="34"/>
  <c r="I11" i="1"/>
  <c r="M155" i="2"/>
  <c r="V52" i="30"/>
  <c r="AG75" i="31"/>
  <c r="B27" i="2"/>
  <c r="AI22" i="9"/>
  <c r="AK15" i="24"/>
  <c r="AC15" i="24"/>
  <c r="R47" i="9"/>
  <c r="AI16" i="9"/>
  <c r="AG17" i="9"/>
  <c r="AO23" i="9"/>
  <c r="AH19" i="9"/>
  <c r="T43" i="15"/>
  <c r="Y21" i="9"/>
  <c r="K46" i="9" s="1"/>
  <c r="AG21" i="9"/>
  <c r="R45" i="9"/>
  <c r="AM23" i="9"/>
  <c r="AG23" i="9"/>
  <c r="AF21" i="9"/>
  <c r="AP19" i="9"/>
  <c r="R42" i="9"/>
  <c r="T40" i="15"/>
  <c r="AM21" i="9"/>
  <c r="AO15" i="9"/>
  <c r="Z16" i="24"/>
  <c r="E139" i="31"/>
  <c r="V18" i="9" s="1"/>
  <c r="H43" i="9" s="1"/>
  <c r="AO19" i="9"/>
  <c r="E134" i="31"/>
  <c r="V13" i="9" s="1"/>
  <c r="H38" i="9" s="1"/>
  <c r="M36" i="15"/>
  <c r="AJ36" i="15" s="1"/>
  <c r="AH24" i="9"/>
  <c r="AP15" i="9"/>
  <c r="T44" i="15"/>
  <c r="E131" i="31"/>
  <c r="V11" i="9" s="1"/>
  <c r="AJ49" i="9"/>
  <c r="P11" i="24"/>
  <c r="AB33" i="24" s="1"/>
  <c r="AH15" i="9"/>
  <c r="E137" i="31"/>
  <c r="V16" i="9" s="1"/>
  <c r="I41" i="9" s="1"/>
  <c r="Y13" i="9"/>
  <c r="AY38" i="9" s="1"/>
  <c r="R44" i="9"/>
  <c r="Y17" i="9"/>
  <c r="K42" i="9" s="1"/>
  <c r="T38" i="15"/>
  <c r="AY35" i="9"/>
  <c r="J45" i="9"/>
  <c r="AY45" i="9"/>
  <c r="E130" i="31"/>
  <c r="V10" i="9" s="1"/>
  <c r="R39" i="9"/>
  <c r="K45" i="9"/>
  <c r="AG19" i="9"/>
  <c r="AF19" i="9"/>
  <c r="Y11" i="9"/>
  <c r="AL18" i="15"/>
  <c r="AN19" i="9"/>
  <c r="E142" i="31"/>
  <c r="V21" i="9" s="1"/>
  <c r="I46" i="9" s="1"/>
  <c r="T37" i="15"/>
  <c r="T36" i="15"/>
  <c r="R46" i="9"/>
  <c r="J37" i="15"/>
  <c r="AF15" i="9"/>
  <c r="AM19" i="9"/>
  <c r="AS49" i="9"/>
  <c r="AM49" i="9"/>
  <c r="AH16" i="9"/>
  <c r="AP16" i="9"/>
  <c r="T39" i="15"/>
  <c r="T42" i="15"/>
  <c r="P32" i="31"/>
  <c r="AM15" i="9"/>
  <c r="AL21" i="15"/>
  <c r="K40" i="15"/>
  <c r="O40" i="15" s="1"/>
  <c r="AH20" i="9"/>
  <c r="AI16" i="24"/>
  <c r="P62" i="31"/>
  <c r="T45" i="15"/>
  <c r="Y14" i="9"/>
  <c r="J39" i="9" s="1"/>
  <c r="J40" i="15"/>
  <c r="R40" i="9"/>
  <c r="T41" i="15"/>
  <c r="E132" i="31"/>
  <c r="V12" i="9" s="1"/>
  <c r="R43" i="9"/>
  <c r="L37" i="15"/>
  <c r="AN15" i="9"/>
  <c r="AP49" i="9"/>
  <c r="E135" i="31"/>
  <c r="V14" i="9" s="1"/>
  <c r="AK16" i="9" s="1"/>
  <c r="R41" i="9"/>
  <c r="N36" i="15"/>
  <c r="AA83" i="31" s="1"/>
  <c r="K36" i="15"/>
  <c r="AR49" i="9"/>
  <c r="E141" i="31"/>
  <c r="V20" i="9" s="1"/>
  <c r="AK22" i="9" s="1"/>
  <c r="AL49" i="9"/>
  <c r="AF17" i="9"/>
  <c r="P16" i="24"/>
  <c r="L38" i="24" s="1"/>
  <c r="AL22" i="15"/>
  <c r="R38" i="9"/>
  <c r="AV49" i="9"/>
  <c r="AN21" i="9"/>
  <c r="AF49" i="9"/>
  <c r="J39" i="15"/>
  <c r="N39" i="15" s="1"/>
  <c r="AA86" i="31" s="1"/>
  <c r="J41" i="15"/>
  <c r="N41" i="15" s="1"/>
  <c r="AA88" i="31" s="1"/>
  <c r="E143" i="31"/>
  <c r="V22" i="9" s="1"/>
  <c r="AL24" i="9" s="1"/>
  <c r="AI18" i="9"/>
  <c r="K41" i="15"/>
  <c r="O41" i="15" s="1"/>
  <c r="AG49" i="9"/>
  <c r="Y12" i="9"/>
  <c r="AY37" i="9" s="1"/>
  <c r="AK49" i="9"/>
  <c r="AN17" i="9"/>
  <c r="AG16" i="9"/>
  <c r="AI14" i="24"/>
  <c r="AI24" i="9"/>
  <c r="AH18" i="9"/>
  <c r="AO18" i="9"/>
  <c r="AY44" i="9"/>
  <c r="AZ44" i="9"/>
  <c r="AF16" i="9"/>
  <c r="AM16" i="9"/>
  <c r="E138" i="31"/>
  <c r="V17" i="9" s="1"/>
  <c r="I42" i="9" s="1"/>
  <c r="Y22" i="9"/>
  <c r="J47" i="9" s="1"/>
  <c r="AY43" i="9"/>
  <c r="AZ43" i="9"/>
  <c r="J43" i="9"/>
  <c r="K43" i="9"/>
  <c r="J38" i="15"/>
  <c r="N38" i="15" s="1"/>
  <c r="AA85" i="31" s="1"/>
  <c r="AK19" i="15"/>
  <c r="AL19" i="15"/>
  <c r="K38" i="15"/>
  <c r="O38" i="15" s="1"/>
  <c r="AI17" i="9"/>
  <c r="AP20" i="9"/>
  <c r="AQ49" i="9"/>
  <c r="AL20" i="15"/>
  <c r="AK20" i="15"/>
  <c r="L40" i="15"/>
  <c r="AI40" i="15" s="1"/>
  <c r="K37" i="15"/>
  <c r="O37" i="15" s="1"/>
  <c r="AL17" i="15"/>
  <c r="AK17" i="15"/>
  <c r="O32" i="31"/>
  <c r="G48" i="9"/>
  <c r="U32" i="31" s="1"/>
  <c r="AI20" i="9"/>
  <c r="AC16" i="24"/>
  <c r="AO20" i="9"/>
  <c r="AW49" i="9"/>
  <c r="G46" i="15"/>
  <c r="Z93" i="31" s="1"/>
  <c r="V93" i="31"/>
  <c r="AO49" i="9"/>
  <c r="H91" i="38" s="1"/>
  <c r="AH49" i="9"/>
  <c r="AO17" i="9"/>
  <c r="Y9" i="9"/>
  <c r="AU49" i="9"/>
  <c r="J91" i="38" s="1"/>
  <c r="AN49" i="9"/>
  <c r="AH17" i="9"/>
  <c r="T36" i="24"/>
  <c r="AI49" i="9"/>
  <c r="E91" i="38" s="1"/>
  <c r="AT49" i="9"/>
  <c r="AO24" i="9"/>
  <c r="Y15" i="9"/>
  <c r="Y16" i="9"/>
  <c r="AB16" i="24"/>
  <c r="P10" i="24"/>
  <c r="AK16" i="24"/>
  <c r="AH14" i="24"/>
  <c r="Z14" i="24"/>
  <c r="AC14" i="24"/>
  <c r="AA16" i="24"/>
  <c r="AB14" i="24"/>
  <c r="Z15" i="24"/>
  <c r="P14" i="24"/>
  <c r="AA36" i="24" s="1"/>
  <c r="AK14" i="24"/>
  <c r="G46" i="24"/>
  <c r="U62" i="31" s="1"/>
  <c r="T37" i="24"/>
  <c r="P15" i="24"/>
  <c r="AI15" i="24"/>
  <c r="AH15" i="24"/>
  <c r="P13" i="24"/>
  <c r="R62" i="31"/>
  <c r="P12" i="24"/>
  <c r="T38" i="24"/>
  <c r="J44" i="4"/>
  <c r="L44" i="4" s="1"/>
  <c r="K44" i="4"/>
  <c r="M44" i="4" s="1"/>
  <c r="AG44" i="4"/>
  <c r="Q29" i="4"/>
  <c r="R29" i="4"/>
  <c r="I40" i="9"/>
  <c r="W13" i="36"/>
  <c r="W14" i="36"/>
  <c r="S39" i="29"/>
  <c r="N45" i="25"/>
  <c r="Q49" i="19"/>
  <c r="Q50" i="19"/>
  <c r="O41" i="25"/>
  <c r="Y48" i="36"/>
  <c r="O43" i="25"/>
  <c r="R48" i="19"/>
  <c r="Q48" i="19"/>
  <c r="Y47" i="36"/>
  <c r="Y46" i="36"/>
  <c r="T50" i="5"/>
  <c r="P16" i="36"/>
  <c r="Q33" i="16"/>
  <c r="K101" i="26" s="1"/>
  <c r="AI42" i="15"/>
  <c r="R22" i="16"/>
  <c r="N16" i="36"/>
  <c r="AI38" i="15"/>
  <c r="AI45" i="15"/>
  <c r="O39" i="15"/>
  <c r="AJ39" i="15"/>
  <c r="Q51" i="19"/>
  <c r="AI41" i="15"/>
  <c r="Y49" i="36"/>
  <c r="T46" i="16"/>
  <c r="U14" i="36"/>
  <c r="Q19" i="36"/>
  <c r="X19" i="36" s="1"/>
  <c r="Y19" i="36" s="1"/>
  <c r="T31" i="16"/>
  <c r="T29" i="16"/>
  <c r="Q17" i="36"/>
  <c r="AJ40" i="15"/>
  <c r="T39" i="16"/>
  <c r="U16" i="36"/>
  <c r="AI39" i="15"/>
  <c r="G24" i="17"/>
  <c r="X40" i="36"/>
  <c r="Y26" i="36"/>
  <c r="AI36" i="15"/>
  <c r="T48" i="16"/>
  <c r="U25" i="36"/>
  <c r="X25" i="36" s="1"/>
  <c r="Y25" i="36" s="1"/>
  <c r="AJ44" i="15"/>
  <c r="AJ43" i="15"/>
  <c r="X43" i="36"/>
  <c r="Y43" i="36" s="1"/>
  <c r="U21" i="36"/>
  <c r="X21" i="36" s="1"/>
  <c r="Y21" i="36" s="1"/>
  <c r="T42" i="16"/>
  <c r="Q18" i="36"/>
  <c r="T30" i="16"/>
  <c r="AI43" i="15"/>
  <c r="T14" i="16"/>
  <c r="N14" i="36"/>
  <c r="AJ42" i="15"/>
  <c r="AJ45" i="15"/>
  <c r="R50" i="19"/>
  <c r="AJ38" i="15"/>
  <c r="S16" i="36"/>
  <c r="M12" i="36"/>
  <c r="W12" i="36" s="1"/>
  <c r="Q15" i="16"/>
  <c r="U22" i="36"/>
  <c r="X22" i="36" s="1"/>
  <c r="Y22" i="36" s="1"/>
  <c r="T43" i="16"/>
  <c r="Y52" i="36"/>
  <c r="AJ41" i="15"/>
  <c r="U12" i="36"/>
  <c r="T44" i="16"/>
  <c r="R51" i="19"/>
  <c r="T13" i="16"/>
  <c r="N13" i="36"/>
  <c r="T49" i="16"/>
  <c r="AI44" i="15"/>
  <c r="T49" i="5"/>
  <c r="R15" i="16"/>
  <c r="T12" i="16"/>
  <c r="N12" i="36"/>
  <c r="R49" i="19"/>
  <c r="E24" i="17"/>
  <c r="W40" i="36"/>
  <c r="T47" i="16"/>
  <c r="U24" i="36"/>
  <c r="X24" i="36" s="1"/>
  <c r="Y24" i="36" s="1"/>
  <c r="T72" i="5"/>
  <c r="AJ37" i="15"/>
  <c r="AK17" i="9"/>
  <c r="AL17" i="9"/>
  <c r="AK42" i="10"/>
  <c r="AL42" i="10"/>
  <c r="J39" i="10"/>
  <c r="AL39" i="10"/>
  <c r="J37" i="10"/>
  <c r="AL37" i="10"/>
  <c r="J36" i="10"/>
  <c r="AL36" i="10"/>
  <c r="I41" i="10"/>
  <c r="AK41" i="10"/>
  <c r="I44" i="9"/>
  <c r="M44" i="9" s="1"/>
  <c r="AL21" i="9"/>
  <c r="H44" i="9"/>
  <c r="AK21" i="9"/>
  <c r="J35" i="10"/>
  <c r="AL35" i="10"/>
  <c r="G102" i="30"/>
  <c r="M14" i="4" s="1"/>
  <c r="J138" i="37"/>
  <c r="M14" i="27" s="1"/>
  <c r="J11" i="4"/>
  <c r="AN48" i="27"/>
  <c r="AO48" i="27"/>
  <c r="AD33" i="27" s="1"/>
  <c r="AO33" i="27" s="1"/>
  <c r="AL48" i="27"/>
  <c r="AA33" i="27" s="1"/>
  <c r="AM33" i="27" s="1"/>
  <c r="AK48" i="27"/>
  <c r="V20" i="27"/>
  <c r="I37" i="10"/>
  <c r="AK37" i="10"/>
  <c r="G101" i="30"/>
  <c r="M13" i="4" s="1"/>
  <c r="J137" i="37"/>
  <c r="M13" i="27" s="1"/>
  <c r="H155" i="30"/>
  <c r="N17" i="19"/>
  <c r="D151" i="30"/>
  <c r="J13" i="19"/>
  <c r="K13" i="19"/>
  <c r="I33" i="10"/>
  <c r="AK33" i="10"/>
  <c r="I35" i="10"/>
  <c r="AK35" i="10"/>
  <c r="J11" i="27"/>
  <c r="N13" i="19"/>
  <c r="O13" i="19"/>
  <c r="H151" i="30"/>
  <c r="J141" i="37"/>
  <c r="M17" i="27" s="1"/>
  <c r="G105" i="30"/>
  <c r="M17" i="4" s="1"/>
  <c r="N88" i="5"/>
  <c r="N90" i="5"/>
  <c r="N91" i="5"/>
  <c r="N89" i="5"/>
  <c r="M45" i="4"/>
  <c r="N86" i="5"/>
  <c r="N84" i="5"/>
  <c r="N85" i="5"/>
  <c r="N87" i="5"/>
  <c r="H154" i="30"/>
  <c r="N16" i="19"/>
  <c r="L11" i="19"/>
  <c r="P27" i="19" s="1"/>
  <c r="F149" i="30"/>
  <c r="O16" i="19"/>
  <c r="L16" i="19"/>
  <c r="F154" i="30"/>
  <c r="AH93" i="5" l="1"/>
  <c r="AG93" i="5"/>
  <c r="O14" i="19"/>
  <c r="P14" i="19" s="1"/>
  <c r="J58" i="5"/>
  <c r="O58" i="5" s="1"/>
  <c r="G59" i="5"/>
  <c r="N59" i="5" s="1"/>
  <c r="F66" i="5"/>
  <c r="G48" i="17"/>
  <c r="H75" i="17" s="1"/>
  <c r="AA15" i="16"/>
  <c r="O91" i="5"/>
  <c r="F60" i="5"/>
  <c r="M60" i="5" s="1"/>
  <c r="R60" i="5" s="1"/>
  <c r="F59" i="5"/>
  <c r="M59" i="5" s="1"/>
  <c r="BF38" i="22"/>
  <c r="G30" i="22" s="1"/>
  <c r="J259" i="38" s="1"/>
  <c r="BH38" i="22"/>
  <c r="I30" i="22" s="1"/>
  <c r="L259" i="38" s="1"/>
  <c r="BJ38" i="22"/>
  <c r="O88" i="5"/>
  <c r="S34" i="4"/>
  <c r="P49" i="4" s="1"/>
  <c r="R49" i="4" s="1"/>
  <c r="J57" i="5"/>
  <c r="O57" i="5" s="1"/>
  <c r="J148" i="30"/>
  <c r="O89" i="5"/>
  <c r="F58" i="5"/>
  <c r="M58" i="5" s="1"/>
  <c r="Q58" i="5" s="1"/>
  <c r="S21" i="35"/>
  <c r="M12" i="37"/>
  <c r="Q12" i="37" s="1"/>
  <c r="L44" i="9"/>
  <c r="V28" i="31" s="1"/>
  <c r="D266" i="31"/>
  <c r="P265" i="31"/>
  <c r="S21" i="15" s="1"/>
  <c r="T21" i="15" s="1"/>
  <c r="AZ46" i="9"/>
  <c r="R33" i="16"/>
  <c r="K119" i="26" s="1"/>
  <c r="Q119" i="26" s="1"/>
  <c r="Q20" i="36"/>
  <c r="X20" i="36" s="1"/>
  <c r="Y20" i="36" s="1"/>
  <c r="Q16" i="36"/>
  <c r="X16" i="36" s="1"/>
  <c r="T45" i="16"/>
  <c r="E48" i="17"/>
  <c r="F75" i="17" s="1"/>
  <c r="E31" i="28" s="1"/>
  <c r="T73" i="5"/>
  <c r="Y45" i="36"/>
  <c r="N14" i="19"/>
  <c r="F153" i="30"/>
  <c r="H153" i="30"/>
  <c r="L15" i="19"/>
  <c r="L14" i="19"/>
  <c r="F62" i="5"/>
  <c r="M62" i="5" s="1"/>
  <c r="J65" i="5"/>
  <c r="F61" i="5"/>
  <c r="M61" i="5" s="1"/>
  <c r="G61" i="5"/>
  <c r="N61" i="5" s="1"/>
  <c r="J66" i="5"/>
  <c r="M13" i="5"/>
  <c r="Q13" i="5" s="1"/>
  <c r="AF20" i="35"/>
  <c r="AF43" i="35" s="1"/>
  <c r="S146" i="30"/>
  <c r="I193" i="30" s="1"/>
  <c r="S193" i="30" s="1"/>
  <c r="AF19" i="35"/>
  <c r="AF42" i="35" s="1"/>
  <c r="B299" i="31"/>
  <c r="AE73" i="31"/>
  <c r="B42" i="31"/>
  <c r="B73" i="31" s="1"/>
  <c r="AJ73" i="31"/>
  <c r="B297" i="31"/>
  <c r="F20" i="31"/>
  <c r="AG11" i="37"/>
  <c r="N132" i="36"/>
  <c r="U132" i="36"/>
  <c r="V43" i="30"/>
  <c r="H97" i="30"/>
  <c r="J97" i="30" s="1"/>
  <c r="Q41" i="16"/>
  <c r="S18" i="36" s="1"/>
  <c r="W18" i="36" s="1"/>
  <c r="Y41" i="16"/>
  <c r="AH51" i="27"/>
  <c r="L52" i="27"/>
  <c r="T32" i="16"/>
  <c r="T33" i="16" s="1"/>
  <c r="K30" i="26" s="1"/>
  <c r="E82" i="38"/>
  <c r="H82" i="38" s="1"/>
  <c r="J82" i="38" s="1"/>
  <c r="V239" i="38"/>
  <c r="J12" i="37"/>
  <c r="H133" i="37"/>
  <c r="L133" i="37" s="1"/>
  <c r="U133" i="37" s="1"/>
  <c r="F128" i="31"/>
  <c r="J128" i="31" s="1"/>
  <c r="AA19" i="35"/>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Z41" i="16"/>
  <c r="I80" i="26"/>
  <c r="K80" i="26"/>
  <c r="BT7" i="22"/>
  <c r="BM24" i="22"/>
  <c r="S47" i="17"/>
  <c r="E261" i="38"/>
  <c r="AN11" i="35"/>
  <c r="C197" i="36"/>
  <c r="C232" i="36" s="1"/>
  <c r="BX24" i="22"/>
  <c r="CE7" i="22"/>
  <c r="M97" i="30"/>
  <c r="S30" i="17"/>
  <c r="AI49" i="27"/>
  <c r="M50" i="27"/>
  <c r="AH49" i="27"/>
  <c r="L50" i="27"/>
  <c r="J74" i="38"/>
  <c r="J89" i="38" s="1"/>
  <c r="B254" i="38" s="1"/>
  <c r="AE74" i="31"/>
  <c r="E258" i="38"/>
  <c r="P50" i="4"/>
  <c r="R50" i="4" s="1"/>
  <c r="T50" i="4" s="1"/>
  <c r="M16" i="36"/>
  <c r="W16" i="36" s="1"/>
  <c r="G74" i="2"/>
  <c r="B123" i="31"/>
  <c r="B88" i="35" s="1"/>
  <c r="B119" i="35" s="1"/>
  <c r="R51" i="4"/>
  <c r="AA22" i="16"/>
  <c r="O40" i="16"/>
  <c r="N40" i="16"/>
  <c r="Q97" i="30"/>
  <c r="BZ20" i="22"/>
  <c r="CD19" i="22"/>
  <c r="CB18" i="22"/>
  <c r="CE20" i="22"/>
  <c r="BZ21" i="22"/>
  <c r="CD20" i="22"/>
  <c r="CB19" i="22"/>
  <c r="CE21" i="22"/>
  <c r="CA18" i="22"/>
  <c r="CB21" i="22"/>
  <c r="CC18" i="22"/>
  <c r="CA19" i="22"/>
  <c r="CC19" i="22"/>
  <c r="BZ18" i="22"/>
  <c r="CC20" i="22"/>
  <c r="BZ19" i="22"/>
  <c r="CD18" i="22"/>
  <c r="CC21" i="22"/>
  <c r="CD21" i="22"/>
  <c r="CB20" i="22"/>
  <c r="BY24" i="22"/>
  <c r="CA20" i="22"/>
  <c r="CE18" i="22"/>
  <c r="CA21" i="22"/>
  <c r="CE19" i="22"/>
  <c r="CC9" i="22"/>
  <c r="CL7" i="22"/>
  <c r="CL24" i="22" s="1"/>
  <c r="CA12" i="22"/>
  <c r="BZ15" i="22"/>
  <c r="CB15" i="22"/>
  <c r="CE16" i="22"/>
  <c r="CE12" i="22"/>
  <c r="CC8" i="22"/>
  <c r="CA10" i="22"/>
  <c r="CA8" i="22"/>
  <c r="CA11" i="22"/>
  <c r="BZ17" i="22"/>
  <c r="CB13" i="22"/>
  <c r="CC16" i="22"/>
  <c r="CB16" i="22"/>
  <c r="CB8" i="22"/>
  <c r="CE9" i="22"/>
  <c r="CA13" i="22"/>
  <c r="CD8" i="22"/>
  <c r="CE17" i="22"/>
  <c r="CE10" i="22"/>
  <c r="CB11" i="22"/>
  <c r="CA17" i="22"/>
  <c r="BZ13" i="22"/>
  <c r="CB9" i="22"/>
  <c r="CD10" i="22"/>
  <c r="BZ11" i="22"/>
  <c r="CB12" i="22"/>
  <c r="BZ16" i="22"/>
  <c r="BZ14" i="22"/>
  <c r="CE14" i="22"/>
  <c r="CA15" i="22"/>
  <c r="CA14" i="22"/>
  <c r="CC14" i="22"/>
  <c r="CC15" i="22"/>
  <c r="CA16" i="22"/>
  <c r="CD16" i="22"/>
  <c r="CC12" i="22"/>
  <c r="CE11" i="22"/>
  <c r="CA9" i="22"/>
  <c r="CD11" i="22"/>
  <c r="CC10" i="22"/>
  <c r="CE15" i="22"/>
  <c r="CE8" i="22"/>
  <c r="CD9" i="22"/>
  <c r="CC17" i="22"/>
  <c r="CE13" i="22"/>
  <c r="CB10" i="22"/>
  <c r="BZ10" i="22"/>
  <c r="CD12" i="22"/>
  <c r="CD13" i="22"/>
  <c r="CD14" i="22"/>
  <c r="CB14" i="22"/>
  <c r="CC11" i="22"/>
  <c r="CD15" i="22"/>
  <c r="BZ9" i="22"/>
  <c r="BZ8" i="22"/>
  <c r="CD17" i="22"/>
  <c r="CB17" i="22"/>
  <c r="CC13" i="22"/>
  <c r="BZ12" i="22"/>
  <c r="AI48" i="27"/>
  <c r="M49" i="27"/>
  <c r="W55" i="36"/>
  <c r="Q22" i="16"/>
  <c r="O20" i="31"/>
  <c r="O42" i="31" s="1"/>
  <c r="AA33" i="16"/>
  <c r="AI51" i="27"/>
  <c r="M52" i="27"/>
  <c r="O62" i="5"/>
  <c r="J71" i="17"/>
  <c r="S71" i="17" s="1"/>
  <c r="S27" i="4"/>
  <c r="Q42" i="4" s="1"/>
  <c r="Y70" i="36"/>
  <c r="Y79" i="36" s="1"/>
  <c r="B193" i="30"/>
  <c r="R13" i="5"/>
  <c r="F148" i="30"/>
  <c r="P43" i="4"/>
  <c r="R43" i="4" s="1"/>
  <c r="Q48" i="4"/>
  <c r="S48" i="4" s="1"/>
  <c r="T48" i="4" s="1"/>
  <c r="G70" i="2"/>
  <c r="C127" i="37"/>
  <c r="C195" i="37" s="1"/>
  <c r="B191" i="30"/>
  <c r="G68" i="2"/>
  <c r="F147" i="30"/>
  <c r="H147" i="30" s="1"/>
  <c r="J147" i="30" s="1"/>
  <c r="M147" i="30" s="1"/>
  <c r="Q147" i="30" s="1"/>
  <c r="S147" i="30" s="1"/>
  <c r="G194" i="30"/>
  <c r="X43" i="30"/>
  <c r="L193" i="30"/>
  <c r="G147" i="30"/>
  <c r="I147" i="30" s="1"/>
  <c r="K147" i="30" s="1"/>
  <c r="O147" i="30" s="1"/>
  <c r="R147" i="30" s="1"/>
  <c r="T147" i="30" s="1"/>
  <c r="H194" i="30"/>
  <c r="J36" i="25"/>
  <c r="N36" i="25" s="1"/>
  <c r="R50" i="30" s="1"/>
  <c r="AB19" i="25"/>
  <c r="AH53" i="4"/>
  <c r="J94" i="38" s="1"/>
  <c r="Y35" i="22"/>
  <c r="G27" i="22" s="1"/>
  <c r="J256" i="38" s="1"/>
  <c r="AE35" i="22"/>
  <c r="X35" i="22"/>
  <c r="F27" i="22" s="1"/>
  <c r="I256" i="38" s="1"/>
  <c r="K12" i="22"/>
  <c r="O244" i="38" s="1"/>
  <c r="K57" i="19"/>
  <c r="J40" i="25"/>
  <c r="N40" i="25" s="1"/>
  <c r="R54" i="30" s="1"/>
  <c r="K40" i="25"/>
  <c r="O40" i="25" s="1"/>
  <c r="S54" i="30" s="1"/>
  <c r="Z35" i="22"/>
  <c r="H27" i="22" s="1"/>
  <c r="K256" i="38" s="1"/>
  <c r="AB35" i="22"/>
  <c r="K38" i="25"/>
  <c r="O38" i="25" s="1"/>
  <c r="S52" i="30" s="1"/>
  <c r="AA19" i="22"/>
  <c r="I10" i="22" s="1"/>
  <c r="E29" i="10" s="1"/>
  <c r="E29" i="22"/>
  <c r="H258" i="38" s="1"/>
  <c r="D30" i="10"/>
  <c r="Q30" i="10" s="1"/>
  <c r="E30" i="10"/>
  <c r="AB14" i="35" s="1"/>
  <c r="S46" i="4"/>
  <c r="J38" i="25"/>
  <c r="N38" i="25" s="1"/>
  <c r="R52" i="30" s="1"/>
  <c r="Z19" i="22"/>
  <c r="H10" i="22" s="1"/>
  <c r="K242" i="38" s="1"/>
  <c r="AC35" i="22"/>
  <c r="G30" i="10"/>
  <c r="AA17" i="25"/>
  <c r="J35" i="25"/>
  <c r="N35" i="25" s="1"/>
  <c r="R49" i="30" s="1"/>
  <c r="AA14" i="25"/>
  <c r="K35" i="25"/>
  <c r="O35" i="25" s="1"/>
  <c r="S49" i="30" s="1"/>
  <c r="X89" i="26"/>
  <c r="S47" i="4"/>
  <c r="R89" i="26"/>
  <c r="P47" i="4"/>
  <c r="R47" i="4" s="1"/>
  <c r="AD29" i="19"/>
  <c r="AD28" i="19"/>
  <c r="K36" i="25"/>
  <c r="O36" i="25" s="1"/>
  <c r="S50" i="30" s="1"/>
  <c r="AA15" i="25"/>
  <c r="X109" i="26"/>
  <c r="Q44" i="19"/>
  <c r="Q45" i="4"/>
  <c r="S45" i="4" s="1"/>
  <c r="AD19" i="22"/>
  <c r="Y19" i="22"/>
  <c r="G10" i="22" s="1"/>
  <c r="J242" i="38" s="1"/>
  <c r="AB19" i="22"/>
  <c r="AA53" i="19"/>
  <c r="H96" i="38" s="1"/>
  <c r="AA35" i="22"/>
  <c r="I27" i="22" s="1"/>
  <c r="L256" i="38" s="1"/>
  <c r="K14" i="22"/>
  <c r="O246" i="38" s="1"/>
  <c r="K29" i="22"/>
  <c r="O258" i="38" s="1"/>
  <c r="F150" i="30"/>
  <c r="P46" i="4"/>
  <c r="R46" i="4" s="1"/>
  <c r="S43" i="4"/>
  <c r="AD35" i="22"/>
  <c r="K13" i="22"/>
  <c r="O245" i="38" s="1"/>
  <c r="K28" i="22"/>
  <c r="O257" i="38" s="1"/>
  <c r="R45" i="4"/>
  <c r="X19" i="22"/>
  <c r="D34" i="9" s="1"/>
  <c r="J34" i="9" s="1"/>
  <c r="K20" i="26"/>
  <c r="X70" i="26" s="1"/>
  <c r="X91" i="26"/>
  <c r="R109" i="26"/>
  <c r="L18" i="26"/>
  <c r="L15" i="38" s="1"/>
  <c r="Y91" i="26"/>
  <c r="L20" i="26"/>
  <c r="Y70" i="26" s="1"/>
  <c r="K31" i="22"/>
  <c r="O260" i="38" s="1"/>
  <c r="E12" i="22"/>
  <c r="H244" i="38" s="1"/>
  <c r="X107" i="26"/>
  <c r="Y107" i="26"/>
  <c r="AC19" i="22"/>
  <c r="AE19" i="22"/>
  <c r="AA16" i="25"/>
  <c r="J37" i="25"/>
  <c r="N37" i="25" s="1"/>
  <c r="R51" i="30" s="1"/>
  <c r="K37" i="25"/>
  <c r="O37" i="25" s="1"/>
  <c r="S51" i="30" s="1"/>
  <c r="AB16" i="25"/>
  <c r="AG53" i="4"/>
  <c r="H94" i="38" s="1"/>
  <c r="G32" i="10"/>
  <c r="AD16" i="35" s="1"/>
  <c r="AB53" i="19"/>
  <c r="J96" i="38" s="1"/>
  <c r="F35" i="24"/>
  <c r="S47" i="31" s="1"/>
  <c r="C35" i="24"/>
  <c r="O47" i="31" s="1"/>
  <c r="P11" i="19"/>
  <c r="Q27" i="19" s="1"/>
  <c r="AI27" i="4"/>
  <c r="K18" i="26"/>
  <c r="K15" i="38" s="1"/>
  <c r="AI26" i="4"/>
  <c r="K11" i="22"/>
  <c r="O243" i="38" s="1"/>
  <c r="H245" i="38"/>
  <c r="K56" i="19"/>
  <c r="D32" i="10"/>
  <c r="E32" i="10"/>
  <c r="H256" i="38"/>
  <c r="D35" i="24"/>
  <c r="D37" i="9"/>
  <c r="P16" i="31" s="1"/>
  <c r="C33" i="15"/>
  <c r="H259" i="38"/>
  <c r="H257" i="38"/>
  <c r="C35" i="9"/>
  <c r="O14" i="31" s="1"/>
  <c r="F35" i="9"/>
  <c r="C37" i="9"/>
  <c r="O16" i="31" s="1"/>
  <c r="F37" i="9"/>
  <c r="S16" i="31" s="1"/>
  <c r="F14" i="22"/>
  <c r="I246" i="38" s="1"/>
  <c r="D35" i="9"/>
  <c r="K54" i="19"/>
  <c r="H243" i="38"/>
  <c r="AA18" i="25"/>
  <c r="AB18" i="25"/>
  <c r="K39" i="25"/>
  <c r="O39" i="25" s="1"/>
  <c r="S53" i="30" s="1"/>
  <c r="J39" i="25"/>
  <c r="N39" i="25" s="1"/>
  <c r="R53" i="30" s="1"/>
  <c r="B143" i="30"/>
  <c r="N49" i="2"/>
  <c r="P49" i="2" s="1"/>
  <c r="G76" i="2"/>
  <c r="G72" i="2"/>
  <c r="G69" i="2"/>
  <c r="G71" i="2"/>
  <c r="G73" i="2"/>
  <c r="G75" i="2"/>
  <c r="N132" i="37"/>
  <c r="N151" i="38"/>
  <c r="Q51" i="4"/>
  <c r="S51" i="4" s="1"/>
  <c r="B27" i="30"/>
  <c r="B145" i="30" s="1"/>
  <c r="C77" i="38"/>
  <c r="F244" i="38" s="1"/>
  <c r="J241" i="38" s="1"/>
  <c r="J255" i="38" s="1"/>
  <c r="H7" i="38"/>
  <c r="H150" i="38" s="1"/>
  <c r="B50" i="31"/>
  <c r="B81" i="31" s="1"/>
  <c r="B95" i="30"/>
  <c r="D153" i="38"/>
  <c r="G97" i="30"/>
  <c r="C49" i="2"/>
  <c r="K241" i="38"/>
  <c r="K255" i="38" s="1"/>
  <c r="G35" i="30"/>
  <c r="G55" i="30" s="1"/>
  <c r="O241" i="38"/>
  <c r="O255" i="38" s="1"/>
  <c r="F261" i="38"/>
  <c r="O97" i="30"/>
  <c r="H170" i="31"/>
  <c r="J19" i="37"/>
  <c r="I27" i="36" s="1"/>
  <c r="I53" i="36" s="1"/>
  <c r="B10" i="37"/>
  <c r="C131" i="37" s="1"/>
  <c r="K132" i="37"/>
  <c r="I97" i="30"/>
  <c r="C98" i="38"/>
  <c r="B158" i="38" s="1"/>
  <c r="B79" i="38"/>
  <c r="H240" i="38"/>
  <c r="H254" i="38" s="1"/>
  <c r="E128" i="31"/>
  <c r="E172" i="31" s="1"/>
  <c r="E233" i="31" s="1"/>
  <c r="F133" i="37"/>
  <c r="J133" i="37" s="1"/>
  <c r="Q133" i="37" s="1"/>
  <c r="K97" i="30"/>
  <c r="AJ10" i="35"/>
  <c r="AL11" i="35"/>
  <c r="J20" i="35"/>
  <c r="E43" i="35" s="1"/>
  <c r="C125" i="37"/>
  <c r="F192" i="37" s="1"/>
  <c r="F11" i="37"/>
  <c r="D19" i="35"/>
  <c r="N21" i="31"/>
  <c r="S74" i="31" s="1"/>
  <c r="S82" i="31" s="1"/>
  <c r="Q11" i="30"/>
  <c r="K90" i="35"/>
  <c r="S11" i="30"/>
  <c r="V26" i="30"/>
  <c r="V42" i="30" s="1"/>
  <c r="E55" i="35" s="1"/>
  <c r="AC9" i="37"/>
  <c r="A150" i="2" s="1"/>
  <c r="B122" i="31"/>
  <c r="B87" i="35" s="1"/>
  <c r="B118" i="35" s="1"/>
  <c r="Y11" i="35"/>
  <c r="B290" i="31"/>
  <c r="W11" i="35"/>
  <c r="AA11" i="35" s="1"/>
  <c r="T11" i="37" s="1"/>
  <c r="L12" i="37"/>
  <c r="P12" i="37" s="1"/>
  <c r="R21" i="31"/>
  <c r="S43" i="31" s="1"/>
  <c r="R51" i="31" s="1"/>
  <c r="Y74" i="31" s="1"/>
  <c r="AB74" i="31" s="1"/>
  <c r="AB82" i="31" s="1"/>
  <c r="D20" i="31"/>
  <c r="K28" i="30"/>
  <c r="M44" i="30" s="1"/>
  <c r="P12" i="31"/>
  <c r="X11" i="35" s="1"/>
  <c r="AJ9" i="35"/>
  <c r="N90" i="35"/>
  <c r="R11" i="30"/>
  <c r="M28" i="30"/>
  <c r="S28" i="30" s="1"/>
  <c r="S44" i="30" s="1"/>
  <c r="Y11" i="31"/>
  <c r="P9" i="32"/>
  <c r="AL10" i="35"/>
  <c r="AG74" i="31"/>
  <c r="F132" i="37"/>
  <c r="D146" i="30"/>
  <c r="H146" i="30" s="1"/>
  <c r="T12" i="35"/>
  <c r="T21" i="35" s="1"/>
  <c r="U11" i="31"/>
  <c r="U20" i="31" s="1"/>
  <c r="U42" i="31" s="1"/>
  <c r="U50" i="31" s="1"/>
  <c r="Q146" i="30"/>
  <c r="P8" i="32"/>
  <c r="R12" i="32" s="1"/>
  <c r="J67" i="5"/>
  <c r="O61" i="5"/>
  <c r="R12" i="5"/>
  <c r="F67" i="5"/>
  <c r="F68" i="5"/>
  <c r="G68" i="5"/>
  <c r="G67" i="5"/>
  <c r="M87" i="5"/>
  <c r="R87" i="5" s="1"/>
  <c r="M86" i="5"/>
  <c r="AG86" i="5" s="1"/>
  <c r="M20" i="5"/>
  <c r="AG20" i="5" s="1"/>
  <c r="AG12" i="5"/>
  <c r="M85" i="5"/>
  <c r="R85" i="5" s="1"/>
  <c r="AH12" i="5"/>
  <c r="Q12" i="5"/>
  <c r="M17" i="5"/>
  <c r="AH17" i="5" s="1"/>
  <c r="M16" i="5"/>
  <c r="R16" i="5" s="1"/>
  <c r="R93" i="5"/>
  <c r="M15" i="5"/>
  <c r="R15" i="5" s="1"/>
  <c r="M19" i="5"/>
  <c r="AG19" i="5" s="1"/>
  <c r="W34" i="10"/>
  <c r="M18" i="5"/>
  <c r="AG18" i="5" s="1"/>
  <c r="W42" i="10"/>
  <c r="D64" i="5"/>
  <c r="O64" i="5" s="1"/>
  <c r="N62" i="5"/>
  <c r="E118" i="26"/>
  <c r="AH59" i="5"/>
  <c r="D63" i="5"/>
  <c r="O63" i="5" s="1"/>
  <c r="R95" i="5"/>
  <c r="W40" i="10"/>
  <c r="W38" i="10"/>
  <c r="W36" i="10"/>
  <c r="W41" i="10"/>
  <c r="R59" i="5"/>
  <c r="W37" i="10"/>
  <c r="Q95" i="5"/>
  <c r="AH95" i="5"/>
  <c r="W35" i="10"/>
  <c r="Q93" i="5"/>
  <c r="W39" i="10"/>
  <c r="AE23" i="5"/>
  <c r="T24" i="38" s="1"/>
  <c r="W24" i="38" s="1"/>
  <c r="L162" i="38" s="1"/>
  <c r="AD23" i="5"/>
  <c r="S24" i="38" s="1"/>
  <c r="V24" i="38" s="1"/>
  <c r="K162" i="38" s="1"/>
  <c r="AG95" i="5"/>
  <c r="T14" i="5"/>
  <c r="T71" i="5"/>
  <c r="AG92" i="5"/>
  <c r="R92" i="5"/>
  <c r="Q92" i="5"/>
  <c r="AH92" i="5"/>
  <c r="AG94" i="5"/>
  <c r="Q94" i="5"/>
  <c r="R94" i="5"/>
  <c r="AH94" i="5"/>
  <c r="T69" i="5"/>
  <c r="O23" i="5"/>
  <c r="N23" i="5"/>
  <c r="T70" i="5"/>
  <c r="N97" i="5"/>
  <c r="N99" i="5"/>
  <c r="N96" i="5"/>
  <c r="N98" i="5"/>
  <c r="O99" i="5"/>
  <c r="O97" i="5"/>
  <c r="O98" i="5"/>
  <c r="O96" i="5"/>
  <c r="P44" i="25"/>
  <c r="N42" i="31"/>
  <c r="S73" i="31" s="1"/>
  <c r="S81" i="31" s="1"/>
  <c r="P43" i="25"/>
  <c r="M26" i="5"/>
  <c r="B124" i="35" s="1"/>
  <c r="F26" i="5" s="1"/>
  <c r="H26" i="5" s="1"/>
  <c r="D124" i="35" s="1"/>
  <c r="AG12" i="37"/>
  <c r="P45" i="25"/>
  <c r="P42" i="25"/>
  <c r="P41" i="25"/>
  <c r="W33" i="10"/>
  <c r="G25" i="30"/>
  <c r="G86" i="30"/>
  <c r="G136" i="30"/>
  <c r="F257" i="38"/>
  <c r="I241" i="38"/>
  <c r="I255" i="38" s="1"/>
  <c r="E260" i="38"/>
  <c r="L240" i="38"/>
  <c r="L254" i="38" s="1"/>
  <c r="W10" i="36"/>
  <c r="W37" i="36" s="1"/>
  <c r="W62" i="36" s="1"/>
  <c r="Y31" i="37"/>
  <c r="Y44" i="37" s="1"/>
  <c r="O33" i="35"/>
  <c r="I63" i="31"/>
  <c r="O94" i="31" s="1"/>
  <c r="K136" i="30"/>
  <c r="K25" i="30"/>
  <c r="K86" i="30"/>
  <c r="Q86" i="30"/>
  <c r="Q136" i="30"/>
  <c r="Q25" i="30"/>
  <c r="D86" i="30"/>
  <c r="D25" i="30"/>
  <c r="D136" i="30"/>
  <c r="W9" i="36"/>
  <c r="W36" i="36" s="1"/>
  <c r="W61" i="36" s="1"/>
  <c r="Y30" i="37"/>
  <c r="Y43" i="37" s="1"/>
  <c r="M42" i="9"/>
  <c r="W26" i="31" s="1"/>
  <c r="AA32" i="24"/>
  <c r="O36" i="15"/>
  <c r="AB83" i="31" s="1"/>
  <c r="AL20" i="9"/>
  <c r="I43" i="9"/>
  <c r="M43" i="9" s="1"/>
  <c r="L43" i="9"/>
  <c r="V27" i="31" s="1"/>
  <c r="N37" i="15"/>
  <c r="AA84" i="31" s="1"/>
  <c r="AY46" i="9"/>
  <c r="J46" i="9"/>
  <c r="M46" i="9"/>
  <c r="W30" i="31" s="1"/>
  <c r="AK20" i="9"/>
  <c r="K38" i="9"/>
  <c r="AK23" i="9"/>
  <c r="AK15" i="9"/>
  <c r="AL15" i="9"/>
  <c r="I38" i="9"/>
  <c r="AY42" i="9"/>
  <c r="AL19" i="9"/>
  <c r="AZ42" i="9"/>
  <c r="AA38" i="24"/>
  <c r="M38" i="24"/>
  <c r="AB38" i="24"/>
  <c r="K47" i="9"/>
  <c r="AK18" i="9"/>
  <c r="AL18" i="9"/>
  <c r="N40" i="15"/>
  <c r="AA87" i="31" s="1"/>
  <c r="AY47" i="9"/>
  <c r="J38" i="9"/>
  <c r="L38" i="9" s="1"/>
  <c r="V22" i="31" s="1"/>
  <c r="AZ38" i="9"/>
  <c r="AL16" i="9"/>
  <c r="H41" i="9"/>
  <c r="I45" i="9"/>
  <c r="M45" i="9" s="1"/>
  <c r="W29" i="31" s="1"/>
  <c r="AA33" i="24"/>
  <c r="J42" i="9"/>
  <c r="AZ36" i="9"/>
  <c r="AL23" i="9"/>
  <c r="H39" i="9"/>
  <c r="L39" i="9" s="1"/>
  <c r="V23" i="31" s="1"/>
  <c r="AY36" i="9"/>
  <c r="I39" i="9"/>
  <c r="H46" i="9"/>
  <c r="AK24" i="9"/>
  <c r="I47" i="9"/>
  <c r="AI37" i="15"/>
  <c r="AL22" i="9"/>
  <c r="AZ37" i="9"/>
  <c r="H47" i="9"/>
  <c r="L47" i="9" s="1"/>
  <c r="V31" i="31" s="1"/>
  <c r="AY39" i="9"/>
  <c r="K39" i="9"/>
  <c r="AZ39" i="9"/>
  <c r="H45" i="9"/>
  <c r="L45" i="9" s="1"/>
  <c r="V29" i="31" s="1"/>
  <c r="AK19" i="9"/>
  <c r="AZ47" i="9"/>
  <c r="H42" i="9"/>
  <c r="AZ40" i="9"/>
  <c r="AY40" i="9"/>
  <c r="J40" i="9"/>
  <c r="L40" i="9" s="1"/>
  <c r="V24" i="31" s="1"/>
  <c r="K40" i="9"/>
  <c r="M40" i="9" s="1"/>
  <c r="W24" i="31" s="1"/>
  <c r="AY34" i="9"/>
  <c r="AZ34" i="9"/>
  <c r="AZ41" i="9"/>
  <c r="AY41" i="9"/>
  <c r="J41" i="9"/>
  <c r="K41" i="9"/>
  <c r="M41" i="9" s="1"/>
  <c r="W25" i="31" s="1"/>
  <c r="AB32" i="24"/>
  <c r="L36" i="24"/>
  <c r="M36" i="24"/>
  <c r="AB36" i="24"/>
  <c r="AA37" i="24"/>
  <c r="AB37" i="24"/>
  <c r="M37" i="24"/>
  <c r="L37" i="24"/>
  <c r="AA34" i="24"/>
  <c r="AB34" i="24"/>
  <c r="AA35" i="24"/>
  <c r="AB35" i="24"/>
  <c r="S29" i="4"/>
  <c r="S48" i="19"/>
  <c r="X13" i="36"/>
  <c r="Y13" i="36" s="1"/>
  <c r="S49" i="19"/>
  <c r="S50" i="19"/>
  <c r="P46" i="25"/>
  <c r="S51" i="19"/>
  <c r="X14" i="36"/>
  <c r="Y14" i="36" s="1"/>
  <c r="R47" i="19"/>
  <c r="Q43" i="19"/>
  <c r="X18" i="36"/>
  <c r="R45" i="19"/>
  <c r="AI28" i="19"/>
  <c r="Q45" i="19"/>
  <c r="AH28" i="19"/>
  <c r="Q101" i="26"/>
  <c r="X101" i="26"/>
  <c r="AB87" i="31"/>
  <c r="R46" i="19"/>
  <c r="AI29" i="19"/>
  <c r="J24" i="17"/>
  <c r="Y40" i="36" s="1"/>
  <c r="AB84" i="31"/>
  <c r="X12" i="36"/>
  <c r="Q46" i="19"/>
  <c r="AH29" i="19"/>
  <c r="J48" i="17"/>
  <c r="AB86" i="31"/>
  <c r="P39" i="15"/>
  <c r="AC86" i="31" s="1"/>
  <c r="Q47" i="19"/>
  <c r="R44" i="19"/>
  <c r="T15" i="16"/>
  <c r="P41" i="15"/>
  <c r="AC88" i="31" s="1"/>
  <c r="AB88" i="31"/>
  <c r="P38" i="15"/>
  <c r="AC85" i="31" s="1"/>
  <c r="AB85" i="31"/>
  <c r="X55" i="36"/>
  <c r="AC33" i="27"/>
  <c r="AP48" i="27"/>
  <c r="L13" i="19"/>
  <c r="F151" i="30"/>
  <c r="Z33" i="27"/>
  <c r="AM48" i="27"/>
  <c r="W28" i="31"/>
  <c r="J151" i="30"/>
  <c r="P13" i="19"/>
  <c r="V21" i="27"/>
  <c r="AN49" i="27"/>
  <c r="AO49" i="27"/>
  <c r="AD34" i="27" s="1"/>
  <c r="AO34" i="27" s="1"/>
  <c r="AL49" i="27"/>
  <c r="AA34" i="27" s="1"/>
  <c r="AM34" i="27" s="1"/>
  <c r="AK49" i="27"/>
  <c r="R57" i="5"/>
  <c r="AH57" i="5"/>
  <c r="AH84" i="5"/>
  <c r="R43" i="19"/>
  <c r="R84" i="5"/>
  <c r="J153" i="30"/>
  <c r="P15" i="19"/>
  <c r="Q84" i="5"/>
  <c r="AG84" i="5"/>
  <c r="J154" i="30"/>
  <c r="P16" i="19"/>
  <c r="Q57" i="5"/>
  <c r="AG57" i="5"/>
  <c r="O50" i="2" l="1"/>
  <c r="AG59" i="5"/>
  <c r="J152" i="30"/>
  <c r="Q60" i="5"/>
  <c r="Q59" i="5"/>
  <c r="T59" i="5" s="1"/>
  <c r="AH60" i="5"/>
  <c r="AG60" i="5"/>
  <c r="H11" i="36"/>
  <c r="H38" i="36" s="1"/>
  <c r="F32" i="37"/>
  <c r="F45" i="37" s="1"/>
  <c r="X119" i="26"/>
  <c r="Q49" i="4"/>
  <c r="S49" i="4" s="1"/>
  <c r="T49" i="4" s="1"/>
  <c r="AG13" i="5"/>
  <c r="C35" i="15"/>
  <c r="V78" i="31" s="1"/>
  <c r="K30" i="22"/>
  <c r="O259" i="38" s="1"/>
  <c r="R58" i="5"/>
  <c r="AH58" i="5"/>
  <c r="AG58" i="5"/>
  <c r="M90" i="5"/>
  <c r="AH90" i="5" s="1"/>
  <c r="AH61" i="5"/>
  <c r="F34" i="9"/>
  <c r="AN11" i="9" s="1"/>
  <c r="I233" i="31"/>
  <c r="D253" i="31"/>
  <c r="F253" i="31" s="1"/>
  <c r="I253" i="31" s="1"/>
  <c r="N253" i="31" s="1"/>
  <c r="N44" i="9"/>
  <c r="Y28" i="31" s="1"/>
  <c r="AL23" i="15"/>
  <c r="J42" i="15"/>
  <c r="N42" i="15" s="1"/>
  <c r="AA89" i="31" s="1"/>
  <c r="AK23" i="15"/>
  <c r="K42" i="15"/>
  <c r="O42" i="15" s="1"/>
  <c r="D267" i="31"/>
  <c r="P266" i="31"/>
  <c r="S22" i="15" s="1"/>
  <c r="T22" i="15" s="1"/>
  <c r="T13" i="5"/>
  <c r="Y55" i="36"/>
  <c r="Y18" i="36"/>
  <c r="M91" i="5"/>
  <c r="AG91" i="5" s="1"/>
  <c r="M89" i="5"/>
  <c r="AG89" i="5" s="1"/>
  <c r="M88" i="5"/>
  <c r="AG88" i="5" s="1"/>
  <c r="AH13" i="5"/>
  <c r="AB11" i="35"/>
  <c r="AB20" i="35" s="1"/>
  <c r="S11" i="35"/>
  <c r="S20" i="35" s="1"/>
  <c r="Y20" i="35"/>
  <c r="U11" i="35"/>
  <c r="U20" i="35" s="1"/>
  <c r="F32" i="15"/>
  <c r="AH13" i="15" s="1"/>
  <c r="F32" i="24"/>
  <c r="M32" i="24" s="1"/>
  <c r="R123" i="37"/>
  <c r="K132" i="36" s="1"/>
  <c r="Q132" i="36" s="1"/>
  <c r="X132" i="36" s="1"/>
  <c r="M200" i="36" s="1"/>
  <c r="K235" i="36" s="1"/>
  <c r="P133" i="37"/>
  <c r="AI12" i="37"/>
  <c r="O50" i="31"/>
  <c r="V74" i="31" s="1"/>
  <c r="R133" i="37"/>
  <c r="H201" i="37"/>
  <c r="H209" i="37" s="1"/>
  <c r="B168" i="31"/>
  <c r="B228" i="31" s="1"/>
  <c r="V73" i="31"/>
  <c r="V82" i="31" s="1"/>
  <c r="G91" i="35"/>
  <c r="C123" i="35" s="1"/>
  <c r="J93" i="38"/>
  <c r="AA14" i="35"/>
  <c r="S75" i="17"/>
  <c r="N31" i="26" s="1"/>
  <c r="R31" i="26" s="1"/>
  <c r="CB22" i="22"/>
  <c r="H15" i="22" s="1"/>
  <c r="K247" i="38" s="1"/>
  <c r="CC22" i="22"/>
  <c r="BO22" i="22"/>
  <c r="E35" i="22"/>
  <c r="J75" i="38" s="1"/>
  <c r="R40" i="16"/>
  <c r="Z40" i="16"/>
  <c r="O50" i="16"/>
  <c r="CF7" i="22"/>
  <c r="CE24" i="22"/>
  <c r="BQ22" i="22"/>
  <c r="T58" i="5"/>
  <c r="CE22" i="22"/>
  <c r="BZ37" i="22"/>
  <c r="CD37" i="22"/>
  <c r="CB37" i="22"/>
  <c r="CE35" i="22"/>
  <c r="CE36" i="22"/>
  <c r="CA35" i="22"/>
  <c r="CC35" i="22"/>
  <c r="CA36" i="22"/>
  <c r="CC36" i="22"/>
  <c r="CD35" i="22"/>
  <c r="CC37" i="22"/>
  <c r="CD36" i="22"/>
  <c r="CE37" i="22"/>
  <c r="BZ36" i="22"/>
  <c r="CB36" i="22"/>
  <c r="BZ35" i="22"/>
  <c r="CB35" i="22"/>
  <c r="CB25" i="22"/>
  <c r="CA37" i="22"/>
  <c r="CB26" i="22"/>
  <c r="CE34" i="22"/>
  <c r="CB29" i="22"/>
  <c r="CC31" i="22"/>
  <c r="CD25" i="22"/>
  <c r="BZ27" i="22"/>
  <c r="CA34" i="22"/>
  <c r="CC27" i="22"/>
  <c r="CC34" i="22"/>
  <c r="CA33" i="22"/>
  <c r="BZ33" i="22"/>
  <c r="CA25" i="22"/>
  <c r="CB27" i="22"/>
  <c r="CE29" i="22"/>
  <c r="BZ29" i="22"/>
  <c r="CB34" i="22"/>
  <c r="CA30" i="22"/>
  <c r="CE30" i="22"/>
  <c r="BZ32" i="22"/>
  <c r="CE26" i="22"/>
  <c r="CE28" i="22"/>
  <c r="BZ34" i="22"/>
  <c r="CD34" i="22"/>
  <c r="CC32" i="22"/>
  <c r="CE33" i="22"/>
  <c r="BZ30" i="22"/>
  <c r="CD30" i="22"/>
  <c r="CB33" i="22"/>
  <c r="CB31" i="22"/>
  <c r="CB28" i="22"/>
  <c r="CA32" i="22"/>
  <c r="BZ28" i="22"/>
  <c r="CC28" i="22"/>
  <c r="CA26" i="22"/>
  <c r="CD26" i="22"/>
  <c r="CE27" i="22"/>
  <c r="CA29" i="22"/>
  <c r="CB30" i="22"/>
  <c r="CB32" i="22"/>
  <c r="BZ25" i="22"/>
  <c r="CC30" i="22"/>
  <c r="CD27" i="22"/>
  <c r="CA31" i="22"/>
  <c r="CA28" i="22"/>
  <c r="BZ26" i="22"/>
  <c r="CD29" i="22"/>
  <c r="CD32" i="22"/>
  <c r="CC33" i="22"/>
  <c r="CE31" i="22"/>
  <c r="CA27" i="22"/>
  <c r="CD31" i="22"/>
  <c r="CC25" i="22"/>
  <c r="CE25" i="22"/>
  <c r="CD28" i="22"/>
  <c r="BZ31" i="22"/>
  <c r="CC26" i="22"/>
  <c r="CE32" i="22"/>
  <c r="CD33" i="22"/>
  <c r="CC29" i="22"/>
  <c r="BN22" i="22"/>
  <c r="BV24" i="22"/>
  <c r="CC7" i="22"/>
  <c r="CA7" i="22"/>
  <c r="BT24" i="22"/>
  <c r="F172" i="31"/>
  <c r="I172" i="31" s="1"/>
  <c r="N172" i="31" s="1"/>
  <c r="P172" i="31" s="1"/>
  <c r="T172" i="31" s="1"/>
  <c r="CA22" i="22"/>
  <c r="G15" i="22" s="1"/>
  <c r="J247" i="38" s="1"/>
  <c r="BP22" i="22"/>
  <c r="BM22" i="22"/>
  <c r="Q40" i="16"/>
  <c r="Y40" i="16"/>
  <c r="N50" i="16"/>
  <c r="BL22" i="22"/>
  <c r="CD22" i="22"/>
  <c r="I15" i="22" s="1"/>
  <c r="L247" i="38" s="1"/>
  <c r="T51" i="4"/>
  <c r="BZ22" i="22"/>
  <c r="F15" i="22" s="1"/>
  <c r="I247" i="38" s="1"/>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P38" i="22" s="1"/>
  <c r="BM34" i="22"/>
  <c r="BO26" i="22"/>
  <c r="BN29" i="22"/>
  <c r="BP27" i="22"/>
  <c r="BL28" i="22"/>
  <c r="BL30" i="22"/>
  <c r="BP33" i="22"/>
  <c r="BQ29" i="22"/>
  <c r="BO31" i="22"/>
  <c r="BP26" i="22"/>
  <c r="BO29" i="22"/>
  <c r="BM30" i="22"/>
  <c r="BQ34" i="22"/>
  <c r="BN34" i="22"/>
  <c r="BP34" i="22"/>
  <c r="BN27" i="22"/>
  <c r="BQ25" i="22"/>
  <c r="BQ38" i="22" s="1"/>
  <c r="BN32" i="22"/>
  <c r="BO25" i="22"/>
  <c r="BL25" i="22"/>
  <c r="T41" i="16"/>
  <c r="K27" i="4"/>
  <c r="N27" i="4"/>
  <c r="L46" i="9"/>
  <c r="V30" i="31" s="1"/>
  <c r="Q194" i="30"/>
  <c r="S194" i="30" s="1"/>
  <c r="I194" i="30"/>
  <c r="R194" i="30"/>
  <c r="J194" i="30"/>
  <c r="T194" i="30"/>
  <c r="Q197" i="30"/>
  <c r="L11" i="25" s="1"/>
  <c r="Q195" i="30"/>
  <c r="L9" i="25" s="1"/>
  <c r="Q198" i="30"/>
  <c r="L12" i="25" s="1"/>
  <c r="Q196" i="30"/>
  <c r="L10" i="25" s="1"/>
  <c r="G203" i="30"/>
  <c r="K17" i="25" s="1"/>
  <c r="G197" i="30"/>
  <c r="K11" i="25" s="1"/>
  <c r="G199" i="30"/>
  <c r="K13" i="25" s="1"/>
  <c r="G198" i="30"/>
  <c r="K12" i="25" s="1"/>
  <c r="G204" i="30"/>
  <c r="K18" i="25" s="1"/>
  <c r="G196" i="30"/>
  <c r="K10" i="25" s="1"/>
  <c r="AK30" i="10"/>
  <c r="K10" i="22"/>
  <c r="O242" i="38" s="1"/>
  <c r="J27" i="22"/>
  <c r="N256" i="38" s="1"/>
  <c r="R70" i="26"/>
  <c r="P37" i="25"/>
  <c r="T51" i="30" s="1"/>
  <c r="E18" i="22"/>
  <c r="H75" i="38" s="1"/>
  <c r="K27" i="22"/>
  <c r="O256" i="38" s="1"/>
  <c r="P35" i="25"/>
  <c r="T49" i="30" s="1"/>
  <c r="D33" i="24"/>
  <c r="G12" i="22" s="1"/>
  <c r="C33" i="24"/>
  <c r="P40" i="25"/>
  <c r="T54" i="30" s="1"/>
  <c r="F33" i="24"/>
  <c r="S45" i="31" s="1"/>
  <c r="J30" i="10"/>
  <c r="AL30" i="10"/>
  <c r="K16" i="38"/>
  <c r="I30" i="10"/>
  <c r="R30" i="10"/>
  <c r="U30" i="10" s="1"/>
  <c r="J32" i="10"/>
  <c r="K57" i="4"/>
  <c r="D32" i="15"/>
  <c r="AM13" i="15" s="1"/>
  <c r="L242" i="38"/>
  <c r="K55" i="19"/>
  <c r="K58" i="4"/>
  <c r="L16" i="38"/>
  <c r="J10" i="22"/>
  <c r="N242" i="38" s="1"/>
  <c r="G29" i="10"/>
  <c r="AD13" i="35" s="1"/>
  <c r="P38" i="25"/>
  <c r="T52" i="30" s="1"/>
  <c r="S30" i="10"/>
  <c r="V30" i="10" s="1"/>
  <c r="AD14" i="35"/>
  <c r="S35" i="24"/>
  <c r="M35" i="24"/>
  <c r="AA13" i="24"/>
  <c r="AE13" i="24"/>
  <c r="I35" i="24"/>
  <c r="AL14" i="9"/>
  <c r="AC13" i="24"/>
  <c r="I37" i="9"/>
  <c r="F11" i="22"/>
  <c r="M11" i="22" s="1"/>
  <c r="Q37" i="9"/>
  <c r="AK32" i="10"/>
  <c r="T43" i="4"/>
  <c r="T47" i="4"/>
  <c r="P36" i="25"/>
  <c r="T50" i="30" s="1"/>
  <c r="Q70" i="26"/>
  <c r="K100" i="30"/>
  <c r="Q12" i="4" s="1"/>
  <c r="G195" i="30"/>
  <c r="K9" i="25" s="1"/>
  <c r="X68" i="26"/>
  <c r="T46" i="4"/>
  <c r="Q90" i="5"/>
  <c r="Q68" i="26"/>
  <c r="AG61" i="5"/>
  <c r="K56" i="4"/>
  <c r="F10" i="22"/>
  <c r="I242" i="38" s="1"/>
  <c r="D32" i="24"/>
  <c r="L32" i="24" s="1"/>
  <c r="S32" i="10"/>
  <c r="AI14" i="9"/>
  <c r="J37" i="9"/>
  <c r="AM14" i="9"/>
  <c r="I32" i="10"/>
  <c r="R68" i="26"/>
  <c r="K37" i="9"/>
  <c r="AN14" i="9"/>
  <c r="AO14" i="9"/>
  <c r="AL32" i="10"/>
  <c r="AI13" i="24"/>
  <c r="Y68" i="26"/>
  <c r="AK14" i="9"/>
  <c r="AF14" i="9"/>
  <c r="AH14" i="9"/>
  <c r="AP14" i="9"/>
  <c r="AG14" i="9"/>
  <c r="AK13" i="24"/>
  <c r="I31" i="22"/>
  <c r="H37" i="9"/>
  <c r="P37" i="9"/>
  <c r="R32" i="10"/>
  <c r="I14" i="22"/>
  <c r="S14" i="31"/>
  <c r="AG12" i="9"/>
  <c r="AN12" i="9"/>
  <c r="Q35" i="9"/>
  <c r="AP12" i="9"/>
  <c r="K35" i="9"/>
  <c r="AI12" i="9"/>
  <c r="D33" i="15"/>
  <c r="AI14" i="15" s="1"/>
  <c r="F33" i="15"/>
  <c r="I33" i="15" s="1"/>
  <c r="V76" i="31"/>
  <c r="AF33" i="15"/>
  <c r="P47" i="31"/>
  <c r="R35" i="24"/>
  <c r="L35" i="24"/>
  <c r="AH13" i="24"/>
  <c r="H264" i="38"/>
  <c r="AK12" i="9"/>
  <c r="I35" i="9"/>
  <c r="AB13" i="24"/>
  <c r="AP11" i="9"/>
  <c r="P39" i="25"/>
  <c r="T53" i="30" s="1"/>
  <c r="H35" i="9"/>
  <c r="AB16" i="35"/>
  <c r="H250" i="38"/>
  <c r="F28" i="22"/>
  <c r="AB11" i="24"/>
  <c r="AL12" i="9"/>
  <c r="P13" i="31"/>
  <c r="P34" i="9"/>
  <c r="AK11" i="9"/>
  <c r="H34" i="9"/>
  <c r="AM11" i="9"/>
  <c r="AH11" i="9"/>
  <c r="AO11" i="9"/>
  <c r="AF11" i="9"/>
  <c r="H35" i="24"/>
  <c r="AB13" i="35"/>
  <c r="R29" i="10"/>
  <c r="U29" i="10" s="1"/>
  <c r="AK29" i="10"/>
  <c r="I29" i="10"/>
  <c r="AA10" i="24"/>
  <c r="AA16" i="35"/>
  <c r="Q32" i="10"/>
  <c r="AD13" i="24"/>
  <c r="Z13" i="24"/>
  <c r="P14" i="31"/>
  <c r="AM12" i="9"/>
  <c r="AF12" i="9"/>
  <c r="P35" i="9"/>
  <c r="J35" i="9"/>
  <c r="AO12" i="9"/>
  <c r="AH12" i="9"/>
  <c r="AJ13" i="24"/>
  <c r="O52" i="2"/>
  <c r="V27" i="30"/>
  <c r="M151" i="30"/>
  <c r="Q13" i="19" s="1"/>
  <c r="S151" i="30"/>
  <c r="S13" i="19" s="1"/>
  <c r="F258" i="38"/>
  <c r="N133" i="37"/>
  <c r="F201" i="37"/>
  <c r="F209" i="37" s="1"/>
  <c r="L209" i="37" s="1"/>
  <c r="N209" i="37" s="1"/>
  <c r="M153" i="30"/>
  <c r="Q15" i="19" s="1"/>
  <c r="N140" i="37"/>
  <c r="O16" i="27" s="1"/>
  <c r="Q136" i="37"/>
  <c r="Q12" i="27" s="1"/>
  <c r="O105" i="30"/>
  <c r="S17" i="4" s="1"/>
  <c r="Q150" i="30"/>
  <c r="R12" i="19" s="1"/>
  <c r="N92" i="35"/>
  <c r="Y18" i="10" s="1"/>
  <c r="AI23" i="10" s="1"/>
  <c r="Q137" i="37"/>
  <c r="Q13" i="27" s="1"/>
  <c r="S150" i="30"/>
  <c r="S12" i="19" s="1"/>
  <c r="I128" i="31"/>
  <c r="E93" i="35"/>
  <c r="AB10" i="10" s="1"/>
  <c r="M152" i="30"/>
  <c r="Q14" i="19" s="1"/>
  <c r="Q134" i="37"/>
  <c r="Q10" i="27" s="1"/>
  <c r="T139" i="37"/>
  <c r="S15" i="27" s="1"/>
  <c r="N135" i="37"/>
  <c r="O11" i="27" s="1"/>
  <c r="C13" i="29"/>
  <c r="F203" i="37" s="1"/>
  <c r="D13" i="29" s="1"/>
  <c r="M13" i="29" s="1"/>
  <c r="E94" i="35"/>
  <c r="AB11" i="10" s="1"/>
  <c r="O100" i="30"/>
  <c r="S12" i="4" s="1"/>
  <c r="Q141" i="37"/>
  <c r="Q17" i="27" s="1"/>
  <c r="O99" i="30"/>
  <c r="S11" i="4" s="1"/>
  <c r="K104" i="30"/>
  <c r="Q16" i="4" s="1"/>
  <c r="N139" i="37"/>
  <c r="O15" i="27" s="1"/>
  <c r="T140" i="37"/>
  <c r="S16" i="27" s="1"/>
  <c r="I100" i="30"/>
  <c r="O12" i="4" s="1"/>
  <c r="Q151" i="30"/>
  <c r="R13" i="19" s="1"/>
  <c r="T133" i="37"/>
  <c r="C23" i="29"/>
  <c r="F211" i="37" s="1"/>
  <c r="D23" i="29" s="1"/>
  <c r="M23" i="29" s="1"/>
  <c r="Q153" i="30"/>
  <c r="R15" i="19" s="1"/>
  <c r="T138" i="37"/>
  <c r="S14" i="27" s="1"/>
  <c r="I104" i="30"/>
  <c r="O16" i="4" s="1"/>
  <c r="M154" i="30"/>
  <c r="Q16" i="19" s="1"/>
  <c r="Q155" i="30"/>
  <c r="R17" i="19" s="1"/>
  <c r="T135" i="37"/>
  <c r="S11" i="27" s="1"/>
  <c r="N138" i="37"/>
  <c r="O14" i="27" s="1"/>
  <c r="K23" i="24"/>
  <c r="K187" i="31" s="1"/>
  <c r="E92" i="35"/>
  <c r="AB9" i="10" s="1"/>
  <c r="N141" i="37"/>
  <c r="O17" i="27" s="1"/>
  <c r="O103" i="30"/>
  <c r="S15" i="4" s="1"/>
  <c r="Q148" i="30"/>
  <c r="R10" i="19" s="1"/>
  <c r="I37" i="37"/>
  <c r="I48" i="37" s="1"/>
  <c r="U12" i="32"/>
  <c r="C22" i="29"/>
  <c r="F210" i="37" s="1"/>
  <c r="D22" i="29" s="1"/>
  <c r="L22" i="29" s="1"/>
  <c r="V31" i="29"/>
  <c r="G10" i="24"/>
  <c r="H10" i="24" s="1"/>
  <c r="I32" i="24" s="1"/>
  <c r="I103" i="30"/>
  <c r="O15" i="4" s="1"/>
  <c r="Q139" i="37"/>
  <c r="Q15" i="27" s="1"/>
  <c r="Q154" i="30"/>
  <c r="R16" i="19" s="1"/>
  <c r="S152" i="30"/>
  <c r="S14" i="19" s="1"/>
  <c r="N134" i="37"/>
  <c r="O10" i="27" s="1"/>
  <c r="M150" i="30"/>
  <c r="Q12" i="19" s="1"/>
  <c r="W12" i="32"/>
  <c r="N137" i="37"/>
  <c r="O13" i="27" s="1"/>
  <c r="O98" i="30"/>
  <c r="S10" i="4" s="1"/>
  <c r="O104" i="30"/>
  <c r="S16" i="4" s="1"/>
  <c r="B30" i="37"/>
  <c r="C200" i="37" s="1"/>
  <c r="G12" i="24"/>
  <c r="H12" i="24" s="1"/>
  <c r="T134" i="37"/>
  <c r="S10" i="27" s="1"/>
  <c r="K101" i="30"/>
  <c r="Q13" i="4" s="1"/>
  <c r="S155" i="30"/>
  <c r="S17" i="19" s="1"/>
  <c r="I105" i="30"/>
  <c r="O17" i="4" s="1"/>
  <c r="I99" i="30"/>
  <c r="O11" i="4" s="1"/>
  <c r="M155" i="30"/>
  <c r="Q17" i="19" s="1"/>
  <c r="C30" i="29"/>
  <c r="M30" i="29" s="1"/>
  <c r="C12" i="29"/>
  <c r="F202" i="37" s="1"/>
  <c r="D12" i="29" s="1"/>
  <c r="N12" i="29" s="1"/>
  <c r="C40" i="29"/>
  <c r="L211" i="37" s="1"/>
  <c r="D40" i="29" s="1"/>
  <c r="M40" i="29" s="1"/>
  <c r="T136" i="37"/>
  <c r="S12" i="27" s="1"/>
  <c r="O101" i="30"/>
  <c r="S13" i="4" s="1"/>
  <c r="S149" i="30"/>
  <c r="S11" i="19" s="1"/>
  <c r="K27" i="19" s="1"/>
  <c r="L27" i="19" s="1"/>
  <c r="I102" i="30"/>
  <c r="O14" i="4" s="1"/>
  <c r="S154" i="30"/>
  <c r="S16" i="19" s="1"/>
  <c r="Q135" i="37"/>
  <c r="Q11" i="27" s="1"/>
  <c r="T11" i="27" s="1"/>
  <c r="S15" i="32"/>
  <c r="C31" i="29"/>
  <c r="L31" i="29" s="1"/>
  <c r="E95" i="35"/>
  <c r="AB12" i="10" s="1"/>
  <c r="C15" i="29"/>
  <c r="F205" i="37" s="1"/>
  <c r="D15" i="29" s="1"/>
  <c r="L15" i="29" s="1"/>
  <c r="T141" i="37"/>
  <c r="S17" i="27" s="1"/>
  <c r="T31" i="27" s="1"/>
  <c r="O102" i="30"/>
  <c r="S14" i="4" s="1"/>
  <c r="Q138" i="37"/>
  <c r="Q14" i="27" s="1"/>
  <c r="K105" i="30"/>
  <c r="Q17" i="4" s="1"/>
  <c r="K102" i="30"/>
  <c r="Q14" i="4" s="1"/>
  <c r="I98" i="30"/>
  <c r="O10" i="4" s="1"/>
  <c r="M148" i="30"/>
  <c r="Q10" i="19" s="1"/>
  <c r="S153" i="30"/>
  <c r="S15" i="19" s="1"/>
  <c r="K103" i="30"/>
  <c r="Q15" i="4" s="1"/>
  <c r="O15" i="32"/>
  <c r="E12" i="32"/>
  <c r="X12" i="32"/>
  <c r="V30" i="29"/>
  <c r="C14" i="29"/>
  <c r="F204" i="37" s="1"/>
  <c r="D14" i="29" s="1"/>
  <c r="L14" i="29" s="1"/>
  <c r="N25" i="25"/>
  <c r="S196" i="30" s="1"/>
  <c r="N10" i="25" s="1"/>
  <c r="K98" i="30"/>
  <c r="Q10" i="4" s="1"/>
  <c r="Q140" i="37"/>
  <c r="Q16" i="27" s="1"/>
  <c r="T137" i="37"/>
  <c r="S13" i="27" s="1"/>
  <c r="N136" i="37"/>
  <c r="O12" i="27" s="1"/>
  <c r="K99" i="30"/>
  <c r="Q11" i="4" s="1"/>
  <c r="I101" i="30"/>
  <c r="O13" i="4" s="1"/>
  <c r="Q149" i="30"/>
  <c r="R11" i="19" s="1"/>
  <c r="M149" i="30"/>
  <c r="Q11" i="19" s="1"/>
  <c r="S148" i="30"/>
  <c r="S10" i="19" s="1"/>
  <c r="Q152" i="30"/>
  <c r="R14" i="19" s="1"/>
  <c r="Q123" i="37"/>
  <c r="I132" i="36" s="1"/>
  <c r="P132" i="36" s="1"/>
  <c r="W132" i="36" s="1"/>
  <c r="K200" i="36" s="1"/>
  <c r="I235" i="36" s="1"/>
  <c r="H74" i="38"/>
  <c r="H89" i="38" s="1"/>
  <c r="H93" i="38" s="1"/>
  <c r="I12" i="32"/>
  <c r="E91" i="35"/>
  <c r="B123" i="35" s="1"/>
  <c r="G15" i="32"/>
  <c r="AE72" i="31"/>
  <c r="D15" i="32"/>
  <c r="C127" i="36"/>
  <c r="C196" i="36" s="1"/>
  <c r="C231" i="36" s="1"/>
  <c r="AA12" i="32"/>
  <c r="P15" i="32"/>
  <c r="I15" i="32"/>
  <c r="R15" i="32"/>
  <c r="M12" i="32"/>
  <c r="J12" i="32"/>
  <c r="E15" i="32"/>
  <c r="J15" i="32"/>
  <c r="AE11" i="37"/>
  <c r="X20" i="35"/>
  <c r="AB15" i="32"/>
  <c r="AB12" i="32"/>
  <c r="H12" i="32"/>
  <c r="P12" i="32"/>
  <c r="F15" i="32"/>
  <c r="S12" i="32"/>
  <c r="AD11" i="35"/>
  <c r="AG12" i="35" s="1"/>
  <c r="AA15" i="32"/>
  <c r="Y12" i="32"/>
  <c r="Y15" i="32"/>
  <c r="N43" i="31"/>
  <c r="N51" i="31" s="1"/>
  <c r="B167" i="31"/>
  <c r="B227" i="31" s="1"/>
  <c r="U15" i="32"/>
  <c r="D12" i="32"/>
  <c r="T12" i="32"/>
  <c r="L12" i="32"/>
  <c r="W15" i="32"/>
  <c r="O12" i="32"/>
  <c r="A23" i="2"/>
  <c r="G65" i="2" s="1"/>
  <c r="Q15" i="32"/>
  <c r="T15" i="32"/>
  <c r="N12" i="32"/>
  <c r="Z15" i="32"/>
  <c r="X15" i="32"/>
  <c r="M15" i="32"/>
  <c r="R28" i="30"/>
  <c r="R44" i="30" s="1"/>
  <c r="V12" i="31"/>
  <c r="V21" i="31" s="1"/>
  <c r="G12" i="32"/>
  <c r="F12" i="32"/>
  <c r="Q12" i="32"/>
  <c r="K12" i="32"/>
  <c r="V12" i="32"/>
  <c r="H15" i="32"/>
  <c r="P21" i="31"/>
  <c r="P43" i="31" s="1"/>
  <c r="N15" i="32"/>
  <c r="Z12" i="32"/>
  <c r="L15" i="32"/>
  <c r="K15" i="32"/>
  <c r="V15" i="32"/>
  <c r="W43" i="31"/>
  <c r="W51" i="31" s="1"/>
  <c r="Y82" i="31"/>
  <c r="O44" i="30"/>
  <c r="AA20" i="35"/>
  <c r="D43" i="35" s="1"/>
  <c r="W20" i="35"/>
  <c r="Y20" i="31"/>
  <c r="AH10" i="35"/>
  <c r="AA73" i="31"/>
  <c r="AA81" i="31" s="1"/>
  <c r="G76" i="5"/>
  <c r="T12" i="5"/>
  <c r="F76" i="5"/>
  <c r="J76" i="5"/>
  <c r="AH87" i="5"/>
  <c r="Q87" i="5"/>
  <c r="T87" i="5" s="1"/>
  <c r="T60" i="5"/>
  <c r="AG87" i="5"/>
  <c r="Q20" i="5"/>
  <c r="AH86" i="5"/>
  <c r="Q86" i="5"/>
  <c r="Q19" i="5"/>
  <c r="R86" i="5"/>
  <c r="AH85" i="5"/>
  <c r="Q85" i="5"/>
  <c r="T85" i="5" s="1"/>
  <c r="AH20" i="5"/>
  <c r="R20" i="5"/>
  <c r="AH15" i="5"/>
  <c r="AG85" i="5"/>
  <c r="AH19" i="5"/>
  <c r="R19" i="5"/>
  <c r="R17" i="5"/>
  <c r="AG16" i="5"/>
  <c r="AH16" i="5"/>
  <c r="AG17" i="5"/>
  <c r="Q16" i="5"/>
  <c r="T16" i="5" s="1"/>
  <c r="M97" i="5"/>
  <c r="Q97" i="5" s="1"/>
  <c r="AG15" i="5"/>
  <c r="M99" i="5"/>
  <c r="AH99" i="5" s="1"/>
  <c r="M96" i="5"/>
  <c r="AG96" i="5" s="1"/>
  <c r="Q17" i="5"/>
  <c r="T93" i="5"/>
  <c r="M98" i="5"/>
  <c r="Q15" i="5"/>
  <c r="R61" i="5"/>
  <c r="Q18" i="5"/>
  <c r="R18" i="5"/>
  <c r="AH18" i="5"/>
  <c r="M23" i="5"/>
  <c r="Q61" i="5"/>
  <c r="T95" i="5"/>
  <c r="I162" i="38"/>
  <c r="S162" i="38" s="1"/>
  <c r="D65" i="5"/>
  <c r="O65" i="5" s="1"/>
  <c r="N63" i="5"/>
  <c r="M63" i="5"/>
  <c r="Q62" i="5"/>
  <c r="R62" i="5"/>
  <c r="AG62" i="5"/>
  <c r="AH62" i="5"/>
  <c r="D66" i="5"/>
  <c r="O66" i="5" s="1"/>
  <c r="N64" i="5"/>
  <c r="M64" i="5"/>
  <c r="H162" i="38"/>
  <c r="Q162" i="38" s="1"/>
  <c r="T94" i="5"/>
  <c r="T92" i="5"/>
  <c r="O100" i="5"/>
  <c r="N100" i="5"/>
  <c r="N26" i="5"/>
  <c r="C45" i="5" s="1"/>
  <c r="H172" i="31"/>
  <c r="K172" i="31" s="1"/>
  <c r="O172" i="31" s="1"/>
  <c r="S172" i="31" s="1"/>
  <c r="P36" i="15"/>
  <c r="AC83" i="31" s="1"/>
  <c r="M38" i="9"/>
  <c r="W22" i="31" s="1"/>
  <c r="N43" i="9"/>
  <c r="Y27" i="31" s="1"/>
  <c r="AA47" i="24"/>
  <c r="H99" i="38" s="1"/>
  <c r="P37" i="15"/>
  <c r="AC84" i="31" s="1"/>
  <c r="L42" i="9"/>
  <c r="V26" i="31" s="1"/>
  <c r="P40" i="15"/>
  <c r="AC87" i="31" s="1"/>
  <c r="W27" i="31"/>
  <c r="L41" i="9"/>
  <c r="V25" i="31" s="1"/>
  <c r="M39" i="9"/>
  <c r="W23" i="31" s="1"/>
  <c r="N45" i="9"/>
  <c r="Y29" i="31" s="1"/>
  <c r="M47" i="9"/>
  <c r="N40" i="9"/>
  <c r="Y24" i="31" s="1"/>
  <c r="AZ49" i="9"/>
  <c r="J98" i="38" s="1"/>
  <c r="AY49" i="9"/>
  <c r="H98" i="38" s="1"/>
  <c r="AB47" i="24"/>
  <c r="J99" i="38" s="1"/>
  <c r="Q44" i="4"/>
  <c r="S44" i="4" s="1"/>
  <c r="P44" i="4"/>
  <c r="R44" i="4" s="1"/>
  <c r="S47" i="19"/>
  <c r="Y16" i="36"/>
  <c r="Q80" i="26"/>
  <c r="X80" i="26"/>
  <c r="K26" i="38"/>
  <c r="I120" i="26"/>
  <c r="I31" i="28"/>
  <c r="J75" i="17"/>
  <c r="S44" i="19"/>
  <c r="S45" i="19"/>
  <c r="S46" i="19"/>
  <c r="I102" i="26"/>
  <c r="Y12" i="36"/>
  <c r="AN33" i="27"/>
  <c r="AE33" i="27"/>
  <c r="AC34" i="27"/>
  <c r="AP49" i="27"/>
  <c r="AL33" i="27"/>
  <c r="AB33" i="27"/>
  <c r="Z34" i="27"/>
  <c r="AM49" i="27"/>
  <c r="AL50" i="27"/>
  <c r="AA35" i="27" s="1"/>
  <c r="AM35" i="27" s="1"/>
  <c r="AO50" i="27"/>
  <c r="AD35" i="27" s="1"/>
  <c r="AO35" i="27" s="1"/>
  <c r="AK50" i="27"/>
  <c r="V22" i="27"/>
  <c r="AN50" i="27"/>
  <c r="T45" i="4"/>
  <c r="T84" i="5"/>
  <c r="S43" i="19"/>
  <c r="T57" i="5"/>
  <c r="R9" i="25" l="1"/>
  <c r="Q9" i="25"/>
  <c r="D35" i="15"/>
  <c r="AG16" i="15" s="1"/>
  <c r="F35" i="15"/>
  <c r="AJ16" i="15" s="1"/>
  <c r="AF35" i="15"/>
  <c r="K15" i="22"/>
  <c r="O247" i="38" s="1"/>
  <c r="AA11" i="24"/>
  <c r="G29" i="22"/>
  <c r="J258" i="38" s="1"/>
  <c r="AI11" i="9"/>
  <c r="K34" i="9"/>
  <c r="Q34" i="9"/>
  <c r="R34" i="9" s="1"/>
  <c r="S13" i="31"/>
  <c r="AL11" i="9"/>
  <c r="AG11" i="9"/>
  <c r="AG90" i="5"/>
  <c r="R88" i="5"/>
  <c r="AH88" i="5"/>
  <c r="Q88" i="5"/>
  <c r="R90" i="5"/>
  <c r="T90" i="5" s="1"/>
  <c r="AJ13" i="15"/>
  <c r="I34" i="9"/>
  <c r="Y75" i="31"/>
  <c r="AL13" i="15"/>
  <c r="AH32" i="15"/>
  <c r="AF13" i="15"/>
  <c r="S32" i="15"/>
  <c r="M32" i="15"/>
  <c r="AJ32" i="15" s="1"/>
  <c r="Q91" i="5"/>
  <c r="L11" i="37"/>
  <c r="U11" i="37" s="1"/>
  <c r="AK10" i="24"/>
  <c r="AC10" i="24"/>
  <c r="AN13" i="15"/>
  <c r="AP13" i="15"/>
  <c r="S44" i="31"/>
  <c r="I32" i="15"/>
  <c r="K32" i="15"/>
  <c r="AB89" i="31"/>
  <c r="P42" i="15"/>
  <c r="AC89" i="31" s="1"/>
  <c r="J43" i="15"/>
  <c r="N43" i="15" s="1"/>
  <c r="AA90" i="31" s="1"/>
  <c r="AK24" i="15"/>
  <c r="AL24" i="15"/>
  <c r="K43" i="15"/>
  <c r="O43" i="15" s="1"/>
  <c r="D268" i="31"/>
  <c r="P268" i="31" s="1"/>
  <c r="S24" i="15" s="1"/>
  <c r="T24" i="15" s="1"/>
  <c r="P267" i="31"/>
  <c r="S23" i="15" s="1"/>
  <c r="T23" i="15" s="1"/>
  <c r="AF12" i="35"/>
  <c r="R89" i="5"/>
  <c r="Q89" i="5"/>
  <c r="AH89" i="5"/>
  <c r="AH91" i="5"/>
  <c r="R91" i="5"/>
  <c r="S32" i="24"/>
  <c r="AI10" i="24"/>
  <c r="AI13" i="15"/>
  <c r="AK13" i="15"/>
  <c r="R32" i="15"/>
  <c r="P51" i="31"/>
  <c r="W74" i="31" s="1"/>
  <c r="F233" i="31"/>
  <c r="N46" i="9"/>
  <c r="Y30" i="31" s="1"/>
  <c r="O91" i="35"/>
  <c r="O95" i="35" s="1"/>
  <c r="V81" i="31"/>
  <c r="S17" i="36"/>
  <c r="W17" i="36" s="1"/>
  <c r="W30" i="36" s="1"/>
  <c r="Q50" i="16"/>
  <c r="CE38" i="22"/>
  <c r="CD38" i="22"/>
  <c r="I32" i="22" s="1"/>
  <c r="L261" i="38"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CC38" i="22"/>
  <c r="CA38" i="22"/>
  <c r="G32" i="22" s="1"/>
  <c r="J261" i="38" s="1"/>
  <c r="AB10" i="24"/>
  <c r="BO38" i="22"/>
  <c r="BN38" i="22"/>
  <c r="BZ38" i="22"/>
  <c r="F32" i="22" s="1"/>
  <c r="I261" i="38" s="1"/>
  <c r="CJ7" i="22"/>
  <c r="CJ24" i="22" s="1"/>
  <c r="CC24" i="22"/>
  <c r="R50" i="16"/>
  <c r="U17" i="36"/>
  <c r="X17" i="36" s="1"/>
  <c r="T40" i="16"/>
  <c r="T50" i="16" s="1"/>
  <c r="W75" i="31"/>
  <c r="BM38" i="22"/>
  <c r="CA24" i="22"/>
  <c r="CH7" i="22"/>
  <c r="CH24" i="22" s="1"/>
  <c r="CB38" i="22"/>
  <c r="H32" i="22" s="1"/>
  <c r="K261" i="38" s="1"/>
  <c r="AA50" i="16"/>
  <c r="AA52" i="16" s="1"/>
  <c r="N30" i="26" s="1"/>
  <c r="R30" i="26" s="1"/>
  <c r="I33" i="24"/>
  <c r="AJ25" i="19"/>
  <c r="AK25" i="19"/>
  <c r="N42" i="19"/>
  <c r="M42" i="19"/>
  <c r="U28" i="19" s="1"/>
  <c r="J91" i="26" s="1"/>
  <c r="R27" i="19"/>
  <c r="L27" i="4"/>
  <c r="M27" i="4" s="1"/>
  <c r="O27" i="4"/>
  <c r="P27" i="4" s="1"/>
  <c r="Q256" i="38"/>
  <c r="O11" i="25"/>
  <c r="S195" i="30"/>
  <c r="N9" i="25" s="1"/>
  <c r="S197" i="30"/>
  <c r="N11" i="25" s="1"/>
  <c r="S198" i="30"/>
  <c r="N12" i="25" s="1"/>
  <c r="O9" i="25"/>
  <c r="I31" i="25" s="1"/>
  <c r="I198" i="30"/>
  <c r="M12" i="25" s="1"/>
  <c r="O10" i="25"/>
  <c r="I32" i="25" s="1"/>
  <c r="I195" i="30"/>
  <c r="M9" i="25" s="1"/>
  <c r="I203" i="30"/>
  <c r="M17" i="25" s="1"/>
  <c r="I204" i="30"/>
  <c r="M18" i="25" s="1"/>
  <c r="I196" i="30"/>
  <c r="M10" i="25" s="1"/>
  <c r="H33" i="25"/>
  <c r="I33" i="25"/>
  <c r="I199" i="30"/>
  <c r="M13" i="25" s="1"/>
  <c r="I197" i="30"/>
  <c r="M11" i="25" s="1"/>
  <c r="O12" i="25"/>
  <c r="O45" i="31"/>
  <c r="AO13" i="15"/>
  <c r="H32" i="15"/>
  <c r="AJ11" i="24"/>
  <c r="AI11" i="24"/>
  <c r="Z11" i="24"/>
  <c r="L32" i="15"/>
  <c r="AI32" i="15" s="1"/>
  <c r="AG13" i="15"/>
  <c r="W30" i="10"/>
  <c r="H33" i="24"/>
  <c r="AL29" i="10"/>
  <c r="R33" i="24"/>
  <c r="L33" i="24"/>
  <c r="J29" i="10"/>
  <c r="AD11" i="24"/>
  <c r="M27" i="22"/>
  <c r="AH11" i="24"/>
  <c r="P45" i="31"/>
  <c r="AK11" i="24"/>
  <c r="M37" i="9"/>
  <c r="W16" i="31" s="1"/>
  <c r="AG32" i="15"/>
  <c r="AC11" i="24"/>
  <c r="AJ14" i="15"/>
  <c r="Q242" i="38"/>
  <c r="H33" i="15"/>
  <c r="J32" i="15"/>
  <c r="AE13" i="15"/>
  <c r="AE11" i="24"/>
  <c r="S33" i="24"/>
  <c r="M33" i="24"/>
  <c r="S29" i="10"/>
  <c r="V29" i="10" s="1"/>
  <c r="W29" i="10" s="1"/>
  <c r="I243" i="38"/>
  <c r="T35" i="24"/>
  <c r="L246" i="38"/>
  <c r="Q246" i="38" s="1"/>
  <c r="M14" i="22"/>
  <c r="E79" i="38" s="1"/>
  <c r="V32" i="10"/>
  <c r="R37" i="9"/>
  <c r="Z10" i="24"/>
  <c r="P44" i="31"/>
  <c r="M10" i="22"/>
  <c r="K7" i="26" s="1"/>
  <c r="K55" i="4"/>
  <c r="R32" i="24"/>
  <c r="AH10" i="24"/>
  <c r="AJ10" i="24"/>
  <c r="L35" i="15"/>
  <c r="AI35" i="15" s="1"/>
  <c r="H35" i="15"/>
  <c r="Q258" i="38"/>
  <c r="AE16" i="15"/>
  <c r="R35" i="15"/>
  <c r="AN16" i="15"/>
  <c r="AF47" i="15"/>
  <c r="J35" i="15"/>
  <c r="L37" i="9"/>
  <c r="V16" i="31" s="1"/>
  <c r="AO16" i="15"/>
  <c r="AK16" i="15"/>
  <c r="R35" i="9"/>
  <c r="L34" i="9"/>
  <c r="V13" i="31" s="1"/>
  <c r="M31" i="22"/>
  <c r="L260" i="38"/>
  <c r="AG35" i="15"/>
  <c r="M12" i="22"/>
  <c r="J244" i="38"/>
  <c r="L35" i="9"/>
  <c r="V14" i="31" s="1"/>
  <c r="H13" i="22"/>
  <c r="AI16" i="15"/>
  <c r="Y76" i="31"/>
  <c r="AF14" i="15"/>
  <c r="AP14" i="15"/>
  <c r="AH33" i="15"/>
  <c r="AH14" i="15"/>
  <c r="AN14" i="15"/>
  <c r="S33" i="15"/>
  <c r="K33" i="15"/>
  <c r="AL14" i="15"/>
  <c r="M33" i="15"/>
  <c r="M28" i="22"/>
  <c r="I257" i="38"/>
  <c r="M35" i="9"/>
  <c r="W76" i="31"/>
  <c r="R33" i="15"/>
  <c r="AG14" i="15"/>
  <c r="AE14" i="15"/>
  <c r="AG33" i="15"/>
  <c r="AM14" i="15"/>
  <c r="AO14" i="15"/>
  <c r="AK14" i="15"/>
  <c r="J33" i="15"/>
  <c r="L33" i="15"/>
  <c r="AI33" i="15" s="1"/>
  <c r="U32" i="10"/>
  <c r="AH16" i="10"/>
  <c r="AJ22" i="10"/>
  <c r="AJ10" i="10"/>
  <c r="U32" i="27"/>
  <c r="AN17" i="10"/>
  <c r="L12" i="29"/>
  <c r="Q12" i="29" s="1"/>
  <c r="Z33" i="37" s="1"/>
  <c r="AG11" i="10"/>
  <c r="K22" i="24"/>
  <c r="M22" i="24" s="1"/>
  <c r="AG23" i="24" s="1"/>
  <c r="N31" i="29"/>
  <c r="Z31" i="29" s="1"/>
  <c r="M22" i="29"/>
  <c r="P22" i="29" s="1"/>
  <c r="Y46" i="37" s="1"/>
  <c r="N14" i="29"/>
  <c r="Q14" i="29" s="1"/>
  <c r="Z35" i="37" s="1"/>
  <c r="T14" i="27"/>
  <c r="N22" i="29"/>
  <c r="Q22" i="29" s="1"/>
  <c r="Z46" i="37" s="1"/>
  <c r="V30" i="27"/>
  <c r="H32" i="24"/>
  <c r="L13" i="29"/>
  <c r="Y13" i="29" s="1"/>
  <c r="AE10" i="24"/>
  <c r="T17" i="27"/>
  <c r="S29" i="27" s="1"/>
  <c r="M14" i="29"/>
  <c r="P14" i="29" s="1"/>
  <c r="Y35" i="37" s="1"/>
  <c r="E96" i="35"/>
  <c r="AB13" i="10" s="1"/>
  <c r="T10" i="27"/>
  <c r="T12" i="27"/>
  <c r="AO18" i="10"/>
  <c r="AH20" i="10"/>
  <c r="AJ21" i="10"/>
  <c r="U27" i="27"/>
  <c r="T15" i="27"/>
  <c r="AH21" i="10"/>
  <c r="AG20" i="10"/>
  <c r="AG10" i="10"/>
  <c r="T32" i="27"/>
  <c r="AJ12" i="10"/>
  <c r="AJ14" i="10"/>
  <c r="AM19" i="10"/>
  <c r="AI21" i="10"/>
  <c r="N40" i="29"/>
  <c r="AP10" i="10"/>
  <c r="AI12" i="10"/>
  <c r="AM22" i="10"/>
  <c r="AC18" i="10"/>
  <c r="L42" i="10" s="1"/>
  <c r="N42" i="10" s="1"/>
  <c r="AG31" i="35" s="1"/>
  <c r="AG12" i="10"/>
  <c r="AI17" i="10"/>
  <c r="AP17" i="10"/>
  <c r="AP19" i="10"/>
  <c r="AJ11" i="10"/>
  <c r="AM17" i="10"/>
  <c r="AN15" i="10"/>
  <c r="K18" i="24"/>
  <c r="M18" i="24" s="1"/>
  <c r="J40" i="24" s="1"/>
  <c r="N40" i="24" s="1"/>
  <c r="V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K176" i="31" s="1"/>
  <c r="AM13" i="10"/>
  <c r="AI15" i="10"/>
  <c r="K16" i="24"/>
  <c r="M16" i="24" s="1"/>
  <c r="AF17" i="24" s="1"/>
  <c r="E175" i="31"/>
  <c r="AM10" i="10"/>
  <c r="AP22" i="10"/>
  <c r="AG15" i="10"/>
  <c r="AI22" i="10"/>
  <c r="AI13" i="10"/>
  <c r="N30" i="29"/>
  <c r="AM16" i="10"/>
  <c r="AM18" i="10"/>
  <c r="AN10" i="10"/>
  <c r="AH13" i="10"/>
  <c r="AJ16" i="10"/>
  <c r="AH11" i="10"/>
  <c r="AJ15" i="10"/>
  <c r="AN12" i="10"/>
  <c r="AG18" i="10"/>
  <c r="AJ20" i="10"/>
  <c r="AJ19" i="10"/>
  <c r="AG13" i="10"/>
  <c r="AM15" i="10"/>
  <c r="AJ18" i="10"/>
  <c r="AH15" i="10"/>
  <c r="AG19" i="10"/>
  <c r="AO17" i="10"/>
  <c r="AH18" i="10"/>
  <c r="AO10" i="10"/>
  <c r="AH23" i="10"/>
  <c r="AP21" i="10"/>
  <c r="AG16" i="10"/>
  <c r="N13" i="29"/>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M12" i="29"/>
  <c r="K17" i="24"/>
  <c r="M17" i="24" s="1"/>
  <c r="K39" i="24" s="1"/>
  <c r="O39" i="24" s="1"/>
  <c r="K12" i="24"/>
  <c r="K175" i="31" s="1"/>
  <c r="P11" i="37"/>
  <c r="W11" i="37" s="1"/>
  <c r="N91" i="35"/>
  <c r="N95" i="35" s="1"/>
  <c r="K15" i="24"/>
  <c r="K179" i="31" s="1"/>
  <c r="L23" i="29"/>
  <c r="P23" i="29" s="1"/>
  <c r="M31" i="29"/>
  <c r="Y31" i="29" s="1"/>
  <c r="L40" i="29"/>
  <c r="P40" i="29" s="1"/>
  <c r="K98" i="26" s="1"/>
  <c r="X98" i="26" s="1"/>
  <c r="K10" i="24"/>
  <c r="M10" i="24" s="1"/>
  <c r="AG10" i="24" s="1"/>
  <c r="E173" i="31"/>
  <c r="U28" i="27"/>
  <c r="V31" i="27"/>
  <c r="X31" i="27" s="1"/>
  <c r="C11" i="26"/>
  <c r="K19" i="24"/>
  <c r="K183" i="31" s="1"/>
  <c r="K14" i="24"/>
  <c r="K178" i="31" s="1"/>
  <c r="T30" i="27"/>
  <c r="V27" i="27"/>
  <c r="M23" i="24"/>
  <c r="K45" i="24" s="1"/>
  <c r="O45" i="24" s="1"/>
  <c r="K11" i="24"/>
  <c r="M11" i="24" s="1"/>
  <c r="K33" i="24" s="1"/>
  <c r="M15" i="29"/>
  <c r="P15" i="29" s="1"/>
  <c r="Y36" i="37" s="1"/>
  <c r="K20" i="24"/>
  <c r="K184" i="31" s="1"/>
  <c r="L30" i="29"/>
  <c r="Y30" i="29" s="1"/>
  <c r="V29" i="27"/>
  <c r="T28" i="27"/>
  <c r="U31" i="27"/>
  <c r="W31" i="27" s="1"/>
  <c r="T29" i="27"/>
  <c r="AD10" i="24"/>
  <c r="N23" i="29"/>
  <c r="T27" i="27"/>
  <c r="V28" i="27"/>
  <c r="U29" i="27"/>
  <c r="U30" i="27"/>
  <c r="N15" i="29"/>
  <c r="Z15" i="29" s="1"/>
  <c r="K21" i="24"/>
  <c r="M21" i="24" s="1"/>
  <c r="J43" i="24" s="1"/>
  <c r="N43" i="24" s="1"/>
  <c r="V59" i="31" s="1"/>
  <c r="V32" i="27"/>
  <c r="B240" i="38"/>
  <c r="E77" i="26"/>
  <c r="K77" i="26" s="1"/>
  <c r="U24" i="32"/>
  <c r="U22" i="32"/>
  <c r="AD20" i="35"/>
  <c r="Y44" i="35" s="1"/>
  <c r="L44" i="35" s="1"/>
  <c r="T129" i="35" s="1"/>
  <c r="G129" i="35" s="1"/>
  <c r="N129" i="35" s="1"/>
  <c r="U21" i="32"/>
  <c r="U25" i="32"/>
  <c r="W25" i="32"/>
  <c r="Y25" i="32" s="1"/>
  <c r="W22" i="32"/>
  <c r="AA22" i="32" s="1"/>
  <c r="W21" i="32"/>
  <c r="Y21" i="32" s="1"/>
  <c r="W24" i="32"/>
  <c r="Z24" i="32" s="1"/>
  <c r="W44" i="35"/>
  <c r="J44" i="35" s="1"/>
  <c r="N44" i="35" s="1"/>
  <c r="U23" i="32"/>
  <c r="W23" i="32"/>
  <c r="Z23" i="32" s="1"/>
  <c r="V43" i="31"/>
  <c r="V51" i="31" s="1"/>
  <c r="AA10" i="37"/>
  <c r="AH19" i="35"/>
  <c r="AH42" i="35" s="1"/>
  <c r="AC73" i="31"/>
  <c r="AC81" i="31" s="1"/>
  <c r="Y42" i="31"/>
  <c r="Y50" i="31" s="1"/>
  <c r="T20" i="5"/>
  <c r="T19" i="5"/>
  <c r="Q96" i="5"/>
  <c r="T86" i="5"/>
  <c r="AH96" i="5"/>
  <c r="R96" i="5"/>
  <c r="AH97" i="5"/>
  <c r="R23" i="5"/>
  <c r="T17" i="5"/>
  <c r="T61" i="5"/>
  <c r="R97" i="5"/>
  <c r="T97" i="5" s="1"/>
  <c r="T18" i="5"/>
  <c r="AG97" i="5"/>
  <c r="Q99" i="5"/>
  <c r="Q23" i="5"/>
  <c r="R99" i="5"/>
  <c r="AG99" i="5"/>
  <c r="M100" i="5"/>
  <c r="R98" i="5"/>
  <c r="AI23" i="5"/>
  <c r="T15" i="5"/>
  <c r="AH98" i="5"/>
  <c r="AG98" i="5"/>
  <c r="Q98" i="5"/>
  <c r="T62" i="5"/>
  <c r="R64" i="5"/>
  <c r="AH64" i="5"/>
  <c r="AG64" i="5"/>
  <c r="Q64" i="5"/>
  <c r="Q63" i="5"/>
  <c r="AH63" i="5"/>
  <c r="AG63" i="5"/>
  <c r="R63" i="5"/>
  <c r="N66" i="5"/>
  <c r="D68" i="5"/>
  <c r="O68" i="5" s="1"/>
  <c r="M66" i="5"/>
  <c r="M65" i="5"/>
  <c r="N65" i="5"/>
  <c r="D67" i="5"/>
  <c r="O67" i="5" s="1"/>
  <c r="C41" i="5"/>
  <c r="C47" i="5"/>
  <c r="P137" i="35" s="1"/>
  <c r="C46" i="5"/>
  <c r="C48" i="5"/>
  <c r="P138" i="35" s="1"/>
  <c r="C42" i="5"/>
  <c r="C40" i="5"/>
  <c r="P130" i="35" s="1"/>
  <c r="C43" i="5"/>
  <c r="P133" i="35" s="1"/>
  <c r="P135" i="35"/>
  <c r="N25" i="5"/>
  <c r="C44" i="5"/>
  <c r="K129" i="35"/>
  <c r="P129" i="35" s="1"/>
  <c r="D129" i="35"/>
  <c r="R122" i="35"/>
  <c r="F128" i="35"/>
  <c r="M128" i="35"/>
  <c r="T122" i="35"/>
  <c r="S128" i="35" s="1"/>
  <c r="N38" i="9"/>
  <c r="Y22" i="31" s="1"/>
  <c r="K8" i="28"/>
  <c r="E76" i="38"/>
  <c r="K8" i="26"/>
  <c r="N42" i="9"/>
  <c r="Y26" i="31" s="1"/>
  <c r="N41" i="9"/>
  <c r="Y25" i="31" s="1"/>
  <c r="N39" i="9"/>
  <c r="Y23" i="31" s="1"/>
  <c r="N47" i="9"/>
  <c r="Y31" i="31" s="1"/>
  <c r="W31" i="31"/>
  <c r="T44" i="4"/>
  <c r="X44" i="35"/>
  <c r="K44" i="35" s="1"/>
  <c r="R129" i="35" s="1"/>
  <c r="E129" i="35" s="1"/>
  <c r="L129" i="35" s="1"/>
  <c r="AF21" i="35"/>
  <c r="AF44" i="35" s="1"/>
  <c r="O31" i="28"/>
  <c r="J31" i="28"/>
  <c r="I31" i="26"/>
  <c r="T75" i="17"/>
  <c r="O31" i="26" s="1"/>
  <c r="S31" i="26" s="1"/>
  <c r="E31" i="26"/>
  <c r="N120" i="26"/>
  <c r="U120" i="26" s="1"/>
  <c r="G120" i="26"/>
  <c r="H31" i="28"/>
  <c r="F31" i="28"/>
  <c r="N31" i="28"/>
  <c r="N102" i="26"/>
  <c r="U102" i="26" s="1"/>
  <c r="G102" i="26"/>
  <c r="Z35" i="27"/>
  <c r="AM50" i="27"/>
  <c r="AK51" i="27"/>
  <c r="AO51" i="27"/>
  <c r="AD36" i="27" s="1"/>
  <c r="AO36" i="27" s="1"/>
  <c r="AL51" i="27"/>
  <c r="AA36" i="27" s="1"/>
  <c r="AM36" i="27" s="1"/>
  <c r="AN51" i="27"/>
  <c r="AL34" i="27"/>
  <c r="AB34" i="27"/>
  <c r="AN34" i="27"/>
  <c r="AE34" i="27"/>
  <c r="AC35" i="27"/>
  <c r="AP50" i="27"/>
  <c r="J49" i="27"/>
  <c r="N49" i="27" s="1"/>
  <c r="BA49" i="27"/>
  <c r="K49" i="27"/>
  <c r="O49" i="27" s="1"/>
  <c r="BB49" i="27"/>
  <c r="S120" i="26" l="1"/>
  <c r="S102" i="26"/>
  <c r="Y12" i="37"/>
  <c r="Y32" i="37" s="1"/>
  <c r="Y45" i="37" s="1"/>
  <c r="H32" i="37"/>
  <c r="H45" i="37" s="1"/>
  <c r="K11" i="36"/>
  <c r="N11" i="36" s="1"/>
  <c r="J32" i="37"/>
  <c r="J45" i="37" s="1"/>
  <c r="W78" i="31"/>
  <c r="AM16" i="15"/>
  <c r="I35" i="15"/>
  <c r="AH35" i="15"/>
  <c r="AH16" i="15"/>
  <c r="M35" i="15"/>
  <c r="AJ35" i="15" s="1"/>
  <c r="AL16" i="15"/>
  <c r="AF16" i="15"/>
  <c r="AP16" i="15"/>
  <c r="S35" i="15"/>
  <c r="T35" i="15" s="1"/>
  <c r="K35" i="15"/>
  <c r="H30" i="22"/>
  <c r="K259" i="38" s="1"/>
  <c r="V31" i="25"/>
  <c r="V48" i="25" s="1"/>
  <c r="J97" i="38" s="1"/>
  <c r="L31" i="25"/>
  <c r="M31" i="25"/>
  <c r="AD14" i="25"/>
  <c r="U31" i="25"/>
  <c r="U48" i="25" s="1"/>
  <c r="H97" i="38" s="1"/>
  <c r="U14" i="25"/>
  <c r="L92" i="26" s="1"/>
  <c r="V14" i="25"/>
  <c r="L110" i="26" s="1"/>
  <c r="Y78" i="31"/>
  <c r="V15" i="25"/>
  <c r="K110" i="26" s="1"/>
  <c r="U15" i="25"/>
  <c r="K92" i="26" s="1"/>
  <c r="AD15" i="25"/>
  <c r="M29" i="22"/>
  <c r="M34" i="9"/>
  <c r="N34" i="9" s="1"/>
  <c r="Y13" i="31" s="1"/>
  <c r="T88" i="5"/>
  <c r="I11" i="36"/>
  <c r="M11" i="36" s="1"/>
  <c r="T32" i="15"/>
  <c r="T91" i="5"/>
  <c r="O32" i="15"/>
  <c r="AB75" i="31" s="1"/>
  <c r="J233" i="31"/>
  <c r="E253" i="31"/>
  <c r="H253" i="31" s="1"/>
  <c r="J253" i="31" s="1"/>
  <c r="O253" i="31" s="1"/>
  <c r="K44" i="15"/>
  <c r="O44" i="15" s="1"/>
  <c r="AL25" i="15"/>
  <c r="AK25" i="15"/>
  <c r="J44" i="15"/>
  <c r="N44" i="15" s="1"/>
  <c r="AA91" i="31" s="1"/>
  <c r="K45" i="15"/>
  <c r="O45" i="15" s="1"/>
  <c r="J45" i="15"/>
  <c r="N45" i="15" s="1"/>
  <c r="AA92" i="31" s="1"/>
  <c r="AK26" i="15"/>
  <c r="AL26" i="15"/>
  <c r="AB90" i="31"/>
  <c r="P43" i="15"/>
  <c r="AC90" i="31" s="1"/>
  <c r="T32" i="24"/>
  <c r="T89" i="5"/>
  <c r="W82" i="31"/>
  <c r="AA74" i="31"/>
  <c r="AA82" i="31" s="1"/>
  <c r="AC27" i="19"/>
  <c r="H31" i="25"/>
  <c r="CI22" i="22"/>
  <c r="CJ22" i="22"/>
  <c r="K32" i="22"/>
  <c r="CH22" i="22"/>
  <c r="CK22" i="22"/>
  <c r="Q52" i="16"/>
  <c r="E30" i="28" s="1"/>
  <c r="I101" i="26"/>
  <c r="R52" i="16"/>
  <c r="I30" i="28" s="1"/>
  <c r="I119"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H38" i="22" s="1"/>
  <c r="F34" i="24" s="1"/>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Y30" i="36" s="1"/>
  <c r="X30" i="36"/>
  <c r="T52" i="16"/>
  <c r="I30" i="26"/>
  <c r="J26" i="38" s="1"/>
  <c r="J28" i="38" s="1"/>
  <c r="CL22" i="22"/>
  <c r="J16" i="22" s="1"/>
  <c r="N248" i="38" s="1"/>
  <c r="AB27" i="19"/>
  <c r="V28" i="19"/>
  <c r="J109" i="26" s="1"/>
  <c r="J42" i="19"/>
  <c r="AG25" i="19"/>
  <c r="I42" i="19"/>
  <c r="AF25" i="19"/>
  <c r="O91" i="26"/>
  <c r="V91" i="26" s="1"/>
  <c r="N42" i="4"/>
  <c r="AB24" i="4" s="1"/>
  <c r="J89" i="26" s="1"/>
  <c r="O42" i="4"/>
  <c r="J42" i="4"/>
  <c r="K42" i="4"/>
  <c r="O33" i="24"/>
  <c r="W45" i="31" s="1"/>
  <c r="T33" i="24"/>
  <c r="N32" i="15"/>
  <c r="AA75" i="31" s="1"/>
  <c r="Z14" i="29"/>
  <c r="P9" i="25"/>
  <c r="K31" i="25" s="1"/>
  <c r="P12" i="25"/>
  <c r="J34" i="25" s="1"/>
  <c r="S27" i="27"/>
  <c r="Z12" i="29"/>
  <c r="H32" i="25"/>
  <c r="P10" i="25"/>
  <c r="P11" i="25"/>
  <c r="H34" i="25"/>
  <c r="I34" i="25"/>
  <c r="V12" i="25" s="1"/>
  <c r="I110" i="26" s="1"/>
  <c r="N110" i="26" s="1"/>
  <c r="U110" i="26" s="1"/>
  <c r="N37" i="9"/>
  <c r="Y16" i="31" s="1"/>
  <c r="Q243" i="38"/>
  <c r="K11" i="28"/>
  <c r="K11" i="26"/>
  <c r="E75" i="38"/>
  <c r="K7" i="28"/>
  <c r="N33" i="15"/>
  <c r="AA76" i="31" s="1"/>
  <c r="N35" i="15"/>
  <c r="AA78" i="31" s="1"/>
  <c r="Q260" i="38"/>
  <c r="Q257" i="38"/>
  <c r="AJ33" i="15"/>
  <c r="O33" i="15"/>
  <c r="W32" i="10"/>
  <c r="K9" i="26"/>
  <c r="E77" i="38"/>
  <c r="K9" i="28"/>
  <c r="T33" i="15"/>
  <c r="W14" i="31"/>
  <c r="N35" i="9"/>
  <c r="Y14" i="31" s="1"/>
  <c r="M13" i="22"/>
  <c r="K245" i="38"/>
  <c r="Q244" i="38"/>
  <c r="P12" i="29"/>
  <c r="Y33" i="37" s="1"/>
  <c r="AA33" i="37" s="1"/>
  <c r="W32" i="27"/>
  <c r="L48" i="27" s="1"/>
  <c r="AF11" i="24"/>
  <c r="R31" i="27"/>
  <c r="K181" i="31"/>
  <c r="K186" i="31"/>
  <c r="AF18" i="24"/>
  <c r="AA35" i="37"/>
  <c r="AG19" i="24"/>
  <c r="Q31" i="29"/>
  <c r="Q28" i="27"/>
  <c r="R29" i="27"/>
  <c r="Q30" i="27"/>
  <c r="Q32" i="27"/>
  <c r="K32" i="10"/>
  <c r="M32" i="10" s="1"/>
  <c r="AF16" i="35" s="1"/>
  <c r="R30" i="27"/>
  <c r="L34" i="10"/>
  <c r="N34" i="10" s="1"/>
  <c r="AG23" i="35" s="1"/>
  <c r="S32" i="27"/>
  <c r="Q29" i="27"/>
  <c r="I45" i="27" s="1"/>
  <c r="S28" i="27"/>
  <c r="Q27" i="27"/>
  <c r="S30" i="27"/>
  <c r="R27" i="27"/>
  <c r="R32" i="27"/>
  <c r="S31" i="27"/>
  <c r="Q31" i="27"/>
  <c r="R28" i="27"/>
  <c r="J44" i="24"/>
  <c r="N44" i="24" s="1"/>
  <c r="V60" i="31" s="1"/>
  <c r="K44" i="24"/>
  <c r="O44" i="24" s="1"/>
  <c r="W60" i="31" s="1"/>
  <c r="AF23" i="24"/>
  <c r="M12" i="24"/>
  <c r="AG11" i="24"/>
  <c r="Z22" i="29"/>
  <c r="L39" i="10"/>
  <c r="AF39" i="10" s="1"/>
  <c r="S22" i="29"/>
  <c r="K36" i="10"/>
  <c r="M36" i="10" s="1"/>
  <c r="AF25" i="35" s="1"/>
  <c r="X29" i="27"/>
  <c r="M45" i="27" s="1"/>
  <c r="Z13" i="29"/>
  <c r="P13" i="29"/>
  <c r="Y34" i="37" s="1"/>
  <c r="AA46" i="37"/>
  <c r="Y22" i="29"/>
  <c r="Q13" i="29"/>
  <c r="Z34" i="37" s="1"/>
  <c r="M19" i="24"/>
  <c r="AF20" i="24" s="1"/>
  <c r="K38" i="36"/>
  <c r="K63" i="36" s="1"/>
  <c r="X63" i="36" s="1"/>
  <c r="X79" i="36" s="1"/>
  <c r="E11" i="38"/>
  <c r="E154" i="38" s="1"/>
  <c r="I155" i="38" s="1"/>
  <c r="AG17" i="24"/>
  <c r="J33" i="24"/>
  <c r="N33" i="24" s="1"/>
  <c r="V45" i="31" s="1"/>
  <c r="AA25" i="32"/>
  <c r="AF22" i="24"/>
  <c r="AG22" i="24"/>
  <c r="AF19" i="24"/>
  <c r="K29" i="10"/>
  <c r="AE29" i="10" s="1"/>
  <c r="K43" i="24"/>
  <c r="O43" i="24" s="1"/>
  <c r="P43" i="24" s="1"/>
  <c r="Y59" i="31" s="1"/>
  <c r="AF42" i="10"/>
  <c r="K41" i="10"/>
  <c r="AE41" i="10" s="1"/>
  <c r="K31" i="10"/>
  <c r="AE31" i="10" s="1"/>
  <c r="K35" i="10"/>
  <c r="AE35" i="10" s="1"/>
  <c r="L37" i="10"/>
  <c r="N37" i="10" s="1"/>
  <c r="AG26" i="35" s="1"/>
  <c r="Y14" i="29"/>
  <c r="J77" i="26"/>
  <c r="Z23" i="29"/>
  <c r="Q30" i="29"/>
  <c r="L36" i="10"/>
  <c r="N36" i="10" s="1"/>
  <c r="K38" i="10"/>
  <c r="M38" i="10" s="1"/>
  <c r="AF27" i="35" s="1"/>
  <c r="K37" i="10"/>
  <c r="M37" i="10" s="1"/>
  <c r="AF26" i="35" s="1"/>
  <c r="L38" i="10"/>
  <c r="AF38" i="10" s="1"/>
  <c r="K33" i="10"/>
  <c r="M33" i="10" s="1"/>
  <c r="AF22" i="35" s="1"/>
  <c r="L40" i="10"/>
  <c r="N40" i="10" s="1"/>
  <c r="AG29" i="35" s="1"/>
  <c r="K182" i="31"/>
  <c r="X32" i="27"/>
  <c r="M48" i="27" s="1"/>
  <c r="L41" i="10"/>
  <c r="AF41" i="10" s="1"/>
  <c r="S14" i="29"/>
  <c r="J45" i="24"/>
  <c r="N45" i="24" s="1"/>
  <c r="V61" i="31" s="1"/>
  <c r="K40" i="24"/>
  <c r="O40" i="24" s="1"/>
  <c r="W56" i="31" s="1"/>
  <c r="K40" i="10"/>
  <c r="AE40" i="10" s="1"/>
  <c r="K42" i="10"/>
  <c r="AE42" i="10" s="1"/>
  <c r="K39" i="10"/>
  <c r="M39" i="10" s="1"/>
  <c r="AF28" i="35" s="1"/>
  <c r="P30" i="29"/>
  <c r="K34" i="10"/>
  <c r="AE34" i="10" s="1"/>
  <c r="X28" i="27"/>
  <c r="AI43" i="27" s="1"/>
  <c r="AR22" i="10"/>
  <c r="K97" i="26" s="1"/>
  <c r="X97" i="26" s="1"/>
  <c r="L32" i="10"/>
  <c r="N32" i="10" s="1"/>
  <c r="L30" i="10"/>
  <c r="AF30" i="10" s="1"/>
  <c r="K30" i="10"/>
  <c r="M30" i="10" s="1"/>
  <c r="AF14" i="35" s="1"/>
  <c r="L33" i="10"/>
  <c r="N33" i="10" s="1"/>
  <c r="L35" i="10"/>
  <c r="AF35" i="10" s="1"/>
  <c r="L31" i="10"/>
  <c r="Y23" i="29"/>
  <c r="L29" i="10"/>
  <c r="N29" i="10" s="1"/>
  <c r="AG13" i="35" s="1"/>
  <c r="K185" i="31"/>
  <c r="W29" i="27"/>
  <c r="AH44" i="27" s="1"/>
  <c r="Q98" i="26"/>
  <c r="J38" i="24"/>
  <c r="N38" i="24" s="1"/>
  <c r="V54" i="31" s="1"/>
  <c r="Z30" i="29"/>
  <c r="L77" i="26"/>
  <c r="R116" i="26" s="1"/>
  <c r="K38" i="24"/>
  <c r="O38" i="24" s="1"/>
  <c r="W54" i="31" s="1"/>
  <c r="Q23" i="29"/>
  <c r="S23" i="29" s="1"/>
  <c r="K180" i="31"/>
  <c r="AS14" i="10"/>
  <c r="AS22" i="10"/>
  <c r="K115" i="26" s="1"/>
  <c r="X115" i="26" s="1"/>
  <c r="AS21" i="10"/>
  <c r="L115" i="26" s="1"/>
  <c r="R115" i="26" s="1"/>
  <c r="AR21" i="10"/>
  <c r="L97" i="26" s="1"/>
  <c r="R97" i="26" s="1"/>
  <c r="Y12" i="29"/>
  <c r="AS13" i="10"/>
  <c r="W27" i="27"/>
  <c r="L43" i="27" s="1"/>
  <c r="AR14" i="10"/>
  <c r="K26" i="26" s="1"/>
  <c r="Q76" i="26" s="1"/>
  <c r="J32" i="24"/>
  <c r="N32" i="24" s="1"/>
  <c r="J39" i="24"/>
  <c r="N39" i="24" s="1"/>
  <c r="V55" i="31" s="1"/>
  <c r="K173" i="31"/>
  <c r="Y15" i="29"/>
  <c r="AF10" i="24"/>
  <c r="AG18" i="24"/>
  <c r="K32" i="24"/>
  <c r="O32" i="24" s="1"/>
  <c r="AR13" i="10"/>
  <c r="L26" i="26" s="1"/>
  <c r="Y76" i="26" s="1"/>
  <c r="M13" i="24"/>
  <c r="AF13" i="24" s="1"/>
  <c r="P31" i="29"/>
  <c r="W30" i="27"/>
  <c r="L46" i="27" s="1"/>
  <c r="Y47" i="37"/>
  <c r="Y50" i="37" s="1"/>
  <c r="Z40" i="29"/>
  <c r="Z12" i="37"/>
  <c r="Z32" i="37" s="1"/>
  <c r="Z45" i="37" s="1"/>
  <c r="M15" i="24"/>
  <c r="J37" i="24" s="1"/>
  <c r="N37" i="24" s="1"/>
  <c r="V53" i="31" s="1"/>
  <c r="Y40" i="29"/>
  <c r="K174" i="31"/>
  <c r="M14" i="24"/>
  <c r="AG15" i="24" s="1"/>
  <c r="Q40" i="29"/>
  <c r="K116" i="26" s="1"/>
  <c r="Q116" i="26" s="1"/>
  <c r="X27" i="27"/>
  <c r="M43" i="27" s="1"/>
  <c r="M20" i="24"/>
  <c r="AF21" i="24" s="1"/>
  <c r="Q15" i="29"/>
  <c r="S15" i="29" s="1"/>
  <c r="Y22" i="32"/>
  <c r="W28" i="27"/>
  <c r="L44" i="27" s="1"/>
  <c r="X30" i="27"/>
  <c r="AI45" i="27" s="1"/>
  <c r="AG21" i="35"/>
  <c r="AG44" i="35" s="1"/>
  <c r="Y23" i="32"/>
  <c r="AA23" i="32"/>
  <c r="T44" i="35"/>
  <c r="P44" i="35"/>
  <c r="AA24" i="32"/>
  <c r="Y24" i="32"/>
  <c r="R44" i="35"/>
  <c r="Z25" i="32"/>
  <c r="Z21" i="32"/>
  <c r="Z22" i="32"/>
  <c r="AA21" i="32"/>
  <c r="Y9" i="36"/>
  <c r="AA30" i="37"/>
  <c r="AA43" i="37" s="1"/>
  <c r="T96" i="5"/>
  <c r="T99" i="5"/>
  <c r="T23" i="5"/>
  <c r="T98" i="5"/>
  <c r="R100" i="5"/>
  <c r="Q100" i="5"/>
  <c r="AI100" i="5"/>
  <c r="T63" i="5"/>
  <c r="D47" i="5"/>
  <c r="N47" i="5" s="1"/>
  <c r="E47" i="5"/>
  <c r="O47" i="5" s="1"/>
  <c r="E40" i="5"/>
  <c r="O40" i="5" s="1"/>
  <c r="D40" i="5"/>
  <c r="N40" i="5" s="1"/>
  <c r="AG65" i="5"/>
  <c r="Q65" i="5"/>
  <c r="AH65" i="5"/>
  <c r="R65" i="5"/>
  <c r="AH66" i="5"/>
  <c r="R66" i="5"/>
  <c r="Q66" i="5"/>
  <c r="AG66" i="5"/>
  <c r="N68" i="5"/>
  <c r="M68" i="5"/>
  <c r="D48" i="5"/>
  <c r="N48" i="5" s="1"/>
  <c r="E48" i="5"/>
  <c r="O48" i="5" s="1"/>
  <c r="N67" i="5"/>
  <c r="M67" i="5"/>
  <c r="D43" i="5"/>
  <c r="N43" i="5" s="1"/>
  <c r="E43" i="5"/>
  <c r="O43" i="5" s="1"/>
  <c r="D45" i="5"/>
  <c r="N45" i="5" s="1"/>
  <c r="E45" i="5"/>
  <c r="O45" i="5" s="1"/>
  <c r="T64" i="5"/>
  <c r="P131" i="35"/>
  <c r="P136" i="35"/>
  <c r="P132" i="35"/>
  <c r="P134" i="35"/>
  <c r="AI46" i="27"/>
  <c r="M47" i="27"/>
  <c r="AH46" i="27"/>
  <c r="L47" i="27"/>
  <c r="W55" i="31"/>
  <c r="W61" i="31"/>
  <c r="O44" i="35"/>
  <c r="S44" i="35"/>
  <c r="F31" i="26"/>
  <c r="Q31" i="26"/>
  <c r="N81" i="26"/>
  <c r="U81" i="26" s="1"/>
  <c r="J50" i="27"/>
  <c r="N50" i="27" s="1"/>
  <c r="BA50" i="27"/>
  <c r="AC36" i="27"/>
  <c r="AP51" i="27"/>
  <c r="AN35" i="27"/>
  <c r="AE35" i="27"/>
  <c r="Z36" i="27"/>
  <c r="AM51" i="27"/>
  <c r="P49" i="27"/>
  <c r="AL35" i="27"/>
  <c r="AB35" i="27"/>
  <c r="BB50" i="27"/>
  <c r="K50" i="27"/>
  <c r="O50" i="27" s="1"/>
  <c r="Q11" i="36" l="1"/>
  <c r="U11" i="36" s="1"/>
  <c r="X11" i="36" s="1"/>
  <c r="P11" i="36"/>
  <c r="S11" i="36" s="1"/>
  <c r="W11" i="36" s="1"/>
  <c r="D11" i="38"/>
  <c r="N11" i="38" s="1"/>
  <c r="I38" i="36"/>
  <c r="I63" i="36" s="1"/>
  <c r="W63" i="36" s="1"/>
  <c r="W79" i="36" s="1"/>
  <c r="M30" i="22"/>
  <c r="O35" i="15"/>
  <c r="P35" i="15" s="1"/>
  <c r="AC78" i="31" s="1"/>
  <c r="AE14" i="25"/>
  <c r="AF14" i="25" s="1"/>
  <c r="L21" i="26"/>
  <c r="AE15" i="25"/>
  <c r="AF15" i="25" s="1"/>
  <c r="K21" i="26"/>
  <c r="Q92" i="26"/>
  <c r="X92" i="26" s="1"/>
  <c r="O31" i="25"/>
  <c r="S45" i="30" s="1"/>
  <c r="Q110" i="26"/>
  <c r="X110" i="26" s="1"/>
  <c r="P110" i="26"/>
  <c r="R110" i="26"/>
  <c r="Y110" i="26"/>
  <c r="R92" i="26"/>
  <c r="Y92" i="26"/>
  <c r="W13" i="31"/>
  <c r="P45" i="15"/>
  <c r="AC92" i="31" s="1"/>
  <c r="AB92" i="31"/>
  <c r="P44" i="15"/>
  <c r="AC91" i="31" s="1"/>
  <c r="AB91" i="31"/>
  <c r="CK38" i="22"/>
  <c r="N30" i="28"/>
  <c r="N26" i="38" s="1"/>
  <c r="H30" i="28"/>
  <c r="F30" i="28"/>
  <c r="D26" i="38"/>
  <c r="D164" i="38" s="1"/>
  <c r="CI38" i="22"/>
  <c r="U119" i="26"/>
  <c r="G119" i="26"/>
  <c r="S119" i="26" s="1"/>
  <c r="N119" i="26"/>
  <c r="N80" i="26"/>
  <c r="U80" i="26"/>
  <c r="J30" i="28"/>
  <c r="O30" i="28"/>
  <c r="O26" i="38" s="1"/>
  <c r="E26" i="38"/>
  <c r="H16" i="22"/>
  <c r="D34" i="15"/>
  <c r="CL38" i="22"/>
  <c r="J33" i="22" s="1"/>
  <c r="N262" i="38" s="1"/>
  <c r="O261" i="38"/>
  <c r="J15" i="22"/>
  <c r="J32" i="22"/>
  <c r="CJ38" i="22"/>
  <c r="D36" i="9"/>
  <c r="F16" i="22"/>
  <c r="CM22" i="22"/>
  <c r="AB52" i="16"/>
  <c r="O30" i="26" s="1"/>
  <c r="S30" i="26" s="1"/>
  <c r="E30" i="26"/>
  <c r="CG38" i="22"/>
  <c r="G33" i="22"/>
  <c r="S46" i="31"/>
  <c r="S34" i="24"/>
  <c r="AK12" i="24"/>
  <c r="AA12" i="24"/>
  <c r="AC12" i="24"/>
  <c r="M34" i="24"/>
  <c r="AI12" i="24"/>
  <c r="I34" i="24"/>
  <c r="AE12" i="24"/>
  <c r="E31" i="10"/>
  <c r="I16" i="22"/>
  <c r="G16" i="22"/>
  <c r="D34" i="24"/>
  <c r="AF12" i="24" s="1"/>
  <c r="K34" i="24"/>
  <c r="N101" i="26"/>
  <c r="U101" i="26"/>
  <c r="G101" i="26"/>
  <c r="S101" i="26" s="1"/>
  <c r="K42" i="19"/>
  <c r="AH25" i="19" s="1"/>
  <c r="L42" i="19"/>
  <c r="AI25" i="19" s="1"/>
  <c r="AD27" i="19"/>
  <c r="J20" i="26"/>
  <c r="O109" i="26"/>
  <c r="V109" i="26" s="1"/>
  <c r="L42" i="4"/>
  <c r="R42" i="4" s="1"/>
  <c r="R12" i="30" s="1"/>
  <c r="O89" i="26"/>
  <c r="V89" i="26" s="1"/>
  <c r="M42" i="4"/>
  <c r="AC23" i="4" s="1"/>
  <c r="I107" i="26" s="1"/>
  <c r="AH25" i="4"/>
  <c r="AG25" i="4"/>
  <c r="AC24" i="4"/>
  <c r="J107" i="26" s="1"/>
  <c r="P32" i="15"/>
  <c r="AC75" i="31" s="1"/>
  <c r="J31" i="25"/>
  <c r="N31" i="25" s="1"/>
  <c r="R45" i="30" s="1"/>
  <c r="AB10" i="25"/>
  <c r="AB13" i="25"/>
  <c r="AA13" i="25"/>
  <c r="AA10" i="25"/>
  <c r="K34" i="25"/>
  <c r="O34" i="25" s="1"/>
  <c r="S48" i="30" s="1"/>
  <c r="AD12" i="25"/>
  <c r="AE12" i="25" s="1"/>
  <c r="AN42" i="27"/>
  <c r="AC27" i="27" s="1"/>
  <c r="AN27" i="27" s="1"/>
  <c r="U12" i="25"/>
  <c r="I92" i="26" s="1"/>
  <c r="AB12" i="25"/>
  <c r="K33" i="25"/>
  <c r="O33" i="25" s="1"/>
  <c r="J33" i="25"/>
  <c r="N33" i="25" s="1"/>
  <c r="R47" i="30" s="1"/>
  <c r="AA12" i="25"/>
  <c r="AB11" i="25"/>
  <c r="J32" i="25"/>
  <c r="N32" i="25" s="1"/>
  <c r="R46" i="30" s="1"/>
  <c r="AA11" i="25"/>
  <c r="K32" i="25"/>
  <c r="O32" i="25" s="1"/>
  <c r="N34" i="25"/>
  <c r="R48" i="30" s="1"/>
  <c r="Y39" i="37"/>
  <c r="S12" i="29"/>
  <c r="I46" i="27"/>
  <c r="AH47" i="27"/>
  <c r="AK45" i="27"/>
  <c r="Z30" i="27" s="1"/>
  <c r="AL30" i="27" s="1"/>
  <c r="AN44" i="27"/>
  <c r="AC29" i="27" s="1"/>
  <c r="P33" i="15"/>
  <c r="AB76" i="31"/>
  <c r="Q245" i="38"/>
  <c r="Q259" i="38"/>
  <c r="K10" i="28"/>
  <c r="K10" i="26"/>
  <c r="E78" i="38"/>
  <c r="AB78" i="31"/>
  <c r="I43" i="27"/>
  <c r="I48" i="27"/>
  <c r="AF37" i="10"/>
  <c r="AO42" i="27"/>
  <c r="AD27" i="27" s="1"/>
  <c r="AO27" i="27" s="1"/>
  <c r="H46" i="27"/>
  <c r="N77" i="38"/>
  <c r="O11" i="38"/>
  <c r="AF34" i="10"/>
  <c r="AK46" i="27"/>
  <c r="Z31" i="27" s="1"/>
  <c r="AL31" i="27" s="1"/>
  <c r="AL42" i="27"/>
  <c r="AA27" i="27" s="1"/>
  <c r="AM27" i="27" s="1"/>
  <c r="AO44" i="27"/>
  <c r="AD29" i="27" s="1"/>
  <c r="AO29" i="27" s="1"/>
  <c r="H44" i="27"/>
  <c r="AL43" i="27"/>
  <c r="AA28" i="27" s="1"/>
  <c r="AM28" i="27" s="1"/>
  <c r="K23" i="38"/>
  <c r="N39" i="10"/>
  <c r="AG28" i="35" s="1"/>
  <c r="AK43" i="27"/>
  <c r="Z28" i="27" s="1"/>
  <c r="AL28" i="27" s="1"/>
  <c r="I44" i="27"/>
  <c r="AK47" i="27"/>
  <c r="Z32" i="27" s="1"/>
  <c r="AL32" i="27" s="1"/>
  <c r="AK44" i="27"/>
  <c r="Z29" i="27" s="1"/>
  <c r="AL29" i="27" s="1"/>
  <c r="AO43" i="27"/>
  <c r="AD28" i="27" s="1"/>
  <c r="AO28" i="27" s="1"/>
  <c r="AN43" i="27"/>
  <c r="AC28" i="27" s="1"/>
  <c r="AN28" i="27" s="1"/>
  <c r="AN47" i="27"/>
  <c r="AC32" i="27" s="1"/>
  <c r="AN32" i="27" s="1"/>
  <c r="AL44" i="27"/>
  <c r="J41" i="24"/>
  <c r="N41" i="24" s="1"/>
  <c r="V57" i="31" s="1"/>
  <c r="AF36" i="10"/>
  <c r="K41" i="24"/>
  <c r="O41" i="24" s="1"/>
  <c r="W57" i="31" s="1"/>
  <c r="H45" i="27"/>
  <c r="AN45" i="27"/>
  <c r="AC30" i="27" s="1"/>
  <c r="AN30" i="27" s="1"/>
  <c r="P40" i="24"/>
  <c r="Y56" i="31" s="1"/>
  <c r="AF32" i="10"/>
  <c r="AE32" i="10"/>
  <c r="AG12" i="24"/>
  <c r="AO47" i="27"/>
  <c r="AD32" i="27" s="1"/>
  <c r="AO32" i="27" s="1"/>
  <c r="N38" i="10"/>
  <c r="O38" i="10" s="1"/>
  <c r="AH27" i="35" s="1"/>
  <c r="AE33" i="10"/>
  <c r="AE36" i="10"/>
  <c r="AL45" i="27"/>
  <c r="AA30" i="27" s="1"/>
  <c r="AM30" i="27" s="1"/>
  <c r="AO45" i="27"/>
  <c r="AD30" i="27" s="1"/>
  <c r="AO30" i="27" s="1"/>
  <c r="H43" i="27"/>
  <c r="M40" i="10"/>
  <c r="O40" i="10" s="1"/>
  <c r="AH29" i="35" s="1"/>
  <c r="Y32" i="10"/>
  <c r="N30" i="10"/>
  <c r="AG14" i="35" s="1"/>
  <c r="AK42" i="27"/>
  <c r="Z27" i="27" s="1"/>
  <c r="AL27" i="27" s="1"/>
  <c r="H48" i="27"/>
  <c r="H47" i="27"/>
  <c r="AL47" i="27"/>
  <c r="AA32" i="27" s="1"/>
  <c r="AM32" i="27" s="1"/>
  <c r="AO46" i="27"/>
  <c r="AD31" i="27" s="1"/>
  <c r="AO31" i="27" s="1"/>
  <c r="I47" i="27"/>
  <c r="AN46" i="27"/>
  <c r="AC31" i="27" s="1"/>
  <c r="AN31" i="27" s="1"/>
  <c r="L45" i="27"/>
  <c r="AB44" i="27" s="1"/>
  <c r="J90" i="26" s="1"/>
  <c r="AL46" i="27"/>
  <c r="AA31" i="27" s="1"/>
  <c r="AM31" i="27" s="1"/>
  <c r="AH45" i="27"/>
  <c r="AG20" i="24"/>
  <c r="M35" i="10"/>
  <c r="AF24" i="35" s="1"/>
  <c r="S13" i="29"/>
  <c r="N41" i="10"/>
  <c r="AG30" i="35" s="1"/>
  <c r="X38" i="36"/>
  <c r="P44" i="24"/>
  <c r="Y60" i="31" s="1"/>
  <c r="AE37" i="10"/>
  <c r="AI44" i="27"/>
  <c r="W59" i="31"/>
  <c r="M42" i="10"/>
  <c r="AF31" i="35" s="1"/>
  <c r="M29" i="10"/>
  <c r="AF13" i="35" s="1"/>
  <c r="AF40" i="10"/>
  <c r="AE30" i="10"/>
  <c r="AH42" i="27"/>
  <c r="Q115" i="26"/>
  <c r="P33" i="24"/>
  <c r="Y45" i="31" s="1"/>
  <c r="P39" i="24"/>
  <c r="Y55" i="31" s="1"/>
  <c r="P43" i="29"/>
  <c r="E27" i="28" s="1"/>
  <c r="F27" i="28" s="1"/>
  <c r="AA34" i="37"/>
  <c r="AE38" i="10"/>
  <c r="S30" i="29"/>
  <c r="AI47" i="27"/>
  <c r="AF33" i="10"/>
  <c r="M41" i="10"/>
  <c r="AF30" i="35" s="1"/>
  <c r="R77" i="26"/>
  <c r="X116" i="26"/>
  <c r="AF31" i="10"/>
  <c r="M44" i="27"/>
  <c r="K36" i="24"/>
  <c r="O36" i="24" s="1"/>
  <c r="W52" i="31" s="1"/>
  <c r="AF14" i="24"/>
  <c r="R98" i="26"/>
  <c r="J36" i="24"/>
  <c r="N36" i="24" s="1"/>
  <c r="AF15" i="24"/>
  <c r="M34" i="10"/>
  <c r="AF23" i="35" s="1"/>
  <c r="S31" i="29"/>
  <c r="P45" i="24"/>
  <c r="Y61" i="31" s="1"/>
  <c r="AE39" i="10"/>
  <c r="Y115" i="26"/>
  <c r="AT14" i="10"/>
  <c r="N35" i="10"/>
  <c r="AG24" i="35" s="1"/>
  <c r="AG14" i="24"/>
  <c r="Q97" i="26"/>
  <c r="AF29" i="10"/>
  <c r="M46" i="27"/>
  <c r="O37" i="10"/>
  <c r="AH26" i="35" s="1"/>
  <c r="Y97" i="26"/>
  <c r="AB43" i="29"/>
  <c r="AG13" i="24"/>
  <c r="J35" i="24"/>
  <c r="N35" i="24" s="1"/>
  <c r="V47" i="31" s="1"/>
  <c r="K37" i="24"/>
  <c r="O37" i="24" s="1"/>
  <c r="W53" i="31" s="1"/>
  <c r="AT13" i="10"/>
  <c r="AG16" i="24"/>
  <c r="Z36" i="37"/>
  <c r="AA36" i="37" s="1"/>
  <c r="AA43" i="29"/>
  <c r="P38" i="24"/>
  <c r="Y54" i="31" s="1"/>
  <c r="X76" i="26"/>
  <c r="AF16" i="24"/>
  <c r="Q43" i="29"/>
  <c r="J116" i="26" s="1"/>
  <c r="G116" i="26" s="1"/>
  <c r="S116" i="26" s="1"/>
  <c r="K35" i="24"/>
  <c r="O35" i="24" s="1"/>
  <c r="AI42" i="27"/>
  <c r="AH43" i="27"/>
  <c r="E74" i="26"/>
  <c r="I74" i="26" s="1"/>
  <c r="K42" i="24"/>
  <c r="O42" i="24" s="1"/>
  <c r="W58" i="31" s="1"/>
  <c r="S40" i="29"/>
  <c r="K27" i="26" s="1"/>
  <c r="Q77" i="26" s="1"/>
  <c r="AG21" i="24"/>
  <c r="Z47" i="37"/>
  <c r="AA47" i="37" s="1"/>
  <c r="AA50" i="37" s="1"/>
  <c r="J42" i="24"/>
  <c r="N42" i="24" s="1"/>
  <c r="V58" i="31" s="1"/>
  <c r="Y36" i="36"/>
  <c r="Y61" i="36" s="1"/>
  <c r="F11" i="38"/>
  <c r="T100" i="5"/>
  <c r="N74" i="5"/>
  <c r="O74" i="5"/>
  <c r="M45" i="5"/>
  <c r="R45" i="5" s="1"/>
  <c r="D44" i="5"/>
  <c r="N44" i="5" s="1"/>
  <c r="E44" i="5"/>
  <c r="O44" i="5" s="1"/>
  <c r="T66" i="5"/>
  <c r="E42" i="5"/>
  <c r="O42" i="5" s="1"/>
  <c r="D42" i="5"/>
  <c r="N42" i="5" s="1"/>
  <c r="R68" i="5"/>
  <c r="AG68" i="5"/>
  <c r="AH68" i="5"/>
  <c r="Q68" i="5"/>
  <c r="T65" i="5"/>
  <c r="D46" i="5"/>
  <c r="N46" i="5" s="1"/>
  <c r="E46" i="5"/>
  <c r="O46" i="5" s="1"/>
  <c r="D41" i="5"/>
  <c r="N41" i="5" s="1"/>
  <c r="E41" i="5"/>
  <c r="O41" i="5" s="1"/>
  <c r="M74" i="5"/>
  <c r="AH67" i="5"/>
  <c r="Q67" i="5"/>
  <c r="AG67" i="5"/>
  <c r="R67" i="5"/>
  <c r="M47" i="5"/>
  <c r="R47" i="5" s="1"/>
  <c r="AG52" i="35" s="1"/>
  <c r="M48" i="5"/>
  <c r="M40" i="5"/>
  <c r="M43" i="5"/>
  <c r="Q43" i="5" s="1"/>
  <c r="AF48" i="35" s="1"/>
  <c r="R76" i="26"/>
  <c r="L23" i="38"/>
  <c r="O36" i="10"/>
  <c r="AH25" i="35" s="1"/>
  <c r="AG25" i="35"/>
  <c r="O32" i="10"/>
  <c r="AH16" i="35" s="1"/>
  <c r="AG16" i="35"/>
  <c r="AG22" i="35"/>
  <c r="O33" i="10"/>
  <c r="AH22" i="35" s="1"/>
  <c r="P50" i="27"/>
  <c r="L155" i="38"/>
  <c r="O155" i="38" s="1"/>
  <c r="F175" i="38"/>
  <c r="V44" i="31"/>
  <c r="P32" i="24"/>
  <c r="W44" i="31"/>
  <c r="J51" i="27"/>
  <c r="N51" i="27" s="1"/>
  <c r="BA51" i="27"/>
  <c r="BB51" i="27"/>
  <c r="K51" i="27"/>
  <c r="O51" i="27" s="1"/>
  <c r="AB36" i="27"/>
  <c r="AL36" i="27"/>
  <c r="AN36" i="27"/>
  <c r="AE36" i="27"/>
  <c r="N76" i="38" l="1"/>
  <c r="D154" i="38"/>
  <c r="H155" i="38" s="1"/>
  <c r="W38" i="36"/>
  <c r="R71" i="26"/>
  <c r="Y71" i="26" s="1"/>
  <c r="L17" i="38"/>
  <c r="Q71" i="26"/>
  <c r="X71" i="26" s="1"/>
  <c r="K17" i="38"/>
  <c r="Q26" i="38"/>
  <c r="AC26" i="19"/>
  <c r="AC30" i="19" s="1"/>
  <c r="N20" i="26" s="1"/>
  <c r="R20" i="26" s="1"/>
  <c r="V27" i="19"/>
  <c r="I109" i="26" s="1"/>
  <c r="G109" i="26" s="1"/>
  <c r="AB26" i="19"/>
  <c r="K248" i="38"/>
  <c r="K250" i="38" s="1"/>
  <c r="H18" i="22"/>
  <c r="H78" i="38" s="1"/>
  <c r="H90" i="38" s="1"/>
  <c r="H92" i="38" s="1"/>
  <c r="AN23" i="24"/>
  <c r="I113" i="26" s="1"/>
  <c r="N113" i="26" s="1"/>
  <c r="U113" i="26" s="1"/>
  <c r="F34" i="15"/>
  <c r="H33" i="22"/>
  <c r="F36" i="9"/>
  <c r="CM38" i="22"/>
  <c r="F33" i="22"/>
  <c r="N261" i="38"/>
  <c r="J35" i="22"/>
  <c r="J80" i="38" s="1"/>
  <c r="M32" i="22"/>
  <c r="AB12" i="24"/>
  <c r="AM26" i="24" s="1"/>
  <c r="K95" i="26" s="1"/>
  <c r="AJ12" i="24"/>
  <c r="AN14" i="24" s="1"/>
  <c r="L34" i="24"/>
  <c r="AH12" i="24"/>
  <c r="AN13" i="24" s="1"/>
  <c r="P46" i="31"/>
  <c r="R34" i="24"/>
  <c r="R47" i="24" s="1"/>
  <c r="S20" i="38" s="1"/>
  <c r="Z12" i="24"/>
  <c r="AM25" i="24" s="1"/>
  <c r="L95" i="26" s="1"/>
  <c r="Y95" i="26" s="1"/>
  <c r="H34" i="24"/>
  <c r="AM23" i="24" s="1"/>
  <c r="I95" i="26" s="1"/>
  <c r="N95" i="26" s="1"/>
  <c r="U95" i="26" s="1"/>
  <c r="AD12" i="24"/>
  <c r="AN11" i="24" s="1"/>
  <c r="Q30" i="26"/>
  <c r="F30" i="26"/>
  <c r="U27" i="19"/>
  <c r="I91" i="26" s="1"/>
  <c r="N91" i="26" s="1"/>
  <c r="J248" i="38"/>
  <c r="J250" i="38" s="1"/>
  <c r="G18" i="22"/>
  <c r="H77" i="38" s="1"/>
  <c r="AN26" i="24"/>
  <c r="K113" i="26" s="1"/>
  <c r="X113" i="26" s="1"/>
  <c r="N247" i="38"/>
  <c r="M15" i="22"/>
  <c r="J18" i="22"/>
  <c r="H80" i="38" s="1"/>
  <c r="F26" i="38"/>
  <c r="E164" i="38"/>
  <c r="F164" i="38" s="1"/>
  <c r="O34" i="24"/>
  <c r="W46" i="31" s="1"/>
  <c r="AN25" i="24"/>
  <c r="L113" i="26" s="1"/>
  <c r="Y113" i="26" s="1"/>
  <c r="J34" i="24"/>
  <c r="AM24" i="24" s="1"/>
  <c r="L248" i="38"/>
  <c r="L250" i="38" s="1"/>
  <c r="I18" i="22"/>
  <c r="H79" i="38" s="1"/>
  <c r="I248" i="38"/>
  <c r="F18" i="22"/>
  <c r="H76" i="38" s="1"/>
  <c r="J262" i="38"/>
  <c r="J264" i="38" s="1"/>
  <c r="G35" i="22"/>
  <c r="J77" i="38" s="1"/>
  <c r="AB15" i="35"/>
  <c r="R31" i="10"/>
  <c r="U31" i="10" s="1"/>
  <c r="U44" i="10" s="1"/>
  <c r="S23" i="38" s="1"/>
  <c r="AK31" i="10"/>
  <c r="I31" i="10"/>
  <c r="S47" i="24"/>
  <c r="T20" i="38" s="1"/>
  <c r="P15" i="31"/>
  <c r="AK13" i="9"/>
  <c r="AM13" i="9"/>
  <c r="AH13" i="9"/>
  <c r="AR23" i="9" s="1"/>
  <c r="K94" i="26" s="1"/>
  <c r="J36" i="9"/>
  <c r="P36" i="9"/>
  <c r="P49" i="9" s="1"/>
  <c r="S19" i="38" s="1"/>
  <c r="H36" i="9"/>
  <c r="AR21" i="9" s="1"/>
  <c r="AF13" i="9"/>
  <c r="AR22" i="9" s="1"/>
  <c r="L94" i="26" s="1"/>
  <c r="AO13" i="9"/>
  <c r="AK15" i="15"/>
  <c r="W77" i="31"/>
  <c r="J34" i="15"/>
  <c r="AG34" i="15"/>
  <c r="AG47" i="15" s="1"/>
  <c r="L34" i="15"/>
  <c r="R34" i="15"/>
  <c r="R47" i="15" s="1"/>
  <c r="S21" i="38" s="1"/>
  <c r="AG15" i="15"/>
  <c r="AR25" i="15" s="1"/>
  <c r="K96" i="26" s="1"/>
  <c r="X96" i="26" s="1"/>
  <c r="AO15" i="15"/>
  <c r="H34" i="15"/>
  <c r="AR23" i="15" s="1"/>
  <c r="AE15" i="15"/>
  <c r="AM15" i="15"/>
  <c r="AI15" i="15"/>
  <c r="G31" i="10"/>
  <c r="I33" i="22"/>
  <c r="R42" i="19"/>
  <c r="I16" i="38"/>
  <c r="O70" i="26"/>
  <c r="V70" i="26" s="1"/>
  <c r="AB23" i="4"/>
  <c r="I89" i="26" s="1"/>
  <c r="N89" i="26" s="1"/>
  <c r="Q42" i="19"/>
  <c r="R29" i="30" s="1"/>
  <c r="S42" i="4"/>
  <c r="N107" i="26"/>
  <c r="U107" i="26" s="1"/>
  <c r="G107" i="26"/>
  <c r="R20" i="30"/>
  <c r="R53" i="4"/>
  <c r="E18" i="28" s="1"/>
  <c r="J18" i="26"/>
  <c r="AI25" i="4"/>
  <c r="AG24" i="4"/>
  <c r="O107" i="26"/>
  <c r="V107" i="26" s="1"/>
  <c r="I21" i="26"/>
  <c r="H17" i="38" s="1"/>
  <c r="V13" i="25"/>
  <c r="J110" i="26" s="1"/>
  <c r="O110" i="26" s="1"/>
  <c r="AF12" i="25"/>
  <c r="AE13" i="25"/>
  <c r="AE16" i="25" s="1"/>
  <c r="N21" i="26" s="1"/>
  <c r="R21" i="26" s="1"/>
  <c r="N92" i="26"/>
  <c r="U92" i="26" s="1"/>
  <c r="R57" i="30"/>
  <c r="P34" i="25"/>
  <c r="T48" i="30" s="1"/>
  <c r="O48" i="25"/>
  <c r="I21" i="28" s="1"/>
  <c r="O21" i="28" s="1"/>
  <c r="O17" i="38" s="1"/>
  <c r="AD13" i="25"/>
  <c r="AD16" i="25" s="1"/>
  <c r="U13" i="25"/>
  <c r="J92" i="26" s="1"/>
  <c r="S47" i="30"/>
  <c r="P33" i="25"/>
  <c r="T47" i="30" s="1"/>
  <c r="S46" i="30"/>
  <c r="P32" i="25"/>
  <c r="T46" i="30" s="1"/>
  <c r="AC76" i="31"/>
  <c r="E90" i="38"/>
  <c r="E92" i="38" s="1"/>
  <c r="AE27" i="27"/>
  <c r="K43" i="27" s="1"/>
  <c r="O43" i="27" s="1"/>
  <c r="Z13" i="37" s="1"/>
  <c r="AP42" i="27"/>
  <c r="AM42" i="27"/>
  <c r="AP45" i="27"/>
  <c r="AM44" i="27"/>
  <c r="AP44" i="27"/>
  <c r="AC43" i="29"/>
  <c r="N27" i="26" s="1"/>
  <c r="R27" i="26" s="1"/>
  <c r="AA29" i="27"/>
  <c r="AM29" i="27" s="1"/>
  <c r="AM37" i="27" s="1"/>
  <c r="AE28" i="27"/>
  <c r="BB44" i="27" s="1"/>
  <c r="AB31" i="27"/>
  <c r="J47" i="27" s="1"/>
  <c r="N47" i="27" s="1"/>
  <c r="Y17" i="37" s="1"/>
  <c r="AB43" i="27"/>
  <c r="I90" i="26" s="1"/>
  <c r="U90" i="26" s="1"/>
  <c r="O39" i="10"/>
  <c r="AH28" i="35" s="1"/>
  <c r="AO37" i="27"/>
  <c r="AC45" i="27" s="1"/>
  <c r="K108" i="26" s="1"/>
  <c r="Q108" i="26" s="1"/>
  <c r="AM46" i="27"/>
  <c r="P41" i="24"/>
  <c r="Y57" i="31" s="1"/>
  <c r="O30" i="10"/>
  <c r="AH14" i="35" s="1"/>
  <c r="AB32" i="27"/>
  <c r="J48" i="27" s="1"/>
  <c r="N48" i="27" s="1"/>
  <c r="Y18" i="37" s="1"/>
  <c r="AM43" i="27"/>
  <c r="AO52" i="27"/>
  <c r="AM47" i="27"/>
  <c r="AB28" i="27"/>
  <c r="BA44" i="27" s="1"/>
  <c r="AC43" i="27"/>
  <c r="I108" i="26" s="1"/>
  <c r="U108" i="26" s="1"/>
  <c r="N27" i="28"/>
  <c r="AB30" i="27"/>
  <c r="BA46" i="27" s="1"/>
  <c r="AE30" i="27"/>
  <c r="BB46" i="27" s="1"/>
  <c r="AM45" i="27"/>
  <c r="AP43" i="27"/>
  <c r="AG27" i="35"/>
  <c r="O42" i="10"/>
  <c r="AH31" i="35" s="1"/>
  <c r="AK52" i="27"/>
  <c r="AL52" i="27"/>
  <c r="AG24" i="27"/>
  <c r="AH24" i="27" s="1"/>
  <c r="AL37" i="27"/>
  <c r="AB46" i="27" s="1"/>
  <c r="L90" i="26" s="1"/>
  <c r="R90" i="26" s="1"/>
  <c r="O41" i="10"/>
  <c r="AH30" i="35" s="1"/>
  <c r="J98" i="26"/>
  <c r="V98" i="26" s="1"/>
  <c r="AF29" i="35"/>
  <c r="AP47" i="27"/>
  <c r="AC44" i="27"/>
  <c r="J108" i="26" s="1"/>
  <c r="O108" i="26" s="1"/>
  <c r="P36" i="24"/>
  <c r="Y52" i="31" s="1"/>
  <c r="P35" i="24"/>
  <c r="Y47" i="31" s="1"/>
  <c r="O29" i="10"/>
  <c r="AH13" i="35" s="1"/>
  <c r="AE32" i="27"/>
  <c r="K48" i="27" s="1"/>
  <c r="O48" i="27" s="1"/>
  <c r="Z18" i="37" s="1"/>
  <c r="AB27" i="27"/>
  <c r="J43" i="27" s="1"/>
  <c r="N43" i="27" s="1"/>
  <c r="Y13" i="37" s="1"/>
  <c r="AN52" i="27"/>
  <c r="AP46" i="27"/>
  <c r="AE31" i="27"/>
  <c r="BB47" i="27" s="1"/>
  <c r="O35" i="10"/>
  <c r="AH24" i="35" s="1"/>
  <c r="AA39" i="37"/>
  <c r="AF44" i="10"/>
  <c r="J101" i="38" s="1"/>
  <c r="O34" i="10"/>
  <c r="AH23" i="35" s="1"/>
  <c r="Z50" i="37"/>
  <c r="V52" i="31"/>
  <c r="AE44" i="10"/>
  <c r="H101" i="38" s="1"/>
  <c r="P31" i="25"/>
  <c r="V116" i="26"/>
  <c r="S43" i="29"/>
  <c r="J27" i="26" s="1"/>
  <c r="V77" i="26" s="1"/>
  <c r="P37" i="24"/>
  <c r="Y53" i="31" s="1"/>
  <c r="AG25" i="27"/>
  <c r="J19" i="26" s="1"/>
  <c r="W47" i="31"/>
  <c r="K74" i="26"/>
  <c r="N48" i="25"/>
  <c r="E21" i="28" s="1"/>
  <c r="D17" i="38" s="1"/>
  <c r="O116" i="26"/>
  <c r="AN24" i="24"/>
  <c r="I27" i="28"/>
  <c r="O27" i="28" s="1"/>
  <c r="Z39" i="37"/>
  <c r="X77" i="26"/>
  <c r="AN12" i="24"/>
  <c r="AH25" i="27"/>
  <c r="L74" i="26"/>
  <c r="J74" i="26"/>
  <c r="E95" i="26"/>
  <c r="P42" i="24"/>
  <c r="Y58" i="31" s="1"/>
  <c r="Q11" i="38"/>
  <c r="F154" i="38"/>
  <c r="AN29" i="27"/>
  <c r="AN37" i="27" s="1"/>
  <c r="AE29" i="27"/>
  <c r="AG45" i="5"/>
  <c r="Q45" i="5"/>
  <c r="AF50" i="35" s="1"/>
  <c r="AH45" i="5"/>
  <c r="T67" i="5"/>
  <c r="E100" i="26"/>
  <c r="Q74" i="5"/>
  <c r="AM98" i="5" s="1"/>
  <c r="K100" i="26" s="1"/>
  <c r="T68" i="5"/>
  <c r="M46" i="5"/>
  <c r="R46" i="5" s="1"/>
  <c r="AG51" i="35" s="1"/>
  <c r="AI74" i="5"/>
  <c r="Q47" i="5"/>
  <c r="AF52" i="35" s="1"/>
  <c r="AH52" i="35" s="1"/>
  <c r="AG50" i="35"/>
  <c r="R74" i="5"/>
  <c r="AN98" i="5" s="1"/>
  <c r="K118" i="26" s="1"/>
  <c r="M44" i="5"/>
  <c r="AH44" i="5" s="1"/>
  <c r="E79" i="26"/>
  <c r="L79" i="26" s="1"/>
  <c r="M41" i="5"/>
  <c r="AG41" i="5" s="1"/>
  <c r="M42" i="5"/>
  <c r="Q42" i="5" s="1"/>
  <c r="AF47" i="35" s="1"/>
  <c r="AH48" i="5"/>
  <c r="AG47" i="5"/>
  <c r="AH47" i="5"/>
  <c r="R48" i="5"/>
  <c r="AG53" i="35" s="1"/>
  <c r="N51" i="5"/>
  <c r="Q48" i="5"/>
  <c r="AG48" i="5"/>
  <c r="AH40" i="5"/>
  <c r="O51" i="5"/>
  <c r="Q40" i="5"/>
  <c r="AF45" i="35" s="1"/>
  <c r="AG40" i="5"/>
  <c r="R43" i="5"/>
  <c r="AG43" i="5"/>
  <c r="R40" i="5"/>
  <c r="AG45" i="35" s="1"/>
  <c r="AH43" i="5"/>
  <c r="V90" i="26"/>
  <c r="O90" i="26"/>
  <c r="P51" i="27"/>
  <c r="F183" i="38"/>
  <c r="F190" i="38" s="1"/>
  <c r="F197" i="38" s="1"/>
  <c r="L205" i="38" s="1"/>
  <c r="I175" i="38"/>
  <c r="I183" i="38" s="1"/>
  <c r="I190" i="38" s="1"/>
  <c r="I197" i="38" s="1"/>
  <c r="S155" i="38"/>
  <c r="L169" i="38"/>
  <c r="K155" i="38"/>
  <c r="N155" i="38" s="1"/>
  <c r="E175" i="38"/>
  <c r="Y44" i="31"/>
  <c r="K52" i="27"/>
  <c r="O52" i="27" s="1"/>
  <c r="BB52" i="27"/>
  <c r="J52" i="27"/>
  <c r="N52" i="27" s="1"/>
  <c r="BA52" i="27"/>
  <c r="S29" i="30" l="1"/>
  <c r="S37" i="30" s="1"/>
  <c r="T42" i="4"/>
  <c r="S12" i="30"/>
  <c r="S20" i="30" s="1"/>
  <c r="S107" i="26"/>
  <c r="K16" i="22"/>
  <c r="O248" i="38" s="1"/>
  <c r="K33" i="22"/>
  <c r="K35" i="22" s="1"/>
  <c r="J81" i="38" s="1"/>
  <c r="Q96" i="26"/>
  <c r="AR24" i="15"/>
  <c r="L96" i="26" s="1"/>
  <c r="R96" i="26" s="1"/>
  <c r="AM13" i="24"/>
  <c r="L24" i="26" s="1"/>
  <c r="R74" i="26" s="1"/>
  <c r="AD26" i="19"/>
  <c r="AD30" i="19" s="1"/>
  <c r="O20" i="26" s="1"/>
  <c r="S20" i="26" s="1"/>
  <c r="AM27" i="24"/>
  <c r="I20" i="26"/>
  <c r="AB30" i="19"/>
  <c r="R53" i="19"/>
  <c r="I20" i="28" s="1"/>
  <c r="N71" i="26"/>
  <c r="U71" i="26" s="1"/>
  <c r="O47" i="24"/>
  <c r="I24" i="28" s="1"/>
  <c r="J24" i="28" s="1"/>
  <c r="N109" i="26"/>
  <c r="S109" i="26" s="1"/>
  <c r="AM12" i="24"/>
  <c r="J24" i="26" s="1"/>
  <c r="I20" i="38" s="1"/>
  <c r="L36" i="9"/>
  <c r="V15" i="31" s="1"/>
  <c r="G91" i="26"/>
  <c r="S91" i="26" s="1"/>
  <c r="U89" i="26"/>
  <c r="U91" i="26"/>
  <c r="G89" i="26"/>
  <c r="S89" i="26" s="1"/>
  <c r="AN15" i="24"/>
  <c r="N24" i="26" s="1"/>
  <c r="R24" i="26" s="1"/>
  <c r="E80" i="38"/>
  <c r="K12" i="28"/>
  <c r="K12" i="26"/>
  <c r="AN13" i="9"/>
  <c r="AS14" i="9" s="1"/>
  <c r="S15" i="31"/>
  <c r="Q36" i="9"/>
  <c r="AL13" i="9"/>
  <c r="AS13" i="9" s="1"/>
  <c r="K36" i="9"/>
  <c r="AP13" i="9"/>
  <c r="AS15" i="9" s="1"/>
  <c r="AI13" i="9"/>
  <c r="AG13" i="9"/>
  <c r="I36" i="9"/>
  <c r="E94" i="26"/>
  <c r="Q247" i="38"/>
  <c r="N250" i="38"/>
  <c r="Q95" i="26"/>
  <c r="X95" i="26"/>
  <c r="R94" i="26"/>
  <c r="Y94" i="26"/>
  <c r="I159" i="38"/>
  <c r="S159" i="38" s="1"/>
  <c r="W20" i="38"/>
  <c r="L159" i="38" s="1"/>
  <c r="I250" i="38"/>
  <c r="AM11" i="24"/>
  <c r="AN27" i="24"/>
  <c r="L262" i="38"/>
  <c r="L264" i="38" s="1"/>
  <c r="I35" i="22"/>
  <c r="J79" i="38" s="1"/>
  <c r="V21" i="38"/>
  <c r="K160" i="38" s="1"/>
  <c r="H160" i="38"/>
  <c r="Q160" i="38" s="1"/>
  <c r="J94" i="26"/>
  <c r="AR24" i="9"/>
  <c r="T34" i="24"/>
  <c r="T47" i="24" s="1"/>
  <c r="K262" i="38"/>
  <c r="K264" i="38" s="1"/>
  <c r="H35" i="22"/>
  <c r="J78" i="38" s="1"/>
  <c r="J90" i="38" s="1"/>
  <c r="J92" i="38" s="1"/>
  <c r="AM14" i="24"/>
  <c r="AH34" i="15"/>
  <c r="AH47" i="15" s="1"/>
  <c r="Y77" i="31"/>
  <c r="I34" i="15"/>
  <c r="AJ15" i="15"/>
  <c r="AS15" i="15" s="1"/>
  <c r="AF15" i="15"/>
  <c r="AH15" i="15"/>
  <c r="AP15" i="15"/>
  <c r="AS17" i="15" s="1"/>
  <c r="AL15" i="15"/>
  <c r="M34" i="15"/>
  <c r="AN15" i="15"/>
  <c r="S34" i="15"/>
  <c r="K34" i="15"/>
  <c r="S53" i="4"/>
  <c r="I18" i="28" s="1"/>
  <c r="AL31" i="10"/>
  <c r="AS12" i="10" s="1"/>
  <c r="AS15" i="10" s="1"/>
  <c r="N26" i="26" s="1"/>
  <c r="R26" i="26" s="1"/>
  <c r="AD15" i="35"/>
  <c r="S31" i="10"/>
  <c r="V31" i="10" s="1"/>
  <c r="J31" i="10"/>
  <c r="AR20" i="10"/>
  <c r="M31" i="10"/>
  <c r="I262" i="38"/>
  <c r="I264" i="38" s="1"/>
  <c r="F35" i="22"/>
  <c r="J76" i="38" s="1"/>
  <c r="J96" i="26"/>
  <c r="AI34" i="15"/>
  <c r="AI47" i="15" s="1"/>
  <c r="H100" i="38" s="1"/>
  <c r="N34" i="15"/>
  <c r="V19" i="38"/>
  <c r="K158" i="38" s="1"/>
  <c r="H158" i="38"/>
  <c r="S28" i="38"/>
  <c r="V28" i="38" s="1"/>
  <c r="K166" i="38" s="1"/>
  <c r="K171" i="38" s="1"/>
  <c r="K206" i="38" s="1"/>
  <c r="K211" i="38" s="1"/>
  <c r="V20" i="38"/>
  <c r="K159" i="38" s="1"/>
  <c r="H159" i="38"/>
  <c r="Q159" i="38" s="1"/>
  <c r="Q261" i="38"/>
  <c r="N264" i="38"/>
  <c r="Q94" i="26"/>
  <c r="X94" i="26"/>
  <c r="V23" i="38"/>
  <c r="K161" i="38" s="1"/>
  <c r="H161" i="38"/>
  <c r="Q161" i="38" s="1"/>
  <c r="N34" i="24"/>
  <c r="P34" i="24" s="1"/>
  <c r="Q53" i="19"/>
  <c r="E20" i="28" s="1"/>
  <c r="R37" i="30"/>
  <c r="S42" i="19"/>
  <c r="AH24" i="4"/>
  <c r="AH28" i="4" s="1"/>
  <c r="N18" i="26" s="1"/>
  <c r="R18" i="26" s="1"/>
  <c r="I18" i="26"/>
  <c r="AG28" i="4"/>
  <c r="D15" i="38"/>
  <c r="N18" i="28"/>
  <c r="N15" i="38" s="1"/>
  <c r="F18" i="28"/>
  <c r="O68" i="26"/>
  <c r="V68" i="26" s="1"/>
  <c r="I15" i="38"/>
  <c r="G110" i="26"/>
  <c r="S110" i="26" s="1"/>
  <c r="V110" i="26"/>
  <c r="J21" i="28"/>
  <c r="E17" i="38"/>
  <c r="F17" i="38" s="1"/>
  <c r="AF13" i="25"/>
  <c r="AF16" i="25" s="1"/>
  <c r="O21" i="26" s="1"/>
  <c r="S21" i="26" s="1"/>
  <c r="J21" i="26"/>
  <c r="O71" i="26" s="1"/>
  <c r="V71" i="26" s="1"/>
  <c r="P48" i="25"/>
  <c r="E21" i="26" s="1"/>
  <c r="Q21" i="26" s="1"/>
  <c r="S57" i="30"/>
  <c r="G92" i="26"/>
  <c r="O92" i="26"/>
  <c r="V92" i="26" s="1"/>
  <c r="N90" i="26"/>
  <c r="BB43" i="27"/>
  <c r="AB29" i="27"/>
  <c r="J45" i="27" s="1"/>
  <c r="N45" i="27" s="1"/>
  <c r="X108" i="26"/>
  <c r="AI27" i="27"/>
  <c r="AP52" i="27"/>
  <c r="J46" i="27"/>
  <c r="N46" i="27" s="1"/>
  <c r="Y16" i="37" s="1"/>
  <c r="O98" i="26"/>
  <c r="F21" i="28"/>
  <c r="AI26" i="27"/>
  <c r="G98" i="26"/>
  <c r="S98" i="26" s="1"/>
  <c r="E27" i="26"/>
  <c r="F27" i="26" s="1"/>
  <c r="K44" i="27"/>
  <c r="O44" i="27" s="1"/>
  <c r="Z14" i="37" s="1"/>
  <c r="AC45" i="29"/>
  <c r="O27" i="26" s="1"/>
  <c r="S27" i="26" s="1"/>
  <c r="BA43" i="27"/>
  <c r="BB48" i="27"/>
  <c r="BA48" i="27"/>
  <c r="K46" i="27"/>
  <c r="O46" i="27" s="1"/>
  <c r="Z16" i="37" s="1"/>
  <c r="BA47" i="27"/>
  <c r="N108" i="26"/>
  <c r="AM52" i="27"/>
  <c r="J44" i="27"/>
  <c r="N44" i="27" s="1"/>
  <c r="Y14" i="37" s="1"/>
  <c r="H21" i="28"/>
  <c r="AI24" i="27"/>
  <c r="Y90" i="26"/>
  <c r="I19" i="26"/>
  <c r="U69" i="26" s="1"/>
  <c r="V108" i="26"/>
  <c r="K47" i="27"/>
  <c r="O47" i="27" s="1"/>
  <c r="Z17" i="37" s="1"/>
  <c r="R113" i="26"/>
  <c r="J113" i="26"/>
  <c r="O113" i="26" s="1"/>
  <c r="V113" i="26" s="1"/>
  <c r="AI25" i="27"/>
  <c r="H27" i="28"/>
  <c r="T45" i="30"/>
  <c r="T57" i="30" s="1"/>
  <c r="J27" i="28"/>
  <c r="R95" i="26"/>
  <c r="N21" i="28"/>
  <c r="N17" i="38" s="1"/>
  <c r="Q17" i="38" s="1"/>
  <c r="Q113" i="26"/>
  <c r="J95" i="26"/>
  <c r="O95" i="26" s="1"/>
  <c r="V95" i="26" s="1"/>
  <c r="P48" i="27"/>
  <c r="AA18" i="37" s="1"/>
  <c r="P43" i="27"/>
  <c r="AA13" i="37" s="1"/>
  <c r="AC46" i="27"/>
  <c r="L108" i="26" s="1"/>
  <c r="AG27" i="27"/>
  <c r="L19" i="26" s="1"/>
  <c r="R69" i="26" s="1"/>
  <c r="K45" i="27"/>
  <c r="O45" i="27" s="1"/>
  <c r="Z15" i="37" s="1"/>
  <c r="BB45" i="27"/>
  <c r="AB45" i="27"/>
  <c r="AG26" i="27"/>
  <c r="T74" i="5"/>
  <c r="K29" i="26" s="1"/>
  <c r="T45" i="5"/>
  <c r="AG44" i="5"/>
  <c r="Q44" i="5"/>
  <c r="AF49" i="35" s="1"/>
  <c r="R44" i="5"/>
  <c r="AG49" i="35" s="1"/>
  <c r="AG46" i="5"/>
  <c r="AH46" i="5"/>
  <c r="Q46" i="5"/>
  <c r="AF51" i="35" s="1"/>
  <c r="AH51" i="35" s="1"/>
  <c r="AH50" i="35"/>
  <c r="Q41" i="5"/>
  <c r="AF46" i="35" s="1"/>
  <c r="K79" i="26"/>
  <c r="M51" i="5"/>
  <c r="T47" i="5"/>
  <c r="R41" i="5"/>
  <c r="AG46" i="35" s="1"/>
  <c r="AH41" i="5"/>
  <c r="AH42" i="5"/>
  <c r="AG42" i="5"/>
  <c r="R42" i="5"/>
  <c r="AG47" i="35" s="1"/>
  <c r="AH47" i="35" s="1"/>
  <c r="AH45" i="35"/>
  <c r="AF53" i="35"/>
  <c r="AH53" i="35" s="1"/>
  <c r="T48" i="5"/>
  <c r="T40" i="5"/>
  <c r="AG48" i="35"/>
  <c r="AH48" i="35" s="1"/>
  <c r="T43" i="5"/>
  <c r="O69" i="26"/>
  <c r="V69" i="26"/>
  <c r="I25" i="38"/>
  <c r="O77" i="26"/>
  <c r="H175" i="38"/>
  <c r="H183" i="38" s="1"/>
  <c r="H190" i="38" s="1"/>
  <c r="H197" i="38" s="1"/>
  <c r="E183" i="38"/>
  <c r="E190" i="38" s="1"/>
  <c r="E197" i="38" s="1"/>
  <c r="K205" i="38" s="1"/>
  <c r="Q155" i="38"/>
  <c r="K169" i="38"/>
  <c r="P52" i="27"/>
  <c r="S92" i="26" l="1"/>
  <c r="T29" i="30"/>
  <c r="T37" i="30" s="1"/>
  <c r="M16" i="22"/>
  <c r="M18" i="22" s="1"/>
  <c r="U109" i="26"/>
  <c r="M33" i="22"/>
  <c r="M35" i="22" s="1"/>
  <c r="O262" i="38"/>
  <c r="Q262" i="38" s="1"/>
  <c r="Q264" i="38" s="1"/>
  <c r="K18" i="22"/>
  <c r="H81" i="38" s="1"/>
  <c r="H84" i="38" s="1"/>
  <c r="T12" i="30"/>
  <c r="T20" i="30" s="1"/>
  <c r="O250" i="38"/>
  <c r="Q248" i="38"/>
  <c r="Q250" i="38" s="1"/>
  <c r="AO13" i="24"/>
  <c r="AR26" i="15"/>
  <c r="Y96" i="26"/>
  <c r="N70" i="26"/>
  <c r="U70" i="26" s="1"/>
  <c r="H16" i="38"/>
  <c r="O24" i="28"/>
  <c r="O20" i="38" s="1"/>
  <c r="E20" i="38"/>
  <c r="E159" i="38" s="1"/>
  <c r="O74" i="26"/>
  <c r="V74" i="26" s="1"/>
  <c r="W65" i="31"/>
  <c r="L49" i="9"/>
  <c r="V35" i="31" s="1"/>
  <c r="AO12" i="24"/>
  <c r="S53" i="19"/>
  <c r="E20" i="26" s="1"/>
  <c r="Q20" i="26" s="1"/>
  <c r="M36" i="9"/>
  <c r="N36" i="9" s="1"/>
  <c r="Y46" i="31"/>
  <c r="P47" i="24"/>
  <c r="E24" i="26" s="1"/>
  <c r="F24" i="26" s="1"/>
  <c r="AJ34" i="15"/>
  <c r="AJ47" i="15" s="1"/>
  <c r="J100" i="38" s="1"/>
  <c r="O34" i="15"/>
  <c r="O94" i="26"/>
  <c r="V94" i="26"/>
  <c r="G94" i="26"/>
  <c r="S94" i="26" s="1"/>
  <c r="AA77" i="31"/>
  <c r="N47" i="15"/>
  <c r="AR17" i="15"/>
  <c r="AS25" i="15"/>
  <c r="K114" i="26" s="1"/>
  <c r="Q49" i="9"/>
  <c r="T19" i="38" s="1"/>
  <c r="R36" i="9"/>
  <c r="R49" i="9" s="1"/>
  <c r="AR16" i="15"/>
  <c r="AS24" i="15"/>
  <c r="L114" i="26" s="1"/>
  <c r="W31" i="10"/>
  <c r="W44" i="10" s="1"/>
  <c r="V44" i="10"/>
  <c r="T23" i="38" s="1"/>
  <c r="I24" i="26"/>
  <c r="AO11" i="24"/>
  <c r="AS16" i="9"/>
  <c r="N23" i="26" s="1"/>
  <c r="R23" i="26" s="1"/>
  <c r="AM15" i="24"/>
  <c r="T53" i="4"/>
  <c r="E18" i="26" s="1"/>
  <c r="Q18" i="26" s="1"/>
  <c r="AF15" i="35"/>
  <c r="M44" i="10"/>
  <c r="Y74" i="26"/>
  <c r="L20" i="38"/>
  <c r="AR13" i="9"/>
  <c r="AS21" i="9"/>
  <c r="V46" i="31"/>
  <c r="N47" i="24"/>
  <c r="V96" i="26"/>
  <c r="O96" i="26"/>
  <c r="G96" i="26"/>
  <c r="S96" i="26" s="1"/>
  <c r="J97" i="26"/>
  <c r="AR23" i="10"/>
  <c r="T34" i="15"/>
  <c r="T47" i="15" s="1"/>
  <c r="S47" i="15"/>
  <c r="T21" i="38" s="1"/>
  <c r="AS23" i="15"/>
  <c r="AR15" i="15"/>
  <c r="AR14" i="9"/>
  <c r="AS22" i="9"/>
  <c r="L112" i="26" s="1"/>
  <c r="Q158" i="38"/>
  <c r="Q166" i="38" s="1"/>
  <c r="H166" i="38"/>
  <c r="K24" i="26"/>
  <c r="AO14" i="24"/>
  <c r="J84" i="38"/>
  <c r="AR12" i="10"/>
  <c r="AS20" i="10"/>
  <c r="N31" i="10"/>
  <c r="AS16" i="15"/>
  <c r="AS18" i="15" s="1"/>
  <c r="N25" i="26" s="1"/>
  <c r="R25" i="26" s="1"/>
  <c r="AS23" i="9"/>
  <c r="K112" i="26" s="1"/>
  <c r="AR15" i="9"/>
  <c r="N20" i="28"/>
  <c r="N16" i="38" s="1"/>
  <c r="D16" i="38"/>
  <c r="D157" i="38" s="1"/>
  <c r="F20" i="28"/>
  <c r="H20" i="28"/>
  <c r="O20" i="28"/>
  <c r="O16" i="38" s="1"/>
  <c r="E16" i="38"/>
  <c r="J20" i="28"/>
  <c r="O18" i="28"/>
  <c r="O15" i="38" s="1"/>
  <c r="Q15" i="38" s="1"/>
  <c r="J18" i="28"/>
  <c r="E15" i="38"/>
  <c r="F15" i="38" s="1"/>
  <c r="H15" i="38"/>
  <c r="N68" i="26"/>
  <c r="U68" i="26" s="1"/>
  <c r="H18" i="28"/>
  <c r="AI24" i="4"/>
  <c r="AI28" i="4" s="1"/>
  <c r="O18" i="26" s="1"/>
  <c r="S18" i="26" s="1"/>
  <c r="I17" i="38"/>
  <c r="P46" i="27"/>
  <c r="AA16" i="37" s="1"/>
  <c r="Q27" i="26"/>
  <c r="F21" i="26"/>
  <c r="BA45" i="27"/>
  <c r="BA54" i="27" s="1"/>
  <c r="H95" i="38" s="1"/>
  <c r="H102" i="38" s="1"/>
  <c r="N69" i="26"/>
  <c r="N54" i="27"/>
  <c r="E19" i="28" s="1"/>
  <c r="N19" i="28" s="1"/>
  <c r="N25" i="38" s="1"/>
  <c r="P44" i="27"/>
  <c r="AA14" i="37" s="1"/>
  <c r="BB54" i="27"/>
  <c r="J95" i="38" s="1"/>
  <c r="AI28" i="27"/>
  <c r="O19" i="26" s="1"/>
  <c r="S19" i="26" s="1"/>
  <c r="G95" i="26"/>
  <c r="S95" i="26" s="1"/>
  <c r="H25" i="38"/>
  <c r="P47" i="27"/>
  <c r="AA17" i="37" s="1"/>
  <c r="Z21" i="37"/>
  <c r="G113" i="26"/>
  <c r="S113" i="26" s="1"/>
  <c r="AH27" i="27"/>
  <c r="L25" i="38"/>
  <c r="Y69" i="26"/>
  <c r="O54" i="27"/>
  <c r="I19" i="28" s="1"/>
  <c r="O19" i="28" s="1"/>
  <c r="O25" i="38" s="1"/>
  <c r="Y108" i="26"/>
  <c r="R108" i="26"/>
  <c r="G108" i="26"/>
  <c r="S108" i="26" s="1"/>
  <c r="K19" i="26"/>
  <c r="AH26" i="27"/>
  <c r="K90" i="26"/>
  <c r="AB47" i="27"/>
  <c r="AG28" i="27"/>
  <c r="Y15" i="37"/>
  <c r="Y21" i="37" s="1"/>
  <c r="P45" i="27"/>
  <c r="AA15" i="37" s="1"/>
  <c r="Q79" i="26"/>
  <c r="X79" i="26" s="1"/>
  <c r="K24" i="38"/>
  <c r="Q100" i="26"/>
  <c r="X100" i="26" s="1"/>
  <c r="AH46" i="35"/>
  <c r="T44" i="5"/>
  <c r="R51" i="5"/>
  <c r="R102" i="5" s="1"/>
  <c r="AI51" i="5"/>
  <c r="AI102" i="5" s="1"/>
  <c r="N29" i="26" s="1"/>
  <c r="R29" i="26" s="1"/>
  <c r="Q51" i="5"/>
  <c r="Q102" i="5" s="1"/>
  <c r="E29" i="28" s="1"/>
  <c r="Q118" i="26"/>
  <c r="X118" i="26" s="1"/>
  <c r="T46" i="5"/>
  <c r="T42" i="5"/>
  <c r="T41" i="5"/>
  <c r="AF55" i="35"/>
  <c r="AH49" i="35"/>
  <c r="AG55" i="35"/>
  <c r="E81" i="38" l="1"/>
  <c r="E84" i="38" s="1"/>
  <c r="B85" i="38" s="1"/>
  <c r="K13" i="26"/>
  <c r="O12" i="26" s="1"/>
  <c r="O14" i="26" s="1"/>
  <c r="O264" i="38"/>
  <c r="K13" i="28"/>
  <c r="O12" i="28" s="1"/>
  <c r="O14" i="28" s="1"/>
  <c r="O8" i="38" s="1"/>
  <c r="J30" i="38" s="1"/>
  <c r="J32" i="38" s="1"/>
  <c r="J102" i="38"/>
  <c r="E23" i="28"/>
  <c r="N23" i="28" s="1"/>
  <c r="N19" i="38" s="1"/>
  <c r="AO15" i="24"/>
  <c r="O24" i="26" s="1"/>
  <c r="S24" i="26" s="1"/>
  <c r="W15" i="31"/>
  <c r="F20" i="26"/>
  <c r="Q24" i="26"/>
  <c r="Y65" i="31"/>
  <c r="M49" i="9"/>
  <c r="I23" i="28" s="1"/>
  <c r="F16" i="38"/>
  <c r="Q16" i="38"/>
  <c r="Q114" i="26"/>
  <c r="X114" i="26"/>
  <c r="J112" i="26"/>
  <c r="AS24" i="9"/>
  <c r="K25" i="26"/>
  <c r="AT17" i="15"/>
  <c r="K23" i="26"/>
  <c r="AT15" i="9"/>
  <c r="J25" i="26"/>
  <c r="AR18" i="15"/>
  <c r="AT15" i="15"/>
  <c r="J23" i="26"/>
  <c r="AR16" i="9"/>
  <c r="AT13" i="9"/>
  <c r="AA96" i="31"/>
  <c r="E25" i="28"/>
  <c r="F18" i="26"/>
  <c r="X112" i="26"/>
  <c r="Q112" i="26"/>
  <c r="J114" i="26"/>
  <c r="AS26" i="15"/>
  <c r="E24" i="28"/>
  <c r="V65" i="31"/>
  <c r="Y114" i="26"/>
  <c r="R114" i="26"/>
  <c r="AB77" i="31"/>
  <c r="P34" i="15"/>
  <c r="O47" i="15"/>
  <c r="W21" i="38"/>
  <c r="L160" i="38" s="1"/>
  <c r="I160" i="38"/>
  <c r="S160" i="38" s="1"/>
  <c r="L25" i="26"/>
  <c r="AT16" i="15"/>
  <c r="V97" i="26"/>
  <c r="O97" i="26"/>
  <c r="G97" i="26"/>
  <c r="S97" i="26" s="1"/>
  <c r="Y112" i="26"/>
  <c r="R112" i="26"/>
  <c r="H20" i="38"/>
  <c r="H28" i="38" s="1"/>
  <c r="N74" i="26"/>
  <c r="U74" i="26" s="1"/>
  <c r="J26" i="26"/>
  <c r="AT12" i="10"/>
  <c r="AT15" i="10" s="1"/>
  <c r="O26" i="26" s="1"/>
  <c r="S26" i="26" s="1"/>
  <c r="AR15" i="10"/>
  <c r="W23" i="38"/>
  <c r="L161" i="38" s="1"/>
  <c r="I161" i="38"/>
  <c r="S161" i="38" s="1"/>
  <c r="K20" i="38"/>
  <c r="X74" i="26"/>
  <c r="Q74" i="26"/>
  <c r="AG15" i="35"/>
  <c r="O31" i="10"/>
  <c r="N44" i="10"/>
  <c r="J115" i="26"/>
  <c r="AS23" i="10"/>
  <c r="Y15" i="31"/>
  <c r="N49" i="9"/>
  <c r="I33" i="26"/>
  <c r="L23" i="26"/>
  <c r="AT14" i="9"/>
  <c r="E26" i="28"/>
  <c r="AF35" i="35"/>
  <c r="W19" i="38"/>
  <c r="L158" i="38" s="1"/>
  <c r="I158" i="38"/>
  <c r="T28" i="38"/>
  <c r="W28" i="38" s="1"/>
  <c r="L166" i="38" s="1"/>
  <c r="L171" i="38" s="1"/>
  <c r="L206" i="38" s="1"/>
  <c r="L211" i="38" s="1"/>
  <c r="E157" i="38"/>
  <c r="F157" i="38" s="1"/>
  <c r="AA21" i="37"/>
  <c r="AH28" i="27"/>
  <c r="N19" i="26" s="1"/>
  <c r="R19" i="26" s="1"/>
  <c r="Q25" i="38"/>
  <c r="D25" i="38"/>
  <c r="P54" i="27"/>
  <c r="E19" i="26" s="1"/>
  <c r="Q19" i="26" s="1"/>
  <c r="F19" i="28"/>
  <c r="E25" i="38"/>
  <c r="E163" i="38" s="1"/>
  <c r="J19" i="28"/>
  <c r="H19" i="28"/>
  <c r="Q90" i="26"/>
  <c r="X90" i="26"/>
  <c r="G90" i="26"/>
  <c r="S90" i="26" s="1"/>
  <c r="K25" i="38"/>
  <c r="X69" i="26"/>
  <c r="Q69" i="26"/>
  <c r="AH55" i="35"/>
  <c r="AN97" i="5"/>
  <c r="L118" i="26" s="1"/>
  <c r="AM97" i="5"/>
  <c r="L100" i="26" s="1"/>
  <c r="T51" i="5"/>
  <c r="L29" i="26" s="1"/>
  <c r="R79" i="26" s="1"/>
  <c r="N29" i="28"/>
  <c r="N24" i="38" s="1"/>
  <c r="D24" i="38"/>
  <c r="F29" i="28"/>
  <c r="T102" i="5"/>
  <c r="I29" i="28"/>
  <c r="S30" i="38" l="1"/>
  <c r="S32" i="38" s="1"/>
  <c r="O151" i="38"/>
  <c r="I36" i="26"/>
  <c r="H30" i="38" s="1"/>
  <c r="H32" i="38" s="1"/>
  <c r="T30" i="38"/>
  <c r="T32" i="38" s="1"/>
  <c r="F23" i="28"/>
  <c r="D19" i="38"/>
  <c r="D158" i="38" s="1"/>
  <c r="W35" i="31"/>
  <c r="E33" i="28"/>
  <c r="N33" i="28" s="1"/>
  <c r="O112" i="26"/>
  <c r="V112" i="26"/>
  <c r="G112" i="26"/>
  <c r="S112" i="26" s="1"/>
  <c r="Q73" i="26"/>
  <c r="X73" i="26"/>
  <c r="K19" i="38"/>
  <c r="K33" i="26"/>
  <c r="K36" i="26" s="1"/>
  <c r="K30" i="38" s="1"/>
  <c r="K32" i="38" s="1"/>
  <c r="AT16" i="9"/>
  <c r="O23" i="26" s="1"/>
  <c r="S23" i="26" s="1"/>
  <c r="O115" i="26"/>
  <c r="V115" i="26"/>
  <c r="G115" i="26"/>
  <c r="S115" i="26" s="1"/>
  <c r="I21" i="38"/>
  <c r="O75" i="26"/>
  <c r="V75" i="26"/>
  <c r="N26" i="28"/>
  <c r="N23" i="38" s="1"/>
  <c r="F26" i="28"/>
  <c r="D23" i="38"/>
  <c r="D161" i="38" s="1"/>
  <c r="AH15" i="35"/>
  <c r="O44" i="10"/>
  <c r="R73" i="26"/>
  <c r="L19" i="38"/>
  <c r="Y73" i="26"/>
  <c r="L21" i="38"/>
  <c r="Y75" i="26"/>
  <c r="R75" i="26"/>
  <c r="O23" i="28"/>
  <c r="O19" i="38" s="1"/>
  <c r="Q19" i="38" s="1"/>
  <c r="E19" i="38"/>
  <c r="J23" i="28"/>
  <c r="Y35" i="31"/>
  <c r="E23" i="26"/>
  <c r="I25" i="28"/>
  <c r="H25" i="28" s="1"/>
  <c r="AB96" i="31"/>
  <c r="G114" i="26"/>
  <c r="S114" i="26" s="1"/>
  <c r="O114" i="26"/>
  <c r="V114" i="26"/>
  <c r="V73" i="26"/>
  <c r="O73" i="26"/>
  <c r="I19" i="38"/>
  <c r="J33" i="26"/>
  <c r="J36" i="26" s="1"/>
  <c r="I30" i="38" s="1"/>
  <c r="I32" i="38" s="1"/>
  <c r="N25" i="28"/>
  <c r="N21" i="38" s="1"/>
  <c r="F25" i="28"/>
  <c r="D21" i="38"/>
  <c r="D160" i="38" s="1"/>
  <c r="AC77" i="31"/>
  <c r="P47" i="15"/>
  <c r="AG35" i="35"/>
  <c r="I26" i="28"/>
  <c r="H26" i="28" s="1"/>
  <c r="V76" i="26"/>
  <c r="I23" i="38"/>
  <c r="O76" i="26"/>
  <c r="N24" i="28"/>
  <c r="N20" i="38" s="1"/>
  <c r="Q20" i="38" s="1"/>
  <c r="D20" i="38"/>
  <c r="F24" i="28"/>
  <c r="H24" i="28"/>
  <c r="S158" i="38"/>
  <c r="S166" i="38" s="1"/>
  <c r="I166" i="38"/>
  <c r="AT18" i="15"/>
  <c r="O25" i="26" s="1"/>
  <c r="S25" i="26" s="1"/>
  <c r="H23" i="28"/>
  <c r="Q75" i="26"/>
  <c r="K21" i="38"/>
  <c r="X75" i="26"/>
  <c r="AN99" i="5"/>
  <c r="N33" i="26"/>
  <c r="N36" i="26" s="1"/>
  <c r="F19" i="26"/>
  <c r="F25" i="38"/>
  <c r="D163" i="38"/>
  <c r="F163" i="38" s="1"/>
  <c r="AM99" i="5"/>
  <c r="L33" i="26"/>
  <c r="L36" i="26" s="1"/>
  <c r="L30" i="38" s="1"/>
  <c r="L32" i="38" s="1"/>
  <c r="Y79" i="26"/>
  <c r="L24" i="38"/>
  <c r="G100" i="26"/>
  <c r="R100" i="26"/>
  <c r="R103" i="26" s="1"/>
  <c r="L103" i="26"/>
  <c r="G118" i="26"/>
  <c r="L121" i="26"/>
  <c r="R118" i="26"/>
  <c r="E29" i="26"/>
  <c r="AJ102" i="5"/>
  <c r="O29" i="26" s="1"/>
  <c r="D162" i="38"/>
  <c r="O29" i="28"/>
  <c r="O24" i="38" s="1"/>
  <c r="Q24" i="38" s="1"/>
  <c r="E24" i="38"/>
  <c r="J29" i="28"/>
  <c r="E35" i="28" l="1"/>
  <c r="D30" i="38" s="1"/>
  <c r="D32" i="38" s="1"/>
  <c r="K28" i="38"/>
  <c r="I28" i="38"/>
  <c r="R121" i="26"/>
  <c r="F33" i="28"/>
  <c r="R83" i="26"/>
  <c r="Y83" i="26" s="1"/>
  <c r="Q79" i="38" s="1"/>
  <c r="I33" i="28"/>
  <c r="H33" i="28" s="1"/>
  <c r="E158" i="38"/>
  <c r="F158" i="38" s="1"/>
  <c r="F19" i="38"/>
  <c r="AH35" i="35"/>
  <c r="E26" i="26"/>
  <c r="E25" i="26"/>
  <c r="AC96" i="31"/>
  <c r="D159" i="38"/>
  <c r="F159" i="38" s="1"/>
  <c r="F20" i="38"/>
  <c r="D28" i="38"/>
  <c r="O76" i="38" s="1"/>
  <c r="L28" i="38"/>
  <c r="O26" i="28"/>
  <c r="O23" i="38" s="1"/>
  <c r="Q23" i="38" s="1"/>
  <c r="J26" i="28"/>
  <c r="E23" i="38"/>
  <c r="O25" i="28"/>
  <c r="O21" i="38" s="1"/>
  <c r="Q21" i="38" s="1"/>
  <c r="E21" i="38"/>
  <c r="J25" i="28"/>
  <c r="F23" i="26"/>
  <c r="Q23" i="26"/>
  <c r="R33" i="26"/>
  <c r="R36" i="26" s="1"/>
  <c r="Y118" i="26"/>
  <c r="N35" i="28"/>
  <c r="N32" i="38" s="1"/>
  <c r="N28" i="38"/>
  <c r="S118" i="26"/>
  <c r="S121" i="26" s="1"/>
  <c r="E162" i="38"/>
  <c r="F24" i="38"/>
  <c r="S29" i="26"/>
  <c r="O33" i="26"/>
  <c r="Y100" i="26"/>
  <c r="Y103" i="26" s="1"/>
  <c r="Q76" i="38" s="1"/>
  <c r="Q29" i="26"/>
  <c r="F29" i="26"/>
  <c r="S100" i="26"/>
  <c r="S103" i="26" s="1"/>
  <c r="I35" i="28" l="1"/>
  <c r="E30" i="38" s="1"/>
  <c r="F30" i="38" s="1"/>
  <c r="F32" i="38" s="1"/>
  <c r="E33" i="26"/>
  <c r="E36" i="26" s="1"/>
  <c r="J33" i="28"/>
  <c r="O33" i="28"/>
  <c r="O28" i="38" s="1"/>
  <c r="Q28" i="38" s="1"/>
  <c r="Y121" i="26"/>
  <c r="Q77" i="38" s="1"/>
  <c r="Q25" i="26"/>
  <c r="F25" i="26"/>
  <c r="F26" i="26"/>
  <c r="Q26" i="26"/>
  <c r="D166" i="38"/>
  <c r="E160" i="38"/>
  <c r="F160" i="38" s="1"/>
  <c r="F21" i="38"/>
  <c r="E161" i="38"/>
  <c r="F161" i="38" s="1"/>
  <c r="F23" i="38"/>
  <c r="E28" i="38"/>
  <c r="O77" i="38" s="1"/>
  <c r="S33" i="26"/>
  <c r="S36" i="26" s="1"/>
  <c r="O36" i="26"/>
  <c r="F162" i="38"/>
  <c r="F28" i="38" l="1"/>
  <c r="O79" i="38" s="1"/>
  <c r="E32" i="38"/>
  <c r="H35" i="28"/>
  <c r="O35" i="28"/>
  <c r="O32" i="38" s="1"/>
  <c r="Q32" i="38" s="1"/>
  <c r="G34" i="26"/>
  <c r="Q33" i="26"/>
  <c r="Q36" i="26" s="1"/>
  <c r="F33" i="26"/>
  <c r="E166" i="38"/>
  <c r="F166" i="38"/>
</calcChain>
</file>

<file path=xl/comments1.xml><?xml version="1.0" encoding="utf-8"?>
<comments xmlns="http://schemas.openxmlformats.org/spreadsheetml/2006/main">
  <authors>
    <author>Martial Bernoux</author>
  </authors>
  <commentList>
    <comment ref="M8" author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<sst xmlns="http://schemas.openxmlformats.org/spreadsheetml/2006/main" count="13737" uniqueCount="6245">
  <si>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</si>
  <si>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</si>
  <si>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</si>
  <si>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</si>
  <si>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</si>
  <si>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</si>
  <si>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</si>
  <si>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</si>
  <si>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</si>
  <si>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List Veget-type  in Deforestation</t>
  </si>
  <si>
    <t>Specific Vegetation 2</t>
  </si>
  <si>
    <t>Specific Vegetation 3</t>
  </si>
  <si>
    <t>Specific Vegetation 4</t>
  </si>
  <si>
    <t>Select Use after deforestation</t>
  </si>
  <si>
    <t xml:space="preserve">List </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</si>
  <si>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</si>
  <si>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</si>
  <si>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</si>
  <si>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</si>
  <si>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</si>
  <si>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</si>
  <si>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</si>
  <si>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</si>
  <si>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</si>
  <si>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</si>
  <si>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</si>
  <si>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</si>
  <si>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</si>
  <si>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</si>
  <si>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</si>
  <si>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</si>
  <si>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</si>
  <si>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</si>
  <si>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</si>
  <si>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</si>
  <si>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</si>
  <si>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</si>
  <si>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</si>
  <si>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</si>
  <si>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</si>
  <si>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</si>
  <si>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</si>
  <si>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</si>
  <si>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</si>
  <si>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</si>
  <si>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</si>
  <si>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</si>
  <si>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</si>
  <si>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</si>
  <si>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</si>
  <si>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</si>
  <si>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</si>
  <si>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</si>
  <si>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</si>
  <si>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</si>
  <si>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</si>
  <si>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</si>
  <si>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</si>
  <si>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</si>
  <si>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</si>
  <si>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</si>
  <si>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</si>
  <si>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</si>
  <si>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</si>
  <si>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</si>
  <si>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</si>
  <si>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</si>
  <si>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</si>
  <si>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</si>
  <si>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</si>
  <si>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</si>
  <si>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</si>
  <si>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</si>
  <si>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</si>
  <si>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</si>
  <si>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</si>
  <si>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</si>
  <si>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</si>
  <si>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</si>
  <si>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</si>
  <si>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</si>
  <si>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</si>
  <si>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</si>
  <si>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</si>
  <si>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</si>
  <si>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</si>
  <si>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</si>
  <si>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</si>
  <si>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</si>
  <si>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</si>
  <si>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</si>
  <si>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</si>
  <si>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</si>
  <si>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</si>
  <si>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</si>
  <si>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Tier 1</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</si>
  <si>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</si>
  <si>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</si>
  <si>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</si>
  <si>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</si>
  <si>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</si>
  <si>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</si>
  <si>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</si>
  <si>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</si>
  <si>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</si>
  <si>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</si>
  <si>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</si>
  <si>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</si>
  <si>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</si>
  <si>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</si>
  <si>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</si>
  <si>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</si>
  <si>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</si>
  <si>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</si>
  <si>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</si>
  <si>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</si>
  <si>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</si>
  <si>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</si>
  <si>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</si>
  <si>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</si>
  <si>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</si>
  <si>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</si>
  <si>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</si>
  <si>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</si>
  <si>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</si>
  <si>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</si>
  <si>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</si>
  <si>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</si>
  <si>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medium trafic (concrete)</t>
  </si>
  <si>
    <t>Road for Intense traffic (concrete)</t>
  </si>
  <si>
    <t>Road for medium trafic (asphalt)</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</si>
  <si>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</si>
  <si>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</si>
  <si>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</si>
  <si>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</si>
  <si>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</si>
  <si>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</si>
  <si>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</si>
  <si>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</si>
  <si>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</si>
  <si>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</si>
  <si>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</si>
  <si>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</si>
  <si>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</si>
  <si>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</si>
  <si>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</si>
  <si>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</si>
  <si>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</si>
  <si>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</si>
  <si>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</si>
  <si>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</si>
  <si>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</si>
  <si>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</si>
  <si>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</si>
  <si>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</si>
  <si>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</si>
  <si>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</si>
  <si>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</si>
  <si>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</si>
  <si>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</si>
  <si>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</si>
  <si>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</si>
  <si>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</si>
  <si>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</si>
  <si>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</si>
  <si>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</si>
  <si>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</si>
  <si>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</si>
  <si>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</si>
  <si>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</si>
  <si>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</si>
  <si>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</si>
  <si>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</si>
  <si>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</si>
  <si>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</si>
  <si>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</si>
  <si>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</si>
  <si>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</si>
  <si>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</si>
  <si>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</si>
  <si>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</si>
  <si>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</si>
  <si>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</si>
  <si>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</si>
  <si>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</si>
  <si>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</si>
  <si>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</si>
  <si>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</si>
  <si>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</si>
  <si>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</si>
  <si>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</si>
  <si>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</si>
  <si>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</si>
  <si>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</si>
  <si>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</si>
  <si>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</si>
  <si>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</si>
  <si>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</si>
  <si>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</si>
  <si>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</si>
  <si>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</si>
  <si>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</si>
  <si>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</si>
  <si>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</si>
  <si>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</si>
  <si>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</si>
  <si>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</si>
  <si>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</si>
  <si>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</si>
  <si>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</si>
  <si>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</si>
  <si>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</si>
  <si>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</si>
  <si>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</si>
  <si>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</si>
  <si>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</si>
  <si>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</si>
  <si>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</si>
  <si>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</si>
  <si>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</si>
  <si>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</si>
  <si>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</si>
  <si>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</si>
  <si>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</si>
  <si>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</si>
  <si>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</si>
  <si>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</si>
  <si>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</si>
  <si>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</si>
  <si>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</si>
  <si>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</si>
  <si>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</si>
  <si>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</si>
  <si>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</si>
  <si>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</si>
  <si>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</si>
  <si>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</si>
  <si>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</si>
  <si>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</si>
  <si>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</si>
  <si>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</si>
  <si>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</si>
  <si>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</si>
  <si>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</si>
  <si>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</si>
  <si>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</si>
  <si>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</si>
  <si>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</si>
  <si>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</si>
  <si>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</si>
  <si>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</si>
  <si>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</si>
  <si>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</si>
  <si>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</si>
  <si>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</si>
  <si>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</si>
  <si>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</si>
  <si>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</si>
  <si>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</si>
  <si>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</si>
  <si>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</si>
  <si>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</si>
  <si>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</si>
  <si>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</si>
  <si>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</si>
  <si>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</si>
  <si>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</si>
  <si>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</si>
  <si>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</si>
  <si>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</si>
  <si>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</si>
  <si>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</si>
  <si>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</si>
  <si>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</si>
  <si>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</si>
  <si>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</si>
  <si>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</si>
  <si>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</si>
  <si>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</si>
  <si>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</si>
  <si>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</si>
  <si>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</si>
  <si>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</si>
  <si>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</si>
  <si>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</si>
  <si>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</si>
  <si>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</si>
  <si>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</si>
  <si>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</si>
  <si>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</si>
  <si>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</si>
  <si>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</si>
  <si>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</si>
  <si>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</si>
  <si>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</si>
  <si>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</si>
  <si>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</si>
  <si>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</si>
  <si>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</si>
  <si>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</si>
  <si>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</si>
  <si>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</si>
  <si>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</si>
  <si>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</si>
  <si>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</si>
  <si>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</si>
  <si>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</si>
  <si>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</si>
  <si>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</si>
  <si>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</si>
  <si>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</si>
  <si>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</si>
  <si>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</si>
  <si>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</si>
  <si>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</si>
  <si>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</si>
  <si>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</si>
  <si>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</si>
  <si>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</si>
  <si>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</si>
  <si>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</si>
  <si>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</si>
  <si>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</si>
  <si>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</si>
  <si>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</si>
  <si>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</si>
  <si>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</si>
  <si>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</si>
  <si>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</si>
  <si>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</si>
  <si>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</si>
  <si>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</si>
  <si>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</si>
  <si>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</si>
  <si>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</si>
  <si>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</si>
  <si>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</si>
  <si>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</si>
  <si>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</si>
  <si>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</si>
  <si>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</si>
  <si>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</si>
  <si>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</si>
  <si>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</si>
  <si>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</si>
  <si>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</si>
  <si>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</si>
  <si>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</si>
  <si>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</si>
  <si>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</si>
  <si>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</si>
  <si>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</si>
  <si>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</si>
  <si>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</si>
  <si>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</si>
  <si>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</si>
  <si>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</si>
  <si>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</si>
  <si>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</si>
  <si>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</si>
  <si>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</si>
  <si>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</si>
  <si>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</si>
  <si>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</si>
  <si>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</si>
  <si>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</si>
  <si>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</si>
  <si>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</si>
  <si>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</si>
  <si>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</si>
  <si>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</si>
  <si>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</si>
  <si>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</si>
  <si>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</si>
  <si>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</si>
  <si>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</si>
  <si>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</si>
  <si>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</si>
  <si>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</si>
  <si>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</si>
  <si>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</si>
  <si>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</si>
  <si>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</si>
  <si>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</si>
  <si>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</si>
  <si>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</si>
  <si>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</si>
  <si>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</si>
  <si>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</si>
  <si>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</si>
  <si>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</si>
  <si>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</si>
  <si>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</si>
  <si>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</si>
  <si>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</si>
  <si>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</si>
  <si>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</si>
  <si>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Forest1</t>
  </si>
  <si>
    <t>Tropical rain forest</t>
  </si>
  <si>
    <t>Subtropical humid forest</t>
  </si>
  <si>
    <t>Temperate oceanic forest</t>
  </si>
  <si>
    <t>Boreal coniferous forest</t>
  </si>
  <si>
    <t>Tropical mountain systems</t>
  </si>
  <si>
    <t>Forest2</t>
  </si>
  <si>
    <t>Tropical moist deciduous forest</t>
  </si>
  <si>
    <t>Subtropical dry forest</t>
  </si>
  <si>
    <t>Temperate continental forest</t>
  </si>
  <si>
    <t>Boreal tundra woodland</t>
  </si>
  <si>
    <t>Forest3</t>
  </si>
  <si>
    <t>Tropical dry forest</t>
  </si>
  <si>
    <t>Subtropical steppe</t>
  </si>
  <si>
    <t>Temperate mountains systems</t>
  </si>
  <si>
    <t>Boreal mountain systems</t>
  </si>
  <si>
    <t>Forest4</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</si>
  <si>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</si>
  <si>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</si>
  <si>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</si>
  <si>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</si>
  <si>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</si>
  <si>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</si>
  <si>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</si>
  <si>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</si>
  <si>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</si>
  <si>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</si>
  <si>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</si>
  <si>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</si>
  <si>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</si>
  <si>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</si>
  <si>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</si>
  <si>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</si>
  <si>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</si>
  <si>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</si>
  <si>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</si>
  <si>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</si>
  <si>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</si>
  <si>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</si>
  <si>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</si>
  <si>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</si>
  <si>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</si>
  <si>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</si>
  <si>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</si>
  <si>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</si>
  <si>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</si>
  <si>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</si>
  <si>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</si>
  <si>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</si>
  <si>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</si>
  <si>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</si>
  <si>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</si>
  <si>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</si>
  <si>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</si>
  <si>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</si>
  <si>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</si>
  <si>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</si>
  <si>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</si>
  <si>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</si>
  <si>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</si>
  <si>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</si>
  <si>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</si>
  <si>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</si>
  <si>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</si>
  <si>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</si>
  <si>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</si>
  <si>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</si>
  <si>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</si>
  <si>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</si>
  <si>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</si>
  <si>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</si>
  <si>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</si>
  <si>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</si>
  <si>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</si>
  <si>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</si>
  <si>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</si>
  <si>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</si>
  <si>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</si>
  <si>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</si>
  <si>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</si>
  <si>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</si>
  <si>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</si>
  <si>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</si>
  <si>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</si>
  <si>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</si>
  <si>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</si>
  <si>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</si>
  <si>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</si>
  <si>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</si>
  <si>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</si>
  <si>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</si>
  <si>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</si>
  <si>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</si>
  <si>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</si>
  <si>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</si>
  <si>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</si>
  <si>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</si>
  <si>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</si>
  <si>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</si>
  <si>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</si>
  <si>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</si>
  <si>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</si>
  <si>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</si>
  <si>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Plantation1</t>
  </si>
  <si>
    <t>Plantation2</t>
  </si>
  <si>
    <t>Plantation3</t>
  </si>
  <si>
    <t>Plantation4</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</si>
  <si>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</si>
  <si>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</si>
  <si>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</si>
  <si>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</si>
  <si>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</si>
  <si>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</si>
  <si>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</si>
  <si>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</si>
  <si>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</si>
  <si>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</si>
  <si>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</si>
  <si>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Tropical Montane Moist</t>
  </si>
  <si>
    <t>Tropical Montane Dry</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</si>
  <si>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</si>
  <si>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</si>
  <si>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</si>
  <si>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</si>
  <si>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</si>
  <si>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</si>
  <si>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</si>
  <si>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</si>
  <si>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</si>
  <si>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</si>
  <si>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</si>
  <si>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</si>
  <si>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</si>
  <si>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</si>
  <si>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</si>
  <si>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</si>
  <si>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</si>
  <si>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</si>
  <si>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</si>
  <si>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</si>
  <si>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</si>
  <si>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</si>
  <si>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</si>
  <si>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</si>
  <si>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</si>
  <si>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</si>
  <si>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</si>
  <si>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</si>
  <si>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</si>
  <si>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</si>
  <si>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</si>
  <si>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</si>
  <si>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</si>
  <si>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</si>
  <si>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</si>
  <si>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</si>
  <si>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</si>
  <si>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</si>
  <si>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</si>
  <si>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</si>
  <si>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</si>
  <si>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</si>
  <si>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</si>
  <si>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</si>
  <si>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</si>
  <si>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</si>
  <si>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</si>
  <si>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</si>
  <si>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</si>
  <si>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</si>
  <si>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</si>
  <si>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</si>
  <si>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</si>
  <si>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</si>
  <si>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</si>
  <si>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</si>
  <si>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</si>
  <si>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</si>
  <si>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</si>
  <si>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</si>
  <si>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</si>
  <si>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</si>
  <si>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</si>
  <si>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</si>
  <si>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</si>
  <si>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</si>
  <si>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</si>
  <si>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</si>
  <si>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</si>
  <si>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</si>
  <si>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</si>
  <si>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</si>
  <si>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</si>
  <si>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</si>
  <si>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</si>
  <si>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</si>
  <si>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</si>
  <si>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</si>
  <si>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</si>
  <si>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</si>
  <si>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</si>
  <si>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</si>
  <si>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</si>
  <si>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</si>
  <si>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</si>
  <si>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</si>
  <si>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</si>
  <si>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</si>
  <si>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</si>
  <si>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</si>
  <si>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</si>
  <si>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</si>
  <si>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</si>
  <si>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</si>
  <si>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</si>
  <si>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</si>
  <si>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</si>
  <si>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</si>
  <si>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</si>
  <si>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</si>
  <si>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</si>
  <si>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</si>
  <si>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</si>
  <si>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</si>
  <si>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</si>
  <si>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</si>
  <si>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</si>
  <si>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</si>
  <si>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</si>
  <si>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</si>
  <si>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</si>
  <si>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</si>
  <si>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</si>
  <si>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</si>
  <si>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</si>
  <si>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</si>
  <si>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</si>
  <si>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</si>
  <si>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</si>
  <si>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</si>
  <si>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</si>
  <si>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</si>
  <si>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</si>
  <si>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</si>
  <si>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</si>
  <si>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</si>
  <si>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</si>
  <si>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</si>
  <si>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</si>
  <si>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</si>
  <si>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</si>
  <si>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</si>
  <si>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</si>
  <si>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</si>
  <si>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</si>
  <si>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</si>
  <si>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</si>
  <si>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</si>
  <si>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</si>
  <si>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</si>
  <si>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</si>
  <si>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</si>
  <si>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</si>
  <si>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</si>
  <si>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</si>
  <si>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</si>
  <si>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</si>
  <si>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</si>
  <si>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</si>
  <si>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</si>
  <si>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</si>
  <si>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</si>
  <si>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</si>
  <si>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</si>
  <si>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</si>
  <si>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</si>
  <si>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</si>
  <si>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</si>
  <si>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</si>
  <si>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</si>
  <si>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</si>
  <si>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CO2eq emitted from Burning</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</si>
  <si>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</si>
  <si>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</si>
  <si>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</si>
  <si>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</si>
  <si>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</si>
  <si>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</si>
  <si>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</si>
  <si>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</si>
  <si>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</si>
  <si>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</si>
  <si>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</si>
  <si>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</si>
  <si>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</si>
  <si>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</si>
  <si>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</si>
  <si>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</si>
  <si>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</si>
  <si>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</si>
  <si>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</si>
  <si>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</si>
  <si>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</si>
  <si>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</si>
  <si>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</si>
  <si>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</si>
  <si>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</si>
  <si>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</si>
  <si>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</si>
  <si>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</si>
  <si>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</si>
  <si>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</si>
  <si>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</si>
  <si>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</si>
  <si>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</si>
  <si>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</si>
  <si>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</si>
  <si>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</si>
  <si>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</si>
  <si>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</si>
  <si>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</si>
  <si>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</si>
  <si>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</si>
  <si>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</si>
  <si>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</si>
  <si>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</si>
  <si>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</si>
  <si>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</si>
  <si>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</si>
  <si>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</si>
  <si>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</si>
  <si>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</si>
  <si>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</si>
  <si>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</si>
  <si>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</si>
  <si>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</si>
  <si>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</si>
  <si>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</si>
  <si>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</si>
  <si>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</si>
  <si>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</si>
  <si>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</si>
  <si>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</si>
  <si>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</si>
  <si>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</si>
  <si>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</si>
  <si>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</si>
  <si>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</si>
  <si>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</si>
  <si>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</si>
  <si>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</si>
  <si>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</si>
  <si>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</si>
  <si>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</si>
  <si>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</si>
  <si>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</si>
  <si>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</si>
  <si>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</si>
  <si>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</si>
  <si>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</si>
  <si>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</si>
  <si>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</si>
  <si>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</si>
  <si>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</si>
  <si>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</si>
  <si>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</si>
  <si>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</si>
  <si>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</si>
  <si>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</si>
  <si>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</si>
  <si>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</si>
  <si>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</si>
  <si>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</si>
  <si>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</si>
  <si>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</si>
  <si>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</si>
  <si>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</si>
  <si>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</si>
  <si>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</si>
  <si>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</si>
  <si>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</si>
  <si>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</si>
  <si>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</si>
  <si>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</si>
  <si>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</si>
  <si>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</si>
  <si>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</si>
  <si>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</si>
  <si>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</si>
  <si>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</si>
  <si>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</si>
  <si>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</si>
  <si>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</si>
  <si>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</si>
  <si>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</si>
  <si>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</si>
  <si>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</si>
  <si>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</si>
  <si>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</si>
  <si>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</si>
  <si>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</si>
  <si>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</si>
  <si>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</si>
  <si>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</si>
  <si>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</si>
  <si>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</si>
  <si>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</si>
  <si>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</si>
  <si>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</si>
  <si>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</si>
  <si>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</si>
  <si>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</si>
  <si>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</si>
  <si>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</si>
  <si>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</si>
  <si>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</si>
  <si>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</si>
  <si>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</si>
  <si>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</si>
  <si>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</si>
  <si>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</si>
  <si>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</si>
  <si>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</si>
  <si>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</si>
  <si>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</si>
  <si>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</si>
  <si>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</si>
  <si>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</si>
  <si>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</si>
  <si>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</si>
  <si>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</si>
  <si>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</si>
  <si>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</si>
  <si>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</si>
  <si>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</si>
  <si>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</si>
  <si>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</si>
  <si>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</si>
  <si>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</si>
  <si>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</si>
  <si>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</si>
  <si>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</si>
  <si>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</si>
  <si>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</si>
  <si>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</si>
  <si>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</si>
  <si>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</si>
  <si>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</si>
  <si>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</si>
  <si>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</si>
  <si>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</si>
  <si>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</si>
  <si>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</si>
  <si>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</si>
  <si>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</si>
  <si>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</si>
  <si>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</si>
  <si>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</si>
  <si>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</si>
  <si>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</si>
  <si>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</si>
  <si>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</si>
  <si>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</si>
  <si>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</si>
  <si>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</si>
  <si>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</si>
  <si>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</si>
  <si>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</si>
  <si>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</si>
  <si>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</si>
  <si>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</si>
  <si>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</si>
  <si>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</si>
  <si>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</si>
  <si>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</si>
  <si>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</si>
  <si>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</si>
  <si>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</si>
  <si>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</si>
  <si>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</si>
  <si>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</si>
  <si>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</si>
  <si>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</si>
  <si>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</si>
  <si>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</si>
  <si>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</si>
  <si>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</si>
  <si>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</si>
  <si>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</si>
  <si>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</si>
  <si>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</si>
  <si>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</si>
  <si>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</si>
  <si>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</si>
  <si>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</si>
  <si>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</si>
  <si>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</si>
  <si>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</si>
  <si>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</si>
  <si>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</si>
  <si>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</si>
  <si>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</si>
  <si>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</si>
  <si>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</si>
  <si>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</si>
  <si>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</si>
  <si>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</si>
  <si>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</si>
  <si>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</si>
  <si>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</si>
  <si>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</si>
  <si>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</si>
  <si>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</si>
  <si>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</si>
  <si>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</si>
  <si>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</si>
  <si>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</si>
  <si>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</si>
  <si>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</si>
  <si>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</si>
  <si>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</si>
  <si>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</si>
  <si>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</si>
  <si>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</si>
  <si>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</si>
  <si>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</si>
  <si>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</si>
  <si>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</si>
  <si>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</si>
  <si>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</si>
  <si>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</si>
  <si>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</si>
  <si>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</si>
  <si>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</si>
  <si>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</si>
  <si>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</si>
  <si>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</si>
  <si>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</si>
  <si>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</si>
  <si>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</si>
  <si>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</si>
  <si>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</si>
  <si>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</si>
  <si>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</si>
  <si>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</si>
  <si>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</si>
  <si>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</si>
  <si>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</si>
  <si>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</si>
  <si>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</si>
  <si>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</si>
  <si>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</si>
  <si>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</si>
  <si>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</si>
  <si>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</si>
  <si>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</si>
  <si>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</si>
  <si>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</si>
  <si>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</si>
  <si>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</si>
  <si>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</si>
  <si>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</si>
  <si>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</si>
  <si>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</si>
  <si>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</si>
  <si>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</si>
  <si>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</si>
  <si>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</si>
  <si>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</si>
  <si>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</si>
  <si>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</si>
  <si>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</si>
  <si>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</si>
  <si>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</si>
  <si>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</si>
  <si>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</si>
  <si>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</si>
  <si>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</si>
  <si>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</si>
  <si>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</si>
  <si>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</si>
  <si>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</si>
  <si>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</si>
  <si>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</si>
  <si>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</si>
  <si>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</si>
  <si>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</si>
  <si>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</si>
  <si>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</si>
  <si>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</si>
  <si>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</si>
  <si>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</si>
  <si>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</si>
  <si>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</si>
  <si>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</si>
  <si>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</si>
  <si>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</si>
  <si>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</si>
  <si>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</si>
  <si>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</si>
  <si>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</si>
  <si>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</si>
  <si>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</si>
  <si>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</si>
  <si>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</si>
  <si>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</si>
  <si>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</si>
  <si>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</si>
  <si>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</si>
  <si>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</si>
  <si>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</si>
  <si>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</si>
  <si>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</si>
  <si>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</si>
  <si>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</si>
  <si>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</si>
  <si>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</si>
  <si>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</si>
  <si>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</si>
  <si>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</si>
  <si>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</si>
  <si>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</si>
  <si>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</si>
  <si>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</si>
  <si>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</si>
  <si>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</si>
  <si>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</si>
  <si>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</si>
  <si>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</si>
  <si>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</si>
  <si>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</si>
  <si>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</si>
  <si>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</si>
  <si>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</si>
  <si>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</si>
  <si>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</si>
  <si>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</si>
  <si>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</si>
  <si>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</si>
  <si>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</si>
  <si>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</si>
  <si>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</si>
  <si>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</si>
  <si>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</si>
  <si>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</si>
  <si>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</si>
  <si>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</si>
  <si>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</si>
  <si>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</si>
  <si>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</si>
  <si>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</si>
  <si>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</si>
  <si>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</si>
  <si>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</si>
  <si>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</si>
  <si>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</si>
  <si>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</si>
  <si>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</si>
  <si>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</si>
  <si>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FOOD AND AGRICULTURE</t>
  </si>
  <si>
    <t>ORGANIZATION OF THE</t>
  </si>
  <si>
    <t>UNITED NATIONS</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</si>
  <si>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</si>
  <si>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</si>
  <si>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</si>
  <si>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</si>
  <si>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</si>
  <si>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</si>
  <si>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</si>
  <si>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</si>
  <si>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</si>
  <si>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</si>
  <si>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</si>
  <si>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</si>
  <si>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</si>
  <si>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</si>
  <si>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</si>
  <si>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</si>
  <si>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</si>
  <si>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</si>
  <si>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</si>
  <si>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</si>
  <si>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</si>
  <si>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</si>
  <si>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</si>
  <si>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</si>
  <si>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</si>
  <si>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</si>
  <si>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</si>
  <si>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</si>
  <si>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</si>
  <si>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</si>
  <si>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</si>
  <si>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</si>
  <si>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</si>
  <si>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</si>
  <si>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</si>
  <si>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</si>
  <si>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</si>
  <si>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</si>
  <si>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</si>
  <si>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</si>
  <si>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</si>
  <si>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</si>
  <si>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</si>
  <si>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</si>
  <si>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</si>
  <si>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</si>
  <si>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</si>
  <si>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</si>
  <si>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</si>
  <si>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</si>
  <si>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</si>
  <si>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</si>
  <si>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</si>
  <si>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</si>
  <si>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</si>
  <si>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</si>
  <si>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</si>
  <si>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</si>
  <si>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</si>
  <si>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</si>
  <si>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</si>
  <si>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</si>
  <si>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</si>
  <si>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</si>
  <si>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</si>
  <si>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</si>
  <si>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</si>
  <si>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The default (tiers 1 assumption) is that if the system</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</si>
  <si>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</si>
  <si>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</si>
  <si>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</si>
  <si>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</si>
  <si>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</si>
  <si>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</si>
  <si>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</si>
  <si>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</si>
  <si>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</si>
  <si>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</si>
  <si>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</si>
  <si>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</si>
  <si>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</si>
  <si>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</si>
  <si>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</si>
  <si>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</si>
  <si>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</si>
  <si>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</si>
  <si>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</si>
  <si>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</si>
  <si>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</si>
  <si>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</si>
  <si>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</si>
  <si>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</si>
  <si>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</si>
  <si>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</si>
  <si>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</si>
  <si>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</si>
  <si>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</si>
  <si>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</si>
  <si>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</si>
  <si>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</si>
  <si>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</si>
  <si>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</si>
  <si>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</si>
  <si>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</si>
  <si>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</si>
  <si>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</si>
  <si>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</si>
  <si>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</si>
  <si>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</si>
  <si>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</si>
  <si>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</si>
  <si>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</si>
  <si>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</si>
  <si>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</si>
  <si>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</si>
  <si>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</si>
  <si>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</si>
  <si>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</si>
  <si>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</si>
  <si>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</si>
  <si>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</si>
  <si>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</si>
  <si>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</si>
  <si>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</si>
  <si>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</si>
  <si>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</si>
  <si>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</si>
  <si>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</si>
  <si>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</si>
  <si>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</si>
  <si>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</si>
  <si>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</si>
  <si>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</si>
  <si>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</si>
  <si>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</si>
  <si>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</si>
  <si>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</si>
  <si>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</si>
  <si>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</si>
  <si>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</si>
  <si>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</si>
  <si>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</si>
  <si>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</si>
  <si>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</si>
  <si>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</si>
  <si>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</si>
  <si>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</si>
  <si>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</si>
  <si>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</si>
  <si>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</si>
  <si>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</si>
  <si>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</si>
  <si>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</si>
  <si>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</si>
  <si>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</si>
  <si>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</si>
  <si>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</si>
  <si>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</si>
  <si>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</si>
  <si>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</si>
  <si>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</si>
  <si>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</si>
  <si>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</si>
  <si>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</si>
  <si>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</si>
  <si>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</si>
  <si>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</si>
  <si>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</si>
  <si>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</si>
  <si>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</si>
  <si>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</si>
  <si>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</si>
  <si>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</si>
  <si>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</si>
  <si>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</si>
  <si>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</si>
  <si>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</si>
  <si>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</si>
  <si>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</si>
  <si>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</si>
  <si>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</si>
  <si>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</si>
  <si>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</si>
  <si>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</si>
  <si>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</si>
  <si>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</si>
  <si>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</si>
  <si>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</si>
  <si>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</si>
  <si>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</si>
  <si>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</si>
  <si>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</si>
  <si>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</si>
  <si>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</si>
  <si>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</si>
  <si>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</si>
  <si>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</si>
  <si>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</si>
  <si>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</si>
  <si>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</si>
  <si>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</si>
  <si>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</si>
  <si>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</si>
  <si>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</si>
  <si>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</si>
  <si>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</si>
  <si>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</si>
  <si>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</si>
  <si>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</si>
  <si>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</si>
  <si>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</si>
  <si>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</si>
  <si>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</si>
  <si>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</si>
  <si>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</si>
  <si>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</si>
  <si>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</si>
  <si>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</si>
  <si>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</si>
  <si>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</si>
  <si>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</si>
  <si>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</si>
  <si>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</si>
  <si>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</si>
  <si>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</si>
  <si>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</si>
  <si>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</si>
  <si>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</si>
  <si>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</si>
  <si>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</si>
  <si>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</si>
  <si>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</si>
  <si>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</si>
  <si>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</si>
  <si>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</si>
  <si>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</si>
  <si>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</si>
  <si>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</si>
  <si>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</si>
  <si>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</si>
  <si>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</si>
  <si>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</si>
  <si>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</si>
  <si>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</si>
  <si>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</si>
  <si>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</si>
  <si>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</si>
  <si>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</si>
  <si>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</si>
  <si>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</si>
  <si>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</si>
  <si>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</si>
  <si>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</si>
  <si>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</si>
  <si>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</si>
  <si>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</si>
  <si>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</si>
  <si>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</si>
  <si>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</si>
  <si>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</si>
  <si>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</si>
  <si>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</si>
  <si>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</si>
  <si>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</si>
  <si>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</si>
  <si>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</si>
  <si>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</si>
  <si>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</si>
  <si>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</si>
  <si>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</si>
  <si>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</si>
  <si>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</si>
  <si>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</si>
  <si>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</si>
  <si>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</si>
  <si>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</si>
  <si>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</si>
  <si>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</si>
  <si>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Last 5 yr (2006-2010)</t>
  </si>
  <si>
    <t>Last 20 yr (1991-2010)</t>
  </si>
  <si>
    <t>Last 25yr (1986-2010)</t>
  </si>
  <si>
    <t>1961-1985</t>
  </si>
  <si>
    <t>Chain</t>
  </si>
  <si>
    <t>area</t>
  </si>
  <si>
    <t>item</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</si>
  <si>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</si>
  <si>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</si>
  <si>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</si>
  <si>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</si>
  <si>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</si>
  <si>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</si>
  <si>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</si>
  <si>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</si>
  <si>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</si>
  <si>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</si>
  <si>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</si>
  <si>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</si>
  <si>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</si>
  <si>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</si>
  <si>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</si>
  <si>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</si>
  <si>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</si>
  <si>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</si>
  <si>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</si>
  <si>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</si>
  <si>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</si>
  <si>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</si>
  <si>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</si>
  <si>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</si>
  <si>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</si>
  <si>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</si>
  <si>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</si>
  <si>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</si>
  <si>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</si>
  <si>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</si>
  <si>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</si>
  <si>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</si>
  <si>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</si>
  <si>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</si>
  <si>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</si>
  <si>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</si>
  <si>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</si>
  <si>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</si>
  <si>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</si>
  <si>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</si>
  <si>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</si>
  <si>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</si>
  <si>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</si>
  <si>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</si>
  <si>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</si>
  <si>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</si>
  <si>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</si>
  <si>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</si>
  <si>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</si>
  <si>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</si>
  <si>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</si>
  <si>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</si>
  <si>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</si>
  <si>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</si>
  <si>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</si>
  <si>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</si>
  <si>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</si>
  <si>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</si>
  <si>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</si>
  <si>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</si>
  <si>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</si>
  <si>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</si>
  <si>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</si>
  <si>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</si>
  <si>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</si>
  <si>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</si>
  <si>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Cereals (Rice Milled Eqv</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</si>
  <si>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</si>
  <si>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</si>
  <si>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</si>
  <si>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</si>
  <si>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</si>
  <si>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</si>
  <si>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</si>
  <si>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</si>
  <si>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</si>
  <si>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</si>
  <si>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</si>
  <si>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</si>
  <si>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</si>
  <si>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</si>
  <si>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</si>
  <si>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</si>
  <si>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</si>
  <si>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</si>
  <si>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</si>
  <si>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</si>
  <si>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</si>
  <si>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</si>
  <si>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</si>
  <si>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</si>
  <si>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</si>
  <si>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</si>
  <si>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</si>
  <si>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</si>
  <si>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</si>
  <si>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</si>
  <si>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</si>
  <si>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</si>
  <si>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</si>
  <si>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</si>
  <si>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</si>
  <si>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</si>
  <si>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</si>
  <si>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</si>
  <si>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</si>
  <si>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</si>
  <si>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</si>
  <si>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</si>
  <si>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</si>
  <si>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</si>
  <si>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</si>
  <si>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</si>
  <si>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</si>
  <si>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</si>
  <si>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</si>
  <si>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</si>
  <si>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</si>
  <si>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</si>
  <si>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</si>
  <si>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</si>
  <si>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</si>
  <si>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</si>
  <si>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</si>
  <si>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</si>
  <si>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</si>
  <si>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</si>
  <si>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</si>
  <si>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</si>
  <si>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</si>
  <si>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</si>
  <si>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</si>
  <si>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</si>
  <si>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</si>
  <si>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</si>
  <si>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</si>
  <si>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</si>
  <si>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</si>
  <si>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</si>
  <si>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</si>
  <si>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</si>
  <si>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</si>
  <si>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</si>
  <si>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</si>
  <si>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</si>
  <si>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</si>
  <si>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</si>
  <si>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</si>
  <si>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</si>
  <si>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</si>
  <si>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</si>
  <si>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</si>
  <si>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</si>
  <si>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</si>
  <si>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</si>
  <si>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</si>
  <si>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</si>
  <si>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</si>
  <si>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</si>
  <si>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</si>
  <si>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</si>
  <si>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</si>
  <si>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</si>
  <si>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</si>
  <si>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</si>
  <si>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</si>
  <si>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</si>
  <si>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</si>
  <si>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</si>
  <si>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</si>
  <si>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</si>
  <si>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</si>
  <si>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</si>
  <si>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</si>
  <si>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</si>
  <si>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</si>
  <si>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</si>
  <si>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</si>
  <si>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</si>
  <si>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</si>
  <si>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</si>
  <si>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</si>
  <si>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</si>
  <si>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</si>
  <si>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</si>
  <si>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</si>
  <si>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</si>
  <si>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</si>
  <si>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</si>
  <si>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</si>
  <si>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</si>
  <si>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</si>
  <si>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</si>
  <si>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</si>
  <si>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</si>
  <si>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</si>
  <si>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</si>
  <si>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</si>
  <si>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</si>
  <si>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Residues/Biomass available for burning</t>
  </si>
  <si>
    <t>(t Dry Matter per ha)</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</si>
  <si>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</si>
  <si>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</si>
  <si>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</si>
  <si>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</si>
  <si>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</si>
  <si>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</si>
  <si>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</si>
  <si>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</si>
  <si>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</si>
  <si>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</si>
  <si>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</si>
  <si>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</si>
  <si>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</si>
  <si>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</si>
  <si>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</si>
  <si>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</si>
  <si>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</si>
  <si>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</si>
  <si>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</si>
  <si>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</si>
  <si>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</si>
  <si>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</si>
  <si>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</si>
  <si>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</si>
  <si>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</si>
  <si>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</si>
  <si>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</si>
  <si>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</si>
  <si>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</si>
  <si>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</si>
  <si>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</si>
  <si>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</si>
  <si>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</si>
  <si>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</si>
  <si>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</si>
  <si>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</si>
  <si>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</si>
  <si>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</si>
  <si>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</si>
  <si>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</si>
  <si>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</si>
  <si>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</si>
  <si>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</si>
  <si>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</si>
  <si>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</si>
  <si>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</si>
  <si>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</si>
  <si>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</si>
  <si>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</si>
  <si>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</si>
  <si>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</si>
  <si>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</si>
  <si>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</si>
  <si>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</si>
  <si>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</si>
  <si>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</si>
  <si>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</si>
  <si>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</si>
  <si>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</si>
  <si>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</si>
  <si>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</si>
  <si>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</si>
  <si>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</si>
  <si>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</si>
  <si>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</si>
  <si>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</si>
  <si>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</si>
  <si>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</si>
  <si>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</si>
  <si>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</si>
  <si>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</si>
  <si>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</si>
  <si>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</si>
  <si>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</si>
  <si>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</si>
  <si>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</si>
  <si>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</si>
  <si>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</si>
  <si>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</si>
  <si>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</si>
  <si>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</si>
  <si>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</si>
  <si>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</si>
  <si>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</si>
  <si>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</si>
  <si>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</si>
  <si>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</si>
  <si>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</si>
  <si>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</si>
  <si>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</si>
  <si>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</si>
  <si>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</si>
  <si>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</si>
  <si>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3.3. Flooded Rice systems</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</si>
  <si>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</si>
  <si>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</si>
  <si>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</si>
  <si>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</si>
  <si>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</si>
  <si>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</si>
  <si>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</si>
  <si>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</si>
  <si>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</si>
  <si>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</si>
  <si>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</si>
  <si>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</si>
  <si>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Lang002</t>
  </si>
  <si>
    <t>Lang003</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</si>
  <si>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</si>
  <si>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</si>
  <si>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</si>
  <si>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</si>
  <si>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</si>
  <si>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</si>
  <si>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</si>
  <si>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</si>
  <si>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</si>
  <si>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</si>
  <si>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</si>
  <si>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</si>
  <si>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</si>
  <si>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</si>
  <si>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</si>
  <si>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</si>
  <si>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</si>
  <si>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</si>
  <si>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</si>
  <si>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</si>
  <si>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</si>
  <si>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</si>
  <si>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</si>
  <si>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</si>
  <si>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</si>
  <si>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</si>
  <si>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5.1. Forest degradation and Management</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</si>
  <si>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</si>
  <si>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</si>
  <si>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</si>
  <si>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</si>
  <si>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</si>
  <si>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</si>
  <si>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</si>
  <si>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</si>
  <si>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</si>
  <si>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</si>
  <si>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</si>
  <si>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</si>
  <si>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</si>
  <si>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</si>
  <si>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</si>
  <si>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</si>
  <si>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</si>
  <si>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</si>
  <si>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</si>
  <si>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</si>
  <si>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</si>
  <si>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</si>
  <si>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</si>
  <si>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r>
      <t>HWP</t>
    </r>
    <r>
      <rPr>
        <vertAlign val="superscript"/>
        <sz val="10"/>
        <rFont val="Arial"/>
        <family val="2"/>
      </rPr>
      <t>#</t>
    </r>
  </si>
  <si>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</si>
  <si>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</si>
  <si>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</si>
  <si>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</si>
  <si>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</si>
  <si>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</si>
  <si>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</si>
  <si>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</si>
  <si>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</si>
  <si>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</si>
  <si>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</si>
  <si>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</si>
  <si>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</si>
  <si>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</si>
  <si>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</si>
  <si>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</si>
  <si>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</si>
  <si>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</si>
  <si>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</si>
  <si>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</si>
  <si>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</si>
  <si>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</si>
  <si>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</si>
  <si>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</si>
  <si>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</si>
  <si>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</si>
  <si>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</si>
  <si>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</si>
  <si>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</si>
  <si>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</si>
  <si>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</si>
  <si>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</si>
  <si>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</si>
  <si>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</si>
  <si>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</si>
  <si>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</si>
  <si>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</si>
  <si>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</si>
  <si>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</si>
  <si>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</si>
  <si>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</si>
  <si>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</si>
  <si>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</si>
  <si>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</si>
  <si>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</si>
  <si>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</si>
  <si>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</si>
  <si>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</si>
  <si>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</si>
  <si>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</si>
  <si>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</si>
  <si>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</si>
  <si>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</si>
  <si>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</si>
  <si>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</si>
  <si>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</si>
  <si>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</si>
  <si>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</si>
  <si>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</si>
  <si>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</si>
  <si>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</si>
  <si>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</si>
  <si>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</si>
  <si>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</si>
  <si>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</si>
  <si>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</si>
  <si>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</si>
  <si>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</si>
  <si>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</si>
  <si>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</si>
  <si>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</si>
  <si>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</si>
  <si>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</si>
  <si>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</si>
  <si>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</si>
  <si>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</si>
  <si>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</si>
  <si>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</si>
  <si>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</si>
  <si>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</si>
  <si>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</si>
  <si>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</si>
  <si>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</si>
  <si>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</si>
  <si>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</si>
  <si>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</si>
  <si>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</si>
  <si>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</si>
  <si>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</si>
  <si>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</si>
  <si>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</si>
  <si>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</si>
  <si>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</si>
  <si>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</si>
  <si>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</si>
  <si>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</si>
  <si>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</si>
  <si>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</si>
  <si>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</si>
  <si>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r>
      <t xml:space="preserve">(Les </t>
    </r>
    <r>
      <rPr>
        <sz val="10"/>
        <rFont val="Arial"/>
        <family val="2"/>
      </rPr>
      <t>valeurs par défaut sont fournis pour votre information seulement,EX-ACT utilisera les valeurs de niveau 2 automatiquement dès qu'elles sont spécifiées)</t>
    </r>
  </si>
  <si>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</si>
  <si>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</si>
  <si>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</si>
  <si>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</si>
  <si>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</si>
  <si>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</si>
  <si>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</si>
  <si>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</si>
  <si>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</si>
  <si>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</si>
  <si>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</si>
  <si>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</si>
  <si>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</si>
  <si>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</si>
  <si>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</si>
  <si>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Initial = Final: Vérifiez!</t>
  </si>
  <si>
    <t>3. Cropland</t>
  </si>
  <si>
    <t>Yield?</t>
  </si>
  <si>
    <t>NoTill./residues management</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</si>
  <si>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</si>
  <si>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</si>
  <si>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</si>
  <si>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</si>
  <si>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</si>
  <si>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</si>
  <si>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</si>
  <si>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</si>
  <si>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</si>
  <si>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</si>
  <si>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</si>
  <si>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</si>
  <si>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Meilleur pratique agronomiques</t>
  </si>
  <si>
    <t>Gestion des engrais</t>
  </si>
  <si>
    <t>Non labour / gestion des paillis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</si>
  <si>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</si>
  <si>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</si>
  <si>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</si>
  <si>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</si>
  <si>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</si>
  <si>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</si>
  <si>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</si>
  <si>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</si>
  <si>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</si>
  <si>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</si>
  <si>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</si>
  <si>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</si>
  <si>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</si>
  <si>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</si>
  <si>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</si>
  <si>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</si>
  <si>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</si>
  <si>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</si>
  <si>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</si>
  <si>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</si>
  <si>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</si>
  <si>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</si>
  <si>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</si>
  <si>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</si>
  <si>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</si>
  <si>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</si>
  <si>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</si>
  <si>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</si>
  <si>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</si>
  <si>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</si>
  <si>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</si>
  <si>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</si>
  <si>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</si>
  <si>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</si>
  <si>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</si>
  <si>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</si>
  <si>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</si>
  <si>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</si>
  <si>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</si>
  <si>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</si>
  <si>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</si>
  <si>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</si>
  <si>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</si>
  <si>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</si>
  <si>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</si>
  <si>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</si>
  <si>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</si>
  <si>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</si>
  <si>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</si>
  <si>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</si>
  <si>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</si>
  <si>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</si>
  <si>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</si>
  <si>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</si>
  <si>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</si>
  <si>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</si>
  <si>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</si>
  <si>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</si>
  <si>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</si>
  <si>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</si>
  <si>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</si>
  <si>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</si>
  <si>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</si>
  <si>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</si>
  <si>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</si>
  <si>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</si>
  <si>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</si>
  <si>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</si>
  <si>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</si>
  <si>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</si>
  <si>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</si>
  <si>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</si>
  <si>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</si>
  <si>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</si>
  <si>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</si>
  <si>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</si>
  <si>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</si>
  <si>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</si>
  <si>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</si>
  <si>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</si>
  <si>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</si>
  <si>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</si>
  <si>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</si>
  <si>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</si>
  <si>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</si>
  <si>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</si>
  <si>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</si>
  <si>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</si>
  <si>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</si>
  <si>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</si>
  <si>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</si>
  <si>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</si>
  <si>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</si>
  <si>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</si>
  <si>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</si>
  <si>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</si>
  <si>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</si>
  <si>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</si>
  <si>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</si>
  <si>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</si>
  <si>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</si>
  <si>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</si>
  <si>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</si>
  <si>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</si>
  <si>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</si>
  <si>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</si>
  <si>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</si>
  <si>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</si>
  <si>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</si>
  <si>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</si>
  <si>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</si>
  <si>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</si>
  <si>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</si>
  <si>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</si>
  <si>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</si>
  <si>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</si>
  <si>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</si>
  <si>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</si>
  <si>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</si>
  <si>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</si>
  <si>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</si>
  <si>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</si>
  <si>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</si>
  <si>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</si>
  <si>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</si>
  <si>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</si>
  <si>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</si>
  <si>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</si>
  <si>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</si>
  <si>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</si>
  <si>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</si>
  <si>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</si>
  <si>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</si>
  <si>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</si>
  <si>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</si>
  <si>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 Degradation</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</si>
  <si>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</si>
  <si>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</si>
  <si>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</si>
  <si>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</si>
  <si>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</si>
  <si>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</si>
  <si>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</si>
  <si>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</si>
  <si>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</si>
  <si>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</si>
  <si>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</si>
  <si>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</si>
  <si>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</si>
  <si>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</si>
  <si>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</si>
  <si>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</si>
  <si>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</si>
  <si>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</si>
  <si>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</si>
  <si>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</si>
  <si>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</si>
  <si>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</si>
  <si>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</si>
  <si>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</si>
  <si>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</si>
  <si>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</si>
  <si>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</si>
  <si>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</si>
  <si>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</si>
  <si>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</si>
  <si>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</si>
  <si>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</si>
  <si>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</si>
  <si>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</si>
  <si>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</si>
  <si>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</si>
  <si>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</si>
  <si>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</si>
  <si>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</si>
  <si>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</si>
  <si>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</si>
  <si>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</si>
  <si>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</si>
  <si>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</si>
  <si>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</si>
  <si>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</si>
  <si>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</si>
  <si>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</si>
  <si>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</si>
  <si>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</si>
  <si>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</si>
  <si>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</si>
  <si>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</si>
  <si>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</si>
  <si>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Autres engrais non-azotés (tonnes de N par an)</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</si>
  <si>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</si>
  <si>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</si>
  <si>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</si>
  <si>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</si>
  <si>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</si>
  <si>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</si>
  <si>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</si>
  <si>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</si>
  <si>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</si>
  <si>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</si>
  <si>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</si>
  <si>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</si>
  <si>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</si>
  <si>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</si>
  <si>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</si>
  <si>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</si>
  <si>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</si>
  <si>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</si>
  <si>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</si>
  <si>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</si>
  <si>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</si>
  <si>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</si>
  <si>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</si>
  <si>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</si>
  <si>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</si>
  <si>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</si>
  <si>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</si>
  <si>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</si>
  <si>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</si>
  <si>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</si>
  <si>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</si>
  <si>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</si>
  <si>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</si>
  <si>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</si>
  <si>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</si>
  <si>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</si>
  <si>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</si>
  <si>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</si>
  <si>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</si>
  <si>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</si>
  <si>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</si>
  <si>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</si>
  <si>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</si>
  <si>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</si>
  <si>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</si>
  <si>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</si>
  <si>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</si>
  <si>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</si>
  <si>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</si>
  <si>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</si>
  <si>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</si>
  <si>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</si>
  <si>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Route pour trafic moyen (béton)</t>
  </si>
  <si>
    <t>Route pour trafic moyen (asphalte)</t>
  </si>
  <si>
    <t>Route pour trafic intense (béton)</t>
  </si>
  <si>
    <t>Route pour trafic intense (asphalte)</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</si>
  <si>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</si>
  <si>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</si>
  <si>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</si>
  <si>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</si>
  <si>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</si>
  <si>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</si>
  <si>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</si>
  <si>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</si>
  <si>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</si>
  <si>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</si>
  <si>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</si>
  <si>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</si>
  <si>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</si>
  <si>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</si>
  <si>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</si>
  <si>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r>
      <t>Le retrait de CO2</t>
    </r>
    <r>
      <rPr>
        <sz val="10"/>
        <rFont val="Arial"/>
        <family val="2"/>
      </rPr>
      <t xml:space="preserve"> de l'atmosphère lors de la fabrication de l'urée est estimé dans le secteur des  procédés industriels par le pays où l'urée est produite.</t>
    </r>
  </si>
  <si>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</si>
  <si>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</si>
  <si>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</si>
  <si>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</si>
  <si>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</si>
  <si>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</si>
  <si>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</si>
  <si>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</si>
  <si>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</si>
  <si>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</si>
  <si>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</si>
  <si>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</si>
  <si>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</si>
  <si>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</si>
  <si>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</si>
  <si>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</si>
  <si>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</si>
  <si>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</si>
  <si>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</si>
  <si>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</si>
  <si>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</si>
  <si>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</si>
  <si>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</si>
  <si>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</si>
  <si>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</si>
  <si>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</si>
  <si>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</si>
  <si>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</si>
  <si>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</si>
  <si>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</si>
  <si>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</si>
  <si>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</si>
  <si>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</si>
  <si>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</si>
  <si>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</si>
  <si>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</si>
  <si>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</si>
  <si>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</si>
  <si>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</si>
  <si>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</si>
  <si>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</si>
  <si>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</si>
  <si>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</si>
  <si>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</si>
  <si>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</si>
  <si>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</si>
  <si>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</si>
  <si>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</si>
  <si>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</si>
  <si>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</si>
  <si>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</si>
  <si>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</si>
  <si>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</si>
  <si>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</si>
  <si>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</si>
  <si>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</si>
  <si>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</si>
  <si>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</si>
  <si>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</si>
  <si>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</si>
  <si>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</si>
  <si>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</si>
  <si>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</si>
  <si>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</si>
  <si>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</si>
  <si>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</si>
  <si>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</si>
  <si>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</si>
  <si>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</si>
  <si>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</si>
  <si>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</si>
  <si>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</si>
  <si>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</si>
  <si>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</si>
  <si>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</si>
  <si>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</si>
  <si>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</si>
  <si>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</si>
  <si>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</si>
  <si>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</si>
  <si>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</si>
  <si>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</si>
  <si>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</si>
  <si>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</si>
  <si>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</si>
  <si>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</si>
  <si>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</si>
  <si>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</si>
  <si>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</si>
  <si>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</si>
  <si>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</si>
  <si>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</si>
  <si>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</si>
  <si>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</si>
  <si>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</si>
  <si>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</si>
  <si>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</si>
  <si>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</si>
  <si>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</si>
  <si>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</si>
  <si>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</si>
  <si>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</si>
  <si>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</si>
  <si>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</si>
  <si>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</si>
  <si>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</si>
  <si>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</si>
  <si>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</si>
  <si>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</si>
  <si>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</si>
  <si>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</si>
  <si>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</si>
  <si>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</si>
  <si>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</si>
  <si>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</si>
  <si>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</si>
  <si>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</si>
  <si>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</si>
  <si>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</si>
  <si>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</si>
  <si>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</si>
  <si>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</si>
  <si>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</si>
  <si>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</si>
  <si>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</si>
  <si>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</si>
  <si>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</si>
  <si>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</si>
  <si>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</si>
  <si>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</si>
  <si>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</si>
  <si>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</si>
  <si>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</si>
  <si>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</si>
  <si>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</si>
  <si>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</si>
  <si>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Traduction des champs: "Début", "Description", "Changement d'usage", "Production agricole", "Patûrage/Elevage", "Dégradation et gestion", "Intrants et Investissements" et "Résultats détaillés"</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</si>
  <si>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</si>
  <si>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</si>
  <si>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</si>
  <si>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</si>
  <si>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</si>
  <si>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</si>
  <si>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</si>
  <si>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</si>
  <si>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</si>
  <si>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</si>
  <si>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</si>
  <si>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</si>
  <si>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</si>
  <si>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</si>
  <si>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</si>
  <si>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</si>
  <si>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</si>
  <si>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</si>
  <si>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</si>
  <si>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</si>
  <si>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</si>
  <si>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</si>
  <si>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</si>
  <si>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</si>
  <si>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</si>
  <si>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</si>
  <si>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</si>
  <si>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</si>
  <si>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</si>
  <si>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</si>
  <si>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</si>
  <si>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</si>
  <si>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</si>
  <si>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</si>
  <si>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</si>
  <si>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</si>
  <si>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</si>
  <si>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</si>
  <si>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</si>
  <si>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</si>
  <si>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</si>
  <si>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</si>
  <si>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</si>
  <si>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</si>
  <si>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</si>
  <si>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</si>
  <si>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</si>
  <si>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</si>
  <si>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</si>
  <si>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</si>
  <si>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</si>
  <si>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</si>
  <si>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</si>
  <si>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</si>
  <si>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</si>
  <si>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</si>
  <si>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</si>
  <si>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</si>
  <si>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</si>
  <si>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</si>
  <si>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</si>
  <si>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</si>
  <si>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</si>
  <si>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</si>
  <si>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</si>
  <si>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</si>
  <si>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</si>
  <si>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</si>
  <si>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</si>
  <si>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</si>
  <si>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</si>
  <si>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</si>
  <si>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</si>
  <si>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</si>
  <si>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</si>
  <si>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</si>
  <si>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</si>
  <si>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</si>
  <si>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</si>
  <si>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</si>
  <si>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</si>
  <si>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</si>
  <si>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</si>
  <si>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</si>
  <si>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</si>
  <si>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</si>
  <si>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</si>
  <si>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</si>
  <si>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</si>
  <si>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</si>
  <si>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</si>
  <si>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</si>
  <si>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</si>
  <si>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</si>
  <si>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</si>
  <si>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</si>
  <si>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</si>
  <si>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</si>
  <si>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</si>
  <si>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</si>
  <si>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</si>
  <si>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</si>
  <si>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</si>
  <si>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</si>
  <si>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</si>
  <si>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</si>
  <si>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</si>
  <si>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</si>
  <si>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</si>
  <si>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</si>
  <si>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</si>
  <si>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</si>
  <si>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</si>
  <si>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</si>
  <si>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</si>
  <si>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</si>
  <si>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</si>
  <si>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</si>
  <si>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</si>
  <si>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</si>
  <si>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</si>
  <si>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</si>
  <si>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</si>
  <si>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</si>
  <si>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</si>
  <si>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</si>
  <si>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</si>
  <si>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</si>
  <si>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</si>
  <si>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</si>
  <si>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</si>
  <si>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</si>
  <si>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</si>
  <si>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</si>
  <si>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</si>
  <si>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</si>
  <si>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</si>
  <si>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</si>
  <si>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</si>
  <si>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</si>
  <si>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</si>
  <si>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</si>
  <si>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</si>
  <si>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</si>
  <si>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</si>
  <si>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</si>
  <si>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</si>
  <si>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</si>
  <si>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</si>
  <si>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</si>
  <si>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</si>
  <si>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</si>
  <si>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</si>
  <si>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</si>
  <si>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Dernières 5 années (2006-2010)</t>
  </si>
  <si>
    <t>Dernières 10 années (2001-2010)</t>
  </si>
  <si>
    <t>Dernières 20 années (1991-2010)</t>
  </si>
  <si>
    <t>Dernières 25 années (1986-2010)</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</si>
  <si>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</si>
  <si>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</si>
  <si>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</si>
  <si>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</si>
  <si>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</si>
  <si>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</si>
  <si>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</si>
  <si>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</si>
  <si>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</si>
  <si>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</si>
  <si>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</si>
  <si>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</si>
  <si>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</si>
  <si>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</si>
  <si>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</si>
  <si>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</si>
  <si>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</si>
  <si>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</si>
  <si>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</si>
  <si>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</si>
  <si>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</si>
  <si>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</si>
  <si>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</si>
  <si>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</si>
  <si>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</si>
  <si>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</si>
  <si>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</si>
  <si>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</si>
  <si>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</si>
  <si>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(S=yes/N=no)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</si>
  <si>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</si>
  <si>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</si>
  <si>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</si>
  <si>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</si>
  <si>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</si>
  <si>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</si>
  <si>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</si>
  <si>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</si>
  <si>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</si>
  <si>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</si>
  <si>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</si>
  <si>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</si>
  <si>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</si>
  <si>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</si>
  <si>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</si>
  <si>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</si>
  <si>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</si>
  <si>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</si>
  <si>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</si>
  <si>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</si>
  <si>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</si>
  <si>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</si>
  <si>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</si>
  <si>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</si>
  <si>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</si>
  <si>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</si>
  <si>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</si>
  <si>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</si>
  <si>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</si>
  <si>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</si>
  <si>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</si>
  <si>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</si>
  <si>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</si>
  <si>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</si>
  <si>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</si>
  <si>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</si>
  <si>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</si>
  <si>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</si>
  <si>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</si>
  <si>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</si>
  <si>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</si>
  <si>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</si>
  <si>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</si>
  <si>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</si>
  <si>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</si>
  <si>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</si>
  <si>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</si>
  <si>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</si>
  <si>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</si>
  <si>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</si>
  <si>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</si>
  <si>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</si>
  <si>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</si>
  <si>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</si>
  <si>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</si>
  <si>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</si>
  <si>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</si>
  <si>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</si>
  <si>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</si>
  <si>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</si>
  <si>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</si>
  <si>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</si>
  <si>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</si>
  <si>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</si>
  <si>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</si>
  <si>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</si>
  <si>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</si>
  <si>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</si>
  <si>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</si>
  <si>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</si>
  <si>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</si>
  <si>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</si>
  <si>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</si>
  <si>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</si>
  <si>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</si>
  <si>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</si>
  <si>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</si>
  <si>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</si>
  <si>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</si>
  <si>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</si>
  <si>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</si>
  <si>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</si>
  <si>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</si>
  <si>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</si>
  <si>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</si>
  <si>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</si>
  <si>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</si>
  <si>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Escolhar o uso inicial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</si>
  <si>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</si>
  <si>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</si>
  <si>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</si>
  <si>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</si>
  <si>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</si>
  <si>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</si>
  <si>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</si>
  <si>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</si>
  <si>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</si>
  <si>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</si>
  <si>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</si>
  <si>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</si>
  <si>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</si>
  <si>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</si>
  <si>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</si>
  <si>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</si>
  <si>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</si>
  <si>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</si>
  <si>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</si>
  <si>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</si>
  <si>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</si>
  <si>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</si>
  <si>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</si>
  <si>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</si>
  <si>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</si>
  <si>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</si>
  <si>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</si>
  <si>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</si>
  <si>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</si>
  <si>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</si>
  <si>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</si>
  <si>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</si>
  <si>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</si>
  <si>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</si>
  <si>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</si>
  <si>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</si>
  <si>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</si>
  <si>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</si>
  <si>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</si>
  <si>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</si>
  <si>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</si>
  <si>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</si>
  <si>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</si>
  <si>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</si>
  <si>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</si>
  <si>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</si>
  <si>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</si>
  <si>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</si>
  <si>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</si>
  <si>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</si>
  <si>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</si>
  <si>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</si>
  <si>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</si>
  <si>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</si>
  <si>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</si>
  <si>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</si>
  <si>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</si>
  <si>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</si>
  <si>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</si>
  <si>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Версия 6.0 - Многоязычное издание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</si>
  <si>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</si>
  <si>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</si>
  <si>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</si>
  <si>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</si>
  <si>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</si>
  <si>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</si>
  <si>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</si>
  <si>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</si>
  <si>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</si>
  <si>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</si>
  <si>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</si>
  <si>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</si>
  <si>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</si>
  <si>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</si>
  <si>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</si>
  <si>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</si>
  <si>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</si>
  <si>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</si>
  <si>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</si>
  <si>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</si>
  <si>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</si>
  <si>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</si>
  <si>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</si>
  <si>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</si>
  <si>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</si>
  <si>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</si>
  <si>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</si>
  <si>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</si>
  <si>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</si>
  <si>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</si>
  <si>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</si>
  <si>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</si>
  <si>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</si>
  <si>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</si>
  <si>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</si>
  <si>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</si>
  <si>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</si>
  <si>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</si>
  <si>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</si>
  <si>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</si>
  <si>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</si>
  <si>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</si>
  <si>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</si>
  <si>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</si>
  <si>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</si>
  <si>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</si>
  <si>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</si>
  <si>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</si>
  <si>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</si>
  <si>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</si>
  <si>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</si>
  <si>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</si>
  <si>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</si>
  <si>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</si>
  <si>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</si>
  <si>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</si>
  <si>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</si>
  <si>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</si>
  <si>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</si>
  <si>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</si>
  <si>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</si>
  <si>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Нулевая обработка/управление остатками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</si>
  <si>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</si>
  <si>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</si>
  <si>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</si>
  <si>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</si>
  <si>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</si>
  <si>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</si>
  <si>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</si>
  <si>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</si>
  <si>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</si>
  <si>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</si>
  <si>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</si>
  <si>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</si>
  <si>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</si>
  <si>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</si>
  <si>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</si>
  <si>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</si>
  <si>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</si>
  <si>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</si>
  <si>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</si>
  <si>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</si>
  <si>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</si>
  <si>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</si>
  <si>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</si>
  <si>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</si>
  <si>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</si>
  <si>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</si>
  <si>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</si>
  <si>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</si>
  <si>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</si>
  <si>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</si>
  <si>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</si>
  <si>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Остатки/биомасса, имеющиеся для сжигания</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</si>
  <si>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</si>
  <si>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</si>
  <si>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</si>
  <si>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</si>
  <si>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</si>
  <si>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</si>
  <si>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</si>
  <si>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</si>
  <si>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</si>
  <si>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</si>
  <si>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</si>
  <si>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</si>
  <si>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</si>
  <si>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</si>
  <si>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</si>
  <si>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</si>
  <si>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</si>
  <si>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</si>
  <si>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</si>
  <si>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</si>
  <si>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</si>
  <si>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</si>
  <si>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</si>
  <si>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</si>
  <si>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</si>
  <si>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</si>
  <si>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</si>
  <si>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</si>
  <si>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</si>
  <si>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</si>
  <si>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</si>
  <si>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</si>
  <si>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</si>
  <si>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</si>
  <si>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</si>
  <si>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</si>
  <si>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</si>
  <si>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</si>
  <si>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</si>
  <si>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</si>
  <si>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</si>
  <si>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</si>
  <si>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</si>
  <si>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</si>
  <si>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</si>
  <si>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</si>
  <si>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</si>
  <si>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</si>
  <si>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</si>
  <si>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</si>
  <si>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</si>
  <si>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</si>
  <si>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</si>
  <si>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</si>
  <si>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</si>
  <si>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</si>
  <si>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</si>
  <si>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</si>
  <si>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</si>
  <si>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</si>
  <si>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</si>
  <si>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</si>
  <si>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</si>
  <si>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</si>
  <si>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</si>
  <si>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</si>
  <si>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</si>
  <si>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</si>
  <si>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</si>
  <si>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</si>
  <si>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</si>
  <si>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</si>
  <si>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</si>
  <si>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</si>
  <si>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</si>
  <si>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</si>
  <si>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</si>
  <si>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</si>
  <si>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</si>
  <si>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</si>
  <si>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</si>
  <si>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</si>
  <si>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</si>
  <si>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</si>
  <si>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</si>
  <si>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</si>
  <si>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</si>
  <si>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</si>
  <si>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</si>
  <si>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</si>
  <si>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</si>
  <si>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</si>
  <si>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</si>
  <si>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</si>
  <si>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</si>
  <si>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</si>
  <si>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</si>
  <si>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</si>
  <si>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</si>
  <si>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</si>
  <si>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</si>
  <si>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</si>
  <si>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</si>
  <si>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</si>
  <si>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</si>
  <si>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</si>
  <si>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</si>
  <si>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</si>
  <si>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</si>
  <si>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</si>
  <si>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</si>
  <si>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</si>
  <si>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</si>
  <si>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</si>
  <si>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</si>
  <si>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</si>
  <si>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</si>
  <si>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</si>
  <si>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</si>
  <si>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</si>
  <si>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</si>
  <si>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</si>
  <si>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</si>
  <si>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</si>
  <si>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</si>
  <si>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</si>
  <si>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</si>
  <si>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</si>
  <si>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</si>
  <si>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</si>
  <si>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</si>
  <si>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</si>
  <si>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</si>
  <si>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</si>
  <si>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</si>
  <si>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</si>
  <si>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</si>
  <si>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</si>
  <si>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</si>
  <si>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</si>
  <si>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</si>
  <si>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</si>
  <si>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</si>
  <si>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</si>
  <si>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</si>
  <si>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</si>
  <si>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</si>
  <si>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</si>
  <si>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</si>
  <si>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</si>
  <si>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</si>
  <si>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</si>
  <si>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</si>
  <si>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</si>
  <si>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</si>
  <si>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</si>
  <si>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</si>
  <si>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</si>
  <si>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</si>
  <si>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</si>
  <si>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</si>
  <si>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</si>
  <si>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</si>
  <si>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</si>
  <si>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</si>
  <si>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</si>
  <si>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</si>
  <si>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</si>
  <si>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</si>
  <si>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</si>
  <si>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</si>
  <si>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</si>
  <si>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</si>
  <si>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</si>
  <si>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</si>
  <si>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</si>
  <si>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</si>
  <si>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</si>
  <si>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</si>
  <si>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</si>
  <si>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</si>
  <si>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</si>
  <si>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</si>
  <si>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</si>
  <si>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</si>
  <si>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</si>
  <si>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</si>
  <si>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</si>
  <si>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</si>
  <si>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</si>
  <si>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</si>
  <si>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</si>
  <si>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</si>
  <si>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</si>
  <si>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</si>
  <si>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</si>
  <si>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</si>
  <si>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</si>
  <si>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</si>
  <si>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</si>
  <si>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</si>
  <si>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</si>
  <si>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</si>
  <si>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</si>
  <si>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</si>
  <si>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</si>
  <si>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</si>
  <si>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</si>
  <si>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</si>
  <si>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</si>
  <si>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</si>
  <si>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</si>
  <si>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</si>
  <si>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</si>
  <si>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</si>
  <si>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</si>
  <si>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</si>
  <si>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</si>
  <si>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</si>
  <si>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</si>
  <si>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</si>
  <si>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</si>
  <si>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</si>
  <si>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</si>
  <si>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</si>
  <si>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</si>
  <si>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</si>
  <si>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</si>
  <si>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</si>
  <si>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</si>
  <si>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</si>
  <si>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</si>
  <si>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</si>
  <si>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</si>
  <si>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</si>
  <si>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</si>
  <si>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</si>
  <si>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</si>
  <si>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</si>
  <si>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</si>
  <si>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</si>
  <si>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</si>
  <si>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</si>
  <si>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</si>
  <si>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</si>
  <si>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</si>
  <si>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</si>
  <si>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</si>
  <si>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</si>
  <si>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</si>
  <si>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</si>
  <si>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</si>
  <si>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</si>
  <si>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</si>
  <si>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</si>
  <si>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</si>
  <si>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</si>
  <si>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</si>
  <si>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</si>
  <si>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</si>
  <si>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</si>
  <si>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</si>
  <si>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</si>
  <si>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</si>
  <si>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</si>
  <si>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</si>
  <si>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Последние 5 лет (2006-2010)</t>
  </si>
  <si>
    <t>Последние 10 лет (2001-2010)</t>
  </si>
  <si>
    <t>Последние 20 лет (1991-2010)</t>
  </si>
  <si>
    <t>Последние 25 лет (1986-2010)</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</si>
  <si>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</si>
  <si>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</si>
  <si>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</si>
  <si>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</si>
  <si>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</si>
  <si>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</si>
  <si>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</si>
  <si>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</si>
  <si>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</si>
  <si>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</si>
  <si>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</si>
  <si>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</si>
  <si>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</si>
  <si>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</si>
  <si>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</si>
  <si>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</si>
  <si>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</si>
  <si>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</si>
  <si>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</si>
  <si>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</si>
  <si>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</si>
  <si>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</si>
  <si>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</si>
  <si>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</si>
  <si>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</si>
  <si>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</si>
  <si>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</si>
  <si>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</si>
  <si>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</si>
  <si>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</si>
  <si>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</si>
  <si>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</si>
  <si>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</si>
  <si>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</si>
  <si>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</si>
  <si>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</si>
  <si>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</si>
  <si>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</si>
  <si>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</si>
  <si>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</si>
  <si>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</si>
  <si>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</si>
  <si>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</si>
  <si>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</si>
  <si>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</si>
  <si>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</si>
  <si>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</si>
  <si>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</si>
  <si>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</si>
  <si>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</si>
  <si>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</si>
  <si>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</si>
  <si>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</si>
  <si>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</si>
  <si>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</si>
  <si>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</si>
  <si>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</si>
  <si>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</si>
  <si>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</si>
  <si>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</si>
  <si>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</si>
  <si>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</si>
  <si>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</si>
  <si>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</si>
  <si>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</si>
  <si>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</si>
  <si>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</si>
  <si>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</si>
  <si>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</si>
  <si>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</si>
  <si>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</si>
  <si>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</si>
  <si>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</si>
  <si>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 xml:space="preserve">Конечное=Исходное: </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</si>
  <si>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</si>
  <si>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</si>
  <si>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</si>
  <si>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</si>
  <si>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</si>
  <si>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</si>
  <si>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</si>
  <si>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</si>
  <si>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</si>
  <si>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</si>
  <si>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</si>
  <si>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</si>
  <si>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</si>
  <si>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</si>
  <si>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</si>
  <si>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</si>
  <si>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</si>
  <si>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</si>
  <si>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</si>
  <si>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</si>
  <si>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</si>
  <si>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</si>
  <si>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</si>
  <si>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</si>
  <si>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</si>
  <si>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</si>
  <si>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</si>
  <si>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</si>
  <si>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</si>
  <si>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</si>
  <si>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</si>
  <si>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</si>
  <si>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</si>
  <si>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</si>
  <si>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</si>
  <si>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</si>
  <si>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</si>
  <si>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</si>
  <si>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</si>
  <si>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</si>
  <si>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</si>
  <si>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</si>
  <si>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</si>
  <si>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</si>
  <si>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</si>
  <si>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</si>
  <si>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</si>
  <si>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</si>
  <si>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</si>
  <si>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</si>
  <si>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</si>
  <si>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</si>
  <si>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</si>
  <si>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</si>
  <si>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</si>
  <si>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</si>
  <si>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</si>
  <si>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</si>
  <si>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</si>
  <si>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</si>
  <si>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</si>
  <si>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</si>
  <si>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</si>
  <si>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</si>
  <si>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</si>
  <si>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</si>
  <si>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</si>
  <si>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</si>
  <si>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</si>
  <si>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</si>
  <si>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</si>
  <si>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</si>
  <si>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</si>
  <si>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</si>
  <si>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</si>
  <si>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</si>
  <si>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</si>
  <si>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</si>
  <si>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</si>
  <si>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</si>
  <si>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</si>
  <si>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</si>
  <si>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</si>
  <si>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</si>
  <si>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</si>
  <si>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</si>
  <si>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</si>
  <si>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</si>
  <si>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</si>
  <si>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</si>
  <si>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</si>
  <si>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</si>
  <si>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</si>
  <si>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</si>
  <si>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</si>
  <si>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</si>
  <si>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</si>
  <si>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</si>
  <si>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</si>
  <si>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</si>
  <si>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</si>
  <si>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</si>
  <si>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</si>
  <si>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</si>
  <si>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</si>
  <si>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</si>
  <si>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</si>
  <si>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</si>
  <si>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</si>
  <si>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</si>
  <si>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</si>
  <si>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</si>
  <si>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</si>
  <si>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</si>
  <si>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</si>
  <si>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</si>
  <si>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</si>
  <si>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</si>
  <si>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</si>
  <si>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</si>
  <si>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</si>
  <si>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</si>
  <si>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</si>
  <si>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</si>
  <si>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</si>
  <si>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</si>
  <si>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</si>
  <si>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</si>
  <si>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</si>
  <si>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</si>
  <si>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</si>
  <si>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</si>
  <si>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</si>
  <si>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</si>
  <si>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</si>
  <si>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</si>
  <si>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</si>
  <si>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</si>
  <si>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</si>
  <si>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</si>
  <si>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</si>
  <si>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</si>
  <si>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</si>
  <si>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</si>
  <si>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</si>
  <si>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</si>
  <si>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</si>
  <si>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</si>
  <si>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</si>
  <si>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r>
      <rPr>
        <sz val="11"/>
        <rFont val="Calibri"/>
        <family val="2"/>
        <scheme val="minor"/>
      </rPr>
      <t>Перестроенные</t>
    </r>
    <r>
      <rPr>
        <sz val="10"/>
        <rFont val="Arial"/>
        <family val="2"/>
      </rPr>
      <t xml:space="preserve"> в О/Л</t>
    </r>
  </si>
  <si>
    <r>
      <rPr>
        <sz val="11"/>
        <rFont val="Calibri"/>
        <family val="2"/>
        <scheme val="minor"/>
      </rPr>
      <t>Перестроенные</t>
    </r>
    <r>
      <rPr>
        <sz val="10"/>
        <rFont val="Arial"/>
        <family val="2"/>
      </rPr>
      <t xml:space="preserve"> в другие виды ИЗП</t>
    </r>
  </si>
  <si>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</si>
  <si>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</si>
  <si>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</si>
  <si>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</si>
  <si>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</si>
  <si>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</si>
  <si>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</si>
  <si>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</si>
  <si>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</si>
  <si>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</si>
  <si>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</si>
  <si>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</si>
  <si>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</si>
  <si>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</si>
  <si>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</si>
  <si>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</si>
  <si>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</si>
  <si>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</si>
  <si>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</si>
  <si>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</si>
  <si>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</si>
  <si>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</si>
  <si>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</si>
  <si>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</si>
  <si>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</si>
  <si>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</si>
  <si>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</si>
  <si>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</si>
  <si>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</si>
  <si>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</si>
  <si>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</si>
  <si>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</si>
  <si>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</si>
  <si>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</si>
  <si>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</si>
  <si>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</si>
  <si>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</si>
  <si>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Переводы: "Старт", "Описание", "Изменения в землепользовании", "Сельскохозяйственная продукция", "Пастбище / Животноводство", "деградация и управления", "Поступления и Инвестиции" и "Подробные результаты"</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</si>
  <si>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</si>
  <si>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</si>
  <si>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</si>
  <si>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</si>
  <si>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</si>
  <si>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</si>
  <si>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</si>
  <si>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</si>
  <si>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</si>
  <si>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</si>
  <si>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</si>
  <si>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</si>
  <si>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</si>
  <si>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</si>
  <si>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</si>
  <si>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</si>
  <si>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</si>
  <si>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</si>
  <si>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</si>
  <si>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</si>
  <si>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</si>
  <si>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</si>
  <si>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</si>
  <si>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</si>
  <si>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</si>
  <si>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</si>
  <si>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</si>
  <si>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</si>
  <si>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الإصدار رقم 6 - طبعة متعددة اللغات</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</si>
  <si>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</si>
  <si>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</si>
  <si>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</si>
  <si>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</si>
  <si>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</si>
  <si>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</si>
  <si>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</si>
  <si>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</si>
  <si>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</si>
  <si>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</si>
  <si>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</si>
  <si>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</si>
  <si>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</si>
  <si>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</si>
  <si>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</si>
  <si>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</si>
  <si>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</si>
  <si>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</si>
  <si>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</si>
  <si>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</si>
  <si>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</si>
  <si>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</si>
  <si>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</si>
  <si>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</si>
  <si>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</si>
  <si>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</si>
  <si>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</si>
  <si>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</si>
  <si>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</si>
  <si>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</si>
  <si>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</si>
  <si>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</si>
  <si>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</si>
  <si>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</si>
  <si>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</si>
  <si>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</si>
  <si>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</si>
  <si>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</si>
  <si>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</si>
  <si>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</si>
  <si>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</si>
  <si>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</si>
  <si>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</si>
  <si>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</si>
  <si>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</si>
  <si>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</si>
  <si>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</si>
  <si>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</si>
  <si>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</si>
  <si>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</si>
  <si>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</si>
  <si>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</si>
  <si>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</si>
  <si>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</si>
  <si>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</si>
  <si>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</si>
  <si>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</si>
  <si>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</si>
  <si>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</si>
  <si>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</si>
  <si>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</si>
  <si>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</si>
  <si>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</si>
  <si>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</si>
  <si>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</si>
  <si>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</si>
  <si>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</si>
  <si>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المخلفات/ بدون حراثة</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</si>
  <si>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</si>
  <si>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</si>
  <si>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</si>
  <si>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</si>
  <si>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</si>
  <si>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</si>
  <si>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</si>
  <si>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</si>
  <si>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</si>
  <si>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</si>
  <si>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</si>
  <si>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</si>
  <si>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</si>
  <si>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</si>
  <si>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</si>
  <si>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</si>
  <si>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</si>
  <si>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</si>
  <si>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</si>
  <si>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</si>
  <si>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</si>
  <si>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</si>
  <si>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</si>
  <si>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</si>
  <si>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</si>
  <si>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</si>
  <si>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</si>
  <si>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</si>
  <si>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</si>
  <si>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</si>
  <si>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</si>
  <si>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</si>
  <si>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</si>
  <si>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المخلفات/ الكتلة الإحياتة المتوفرة للاحتراق</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</si>
  <si>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</si>
  <si>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</si>
  <si>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</si>
  <si>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</si>
  <si>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</si>
  <si>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</si>
  <si>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</si>
  <si>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</si>
  <si>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</si>
  <si>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</si>
  <si>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</si>
  <si>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</si>
  <si>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</si>
  <si>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</si>
  <si>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</si>
  <si>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</si>
  <si>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</si>
  <si>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</si>
  <si>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</si>
  <si>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</si>
  <si>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</si>
  <si>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</si>
  <si>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</si>
  <si>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</si>
  <si>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</si>
  <si>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</si>
  <si>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</si>
  <si>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</si>
  <si>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</si>
  <si>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</si>
  <si>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</si>
  <si>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</si>
  <si>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</si>
  <si>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</si>
  <si>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</si>
  <si>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</si>
  <si>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</si>
  <si>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</si>
  <si>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</si>
  <si>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</si>
  <si>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</si>
  <si>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</si>
  <si>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</si>
  <si>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</si>
  <si>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</si>
  <si>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</si>
  <si>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</si>
  <si>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</si>
  <si>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</si>
  <si>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</si>
  <si>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</si>
  <si>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</si>
  <si>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</si>
  <si>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</si>
  <si>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</si>
  <si>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</si>
  <si>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</si>
  <si>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</si>
  <si>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</si>
  <si>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</si>
  <si>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</si>
  <si>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</si>
  <si>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</si>
  <si>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</si>
  <si>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</si>
  <si>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</si>
  <si>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</si>
  <si>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</si>
  <si>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</si>
  <si>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</si>
  <si>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</si>
  <si>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</si>
  <si>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</si>
  <si>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</si>
  <si>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</si>
  <si>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</si>
  <si>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</si>
  <si>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</si>
  <si>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</si>
  <si>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</si>
  <si>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</si>
  <si>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</si>
  <si>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</si>
  <si>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</si>
  <si>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</si>
  <si>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</si>
  <si>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</si>
  <si>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</si>
  <si>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</si>
  <si>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</si>
  <si>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</si>
  <si>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</si>
  <si>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</si>
  <si>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</si>
  <si>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</si>
  <si>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</si>
  <si>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</si>
  <si>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</si>
  <si>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</si>
  <si>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</si>
  <si>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</si>
  <si>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</si>
  <si>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</si>
  <si>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</si>
  <si>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</si>
  <si>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</si>
  <si>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</si>
  <si>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</si>
  <si>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</si>
  <si>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</si>
  <si>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</si>
  <si>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</si>
  <si>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</si>
  <si>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</si>
  <si>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</si>
  <si>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</si>
  <si>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</si>
  <si>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</si>
  <si>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</si>
  <si>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</si>
  <si>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</si>
  <si>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</si>
  <si>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</si>
  <si>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</si>
  <si>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</si>
  <si>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</si>
  <si>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</si>
  <si>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</si>
  <si>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</si>
  <si>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</si>
  <si>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</si>
  <si>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</si>
  <si>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</si>
  <si>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</si>
  <si>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</si>
  <si>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</si>
  <si>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</si>
  <si>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</si>
  <si>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</si>
  <si>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</si>
  <si>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</si>
  <si>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</si>
  <si>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</si>
  <si>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</si>
  <si>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</si>
  <si>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</si>
  <si>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</si>
  <si>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</si>
  <si>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</si>
  <si>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</si>
  <si>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</si>
  <si>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</si>
  <si>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</si>
  <si>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</si>
  <si>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</si>
  <si>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</si>
  <si>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</si>
  <si>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</si>
  <si>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</si>
  <si>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</si>
  <si>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</si>
  <si>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</si>
  <si>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</si>
  <si>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</si>
  <si>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</si>
  <si>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</si>
  <si>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</si>
  <si>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r>
      <t>ترى أداة القياس المسبق لتوازن الكربون أنه يتم استيراد اليوريا من الناحية الافتراضية و</t>
    </r>
    <r>
      <rPr>
        <sz val="11"/>
        <color rgb="FFFF0000"/>
        <rFont val="Calibri"/>
        <family val="2"/>
        <scheme val="minor"/>
      </rPr>
      <t>لا يمثل سببا لهذه البالوعة، ولكن يمكنك أن تفرض ذلك على الحساب</t>
    </r>
    <r>
      <rPr>
        <sz val="10"/>
        <rFont val="Arial"/>
        <family val="2"/>
      </rPr>
      <t>:</t>
    </r>
  </si>
  <si>
    <t>حساب  بالوعة تصنيع؟</t>
  </si>
  <si>
    <t>يوريا</t>
  </si>
  <si>
    <t>عامل الانبعاث للدولة المختارة</t>
  </si>
  <si>
    <t>خسائر الكهرباء أثناء النقل</t>
  </si>
  <si>
    <t>ميجاوات ساعة/ سنة</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</si>
  <si>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</si>
  <si>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</si>
  <si>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</si>
  <si>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</si>
  <si>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</si>
  <si>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</si>
  <si>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</si>
  <si>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</si>
  <si>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</si>
  <si>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</si>
  <si>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</si>
  <si>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</si>
  <si>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</si>
  <si>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</si>
  <si>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</si>
  <si>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</si>
  <si>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</si>
  <si>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</si>
  <si>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</si>
  <si>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</si>
  <si>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</si>
  <si>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</si>
  <si>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</si>
  <si>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</si>
  <si>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</si>
  <si>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</si>
  <si>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</si>
  <si>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</si>
  <si>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</si>
  <si>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</si>
  <si>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</si>
  <si>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</si>
  <si>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</si>
  <si>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</si>
  <si>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</si>
  <si>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</si>
  <si>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</si>
  <si>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</si>
  <si>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</si>
  <si>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</si>
  <si>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</si>
  <si>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</si>
  <si>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</si>
  <si>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</si>
  <si>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</si>
  <si>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</si>
  <si>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</si>
  <si>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</si>
  <si>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</si>
  <si>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</si>
  <si>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</si>
  <si>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</si>
  <si>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</si>
  <si>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</si>
  <si>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</si>
  <si>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</si>
  <si>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</si>
  <si>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</si>
  <si>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</si>
  <si>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</si>
  <si>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</si>
  <si>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</si>
  <si>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</si>
  <si>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</si>
  <si>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</si>
  <si>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</si>
  <si>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</si>
  <si>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</si>
  <si>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</si>
  <si>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</si>
  <si>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</si>
  <si>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</si>
  <si>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</si>
  <si>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</si>
  <si>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</si>
  <si>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</si>
  <si>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</si>
  <si>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</si>
  <si>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</si>
  <si>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</si>
  <si>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</si>
  <si>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</si>
  <si>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</si>
  <si>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</si>
  <si>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</si>
  <si>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</si>
  <si>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</si>
  <si>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</si>
  <si>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</si>
  <si>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</si>
  <si>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</si>
  <si>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</si>
  <si>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</si>
  <si>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</si>
  <si>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</si>
  <si>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</si>
  <si>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</si>
  <si>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</si>
  <si>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</si>
  <si>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</si>
  <si>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</si>
  <si>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</si>
  <si>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</si>
  <si>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</si>
  <si>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</si>
  <si>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</si>
  <si>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</si>
  <si>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</si>
  <si>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</si>
  <si>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</si>
  <si>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</si>
  <si>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</si>
  <si>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</si>
  <si>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</si>
  <si>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</si>
  <si>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</si>
  <si>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</si>
  <si>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</si>
  <si>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</si>
  <si>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</si>
  <si>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</si>
  <si>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</si>
  <si>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</si>
  <si>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</si>
  <si>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</si>
  <si>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</si>
  <si>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</si>
  <si>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</si>
  <si>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</si>
  <si>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</si>
  <si>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</si>
  <si>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</si>
  <si>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</si>
  <si>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</si>
  <si>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</si>
  <si>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</si>
  <si>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</si>
  <si>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</si>
  <si>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</si>
  <si>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</si>
  <si>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</si>
  <si>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</si>
  <si>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</si>
  <si>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</si>
  <si>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السنوات الخمس الأخيرة (2006-2010)</t>
  </si>
  <si>
    <t>السنوات العشر الأخيرة (2001-2010)</t>
  </si>
  <si>
    <t>السنوات العشرين الأخيرة (1991-2010)</t>
  </si>
  <si>
    <t>السنوات الخمس وعشرون الأخيرة (1986-2010)</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</si>
  <si>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</si>
  <si>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</si>
  <si>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</si>
  <si>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</si>
  <si>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</si>
  <si>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</si>
  <si>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</si>
  <si>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</si>
  <si>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</si>
  <si>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</si>
  <si>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</si>
  <si>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</si>
  <si>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</si>
  <si>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</si>
  <si>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</si>
  <si>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</si>
  <si>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</si>
  <si>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</si>
  <si>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</si>
  <si>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</si>
  <si>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</si>
  <si>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</si>
  <si>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</si>
  <si>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</si>
  <si>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</si>
  <si>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</si>
  <si>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</si>
  <si>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</si>
  <si>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</si>
  <si>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</si>
  <si>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</si>
  <si>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</si>
  <si>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</si>
  <si>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</si>
  <si>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</si>
  <si>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</si>
  <si>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</si>
  <si>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</si>
  <si>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</si>
  <si>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</si>
  <si>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</si>
  <si>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</si>
  <si>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</si>
  <si>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</si>
  <si>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</si>
  <si>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</si>
  <si>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</si>
  <si>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</si>
  <si>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</si>
  <si>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</si>
  <si>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</si>
  <si>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</si>
  <si>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</si>
  <si>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</si>
  <si>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</si>
  <si>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</si>
  <si>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</si>
  <si>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</si>
  <si>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</si>
  <si>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</si>
  <si>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</si>
  <si>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</si>
  <si>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</si>
  <si>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</si>
  <si>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</si>
  <si>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</si>
  <si>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</si>
  <si>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</si>
  <si>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</si>
  <si>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نهائي=مبدئي: فحص!</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</si>
  <si>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</si>
  <si>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</si>
  <si>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</si>
  <si>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</si>
  <si>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</si>
  <si>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</si>
  <si>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</si>
  <si>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</si>
  <si>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</si>
  <si>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</si>
  <si>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</si>
  <si>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</si>
  <si>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</si>
  <si>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</si>
  <si>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</si>
  <si>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</si>
  <si>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</si>
  <si>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</si>
  <si>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</si>
  <si>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</si>
  <si>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</si>
  <si>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</si>
  <si>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</si>
  <si>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</si>
  <si>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</si>
  <si>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</si>
  <si>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</si>
  <si>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</si>
  <si>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</si>
  <si>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</si>
  <si>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</si>
  <si>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</si>
  <si>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</si>
  <si>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</si>
  <si>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</si>
  <si>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</si>
  <si>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</si>
  <si>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</si>
  <si>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</si>
  <si>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</si>
  <si>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</si>
  <si>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</si>
  <si>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</si>
  <si>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</si>
  <si>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</si>
  <si>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</si>
  <si>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</si>
  <si>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</si>
  <si>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</si>
  <si>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</si>
  <si>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</si>
  <si>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</si>
  <si>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</si>
  <si>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</si>
  <si>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</si>
  <si>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</si>
  <si>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</si>
  <si>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</si>
  <si>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</si>
  <si>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</si>
  <si>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</si>
  <si>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</si>
  <si>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</si>
  <si>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</si>
  <si>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</si>
  <si>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</si>
  <si>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</si>
  <si>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</si>
  <si>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</si>
  <si>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</si>
  <si>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</si>
  <si>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</si>
  <si>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</si>
  <si>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</si>
  <si>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</si>
  <si>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</si>
  <si>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</si>
  <si>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</si>
  <si>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</si>
  <si>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</si>
  <si>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</si>
  <si>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</si>
  <si>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</si>
  <si>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</si>
  <si>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</si>
  <si>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</si>
  <si>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</si>
  <si>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</si>
  <si>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</si>
  <si>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</si>
  <si>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</si>
  <si>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</si>
  <si>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</si>
  <si>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</si>
  <si>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</si>
  <si>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</si>
  <si>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</si>
  <si>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</si>
  <si>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</si>
  <si>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</si>
  <si>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</si>
  <si>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</si>
  <si>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</si>
  <si>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</si>
  <si>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</si>
  <si>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</si>
  <si>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</si>
  <si>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</si>
  <si>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</si>
  <si>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</si>
  <si>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</si>
  <si>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</si>
  <si>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</si>
  <si>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</si>
  <si>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</si>
  <si>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</si>
  <si>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</si>
  <si>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</si>
  <si>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</si>
  <si>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</si>
  <si>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</si>
  <si>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</si>
  <si>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</si>
  <si>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</si>
  <si>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</si>
  <si>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</si>
  <si>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</si>
  <si>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</si>
  <si>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</si>
  <si>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</si>
  <si>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</si>
  <si>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</si>
  <si>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</si>
  <si>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</si>
  <si>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</si>
  <si>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</si>
  <si>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</si>
  <si>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</si>
  <si>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</si>
  <si>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</si>
  <si>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</si>
  <si>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</si>
  <si>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</si>
  <si>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</si>
  <si>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</si>
  <si>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</si>
  <si>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6.0版 - 多语言版本</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</si>
  <si>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</si>
  <si>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</si>
  <si>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</si>
  <si>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</si>
  <si>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</si>
  <si>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</si>
  <si>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</si>
  <si>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</si>
  <si>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</si>
  <si>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</si>
  <si>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</si>
  <si>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</si>
  <si>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</si>
  <si>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</si>
  <si>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</si>
  <si>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</si>
  <si>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</si>
  <si>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</si>
  <si>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</si>
  <si>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</si>
  <si>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</si>
  <si>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总排放量（总二氧化碳等值）</t>
  </si>
  <si>
    <t>余额</t>
    <phoneticPr fontId="8" type="noConversion"/>
  </si>
  <si>
    <t>（tDM/ha）</t>
    <phoneticPr fontId="8" type="noConversion"/>
  </si>
  <si>
    <t>（是/否）</t>
    <phoneticPr fontId="8" type="noConversion"/>
  </si>
  <si>
    <t>#采伐的木材产品</t>
    <phoneticPr fontId="8" type="noConversion"/>
  </si>
  <si>
    <t>*有关变化动态的注解：D系指“默认”，I系指即时，E系指指数（请参阅《指南》）</t>
  </si>
  <si>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</si>
  <si>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</si>
  <si>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</si>
  <si>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</si>
  <si>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</si>
  <si>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</si>
  <si>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</si>
  <si>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</si>
  <si>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</si>
  <si>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</si>
  <si>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</si>
  <si>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</si>
  <si>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</si>
  <si>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</si>
  <si>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</si>
  <si>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</si>
  <si>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</si>
  <si>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</si>
  <si>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</si>
  <si>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</si>
  <si>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</si>
  <si>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（默认值仅供您参考，而在有具体说明的地方EX-ACT将自动采用第2层数值）</t>
  </si>
  <si>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</si>
  <si>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</si>
  <si>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</si>
  <si>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</si>
  <si>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</si>
  <si>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</si>
  <si>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默认</t>
  </si>
  <si>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</si>
  <si>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</si>
  <si>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</si>
  <si>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</si>
  <si>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</si>
  <si>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</si>
  <si>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</si>
  <si>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</si>
  <si>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</si>
  <si>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</si>
  <si>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</si>
  <si>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</si>
  <si>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</si>
  <si>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</si>
  <si>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</si>
  <si>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</si>
  <si>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</si>
  <si>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</si>
  <si>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</si>
  <si>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</si>
  <si>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</si>
  <si>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</si>
  <si>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</si>
  <si>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</si>
  <si>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</si>
  <si>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</si>
  <si>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</si>
  <si>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</si>
  <si>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</si>
  <si>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</si>
  <si>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</si>
  <si>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</si>
  <si>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</si>
  <si>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水分管理</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</si>
  <si>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</si>
  <si>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</si>
  <si>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</si>
  <si>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</si>
  <si>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</si>
  <si>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</si>
  <si>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</si>
  <si>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</si>
  <si>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</si>
  <si>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</si>
  <si>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（总二氧化碳/公顷/年）</t>
  </si>
  <si>
    <t>（总干物质/公顷）</t>
  </si>
  <si>
    <t>转变自（或转变为）其他土地用途的一年生系统</t>
    <phoneticPr fontId="8" type="noConversion"/>
  </si>
  <si>
    <t>一年生系统维持一年生系统</t>
    <phoneticPr fontId="8" type="noConversion"/>
  </si>
  <si>
    <t>增长率（总二氧化碳/公顷/年）</t>
  </si>
  <si>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</si>
  <si>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</si>
  <si>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</si>
  <si>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</si>
  <si>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</si>
  <si>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</si>
  <si>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</si>
  <si>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</si>
  <si>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</si>
  <si>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</si>
  <si>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</si>
  <si>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</si>
  <si>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</si>
  <si>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</si>
  <si>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</si>
  <si>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</si>
  <si>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</si>
  <si>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</si>
  <si>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</si>
  <si>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</si>
  <si>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</si>
  <si>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</si>
  <si>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</si>
  <si>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</si>
  <si>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</si>
  <si>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</si>
  <si>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</si>
  <si>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</si>
  <si>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</si>
  <si>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</si>
  <si>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</si>
  <si>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</si>
  <si>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</si>
  <si>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（总二氧化碳等值）</t>
  </si>
  <si>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</si>
  <si>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</si>
  <si>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</si>
  <si>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</si>
  <si>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</si>
  <si>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</si>
  <si>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</si>
  <si>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</si>
  <si>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</si>
  <si>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</si>
  <si>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</si>
  <si>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</si>
  <si>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</si>
  <si>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</si>
  <si>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</si>
  <si>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</si>
  <si>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</si>
  <si>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</si>
  <si>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</si>
  <si>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</si>
  <si>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</si>
  <si>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</si>
  <si>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</si>
  <si>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</si>
  <si>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</si>
  <si>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</si>
  <si>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</si>
  <si>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（总碳/公顷）</t>
  </si>
  <si>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</si>
  <si>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</si>
  <si>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</si>
  <si>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</si>
  <si>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</si>
  <si>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</si>
  <si>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</si>
  <si>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</si>
  <si>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</si>
  <si>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</si>
  <si>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</si>
  <si>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</si>
  <si>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</si>
  <si>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</si>
  <si>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</si>
  <si>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</si>
  <si>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</si>
  <si>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</si>
  <si>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</si>
  <si>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</si>
  <si>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周律</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</si>
  <si>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</si>
  <si>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</si>
  <si>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</si>
  <si>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</si>
  <si>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</si>
  <si>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</si>
  <si>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</si>
  <si>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</si>
  <si>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</si>
  <si>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</si>
  <si>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</si>
  <si>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</si>
  <si>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</si>
  <si>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</si>
  <si>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</si>
  <si>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</si>
  <si>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</si>
  <si>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排放系数（总碳/公顷/年）</t>
  </si>
  <si>
    <t>主动泥炭采掘的现场排放</t>
    <phoneticPr fontId="8" type="noConversion"/>
  </si>
  <si>
    <t>二氧化碳排放系数（总碳/公顷/年）</t>
  </si>
  <si>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</si>
  <si>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</si>
  <si>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</si>
  <si>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</si>
  <si>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田间排放总量（总二氧化碳等值）</t>
  </si>
  <si>
    <t>生产、运输、仓储和转场环节的排放（总二氧化碳等值）</t>
  </si>
  <si>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</si>
  <si>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</si>
  <si>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</si>
  <si>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</si>
  <si>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</si>
  <si>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</si>
  <si>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</si>
  <si>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</si>
  <si>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</si>
  <si>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</si>
  <si>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</si>
  <si>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</si>
  <si>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</si>
  <si>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</si>
  <si>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</si>
  <si>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</si>
  <si>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</si>
  <si>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</si>
  <si>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</si>
  <si>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</si>
  <si>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</si>
  <si>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</si>
  <si>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</si>
  <si>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</si>
  <si>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</si>
  <si>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</si>
  <si>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</si>
  <si>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</si>
  <si>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</si>
  <si>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</si>
  <si>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</si>
  <si>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</si>
  <si>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</si>
  <si>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</si>
  <si>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</si>
  <si>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</si>
  <si>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</si>
  <si>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</si>
  <si>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</si>
  <si>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</si>
  <si>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</si>
  <si>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</si>
  <si>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</si>
  <si>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</si>
  <si>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</si>
  <si>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</si>
  <si>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</si>
  <si>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</si>
  <si>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</si>
  <si>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</si>
  <si>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</si>
  <si>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</si>
  <si>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</si>
  <si>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</si>
  <si>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</si>
  <si>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</si>
  <si>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</si>
  <si>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</si>
  <si>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</si>
  <si>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</si>
  <si>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</si>
  <si>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</si>
  <si>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</si>
  <si>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</si>
  <si>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</si>
  <si>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</si>
  <si>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</si>
  <si>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</si>
  <si>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</si>
  <si>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</si>
  <si>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</si>
  <si>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</si>
  <si>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</si>
  <si>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</si>
  <si>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</si>
  <si>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其他</t>
    <phoneticPr fontId="8" type="noConversion"/>
  </si>
  <si>
    <t>年度结果</t>
    <phoneticPr fontId="8" type="noConversion"/>
  </si>
  <si>
    <t>土地用途变化</t>
    <phoneticPr fontId="8" type="noConversion"/>
  </si>
  <si>
    <t>森林砍伐</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</si>
  <si>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</si>
  <si>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</si>
  <si>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</si>
  <si>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</si>
  <si>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</si>
  <si>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草场</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</si>
  <si>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</si>
  <si>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</si>
  <si>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</si>
  <si>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</si>
  <si>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</si>
  <si>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</si>
  <si>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</si>
  <si>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</si>
  <si>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</si>
  <si>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</si>
  <si>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</si>
  <si>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</si>
  <si>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</si>
  <si>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</si>
  <si>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</si>
  <si>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</si>
  <si>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</si>
  <si>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</si>
  <si>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</si>
  <si>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不确定度等级</t>
  </si>
  <si>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</si>
  <si>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</si>
  <si>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</si>
  <si>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</si>
  <si>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</si>
  <si>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</si>
  <si>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</si>
  <si>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</si>
  <si>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</si>
  <si>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</si>
  <si>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</si>
  <si>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</si>
  <si>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</si>
  <si>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</si>
  <si>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</si>
  <si>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</si>
  <si>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</si>
  <si>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</si>
  <si>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</si>
  <si>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</si>
  <si>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</si>
  <si>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</si>
  <si>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</si>
  <si>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</si>
  <si>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</si>
  <si>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</si>
  <si>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</si>
  <si>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</si>
  <si>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</si>
  <si>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</si>
  <si>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</si>
  <si>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</si>
  <si>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</si>
  <si>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</si>
  <si>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</si>
  <si>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</si>
  <si>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</si>
  <si>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</si>
  <si>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</si>
  <si>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</si>
  <si>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</si>
  <si>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</si>
  <si>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</si>
  <si>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</si>
  <si>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</si>
  <si>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</si>
  <si>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</si>
  <si>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</si>
  <si>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</si>
  <si>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</si>
  <si>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土壤类别</t>
    <phoneticPr fontId="8" type="noConversion"/>
  </si>
  <si>
    <t>WRB-2006</t>
    <phoneticPr fontId="8" type="noConversion"/>
  </si>
  <si>
    <t>IPCC</t>
    <phoneticPr fontId="8" type="noConversion"/>
  </si>
  <si>
    <t>气候</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</si>
  <si>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</si>
  <si>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</si>
  <si>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</si>
  <si>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</si>
  <si>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</si>
  <si>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</si>
  <si>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</si>
  <si>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</si>
  <si>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</si>
  <si>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</si>
  <si>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</si>
  <si>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</si>
  <si>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</si>
  <si>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</si>
  <si>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</si>
  <si>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默认MAT</t>
  </si>
  <si>
    <t>简化IPCC气候区划</t>
    <phoneticPr fontId="8" type="noConversion"/>
  </si>
  <si>
    <t>寒凉</t>
    <phoneticPr fontId="8" type="noConversion"/>
  </si>
  <si>
    <t>温暖</t>
    <phoneticPr fontId="8" type="noConversion"/>
  </si>
  <si>
    <t>寒温带</t>
  </si>
  <si>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</si>
  <si>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</si>
  <si>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</si>
  <si>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</si>
  <si>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</si>
  <si>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</si>
  <si>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</si>
  <si>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</si>
  <si>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</si>
  <si>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</si>
  <si>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</si>
  <si>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</si>
  <si>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</si>
  <si>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</si>
  <si>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</si>
  <si>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</si>
  <si>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</si>
  <si>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</si>
  <si>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</si>
  <si>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单产</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</si>
  <si>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</si>
  <si>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</si>
  <si>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</si>
  <si>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</si>
  <si>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</si>
  <si>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</si>
  <si>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平均</t>
    <phoneticPr fontId="8" type="noConversion"/>
  </si>
  <si>
    <t>比率（%）</t>
    <phoneticPr fontId="8" type="noConversion"/>
  </si>
  <si>
    <t>预测</t>
    <phoneticPr fontId="8" type="noConversion"/>
  </si>
  <si>
    <t>最近5年（2006-2010）</t>
    <phoneticPr fontId="8" type="noConversion"/>
  </si>
  <si>
    <t>最近10年（2001-2010）</t>
    <phoneticPr fontId="8" type="noConversion"/>
  </si>
  <si>
    <t>最近20年（1991-2010）</t>
    <phoneticPr fontId="8" type="noConversion"/>
  </si>
  <si>
    <t>最近25年（1986-2010）</t>
    <phoneticPr fontId="8" type="noConversion"/>
  </si>
  <si>
    <t>数据来自FAOSTAT，欲了解更详细信息（如国别信息）请访问粮农组织网站。</t>
    <phoneticPr fontId="8" type="noConversion"/>
  </si>
  <si>
    <t>中文</t>
  </si>
  <si>
    <t>请选择</t>
    <phoneticPr fontId="8" type="noConversion"/>
  </si>
  <si>
    <t>非洲</t>
    <phoneticPr fontId="8" type="noConversion"/>
  </si>
  <si>
    <t>亚洲（大陆）</t>
    <phoneticPr fontId="8" type="noConversion"/>
  </si>
  <si>
    <t>亚洲（南亚次大陆）</t>
    <phoneticPr fontId="8" type="noConversion"/>
  </si>
  <si>
    <t>亚洲（岛国）</t>
    <phoneticPr fontId="8" type="noConversion"/>
  </si>
  <si>
    <t>中东</t>
    <phoneticPr fontId="8" type="noConversion"/>
  </si>
  <si>
    <t>西欧</t>
    <phoneticPr fontId="8" type="noConversion"/>
  </si>
  <si>
    <t>东欧</t>
    <phoneticPr fontId="8" type="noConversion"/>
  </si>
  <si>
    <t>大洋洲</t>
    <phoneticPr fontId="8" type="noConversion"/>
  </si>
  <si>
    <t>北美洲</t>
    <phoneticPr fontId="8" type="noConversion"/>
  </si>
  <si>
    <t>中美洲</t>
    <phoneticPr fontId="8" type="noConversion"/>
  </si>
  <si>
    <t>南美洲</t>
    <phoneticPr fontId="8" type="noConversion"/>
  </si>
  <si>
    <t>寒温带</t>
    <phoneticPr fontId="8" type="noConversion"/>
  </si>
  <si>
    <t>暖温带</t>
    <phoneticPr fontId="8" type="noConversion"/>
  </si>
  <si>
    <t>热带</t>
    <phoneticPr fontId="8" type="noConversion"/>
  </si>
  <si>
    <t>热带山地</t>
    <phoneticPr fontId="8" type="noConversion"/>
  </si>
  <si>
    <t>干燥</t>
    <phoneticPr fontId="8" type="noConversion"/>
  </si>
  <si>
    <t>湿润</t>
    <phoneticPr fontId="8" type="noConversion"/>
  </si>
  <si>
    <t>潮湿</t>
    <phoneticPr fontId="8" type="noConversion"/>
  </si>
  <si>
    <t>高活性粘土</t>
    <phoneticPr fontId="8" type="noConversion"/>
  </si>
  <si>
    <t>低活性粘土</t>
    <phoneticPr fontId="8" type="noConversion"/>
  </si>
  <si>
    <t>砂壤</t>
    <phoneticPr fontId="8" type="noConversion"/>
  </si>
  <si>
    <t>灰壤</t>
    <phoneticPr fontId="8" type="noConversion"/>
  </si>
  <si>
    <t>火山壤</t>
    <phoneticPr fontId="8" type="noConversion"/>
  </si>
  <si>
    <t>湿地土</t>
    <phoneticPr fontId="8" type="noConversion"/>
  </si>
  <si>
    <t>其他土壤</t>
    <phoneticPr fontId="8" type="noConversion"/>
  </si>
  <si>
    <t>请具体说明气候类型</t>
    <phoneticPr fontId="8" type="noConversion"/>
  </si>
  <si>
    <t>热带雨林</t>
    <phoneticPr fontId="8" type="noConversion"/>
  </si>
  <si>
    <t>热带湿润落叶林</t>
    <phoneticPr fontId="8" type="noConversion"/>
  </si>
  <si>
    <t>热带干旱林</t>
    <phoneticPr fontId="8" type="noConversion"/>
  </si>
  <si>
    <t>热带稀树林</t>
    <phoneticPr fontId="8" type="noConversion"/>
  </si>
  <si>
    <t>亚热带温热林</t>
    <phoneticPr fontId="8" type="noConversion"/>
  </si>
  <si>
    <t>亚热带干旱林</t>
    <phoneticPr fontId="8" type="noConversion"/>
  </si>
  <si>
    <t>亚热带干旱草原</t>
    <phoneticPr fontId="8" type="noConversion"/>
  </si>
  <si>
    <t>亚热带山地系统</t>
    <phoneticPr fontId="8" type="noConversion"/>
  </si>
  <si>
    <t>温带海洋林</t>
    <phoneticPr fontId="8" type="noConversion"/>
  </si>
  <si>
    <t>温带大陆林</t>
    <phoneticPr fontId="8" type="noConversion"/>
  </si>
  <si>
    <t>温带山地系统</t>
    <phoneticPr fontId="8" type="noConversion"/>
  </si>
  <si>
    <t>寒温带针叶林</t>
  </si>
  <si>
    <t>寒温带苔原湿地</t>
  </si>
  <si>
    <t>寒温带山地系统</t>
  </si>
  <si>
    <t>热带山地系统</t>
    <phoneticPr fontId="8" type="noConversion"/>
  </si>
  <si>
    <t>森林区1</t>
    <phoneticPr fontId="8" type="noConversion"/>
  </si>
  <si>
    <t>森林区2</t>
    <phoneticPr fontId="8" type="noConversion"/>
  </si>
  <si>
    <t>森林区3</t>
    <phoneticPr fontId="8" type="noConversion"/>
  </si>
  <si>
    <t>森林区4</t>
    <phoneticPr fontId="8" type="noConversion"/>
  </si>
  <si>
    <t>人工林区1</t>
    <phoneticPr fontId="8" type="noConversion"/>
  </si>
  <si>
    <t>人工林区2</t>
    <phoneticPr fontId="8" type="noConversion"/>
  </si>
  <si>
    <t>人工林区3</t>
    <phoneticPr fontId="8" type="noConversion"/>
  </si>
  <si>
    <t>人工林区4</t>
    <phoneticPr fontId="8" type="noConversion"/>
  </si>
  <si>
    <t>选择植被</t>
    <phoneticPr fontId="8" type="noConversion"/>
  </si>
  <si>
    <t>否</t>
    <phoneticPr fontId="8" type="noConversion"/>
  </si>
  <si>
    <t>是</t>
    <phoneticPr fontId="8" type="noConversion"/>
  </si>
  <si>
    <t>选择砍伐后用途</t>
    <phoneticPr fontId="8" type="noConversion"/>
  </si>
  <si>
    <t>一年生作物</t>
    <phoneticPr fontId="8" type="noConversion"/>
  </si>
  <si>
    <t>多年生/木本作物</t>
    <phoneticPr fontId="8" type="noConversion"/>
  </si>
  <si>
    <t>水作稻</t>
    <phoneticPr fontId="8" type="noConversion"/>
  </si>
  <si>
    <t>休耕</t>
    <phoneticPr fontId="8" type="noConversion"/>
  </si>
  <si>
    <t>草场</t>
    <phoneticPr fontId="8" type="noConversion"/>
  </si>
  <si>
    <t>退化</t>
    <phoneticPr fontId="8" type="noConversion"/>
  </si>
  <si>
    <t>其他（名义）</t>
    <phoneticPr fontId="8" type="noConversion"/>
  </si>
  <si>
    <t>其他（退化）</t>
    <phoneticPr fontId="8" type="noConversion"/>
  </si>
  <si>
    <t>选择原用途</t>
    <phoneticPr fontId="8" type="noConversion"/>
  </si>
  <si>
    <t>多年生/木本作物（&lt;5年）</t>
    <phoneticPr fontId="8" type="noConversion"/>
  </si>
  <si>
    <t>多年生/木本作物（6-10年）</t>
    <phoneticPr fontId="8" type="noConversion"/>
  </si>
  <si>
    <t>多年生/木本作物（&gt;10年）</t>
    <phoneticPr fontId="8" type="noConversion"/>
  </si>
  <si>
    <t>退化土地</t>
    <phoneticPr fontId="8" type="noConversion"/>
  </si>
  <si>
    <t>选择土地原始用途</t>
    <phoneticPr fontId="8" type="noConversion"/>
  </si>
  <si>
    <t>多年生/木本作物（6-10年）</t>
    <phoneticPr fontId="8" type="noConversion"/>
  </si>
  <si>
    <t>多年生/木本作物（&gt;10年）</t>
    <phoneticPr fontId="8" type="noConversion"/>
  </si>
  <si>
    <t>选择土地最终用途</t>
    <phoneticPr fontId="8" type="noConversion"/>
  </si>
  <si>
    <t>填写土地原始用途</t>
    <phoneticPr fontId="8" type="noConversion"/>
  </si>
  <si>
    <t>填写土地最终用途</t>
    <phoneticPr fontId="8" type="noConversion"/>
  </si>
  <si>
    <t>最终=原始：核对！</t>
    <phoneticPr fontId="8" type="noConversion"/>
  </si>
  <si>
    <t>请选择水分管理模式</t>
    <phoneticPr fontId="8" type="noConversion"/>
  </si>
  <si>
    <t>灌溉——持续漫灌</t>
    <phoneticPr fontId="8" type="noConversion"/>
  </si>
  <si>
    <t>灌溉——间歇漫灌</t>
    <phoneticPr fontId="8" type="noConversion"/>
  </si>
  <si>
    <t>雨育和深水</t>
    <phoneticPr fontId="8" type="noConversion"/>
  </si>
  <si>
    <t>请选择季节前水分管理模式</t>
    <phoneticPr fontId="8" type="noConversion"/>
  </si>
  <si>
    <t>季节前非漫灌期&lt;180天</t>
    <phoneticPr fontId="8" type="noConversion"/>
  </si>
  <si>
    <t>季节前非漫灌期&gt;180天</t>
    <phoneticPr fontId="8" type="noConversion"/>
  </si>
  <si>
    <t>请选择有机物改良类型</t>
    <phoneticPr fontId="8" type="noConversion"/>
  </si>
  <si>
    <t>秸秆燃烧</t>
    <phoneticPr fontId="8" type="noConversion"/>
  </si>
  <si>
    <t>秸秆移除</t>
    <phoneticPr fontId="8" type="noConversion"/>
  </si>
  <si>
    <t>种植前短期（&lt;30天）秸秆还田</t>
    <phoneticPr fontId="8" type="noConversion"/>
  </si>
  <si>
    <t>种植前长期（&gt;30天）秸秆还田</t>
    <phoneticPr fontId="8" type="noConversion"/>
  </si>
  <si>
    <t>堆肥</t>
    <phoneticPr fontId="8" type="noConversion"/>
  </si>
  <si>
    <t>农家肥</t>
    <phoneticPr fontId="8" type="noConversion"/>
  </si>
  <si>
    <t>绿肥</t>
    <phoneticPr fontId="8" type="noConversion"/>
  </si>
  <si>
    <t>请选择</t>
    <phoneticPr fontId="8" type="noConversion"/>
  </si>
  <si>
    <t>山羊</t>
    <phoneticPr fontId="8" type="noConversion"/>
  </si>
  <si>
    <t>骆驼</t>
    <phoneticPr fontId="8" type="noConversion"/>
  </si>
  <si>
    <t>马</t>
    <phoneticPr fontId="8" type="noConversion"/>
  </si>
  <si>
    <t>骡和驴</t>
    <phoneticPr fontId="8" type="noConversion"/>
  </si>
  <si>
    <t>禽</t>
    <phoneticPr fontId="8" type="noConversion"/>
  </si>
  <si>
    <t>鹿</t>
    <phoneticPr fontId="8" type="noConversion"/>
  </si>
  <si>
    <t>羊驼</t>
    <phoneticPr fontId="8" type="noConversion"/>
  </si>
  <si>
    <t>未退化</t>
    <phoneticPr fontId="8" type="noConversion"/>
  </si>
  <si>
    <t>重度退化</t>
    <phoneticPr fontId="8" type="noConversion"/>
  </si>
  <si>
    <t>无投入品管理改良</t>
    <phoneticPr fontId="8" type="noConversion"/>
  </si>
  <si>
    <t>有投入品管理改良</t>
    <phoneticPr fontId="8" type="noConversion"/>
  </si>
  <si>
    <t>选择状态</t>
    <phoneticPr fontId="8" type="noConversion"/>
  </si>
  <si>
    <t>选择水平</t>
    <phoneticPr fontId="8" type="noConversion"/>
  </si>
  <si>
    <t>极低</t>
    <phoneticPr fontId="8" type="noConversion"/>
  </si>
  <si>
    <t>低</t>
    <phoneticPr fontId="8" type="noConversion"/>
  </si>
  <si>
    <t>中</t>
    <phoneticPr fontId="8" type="noConversion"/>
  </si>
  <si>
    <t>大</t>
    <phoneticPr fontId="8" type="noConversion"/>
  </si>
  <si>
    <t>极大</t>
    <phoneticPr fontId="8" type="noConversion"/>
  </si>
  <si>
    <t>无灌溉径流回水系统的地表</t>
    <phoneticPr fontId="8" type="noConversion"/>
  </si>
  <si>
    <t>有灌溉径流回水系统的地表</t>
    <phoneticPr fontId="8" type="noConversion"/>
  </si>
  <si>
    <t>固定式喷灌</t>
    <phoneticPr fontId="8" type="noConversion"/>
  </si>
  <si>
    <t>永久性喷灌</t>
    <phoneticPr fontId="8" type="noConversion"/>
  </si>
  <si>
    <t>手工移动喷灌</t>
    <phoneticPr fontId="8" type="noConversion"/>
  </si>
  <si>
    <t>固定卷盘式喷灌</t>
    <phoneticPr fontId="8" type="noConversion"/>
  </si>
  <si>
    <t>圆形喷灌</t>
    <phoneticPr fontId="8" type="noConversion"/>
  </si>
  <si>
    <t>自走式喷灌</t>
    <phoneticPr fontId="8" type="noConversion"/>
  </si>
  <si>
    <t>滴灌</t>
    <phoneticPr fontId="8" type="noConversion"/>
  </si>
  <si>
    <t>房舍（砖混）</t>
    <phoneticPr fontId="8" type="noConversion"/>
  </si>
  <si>
    <t>农用建筑（砖混）</t>
    <phoneticPr fontId="8" type="noConversion"/>
  </si>
  <si>
    <t>农用建筑（金属）</t>
    <phoneticPr fontId="8" type="noConversion"/>
  </si>
  <si>
    <t>工业建筑（砖混）</t>
    <phoneticPr fontId="8" type="noConversion"/>
  </si>
  <si>
    <t>工业建筑（金属）</t>
    <phoneticPr fontId="8" type="noConversion"/>
  </si>
  <si>
    <t>车库（砖混）</t>
    <phoneticPr fontId="8" type="noConversion"/>
  </si>
  <si>
    <t>车库（金属）</t>
    <phoneticPr fontId="8" type="noConversion"/>
  </si>
  <si>
    <t>办公用房（砖混）</t>
    <phoneticPr fontId="8" type="noConversion"/>
  </si>
  <si>
    <t>办公用房（金属）</t>
    <phoneticPr fontId="8" type="noConversion"/>
  </si>
  <si>
    <t>其他（砖混）</t>
    <phoneticPr fontId="8" type="noConversion"/>
  </si>
  <si>
    <t>其他（金属）</t>
    <phoneticPr fontId="8" type="noConversion"/>
  </si>
  <si>
    <t>中交通量道路（混凝土）</t>
    <phoneticPr fontId="8" type="noConversion"/>
  </si>
  <si>
    <t>中交通量道路（沥青）</t>
    <phoneticPr fontId="8" type="noConversion"/>
  </si>
  <si>
    <t>高交通量道路（混凝土）</t>
    <phoneticPr fontId="8" type="noConversion"/>
  </si>
  <si>
    <t>高交通量道路（沥青）</t>
    <phoneticPr fontId="8" type="noConversion"/>
  </si>
  <si>
    <t>官方（第1时段2008-2012）</t>
    <phoneticPr fontId="8" type="noConversion"/>
  </si>
  <si>
    <t>官方（第2时段2013-2020）</t>
    <phoneticPr fontId="8" type="noConversion"/>
  </si>
  <si>
    <t>GWP100最新更新（IPCC-2013）</t>
    <phoneticPr fontId="8" type="noConversion"/>
  </si>
  <si>
    <t>非主要</t>
    <phoneticPr fontId="8" type="noConversion"/>
  </si>
  <si>
    <t>非土壤</t>
    <phoneticPr fontId="8" type="noConversion"/>
  </si>
  <si>
    <t>？</t>
    <phoneticPr fontId="8" type="noConversion"/>
  </si>
  <si>
    <t>非洲</t>
    <phoneticPr fontId="8" type="noConversion"/>
  </si>
  <si>
    <t>美洲</t>
    <phoneticPr fontId="8" type="noConversion"/>
  </si>
  <si>
    <t>亚洲</t>
    <phoneticPr fontId="8" type="noConversion"/>
  </si>
  <si>
    <t>澳大利亚和新西兰</t>
    <phoneticPr fontId="8" type="noConversion"/>
  </si>
  <si>
    <t>加勒比</t>
    <phoneticPr fontId="8" type="noConversion"/>
  </si>
  <si>
    <t>中美洲</t>
    <phoneticPr fontId="8" type="noConversion"/>
  </si>
  <si>
    <t>中亚</t>
    <phoneticPr fontId="8" type="noConversion"/>
  </si>
  <si>
    <t>东非</t>
    <phoneticPr fontId="8" type="noConversion"/>
  </si>
  <si>
    <t>东亚</t>
    <phoneticPr fontId="8" type="noConversion"/>
  </si>
  <si>
    <t>东欧</t>
    <phoneticPr fontId="8" type="noConversion"/>
  </si>
  <si>
    <t>欧洲</t>
    <phoneticPr fontId="8" type="noConversion"/>
  </si>
  <si>
    <t>欧盟</t>
    <phoneticPr fontId="8" type="noConversion"/>
  </si>
  <si>
    <t>美拉尼西亚</t>
    <phoneticPr fontId="8" type="noConversion"/>
  </si>
  <si>
    <t>密克罗尼西亚</t>
    <phoneticPr fontId="8" type="noConversion"/>
  </si>
  <si>
    <t>中部非洲</t>
    <phoneticPr fontId="8" type="noConversion"/>
  </si>
  <si>
    <t>北部非洲</t>
    <phoneticPr fontId="8" type="noConversion"/>
  </si>
  <si>
    <t>北美洲</t>
    <phoneticPr fontId="8" type="noConversion"/>
  </si>
  <si>
    <t>北欧</t>
    <phoneticPr fontId="8" type="noConversion"/>
  </si>
  <si>
    <t>大洋洲</t>
    <phoneticPr fontId="8" type="noConversion"/>
  </si>
  <si>
    <t>波利尼西亚</t>
    <phoneticPr fontId="8" type="noConversion"/>
  </si>
  <si>
    <t>南美洲</t>
    <phoneticPr fontId="8" type="noConversion"/>
  </si>
  <si>
    <t>东南亚</t>
    <phoneticPr fontId="8" type="noConversion"/>
  </si>
  <si>
    <t>南部非洲</t>
    <phoneticPr fontId="8" type="noConversion"/>
  </si>
  <si>
    <t>南亚</t>
    <phoneticPr fontId="8" type="noConversion"/>
  </si>
  <si>
    <t>南欧</t>
    <phoneticPr fontId="8" type="noConversion"/>
  </si>
  <si>
    <t>西非</t>
    <phoneticPr fontId="8" type="noConversion"/>
  </si>
  <si>
    <t>西亚</t>
    <phoneticPr fontId="8" type="noConversion"/>
  </si>
  <si>
    <t>西欧</t>
    <phoneticPr fontId="8" type="noConversion"/>
  </si>
  <si>
    <t>世界</t>
    <phoneticPr fontId="8" type="noConversion"/>
  </si>
  <si>
    <t>?</t>
    <phoneticPr fontId="8" type="noConversion"/>
  </si>
  <si>
    <t>香蕉</t>
    <phoneticPr fontId="8" type="noConversion"/>
  </si>
  <si>
    <t>大麦</t>
    <phoneticPr fontId="8" type="noConversion"/>
  </si>
  <si>
    <t>豆类，干</t>
    <phoneticPr fontId="8" type="noConversion"/>
  </si>
  <si>
    <t>豆类，青</t>
    <phoneticPr fontId="8" type="noConversion"/>
  </si>
  <si>
    <t>胡萝卜和萝卜</t>
    <phoneticPr fontId="8" type="noConversion"/>
  </si>
  <si>
    <t>腰果，带壳</t>
    <phoneticPr fontId="8" type="noConversion"/>
  </si>
  <si>
    <t>木薯</t>
    <phoneticPr fontId="8" type="noConversion"/>
  </si>
  <si>
    <t>花椰菜和西兰花</t>
    <phoneticPr fontId="8" type="noConversion"/>
  </si>
  <si>
    <t>谷物（折合碾米）</t>
    <phoneticPr fontId="8" type="noConversion"/>
  </si>
  <si>
    <t>谷物，他处未涉及者</t>
    <phoneticPr fontId="8" type="noConversion"/>
  </si>
  <si>
    <t>板栗</t>
    <phoneticPr fontId="8" type="noConversion"/>
  </si>
  <si>
    <t>柑橘，他处未涉及者</t>
    <phoneticPr fontId="8" type="noConversion"/>
  </si>
  <si>
    <t>咖啡，青</t>
    <phoneticPr fontId="8" type="noConversion"/>
  </si>
  <si>
    <t>豇豆，干</t>
    <phoneticPr fontId="8" type="noConversion"/>
  </si>
  <si>
    <t>椰枣</t>
    <phoneticPr fontId="8" type="noConversion"/>
  </si>
  <si>
    <t>茄子</t>
    <phoneticPr fontId="8" type="noConversion"/>
  </si>
  <si>
    <t>纤维作物，他处未涉及者</t>
    <phoneticPr fontId="8" type="noConversion"/>
  </si>
  <si>
    <t>西柚（含柚子）</t>
    <phoneticPr fontId="8" type="noConversion"/>
  </si>
  <si>
    <t>葡萄</t>
    <phoneticPr fontId="8" type="noConversion"/>
  </si>
  <si>
    <t>椰子，带壳</t>
    <phoneticPr fontId="8" type="noConversion"/>
  </si>
  <si>
    <t>豆科蔬菜，他处未涉及者</t>
    <phoneticPr fontId="8" type="noConversion"/>
  </si>
  <si>
    <t>亚麻籽</t>
    <phoneticPr fontId="8" type="noConversion"/>
  </si>
  <si>
    <t>玉米</t>
    <phoneticPr fontId="8" type="noConversion"/>
  </si>
  <si>
    <t>玉米，青</t>
    <phoneticPr fontId="8" type="noConversion"/>
  </si>
  <si>
    <t>芒果、山竹、番石榴</t>
    <phoneticPr fontId="8" type="noConversion"/>
  </si>
  <si>
    <t>马黛茶</t>
    <phoneticPr fontId="8" type="noConversion"/>
  </si>
  <si>
    <t>小米</t>
    <phoneticPr fontId="8" type="noConversion"/>
  </si>
  <si>
    <t>燕麦</t>
    <phoneticPr fontId="8" type="noConversion"/>
  </si>
  <si>
    <t>油棕果</t>
    <phoneticPr fontId="8" type="noConversion"/>
  </si>
  <si>
    <t>橄榄</t>
    <phoneticPr fontId="8" type="noConversion"/>
  </si>
  <si>
    <t>洋葱，干</t>
    <phoneticPr fontId="8" type="noConversion"/>
  </si>
  <si>
    <t>橙子</t>
    <phoneticPr fontId="8" type="noConversion"/>
  </si>
  <si>
    <t>桃和油桃</t>
    <phoneticPr fontId="8" type="noConversion"/>
  </si>
  <si>
    <t>豌豆，干</t>
    <phoneticPr fontId="8" type="noConversion"/>
  </si>
  <si>
    <t>豌豆，青</t>
    <phoneticPr fontId="8" type="noConversion"/>
  </si>
  <si>
    <t>菠萝</t>
    <phoneticPr fontId="8" type="noConversion"/>
  </si>
  <si>
    <t>大蕉</t>
    <phoneticPr fontId="8" type="noConversion"/>
  </si>
  <si>
    <t>马铃薯</t>
    <phoneticPr fontId="8" type="noConversion"/>
  </si>
  <si>
    <t>杂豆，他处未涉及者</t>
    <phoneticPr fontId="8" type="noConversion"/>
  </si>
  <si>
    <t>藜麦</t>
    <phoneticPr fontId="8" type="noConversion"/>
  </si>
  <si>
    <t>稻米，稻谷</t>
    <phoneticPr fontId="8" type="noConversion"/>
  </si>
  <si>
    <t>根茎作物，他处未涉及者</t>
    <phoneticPr fontId="8" type="noConversion"/>
  </si>
  <si>
    <t>黑麦</t>
    <phoneticPr fontId="8" type="noConversion"/>
  </si>
  <si>
    <t>籽棉</t>
    <phoneticPr fontId="8" type="noConversion"/>
  </si>
  <si>
    <t>芝麻</t>
    <phoneticPr fontId="8" type="noConversion"/>
  </si>
  <si>
    <t>剑麻</t>
    <phoneticPr fontId="8" type="noConversion"/>
  </si>
  <si>
    <t>高粱</t>
    <phoneticPr fontId="8" type="noConversion"/>
  </si>
  <si>
    <t>大豆</t>
    <phoneticPr fontId="8" type="noConversion"/>
  </si>
  <si>
    <t>草莓</t>
    <phoneticPr fontId="8" type="noConversion"/>
  </si>
  <si>
    <t>甜菜</t>
    <phoneticPr fontId="8" type="noConversion"/>
  </si>
  <si>
    <t>甘蔗</t>
    <phoneticPr fontId="8" type="noConversion"/>
  </si>
  <si>
    <t>葵花籽</t>
    <phoneticPr fontId="8" type="noConversion"/>
  </si>
  <si>
    <t>甘薯</t>
    <phoneticPr fontId="8" type="noConversion"/>
  </si>
  <si>
    <t>柑橘、芦柑、蜜桔</t>
    <phoneticPr fontId="8" type="noConversion"/>
  </si>
  <si>
    <t>茶</t>
    <phoneticPr fontId="8" type="noConversion"/>
  </si>
  <si>
    <t>烟草，未加工</t>
    <phoneticPr fontId="8" type="noConversion"/>
  </si>
  <si>
    <t>西红柿</t>
    <phoneticPr fontId="8" type="noConversion"/>
  </si>
  <si>
    <t>小黑麦</t>
    <phoneticPr fontId="8" type="noConversion"/>
  </si>
  <si>
    <t>鲜蔬菜，他处未涉及者</t>
    <phoneticPr fontId="8" type="noConversion"/>
  </si>
  <si>
    <t>野豌豆</t>
    <phoneticPr fontId="8" type="noConversion"/>
  </si>
  <si>
    <t>小麦</t>
    <phoneticPr fontId="8" type="noConversion"/>
  </si>
  <si>
    <t>Descrição</t>
  </si>
  <si>
    <t>Melhores práticas agronômicas</t>
  </si>
  <si>
    <t>Manejos dos fertilizantes</t>
  </si>
  <si>
    <t>Manejo da palha / Plantio direito</t>
  </si>
  <si>
    <t>Manejo da água</t>
  </si>
  <si>
    <t>Manejo do esterco / adubo</t>
  </si>
  <si>
    <t>Definições</t>
  </si>
  <si>
    <t>Áreas (ha)</t>
  </si>
  <si>
    <t>Queima dos resíduos</t>
  </si>
  <si>
    <t>Anual apos desmatamento</t>
  </si>
  <si>
    <t>Anual convertido em A/R</t>
  </si>
  <si>
    <t>Anual apos outro uso</t>
  </si>
  <si>
    <r>
      <t>3.1.2. Sistemas anuais que permenecem sistemas anuais (</t>
    </r>
    <r>
      <rPr>
        <sz val="10"/>
        <rFont val="Calibri"/>
        <family val="2"/>
      </rPr>
      <t>á</t>
    </r>
    <r>
      <rPr>
        <sz val="10"/>
        <rFont val="Arial"/>
        <family val="2"/>
      </rPr>
      <t>rea total deve ser igual)</t>
    </r>
  </si>
  <si>
    <t>Total sist. anuais</t>
  </si>
  <si>
    <t>3.2. Sistemas perenes (agrofloresta, pomar, …)</t>
  </si>
  <si>
    <t>Perene apos desmatamento</t>
  </si>
  <si>
    <t>Perene convertido em A/R</t>
  </si>
  <si>
    <t>Perene apos outro uso</t>
  </si>
  <si>
    <t>Total sist. Perenes</t>
  </si>
  <si>
    <r>
      <t>3.2.2. Sistemas perenes que permenecem sistemas perenes (</t>
    </r>
    <r>
      <rPr>
        <sz val="10"/>
        <rFont val="Calibri"/>
        <family val="2"/>
      </rPr>
      <t>á</t>
    </r>
    <r>
      <rPr>
        <sz val="10"/>
        <rFont val="Arial"/>
        <family val="2"/>
      </rPr>
      <t>rea total deve ser igual)</t>
    </r>
  </si>
  <si>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</si>
  <si>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</si>
  <si>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</si>
  <si>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</si>
  <si>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</si>
  <si>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</si>
  <si>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</si>
  <si>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</si>
  <si>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r>
      <t>3.2.2. Sistemas de arroz irrigado que permenecem sistemas de arroz irrigado (</t>
    </r>
    <r>
      <rPr>
        <sz val="10"/>
        <rFont val="Calibri"/>
        <family val="2"/>
      </rPr>
      <t>á</t>
    </r>
    <r>
      <rPr>
        <sz val="10"/>
        <rFont val="Arial"/>
        <family val="2"/>
      </rPr>
      <t>rea total deve ser igual)</t>
    </r>
  </si>
  <si>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</si>
  <si>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</si>
  <si>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</si>
  <si>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</si>
  <si>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</si>
  <si>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</si>
  <si>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</si>
  <si>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</si>
  <si>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</si>
  <si>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</si>
  <si>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</si>
  <si>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</si>
  <si>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</si>
  <si>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</si>
  <si>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</si>
  <si>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</si>
  <si>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</si>
  <si>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</si>
  <si>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</si>
  <si>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</si>
  <si>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</si>
  <si>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</si>
  <si>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</si>
  <si>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</si>
  <si>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</si>
  <si>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</si>
  <si>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</si>
  <si>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</si>
  <si>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</si>
  <si>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</si>
  <si>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</si>
  <si>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</si>
  <si>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</si>
  <si>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</si>
  <si>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</si>
  <si>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</si>
  <si>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</si>
  <si>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</si>
  <si>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</si>
  <si>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</si>
  <si>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</si>
  <si>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</si>
  <si>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</si>
  <si>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</si>
  <si>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</si>
  <si>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</si>
  <si>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</si>
  <si>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</si>
  <si>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</si>
  <si>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</si>
  <si>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</si>
  <si>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</si>
  <si>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</si>
  <si>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</si>
  <si>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</si>
  <si>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</si>
  <si>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</si>
  <si>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</si>
  <si>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</si>
  <si>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</si>
  <si>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</si>
  <si>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</si>
  <si>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</si>
  <si>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</si>
  <si>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</si>
  <si>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</si>
  <si>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</si>
  <si>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</si>
  <si>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</si>
  <si>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</si>
  <si>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</si>
  <si>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</si>
  <si>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</si>
  <si>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</si>
  <si>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</si>
  <si>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</si>
  <si>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</si>
  <si>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</si>
  <si>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</si>
  <si>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</si>
  <si>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</si>
  <si>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</si>
  <si>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</si>
  <si>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</si>
  <si>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</si>
  <si>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</si>
  <si>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</si>
  <si>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</si>
  <si>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</si>
  <si>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</si>
  <si>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</si>
  <si>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</si>
  <si>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</si>
  <si>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</si>
  <si>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</si>
  <si>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</si>
  <si>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</si>
  <si>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</si>
  <si>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</si>
  <si>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</si>
  <si>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</si>
  <si>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</si>
  <si>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</si>
  <si>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</si>
  <si>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</si>
  <si>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</si>
  <si>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</si>
  <si>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</si>
  <si>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</si>
  <si>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</si>
  <si>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</si>
  <si>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</si>
  <si>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</si>
  <si>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</si>
  <si>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</si>
  <si>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</si>
  <si>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</si>
  <si>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</si>
  <si>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</si>
  <si>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</si>
  <si>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</si>
  <si>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</si>
  <si>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</si>
  <si>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</si>
  <si>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</si>
  <si>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</si>
  <si>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</si>
  <si>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</si>
  <si>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</si>
  <si>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</si>
  <si>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Version 6.0 - Edición Multilingüe</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</si>
  <si>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</si>
  <si>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</si>
  <si>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</si>
  <si>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</si>
  <si>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</si>
  <si>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</si>
  <si>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</si>
  <si>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</si>
  <si>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</si>
  <si>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</si>
  <si>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</si>
  <si>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</si>
  <si>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</si>
  <si>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</si>
  <si>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</si>
  <si>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</si>
  <si>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</si>
  <si>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</si>
  <si>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</si>
  <si>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</si>
  <si>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</si>
  <si>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</si>
  <si>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</si>
  <si>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</si>
  <si>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</si>
  <si>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</si>
  <si>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</si>
  <si>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</si>
  <si>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</si>
  <si>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</si>
  <si>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</si>
  <si>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</si>
  <si>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</si>
  <si>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</si>
  <si>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</si>
  <si>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</si>
  <si>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</si>
  <si>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</si>
  <si>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</si>
  <si>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</si>
  <si>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</si>
  <si>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</si>
  <si>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</si>
  <si>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</si>
  <si>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</si>
  <si>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</si>
  <si>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</si>
  <si>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</si>
  <si>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</si>
  <si>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</si>
  <si>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</si>
  <si>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</si>
  <si>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</si>
  <si>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</si>
  <si>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</si>
  <si>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</si>
  <si>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No laboreo/manejo de residuos</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</si>
  <si>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</si>
  <si>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</si>
  <si>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</si>
  <si>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</si>
  <si>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</si>
  <si>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</si>
  <si>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</si>
  <si>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</si>
  <si>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</si>
  <si>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</si>
  <si>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</si>
  <si>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</si>
  <si>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</si>
  <si>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</si>
  <si>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</si>
  <si>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</si>
  <si>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</si>
  <si>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</si>
  <si>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</si>
  <si>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</si>
  <si>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</si>
  <si>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</si>
  <si>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</si>
  <si>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</si>
  <si>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</si>
  <si>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</si>
  <si>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Residuos/Biomasa disponible para quemar</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</si>
  <si>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</si>
  <si>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</si>
  <si>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</si>
  <si>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</si>
  <si>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</si>
  <si>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</si>
  <si>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</si>
  <si>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</si>
  <si>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</si>
  <si>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</si>
  <si>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</si>
  <si>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</si>
  <si>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</si>
  <si>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</si>
  <si>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</si>
  <si>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</si>
  <si>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</si>
  <si>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</si>
  <si>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</si>
  <si>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</si>
  <si>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</si>
  <si>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</si>
  <si>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</si>
  <si>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</si>
  <si>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</si>
  <si>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</si>
  <si>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</si>
  <si>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</si>
  <si>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</si>
  <si>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</si>
  <si>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</si>
  <si>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</si>
  <si>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</si>
  <si>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</si>
  <si>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</si>
  <si>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</si>
  <si>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</si>
  <si>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</si>
  <si>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</si>
  <si>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</si>
  <si>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</si>
  <si>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</si>
  <si>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</si>
  <si>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</si>
  <si>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</si>
  <si>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</si>
  <si>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</si>
  <si>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</si>
  <si>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</si>
  <si>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</si>
  <si>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</si>
  <si>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</si>
  <si>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</si>
  <si>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</si>
  <si>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</si>
  <si>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</si>
  <si>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</si>
  <si>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</si>
  <si>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</si>
  <si>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</si>
  <si>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</si>
  <si>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</si>
  <si>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</si>
  <si>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</si>
  <si>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</si>
  <si>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</si>
  <si>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</si>
  <si>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</si>
  <si>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</si>
  <si>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</si>
  <si>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</si>
  <si>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</si>
  <si>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</si>
  <si>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</si>
  <si>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</si>
  <si>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</si>
  <si>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</si>
  <si>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</si>
  <si>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</si>
  <si>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</si>
  <si>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</si>
  <si>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</si>
  <si>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</si>
  <si>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</si>
  <si>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</si>
  <si>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</si>
  <si>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</si>
  <si>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</si>
  <si>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</si>
  <si>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</si>
  <si>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</si>
  <si>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</si>
  <si>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</si>
  <si>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</si>
  <si>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</si>
  <si>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</si>
  <si>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</si>
  <si>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</si>
  <si>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</si>
  <si>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</si>
  <si>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</si>
  <si>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</si>
  <si>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</si>
  <si>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</si>
  <si>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</si>
  <si>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</si>
  <si>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</si>
  <si>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</si>
  <si>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</si>
  <si>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</si>
  <si>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</si>
  <si>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</si>
  <si>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</si>
  <si>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</si>
  <si>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</si>
  <si>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</si>
  <si>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</si>
  <si>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</si>
  <si>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</si>
  <si>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</si>
  <si>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</si>
  <si>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</si>
  <si>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</si>
  <si>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</si>
  <si>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</si>
  <si>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</si>
  <si>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</si>
  <si>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</si>
  <si>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</si>
  <si>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</si>
  <si>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</si>
  <si>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</si>
  <si>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</si>
  <si>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</si>
  <si>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</si>
  <si>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</si>
  <si>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</si>
  <si>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</si>
  <si>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</si>
  <si>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</si>
  <si>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</si>
  <si>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</si>
  <si>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</si>
  <si>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</si>
  <si>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</si>
  <si>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</si>
  <si>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</si>
  <si>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</si>
  <si>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</si>
  <si>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</si>
  <si>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</si>
  <si>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</si>
  <si>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</si>
  <si>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</si>
  <si>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</si>
  <si>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</si>
  <si>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</si>
  <si>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</si>
  <si>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</si>
  <si>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</si>
  <si>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</si>
  <si>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</si>
  <si>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</si>
  <si>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</si>
  <si>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</si>
  <si>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</si>
  <si>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</si>
  <si>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</si>
  <si>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</si>
  <si>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</si>
  <si>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</si>
  <si>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</si>
  <si>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</si>
  <si>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</si>
  <si>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</si>
  <si>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</si>
  <si>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</si>
  <si>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</si>
  <si>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</si>
  <si>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</si>
  <si>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</si>
  <si>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</si>
  <si>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</si>
  <si>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</si>
  <si>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</si>
  <si>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</si>
  <si>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</si>
  <si>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</si>
  <si>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</si>
  <si>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</si>
  <si>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</si>
  <si>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</si>
  <si>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</si>
  <si>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</si>
  <si>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</si>
  <si>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</si>
  <si>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</si>
  <si>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</si>
  <si>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</si>
  <si>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</si>
  <si>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</si>
  <si>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</si>
  <si>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</si>
  <si>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</si>
  <si>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</si>
  <si>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</si>
  <si>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</si>
  <si>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</si>
  <si>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</si>
  <si>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</si>
  <si>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</si>
  <si>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</si>
  <si>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</si>
  <si>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</si>
  <si>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</si>
  <si>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</si>
  <si>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</si>
  <si>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</si>
  <si>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</si>
  <si>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</si>
  <si>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</si>
  <si>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</si>
  <si>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</si>
  <si>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</si>
  <si>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</si>
  <si>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</si>
  <si>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</si>
  <si>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</si>
  <si>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</si>
  <si>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</si>
  <si>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</si>
  <si>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</si>
  <si>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</si>
  <si>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</si>
  <si>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</si>
  <si>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</si>
  <si>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</si>
  <si>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</si>
  <si>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</si>
  <si>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</si>
  <si>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</si>
  <si>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</si>
  <si>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</si>
  <si>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</si>
  <si>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</si>
  <si>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</si>
  <si>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</si>
  <si>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</si>
  <si>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</si>
  <si>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</si>
  <si>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</si>
  <si>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</si>
  <si>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</si>
  <si>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</si>
  <si>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</si>
  <si>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</si>
  <si>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</si>
  <si>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</si>
  <si>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</si>
  <si>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</si>
  <si>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</si>
  <si>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</si>
  <si>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</si>
  <si>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</si>
  <si>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</si>
  <si>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</si>
  <si>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</si>
  <si>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Últimos 5 años (2006-2010)</t>
  </si>
  <si>
    <t>Últimos 10 años (2001-2010)</t>
  </si>
  <si>
    <t>Últimos 20 años (1991-2010)</t>
  </si>
  <si>
    <t>Últimos 25 años (1986-2010)</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</si>
  <si>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</si>
  <si>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</si>
  <si>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</si>
  <si>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</si>
  <si>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</si>
  <si>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</si>
  <si>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</si>
  <si>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</si>
  <si>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</si>
  <si>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</si>
  <si>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</si>
  <si>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</si>
  <si>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</si>
  <si>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</si>
  <si>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</si>
  <si>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</si>
  <si>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</si>
  <si>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</si>
  <si>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</si>
  <si>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</si>
  <si>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</si>
  <si>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</si>
  <si>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</si>
  <si>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</si>
  <si>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</si>
  <si>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</si>
  <si>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</si>
  <si>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</si>
  <si>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</si>
  <si>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</si>
  <si>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</si>
  <si>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</si>
  <si>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</si>
  <si>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</si>
  <si>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</si>
  <si>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</si>
  <si>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</si>
  <si>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</si>
  <si>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</si>
  <si>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</si>
  <si>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</si>
  <si>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</si>
  <si>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</si>
  <si>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</si>
  <si>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</si>
  <si>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</si>
  <si>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</si>
  <si>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</si>
  <si>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</si>
  <si>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</si>
  <si>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</si>
  <si>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</si>
  <si>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</si>
  <si>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</si>
  <si>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</si>
  <si>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</si>
  <si>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</si>
  <si>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</si>
  <si>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</si>
  <si>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</si>
  <si>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</si>
  <si>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</si>
  <si>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Final=Inicial: Compruebe!</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</si>
  <si>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</si>
  <si>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</si>
  <si>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</si>
  <si>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</si>
  <si>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</si>
  <si>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</si>
  <si>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</si>
  <si>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</si>
  <si>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</si>
  <si>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</si>
  <si>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</si>
  <si>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</si>
  <si>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</si>
  <si>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</si>
  <si>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</si>
  <si>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</si>
  <si>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</si>
  <si>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</si>
  <si>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</si>
  <si>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</si>
  <si>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</si>
  <si>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</si>
  <si>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</si>
  <si>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</si>
  <si>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</si>
  <si>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</si>
  <si>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</si>
  <si>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</si>
  <si>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</si>
  <si>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</si>
  <si>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</si>
  <si>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</si>
  <si>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</si>
  <si>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</si>
  <si>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</si>
  <si>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</si>
  <si>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</si>
  <si>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</si>
  <si>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</si>
  <si>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</si>
  <si>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</si>
  <si>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</si>
  <si>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</si>
  <si>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</si>
  <si>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</si>
  <si>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</si>
  <si>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</si>
  <si>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</si>
  <si>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</si>
  <si>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</si>
  <si>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</si>
  <si>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</si>
  <si>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</si>
  <si>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</si>
  <si>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</si>
  <si>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</si>
  <si>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</si>
  <si>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</si>
  <si>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</si>
  <si>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</si>
  <si>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</si>
  <si>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</si>
  <si>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</si>
  <si>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</si>
  <si>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</si>
  <si>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</si>
  <si>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</si>
  <si>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</si>
  <si>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</si>
  <si>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</si>
  <si>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</si>
  <si>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</si>
  <si>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</si>
  <si>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</si>
  <si>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</si>
  <si>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</si>
  <si>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</si>
  <si>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</si>
  <si>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</si>
  <si>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</si>
  <si>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</si>
  <si>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</si>
  <si>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</si>
  <si>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</si>
  <si>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</si>
  <si>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</si>
  <si>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</si>
  <si>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</si>
  <si>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</si>
  <si>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</si>
  <si>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</si>
  <si>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</si>
  <si>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</si>
  <si>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</si>
  <si>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</si>
  <si>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</si>
  <si>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</si>
  <si>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</si>
  <si>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</si>
  <si>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</si>
  <si>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</si>
  <si>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</si>
  <si>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</si>
  <si>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</si>
  <si>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</si>
  <si>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</si>
  <si>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</si>
  <si>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</si>
  <si>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</si>
  <si>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</si>
  <si>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</si>
  <si>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</si>
  <si>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</si>
  <si>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</si>
  <si>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</si>
  <si>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</si>
  <si>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</si>
  <si>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</si>
  <si>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</si>
  <si>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</si>
  <si>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</si>
  <si>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</si>
  <si>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</si>
  <si>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</si>
  <si>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</si>
  <si>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</si>
  <si>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</si>
  <si>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</si>
  <si>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</si>
  <si>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</si>
  <si>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</si>
  <si>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</si>
  <si>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</si>
  <si>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</si>
  <si>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</si>
  <si>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</si>
  <si>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</si>
  <si>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</si>
  <si>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</si>
  <si>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</si>
  <si>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</si>
  <si>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</si>
  <si>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</si>
  <si>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</si>
  <si>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</si>
  <si>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</si>
  <si>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</si>
  <si>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</si>
  <si>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</si>
  <si>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</si>
  <si>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</si>
  <si>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</si>
  <si>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</si>
  <si>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</si>
  <si>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</si>
  <si>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</si>
  <si>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</si>
  <si>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</si>
  <si>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</si>
  <si>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</si>
  <si>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</si>
  <si>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</si>
  <si>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</si>
  <si>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</si>
  <si>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</si>
  <si>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</si>
  <si>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</si>
  <si>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</si>
  <si>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</si>
  <si>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</si>
  <si>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</si>
  <si>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</si>
  <si>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</si>
  <si>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</si>
  <si>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</si>
  <si>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</si>
  <si>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</si>
  <si>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</si>
  <si>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</si>
  <si>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</si>
  <si>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</si>
  <si>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</si>
  <si>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</si>
  <si>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</si>
  <si>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</si>
  <si>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</si>
  <si>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</si>
  <si>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</si>
  <si>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</si>
  <si>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</si>
  <si>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</si>
  <si>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 SRE = Sistema de Retorno via Escoamento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</si>
  <si>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</si>
  <si>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</si>
  <si>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</si>
  <si>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</si>
  <si>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</si>
  <si>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</si>
  <si>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</si>
  <si>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</si>
  <si>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</si>
  <si>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</si>
  <si>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</si>
  <si>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</si>
  <si>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</si>
  <si>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</si>
  <si>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</si>
  <si>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</si>
  <si>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</si>
  <si>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</si>
  <si>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</si>
  <si>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</si>
  <si>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</si>
  <si>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</si>
  <si>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</si>
  <si>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</si>
  <si>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</si>
  <si>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</si>
  <si>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</si>
  <si>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</si>
  <si>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</si>
  <si>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</si>
  <si>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</si>
  <si>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</si>
  <si>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</si>
  <si>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</si>
  <si>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Positivo = Fonte / negativo = Sumidouro</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</si>
  <si>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</si>
  <si>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</si>
  <si>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</si>
  <si>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</si>
  <si>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</si>
  <si>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</si>
  <si>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</si>
  <si>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</si>
  <si>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</si>
  <si>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</si>
  <si>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</si>
  <si>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</si>
  <si>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</si>
  <si>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</si>
  <si>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</si>
  <si>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</si>
  <si>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</si>
  <si>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</si>
  <si>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</si>
  <si>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</si>
  <si>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</si>
  <si>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</si>
  <si>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</si>
  <si>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</si>
  <si>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</si>
  <si>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</si>
  <si>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</si>
  <si>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</si>
  <si>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</si>
  <si>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</si>
  <si>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</si>
  <si>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</si>
  <si>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</si>
  <si>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</si>
  <si>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</si>
  <si>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</si>
  <si>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</si>
  <si>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</si>
  <si>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</si>
  <si>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</si>
  <si>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</si>
  <si>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</si>
  <si>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</si>
  <si>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</si>
  <si>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</si>
  <si>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</si>
  <si>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</si>
  <si>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</si>
  <si>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</si>
  <si>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</si>
  <si>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</si>
  <si>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</si>
  <si>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</si>
  <si>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</si>
  <si>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</si>
  <si>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</si>
  <si>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</si>
  <si>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</si>
  <si>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</si>
  <si>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</si>
  <si>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</si>
  <si>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</si>
  <si>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</si>
  <si>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</si>
  <si>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</si>
  <si>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</si>
  <si>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</si>
  <si>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</si>
  <si>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</si>
  <si>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</si>
  <si>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</si>
  <si>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</si>
  <si>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</si>
  <si>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</si>
  <si>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</si>
  <si>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ETP=Evapo-Transpiração Potencial</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</si>
  <si>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</si>
  <si>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</si>
  <si>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</si>
  <si>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</si>
  <si>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</si>
  <si>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</si>
  <si>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</si>
  <si>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</si>
  <si>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</si>
  <si>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</si>
  <si>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</si>
  <si>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</si>
  <si>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</si>
  <si>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</si>
  <si>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</si>
  <si>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</si>
  <si>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</si>
  <si>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</si>
  <si>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</si>
  <si>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</si>
  <si>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</si>
  <si>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</si>
  <si>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</si>
  <si>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</si>
  <si>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</si>
  <si>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</si>
  <si>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</si>
  <si>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</si>
  <si>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</si>
  <si>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</si>
  <si>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</si>
  <si>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</si>
  <si>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</si>
  <si>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Últimos 5 anos (2006-2010)</t>
  </si>
  <si>
    <t>Últimos 10 anos (2001-2010)</t>
  </si>
  <si>
    <t>Last 10 yr (2001-2010)</t>
  </si>
  <si>
    <t>Últimos 20 anos (1991-2010)</t>
  </si>
  <si>
    <t>Últimos 25yr (1986-2010)</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</si>
  <si>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</si>
  <si>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</si>
  <si>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</si>
  <si>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</si>
  <si>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</si>
  <si>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</si>
  <si>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</si>
  <si>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</si>
  <si>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</si>
  <si>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</si>
  <si>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</si>
  <si>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</si>
  <si>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</si>
  <si>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</si>
  <si>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</si>
  <si>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</si>
  <si>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</si>
  <si>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</si>
  <si>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</si>
  <si>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</si>
  <si>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</si>
  <si>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</si>
  <si>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</si>
  <si>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</si>
  <si>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</si>
  <si>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</si>
  <si>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</si>
  <si>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</si>
  <si>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</si>
  <si>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</si>
  <si>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</si>
  <si>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</si>
  <si>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</si>
  <si>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</si>
  <si>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</si>
  <si>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</si>
  <si>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</si>
  <si>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</si>
  <si>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</si>
  <si>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</si>
  <si>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</si>
  <si>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</si>
  <si>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</si>
  <si>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</si>
  <si>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</si>
  <si>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</si>
  <si>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</si>
  <si>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</si>
  <si>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</si>
  <si>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</si>
  <si>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</si>
  <si>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</si>
  <si>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</si>
  <si>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</si>
  <si>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</si>
  <si>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</si>
  <si>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</si>
  <si>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</si>
  <si>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</si>
  <si>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</si>
  <si>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</si>
  <si>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</si>
  <si>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</si>
  <si>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</si>
  <si>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</si>
  <si>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</si>
  <si>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</si>
  <si>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</si>
  <si>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</si>
  <si>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</si>
  <si>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</si>
  <si>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</si>
  <si>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</si>
  <si>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</si>
  <si>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</si>
  <si>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</si>
  <si>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</si>
  <si>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</si>
  <si>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</si>
  <si>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</si>
  <si>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</si>
  <si>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</si>
  <si>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</si>
  <si>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</si>
  <si>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</si>
  <si>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</si>
  <si>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</si>
  <si>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</si>
  <si>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</si>
  <si>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</si>
  <si>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</si>
  <si>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</si>
  <si>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</si>
  <si>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</si>
  <si>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</si>
  <si>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</si>
  <si>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</si>
  <si>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</si>
  <si>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</si>
  <si>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</si>
  <si>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</si>
  <si>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Traducción de los campos: "Inicio", "Descripción", "Cambio de uso", "Producción agrícola", "Pasto / Ganadería", "la degradación y la gestión", "Insumos e Investimentos" y "Resultados detallados"</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</si>
  <si>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</si>
  <si>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</si>
  <si>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</si>
  <si>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</si>
  <si>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</si>
  <si>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</si>
  <si>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</si>
  <si>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</si>
  <si>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</si>
  <si>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</si>
  <si>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</si>
  <si>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</si>
  <si>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</si>
  <si>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</si>
  <si>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</si>
  <si>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</si>
  <si>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</si>
  <si>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</si>
  <si>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</si>
  <si>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</si>
  <si>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</si>
  <si>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</si>
  <si>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</si>
  <si>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</si>
  <si>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</si>
  <si>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</si>
  <si>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</si>
  <si>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</si>
  <si>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</si>
  <si>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</si>
  <si>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</si>
  <si>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</si>
  <si>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</si>
  <si>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</si>
  <si>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</si>
  <si>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</si>
  <si>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</si>
  <si>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</si>
  <si>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</si>
  <si>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</si>
  <si>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</si>
  <si>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</si>
  <si>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</si>
  <si>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</si>
  <si>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</si>
  <si>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</si>
  <si>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</si>
  <si>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</si>
  <si>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</si>
  <si>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</si>
  <si>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</si>
  <si>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</si>
  <si>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</si>
  <si>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</si>
  <si>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</si>
  <si>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</si>
  <si>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</si>
  <si>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</si>
  <si>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</si>
  <si>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</si>
  <si>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</si>
  <si>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</si>
  <si>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</si>
  <si>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</si>
  <si>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</si>
  <si>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</si>
  <si>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</si>
  <si>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</si>
  <si>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</si>
  <si>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</si>
  <si>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</si>
  <si>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</si>
  <si>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</si>
  <si>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</si>
  <si>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</si>
  <si>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</si>
  <si>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</si>
  <si>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</si>
  <si>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</si>
  <si>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</si>
  <si>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</si>
  <si>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</si>
  <si>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</si>
  <si>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</si>
  <si>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</si>
  <si>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</si>
  <si>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</si>
  <si>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</si>
  <si>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</si>
  <si>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</si>
  <si>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</si>
  <si>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</si>
  <si>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</si>
  <si>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</si>
  <si>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</si>
  <si>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</si>
  <si>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</si>
  <si>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</si>
  <si>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</si>
  <si>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</si>
  <si>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</si>
  <si>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</si>
  <si>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</si>
  <si>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</si>
  <si>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</si>
  <si>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</si>
  <si>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</si>
  <si>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</si>
  <si>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</si>
  <si>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</si>
  <si>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</si>
  <si>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</si>
  <si>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</si>
  <si>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</si>
  <si>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</si>
  <si>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</si>
  <si>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</si>
  <si>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</si>
  <si>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</si>
  <si>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</si>
  <si>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</si>
  <si>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</si>
  <si>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</si>
  <si>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</si>
  <si>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</si>
  <si>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</si>
  <si>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</si>
  <si>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</si>
  <si>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</si>
  <si>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</si>
  <si>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</si>
  <si>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</si>
  <si>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</si>
  <si>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</si>
  <si>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</si>
  <si>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</si>
  <si>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</si>
  <si>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</si>
  <si>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</si>
  <si>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</si>
  <si>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</si>
  <si>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</si>
  <si>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</si>
  <si>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</si>
  <si>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</si>
  <si>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</si>
  <si>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</si>
  <si>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</si>
  <si>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</si>
  <si>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</si>
  <si>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</si>
  <si>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</si>
  <si>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</si>
  <si>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</si>
  <si>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</si>
  <si>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</si>
  <si>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</si>
  <si>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</si>
  <si>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</si>
  <si>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</si>
  <si>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</si>
  <si>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</si>
  <si>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</si>
  <si>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</si>
  <si>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</si>
  <si>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</si>
  <si>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</si>
  <si>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</si>
  <si>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</si>
  <si>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</si>
  <si>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</si>
  <si>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</si>
  <si>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</si>
  <si>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</si>
  <si>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</si>
  <si>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</si>
  <si>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</si>
  <si>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</si>
  <si>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</si>
  <si>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</si>
  <si>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</si>
  <si>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</si>
  <si>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</si>
  <si>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</si>
  <si>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</si>
  <si>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</si>
  <si>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</si>
  <si>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</si>
  <si>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</si>
  <si>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</si>
  <si>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</si>
  <si>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</si>
  <si>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</si>
  <si>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</si>
  <si>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</si>
  <si>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</si>
  <si>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</si>
  <si>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</si>
  <si>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</si>
  <si>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</si>
  <si>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</si>
  <si>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</si>
  <si>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</si>
  <si>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</si>
  <si>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</si>
  <si>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</si>
  <si>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</si>
  <si>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</si>
  <si>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</si>
  <si>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</si>
  <si>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</si>
  <si>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</si>
  <si>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</si>
  <si>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</si>
  <si>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</si>
  <si>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</si>
  <si>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</si>
  <si>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</si>
  <si>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</si>
  <si>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</si>
  <si>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</si>
  <si>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</si>
  <si>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</si>
  <si>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</si>
  <si>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</si>
  <si>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</si>
  <si>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</si>
  <si>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</si>
  <si>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</si>
  <si>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</si>
  <si>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</si>
  <si>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</si>
  <si>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</si>
  <si>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</si>
  <si>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</si>
  <si>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</si>
  <si>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</si>
  <si>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</si>
  <si>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</si>
  <si>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</si>
  <si>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</si>
  <si>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</si>
  <si>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</si>
  <si>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</si>
  <si>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</si>
  <si>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</si>
  <si>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</si>
  <si>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</si>
  <si>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Version 6.0 - Mehrsprachige Ausgabe</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</si>
  <si>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</si>
  <si>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</si>
  <si>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</si>
  <si>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</si>
  <si>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</si>
  <si>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</si>
  <si>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</si>
  <si>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</si>
  <si>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</si>
  <si>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</si>
  <si>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</si>
  <si>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</si>
  <si>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</si>
  <si>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</si>
  <si>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</si>
  <si>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</si>
  <si>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</si>
  <si>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</si>
  <si>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</si>
  <si>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</si>
  <si>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</si>
  <si>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</si>
  <si>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</si>
  <si>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</si>
  <si>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</si>
  <si>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</si>
  <si>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</si>
  <si>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</si>
  <si>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</si>
  <si>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</si>
  <si>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</si>
  <si>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</si>
  <si>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</si>
  <si>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</si>
  <si>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</si>
  <si>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</si>
  <si>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</si>
  <si>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</si>
  <si>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</si>
  <si>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</si>
  <si>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</si>
  <si>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</si>
  <si>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</si>
  <si>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Reduzierte Bodenbearbeitung/ Einarbeitung von Ernterückständen</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</si>
  <si>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</si>
  <si>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</si>
  <si>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</si>
  <si>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</si>
  <si>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</si>
  <si>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</si>
  <si>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</si>
  <si>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</si>
  <si>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</si>
  <si>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</si>
  <si>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</si>
  <si>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</si>
  <si>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</si>
  <si>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</si>
  <si>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</si>
  <si>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</si>
  <si>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</si>
  <si>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</si>
  <si>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</si>
  <si>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</si>
  <si>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</si>
  <si>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</si>
  <si>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Ernterückstände/Biomasse verfügbar zur Verbrennung</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</si>
  <si>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</si>
  <si>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</si>
  <si>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</si>
  <si>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</si>
  <si>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</si>
  <si>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</si>
  <si>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</si>
  <si>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</si>
  <si>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</si>
  <si>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</si>
  <si>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</si>
  <si>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</si>
  <si>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</si>
  <si>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</si>
  <si>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</si>
  <si>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</si>
  <si>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</si>
  <si>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</si>
  <si>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</si>
  <si>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</si>
  <si>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</si>
  <si>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</si>
  <si>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</si>
  <si>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</si>
  <si>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</si>
  <si>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</si>
  <si>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</si>
  <si>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</si>
  <si>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</si>
  <si>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</si>
  <si>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</si>
  <si>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</si>
  <si>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</si>
  <si>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</si>
  <si>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</si>
  <si>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</si>
  <si>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</si>
  <si>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</si>
  <si>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</si>
  <si>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</si>
  <si>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</si>
  <si>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</si>
  <si>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</si>
  <si>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</si>
  <si>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</si>
  <si>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</si>
  <si>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</si>
  <si>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</si>
  <si>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</si>
  <si>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</si>
  <si>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</si>
  <si>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</si>
  <si>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</si>
  <si>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</si>
  <si>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</si>
  <si>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</si>
  <si>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</si>
  <si>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</si>
  <si>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</si>
  <si>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</si>
  <si>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</si>
  <si>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</si>
  <si>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</si>
  <si>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</si>
  <si>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</si>
  <si>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</si>
  <si>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</si>
  <si>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</si>
  <si>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</si>
  <si>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</si>
  <si>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</si>
  <si>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</si>
  <si>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</si>
  <si>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</si>
  <si>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</si>
  <si>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</si>
  <si>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</si>
  <si>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</si>
  <si>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</si>
  <si>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</si>
  <si>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</si>
  <si>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</si>
  <si>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</si>
  <si>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</si>
  <si>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</si>
  <si>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</si>
  <si>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</si>
  <si>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</si>
  <si>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</si>
  <si>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</si>
  <si>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</si>
  <si>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</si>
  <si>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</si>
  <si>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</si>
  <si>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</si>
  <si>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</si>
  <si>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</si>
  <si>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</si>
  <si>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</si>
  <si>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</si>
  <si>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</si>
  <si>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</si>
  <si>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</si>
  <si>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</si>
  <si>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</si>
  <si>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</si>
  <si>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</si>
  <si>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</si>
  <si>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</si>
  <si>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</si>
  <si>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</si>
  <si>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</si>
  <si>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</si>
  <si>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</si>
  <si>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</si>
  <si>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</si>
  <si>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</si>
  <si>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</si>
  <si>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</si>
  <si>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</si>
  <si>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</si>
  <si>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</si>
  <si>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</si>
  <si>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</si>
  <si>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</si>
  <si>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*IRSS = Irrigation Runoff Return System</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</si>
  <si>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</si>
  <si>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</si>
  <si>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</si>
  <si>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</si>
  <si>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</si>
  <si>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</si>
  <si>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</si>
  <si>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</si>
  <si>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</si>
  <si>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</si>
  <si>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</si>
  <si>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</si>
  <si>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</si>
  <si>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</si>
  <si>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</si>
  <si>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</si>
  <si>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</si>
  <si>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</si>
  <si>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</si>
  <si>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</si>
  <si>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</si>
  <si>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</si>
  <si>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Positiv = Emissionsquelle / negativ = Sequestration</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</si>
  <si>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</si>
  <si>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</si>
  <si>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</si>
  <si>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</si>
  <si>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</si>
  <si>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</si>
  <si>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</si>
  <si>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</si>
  <si>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</si>
  <si>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</si>
  <si>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</si>
  <si>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</si>
  <si>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</si>
  <si>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</si>
  <si>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</si>
  <si>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</si>
  <si>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</si>
  <si>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</si>
  <si>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</si>
  <si>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</si>
  <si>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</si>
  <si>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</si>
  <si>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</si>
  <si>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</si>
  <si>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</si>
  <si>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</si>
  <si>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</si>
  <si>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</si>
  <si>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</si>
  <si>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</si>
  <si>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</si>
  <si>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</si>
  <si>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</si>
  <si>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</si>
  <si>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</si>
  <si>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</si>
  <si>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</si>
  <si>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</si>
  <si>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</si>
  <si>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</si>
  <si>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</si>
  <si>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</si>
  <si>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</si>
  <si>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</si>
  <si>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</si>
  <si>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</si>
  <si>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</si>
  <si>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</si>
  <si>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</si>
  <si>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</si>
  <si>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</si>
  <si>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</si>
  <si>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</si>
  <si>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</si>
  <si>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</si>
  <si>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</si>
  <si>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</si>
  <si>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</si>
  <si>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</si>
  <si>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</si>
  <si>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</si>
  <si>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</si>
  <si>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</si>
  <si>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</si>
  <si>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</si>
  <si>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</si>
  <si>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</si>
  <si>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</si>
  <si>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</si>
  <si>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</si>
  <si>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</si>
  <si>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</si>
  <si>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</si>
  <si>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</si>
  <si>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</si>
  <si>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</si>
  <si>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</si>
  <si>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</si>
  <si>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</si>
  <si>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</si>
  <si>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</si>
  <si>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</si>
  <si>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</si>
  <si>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</si>
  <si>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</si>
  <si>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</si>
  <si>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</si>
  <si>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</si>
  <si>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</si>
  <si>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</si>
  <si>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</si>
  <si>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</si>
  <si>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</si>
  <si>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</si>
  <si>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</si>
  <si>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</si>
  <si>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</si>
  <si>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</si>
  <si>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</si>
  <si>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</si>
  <si>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</si>
  <si>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</si>
  <si>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</si>
  <si>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</si>
  <si>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</si>
  <si>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</si>
  <si>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</si>
  <si>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Letzten 5 Jahre (2006-2010)</t>
  </si>
  <si>
    <t>Letzten 10 Jahre (2001-2010)</t>
  </si>
  <si>
    <t>Letzten 20 Jahre (1991-2010)</t>
  </si>
  <si>
    <t>Letzten 25 Jahre (1986-2010)</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</si>
  <si>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</si>
  <si>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</si>
  <si>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</si>
  <si>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</si>
  <si>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</si>
  <si>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</si>
  <si>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</si>
  <si>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</si>
  <si>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</si>
  <si>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</si>
  <si>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</si>
  <si>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</si>
  <si>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</si>
  <si>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</si>
  <si>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</si>
  <si>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</si>
  <si>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</si>
  <si>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</si>
  <si>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</si>
  <si>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</si>
  <si>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</si>
  <si>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Version 6.0 - Multilingual Edition</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</si>
  <si>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</si>
  <si>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</si>
  <si>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</si>
  <si>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</si>
  <si>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</si>
  <si>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3.3.2. Flooded Rice systems remaining Flooded Rice systems (total area must remain constant)</t>
  </si>
  <si>
    <t>Total Af-/Reforestation</t>
  </si>
  <si>
    <t xml:space="preserve">2.3. Other Land Use Changes </t>
  </si>
  <si>
    <t>3.2. Perrenial systems (agroforestry, orchards, tree crops…)</t>
  </si>
  <si>
    <t>Total Other LUC</t>
  </si>
  <si>
    <t>Other LUC</t>
  </si>
  <si>
    <t>3.1.1. Annual systems from other LU or converted to other LU (please fill step 2.LUC previously)</t>
  </si>
  <si>
    <t>3.3.1. Flooded Rice systems from other LU or converted to other LU (please fill step 2.LUC previously)</t>
  </si>
  <si>
    <t>Burning (quantity of residues and periodicity)</t>
  </si>
  <si>
    <t>3.2.1. Perrenial systems from other LU or converted to other LU (please fill step 2.LUC previously)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</si>
  <si>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</si>
  <si>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</si>
  <si>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</si>
  <si>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</si>
  <si>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</si>
  <si>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</si>
  <si>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</si>
  <si>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</si>
  <si>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</si>
  <si>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</si>
  <si>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</si>
  <si>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</si>
  <si>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</si>
  <si>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</si>
  <si>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</si>
  <si>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</si>
  <si>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</si>
  <si>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</si>
  <si>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</si>
  <si>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</si>
  <si>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</si>
  <si>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</si>
  <si>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</si>
  <si>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</si>
  <si>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</si>
  <si>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</si>
  <si>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</si>
  <si>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</si>
  <si>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</si>
  <si>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</si>
  <si>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</si>
  <si>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</si>
  <si>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</si>
  <si>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</si>
  <si>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</si>
  <si>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</si>
  <si>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</si>
  <si>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</si>
  <si>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</si>
  <si>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</si>
  <si>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</si>
  <si>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</si>
  <si>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</si>
  <si>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</si>
  <si>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</si>
  <si>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</si>
  <si>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</si>
  <si>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</si>
  <si>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</si>
  <si>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</si>
  <si>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</si>
  <si>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</si>
  <si>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Version 6.0 - Edition multilingue</t>
  </si>
  <si>
    <t>Versão 6.0 - Edição Multilíngue</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</si>
  <si>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</si>
  <si>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</si>
  <si>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</si>
  <si>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</si>
  <si>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</si>
  <si>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</si>
  <si>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</si>
  <si>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</si>
  <si>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</si>
  <si>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</si>
  <si>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</si>
  <si>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</si>
  <si>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</si>
  <si>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</si>
  <si>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</si>
  <si>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</si>
  <si>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Fator de Emissões diárias para o Arroz (FE) = FE-Base x FE-Pré-temporada x FE-Cultivo x FE Insumos Org.</t>
  </si>
  <si>
    <t>EF-Basis</t>
  </si>
  <si>
    <t>Daily emission factor for Rice  (EF) = EF-Basis × EF-Before × EF-During × EF-Org. Amendment</t>
  </si>
  <si>
    <t>Factor de Emisiones diarias de Arroz (FE) = FE-Base x FE-precultivo x FE-Agregados Org.</t>
  </si>
  <si>
    <t>(Les FE sont en kg CH4 par ha par jour)</t>
  </si>
  <si>
    <t>Tägliocher Emissionfaktor (EF) für Nassreis= EF-Baseline x EF-Vorsaison x EF-Anbausaison x EF-organische Inputs</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</si>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</sst>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
    <numFmt numFmtId="166" formatCode="0.000"/>
    <numFmt numFmtId="167" formatCode="0.0%"/>
    <numFmt numFmtId="168" formatCode="0.00000"/>
    <numFmt numFmtId="169" formatCode="#,##0.0"/>
    <numFmt numFmtId="170" formatCode="#,##0\ "/>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sz val="10"/>
      <color theme="0" tint="-0.249977111117893"/>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vertAlign val="superscript"/>
      <sz val="1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0"/>
      <color theme="4"/>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color rgb="FFFF0000"/>
      <name val="Calibri"/>
      <family val="2"/>
      <scheme val="minor"/>
    </font>
    <font>
      <sz val="11"/>
      <name val="Calibri"/>
      <family val="3"/>
      <charset val="134"/>
      <scheme val="minor"/>
    </font>
    <font>
      <sz val="10"/>
      <name val="Calibri"/>
      <family val="2"/>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s>
  <fills count="7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DAEEF3"/>
        <bgColor rgb="FF000000"/>
      </patternFill>
    </fill>
    <fill>
      <patternFill patternType="solid">
        <fgColor theme="8" tint="0.79998168889431442"/>
        <bgColor rgb="FF000000"/>
      </patternFill>
    </fill>
    <fill>
      <patternFill patternType="solid">
        <fgColor rgb="FF00B050"/>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s>
  <cellStyleXfs count="13">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43" fillId="0" borderId="0" applyFont="0" applyFill="0" applyBorder="0" applyAlignment="0" applyProtection="0"/>
    <xf numFmtId="0" fontId="3" fillId="0" borderId="0"/>
    <xf numFmtId="0" fontId="2" fillId="0" borderId="0"/>
  </cellStyleXfs>
  <cellXfs count="3414">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4"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4" fontId="14" fillId="7" borderId="19" xfId="0" applyNumberFormat="1" applyFont="1" applyFill="1" applyBorder="1" applyAlignment="1">
      <alignment horizontal="center"/>
    </xf>
    <xf numFmtId="164"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4"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4" fontId="0" fillId="6" borderId="18" xfId="0" applyNumberFormat="1" applyFill="1" applyBorder="1" applyAlignment="1">
      <alignment horizontal="center"/>
    </xf>
    <xf numFmtId="0" fontId="0" fillId="3" borderId="19" xfId="0" applyFill="1" applyBorder="1"/>
    <xf numFmtId="164" fontId="0" fillId="3" borderId="16" xfId="0" applyNumberFormat="1" applyFill="1" applyBorder="1" applyAlignment="1">
      <alignment horizontal="center"/>
    </xf>
    <xf numFmtId="164"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1" fontId="0" fillId="6" borderId="0" xfId="0" applyNumberForma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4" fontId="17" fillId="6" borderId="0" xfId="0" applyNumberFormat="1" applyFont="1" applyFill="1" applyBorder="1" applyAlignment="1">
      <alignment horizontal="center"/>
    </xf>
    <xf numFmtId="164"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6" fontId="0" fillId="0" borderId="26" xfId="0" applyNumberFormat="1" applyBorder="1" applyAlignment="1">
      <alignment horizontal="center"/>
    </xf>
    <xf numFmtId="166"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4" fontId="40" fillId="6" borderId="0" xfId="0" applyNumberFormat="1" applyFont="1" applyFill="1" applyAlignment="1">
      <alignment horizontal="center"/>
    </xf>
    <xf numFmtId="164" fontId="40" fillId="15" borderId="0" xfId="0" applyNumberFormat="1" applyFont="1" applyFill="1" applyAlignment="1">
      <alignment horizontal="left"/>
    </xf>
    <xf numFmtId="164"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4" fontId="40" fillId="15" borderId="0" xfId="0" applyNumberFormat="1" applyFont="1" applyFill="1"/>
    <xf numFmtId="164"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164" fontId="0" fillId="6" borderId="0" xfId="0" applyNumberFormat="1" applyFill="1" applyBorder="1" applyAlignment="1">
      <alignment horizontal="center"/>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6" fontId="4" fillId="17" borderId="18" xfId="0" applyNumberFormat="1" applyFont="1" applyFill="1" applyBorder="1" applyAlignment="1">
      <alignment horizontal="center"/>
    </xf>
    <xf numFmtId="166" fontId="6" fillId="17" borderId="18" xfId="0" applyNumberFormat="1" applyFont="1" applyFill="1" applyBorder="1" applyAlignment="1">
      <alignment horizontal="center"/>
    </xf>
    <xf numFmtId="166"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6" fontId="6" fillId="17" borderId="0" xfId="0" applyNumberFormat="1" applyFont="1" applyFill="1" applyAlignment="1">
      <alignment horizontal="center"/>
    </xf>
    <xf numFmtId="165" fontId="0" fillId="17" borderId="0" xfId="0" applyNumberFormat="1" applyFill="1" applyAlignment="1">
      <alignment horizontal="center"/>
    </xf>
    <xf numFmtId="166" fontId="0" fillId="17" borderId="0" xfId="0" applyNumberFormat="1" applyFill="1" applyAlignment="1">
      <alignment horizontal="center"/>
    </xf>
    <xf numFmtId="166" fontId="0" fillId="17" borderId="18" xfId="0" applyNumberFormat="1" applyFill="1" applyBorder="1" applyAlignment="1">
      <alignment horizontal="center"/>
    </xf>
    <xf numFmtId="165" fontId="6" fillId="17" borderId="0" xfId="0" applyNumberFormat="1" applyFont="1" applyFill="1" applyAlignment="1">
      <alignment horizontal="center"/>
    </xf>
    <xf numFmtId="166"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4" fontId="17" fillId="3" borderId="21" xfId="0" applyNumberFormat="1" applyFont="1" applyFill="1" applyBorder="1" applyAlignment="1">
      <alignment horizontal="center"/>
    </xf>
    <xf numFmtId="164"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4"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5" fillId="3" borderId="26" xfId="0" applyFont="1" applyFill="1" applyBorder="1" applyProtection="1"/>
    <xf numFmtId="0" fontId="5" fillId="3" borderId="27" xfId="0" applyFont="1" applyFill="1" applyBorder="1" applyProtection="1"/>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4"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4" fontId="17" fillId="6" borderId="0" xfId="0" applyNumberFormat="1" applyFont="1" applyFill="1" applyBorder="1" applyAlignment="1" applyProtection="1">
      <alignment horizontal="center"/>
    </xf>
    <xf numFmtId="164" fontId="17" fillId="6" borderId="24" xfId="0" applyNumberFormat="1" applyFont="1" applyFill="1" applyBorder="1" applyAlignment="1" applyProtection="1">
      <alignment horizontal="center"/>
    </xf>
    <xf numFmtId="164" fontId="5" fillId="6" borderId="16" xfId="0" applyNumberFormat="1" applyFont="1" applyFill="1" applyBorder="1" applyAlignment="1" applyProtection="1">
      <alignment horizontal="center"/>
    </xf>
    <xf numFmtId="164" fontId="17" fillId="6" borderId="9"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2" fontId="17" fillId="6" borderId="21" xfId="0" applyNumberFormat="1" applyFont="1" applyFill="1" applyBorder="1" applyAlignment="1" applyProtection="1">
      <alignment horizontal="center"/>
    </xf>
    <xf numFmtId="164" fontId="5" fillId="6" borderId="18" xfId="0" applyNumberFormat="1" applyFont="1" applyFill="1" applyBorder="1" applyAlignment="1" applyProtection="1">
      <alignment horizontal="center"/>
    </xf>
    <xf numFmtId="164"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4" fontId="27" fillId="6" borderId="0" xfId="0" applyNumberFormat="1" applyFont="1" applyFill="1" applyBorder="1" applyAlignment="1" applyProtection="1">
      <alignment horizontal="center"/>
    </xf>
    <xf numFmtId="164" fontId="27" fillId="6" borderId="21" xfId="0" applyNumberFormat="1" applyFont="1" applyFill="1" applyBorder="1" applyAlignment="1" applyProtection="1">
      <alignment horizontal="center"/>
    </xf>
    <xf numFmtId="164" fontId="29" fillId="6" borderId="18"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4" fontId="27" fillId="6" borderId="22" xfId="0" applyNumberFormat="1" applyFont="1" applyFill="1" applyBorder="1" applyAlignment="1" applyProtection="1">
      <alignment horizontal="center"/>
    </xf>
    <xf numFmtId="164" fontId="27" fillId="6" borderId="25" xfId="0" applyNumberFormat="1" applyFont="1" applyFill="1" applyBorder="1" applyAlignment="1" applyProtection="1">
      <alignment horizontal="center"/>
    </xf>
    <xf numFmtId="164" fontId="29" fillId="6" borderId="23"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4" fontId="0" fillId="6" borderId="21" xfId="0" applyNumberFormat="1" applyFill="1" applyBorder="1" applyAlignment="1" applyProtection="1">
      <alignment horizontal="center"/>
    </xf>
    <xf numFmtId="164" fontId="0" fillId="6" borderId="0" xfId="0" applyNumberFormat="1" applyFill="1" applyBorder="1" applyAlignment="1" applyProtection="1">
      <alignment horizontal="center"/>
    </xf>
    <xf numFmtId="164"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26" fillId="2" borderId="0" xfId="0" applyFont="1" applyFill="1" applyBorder="1" applyAlignment="1" applyProtection="1">
      <alignment horizontal="center"/>
    </xf>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4" fontId="5" fillId="2" borderId="0" xfId="0" applyNumberFormat="1" applyFont="1" applyFill="1" applyBorder="1" applyAlignment="1" applyProtection="1">
      <alignment horizontal="center"/>
    </xf>
    <xf numFmtId="164"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4"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6"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4" fontId="20" fillId="2" borderId="0" xfId="0" applyNumberFormat="1" applyFont="1" applyFill="1" applyAlignment="1" applyProtection="1">
      <alignment horizontal="center"/>
    </xf>
    <xf numFmtId="164"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4"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4"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4"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4"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4"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4"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4" fontId="55" fillId="2" borderId="19" xfId="0" applyNumberFormat="1" applyFont="1" applyFill="1" applyBorder="1" applyAlignment="1" applyProtection="1">
      <alignment horizontal="center"/>
    </xf>
    <xf numFmtId="164"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4"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4"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6" fillId="18" borderId="13" xfId="0" applyNumberFormat="1" applyFont="1" applyFill="1" applyBorder="1" applyAlignment="1" applyProtection="1">
      <alignment horizontal="center"/>
      <protection locked="0"/>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4"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4"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4" fontId="0" fillId="6" borderId="9" xfId="0" applyNumberFormat="1" applyFill="1" applyBorder="1" applyAlignment="1" applyProtection="1">
      <alignment horizontal="center"/>
    </xf>
    <xf numFmtId="164" fontId="0" fillId="6" borderId="16" xfId="0" applyNumberFormat="1" applyFill="1" applyBorder="1" applyAlignment="1" applyProtection="1">
      <alignment horizontal="center"/>
    </xf>
    <xf numFmtId="164" fontId="0" fillId="6" borderId="25" xfId="0" applyNumberFormat="1" applyFill="1" applyBorder="1" applyAlignment="1" applyProtection="1">
      <alignment horizontal="center"/>
    </xf>
    <xf numFmtId="164" fontId="0" fillId="6" borderId="22" xfId="0" applyNumberFormat="1" applyFill="1" applyBorder="1" applyAlignment="1" applyProtection="1">
      <alignment horizontal="center"/>
    </xf>
    <xf numFmtId="164"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0" borderId="26" xfId="0" applyBorder="1" applyAlignment="1">
      <alignment horizontal="center"/>
    </xf>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4" fontId="17" fillId="3" borderId="18" xfId="0" applyNumberFormat="1" applyFont="1" applyFill="1" applyBorder="1" applyAlignment="1" applyProtection="1">
      <alignment horizontal="center"/>
    </xf>
    <xf numFmtId="164" fontId="17" fillId="3" borderId="23" xfId="0" applyNumberFormat="1" applyFont="1" applyFill="1" applyBorder="1" applyAlignment="1" applyProtection="1">
      <alignment horizontal="center"/>
    </xf>
    <xf numFmtId="1" fontId="7" fillId="6" borderId="29"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4"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6" borderId="6" xfId="0" applyNumberForma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1" fontId="0" fillId="6" borderId="7" xfId="0" applyNumberFormat="1" applyFill="1" applyBorder="1" applyAlignment="1">
      <alignment horizontal="center"/>
    </xf>
    <xf numFmtId="1" fontId="0" fillId="6" borderId="7" xfId="0" quotePrefix="1" applyNumberFormat="1" applyFill="1" applyBorder="1" applyAlignment="1">
      <alignment horizontal="center"/>
    </xf>
    <xf numFmtId="1" fontId="0" fillId="6" borderId="8"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4"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4"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1" fontId="7" fillId="6" borderId="10" xfId="0" applyNumberFormat="1" applyFont="1" applyFill="1" applyBorder="1" applyAlignment="1">
      <alignment horizontal="center"/>
    </xf>
    <xf numFmtId="1" fontId="7" fillId="6" borderId="29" xfId="0" applyNumberFormat="1" applyFont="1" applyFill="1" applyBorder="1" applyAlignment="1">
      <alignment horizontal="center"/>
    </xf>
    <xf numFmtId="1" fontId="7" fillId="6" borderId="11" xfId="0" applyNumberFormat="1" applyFont="1" applyFill="1" applyBorder="1" applyAlignment="1">
      <alignment horizontal="center"/>
    </xf>
    <xf numFmtId="0" fontId="7" fillId="6" borderId="41" xfId="0" applyFont="1" applyFill="1" applyBorder="1" applyProtection="1"/>
    <xf numFmtId="0" fontId="5" fillId="6" borderId="41" xfId="0" applyFont="1" applyFill="1" applyBorder="1"/>
    <xf numFmtId="164" fontId="5" fillId="6" borderId="10" xfId="0" applyNumberFormat="1" applyFont="1" applyFill="1" applyBorder="1" applyAlignment="1" applyProtection="1">
      <alignment horizontal="center"/>
    </xf>
    <xf numFmtId="164" fontId="5" fillId="6" borderId="29" xfId="0" applyNumberFormat="1" applyFont="1" applyFill="1" applyBorder="1" applyAlignment="1" applyProtection="1">
      <alignment horizontal="center"/>
    </xf>
    <xf numFmtId="164" fontId="5" fillId="6" borderId="11" xfId="0" applyNumberFormat="1" applyFont="1" applyFill="1" applyBorder="1" applyAlignment="1" applyProtection="1">
      <alignment horizontal="center"/>
    </xf>
    <xf numFmtId="164"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1" fontId="37" fillId="2" borderId="0" xfId="0" applyNumberFormat="1" applyFont="1" applyFill="1" applyProtection="1"/>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7"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4"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4"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4" fontId="0" fillId="6" borderId="46" xfId="0" applyNumberFormat="1" applyFill="1" applyBorder="1" applyAlignment="1">
      <alignment horizontal="center"/>
    </xf>
    <xf numFmtId="2" fontId="0" fillId="6" borderId="50" xfId="0" applyNumberFormat="1" applyFill="1" applyBorder="1" applyAlignment="1">
      <alignment horizontal="center"/>
    </xf>
    <xf numFmtId="164" fontId="44" fillId="6" borderId="18" xfId="0" applyNumberFormat="1" applyFont="1" applyFill="1" applyBorder="1" applyAlignment="1" applyProtection="1">
      <alignment horizontal="center"/>
    </xf>
    <xf numFmtId="164" fontId="44" fillId="6" borderId="23" xfId="0" applyNumberFormat="1" applyFont="1" applyFill="1" applyBorder="1" applyAlignment="1" applyProtection="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4" fontId="40" fillId="18" borderId="0" xfId="0" applyNumberFormat="1" applyFont="1" applyFill="1" applyAlignment="1">
      <alignment horizontal="left"/>
    </xf>
    <xf numFmtId="166"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2" fontId="17" fillId="3" borderId="19" xfId="0" applyNumberFormat="1" applyFont="1" applyFill="1" applyBorder="1" applyAlignment="1" applyProtection="1">
      <alignment horizontal="center"/>
    </xf>
    <xf numFmtId="0" fontId="0" fillId="5" borderId="19" xfId="0" applyFill="1" applyBorder="1" applyProtection="1"/>
    <xf numFmtId="0" fontId="4" fillId="21" borderId="22" xfId="0" applyFont="1" applyFill="1" applyBorder="1" applyAlignment="1" applyProtection="1">
      <alignment horizontal="center"/>
      <protection locked="0"/>
    </xf>
    <xf numFmtId="166" fontId="37" fillId="9" borderId="24" xfId="0" applyNumberFormat="1" applyFont="1" applyFill="1" applyBorder="1" applyAlignment="1" applyProtection="1">
      <alignment horizontal="center"/>
    </xf>
    <xf numFmtId="166"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4" fontId="0" fillId="6" borderId="11" xfId="0" applyNumberFormat="1" applyFill="1" applyBorder="1" applyAlignment="1" applyProtection="1">
      <alignment horizontal="center"/>
    </xf>
    <xf numFmtId="164"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4"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4" fontId="17" fillId="6" borderId="22" xfId="0" applyNumberFormat="1" applyFont="1" applyFill="1" applyBorder="1" applyAlignment="1">
      <alignment horizontal="center"/>
    </xf>
    <xf numFmtId="164" fontId="5" fillId="6" borderId="23" xfId="0" applyNumberFormat="1" applyFont="1" applyFill="1" applyBorder="1" applyAlignment="1">
      <alignment horizontal="center"/>
    </xf>
    <xf numFmtId="164"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0" fontId="0" fillId="6" borderId="24" xfId="0" applyFill="1" applyBorder="1" applyAlignment="1" applyProtection="1">
      <alignment horizontal="center"/>
    </xf>
    <xf numFmtId="164"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4" fontId="0" fillId="3" borderId="0" xfId="0" applyNumberFormat="1" applyFill="1" applyAlignment="1" applyProtection="1">
      <alignment horizontal="center"/>
    </xf>
    <xf numFmtId="0" fontId="0" fillId="3" borderId="27" xfId="0" applyFill="1" applyBorder="1" applyAlignment="1" applyProtection="1">
      <alignment horizontal="center"/>
    </xf>
    <xf numFmtId="164" fontId="0" fillId="3" borderId="12" xfId="0" applyNumberFormat="1" applyFill="1" applyBorder="1" applyAlignment="1" applyProtection="1">
      <alignment horizontal="center"/>
    </xf>
    <xf numFmtId="164" fontId="0" fillId="3" borderId="26" xfId="0" applyNumberFormat="1" applyFill="1" applyBorder="1" applyAlignment="1" applyProtection="1">
      <alignment horizontal="center"/>
    </xf>
    <xf numFmtId="164" fontId="0" fillId="3" borderId="27" xfId="0" applyNumberFormat="1" applyFill="1" applyBorder="1" applyAlignment="1" applyProtection="1">
      <alignment horizontal="center"/>
    </xf>
    <xf numFmtId="164"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6"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4" fontId="17" fillId="6" borderId="18" xfId="0" applyNumberFormat="1" applyFont="1" applyFill="1" applyBorder="1" applyAlignment="1" applyProtection="1">
      <alignment horizontal="center"/>
    </xf>
    <xf numFmtId="164" fontId="17" fillId="6" borderId="22" xfId="0" applyNumberFormat="1" applyFont="1" applyFill="1" applyBorder="1" applyAlignment="1" applyProtection="1">
      <alignment horizontal="center"/>
    </xf>
    <xf numFmtId="164"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4"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4"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4"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6"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7" fillId="6" borderId="1" xfId="0" applyFont="1" applyFill="1" applyBorder="1" applyProtection="1"/>
    <xf numFmtId="1" fontId="7" fillId="6" borderId="2" xfId="0" applyNumberFormat="1" applyFont="1" applyFill="1" applyBorder="1" applyAlignment="1" applyProtection="1">
      <alignment horizontal="center"/>
    </xf>
    <xf numFmtId="0" fontId="7" fillId="6" borderId="2" xfId="0" applyFont="1" applyFill="1" applyBorder="1" applyAlignment="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7"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4" fontId="0" fillId="2" borderId="0" xfId="0" applyNumberFormat="1" applyFill="1" applyProtection="1"/>
    <xf numFmtId="164" fontId="17" fillId="6" borderId="18" xfId="0" applyNumberFormat="1" applyFont="1" applyFill="1" applyBorder="1" applyAlignment="1">
      <alignment horizontal="center"/>
    </xf>
    <xf numFmtId="164"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6"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4"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4" fontId="5" fillId="6" borderId="24" xfId="0" applyNumberFormat="1" applyFont="1" applyFill="1" applyBorder="1" applyAlignment="1" applyProtection="1">
      <alignment horizontal="center"/>
    </xf>
    <xf numFmtId="164" fontId="5" fillId="6" borderId="0" xfId="0" applyNumberFormat="1" applyFont="1" applyFill="1" applyBorder="1" applyAlignment="1" applyProtection="1">
      <alignment horizontal="center"/>
    </xf>
    <xf numFmtId="164" fontId="29" fillId="6" borderId="0" xfId="0" applyNumberFormat="1" applyFont="1" applyFill="1" applyBorder="1" applyAlignment="1" applyProtection="1">
      <alignment horizontal="center"/>
    </xf>
    <xf numFmtId="164" fontId="29" fillId="6" borderId="22" xfId="0" applyNumberFormat="1" applyFont="1" applyFill="1" applyBorder="1" applyAlignment="1" applyProtection="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4" fontId="5" fillId="6" borderId="22" xfId="0" applyNumberFormat="1" applyFont="1" applyFill="1" applyBorder="1" applyAlignment="1" applyProtection="1">
      <alignment horizontal="center"/>
    </xf>
    <xf numFmtId="164"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5"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7" fillId="27" borderId="0" xfId="0" applyFont="1"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4"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4"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75" fillId="27" borderId="0" xfId="0" applyFont="1" applyFill="1" applyBorder="1" applyProtection="1"/>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4" fontId="76" fillId="3" borderId="16" xfId="0" applyNumberFormat="1" applyFont="1" applyFill="1" applyBorder="1" applyAlignment="1" applyProtection="1">
      <alignment horizontal="center"/>
    </xf>
    <xf numFmtId="164" fontId="76" fillId="6" borderId="24" xfId="0" applyNumberFormat="1" applyFont="1" applyFill="1" applyBorder="1" applyAlignment="1" applyProtection="1">
      <alignment horizontal="center"/>
    </xf>
    <xf numFmtId="164"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4" fontId="77" fillId="6" borderId="16" xfId="0" applyNumberFormat="1" applyFont="1" applyFill="1" applyBorder="1" applyAlignment="1" applyProtection="1">
      <alignment horizontal="center"/>
    </xf>
    <xf numFmtId="164" fontId="76" fillId="6" borderId="9" xfId="0" applyNumberFormat="1" applyFont="1" applyFill="1" applyBorder="1" applyAlignment="1" applyProtection="1">
      <alignment horizontal="center"/>
    </xf>
    <xf numFmtId="0" fontId="76" fillId="2" borderId="0" xfId="0" applyFont="1" applyFill="1" applyProtection="1"/>
    <xf numFmtId="0" fontId="76" fillId="2" borderId="0" xfId="0" applyFont="1" applyFill="1" applyAlignment="1" applyProtection="1">
      <alignment horizontal="center"/>
    </xf>
    <xf numFmtId="0" fontId="76" fillId="3" borderId="21" xfId="0" applyFont="1" applyFill="1" applyBorder="1" applyProtection="1"/>
    <xf numFmtId="0" fontId="76" fillId="6" borderId="13" xfId="0" applyFont="1" applyFill="1" applyBorder="1" applyAlignment="1" applyProtection="1">
      <alignment horizontal="center"/>
    </xf>
    <xf numFmtId="0" fontId="76" fillId="6" borderId="0" xfId="0" applyFont="1" applyFill="1" applyBorder="1" applyAlignment="1" applyProtection="1">
      <alignment horizontal="center"/>
    </xf>
    <xf numFmtId="164" fontId="76" fillId="3" borderId="18" xfId="0" applyNumberFormat="1" applyFont="1" applyFill="1" applyBorder="1" applyAlignment="1" applyProtection="1">
      <alignment horizontal="center"/>
    </xf>
    <xf numFmtId="164" fontId="76" fillId="6" borderId="0" xfId="0" applyNumberFormat="1" applyFont="1" applyFill="1" applyBorder="1" applyAlignment="1" applyProtection="1">
      <alignment horizontal="center"/>
    </xf>
    <xf numFmtId="164" fontId="77" fillId="6" borderId="0" xfId="0" applyNumberFormat="1" applyFont="1" applyFill="1" applyBorder="1" applyAlignment="1" applyProtection="1">
      <alignment horizontal="center"/>
    </xf>
    <xf numFmtId="2" fontId="76" fillId="6" borderId="21" xfId="0" applyNumberFormat="1" applyFont="1" applyFill="1" applyBorder="1" applyAlignment="1" applyProtection="1">
      <alignment horizontal="center"/>
    </xf>
    <xf numFmtId="164" fontId="77" fillId="6" borderId="18" xfId="0" applyNumberFormat="1" applyFont="1" applyFill="1" applyBorder="1" applyAlignment="1" applyProtection="1">
      <alignment horizontal="center"/>
    </xf>
    <xf numFmtId="164" fontId="76" fillId="6" borderId="21" xfId="0" applyNumberFormat="1" applyFont="1" applyFill="1" applyBorder="1" applyAlignment="1" applyProtection="1">
      <alignment horizontal="center"/>
    </xf>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4"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4" fontId="76" fillId="6" borderId="24" xfId="0" applyNumberFormat="1" applyFont="1" applyFill="1" applyBorder="1" applyAlignment="1">
      <alignment horizontal="center"/>
    </xf>
    <xf numFmtId="164"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4"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4"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64" fontId="76" fillId="6" borderId="0" xfId="0" applyNumberFormat="1" applyFont="1" applyFill="1" applyBorder="1" applyAlignment="1">
      <alignment horizontal="center"/>
    </xf>
    <xf numFmtId="164" fontId="77" fillId="6" borderId="0" xfId="0" applyNumberFormat="1" applyFont="1" applyFill="1" applyBorder="1" applyAlignment="1">
      <alignment horizontal="center"/>
    </xf>
    <xf numFmtId="2" fontId="76" fillId="6" borderId="21" xfId="0" applyNumberFormat="1" applyFont="1" applyFill="1" applyBorder="1" applyAlignment="1">
      <alignment horizontal="center"/>
    </xf>
    <xf numFmtId="164" fontId="77" fillId="6" borderId="18"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4"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49"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2" fontId="11" fillId="39" borderId="0" xfId="2" applyNumberFormat="1" applyFont="1" applyFill="1" applyBorder="1" applyAlignment="1" applyProtection="1">
      <alignment horizontal="center"/>
    </xf>
    <xf numFmtId="164"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5"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8"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4"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4"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4"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4"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0" fontId="17" fillId="37" borderId="1" xfId="0" applyNumberFormat="1" applyFont="1" applyFill="1" applyBorder="1" applyAlignment="1" applyProtection="1">
      <alignment horizontal="center"/>
      <protection locked="0"/>
    </xf>
    <xf numFmtId="170" fontId="17" fillId="37" borderId="3" xfId="0" applyNumberFormat="1" applyFont="1" applyFill="1" applyBorder="1" applyAlignment="1" applyProtection="1">
      <alignment horizontal="center"/>
      <protection locked="0"/>
    </xf>
    <xf numFmtId="170"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0"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0" fontId="96" fillId="3" borderId="21" xfId="0" applyFont="1" applyFill="1" applyBorder="1" applyAlignment="1" applyProtection="1">
      <alignment horizontal="center"/>
    </xf>
    <xf numFmtId="0" fontId="96" fillId="3" borderId="25" xfId="0" applyFont="1" applyFill="1" applyBorder="1" applyAlignment="1" applyProtection="1">
      <alignment horizontal="center"/>
    </xf>
    <xf numFmtId="164" fontId="96" fillId="3" borderId="0" xfId="0" applyNumberFormat="1" applyFont="1" applyFill="1" applyBorder="1" applyAlignment="1" applyProtection="1">
      <alignment horizontal="center"/>
    </xf>
    <xf numFmtId="164" fontId="96" fillId="3" borderId="22" xfId="0" applyNumberFormat="1" applyFon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4"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4" fontId="0" fillId="29" borderId="0" xfId="0" applyNumberFormat="1" applyFill="1" applyBorder="1" applyAlignment="1" applyProtection="1">
      <alignment horizontal="center"/>
    </xf>
    <xf numFmtId="164"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2" fontId="76" fillId="6" borderId="18"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0" fillId="37" borderId="11" xfId="0" applyFill="1" applyBorder="1" applyAlignment="1" applyProtection="1">
      <alignment horizontal="center"/>
      <protection locked="0"/>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4"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9" fillId="49" borderId="0" xfId="0" applyFont="1" applyFill="1"/>
    <xf numFmtId="0" fontId="98" fillId="49" borderId="0" xfId="0" applyFont="1" applyFill="1" applyBorder="1" applyProtection="1"/>
    <xf numFmtId="0" fontId="99" fillId="49" borderId="0" xfId="0" applyFont="1" applyFill="1" applyBorder="1" applyProtection="1"/>
    <xf numFmtId="0" fontId="99"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7" fontId="69" fillId="44" borderId="0" xfId="3" applyNumberFormat="1" applyFont="1" applyFill="1" applyBorder="1" applyAlignment="1">
      <alignment horizontal="center"/>
    </xf>
    <xf numFmtId="164"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4" fontId="79" fillId="2" borderId="0" xfId="0" applyNumberFormat="1" applyFont="1" applyFill="1" applyBorder="1" applyAlignment="1">
      <alignment horizontal="left"/>
    </xf>
    <xf numFmtId="164"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4"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7"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4"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4" fontId="0" fillId="41" borderId="0" xfId="0" applyNumberForma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1"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1"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4" fontId="4" fillId="28" borderId="0" xfId="0" applyNumberFormat="1" applyFont="1" applyFill="1" applyAlignment="1" applyProtection="1">
      <alignment horizontal="center"/>
    </xf>
    <xf numFmtId="169"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1"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4"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6"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4" fontId="93" fillId="43" borderId="0" xfId="0" applyNumberFormat="1" applyFont="1" applyFill="1" applyBorder="1" applyAlignment="1" applyProtection="1">
      <alignment horizontal="center"/>
      <protection locked="0"/>
    </xf>
    <xf numFmtId="166" fontId="79" fillId="43" borderId="23" xfId="0" applyNumberFormat="1" applyFont="1" applyFill="1" applyBorder="1" applyAlignment="1" applyProtection="1">
      <alignment horizontal="center"/>
    </xf>
    <xf numFmtId="0" fontId="102"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4"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4"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4"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4"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3"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4" fillId="59" borderId="0" xfId="0" applyFont="1" applyFill="1" applyBorder="1" applyAlignment="1" applyProtection="1">
      <alignment horizontal="center"/>
    </xf>
    <xf numFmtId="0" fontId="5" fillId="60" borderId="0" xfId="0" applyFont="1" applyFill="1" applyBorder="1" applyProtection="1"/>
    <xf numFmtId="0" fontId="103"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0" fontId="0" fillId="34" borderId="0" xfId="0" applyFill="1" applyBorder="1" applyAlignment="1" applyProtection="1">
      <alignment horizontal="center"/>
      <protection locked="0"/>
    </xf>
    <xf numFmtId="167"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0" fontId="106" fillId="27" borderId="0" xfId="0" applyFont="1" applyFill="1" applyAlignment="1">
      <alignment horizontal="center"/>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4" fontId="72" fillId="27" borderId="0" xfId="0" applyNumberFormat="1" applyFont="1" applyFill="1" applyAlignment="1">
      <alignment horizontal="center"/>
    </xf>
    <xf numFmtId="0" fontId="110" fillId="55" borderId="0" xfId="1" applyFont="1" applyFill="1" applyBorder="1" applyAlignment="1" applyProtection="1"/>
    <xf numFmtId="0" fontId="111" fillId="55" borderId="0" xfId="0" applyFont="1" applyFill="1" applyBorder="1" applyProtection="1"/>
    <xf numFmtId="0" fontId="111" fillId="55" borderId="0" xfId="0" applyFont="1" applyFill="1" applyBorder="1" applyAlignment="1" applyProtection="1">
      <alignment horizontal="center"/>
    </xf>
    <xf numFmtId="0" fontId="110" fillId="58" borderId="0" xfId="1" applyFont="1" applyFill="1" applyBorder="1" applyAlignment="1" applyProtection="1"/>
    <xf numFmtId="0" fontId="111" fillId="58" borderId="0" xfId="0" applyFont="1" applyFill="1" applyBorder="1" applyProtection="1"/>
    <xf numFmtId="0" fontId="111" fillId="58" borderId="0" xfId="0" applyFont="1" applyFill="1" applyBorder="1" applyAlignment="1" applyProtection="1">
      <alignment horizontal="center"/>
    </xf>
    <xf numFmtId="0" fontId="110" fillId="48" borderId="0" xfId="1" applyFont="1" applyFill="1" applyBorder="1" applyAlignment="1" applyProtection="1"/>
    <xf numFmtId="0" fontId="111" fillId="48" borderId="0" xfId="0" applyFont="1" applyFill="1" applyBorder="1" applyProtection="1"/>
    <xf numFmtId="0" fontId="111" fillId="48" borderId="0" xfId="0" applyFont="1" applyFill="1" applyBorder="1" applyAlignment="1" applyProtection="1">
      <alignment horizontal="center"/>
    </xf>
    <xf numFmtId="0" fontId="108" fillId="29" borderId="0" xfId="0" applyFont="1" applyFill="1" applyBorder="1" applyProtection="1"/>
    <xf numFmtId="0" fontId="108" fillId="29" borderId="0" xfId="1" applyFont="1" applyFill="1" applyBorder="1" applyAlignment="1" applyProtection="1"/>
    <xf numFmtId="164" fontId="108" fillId="29" borderId="0" xfId="0" applyNumberFormat="1" applyFont="1" applyFill="1" applyBorder="1" applyAlignment="1" applyProtection="1">
      <alignment horizontal="center"/>
    </xf>
    <xf numFmtId="0" fontId="112" fillId="29" borderId="0" xfId="1" applyFont="1" applyFill="1" applyBorder="1" applyAlignment="1" applyProtection="1">
      <alignment horizontal="right"/>
    </xf>
    <xf numFmtId="0" fontId="109" fillId="29" borderId="0" xfId="0" applyFont="1" applyFill="1" applyBorder="1" applyProtection="1"/>
    <xf numFmtId="0" fontId="4" fillId="41" borderId="0" xfId="0" applyFont="1" applyFill="1" applyAlignment="1" applyProtection="1">
      <alignment horizontal="center"/>
    </xf>
    <xf numFmtId="0" fontId="110" fillId="30" borderId="0" xfId="1" applyFont="1" applyFill="1" applyBorder="1" applyAlignment="1" applyProtection="1"/>
    <xf numFmtId="0" fontId="111" fillId="30" borderId="0" xfId="0" applyFont="1" applyFill="1" applyBorder="1" applyProtection="1"/>
    <xf numFmtId="0" fontId="113" fillId="30" borderId="0" xfId="1" applyFont="1" applyFill="1" applyBorder="1" applyAlignment="1" applyProtection="1"/>
    <xf numFmtId="0" fontId="114" fillId="30" borderId="0" xfId="0" applyFont="1" applyFill="1" applyBorder="1" applyProtection="1"/>
    <xf numFmtId="0" fontId="110" fillId="42" borderId="0" xfId="1" applyFont="1" applyFill="1" applyBorder="1" applyAlignment="1" applyProtection="1">
      <alignment horizontal="left"/>
    </xf>
    <xf numFmtId="0" fontId="110"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10" fillId="42" borderId="0" xfId="1" applyFont="1" applyFill="1" applyBorder="1" applyAlignment="1" applyProtection="1"/>
    <xf numFmtId="0" fontId="110" fillId="55" borderId="0" xfId="1" applyFont="1" applyFill="1" applyBorder="1" applyAlignment="1" applyProtection="1">
      <alignment horizontal="center"/>
    </xf>
    <xf numFmtId="0" fontId="110"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11" fillId="42" borderId="0" xfId="0" applyFont="1" applyFill="1" applyBorder="1" applyProtection="1"/>
    <xf numFmtId="0" fontId="111" fillId="42" borderId="0" xfId="0" applyFont="1" applyFill="1" applyBorder="1" applyAlignment="1" applyProtection="1">
      <alignment horizontal="center"/>
    </xf>
    <xf numFmtId="0" fontId="111" fillId="42" borderId="0" xfId="0" applyFont="1" applyFill="1" applyProtection="1"/>
    <xf numFmtId="0" fontId="111" fillId="42" borderId="0" xfId="0" applyFont="1" applyFill="1" applyAlignment="1" applyProtection="1">
      <alignment horizontal="center"/>
    </xf>
    <xf numFmtId="3" fontId="111" fillId="42" borderId="0" xfId="0" applyNumberFormat="1" applyFont="1" applyFill="1" applyAlignment="1" applyProtection="1">
      <alignment horizontal="center"/>
    </xf>
    <xf numFmtId="0" fontId="110" fillId="30" borderId="0" xfId="0" applyFont="1" applyFill="1" applyAlignment="1">
      <alignment horizontal="right"/>
    </xf>
    <xf numFmtId="0" fontId="111" fillId="30" borderId="0" xfId="0" applyFont="1" applyFill="1"/>
    <xf numFmtId="0" fontId="110" fillId="30" borderId="0" xfId="0" applyFont="1" applyFill="1"/>
    <xf numFmtId="0" fontId="108" fillId="35" borderId="0" xfId="0" applyFont="1" applyFill="1" applyBorder="1" applyProtection="1"/>
    <xf numFmtId="0" fontId="108" fillId="35" borderId="0" xfId="0" applyFont="1" applyFill="1" applyProtection="1"/>
    <xf numFmtId="2" fontId="108" fillId="35" borderId="0" xfId="0" applyNumberFormat="1" applyFont="1" applyFill="1" applyBorder="1" applyAlignment="1">
      <alignment horizontal="center"/>
    </xf>
    <xf numFmtId="2" fontId="108" fillId="35" borderId="0" xfId="0" applyNumberFormat="1" applyFont="1" applyFill="1" applyAlignment="1" applyProtection="1">
      <alignment horizontal="center"/>
    </xf>
    <xf numFmtId="0" fontId="108"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8" fillId="29" borderId="0" xfId="0" applyFont="1" applyFill="1" applyProtection="1"/>
    <xf numFmtId="0" fontId="108" fillId="29" borderId="0" xfId="0" applyFont="1" applyFill="1" applyAlignment="1" applyProtection="1">
      <alignment horizontal="center"/>
    </xf>
    <xf numFmtId="0" fontId="108" fillId="41" borderId="0" xfId="0" applyFont="1" applyFill="1" applyBorder="1" applyProtection="1"/>
    <xf numFmtId="0" fontId="108" fillId="41" borderId="0" xfId="0" applyFont="1" applyFill="1" applyProtection="1"/>
    <xf numFmtId="0" fontId="108" fillId="41" borderId="0" xfId="0" applyFont="1" applyFill="1" applyAlignment="1" applyProtection="1">
      <alignment horizontal="center"/>
    </xf>
    <xf numFmtId="0" fontId="108" fillId="28" borderId="0" xfId="0" applyFont="1" applyFill="1" applyProtection="1"/>
    <xf numFmtId="0" fontId="108" fillId="28" borderId="0" xfId="0" applyFont="1" applyFill="1" applyAlignment="1" applyProtection="1">
      <alignment horizontal="center"/>
    </xf>
    <xf numFmtId="0" fontId="115" fillId="29" borderId="0" xfId="0" applyFont="1" applyFill="1" applyBorder="1" applyAlignment="1" applyProtection="1">
      <alignment horizontal="center"/>
    </xf>
    <xf numFmtId="2" fontId="108"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4"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4" fontId="93" fillId="2" borderId="0" xfId="0" applyNumberFormat="1" applyFont="1" applyFill="1" applyBorder="1" applyAlignment="1" applyProtection="1">
      <alignment horizontal="center"/>
    </xf>
    <xf numFmtId="164" fontId="93" fillId="2" borderId="0" xfId="0" applyNumberFormat="1" applyFont="1" applyFill="1" applyAlignment="1" applyProtection="1">
      <alignment horizontal="center"/>
    </xf>
    <xf numFmtId="164"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4"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 fontId="17" fillId="6" borderId="16" xfId="0" applyNumberFormat="1" applyFont="1" applyFill="1" applyBorder="1" applyAlignment="1" applyProtection="1">
      <alignment horizontal="center"/>
    </xf>
    <xf numFmtId="166" fontId="19" fillId="21" borderId="24" xfId="0" applyNumberFormat="1" applyFont="1" applyFill="1" applyBorder="1" applyAlignment="1" applyProtection="1">
      <alignment horizontal="center"/>
      <protection locked="0"/>
    </xf>
    <xf numFmtId="3" fontId="101" fillId="43" borderId="10" xfId="0" applyNumberFormat="1" applyFont="1" applyFill="1" applyBorder="1" applyAlignment="1" applyProtection="1">
      <alignment horizontal="center"/>
      <protection locked="0"/>
    </xf>
    <xf numFmtId="1" fontId="101"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4"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0" fillId="62" borderId="0" xfId="0" applyFill="1" applyAlignment="1">
      <alignment horizontal="center" vertical="center" wrapText="1"/>
    </xf>
    <xf numFmtId="0" fontId="4" fillId="62" borderId="0" xfId="0" applyFont="1" applyFill="1" applyAlignment="1">
      <alignment horizontal="center" vertical="center" wrapText="1"/>
    </xf>
    <xf numFmtId="0" fontId="4" fillId="54" borderId="0" xfId="0" applyFont="1" applyFill="1"/>
    <xf numFmtId="0" fontId="0" fillId="63" borderId="0" xfId="0" applyFill="1" applyAlignment="1">
      <alignment horizontal="center" vertical="center" wrapText="1"/>
    </xf>
    <xf numFmtId="0" fontId="4" fillId="63" borderId="0" xfId="0" applyFont="1" applyFill="1" applyAlignment="1">
      <alignment horizontal="center" vertical="center" wrapText="1"/>
    </xf>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0" fontId="5" fillId="38" borderId="0" xfId="0" applyFont="1" applyFill="1" applyBorder="1" applyProtection="1"/>
    <xf numFmtId="164"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4"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0" borderId="0" xfId="0" applyFont="1" applyAlignment="1">
      <alignment horizontal="left" vertical="center" wrapText="1"/>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4" fillId="65" borderId="0" xfId="0" applyFont="1" applyFill="1" applyAlignment="1">
      <alignment horizontal="center" vertical="center" wrapText="1"/>
    </xf>
    <xf numFmtId="0" fontId="0" fillId="65" borderId="0" xfId="0" applyFill="1" applyAlignment="1">
      <alignment horizontal="center" vertical="center" wrapText="1"/>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7"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0" fillId="68" borderId="0" xfId="0" applyFill="1" applyAlignment="1">
      <alignment horizontal="center" vertical="center" wrapText="1"/>
    </xf>
    <xf numFmtId="3" fontId="17" fillId="29" borderId="0" xfId="0" applyNumberFormat="1" applyFont="1" applyFill="1" applyBorder="1" applyAlignment="1" applyProtection="1">
      <alignment horizontal="center"/>
    </xf>
    <xf numFmtId="0" fontId="4" fillId="68" borderId="0" xfId="0" applyFont="1" applyFill="1" applyAlignment="1">
      <alignment horizontal="center" vertic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4" fillId="68" borderId="0" xfId="0" applyFont="1" applyFill="1" applyAlignment="1">
      <alignment horizontal="center" vertical="center" wrapText="1"/>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0" fillId="67" borderId="0" xfId="0" applyFill="1" applyAlignment="1">
      <alignment horizontal="center" vertical="center" wrapText="1"/>
    </xf>
    <xf numFmtId="0" fontId="4" fillId="64" borderId="0" xfId="0" applyFont="1" applyFill="1" applyBorder="1" applyAlignment="1" applyProtection="1">
      <alignment horizontal="left"/>
    </xf>
    <xf numFmtId="0" fontId="4" fillId="67" borderId="0" xfId="0" applyFont="1" applyFill="1" applyAlignment="1">
      <alignment horizontal="center" vertical="center" wrapText="1"/>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0" fontId="0" fillId="69" borderId="0" xfId="0" applyFill="1" applyAlignment="1">
      <alignment horizontal="center" vertical="center" wrapText="1"/>
    </xf>
    <xf numFmtId="0" fontId="4" fillId="69" borderId="0" xfId="0" applyFont="1" applyFill="1" applyAlignment="1">
      <alignment horizontal="center" vertical="center" wrapText="1"/>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0" fillId="28" borderId="0" xfId="0" applyFill="1" applyAlignment="1">
      <alignment horizontal="center" vertical="center" wrapText="1"/>
    </xf>
    <xf numFmtId="0" fontId="0" fillId="28" borderId="0" xfId="0" applyFill="1" applyAlignment="1">
      <alignment horizontal="center" vertical="center"/>
    </xf>
    <xf numFmtId="0" fontId="120" fillId="30" borderId="0" xfId="0" applyFont="1" applyFill="1" applyAlignment="1">
      <alignment horizontal="right"/>
    </xf>
    <xf numFmtId="0" fontId="121" fillId="30" borderId="0" xfId="0" applyFont="1" applyFill="1"/>
    <xf numFmtId="0" fontId="122" fillId="30" borderId="0" xfId="0" applyFont="1" applyFill="1" applyAlignment="1">
      <alignment horizontal="left"/>
    </xf>
    <xf numFmtId="0" fontId="122"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4" fillId="30" borderId="0" xfId="0" applyFont="1" applyFill="1" applyAlignment="1">
      <alignment horizontal="left"/>
    </xf>
    <xf numFmtId="0" fontId="124"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4" fillId="49" borderId="0" xfId="0" applyFont="1" applyFill="1"/>
    <xf numFmtId="0" fontId="104" fillId="49" borderId="0" xfId="0" applyFont="1" applyFill="1" applyAlignment="1">
      <alignment horizontal="right"/>
    </xf>
    <xf numFmtId="0" fontId="104" fillId="49" borderId="0" xfId="0" applyFont="1" applyFill="1" applyBorder="1" applyProtection="1"/>
    <xf numFmtId="0" fontId="104" fillId="49" borderId="0" xfId="1" applyFont="1" applyFill="1" applyAlignment="1" applyProtection="1"/>
    <xf numFmtId="0" fontId="104" fillId="49" borderId="0" xfId="2" applyFont="1" applyFill="1" applyProtection="1"/>
    <xf numFmtId="0" fontId="128" fillId="49" borderId="0" xfId="0" applyFont="1" applyFill="1" applyAlignment="1">
      <alignment vertical="center"/>
    </xf>
    <xf numFmtId="0" fontId="0" fillId="54" borderId="0" xfId="0" applyFill="1" applyAlignment="1">
      <alignment wrapText="1"/>
    </xf>
    <xf numFmtId="0" fontId="0" fillId="66" borderId="0" xfId="0" applyFill="1" applyAlignment="1">
      <alignment wrapText="1"/>
    </xf>
    <xf numFmtId="0" fontId="4" fillId="54" borderId="0" xfId="0" applyFont="1" applyFill="1" applyAlignment="1">
      <alignment wrapText="1"/>
    </xf>
    <xf numFmtId="0" fontId="129" fillId="64" borderId="0" xfId="1" applyFont="1" applyFill="1" applyBorder="1" applyAlignment="1" applyProtection="1">
      <alignment horizontal="center"/>
    </xf>
    <xf numFmtId="0" fontId="104"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9" fillId="29" borderId="0" xfId="0" applyFont="1" applyFill="1" applyProtection="1"/>
    <xf numFmtId="0" fontId="132"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9"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3"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31"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5" fillId="29" borderId="0" xfId="2" applyFont="1" applyFill="1" applyBorder="1" applyProtection="1"/>
    <xf numFmtId="0" fontId="0" fillId="66" borderId="0" xfId="0" applyFill="1" applyAlignment="1">
      <alignment horizontal="center" vertical="center" wrapText="1"/>
    </xf>
    <xf numFmtId="0" fontId="4" fillId="66" borderId="0" xfId="0" applyFont="1" applyFill="1" applyAlignment="1">
      <alignment horizontal="center" vertical="center" wrapText="1"/>
    </xf>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7"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0" fillId="34" borderId="0" xfId="0" applyFill="1" applyAlignment="1">
      <alignment vertical="center" wrapText="1"/>
    </xf>
    <xf numFmtId="0" fontId="138" fillId="34" borderId="0" xfId="0" applyFont="1" applyFill="1" applyAlignment="1">
      <alignment vertical="center" wrapText="1"/>
    </xf>
    <xf numFmtId="0" fontId="139" fillId="74" borderId="0" xfId="0" applyFont="1" applyFill="1" applyAlignment="1">
      <alignment vertical="center" wrapText="1"/>
    </xf>
    <xf numFmtId="0" fontId="5" fillId="28" borderId="0" xfId="0" applyFont="1" applyFill="1" applyBorder="1" applyAlignment="1" applyProtection="1">
      <alignment horizontal="center"/>
    </xf>
    <xf numFmtId="0" fontId="138" fillId="34" borderId="0" xfId="0" applyFont="1" applyFill="1" applyAlignment="1">
      <alignment horizontal="center" vertical="center" wrapText="1"/>
    </xf>
    <xf numFmtId="0" fontId="0" fillId="34" borderId="0" xfId="0" applyFill="1" applyAlignment="1">
      <alignment horizontal="center"/>
    </xf>
    <xf numFmtId="0" fontId="0" fillId="34" borderId="0" xfId="0" applyFill="1" applyAlignment="1">
      <alignment horizontal="center" vertical="center" wrapText="1"/>
    </xf>
    <xf numFmtId="0" fontId="0" fillId="34" borderId="0" xfId="0" applyFill="1" applyAlignment="1">
      <alignment horizontal="center" vertical="center"/>
    </xf>
    <xf numFmtId="0" fontId="0" fillId="41" borderId="0" xfId="0" applyFill="1" applyAlignment="1">
      <alignment horizontal="center"/>
    </xf>
    <xf numFmtId="0" fontId="5" fillId="41" borderId="0" xfId="0" applyFont="1" applyFill="1" applyAlignment="1">
      <alignment horizontal="left"/>
    </xf>
    <xf numFmtId="0" fontId="98"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8" fillId="54" borderId="0" xfId="0" applyFont="1" applyFill="1" applyAlignment="1">
      <alignment horizontal="center" vertical="center" wrapText="1"/>
    </xf>
    <xf numFmtId="0" fontId="141" fillId="34" borderId="0" xfId="0" applyFont="1" applyFill="1"/>
    <xf numFmtId="1" fontId="0" fillId="3" borderId="0" xfId="0" applyNumberForma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81" fillId="8" borderId="4" xfId="0" quotePrefix="1" applyNumberFormat="1" applyFont="1" applyFill="1" applyBorder="1" applyAlignment="1">
      <alignment horizontal="center"/>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63" fillId="50" borderId="7"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0" fontId="64" fillId="6" borderId="10" xfId="0" applyFont="1" applyFill="1" applyBorder="1"/>
    <xf numFmtId="0" fontId="64" fillId="6" borderId="29" xfId="0" applyFont="1" applyFill="1" applyBorder="1"/>
    <xf numFmtId="1" fontId="64" fillId="6" borderId="11" xfId="0" applyNumberFormat="1" applyFont="1" applyFill="1" applyBorder="1" applyAlignment="1">
      <alignment horizontal="center"/>
    </xf>
    <xf numFmtId="164" fontId="64" fillId="6" borderId="8" xfId="0" applyNumberFormat="1" applyFont="1" applyFill="1" applyBorder="1" applyAlignment="1">
      <alignment horizontal="center"/>
    </xf>
    <xf numFmtId="0" fontId="5" fillId="2" borderId="10" xfId="0" applyFont="1" applyFill="1" applyBorder="1"/>
    <xf numFmtId="0" fontId="5" fillId="2" borderId="29" xfId="0" applyFont="1" applyFill="1" applyBorder="1"/>
    <xf numFmtId="1" fontId="5" fillId="2" borderId="11" xfId="0" applyNumberFormat="1" applyFont="1" applyFill="1" applyBorder="1"/>
    <xf numFmtId="164" fontId="64" fillId="6" borderId="11"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1" fillId="30" borderId="0" xfId="0" applyFont="1" applyFill="1" applyProtection="1"/>
    <xf numFmtId="0" fontId="101" fillId="30" borderId="0" xfId="0" applyFont="1" applyFill="1" applyAlignment="1" applyProtection="1">
      <alignment horizontal="left"/>
    </xf>
    <xf numFmtId="0" fontId="101" fillId="2" borderId="0" xfId="0" applyFont="1" applyFill="1" applyProtection="1"/>
    <xf numFmtId="0" fontId="101" fillId="2" borderId="0" xfId="0" applyFont="1" applyFill="1" applyAlignment="1" applyProtection="1">
      <alignment horizontal="left"/>
    </xf>
    <xf numFmtId="0" fontId="101"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1" fillId="2" borderId="0" xfId="0" applyNumberFormat="1" applyFont="1" applyFill="1" applyAlignment="1" applyProtection="1">
      <alignment horizontal="left"/>
    </xf>
    <xf numFmtId="1" fontId="101"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Border="1" applyAlignment="1">
      <alignment wrapText="1"/>
    </xf>
    <xf numFmtId="0" fontId="0" fillId="0" borderId="0" xfId="0" applyFill="1" applyBorder="1" applyAlignment="1">
      <alignment horizontal="center" wrapText="1"/>
    </xf>
    <xf numFmtId="0" fontId="4" fillId="0" borderId="0" xfId="0" applyFont="1" applyAlignment="1">
      <alignment wrapText="1"/>
    </xf>
    <xf numFmtId="0" fontId="4" fillId="0" borderId="0" xfId="2" applyFont="1" applyFill="1" applyAlignment="1">
      <alignment wrapText="1"/>
    </xf>
    <xf numFmtId="0" fontId="17" fillId="0" borderId="0" xfId="2" applyFill="1" applyAlignment="1">
      <alignment wrapText="1"/>
    </xf>
    <xf numFmtId="0" fontId="4" fillId="0" borderId="0" xfId="0" applyFont="1" applyFill="1" applyAlignment="1">
      <alignment horizontal="center" wrapText="1"/>
    </xf>
    <xf numFmtId="0" fontId="4" fillId="0" borderId="0" xfId="2" applyFont="1" applyAlignment="1">
      <alignment wrapText="1"/>
    </xf>
    <xf numFmtId="0" fontId="17" fillId="0" borderId="0" xfId="2" applyAlignment="1">
      <alignment wrapText="1"/>
    </xf>
    <xf numFmtId="0" fontId="4" fillId="5" borderId="0" xfId="0" applyFont="1" applyFill="1"/>
    <xf numFmtId="0" fontId="4" fillId="66" borderId="0" xfId="0" applyFont="1" applyFill="1" applyAlignment="1">
      <alignment horizontal="center" wrapText="1"/>
    </xf>
    <xf numFmtId="0" fontId="0" fillId="66" borderId="0" xfId="0" applyFill="1" applyAlignment="1">
      <alignment horizontal="center" wrapText="1"/>
    </xf>
    <xf numFmtId="0" fontId="4" fillId="62" borderId="0" xfId="0" applyFont="1" applyFill="1" applyAlignment="1">
      <alignment horizontal="center" vertical="center"/>
    </xf>
    <xf numFmtId="0" fontId="0" fillId="62" borderId="0" xfId="0" applyFill="1" applyAlignment="1">
      <alignment horizontal="center" vertical="center"/>
    </xf>
    <xf numFmtId="0" fontId="139" fillId="73" borderId="0" xfId="0" applyFont="1" applyFill="1" applyAlignment="1">
      <alignment horizontal="center" vertical="center" wrapText="1"/>
    </xf>
    <xf numFmtId="0" fontId="4" fillId="69" borderId="0" xfId="0" applyFont="1" applyFill="1" applyAlignment="1">
      <alignment horizontal="center" vertical="center"/>
    </xf>
    <xf numFmtId="0" fontId="0" fillId="50" borderId="0" xfId="0" applyFill="1" applyAlignment="1">
      <alignment horizontal="center" vertical="center"/>
    </xf>
    <xf numFmtId="0" fontId="4" fillId="63" borderId="0" xfId="0" applyFont="1" applyFill="1" applyAlignment="1">
      <alignment horizontal="center" vertical="center"/>
    </xf>
    <xf numFmtId="0" fontId="0" fillId="63" borderId="0" xfId="0" applyFill="1" applyAlignment="1">
      <alignment horizontal="center" vertical="center"/>
    </xf>
    <xf numFmtId="0" fontId="4" fillId="54" borderId="0" xfId="0" applyFont="1" applyFill="1" applyAlignment="1">
      <alignment horizontal="center" vertical="center"/>
    </xf>
    <xf numFmtId="0" fontId="4" fillId="65" borderId="0" xfId="0" applyFont="1" applyFill="1" applyAlignment="1">
      <alignment horizontal="center" vertical="center"/>
    </xf>
    <xf numFmtId="0" fontId="0" fillId="65" borderId="0" xfId="0" applyFill="1" applyAlignment="1">
      <alignment horizontal="center" vertical="center"/>
    </xf>
    <xf numFmtId="16" fontId="0" fillId="34" borderId="0" xfId="0" applyNumberFormat="1" applyFill="1" applyAlignment="1">
      <alignment horizontal="center" vertical="center"/>
    </xf>
    <xf numFmtId="14" fontId="0" fillId="34" borderId="0" xfId="0" applyNumberFormat="1" applyFill="1" applyAlignment="1">
      <alignment horizontal="center" vertical="center"/>
    </xf>
    <xf numFmtId="0" fontId="0" fillId="68" borderId="0" xfId="0" applyFill="1" applyAlignment="1">
      <alignment horizontal="center" vertical="center"/>
    </xf>
    <xf numFmtId="14" fontId="0" fillId="34" borderId="0" xfId="0" applyNumberFormat="1" applyFill="1" applyAlignment="1">
      <alignment horizontal="center" vertical="center" wrapText="1"/>
    </xf>
    <xf numFmtId="0" fontId="4" fillId="67" borderId="0" xfId="0" applyFont="1" applyFill="1" applyAlignment="1">
      <alignment horizontal="center" vertical="center"/>
    </xf>
    <xf numFmtId="0" fontId="0" fillId="67" borderId="0" xfId="0" applyFill="1" applyAlignment="1">
      <alignment horizontal="center" vertical="center"/>
    </xf>
    <xf numFmtId="0" fontId="0" fillId="69" borderId="0" xfId="0" applyFill="1" applyAlignment="1">
      <alignment horizontal="center" vertical="center"/>
    </xf>
    <xf numFmtId="0" fontId="43" fillId="69" borderId="0" xfId="0" applyFont="1" applyFill="1" applyAlignment="1" applyProtection="1">
      <alignment horizontal="center" vertical="center"/>
    </xf>
    <xf numFmtId="0" fontId="0" fillId="69" borderId="0" xfId="0" applyFont="1" applyFill="1" applyAlignment="1" applyProtection="1">
      <alignment horizontal="center" vertical="center"/>
    </xf>
    <xf numFmtId="0" fontId="0" fillId="75" borderId="0" xfId="0" applyFill="1" applyAlignment="1">
      <alignment horizontal="center" vertical="center"/>
    </xf>
    <xf numFmtId="0" fontId="4" fillId="28"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4"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0" fillId="37" borderId="0" xfId="0" applyFill="1" applyAlignment="1">
      <alignment horizontal="center" vertical="center"/>
    </xf>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4" fontId="0" fillId="32" borderId="0" xfId="0" applyNumberFormat="1" applyFill="1" applyBorder="1" applyAlignment="1" applyProtection="1">
      <alignment horizontal="center"/>
      <protection locked="0"/>
    </xf>
    <xf numFmtId="0" fontId="108"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4"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164" fontId="4" fillId="32" borderId="0" xfId="0" applyNumberFormat="1" applyFont="1" applyFill="1" applyAlignment="1" applyProtection="1">
      <alignment horizontal="center"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9" fontId="4" fillId="32" borderId="0" xfId="0" applyNumberFormat="1" applyFont="1" applyFill="1" applyAlignment="1" applyProtection="1">
      <alignment horizont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8" fillId="30" borderId="0" xfId="0" applyFont="1" applyFill="1" applyBorder="1"/>
    <xf numFmtId="164"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2" fillId="66" borderId="0" xfId="12" applyFill="1"/>
    <xf numFmtId="0" fontId="146" fillId="66" borderId="0" xfId="12" applyFont="1" applyFill="1"/>
    <xf numFmtId="0" fontId="138" fillId="66" borderId="0" xfId="12" applyFont="1" applyFill="1"/>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4" fontId="0" fillId="71" borderId="24" xfId="0" applyNumberFormat="1" applyFill="1" applyBorder="1" applyAlignment="1" applyProtection="1">
      <alignment horizontal="center"/>
    </xf>
    <xf numFmtId="164" fontId="0" fillId="71" borderId="16" xfId="0" applyNumberFormat="1" applyFill="1" applyBorder="1" applyAlignment="1" applyProtection="1">
      <alignment horizontal="center"/>
    </xf>
    <xf numFmtId="0" fontId="1" fillId="66" borderId="0" xfId="12" applyFont="1" applyFill="1"/>
    <xf numFmtId="0" fontId="17" fillId="29" borderId="0" xfId="0" applyNumberFormat="1" applyFont="1" applyFill="1" applyAlignment="1" applyProtection="1">
      <alignment horizontal="center"/>
    </xf>
    <xf numFmtId="0" fontId="108" fillId="28" borderId="0" xfId="0" applyFont="1" applyFill="1" applyBorder="1" applyAlignment="1" applyProtection="1">
      <alignment horizontal="left"/>
    </xf>
    <xf numFmtId="0" fontId="97" fillId="28" borderId="0" xfId="0" applyFont="1" applyFill="1" applyAlignment="1" applyProtection="1">
      <alignment horizontal="left"/>
    </xf>
    <xf numFmtId="0" fontId="5" fillId="28" borderId="0" xfId="0" applyFont="1" applyFill="1" applyAlignment="1" applyProtection="1">
      <alignment horizontal="center"/>
    </xf>
    <xf numFmtId="164"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8"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center" vertical="center"/>
    </xf>
    <xf numFmtId="0" fontId="79" fillId="66" borderId="0" xfId="0" applyFont="1" applyFill="1" applyProtection="1"/>
    <xf numFmtId="0" fontId="147" fillId="0" borderId="0" xfId="0" applyFont="1" applyAlignment="1">
      <alignment horizontal="center" wrapText="1"/>
    </xf>
    <xf numFmtId="0" fontId="147" fillId="0" borderId="0" xfId="0" applyFont="1" applyAlignment="1">
      <alignment horizontal="center" vertical="center" wrapText="1"/>
    </xf>
    <xf numFmtId="0" fontId="145"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6" fillId="30" borderId="0" xfId="0" applyFont="1" applyFill="1" applyAlignment="1">
      <alignment horizontal="center"/>
    </xf>
    <xf numFmtId="0" fontId="45" fillId="27" borderId="0" xfId="0" applyFont="1" applyFill="1" applyAlignment="1">
      <alignment horizontal="center"/>
    </xf>
    <xf numFmtId="0" fontId="136" fillId="33" borderId="0" xfId="0" applyFont="1" applyFill="1" applyBorder="1" applyAlignment="1" applyProtection="1">
      <alignment horizontal="center"/>
      <protection locked="0"/>
    </xf>
    <xf numFmtId="0" fontId="144"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17" fillId="34" borderId="0" xfId="0" applyFont="1" applyFill="1" applyBorder="1" applyProtection="1">
      <protection locked="0"/>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5" fillId="47" borderId="22" xfId="0" applyFont="1" applyFill="1" applyBorder="1" applyAlignment="1" applyProtection="1">
      <alignment horizontal="center"/>
    </xf>
    <xf numFmtId="0" fontId="80" fillId="47" borderId="0" xfId="0" applyFont="1" applyFill="1" applyBorder="1" applyAlignment="1" applyProtection="1">
      <alignment horizontal="center"/>
    </xf>
    <xf numFmtId="0" fontId="5" fillId="28" borderId="0" xfId="0" applyFont="1" applyFill="1" applyAlignment="1" applyProtection="1">
      <alignment horizontal="center"/>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5"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16" fillId="28" borderId="0" xfId="0" applyFont="1" applyFill="1" applyAlignment="1" applyProtection="1">
      <alignment horizontal="center"/>
    </xf>
    <xf numFmtId="0" fontId="5" fillId="28" borderId="22" xfId="0" applyFont="1" applyFill="1" applyBorder="1" applyAlignment="1" applyProtection="1">
      <alignment horizontal="center"/>
    </xf>
    <xf numFmtId="164"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5" fillId="66" borderId="0" xfId="0" applyFont="1" applyFill="1" applyAlignment="1" applyProtection="1">
      <alignment horizontal="center" vertical="center" wrapText="1"/>
    </xf>
    <xf numFmtId="0" fontId="61" fillId="29" borderId="0" xfId="0" applyFont="1" applyFill="1" applyBorder="1" applyAlignment="1" applyProtection="1">
      <alignment horizontal="center"/>
    </xf>
    <xf numFmtId="0" fontId="11" fillId="41" borderId="0" xfId="0" applyFont="1" applyFill="1" applyBorder="1" applyAlignment="1" applyProtection="1">
      <alignment horizontal="center" vertical="center" wrapText="1"/>
    </xf>
    <xf numFmtId="0" fontId="61" fillId="41" borderId="0" xfId="0" applyFont="1" applyFill="1" applyBorder="1" applyAlignment="1" applyProtection="1">
      <alignment horizontal="center"/>
    </xf>
    <xf numFmtId="0" fontId="11" fillId="34" borderId="0" xfId="0" applyFont="1" applyFill="1" applyBorder="1" applyAlignment="1" applyProtection="1">
      <alignment horizontal="center"/>
      <protection locked="0"/>
    </xf>
    <xf numFmtId="0" fontId="43"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9" borderId="0" xfId="0" applyFont="1" applyFill="1" applyAlignment="1" applyProtection="1">
      <alignment horizontal="center"/>
    </xf>
    <xf numFmtId="0" fontId="0" fillId="34" borderId="0" xfId="0" applyFill="1" applyBorder="1" applyAlignment="1" applyProtection="1">
      <alignment horizontal="center"/>
      <protection locked="0"/>
    </xf>
    <xf numFmtId="0" fontId="0" fillId="36" borderId="0" xfId="0" applyFill="1" applyBorder="1" applyAlignment="1" applyProtection="1">
      <alignment horizontal="left"/>
      <protection locked="0"/>
    </xf>
    <xf numFmtId="0" fontId="17" fillId="29" borderId="0" xfId="1" applyFont="1" applyFill="1" applyBorder="1" applyAlignment="1" applyProtection="1">
      <alignment horizontal="center" wrapText="1"/>
    </xf>
    <xf numFmtId="0" fontId="0" fillId="41" borderId="24" xfId="0" applyFont="1" applyFill="1" applyBorder="1" applyAlignment="1" applyProtection="1">
      <alignment horizontal="center"/>
    </xf>
    <xf numFmtId="0" fontId="11" fillId="28" borderId="0" xfId="0" applyFont="1" applyFill="1" applyBorder="1" applyAlignment="1" applyProtection="1">
      <alignment horizontal="center" vertical="center" wrapText="1"/>
    </xf>
    <xf numFmtId="0" fontId="4" fillId="41" borderId="0" xfId="0" applyFont="1" applyFill="1" applyAlignment="1" applyProtection="1">
      <alignment horizontal="center"/>
    </xf>
    <xf numFmtId="0" fontId="17" fillId="41" borderId="24" xfId="0" applyFont="1" applyFill="1" applyBorder="1" applyAlignment="1" applyProtection="1">
      <alignment horizontal="center"/>
    </xf>
    <xf numFmtId="0" fontId="5" fillId="41" borderId="0" xfId="0" applyFont="1" applyFill="1" applyBorder="1" applyAlignment="1" applyProtection="1">
      <alignment horizontal="center"/>
    </xf>
    <xf numFmtId="0" fontId="61" fillId="29" borderId="0" xfId="0" applyFont="1" applyFill="1" applyAlignment="1" applyProtection="1">
      <alignment horizontal="center"/>
    </xf>
    <xf numFmtId="0" fontId="17" fillId="41" borderId="0" xfId="0" applyFont="1" applyFill="1" applyAlignment="1" applyProtection="1">
      <alignment horizontal="center"/>
    </xf>
    <xf numFmtId="0" fontId="108" fillId="41" borderId="0" xfId="0" applyFont="1" applyFill="1" applyAlignment="1" applyProtection="1">
      <alignment horizontal="center"/>
    </xf>
    <xf numFmtId="0" fontId="61" fillId="41" borderId="0" xfId="0" applyFont="1" applyFill="1" applyAlignment="1" applyProtection="1">
      <alignment horizontal="center"/>
    </xf>
    <xf numFmtId="0" fontId="17" fillId="28" borderId="0" xfId="1" applyFont="1" applyFill="1" applyBorder="1" applyAlignment="1" applyProtection="1">
      <alignment horizontal="center" vertical="top" wrapText="1"/>
    </xf>
    <xf numFmtId="0" fontId="61" fillId="28" borderId="0" xfId="0" applyFont="1" applyFill="1" applyBorder="1" applyAlignment="1" applyProtection="1">
      <alignment horizontal="center"/>
    </xf>
    <xf numFmtId="0" fontId="61" fillId="28" borderId="0" xfId="0" applyFont="1" applyFill="1" applyAlignment="1" applyProtection="1">
      <alignment horizontal="center"/>
    </xf>
    <xf numFmtId="0" fontId="4" fillId="50" borderId="0" xfId="0" applyFont="1" applyFill="1" applyAlignment="1" applyProtection="1">
      <alignment horizontal="center"/>
      <protection locked="0"/>
    </xf>
    <xf numFmtId="0" fontId="17" fillId="29" borderId="24" xfId="0" applyFont="1" applyFill="1" applyBorder="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4" fillId="64" borderId="22"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6" xfId="0" applyFont="1" applyFill="1" applyBorder="1" applyAlignment="1" applyProtection="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12" fillId="30" borderId="0" xfId="1" applyFill="1" applyAlignment="1" applyProtection="1">
      <alignment horizontal="center"/>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5" fillId="41" borderId="0" xfId="0" applyFont="1" applyFill="1" applyAlignment="1" applyProtection="1">
      <alignment horizontal="center" vertical="top" wrapText="1"/>
    </xf>
    <xf numFmtId="0" fontId="11" fillId="34" borderId="0" xfId="0" applyFont="1" applyFill="1" applyBorder="1" applyAlignment="1" applyProtection="1">
      <alignment horizontal="left"/>
      <protection locked="0"/>
    </xf>
    <xf numFmtId="0" fontId="43" fillId="41" borderId="22" xfId="0" applyFont="1" applyFill="1" applyBorder="1" applyAlignment="1" applyProtection="1">
      <alignment horizontal="center" vertical="center" wrapText="1"/>
    </xf>
    <xf numFmtId="0" fontId="5" fillId="38" borderId="0" xfId="0" applyFont="1" applyFill="1" applyBorder="1" applyAlignment="1" applyProtection="1">
      <alignment horizontal="center"/>
    </xf>
    <xf numFmtId="0" fontId="43" fillId="41" borderId="22" xfId="0" applyFont="1" applyFill="1" applyBorder="1" applyAlignment="1" applyProtection="1">
      <alignment horizontal="center" wrapText="1"/>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36" borderId="0" xfId="0" applyFont="1" applyFill="1" applyBorder="1" applyAlignment="1" applyProtection="1">
      <alignment horizontal="left"/>
      <protection locked="0"/>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6" fillId="32" borderId="0" xfId="0" applyFont="1" applyFill="1" applyBorder="1" applyAlignment="1" applyProtection="1">
      <alignment horizontal="center"/>
      <protection locked="0"/>
    </xf>
    <xf numFmtId="0" fontId="4" fillId="38" borderId="0" xfId="0" applyFont="1" applyFill="1" applyBorder="1" applyAlignment="1" applyProtection="1">
      <alignment horizontal="center" wrapText="1"/>
    </xf>
    <xf numFmtId="0" fontId="94"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17" fillId="3" borderId="7" xfId="0" applyFont="1" applyFill="1" applyBorder="1" applyAlignment="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32" fillId="30" borderId="0" xfId="1" applyFont="1" applyFill="1" applyAlignment="1" applyProtection="1">
      <alignment horizontal="center"/>
      <protection locked="0"/>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79" fillId="3" borderId="30" xfId="0" applyFont="1" applyFill="1" applyBorder="1" applyAlignment="1">
      <alignment horizontal="center"/>
    </xf>
    <xf numFmtId="0" fontId="17" fillId="29" borderId="0" xfId="1" applyFont="1" applyFill="1" applyBorder="1" applyAlignment="1" applyProtection="1">
      <alignment horizontal="left" vertical="top" wrapText="1"/>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4" fillId="41" borderId="0" xfId="1" applyFont="1" applyFill="1" applyBorder="1" applyAlignment="1" applyProtection="1">
      <alignment horizontal="left" vertical="top" wrapText="1"/>
    </xf>
    <xf numFmtId="0" fontId="17" fillId="34" borderId="0" xfId="0" applyFont="1" applyFill="1" applyBorder="1" applyAlignment="1" applyProtection="1">
      <alignment horizontal="left"/>
      <protection locked="0"/>
    </xf>
    <xf numFmtId="0" fontId="4" fillId="34" borderId="0" xfId="0" applyFont="1" applyFill="1" applyBorder="1" applyAlignment="1" applyProtection="1">
      <alignment horizontal="left"/>
      <protection locked="0"/>
    </xf>
    <xf numFmtId="0" fontId="55" fillId="3" borderId="0" xfId="0" applyFont="1" applyFill="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6" fillId="3" borderId="30" xfId="0" applyFont="1" applyFill="1" applyBorder="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56" fillId="2" borderId="39" xfId="0" applyFont="1" applyFill="1" applyBorder="1" applyAlignment="1" applyProtection="1">
      <alignment horizontal="center"/>
    </xf>
    <xf numFmtId="0" fontId="53" fillId="30" borderId="0" xfId="1" applyFont="1" applyFill="1" applyAlignment="1" applyProtection="1">
      <alignment horizontal="center"/>
      <protection locked="0"/>
    </xf>
    <xf numFmtId="0" fontId="56" fillId="2" borderId="7" xfId="0" applyFont="1" applyFill="1" applyBorder="1" applyAlignment="1" applyProtection="1">
      <alignment horizontal="center"/>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4" fontId="17" fillId="6" borderId="0" xfId="0" applyNumberFormat="1" applyFont="1" applyFill="1" applyBorder="1" applyAlignment="1" applyProtection="1">
      <alignment horizontal="center"/>
    </xf>
    <xf numFmtId="164" fontId="17" fillId="6" borderId="18" xfId="0" applyNumberFormat="1" applyFont="1" applyFill="1" applyBorder="1" applyAlignment="1" applyProtection="1">
      <alignment horizontal="center"/>
    </xf>
    <xf numFmtId="164" fontId="17" fillId="6" borderId="22" xfId="0" applyNumberFormat="1" applyFont="1" applyFill="1" applyBorder="1" applyAlignment="1" applyProtection="1">
      <alignment horizontal="center"/>
    </xf>
    <xf numFmtId="164"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17" fillId="28" borderId="0" xfId="0" applyFont="1" applyFill="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0" fontId="43" fillId="29" borderId="0" xfId="0" applyFont="1" applyFill="1" applyBorder="1" applyAlignment="1" applyProtection="1">
      <alignment horizontal="left" vertical="center" wrapText="1"/>
    </xf>
    <xf numFmtId="3" fontId="4" fillId="32" borderId="0" xfId="0" applyNumberFormat="1" applyFont="1" applyFill="1" applyBorder="1" applyAlignment="1" applyProtection="1">
      <alignment horizontal="left"/>
      <protection locked="0"/>
    </xf>
    <xf numFmtId="3" fontId="17" fillId="32" borderId="0" xfId="0" applyNumberFormat="1" applyFont="1" applyFill="1" applyBorder="1" applyAlignment="1" applyProtection="1">
      <alignment horizontal="left"/>
      <protection locked="0"/>
    </xf>
    <xf numFmtId="3" fontId="43" fillId="41" borderId="0" xfId="0" applyNumberFormat="1" applyFont="1" applyFill="1" applyBorder="1" applyAlignment="1" applyProtection="1">
      <alignment horizontal="center"/>
    </xf>
    <xf numFmtId="0" fontId="0" fillId="45" borderId="0" xfId="0" applyFill="1" applyBorder="1" applyAlignment="1" applyProtection="1">
      <alignment horizontal="center" wrapText="1"/>
    </xf>
    <xf numFmtId="0" fontId="5" fillId="52" borderId="0" xfId="0" applyFont="1" applyFill="1" applyBorder="1" applyAlignment="1" applyProtection="1">
      <alignment horizontal="center" vertical="center" wrapText="1"/>
    </xf>
    <xf numFmtId="0" fontId="5" fillId="53" borderId="0" xfId="0" applyFont="1" applyFill="1" applyAlignment="1" applyProtection="1">
      <alignment horizontal="center"/>
    </xf>
    <xf numFmtId="0" fontId="126" fillId="34" borderId="0" xfId="1" applyFont="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5" fillId="45" borderId="19" xfId="0" applyFont="1" applyFill="1" applyBorder="1" applyAlignment="1" applyProtection="1">
      <alignment horizontal="center"/>
    </xf>
    <xf numFmtId="0" fontId="5" fillId="45" borderId="22" xfId="0" applyFont="1" applyFill="1" applyBorder="1" applyAlignment="1" applyProtection="1">
      <alignment horizontal="center"/>
    </xf>
    <xf numFmtId="0" fontId="13" fillId="28" borderId="0" xfId="1" applyFont="1" applyFill="1" applyAlignment="1" applyProtection="1">
      <alignment horizontal="center" vertical="center" wrapText="1"/>
    </xf>
    <xf numFmtId="0" fontId="6" fillId="32" borderId="0" xfId="0" applyFont="1" applyFill="1" applyBorder="1" applyAlignment="1" applyProtection="1">
      <alignment horizontal="left"/>
      <protection locked="0"/>
    </xf>
    <xf numFmtId="0" fontId="94" fillId="32" borderId="0" xfId="0" applyFont="1" applyFill="1" applyBorder="1" applyAlignment="1" applyProtection="1">
      <alignment horizontal="left"/>
      <protection locked="0"/>
    </xf>
    <xf numFmtId="0" fontId="5" fillId="53" borderId="0" xfId="0" applyFont="1" applyFill="1" applyAlignment="1">
      <alignment horizontal="center" vertical="center" wrapText="1"/>
    </xf>
    <xf numFmtId="0" fontId="5" fillId="52" borderId="0" xfId="0" applyFont="1" applyFill="1" applyBorder="1" applyAlignment="1" applyProtection="1">
      <alignment horizontal="center" wrapText="1"/>
    </xf>
    <xf numFmtId="0" fontId="117" fillId="38" borderId="0" xfId="0" applyFont="1" applyFill="1" applyBorder="1" applyAlignment="1" applyProtection="1">
      <alignment horizontal="center" vertical="center"/>
      <protection locked="0"/>
    </xf>
    <xf numFmtId="0" fontId="106" fillId="27" borderId="0" xfId="0" applyFont="1" applyFill="1" applyAlignment="1">
      <alignment horizontal="center"/>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24" xfId="0" applyFont="1" applyFill="1" applyBorder="1" applyAlignment="1" applyProtection="1">
      <alignment horizontal="center"/>
    </xf>
    <xf numFmtId="3" fontId="0" fillId="29" borderId="0" xfId="0" applyNumberFormat="1" applyFill="1" applyAlignment="1">
      <alignment horizontal="left"/>
    </xf>
    <xf numFmtId="0" fontId="13" fillId="46" borderId="0" xfId="1" applyFont="1" applyFill="1" applyAlignment="1" applyProtection="1">
      <alignment horizontal="center" vertical="center" wrapText="1"/>
    </xf>
    <xf numFmtId="0" fontId="5" fillId="46" borderId="0" xfId="0" applyFont="1" applyFill="1" applyAlignment="1">
      <alignment horizontal="center"/>
    </xf>
    <xf numFmtId="0" fontId="125" fillId="46" borderId="0" xfId="0" applyFont="1" applyFill="1" applyAlignment="1">
      <alignment horizontal="center"/>
    </xf>
    <xf numFmtId="0" fontId="123" fillId="72" borderId="0" xfId="1" applyFont="1" applyFill="1" applyAlignment="1" applyProtection="1">
      <alignment horizontal="center" vertical="center"/>
    </xf>
    <xf numFmtId="0" fontId="127"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5" fillId="29" borderId="0" xfId="0" applyFont="1" applyFill="1" applyAlignment="1">
      <alignment horizontal="center" vertic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34" fillId="14" borderId="6" xfId="1" applyFont="1" applyFill="1" applyBorder="1" applyAlignment="1" applyProtection="1">
      <alignment horizontal="right"/>
    </xf>
    <xf numFmtId="0" fontId="34" fillId="14" borderId="8"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0" fillId="3" borderId="54" xfId="0" applyNumberFormat="1" applyFill="1" applyBorder="1" applyAlignment="1">
      <alignment horizontal="center"/>
    </xf>
    <xf numFmtId="1" fontId="0" fillId="3" borderId="22" xfId="0" applyNumberForma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0" fillId="50" borderId="55" xfId="0" quotePrefix="1" applyNumberFormat="1" applyFill="1" applyBorder="1" applyAlignment="1">
      <alignment horizontal="center"/>
    </xf>
    <xf numFmtId="1" fontId="0" fillId="50" borderId="24" xfId="0" quotePrefix="1" applyNumberForma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0" fontId="5" fillId="23" borderId="47" xfId="0" applyFont="1" applyFill="1" applyBorder="1" applyAlignment="1">
      <alignment horizontal="center"/>
    </xf>
    <xf numFmtId="0" fontId="5" fillId="23" borderId="30" xfId="0" applyFont="1"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4" fillId="23" borderId="2" xfId="0" applyFont="1" applyFill="1" applyBorder="1" applyAlignment="1" applyProtection="1">
      <alignment horizontal="center"/>
    </xf>
    <xf numFmtId="1" fontId="0" fillId="6" borderId="55" xfId="0" quotePrefix="1" applyNumberFormat="1" applyFill="1" applyBorder="1" applyAlignment="1">
      <alignment horizontal="center"/>
    </xf>
    <xf numFmtId="1" fontId="0" fillId="6" borderId="2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0" fontId="0" fillId="2" borderId="0" xfId="0" applyFill="1" applyAlignment="1">
      <alignment horizontal="justify" vertical="top" wrapText="1"/>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1" fontId="0" fillId="6" borderId="6" xfId="0" applyNumberFormat="1" applyFill="1" applyBorder="1" applyAlignment="1">
      <alignment horizontal="center"/>
    </xf>
    <xf numFmtId="1" fontId="0" fillId="6" borderId="7" xfId="0" applyNumberFormat="1" applyFill="1" applyBorder="1" applyAlignment="1">
      <alignment horizontal="center"/>
    </xf>
    <xf numFmtId="0" fontId="134" fillId="70" borderId="0" xfId="0" applyFont="1" applyFill="1" applyAlignment="1" applyProtection="1">
      <alignment horizontal="center" vertical="center" wrapText="1"/>
    </xf>
    <xf numFmtId="0" fontId="12" fillId="49" borderId="0" xfId="1" applyFill="1" applyAlignment="1" applyProtection="1">
      <alignment horizontal="center"/>
    </xf>
    <xf numFmtId="0" fontId="12" fillId="32" borderId="0" xfId="1" applyFill="1" applyBorder="1" applyAlignment="1" applyProtection="1">
      <alignment horizontal="left"/>
      <protection locked="0"/>
    </xf>
    <xf numFmtId="0" fontId="130"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5" fillId="3" borderId="0" xfId="0" applyFont="1" applyFill="1" applyAlignment="1">
      <alignment horizontal="center"/>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cellXfs>
  <cellStyles count="13">
    <cellStyle name="Lien hypertexte" xfId="1" builtinId="8"/>
    <cellStyle name="Normal" xfId="0" builtinId="0"/>
    <cellStyle name="Normal 2" xfId="2"/>
    <cellStyle name="Normal 2 2" xfId="7"/>
    <cellStyle name="Normal 3" xfId="6"/>
    <cellStyle name="Normal 4" xfId="11"/>
    <cellStyle name="Normal 5" xfId="12"/>
    <cellStyle name="Pourcentage" xfId="3" builtinId="5"/>
    <cellStyle name="Pourcentage 2" xfId="4"/>
    <cellStyle name="Pourcentage 2 2" xfId="8"/>
    <cellStyle name="Pourcentage 3" xfId="5"/>
    <cellStyle name="Pourcentage 3 2" xfId="9"/>
    <cellStyle name="Pourcentage 4" xfId="10"/>
  </cellStyles>
  <dxfs count="116">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FFFF66"/>
      <color rgb="FFFFFFCC"/>
      <color rgb="FFFFFF99"/>
      <color rgb="FFFF6600"/>
      <color rgb="FFFFCCFF"/>
      <color rgb="FFCCFF99"/>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'7. Results'!$D$11</c:f>
              <c:strCache>
                <c:ptCount val="1"/>
                <c:pt idx="0">
                  <c:v>Without</c:v>
                </c:pt>
              </c:strCache>
            </c:strRef>
          </c:tx>
          <c:invertIfNegative val="0"/>
          <c:cat>
            <c:strRef>
              <c:f>('7. Results'!$B$15:$B$17,'7. Results'!$B$19:$B$21,'7. Results'!$B$23:$B$26)</c:f>
              <c:strCache>
                <c:ptCount val="10"/>
                <c:pt idx="0">
                  <c:v>Deforestation</c:v>
                </c:pt>
                <c:pt idx="1">
                  <c:v>Afforestation</c:v>
                </c:pt>
                <c:pt idx="2">
                  <c:v>Other LUC</c:v>
                </c:pt>
                <c:pt idx="3">
                  <c:v>Annual</c:v>
                </c:pt>
                <c:pt idx="4">
                  <c:v>Perennial</c:v>
                </c:pt>
                <c:pt idx="5">
                  <c:v>Rice</c:v>
                </c:pt>
                <c:pt idx="6">
                  <c:v>Grassland</c:v>
                </c:pt>
                <c:pt idx="7">
                  <c:v>Livestocks</c:v>
                </c:pt>
                <c:pt idx="8">
                  <c:v>Degradation &amp; Management</c:v>
                </c:pt>
                <c:pt idx="9">
                  <c:v>Inputs &amp; Investments</c:v>
                </c:pt>
              </c:strCache>
            </c:strRef>
          </c:cat>
          <c:val>
            <c:numRef>
              <c:f>('7. Results'!$D$15:$D$17,'7. Results'!$D$19:$D$21,'7. Results'!$D$23:$D$26)</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'7. Results'!$E$11</c:f>
              <c:strCache>
                <c:ptCount val="1"/>
                <c:pt idx="0">
                  <c:v>With</c:v>
                </c:pt>
              </c:strCache>
            </c:strRef>
          </c:tx>
          <c:invertIfNegative val="0"/>
          <c:cat>
            <c:strRef>
              <c:f>('7. Results'!$B$15:$B$17,'7. Results'!$B$19:$B$21,'7. Results'!$B$23:$B$26)</c:f>
              <c:strCache>
                <c:ptCount val="10"/>
                <c:pt idx="0">
                  <c:v>Deforestation</c:v>
                </c:pt>
                <c:pt idx="1">
                  <c:v>Afforestation</c:v>
                </c:pt>
                <c:pt idx="2">
                  <c:v>Other LUC</c:v>
                </c:pt>
                <c:pt idx="3">
                  <c:v>Annual</c:v>
                </c:pt>
                <c:pt idx="4">
                  <c:v>Perennial</c:v>
                </c:pt>
                <c:pt idx="5">
                  <c:v>Rice</c:v>
                </c:pt>
                <c:pt idx="6">
                  <c:v>Grassland</c:v>
                </c:pt>
                <c:pt idx="7">
                  <c:v>Livestocks</c:v>
                </c:pt>
                <c:pt idx="8">
                  <c:v>Degradation &amp; Management</c:v>
                </c:pt>
                <c:pt idx="9">
                  <c:v>Inputs &amp; Investments</c:v>
                </c:pt>
              </c:strCache>
            </c:strRef>
          </c:cat>
          <c:val>
            <c:numRef>
              <c:f>('7. Results'!$E$15:$E$17,'7. Results'!$E$19:$E$21,'7. Results'!$E$23:$E$26)</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131952640"/>
        <c:axId val="131954176"/>
        <c:axId val="0"/>
      </c:bar3DChart>
      <c:catAx>
        <c:axId val="131952640"/>
        <c:scaling>
          <c:orientation val="minMax"/>
        </c:scaling>
        <c:delete val="0"/>
        <c:axPos val="b"/>
        <c:numFmt formatCode="General" sourceLinked="1"/>
        <c:majorTickMark val="out"/>
        <c:minorTickMark val="none"/>
        <c:tickLblPos val="low"/>
        <c:crossAx val="131954176"/>
        <c:crosses val="autoZero"/>
        <c:auto val="1"/>
        <c:lblAlgn val="ctr"/>
        <c:lblOffset val="100"/>
        <c:noMultiLvlLbl val="0"/>
      </c:catAx>
      <c:valAx>
        <c:axId val="131954176"/>
        <c:scaling>
          <c:orientation val="minMax"/>
        </c:scaling>
        <c:delete val="0"/>
        <c:axPos val="l"/>
        <c:majorGridlines/>
        <c:numFmt formatCode="#,##0" sourceLinked="1"/>
        <c:majorTickMark val="out"/>
        <c:minorTickMark val="none"/>
        <c:tickLblPos val="nextTo"/>
        <c:crossAx val="131952640"/>
        <c:crosses val="autoZero"/>
        <c:crossBetween val="between"/>
      </c:valAx>
    </c:plotArea>
    <c:legend>
      <c:legendPos val="r"/>
      <c:layout>
        <c:manualLayout>
          <c:xMode val="edge"/>
          <c:yMode val="edge"/>
          <c:x val="0.83427865266841705"/>
          <c:y val="6.9060586176727903E-2"/>
          <c:w val="0.13841443999827896"/>
          <c:h val="0.14630188823484438"/>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'7. Results'!$F$11</c:f>
              <c:strCache>
                <c:ptCount val="1"/>
                <c:pt idx="0">
                  <c:v>Balance</c:v>
                </c:pt>
              </c:strCache>
            </c:strRef>
          </c:tx>
          <c:spPr>
            <a:solidFill>
              <a:schemeClr val="accent3">
                <a:lumMod val="50000"/>
              </a:schemeClr>
            </a:solidFill>
          </c:spPr>
          <c:invertIfNegative val="0"/>
          <c:cat>
            <c:strRef>
              <c:f>('7. Results'!$B$15:$B$17,'7. Results'!$B$19:$B$21,'7. Results'!$B$23:$B$26)</c:f>
              <c:strCache>
                <c:ptCount val="10"/>
                <c:pt idx="0">
                  <c:v>Deforestation</c:v>
                </c:pt>
                <c:pt idx="1">
                  <c:v>Afforestation</c:v>
                </c:pt>
                <c:pt idx="2">
                  <c:v>Other LUC</c:v>
                </c:pt>
                <c:pt idx="3">
                  <c:v>Annual</c:v>
                </c:pt>
                <c:pt idx="4">
                  <c:v>Perennial</c:v>
                </c:pt>
                <c:pt idx="5">
                  <c:v>Rice</c:v>
                </c:pt>
                <c:pt idx="6">
                  <c:v>Grassland</c:v>
                </c:pt>
                <c:pt idx="7">
                  <c:v>Livestocks</c:v>
                </c:pt>
                <c:pt idx="8">
                  <c:v>Degradation &amp; Management</c:v>
                </c:pt>
                <c:pt idx="9">
                  <c:v>Inputs &amp; Investments</c:v>
                </c:pt>
              </c:strCache>
            </c:strRef>
          </c:cat>
          <c:val>
            <c:numRef>
              <c:f>('7. Results'!$F$15:$F$17,'7. Results'!$F$19:$F$21,'7. Results'!$F$23:$F$26)</c:f>
              <c:numCache>
                <c:formatCode>#,##0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133432832"/>
        <c:axId val="133434368"/>
        <c:axId val="0"/>
      </c:bar3DChart>
      <c:catAx>
        <c:axId val="133432832"/>
        <c:scaling>
          <c:orientation val="minMax"/>
        </c:scaling>
        <c:delete val="0"/>
        <c:axPos val="b"/>
        <c:numFmt formatCode="General" sourceLinked="1"/>
        <c:majorTickMark val="out"/>
        <c:minorTickMark val="none"/>
        <c:tickLblPos val="low"/>
        <c:crossAx val="133434368"/>
        <c:crosses val="autoZero"/>
        <c:auto val="1"/>
        <c:lblAlgn val="ctr"/>
        <c:lblOffset val="100"/>
        <c:noMultiLvlLbl val="0"/>
      </c:catAx>
      <c:valAx>
        <c:axId val="133434368"/>
        <c:scaling>
          <c:orientation val="minMax"/>
        </c:scaling>
        <c:delete val="0"/>
        <c:axPos val="l"/>
        <c:majorGridlines/>
        <c:numFmt formatCode="#,##0" sourceLinked="1"/>
        <c:majorTickMark val="out"/>
        <c:minorTickMark val="none"/>
        <c:tickLblPos val="nextTo"/>
        <c:crossAx val="133432832"/>
        <c:crosses val="autoZero"/>
        <c:crossBetween val="between"/>
      </c:valAx>
    </c:plotArea>
    <c:legend>
      <c:legendPos val="r"/>
      <c:layout>
        <c:manualLayout>
          <c:xMode val="edge"/>
          <c:yMode val="edge"/>
          <c:x val="0.83427865266841705"/>
          <c:y val="6.9060586176727903E-2"/>
          <c:w val="0.13841443999827896"/>
          <c:h val="0.14630188823484438"/>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dPt>
          <c:dPt>
            <c:idx val="1"/>
            <c:invertIfNegative val="0"/>
            <c:bubble3D val="0"/>
            <c:spPr>
              <a:solidFill>
                <a:schemeClr val="bg2">
                  <a:lumMod val="50000"/>
                </a:schemeClr>
              </a:solidFill>
            </c:spPr>
          </c:dPt>
          <c:dPt>
            <c:idx val="2"/>
            <c:invertIfNegative val="0"/>
            <c:bubble3D val="0"/>
            <c:spPr>
              <a:solidFill>
                <a:schemeClr val="bg2">
                  <a:lumMod val="75000"/>
                </a:schemeClr>
              </a:solidFill>
            </c:spPr>
          </c:dPt>
          <c:dPt>
            <c:idx val="3"/>
            <c:invertIfNegative val="0"/>
            <c:bubble3D val="0"/>
            <c:spPr>
              <a:solidFill>
                <a:schemeClr val="accent6">
                  <a:lumMod val="75000"/>
                </a:schemeClr>
              </a:solidFill>
            </c:spPr>
          </c:dPt>
          <c:dPt>
            <c:idx val="4"/>
            <c:invertIfNegative val="0"/>
            <c:bubble3D val="0"/>
            <c:spPr>
              <a:solidFill>
                <a:schemeClr val="accent4">
                  <a:lumMod val="75000"/>
                </a:schemeClr>
              </a:solidFill>
            </c:spPr>
          </c:dPt>
          <c:cat>
            <c:strRef>
              <c:f>'7. Results'!$H$14:$L$14</c:f>
              <c:strCache>
                <c:ptCount val="5"/>
                <c:pt idx="0">
                  <c:v>CO2-Biomass</c:v>
                </c:pt>
                <c:pt idx="1">
                  <c:v>CO2-Soil</c:v>
                </c:pt>
                <c:pt idx="2">
                  <c:v>CO2-Other</c:v>
                </c:pt>
                <c:pt idx="3">
                  <c:v>N2O</c:v>
                </c:pt>
                <c:pt idx="4">
                  <c:v>CH4</c:v>
                </c:pt>
              </c:strCache>
            </c:strRef>
          </c:cat>
          <c:val>
            <c:numRef>
              <c:f>'7. Results'!$H$28:$L$28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shape val="box"/>
        <c:axId val="133461120"/>
        <c:axId val="133462656"/>
        <c:axId val="0"/>
      </c:bar3DChart>
      <c:catAx>
        <c:axId val="133461120"/>
        <c:scaling>
          <c:orientation val="minMax"/>
        </c:scaling>
        <c:delete val="0"/>
        <c:axPos val="b"/>
        <c:majorTickMark val="out"/>
        <c:minorTickMark val="none"/>
        <c:tickLblPos val="low"/>
        <c:crossAx val="133462656"/>
        <c:crosses val="autoZero"/>
        <c:auto val="1"/>
        <c:lblAlgn val="ctr"/>
        <c:lblOffset val="100"/>
        <c:noMultiLvlLbl val="0"/>
      </c:catAx>
      <c:valAx>
        <c:axId val="133462656"/>
        <c:scaling>
          <c:orientation val="minMax"/>
        </c:scaling>
        <c:delete val="0"/>
        <c:axPos val="l"/>
        <c:majorGridlines/>
        <c:numFmt formatCode="#,##0" sourceLinked="1"/>
        <c:majorTickMark val="out"/>
        <c:minorTickMark val="none"/>
        <c:tickLblPos val="nextTo"/>
        <c:crossAx val="133461120"/>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dPt>
          <c:dPt>
            <c:idx val="2"/>
            <c:invertIfNegative val="0"/>
            <c:bubble3D val="0"/>
            <c:spPr>
              <a:solidFill>
                <a:schemeClr val="accent3">
                  <a:lumMod val="50000"/>
                </a:schemeClr>
              </a:solidFill>
            </c:spPr>
          </c:dPt>
          <c:cat>
            <c:strRef>
              <c:f>'7. Results'!$D$11:$F$11</c:f>
              <c:strCache>
                <c:ptCount val="3"/>
                <c:pt idx="0">
                  <c:v>Without</c:v>
                </c:pt>
                <c:pt idx="1">
                  <c:v>With</c:v>
                </c:pt>
                <c:pt idx="2">
                  <c:v>Balance</c:v>
                </c:pt>
              </c:strCache>
            </c:strRef>
          </c:cat>
          <c:val>
            <c:numRef>
              <c:f>'7. Results'!$D$28:$F$28</c:f>
              <c:numCache>
                <c:formatCode>#,##0</c:formatCode>
                <c:ptCount val="3"/>
                <c:pt idx="0">
                  <c:v>0</c:v>
                </c:pt>
                <c:pt idx="1">
                  <c:v>0</c:v>
                </c:pt>
                <c:pt idx="2">
                  <c:v>0</c:v>
                </c:pt>
              </c:numCache>
            </c:numRef>
          </c:val>
        </c:ser>
        <c:dLbls>
          <c:showLegendKey val="0"/>
          <c:showVal val="0"/>
          <c:showCatName val="0"/>
          <c:showSerName val="0"/>
          <c:showPercent val="0"/>
          <c:showBubbleSize val="0"/>
        </c:dLbls>
        <c:gapWidth val="150"/>
        <c:shape val="box"/>
        <c:axId val="133237760"/>
        <c:axId val="133243648"/>
        <c:axId val="0"/>
      </c:bar3DChart>
      <c:catAx>
        <c:axId val="133237760"/>
        <c:scaling>
          <c:orientation val="minMax"/>
        </c:scaling>
        <c:delete val="0"/>
        <c:axPos val="b"/>
        <c:numFmt formatCode="#,##0" sourceLinked="1"/>
        <c:majorTickMark val="out"/>
        <c:minorTickMark val="none"/>
        <c:tickLblPos val="low"/>
        <c:crossAx val="133243648"/>
        <c:crosses val="autoZero"/>
        <c:auto val="1"/>
        <c:lblAlgn val="ctr"/>
        <c:lblOffset val="100"/>
        <c:noMultiLvlLbl val="0"/>
      </c:catAx>
      <c:valAx>
        <c:axId val="133243648"/>
        <c:scaling>
          <c:orientation val="minMax"/>
        </c:scaling>
        <c:delete val="0"/>
        <c:axPos val="l"/>
        <c:majorGridlines/>
        <c:numFmt formatCode="#,##0" sourceLinked="1"/>
        <c:majorTickMark val="out"/>
        <c:minorTickMark val="none"/>
        <c:tickLblPos val="nextTo"/>
        <c:crossAx val="133237760"/>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5"/>
          <c:y val="5.0851241311683767E-2"/>
          <c:w val="0.81773093300829736"/>
          <c:h val="0.67077642252526593"/>
        </c:manualLayout>
      </c:layout>
      <c:barChart>
        <c:barDir val="col"/>
        <c:grouping val="clustered"/>
        <c:varyColors val="0"/>
        <c:ser>
          <c:idx val="0"/>
          <c:order val="0"/>
          <c:tx>
            <c:strRef>
              <c:f>'7. Results'!$K$205</c:f>
              <c:strCache>
                <c:ptCount val="1"/>
                <c:pt idx="0">
                  <c:v>Without</c:v>
                </c:pt>
              </c:strCache>
            </c:strRef>
          </c:tx>
          <c:invertIfNegative val="0"/>
          <c:cat>
            <c:strRef>
              <c:f>'7. Results'!$B$206:$J$210</c:f>
              <c:strCache>
                <c:ptCount val="5"/>
                <c:pt idx="0">
                  <c:v>PRODUCTION</c:v>
                </c:pt>
                <c:pt idx="1">
                  <c:v>PROCESSING</c:v>
                </c:pt>
                <c:pt idx="2">
                  <c:v>TRANSPORT</c:v>
                </c:pt>
                <c:pt idx="3">
                  <c:v>USE</c:v>
                </c:pt>
                <c:pt idx="4">
                  <c:v>WASTE</c:v>
                </c:pt>
              </c:strCache>
            </c:strRef>
          </c:cat>
          <c:val>
            <c:numRef>
              <c:f>'7. Results'!$K$206:$K$210</c:f>
              <c:numCache>
                <c:formatCode>0.00</c:formatCode>
                <c:ptCount val="5"/>
                <c:pt idx="0">
                  <c:v>0</c:v>
                </c:pt>
                <c:pt idx="1">
                  <c:v>0</c:v>
                </c:pt>
                <c:pt idx="2">
                  <c:v>0</c:v>
                </c:pt>
                <c:pt idx="3">
                  <c:v>0</c:v>
                </c:pt>
                <c:pt idx="4">
                  <c:v>0</c:v>
                </c:pt>
              </c:numCache>
            </c:numRef>
          </c:val>
        </c:ser>
        <c:ser>
          <c:idx val="1"/>
          <c:order val="1"/>
          <c:tx>
            <c:strRef>
              <c:f>'7. Results'!$L$205</c:f>
              <c:strCache>
                <c:ptCount val="1"/>
                <c:pt idx="0">
                  <c:v>With</c:v>
                </c:pt>
              </c:strCache>
            </c:strRef>
          </c:tx>
          <c:invertIfNegative val="0"/>
          <c:cat>
            <c:strRef>
              <c:f>'7. Results'!$B$206:$J$210</c:f>
              <c:strCache>
                <c:ptCount val="5"/>
                <c:pt idx="0">
                  <c:v>PRODUCTION</c:v>
                </c:pt>
                <c:pt idx="1">
                  <c:v>PROCESSING</c:v>
                </c:pt>
                <c:pt idx="2">
                  <c:v>TRANSPORT</c:v>
                </c:pt>
                <c:pt idx="3">
                  <c:v>USE</c:v>
                </c:pt>
                <c:pt idx="4">
                  <c:v>WASTE</c:v>
                </c:pt>
              </c:strCache>
            </c:strRef>
          </c:cat>
          <c:val>
            <c:numRef>
              <c:f>'7. Results'!$L$206:$L$210</c:f>
              <c:numCache>
                <c:formatCode>0.00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33270144"/>
        <c:axId val="133276032"/>
      </c:barChart>
      <c:catAx>
        <c:axId val="133270144"/>
        <c:scaling>
          <c:orientation val="minMax"/>
        </c:scaling>
        <c:delete val="0"/>
        <c:axPos val="b"/>
        <c:majorTickMark val="out"/>
        <c:minorTickMark val="none"/>
        <c:tickLblPos val="nextTo"/>
        <c:crossAx val="133276032"/>
        <c:crosses val="autoZero"/>
        <c:auto val="1"/>
        <c:lblAlgn val="ctr"/>
        <c:lblOffset val="100"/>
        <c:noMultiLvlLbl val="0"/>
      </c:catAx>
      <c:valAx>
        <c:axId val="133276032"/>
        <c:scaling>
          <c:orientation val="minMax"/>
        </c:scaling>
        <c:delete val="0"/>
        <c:axPos val="l"/>
        <c:majorGridlines/>
        <c:numFmt formatCode="0" sourceLinked="0"/>
        <c:majorTickMark val="out"/>
        <c:minorTickMark val="none"/>
        <c:tickLblPos val="nextTo"/>
        <c:crossAx val="133270144"/>
        <c:crosses val="autoZero"/>
        <c:crossBetween val="between"/>
      </c:valAx>
    </c:plotArea>
    <c:legend>
      <c:legendPos val="r"/>
      <c:layout>
        <c:manualLayout>
          <c:xMode val="edge"/>
          <c:yMode val="edge"/>
          <c:x val="0.54410702868888472"/>
          <c:y val="5.5345201099381014E-2"/>
          <c:w val="0.39543957680243808"/>
          <c:h val="0.12900380224845848"/>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'7. Results'!$B$206</c:f>
              <c:strCache>
                <c:ptCount val="1"/>
                <c:pt idx="0">
                  <c:v>PRODUCTION</c:v>
                </c:pt>
              </c:strCache>
            </c:strRef>
          </c:tx>
          <c:invertIfNegative val="0"/>
          <c:cat>
            <c:strRef>
              <c:f>('7. Results'!$K$205:$L$205,'7. Results'!$B$207:$L$207,'7. Results'!$B$207:$L$207)</c:f>
              <c:strCache>
                <c:ptCount val="24"/>
                <c:pt idx="0">
                  <c:v>Without</c:v>
                </c:pt>
                <c:pt idx="1">
                  <c:v>With</c:v>
                </c:pt>
                <c:pt idx="2">
                  <c:v>PROCESSING</c:v>
                </c:pt>
                <c:pt idx="11">
                  <c:v>0,00</c:v>
                </c:pt>
                <c:pt idx="12">
                  <c:v>0,00</c:v>
                </c:pt>
                <c:pt idx="13">
                  <c:v>PROCESSING</c:v>
                </c:pt>
                <c:pt idx="22">
                  <c:v>0,00</c:v>
                </c:pt>
                <c:pt idx="23">
                  <c:v>0,00</c:v>
                </c:pt>
              </c:strCache>
            </c:strRef>
          </c:cat>
          <c:val>
            <c:numRef>
              <c:f>'7. Results'!$K$206:$L$206</c:f>
              <c:numCache>
                <c:formatCode>0.00</c:formatCode>
                <c:ptCount val="2"/>
                <c:pt idx="0">
                  <c:v>0</c:v>
                </c:pt>
                <c:pt idx="1">
                  <c:v>0</c:v>
                </c:pt>
              </c:numCache>
            </c:numRef>
          </c:val>
        </c:ser>
        <c:ser>
          <c:idx val="6"/>
          <c:order val="1"/>
          <c:tx>
            <c:strRef>
              <c:f>'7. Results'!$B$207</c:f>
              <c:strCache>
                <c:ptCount val="1"/>
                <c:pt idx="0">
                  <c:v>PROCESSING</c:v>
                </c:pt>
              </c:strCache>
            </c:strRef>
          </c:tx>
          <c:invertIfNegative val="0"/>
          <c:cat>
            <c:strRef>
              <c:f>('7. Results'!$K$205:$L$205,'7. Results'!$B$207:$L$207,'7. Results'!$B$207:$L$207)</c:f>
              <c:strCache>
                <c:ptCount val="24"/>
                <c:pt idx="0">
                  <c:v>Without</c:v>
                </c:pt>
                <c:pt idx="1">
                  <c:v>With</c:v>
                </c:pt>
                <c:pt idx="2">
                  <c:v>PROCESSING</c:v>
                </c:pt>
                <c:pt idx="11">
                  <c:v>0,00</c:v>
                </c:pt>
                <c:pt idx="12">
                  <c:v>0,00</c:v>
                </c:pt>
                <c:pt idx="13">
                  <c:v>PROCESSING</c:v>
                </c:pt>
                <c:pt idx="22">
                  <c:v>0,00</c:v>
                </c:pt>
                <c:pt idx="23">
                  <c:v>0,00</c:v>
                </c:pt>
              </c:strCache>
            </c:strRef>
          </c:cat>
          <c:val>
            <c:numRef>
              <c:f>'7. Results'!$K$207:$L$207</c:f>
              <c:numCache>
                <c:formatCode>0.00</c:formatCode>
                <c:ptCount val="2"/>
                <c:pt idx="0">
                  <c:v>0</c:v>
                </c:pt>
                <c:pt idx="1">
                  <c:v>0</c:v>
                </c:pt>
              </c:numCache>
            </c:numRef>
          </c:val>
        </c:ser>
        <c:ser>
          <c:idx val="2"/>
          <c:order val="2"/>
          <c:tx>
            <c:strRef>
              <c:f>'7. Results'!$B$208</c:f>
              <c:strCache>
                <c:ptCount val="1"/>
                <c:pt idx="0">
                  <c:v>TRANSPORT</c:v>
                </c:pt>
              </c:strCache>
            </c:strRef>
          </c:tx>
          <c:invertIfNegative val="0"/>
          <c:cat>
            <c:strRef>
              <c:f>('7. Results'!$K$205:$L$205,'7. Results'!$B$207:$L$207,'7. Results'!$B$207:$L$207)</c:f>
              <c:strCache>
                <c:ptCount val="24"/>
                <c:pt idx="0">
                  <c:v>Without</c:v>
                </c:pt>
                <c:pt idx="1">
                  <c:v>With</c:v>
                </c:pt>
                <c:pt idx="2">
                  <c:v>PROCESSING</c:v>
                </c:pt>
                <c:pt idx="11">
                  <c:v>0,00</c:v>
                </c:pt>
                <c:pt idx="12">
                  <c:v>0,00</c:v>
                </c:pt>
                <c:pt idx="13">
                  <c:v>PROCESSING</c:v>
                </c:pt>
                <c:pt idx="22">
                  <c:v>0,00</c:v>
                </c:pt>
                <c:pt idx="23">
                  <c:v>0,00</c:v>
                </c:pt>
              </c:strCache>
            </c:strRef>
          </c:cat>
          <c:val>
            <c:numRef>
              <c:f>'7. Results'!$K$208:$L$208</c:f>
              <c:numCache>
                <c:formatCode>0.00</c:formatCode>
                <c:ptCount val="2"/>
                <c:pt idx="0">
                  <c:v>0</c:v>
                </c:pt>
                <c:pt idx="1">
                  <c:v>0</c:v>
                </c:pt>
              </c:numCache>
            </c:numRef>
          </c:val>
        </c:ser>
        <c:ser>
          <c:idx val="3"/>
          <c:order val="3"/>
          <c:tx>
            <c:strRef>
              <c:f>'7. Results'!$B$209</c:f>
              <c:strCache>
                <c:ptCount val="1"/>
                <c:pt idx="0">
                  <c:v>USE</c:v>
                </c:pt>
              </c:strCache>
            </c:strRef>
          </c:tx>
          <c:invertIfNegative val="0"/>
          <c:cat>
            <c:strRef>
              <c:f>('7. Results'!$K$205:$L$205,'7. Results'!$B$207:$L$207,'7. Results'!$B$207:$L$207)</c:f>
              <c:strCache>
                <c:ptCount val="24"/>
                <c:pt idx="0">
                  <c:v>Without</c:v>
                </c:pt>
                <c:pt idx="1">
                  <c:v>With</c:v>
                </c:pt>
                <c:pt idx="2">
                  <c:v>PROCESSING</c:v>
                </c:pt>
                <c:pt idx="11">
                  <c:v>0,00</c:v>
                </c:pt>
                <c:pt idx="12">
                  <c:v>0,00</c:v>
                </c:pt>
                <c:pt idx="13">
                  <c:v>PROCESSING</c:v>
                </c:pt>
                <c:pt idx="22">
                  <c:v>0,00</c:v>
                </c:pt>
                <c:pt idx="23">
                  <c:v>0,00</c:v>
                </c:pt>
              </c:strCache>
            </c:strRef>
          </c:cat>
          <c:val>
            <c:numRef>
              <c:f>'7. Results'!$K$209:$L$209</c:f>
              <c:numCache>
                <c:formatCode>0.00</c:formatCode>
                <c:ptCount val="2"/>
                <c:pt idx="0">
                  <c:v>0</c:v>
                </c:pt>
                <c:pt idx="1">
                  <c:v>0</c:v>
                </c:pt>
              </c:numCache>
            </c:numRef>
          </c:val>
        </c:ser>
        <c:ser>
          <c:idx val="4"/>
          <c:order val="4"/>
          <c:tx>
            <c:strRef>
              <c:f>'7. Results'!$B$210</c:f>
              <c:strCache>
                <c:ptCount val="1"/>
                <c:pt idx="0">
                  <c:v>WASTE</c:v>
                </c:pt>
              </c:strCache>
            </c:strRef>
          </c:tx>
          <c:invertIfNegative val="0"/>
          <c:cat>
            <c:strRef>
              <c:f>('7. Results'!$K$205:$L$205,'7. Results'!$B$207:$L$207,'7. Results'!$B$207:$L$207)</c:f>
              <c:strCache>
                <c:ptCount val="24"/>
                <c:pt idx="0">
                  <c:v>Without</c:v>
                </c:pt>
                <c:pt idx="1">
                  <c:v>With</c:v>
                </c:pt>
                <c:pt idx="2">
                  <c:v>PROCESSING</c:v>
                </c:pt>
                <c:pt idx="11">
                  <c:v>0,00</c:v>
                </c:pt>
                <c:pt idx="12">
                  <c:v>0,00</c:v>
                </c:pt>
                <c:pt idx="13">
                  <c:v>PROCESSING</c:v>
                </c:pt>
                <c:pt idx="22">
                  <c:v>0,00</c:v>
                </c:pt>
                <c:pt idx="23">
                  <c:v>0,00</c:v>
                </c:pt>
              </c:strCache>
            </c:strRef>
          </c:cat>
          <c:val>
            <c:numRef>
              <c:f>'7. Results'!$K$210:$L$210</c:f>
              <c:numCache>
                <c:formatCode>0.00</c:formatCode>
                <c:ptCount val="2"/>
                <c:pt idx="0">
                  <c:v>0</c:v>
                </c:pt>
                <c:pt idx="1">
                  <c:v>0</c:v>
                </c:pt>
              </c:numCache>
            </c:numRef>
          </c:val>
        </c:ser>
        <c:dLbls>
          <c:showLegendKey val="0"/>
          <c:showVal val="0"/>
          <c:showCatName val="0"/>
          <c:showSerName val="0"/>
          <c:showPercent val="0"/>
          <c:showBubbleSize val="0"/>
        </c:dLbls>
        <c:gapWidth val="150"/>
        <c:axId val="133320064"/>
        <c:axId val="133334144"/>
      </c:barChart>
      <c:catAx>
        <c:axId val="133320064"/>
        <c:scaling>
          <c:orientation val="minMax"/>
        </c:scaling>
        <c:delete val="0"/>
        <c:axPos val="b"/>
        <c:numFmt formatCode="General" sourceLinked="1"/>
        <c:majorTickMark val="out"/>
        <c:minorTickMark val="none"/>
        <c:tickLblPos val="nextTo"/>
        <c:crossAx val="133334144"/>
        <c:crosses val="autoZero"/>
        <c:auto val="1"/>
        <c:lblAlgn val="ctr"/>
        <c:lblOffset val="100"/>
        <c:noMultiLvlLbl val="0"/>
      </c:catAx>
      <c:valAx>
        <c:axId val="133334144"/>
        <c:scaling>
          <c:orientation val="minMax"/>
        </c:scaling>
        <c:delete val="0"/>
        <c:axPos val="l"/>
        <c:majorGridlines/>
        <c:numFmt formatCode="0" sourceLinked="0"/>
        <c:majorTickMark val="out"/>
        <c:minorTickMark val="none"/>
        <c:tickLblPos val="nextTo"/>
        <c:crossAx val="133320064"/>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7996E-2"/>
          <c:w val="0.96253055811841093"/>
          <c:h val="0.78302127254469056"/>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Results'!$B$29:$B$31)</c:f>
              <c:strCache>
                <c:ptCount val="12"/>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strCache>
            </c:strRef>
          </c:cat>
          <c:val>
            <c:numRef>
              <c:f>('Gross Results'!$E$18:$E$21,'Gross Results'!$E$23:$E$27,'Gross Results'!$E$29:$E$31)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spPr>
            <a:solidFill>
              <a:srgbClr val="FF99CC"/>
            </a:solidFill>
            <a:ln w="12700">
              <a:solidFill>
                <a:srgbClr val="000000"/>
              </a:solidFill>
              <a:prstDash val="solid"/>
            </a:ln>
          </c:spPr>
          <c:invertIfNegative val="0"/>
          <c:cat>
            <c:strRef>
              <c:f>('Gross Results'!$B$18:$B$21,'Gross Results'!$B$23:$B$27,'Gross Results'!$B$29:$B$31)</c:f>
              <c:strCache>
                <c:ptCount val="12"/>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strCache>
            </c:strRef>
          </c:cat>
          <c:val>
            <c:numRef>
              <c:f>('Gross Results'!$I$18:$I$21,'Gross Results'!$I$23:$I$27,'Gross Results'!$I$29:$I$31)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133409792"/>
        <c:axId val="131797760"/>
        <c:axId val="0"/>
      </c:bar3DChart>
      <c:catAx>
        <c:axId val="133409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fr-FR"/>
          </a:p>
        </c:txPr>
        <c:crossAx val="131797760"/>
        <c:crosses val="autoZero"/>
        <c:auto val="1"/>
        <c:lblAlgn val="ctr"/>
        <c:lblOffset val="100"/>
        <c:tickLblSkip val="1"/>
        <c:tickMarkSkip val="1"/>
        <c:noMultiLvlLbl val="0"/>
      </c:catAx>
      <c:valAx>
        <c:axId val="13179776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13340979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89E-2"/>
          <c:y val="6.269616468151773E-2"/>
          <c:w val="0.96478468894379343"/>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dPt>
          <c:dPt>
            <c:idx val="1"/>
            <c:invertIfNegative val="0"/>
            <c:bubble3D val="0"/>
            <c:spPr>
              <a:pattFill prst="zigZag">
                <a:fgClr>
                  <a:srgbClr val="000000"/>
                </a:fgClr>
                <a:bgClr>
                  <a:srgbClr val="FF9900"/>
                </a:bgClr>
              </a:pattFill>
              <a:ln w="12700">
                <a:solidFill>
                  <a:srgbClr val="000000"/>
                </a:solidFill>
                <a:prstDash val="solid"/>
              </a:ln>
            </c:spPr>
          </c:dPt>
          <c:dPt>
            <c:idx val="3"/>
            <c:invertIfNegative val="0"/>
            <c:bubble3D val="0"/>
            <c:spPr>
              <a:solidFill>
                <a:srgbClr val="FFFF00"/>
              </a:solidFill>
              <a:ln w="12700">
                <a:solidFill>
                  <a:srgbClr val="000000"/>
                </a:solidFill>
                <a:prstDash val="solid"/>
              </a:ln>
            </c:spPr>
          </c:dPt>
          <c:dPt>
            <c:idx val="4"/>
            <c:invertIfNegative val="0"/>
            <c:bubble3D val="0"/>
            <c:spPr>
              <a:solidFill>
                <a:srgbClr val="FFFF00"/>
              </a:solidFill>
              <a:ln w="25400">
                <a:solidFill>
                  <a:srgbClr val="008000"/>
                </a:solidFill>
                <a:prstDash val="solid"/>
              </a:ln>
            </c:spPr>
          </c:dPt>
          <c:dPt>
            <c:idx val="5"/>
            <c:invertIfNegative val="0"/>
            <c:bubble3D val="0"/>
            <c:spPr>
              <a:solidFill>
                <a:srgbClr val="FFFF00"/>
              </a:solidFill>
              <a:ln w="25400">
                <a:solidFill>
                  <a:srgbClr val="003300"/>
                </a:solidFill>
                <a:prstDash val="solid"/>
              </a:ln>
            </c:spPr>
          </c:dPt>
          <c:dPt>
            <c:idx val="6"/>
            <c:invertIfNegative val="0"/>
            <c:bubble3D val="0"/>
            <c:spPr>
              <a:solidFill>
                <a:srgbClr val="99CC00"/>
              </a:solidFill>
              <a:ln w="12700">
                <a:solidFill>
                  <a:srgbClr val="000000"/>
                </a:solidFill>
                <a:prstDash val="solid"/>
              </a:ln>
            </c:spPr>
          </c:dPt>
          <c:dPt>
            <c:idx val="8"/>
            <c:invertIfNegative val="0"/>
            <c:bubble3D val="0"/>
            <c:spPr>
              <a:solidFill>
                <a:srgbClr val="008080"/>
              </a:solidFill>
              <a:ln w="12700">
                <a:solidFill>
                  <a:srgbClr val="000000"/>
                </a:solidFill>
                <a:prstDash val="solid"/>
              </a:ln>
            </c:spPr>
          </c:dPt>
          <c:cat>
            <c:strRef>
              <c:f>(BALANCE!$B$18:$B$21,BALANCE!$B$23:$B$27,BALANCE!$B$29:$B$31)</c:f>
              <c:strCache>
                <c:ptCount val="12"/>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strCache>
            </c:strRef>
          </c:cat>
          <c:val>
            <c:numRef>
              <c:f>(BALANCE!$E$18:$E$21,BALANCE!$E$23:$E$27,BALANCE!$E$29:$E$31)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132118016"/>
        <c:axId val="132119552"/>
        <c:axId val="0"/>
      </c:bar3DChart>
      <c:catAx>
        <c:axId val="132118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fr-FR"/>
          </a:p>
        </c:txPr>
        <c:crossAx val="132119552"/>
        <c:crosses val="autoZero"/>
        <c:auto val="1"/>
        <c:lblAlgn val="ctr"/>
        <c:lblOffset val="100"/>
        <c:tickLblSkip val="1"/>
        <c:tickMarkSkip val="1"/>
        <c:noMultiLvlLbl val="0"/>
      </c:catAx>
      <c:valAx>
        <c:axId val="13211955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13211801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Yield!$D$15:$AB$15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Yield!$D$12:$AB$12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0"/>
        </c:ser>
        <c:dLbls>
          <c:showLegendKey val="0"/>
          <c:showVal val="0"/>
          <c:showCatName val="0"/>
          <c:showSerName val="0"/>
          <c:showPercent val="0"/>
          <c:showBubbleSize val="0"/>
        </c:dLbls>
        <c:axId val="142419840"/>
        <c:axId val="142421376"/>
      </c:scatterChart>
      <c:valAx>
        <c:axId val="142419840"/>
        <c:scaling>
          <c:orientation val="minMax"/>
          <c:max val="2011"/>
          <c:min val="1960"/>
        </c:scaling>
        <c:delete val="0"/>
        <c:axPos val="b"/>
        <c:numFmt formatCode="General" sourceLinked="1"/>
        <c:majorTickMark val="out"/>
        <c:minorTickMark val="none"/>
        <c:tickLblPos val="nextTo"/>
        <c:txPr>
          <a:bodyPr rot="0" vert="horz"/>
          <a:lstStyle/>
          <a:p>
            <a:pPr>
              <a:defRPr/>
            </a:pPr>
            <a:endParaRPr lang="fr-FR"/>
          </a:p>
        </c:txPr>
        <c:crossAx val="142421376"/>
        <c:crosses val="autoZero"/>
        <c:crossBetween val="midCat"/>
      </c:valAx>
      <c:valAx>
        <c:axId val="142421376"/>
        <c:scaling>
          <c:orientation val="minMax"/>
        </c:scaling>
        <c:delete val="0"/>
        <c:axPos val="l"/>
        <c:majorGridlines/>
        <c:numFmt formatCode="0.0" sourceLinked="1"/>
        <c:majorTickMark val="out"/>
        <c:minorTickMark val="none"/>
        <c:tickLblPos val="nextTo"/>
        <c:txPr>
          <a:bodyPr rot="0" vert="horz"/>
          <a:lstStyle/>
          <a:p>
            <a:pPr>
              <a:defRPr/>
            </a:pPr>
            <a:endParaRPr lang="fr-FR"/>
          </a:p>
        </c:txPr>
        <c:crossAx val="142419840"/>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fr-FR"/>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2.LUC'!A1"/><Relationship Id="rId13" Type="http://schemas.openxmlformats.org/officeDocument/2006/relationships/image" Target="../media/image4.jpeg"/><Relationship Id="rId3" Type="http://schemas.openxmlformats.org/officeDocument/2006/relationships/hyperlink" Target="#'1.Description'!A1"/><Relationship Id="rId7" Type="http://schemas.openxmlformats.org/officeDocument/2006/relationships/hyperlink" Target="#'0.Start'!A1"/><Relationship Id="rId12" Type="http://schemas.openxmlformats.org/officeDocument/2006/relationships/hyperlink" Target="#'5. Degradation'!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Grassland'!A1"/><Relationship Id="rId11" Type="http://schemas.openxmlformats.org/officeDocument/2006/relationships/hyperlink" Target="#'7. Results'!A1"/><Relationship Id="rId5" Type="http://schemas.openxmlformats.org/officeDocument/2006/relationships/image" Target="../media/image3.gif"/><Relationship Id="rId10" Type="http://schemas.openxmlformats.org/officeDocument/2006/relationships/hyperlink" Target="#'6. Inputs'!A1"/><Relationship Id="rId4" Type="http://schemas.openxmlformats.org/officeDocument/2006/relationships/hyperlink" Target="http://www.fao.org/tc/exact/en/" TargetMode="External"/><Relationship Id="rId9" Type="http://schemas.openxmlformats.org/officeDocument/2006/relationships/hyperlink" Target="#'3.Cropland'!A1"/></Relationships>
</file>

<file path=xl/drawings/_rels/drawing10.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8" Type="http://schemas.openxmlformats.org/officeDocument/2006/relationships/hyperlink" Target="#'1.Description'!A1"/><Relationship Id="rId13" Type="http://schemas.openxmlformats.org/officeDocument/2006/relationships/hyperlink" Target="#'5. Degradation'!A1"/><Relationship Id="rId3" Type="http://schemas.openxmlformats.org/officeDocument/2006/relationships/image" Target="../media/image8.jpeg"/><Relationship Id="rId7" Type="http://schemas.openxmlformats.org/officeDocument/2006/relationships/hyperlink" Target="#'0.Start'!A1"/><Relationship Id="rId12" Type="http://schemas.openxmlformats.org/officeDocument/2006/relationships/hyperlink" Target="#'7. Results'!A1"/><Relationship Id="rId2" Type="http://schemas.openxmlformats.org/officeDocument/2006/relationships/image" Target="../media/image7.emf"/><Relationship Id="rId1" Type="http://schemas.openxmlformats.org/officeDocument/2006/relationships/image" Target="../media/image6.jpeg"/><Relationship Id="rId6" Type="http://schemas.openxmlformats.org/officeDocument/2006/relationships/hyperlink" Target="#'4.Grassland'!A1"/><Relationship Id="rId11" Type="http://schemas.openxmlformats.org/officeDocument/2006/relationships/hyperlink" Target="#'6. Inputs'!A1"/><Relationship Id="rId5" Type="http://schemas.openxmlformats.org/officeDocument/2006/relationships/image" Target="../media/image3.gif"/><Relationship Id="rId15" Type="http://schemas.openxmlformats.org/officeDocument/2006/relationships/image" Target="../media/image10.jpeg"/><Relationship Id="rId10" Type="http://schemas.openxmlformats.org/officeDocument/2006/relationships/hyperlink" Target="#'3.Cropland'!A1"/><Relationship Id="rId4" Type="http://schemas.openxmlformats.org/officeDocument/2006/relationships/hyperlink" Target="http://www.fao.org/tc/exact/en/" TargetMode="External"/><Relationship Id="rId9" Type="http://schemas.openxmlformats.org/officeDocument/2006/relationships/hyperlink" Target="#'2.LUC'!A1"/><Relationship Id="rId1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8" Type="http://schemas.openxmlformats.org/officeDocument/2006/relationships/hyperlink" Target="#'1.Description'!A1"/><Relationship Id="rId13" Type="http://schemas.openxmlformats.org/officeDocument/2006/relationships/hyperlink" Target="#'5. Degradation'!A1"/><Relationship Id="rId3" Type="http://schemas.openxmlformats.org/officeDocument/2006/relationships/image" Target="../media/image12.png"/><Relationship Id="rId7" Type="http://schemas.openxmlformats.org/officeDocument/2006/relationships/hyperlink" Target="#'0.Start'!A1"/><Relationship Id="rId12" Type="http://schemas.openxmlformats.org/officeDocument/2006/relationships/hyperlink" Target="#'7. Results'!A1"/><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4.Grassland'!A1"/><Relationship Id="rId11" Type="http://schemas.openxmlformats.org/officeDocument/2006/relationships/hyperlink" Target="#'6. Inputs'!A1"/><Relationship Id="rId5" Type="http://schemas.openxmlformats.org/officeDocument/2006/relationships/image" Target="../media/image3.gif"/><Relationship Id="rId10" Type="http://schemas.openxmlformats.org/officeDocument/2006/relationships/hyperlink" Target="#'3.Cropland'!A1"/><Relationship Id="rId4" Type="http://schemas.openxmlformats.org/officeDocument/2006/relationships/hyperlink" Target="http://www.fao.org/tc/exact/en/" TargetMode="External"/><Relationship Id="rId9" Type="http://schemas.openxmlformats.org/officeDocument/2006/relationships/hyperlink" Target="#'2.LUC'!A1"/></Relationships>
</file>

<file path=xl/drawings/_rels/drawing2.xml.rels><?xml version="1.0" encoding="UTF-8" standalone="yes"?>
<Relationships xmlns="http://schemas.openxmlformats.org/package/2006/relationships"><Relationship Id="rId8" Type="http://schemas.openxmlformats.org/officeDocument/2006/relationships/hyperlink" Target="#'2.LUC'!A1"/><Relationship Id="rId3" Type="http://schemas.openxmlformats.org/officeDocument/2006/relationships/hyperlink" Target="http://www.fao.org/tc/exact/en/" TargetMode="External"/><Relationship Id="rId7" Type="http://schemas.openxmlformats.org/officeDocument/2006/relationships/hyperlink" Target="#'1.Description'!A1"/><Relationship Id="rId12" Type="http://schemas.openxmlformats.org/officeDocument/2006/relationships/hyperlink" Target="#'5. Degradation'!A1"/><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0.Start'!A1"/><Relationship Id="rId11" Type="http://schemas.openxmlformats.org/officeDocument/2006/relationships/hyperlink" Target="#'7. Results'!A1"/><Relationship Id="rId5" Type="http://schemas.openxmlformats.org/officeDocument/2006/relationships/hyperlink" Target="#'4.Grassland'!A1"/><Relationship Id="rId10" Type="http://schemas.openxmlformats.org/officeDocument/2006/relationships/hyperlink" Target="#'6. Inputs'!A1"/><Relationship Id="rId4" Type="http://schemas.openxmlformats.org/officeDocument/2006/relationships/image" Target="../media/image3.gif"/><Relationship Id="rId9" Type="http://schemas.openxmlformats.org/officeDocument/2006/relationships/hyperlink" Target="#'3.Cropland'!A1"/></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1"/><Relationship Id="rId13" Type="http://schemas.openxmlformats.org/officeDocument/2006/relationships/hyperlink" Target="#'6. Inputs'!A1"/><Relationship Id="rId3" Type="http://schemas.openxmlformats.org/officeDocument/2006/relationships/hyperlink" Target="#'2.LUC'!B160"/><Relationship Id="rId7" Type="http://schemas.openxmlformats.org/officeDocument/2006/relationships/image" Target="../media/image3.gif"/><Relationship Id="rId12" Type="http://schemas.openxmlformats.org/officeDocument/2006/relationships/hyperlink" Target="#'3.Cropland'!A1"/><Relationship Id="rId17" Type="http://schemas.openxmlformats.org/officeDocument/2006/relationships/hyperlink" Target="#'2.LUC'!A39"/><Relationship Id="rId2" Type="http://schemas.openxmlformats.org/officeDocument/2006/relationships/hyperlink" Target="#'2.LUC'!A6"/><Relationship Id="rId16" Type="http://schemas.openxmlformats.org/officeDocument/2006/relationships/hyperlink" Target="#'2.LUC'!B209"/><Relationship Id="rId1" Type="http://schemas.openxmlformats.org/officeDocument/2006/relationships/hyperlink" Target="#Help!A137"/><Relationship Id="rId6" Type="http://schemas.openxmlformats.org/officeDocument/2006/relationships/hyperlink" Target="http://www.fao.org/tc/exact/en/" TargetMode="External"/><Relationship Id="rId11" Type="http://schemas.openxmlformats.org/officeDocument/2006/relationships/hyperlink" Target="#'2.LUC'!A1"/><Relationship Id="rId5" Type="http://schemas.openxmlformats.org/officeDocument/2006/relationships/hyperlink" Target="#'2.LUC'!B108"/><Relationship Id="rId15" Type="http://schemas.openxmlformats.org/officeDocument/2006/relationships/hyperlink" Target="#'5. Degradation'!A1"/><Relationship Id="rId10" Type="http://schemas.openxmlformats.org/officeDocument/2006/relationships/hyperlink" Target="#'1.Description'!A1"/><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7. Results'!A1"/></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1.Description'!A1"/><Relationship Id="rId18" Type="http://schemas.openxmlformats.org/officeDocument/2006/relationships/hyperlink" Target="#'5. Degradation'!A1"/><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0.Start'!A1"/><Relationship Id="rId17" Type="http://schemas.openxmlformats.org/officeDocument/2006/relationships/hyperlink" Target="#'7. Results'!A1"/><Relationship Id="rId2" Type="http://schemas.openxmlformats.org/officeDocument/2006/relationships/hyperlink" Target="#'3.Cropland'!A6"/><Relationship Id="rId16" Type="http://schemas.openxmlformats.org/officeDocument/2006/relationships/hyperlink" Target="#'6. Inputs'!A1"/><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4.Grassland'!A1"/><Relationship Id="rId5" Type="http://schemas.openxmlformats.org/officeDocument/2006/relationships/hyperlink" Target="#'3.Cropland'!A246"/><Relationship Id="rId15" Type="http://schemas.openxmlformats.org/officeDocument/2006/relationships/hyperlink" Target="#'3.Cropland'!A1"/><Relationship Id="rId10" Type="http://schemas.openxmlformats.org/officeDocument/2006/relationships/image" Target="../media/image3.gif"/><Relationship Id="rId19" Type="http://schemas.openxmlformats.org/officeDocument/2006/relationships/hyperlink" Target="#'3.Cropland'!A300"/><Relationship Id="rId4" Type="http://schemas.openxmlformats.org/officeDocument/2006/relationships/hyperlink" Target="#'3.Cropland'!A40"/><Relationship Id="rId9" Type="http://schemas.openxmlformats.org/officeDocument/2006/relationships/hyperlink" Target="http://www.fao.org/tc/exact/en/" TargetMode="External"/><Relationship Id="rId14" Type="http://schemas.openxmlformats.org/officeDocument/2006/relationships/hyperlink" Target="#'2.LUC'!A1"/></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1"/><Relationship Id="rId13" Type="http://schemas.openxmlformats.org/officeDocument/2006/relationships/hyperlink" Target="#'4.Grassland'!B105"/><Relationship Id="rId3" Type="http://schemas.openxmlformats.org/officeDocument/2006/relationships/hyperlink" Target="http://www.fao.org/tc/exact/en/" TargetMode="External"/><Relationship Id="rId7" Type="http://schemas.openxmlformats.org/officeDocument/2006/relationships/hyperlink" Target="#'1.Description'!A1"/><Relationship Id="rId12" Type="http://schemas.openxmlformats.org/officeDocument/2006/relationships/hyperlink" Target="#'5. Degradation'!A1"/><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7. Results'!A1"/><Relationship Id="rId5" Type="http://schemas.openxmlformats.org/officeDocument/2006/relationships/hyperlink" Target="#'4.Grassland'!A1"/><Relationship Id="rId10" Type="http://schemas.openxmlformats.org/officeDocument/2006/relationships/hyperlink" Target="#'6. Inputs'!A1"/><Relationship Id="rId4" Type="http://schemas.openxmlformats.org/officeDocument/2006/relationships/image" Target="../media/image3.gif"/><Relationship Id="rId9" Type="http://schemas.openxmlformats.org/officeDocument/2006/relationships/hyperlink" Target="#'3.Cropland'!A1"/><Relationship Id="rId14" Type="http://schemas.openxmlformats.org/officeDocument/2006/relationships/hyperlink" Target="#'4.Grassland'!A8"/></Relationships>
</file>

<file path=xl/drawings/_rels/drawing7.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7. Results'!A1"/><Relationship Id="rId3" Type="http://schemas.openxmlformats.org/officeDocument/2006/relationships/hyperlink" Target="#'5. Degradation'!B215"/><Relationship Id="rId7" Type="http://schemas.openxmlformats.org/officeDocument/2006/relationships/hyperlink" Target="#'4.Grassland'!A1"/><Relationship Id="rId12" Type="http://schemas.openxmlformats.org/officeDocument/2006/relationships/hyperlink" Target="#'6. Inputs'!A1"/><Relationship Id="rId2" Type="http://schemas.openxmlformats.org/officeDocument/2006/relationships/hyperlink" Target="#'5. Degradation'!A6"/><Relationship Id="rId1" Type="http://schemas.openxmlformats.org/officeDocument/2006/relationships/hyperlink" Target="#'5. Degradation'!B143"/><Relationship Id="rId6" Type="http://schemas.openxmlformats.org/officeDocument/2006/relationships/image" Target="../media/image3.gif"/><Relationship Id="rId11" Type="http://schemas.openxmlformats.org/officeDocument/2006/relationships/hyperlink" Target="#'3.Cropland'!A1"/><Relationship Id="rId5" Type="http://schemas.openxmlformats.org/officeDocument/2006/relationships/hyperlink" Target="http://www.fao.org/tc/exact/en/" TargetMode="External"/><Relationship Id="rId15" Type="http://schemas.openxmlformats.org/officeDocument/2006/relationships/hyperlink" Target="#Help!A137"/><Relationship Id="rId10" Type="http://schemas.openxmlformats.org/officeDocument/2006/relationships/hyperlink" Target="#'2.LUC'!A1"/><Relationship Id="rId4" Type="http://schemas.openxmlformats.org/officeDocument/2006/relationships/hyperlink" Target="#'5. Degradation'!A26"/><Relationship Id="rId9" Type="http://schemas.openxmlformats.org/officeDocument/2006/relationships/hyperlink" Target="#'1.Description'!A1"/><Relationship Id="rId14" Type="http://schemas.openxmlformats.org/officeDocument/2006/relationships/hyperlink" Target="#'5. Degradation'!A1"/></Relationships>
</file>

<file path=xl/drawings/_rels/drawing8.xml.rels><?xml version="1.0" encoding="UTF-8" standalone="yes"?>
<Relationships xmlns="http://schemas.openxmlformats.org/package/2006/relationships"><Relationship Id="rId8" Type="http://schemas.openxmlformats.org/officeDocument/2006/relationships/image" Target="../media/image3.gif"/><Relationship Id="rId13" Type="http://schemas.openxmlformats.org/officeDocument/2006/relationships/hyperlink" Target="#'3.Cropland'!A1"/><Relationship Id="rId3" Type="http://schemas.openxmlformats.org/officeDocument/2006/relationships/hyperlink" Target="#'6. Inputs'!B215"/><Relationship Id="rId7" Type="http://schemas.openxmlformats.org/officeDocument/2006/relationships/hyperlink" Target="http://www.fao.org/tc/exact/en/" TargetMode="External"/><Relationship Id="rId12" Type="http://schemas.openxmlformats.org/officeDocument/2006/relationships/hyperlink" Target="#'2.LUC'!A1"/><Relationship Id="rId2" Type="http://schemas.openxmlformats.org/officeDocument/2006/relationships/hyperlink" Target="#'6. Inputs'!A6"/><Relationship Id="rId16" Type="http://schemas.openxmlformats.org/officeDocument/2006/relationships/hyperlink" Target="#'5. Degradation'!A1"/><Relationship Id="rId1" Type="http://schemas.openxmlformats.org/officeDocument/2006/relationships/hyperlink" Target="#'6. Inputs'!B147"/><Relationship Id="rId6" Type="http://schemas.openxmlformats.org/officeDocument/2006/relationships/hyperlink" Target="#'6. Inputs'!A57"/><Relationship Id="rId11" Type="http://schemas.openxmlformats.org/officeDocument/2006/relationships/hyperlink" Target="#'1.Description'!A1"/><Relationship Id="rId5" Type="http://schemas.openxmlformats.org/officeDocument/2006/relationships/hyperlink" Target="#'6. Inputs'!B250"/><Relationship Id="rId15" Type="http://schemas.openxmlformats.org/officeDocument/2006/relationships/hyperlink" Target="#'7. Results'!A1"/><Relationship Id="rId10" Type="http://schemas.openxmlformats.org/officeDocument/2006/relationships/hyperlink" Target="#'0.Start'!A1"/><Relationship Id="rId4" Type="http://schemas.openxmlformats.org/officeDocument/2006/relationships/hyperlink" Target="#'6. Inputs'!A33"/><Relationship Id="rId9" Type="http://schemas.openxmlformats.org/officeDocument/2006/relationships/hyperlink" Target="#'4.Grassland'!A1"/><Relationship Id="rId14" Type="http://schemas.openxmlformats.org/officeDocument/2006/relationships/hyperlink" Target="#'6. Inputs'!A1"/></Relationships>
</file>

<file path=xl/drawings/_rels/drawing9.xml.rels><?xml version="1.0" encoding="UTF-8" standalone="yes"?>
<Relationships xmlns="http://schemas.openxmlformats.org/package/2006/relationships"><Relationship Id="rId8" Type="http://schemas.openxmlformats.org/officeDocument/2006/relationships/hyperlink" Target="#'7. Results'!A72"/><Relationship Id="rId13" Type="http://schemas.openxmlformats.org/officeDocument/2006/relationships/hyperlink" Target="#'1.Description'!A1"/><Relationship Id="rId18" Type="http://schemas.openxmlformats.org/officeDocument/2006/relationships/hyperlink" Target="#'5. Degradation'!A1"/><Relationship Id="rId3" Type="http://schemas.openxmlformats.org/officeDocument/2006/relationships/chart" Target="../charts/chart3.xml"/><Relationship Id="rId7" Type="http://schemas.openxmlformats.org/officeDocument/2006/relationships/hyperlink" Target="#'7. Results'!A6"/><Relationship Id="rId12" Type="http://schemas.openxmlformats.org/officeDocument/2006/relationships/hyperlink" Target="#'0.Start'!A1"/><Relationship Id="rId17" Type="http://schemas.openxmlformats.org/officeDocument/2006/relationships/hyperlink" Target="#'7. Results'!A1"/><Relationship Id="rId2" Type="http://schemas.openxmlformats.org/officeDocument/2006/relationships/chart" Target="../charts/chart2.xml"/><Relationship Id="rId16" Type="http://schemas.openxmlformats.org/officeDocument/2006/relationships/hyperlink" Target="#'6. Inputs'!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4.Grassland'!A1"/><Relationship Id="rId5" Type="http://schemas.openxmlformats.org/officeDocument/2006/relationships/chart" Target="../charts/chart5.xml"/><Relationship Id="rId15" Type="http://schemas.openxmlformats.org/officeDocument/2006/relationships/hyperlink" Target="#'3.Cropland'!A1"/><Relationship Id="rId10" Type="http://schemas.openxmlformats.org/officeDocument/2006/relationships/image" Target="../media/image3.gif"/><Relationship Id="rId4" Type="http://schemas.openxmlformats.org/officeDocument/2006/relationships/chart" Target="../charts/chart4.xml"/><Relationship Id="rId9" Type="http://schemas.openxmlformats.org/officeDocument/2006/relationships/hyperlink" Target="http://www.fao.org/tc/exact/en/" TargetMode="External"/><Relationship Id="rId14" Type="http://schemas.openxmlformats.org/officeDocument/2006/relationships/hyperlink" Target="#'2.LUC'!A1"/></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152399</xdr:colOff>
      <xdr:row>5</xdr:row>
      <xdr:rowOff>76200</xdr:rowOff>
    </xdr:from>
    <xdr:to>
      <xdr:col>1</xdr:col>
      <xdr:colOff>905933</xdr:colOff>
      <xdr:row>10</xdr:row>
      <xdr:rowOff>22860</xdr:rowOff>
    </xdr:to>
    <xdr:pic>
      <xdr:nvPicPr>
        <xdr:cNvPr id="16495"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399" y="1515533"/>
          <a:ext cx="905934" cy="793327"/>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3"/>
        </xdr:cNvPr>
        <xdr:cNvGrpSpPr>
          <a:grpSpLocks/>
        </xdr:cNvGrpSpPr>
      </xdr:nvGrpSpPr>
      <xdr:grpSpPr bwMode="auto">
        <a:xfrm>
          <a:off x="2255520" y="6640830"/>
          <a:ext cx="2438400" cy="918210"/>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twoCellAnchor>
    <xdr:from>
      <xdr:col>0</xdr:col>
      <xdr:colOff>0</xdr:colOff>
      <xdr:row>0</xdr:row>
      <xdr:rowOff>0</xdr:rowOff>
    </xdr:from>
    <xdr:to>
      <xdr:col>14</xdr:col>
      <xdr:colOff>563880</xdr:colOff>
      <xdr:row>4</xdr:row>
      <xdr:rowOff>129540</xdr:rowOff>
    </xdr:to>
    <xdr:grpSp>
      <xdr:nvGrpSpPr>
        <xdr:cNvPr id="27" name="Groupe 26"/>
        <xdr:cNvGrpSpPr/>
      </xdr:nvGrpSpPr>
      <xdr:grpSpPr>
        <a:xfrm>
          <a:off x="0" y="0"/>
          <a:ext cx="10165080" cy="1272540"/>
          <a:chOff x="76200" y="0"/>
          <a:chExt cx="10165080" cy="1287780"/>
        </a:xfrm>
      </xdr:grpSpPr>
      <xdr:pic>
        <xdr:nvPicPr>
          <xdr:cNvPr id="28" name="Image 27" descr="EX-ACT logo">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29" name="Rectangle à coins arrondis 28"/>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0" name="ZoneTexte 29"/>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1" name="Rectangle à coins arrondis 30">
            <a:hlinkClick xmlns:r="http://schemas.openxmlformats.org/officeDocument/2006/relationships" r:id="rId6"/>
          </xdr:cNvPr>
          <xdr:cNvSpPr/>
        </xdr:nvSpPr>
        <xdr:spPr>
          <a:xfrm>
            <a:off x="5291940" y="476250"/>
            <a:ext cx="111831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2" name="Rectangle à coins arrondis 31">
            <a:hlinkClick xmlns:r="http://schemas.openxmlformats.org/officeDocument/2006/relationships" r:id="rId7"/>
          </xdr:cNvPr>
          <xdr:cNvSpPr/>
        </xdr:nvSpPr>
        <xdr:spPr>
          <a:xfrm>
            <a:off x="1043930" y="476250"/>
            <a:ext cx="609596"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Start</a:t>
            </a:r>
          </a:p>
        </xdr:txBody>
      </xdr:sp>
      <xdr:sp macro="" textlink="">
        <xdr:nvSpPr>
          <xdr:cNvPr id="33" name="Rectangle à coins arrondis 32">
            <a:hlinkClick xmlns:r="http://schemas.openxmlformats.org/officeDocument/2006/relationships" r:id="rId3"/>
          </xdr:cNvPr>
          <xdr:cNvSpPr/>
        </xdr:nvSpPr>
        <xdr:spPr>
          <a:xfrm>
            <a:off x="1688727" y="476250"/>
            <a:ext cx="111253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34" name="Rectangle à coins arrondis 33">
            <a:hlinkClick xmlns:r="http://schemas.openxmlformats.org/officeDocument/2006/relationships" r:id="rId8"/>
          </xdr:cNvPr>
          <xdr:cNvSpPr/>
        </xdr:nvSpPr>
        <xdr:spPr>
          <a:xfrm>
            <a:off x="2836458" y="476250"/>
            <a:ext cx="111253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35" name="Rectangle à coins arrondis 34">
            <a:hlinkClick xmlns:r="http://schemas.openxmlformats.org/officeDocument/2006/relationships" r:id="rId9"/>
          </xdr:cNvPr>
          <xdr:cNvSpPr/>
        </xdr:nvSpPr>
        <xdr:spPr>
          <a:xfrm>
            <a:off x="3984189" y="476250"/>
            <a:ext cx="127255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6" name="Rectangle à coins arrondis 35">
            <a:hlinkClick xmlns:r="http://schemas.openxmlformats.org/officeDocument/2006/relationships" r:id="rId10"/>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445453" y="476250"/>
            <a:ext cx="12021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degradation</a:t>
            </a:r>
          </a:p>
        </xdr:txBody>
      </xdr:sp>
    </xdr:grpSp>
    <xdr:clientData/>
  </xdr:twoCellAnchor>
  <xdr:oneCellAnchor>
    <xdr:from>
      <xdr:col>0</xdr:col>
      <xdr:colOff>127000</xdr:colOff>
      <xdr:row>16</xdr:row>
      <xdr:rowOff>101600</xdr:rowOff>
    </xdr:from>
    <xdr:ext cx="6739467" cy="1099492"/>
    <xdr:pic>
      <xdr:nvPicPr>
        <xdr:cNvPr id="20"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127000" y="3632200"/>
          <a:ext cx="6739467" cy="1099492"/>
        </a:xfrm>
        <a:prstGeom prst="rect">
          <a:avLst/>
        </a:prstGeom>
        <a:noFill/>
        <a:ln w="1">
          <a:noFill/>
          <a:miter lim="800000"/>
          <a:headEnd/>
          <a:tailEnd type="none" w="med" len="med"/>
        </a:ln>
        <a:effec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22860</xdr:colOff>
      <xdr:row>35</xdr:row>
      <xdr:rowOff>30480</xdr:rowOff>
    </xdr:from>
    <xdr:to>
      <xdr:col>17</xdr:col>
      <xdr:colOff>617220</xdr:colOff>
      <xdr:row>49</xdr:row>
      <xdr:rowOff>106680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32</xdr:row>
      <xdr:rowOff>38100</xdr:rowOff>
    </xdr:from>
    <xdr:to>
      <xdr:col>17</xdr:col>
      <xdr:colOff>674441</xdr:colOff>
      <xdr:row>34</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36</xdr:row>
      <xdr:rowOff>45720</xdr:rowOff>
    </xdr:from>
    <xdr:to>
      <xdr:col>18</xdr:col>
      <xdr:colOff>548640</xdr:colOff>
      <xdr:row>50</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45</xdr:row>
      <xdr:rowOff>8468</xdr:rowOff>
    </xdr:from>
    <xdr:to>
      <xdr:col>10</xdr:col>
      <xdr:colOff>9525</xdr:colOff>
      <xdr:row>63</xdr:row>
      <xdr:rowOff>28575</xdr:rowOff>
    </xdr:to>
    <xdr:pic>
      <xdr:nvPicPr>
        <xdr:cNvPr id="1062" name="Picture 6"/>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2743"/>
        <a:stretch/>
      </xdr:blipFill>
      <xdr:spPr bwMode="auto">
        <a:xfrm>
          <a:off x="790575" y="8276168"/>
          <a:ext cx="7029450" cy="2934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12</xdr:col>
      <xdr:colOff>682413</xdr:colOff>
      <xdr:row>4</xdr:row>
      <xdr:rowOff>129540</xdr:rowOff>
    </xdr:to>
    <xdr:grpSp>
      <xdr:nvGrpSpPr>
        <xdr:cNvPr id="48" name="Groupe 47"/>
        <xdr:cNvGrpSpPr/>
      </xdr:nvGrpSpPr>
      <xdr:grpSpPr>
        <a:xfrm>
          <a:off x="0" y="0"/>
          <a:ext cx="10102638" cy="1272540"/>
          <a:chOff x="76200" y="0"/>
          <a:chExt cx="10165080" cy="1287780"/>
        </a:xfrm>
      </xdr:grpSpPr>
      <xdr:pic>
        <xdr:nvPicPr>
          <xdr:cNvPr id="49" name="Image 48" descr="EX-ACT logo">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50" name="Rectangle à coins arrondis 49"/>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51" name="ZoneTexte 50"/>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52" name="Rectangle à coins arrondis 51">
            <a:hlinkClick xmlns:r="http://schemas.openxmlformats.org/officeDocument/2006/relationships" r:id="rId6"/>
          </xdr:cNvPr>
          <xdr:cNvSpPr/>
        </xdr:nvSpPr>
        <xdr:spPr>
          <a:xfrm>
            <a:off x="5291940" y="476250"/>
            <a:ext cx="111831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53" name="Rectangle à coins arrondis 52">
            <a:hlinkClick xmlns:r="http://schemas.openxmlformats.org/officeDocument/2006/relationships" r:id="rId7"/>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4" name="Rectangle à coins arrondis 53">
            <a:hlinkClick xmlns:r="http://schemas.openxmlformats.org/officeDocument/2006/relationships" r:id="rId8"/>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5" name="Rectangle à coins arrondis 54">
            <a:hlinkClick xmlns:r="http://schemas.openxmlformats.org/officeDocument/2006/relationships" r:id="rId9"/>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6" name="Rectangle à coins arrondis 55">
            <a:hlinkClick xmlns:r="http://schemas.openxmlformats.org/officeDocument/2006/relationships" r:id="rId10"/>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7" name="Rectangle à coins arrondis 56">
            <a:hlinkClick xmlns:r="http://schemas.openxmlformats.org/officeDocument/2006/relationships" r:id="rId11"/>
          </xdr:cNvPr>
          <xdr:cNvSpPr/>
        </xdr:nvSpPr>
        <xdr:spPr>
          <a:xfrm>
            <a:off x="7682788" y="476250"/>
            <a:ext cx="11640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58" name="Rectangle à coins arrondis 57">
            <a:hlinkClick xmlns:r="http://schemas.openxmlformats.org/officeDocument/2006/relationships" r:id="rId12"/>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9" name="Rectangle à coins arrondis 58">
            <a:hlinkClick xmlns:r="http://schemas.openxmlformats.org/officeDocument/2006/relationships" r:id="rId13"/>
          </xdr:cNvPr>
          <xdr:cNvSpPr/>
        </xdr:nvSpPr>
        <xdr:spPr>
          <a:xfrm>
            <a:off x="6445453" y="476250"/>
            <a:ext cx="12021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14"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78</xdr:row>
      <xdr:rowOff>38100</xdr:rowOff>
    </xdr:from>
    <xdr:to>
      <xdr:col>12</xdr:col>
      <xdr:colOff>1009650</xdr:colOff>
      <xdr:row>99</xdr:row>
      <xdr:rowOff>85725</xdr:rowOff>
    </xdr:to>
    <xdr:grpSp>
      <xdr:nvGrpSpPr>
        <xdr:cNvPr id="7" name="Groupe 6"/>
        <xdr:cNvGrpSpPr/>
      </xdr:nvGrpSpPr>
      <xdr:grpSpPr>
        <a:xfrm>
          <a:off x="3257550" y="14011275"/>
          <a:ext cx="7172325" cy="3609975"/>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28</xdr:col>
      <xdr:colOff>40640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24</xdr:col>
      <xdr:colOff>301413</xdr:colOff>
      <xdr:row>4</xdr:row>
      <xdr:rowOff>95674</xdr:rowOff>
    </xdr:to>
    <xdr:grpSp>
      <xdr:nvGrpSpPr>
        <xdr:cNvPr id="18" name="Groupe 17"/>
        <xdr:cNvGrpSpPr/>
      </xdr:nvGrpSpPr>
      <xdr:grpSpPr>
        <a:xfrm>
          <a:off x="0" y="0"/>
          <a:ext cx="10165080" cy="1281007"/>
          <a:chOff x="76200" y="0"/>
          <a:chExt cx="10165080" cy="1287780"/>
        </a:xfrm>
      </xdr:grpSpPr>
      <xdr:pic>
        <xdr:nvPicPr>
          <xdr:cNvPr id="31" name="Image 30" descr="EX-ACT logo">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32" name="Rectangle à coins arrondis 31"/>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34" name="Rectangle à coins arrondis 33">
            <a:hlinkClick xmlns:r="http://schemas.openxmlformats.org/officeDocument/2006/relationships" r:id="rId6"/>
          </xdr:cNvPr>
          <xdr:cNvSpPr/>
        </xdr:nvSpPr>
        <xdr:spPr>
          <a:xfrm>
            <a:off x="5291940" y="476250"/>
            <a:ext cx="111831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7"/>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8"/>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9"/>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10"/>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11"/>
          </xdr:cNvPr>
          <xdr:cNvSpPr/>
        </xdr:nvSpPr>
        <xdr:spPr>
          <a:xfrm>
            <a:off x="7682788" y="476250"/>
            <a:ext cx="11640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2"/>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3"/>
          </xdr:cNvPr>
          <xdr:cNvSpPr/>
        </xdr:nvSpPr>
        <xdr:spPr>
          <a:xfrm>
            <a:off x="6445453" y="476250"/>
            <a:ext cx="12021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12</xdr:col>
      <xdr:colOff>428413</xdr:colOff>
      <xdr:row>4</xdr:row>
      <xdr:rowOff>129540</xdr:rowOff>
    </xdr:to>
    <xdr:grpSp>
      <xdr:nvGrpSpPr>
        <xdr:cNvPr id="54" name="Groupe 53"/>
        <xdr:cNvGrpSpPr/>
      </xdr:nvGrpSpPr>
      <xdr:grpSpPr>
        <a:xfrm>
          <a:off x="0" y="0"/>
          <a:ext cx="10159153" cy="1287780"/>
          <a:chOff x="76200" y="0"/>
          <a:chExt cx="10165080" cy="1287780"/>
        </a:xfrm>
      </xdr:grpSpPr>
      <xdr:pic>
        <xdr:nvPicPr>
          <xdr:cNvPr id="55" name="Image 54" descr="EX-ACT 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56" name="Rectangle à coins arrondis 55"/>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57" name="ZoneTexte 56"/>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58" name="Rectangle à coins arrondis 57">
            <a:hlinkClick xmlns:r="http://schemas.openxmlformats.org/officeDocument/2006/relationships" r:id="rId5"/>
          </xdr:cNvPr>
          <xdr:cNvSpPr/>
        </xdr:nvSpPr>
        <xdr:spPr>
          <a:xfrm>
            <a:off x="5291940" y="476250"/>
            <a:ext cx="111831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9" name="Rectangle à coins arrondis 58">
            <a:hlinkClick xmlns:r="http://schemas.openxmlformats.org/officeDocument/2006/relationships" r:id="rId6"/>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0" name="Rectangle à coins arrondis 59">
            <a:hlinkClick xmlns:r="http://schemas.openxmlformats.org/officeDocument/2006/relationships" r:id="rId7"/>
          </xdr:cNvPr>
          <xdr:cNvSpPr/>
        </xdr:nvSpPr>
        <xdr:spPr>
          <a:xfrm>
            <a:off x="1688727" y="476250"/>
            <a:ext cx="1112530"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Description</a:t>
            </a:r>
          </a:p>
        </xdr:txBody>
      </xdr:sp>
      <xdr:sp macro="" textlink="">
        <xdr:nvSpPr>
          <xdr:cNvPr id="61" name="Rectangle à coins arrondis 60">
            <a:hlinkClick xmlns:r="http://schemas.openxmlformats.org/officeDocument/2006/relationships" r:id="rId8"/>
          </xdr:cNvPr>
          <xdr:cNvSpPr/>
        </xdr:nvSpPr>
        <xdr:spPr>
          <a:xfrm>
            <a:off x="2836458" y="476250"/>
            <a:ext cx="111253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2" name="Rectangle à coins arrondis 61">
            <a:hlinkClick xmlns:r="http://schemas.openxmlformats.org/officeDocument/2006/relationships" r:id="rId9"/>
          </xdr:cNvPr>
          <xdr:cNvSpPr/>
        </xdr:nvSpPr>
        <xdr:spPr>
          <a:xfrm>
            <a:off x="3984189" y="476250"/>
            <a:ext cx="127255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3" name="Rectangle à coins arrondis 62">
            <a:hlinkClick xmlns:r="http://schemas.openxmlformats.org/officeDocument/2006/relationships" r:id="rId10"/>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64" name="Rectangle à coins arrondis 63">
            <a:hlinkClick xmlns:r="http://schemas.openxmlformats.org/officeDocument/2006/relationships" r:id="rId11"/>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65" name="Rectangle à coins arrondis 64">
            <a:hlinkClick xmlns:r="http://schemas.openxmlformats.org/officeDocument/2006/relationships" r:id="rId12"/>
          </xdr:cNvPr>
          <xdr:cNvSpPr/>
        </xdr:nvSpPr>
        <xdr:spPr>
          <a:xfrm>
            <a:off x="6445453" y="476250"/>
            <a:ext cx="12021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degradation</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50</xdr:row>
      <xdr:rowOff>83820</xdr:rowOff>
    </xdr:from>
    <xdr:to>
      <xdr:col>5</xdr:col>
      <xdr:colOff>624840</xdr:colOff>
      <xdr:row>50</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44</xdr:row>
      <xdr:rowOff>83820</xdr:rowOff>
    </xdr:from>
    <xdr:to>
      <xdr:col>5</xdr:col>
      <xdr:colOff>624840</xdr:colOff>
      <xdr:row>44</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45</xdr:row>
      <xdr:rowOff>83820</xdr:rowOff>
    </xdr:from>
    <xdr:to>
      <xdr:col>5</xdr:col>
      <xdr:colOff>624840</xdr:colOff>
      <xdr:row>45</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46</xdr:row>
      <xdr:rowOff>83820</xdr:rowOff>
    </xdr:from>
    <xdr:to>
      <xdr:col>5</xdr:col>
      <xdr:colOff>624840</xdr:colOff>
      <xdr:row>46</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47</xdr:row>
      <xdr:rowOff>83820</xdr:rowOff>
    </xdr:from>
    <xdr:to>
      <xdr:col>5</xdr:col>
      <xdr:colOff>624840</xdr:colOff>
      <xdr:row>47</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23</xdr:row>
      <xdr:rowOff>177800</xdr:rowOff>
    </xdr:from>
    <xdr:to>
      <xdr:col>1</xdr:col>
      <xdr:colOff>203201</xdr:colOff>
      <xdr:row>25</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87</xdr:row>
      <xdr:rowOff>50801</xdr:rowOff>
    </xdr:from>
    <xdr:to>
      <xdr:col>1</xdr:col>
      <xdr:colOff>905934</xdr:colOff>
      <xdr:row>89</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85</xdr:row>
      <xdr:rowOff>0</xdr:rowOff>
    </xdr:from>
    <xdr:to>
      <xdr:col>1</xdr:col>
      <xdr:colOff>254000</xdr:colOff>
      <xdr:row>86</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34</xdr:row>
      <xdr:rowOff>160866</xdr:rowOff>
    </xdr:from>
    <xdr:to>
      <xdr:col>1</xdr:col>
      <xdr:colOff>1354682</xdr:colOff>
      <xdr:row>37</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135</xdr:row>
      <xdr:rowOff>8466</xdr:rowOff>
    </xdr:from>
    <xdr:to>
      <xdr:col>1</xdr:col>
      <xdr:colOff>1508760</xdr:colOff>
      <xdr:row>136</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137</xdr:row>
      <xdr:rowOff>50801</xdr:rowOff>
    </xdr:from>
    <xdr:to>
      <xdr:col>1</xdr:col>
      <xdr:colOff>905934</xdr:colOff>
      <xdr:row>139</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21</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22</xdr:row>
      <xdr:rowOff>101708</xdr:rowOff>
    </xdr:from>
    <xdr:to>
      <xdr:col>20</xdr:col>
      <xdr:colOff>118527</xdr:colOff>
      <xdr:row>38</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39</xdr:row>
      <xdr:rowOff>84880</xdr:rowOff>
    </xdr:from>
    <xdr:to>
      <xdr:col>20</xdr:col>
      <xdr:colOff>118521</xdr:colOff>
      <xdr:row>57</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17</xdr:row>
      <xdr:rowOff>139700</xdr:rowOff>
    </xdr:from>
    <xdr:to>
      <xdr:col>1</xdr:col>
      <xdr:colOff>355600</xdr:colOff>
      <xdr:row>20</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17</xdr:row>
      <xdr:rowOff>143934</xdr:rowOff>
    </xdr:from>
    <xdr:to>
      <xdr:col>1</xdr:col>
      <xdr:colOff>1346199</xdr:colOff>
      <xdr:row>20</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34</xdr:row>
      <xdr:rowOff>148274</xdr:rowOff>
    </xdr:from>
    <xdr:to>
      <xdr:col>1</xdr:col>
      <xdr:colOff>355594</xdr:colOff>
      <xdr:row>37</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87</xdr:row>
      <xdr:rowOff>33866</xdr:rowOff>
    </xdr:from>
    <xdr:to>
      <xdr:col>1</xdr:col>
      <xdr:colOff>1270001</xdr:colOff>
      <xdr:row>89</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137</xdr:row>
      <xdr:rowOff>33867</xdr:rowOff>
    </xdr:from>
    <xdr:to>
      <xdr:col>1</xdr:col>
      <xdr:colOff>1270000</xdr:colOff>
      <xdr:row>139</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16</xdr:col>
      <xdr:colOff>513080</xdr:colOff>
      <xdr:row>4</xdr:row>
      <xdr:rowOff>129540</xdr:rowOff>
    </xdr:to>
    <xdr:grpSp>
      <xdr:nvGrpSpPr>
        <xdr:cNvPr id="66" name="Groupe 65"/>
        <xdr:cNvGrpSpPr/>
      </xdr:nvGrpSpPr>
      <xdr:grpSpPr>
        <a:xfrm>
          <a:off x="0" y="0"/>
          <a:ext cx="10224347" cy="1281007"/>
          <a:chOff x="76200" y="0"/>
          <a:chExt cx="10165080" cy="1287780"/>
        </a:xfrm>
      </xdr:grpSpPr>
      <xdr:pic>
        <xdr:nvPicPr>
          <xdr:cNvPr id="67" name="Image 66" descr="EX-ACT logo">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68" name="Rectangle à coins arrondis 67"/>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9" name="ZoneTexte 68"/>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70" name="Rectangle à coins arrondis 69">
            <a:hlinkClick xmlns:r="http://schemas.openxmlformats.org/officeDocument/2006/relationships" r:id="rId8"/>
          </xdr:cNvPr>
          <xdr:cNvSpPr/>
        </xdr:nvSpPr>
        <xdr:spPr>
          <a:xfrm>
            <a:off x="5291940" y="476250"/>
            <a:ext cx="111831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71" name="Rectangle à coins arrondis 70">
            <a:hlinkClick xmlns:r="http://schemas.openxmlformats.org/officeDocument/2006/relationships" r:id="rId9"/>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72" name="Rectangle à coins arrondis 71">
            <a:hlinkClick xmlns:r="http://schemas.openxmlformats.org/officeDocument/2006/relationships" r:id="rId10"/>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73" name="Rectangle à coins arrondis 72">
            <a:hlinkClick xmlns:r="http://schemas.openxmlformats.org/officeDocument/2006/relationships" r:id="rId11"/>
          </xdr:cNvPr>
          <xdr:cNvSpPr/>
        </xdr:nvSpPr>
        <xdr:spPr>
          <a:xfrm>
            <a:off x="2836458" y="476250"/>
            <a:ext cx="1112530"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Land Use Change</a:t>
            </a:r>
          </a:p>
        </xdr:txBody>
      </xdr:sp>
      <xdr:sp macro="" textlink="">
        <xdr:nvSpPr>
          <xdr:cNvPr id="74" name="Rectangle à coins arrondis 73">
            <a:hlinkClick xmlns:r="http://schemas.openxmlformats.org/officeDocument/2006/relationships" r:id="rId12"/>
          </xdr:cNvPr>
          <xdr:cNvSpPr/>
        </xdr:nvSpPr>
        <xdr:spPr>
          <a:xfrm>
            <a:off x="3984189" y="476250"/>
            <a:ext cx="1272550"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5" name="Rectangle à coins arrondis 74">
            <a:hlinkClick xmlns:r="http://schemas.openxmlformats.org/officeDocument/2006/relationships" r:id="rId13"/>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6" name="Rectangle à coins arrondis 75">
            <a:hlinkClick xmlns:r="http://schemas.openxmlformats.org/officeDocument/2006/relationships" r:id="rId14"/>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7" name="Rectangle à coins arrondis 76">
            <a:hlinkClick xmlns:r="http://schemas.openxmlformats.org/officeDocument/2006/relationships" r:id="rId15"/>
          </xdr:cNvPr>
          <xdr:cNvSpPr/>
        </xdr:nvSpPr>
        <xdr:spPr>
          <a:xfrm>
            <a:off x="6445453" y="476250"/>
            <a:ext cx="12021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0</xdr:col>
      <xdr:colOff>304800</xdr:colOff>
      <xdr:row>24</xdr:row>
      <xdr:rowOff>1</xdr:rowOff>
    </xdr:from>
    <xdr:to>
      <xdr:col>1</xdr:col>
      <xdr:colOff>194734</xdr:colOff>
      <xdr:row>25</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54</xdr:row>
      <xdr:rowOff>80321</xdr:rowOff>
    </xdr:from>
    <xdr:to>
      <xdr:col>1</xdr:col>
      <xdr:colOff>1346222</xdr:colOff>
      <xdr:row>56</xdr:row>
      <xdr:rowOff>164988</xdr:rowOff>
    </xdr:to>
    <xdr:sp macro="" textlink="">
      <xdr:nvSpPr>
        <xdr:cNvPr id="48" name="Pentagone 47">
          <a:hlinkClick xmlns:r="http://schemas.openxmlformats.org/officeDocument/2006/relationships" r:id="rId1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54</xdr:row>
      <xdr:rowOff>67729</xdr:rowOff>
    </xdr:from>
    <xdr:to>
      <xdr:col>1</xdr:col>
      <xdr:colOff>347134</xdr:colOff>
      <xdr:row>56</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185</xdr:row>
      <xdr:rowOff>42335</xdr:rowOff>
    </xdr:from>
    <xdr:to>
      <xdr:col>1</xdr:col>
      <xdr:colOff>821267</xdr:colOff>
      <xdr:row>187</xdr:row>
      <xdr:rowOff>101601</xdr:rowOff>
    </xdr:to>
    <xdr:sp macro="" textlink="">
      <xdr:nvSpPr>
        <xdr:cNvPr id="56" name="Pentagone 55">
          <a:hlinkClick xmlns:r="http://schemas.openxmlformats.org/officeDocument/2006/relationships" r:id="rId1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185</xdr:row>
      <xdr:rowOff>25401</xdr:rowOff>
    </xdr:from>
    <xdr:to>
      <xdr:col>1</xdr:col>
      <xdr:colOff>1185333</xdr:colOff>
      <xdr:row>187</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237066</xdr:colOff>
      <xdr:row>5</xdr:row>
      <xdr:rowOff>76200</xdr:rowOff>
    </xdr:from>
    <xdr:to>
      <xdr:col>25</xdr:col>
      <xdr:colOff>118534</xdr:colOff>
      <xdr:row>35</xdr:row>
      <xdr:rowOff>59267</xdr:rowOff>
    </xdr:to>
    <xdr:sp macro="" textlink="">
      <xdr:nvSpPr>
        <xdr:cNvPr id="15" name="Rectangle à coins arrondis 14"/>
        <xdr:cNvSpPr/>
      </xdr:nvSpPr>
      <xdr:spPr>
        <a:xfrm>
          <a:off x="237066" y="1515533"/>
          <a:ext cx="13258801" cy="51392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8467</xdr:colOff>
      <xdr:row>31</xdr:row>
      <xdr:rowOff>50800</xdr:rowOff>
    </xdr:from>
    <xdr:to>
      <xdr:col>1</xdr:col>
      <xdr:colOff>338667</xdr:colOff>
      <xdr:row>33</xdr:row>
      <xdr:rowOff>143934</xdr:rowOff>
    </xdr:to>
    <xdr:sp macro="" textlink="">
      <xdr:nvSpPr>
        <xdr:cNvPr id="16" name="Rectangle 15"/>
        <xdr:cNvSpPr/>
      </xdr:nvSpPr>
      <xdr:spPr>
        <a:xfrm>
          <a:off x="330200" y="57234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364066</xdr:colOff>
      <xdr:row>31</xdr:row>
      <xdr:rowOff>55034</xdr:rowOff>
    </xdr:from>
    <xdr:to>
      <xdr:col>1</xdr:col>
      <xdr:colOff>1329266</xdr:colOff>
      <xdr:row>33</xdr:row>
      <xdr:rowOff>139701</xdr:rowOff>
    </xdr:to>
    <xdr:sp macro="" textlink="">
      <xdr:nvSpPr>
        <xdr:cNvPr id="17" name="Pentagone 16">
          <a:hlinkClick xmlns:r="http://schemas.openxmlformats.org/officeDocument/2006/relationships" r:id="rId1"/>
        </xdr:cNvPr>
        <xdr:cNvSpPr/>
      </xdr:nvSpPr>
      <xdr:spPr>
        <a:xfrm>
          <a:off x="685799" y="57277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84667</xdr:colOff>
      <xdr:row>117</xdr:row>
      <xdr:rowOff>50801</xdr:rowOff>
    </xdr:from>
    <xdr:to>
      <xdr:col>1</xdr:col>
      <xdr:colOff>905934</xdr:colOff>
      <xdr:row>119</xdr:row>
      <xdr:rowOff>110067</xdr:rowOff>
    </xdr:to>
    <xdr:sp macro="" textlink="">
      <xdr:nvSpPr>
        <xdr:cNvPr id="30" name="Pentagone 29">
          <a:hlinkClick xmlns:r="http://schemas.openxmlformats.org/officeDocument/2006/relationships" r:id="rId2"/>
        </xdr:cNvPr>
        <xdr:cNvSpPr/>
      </xdr:nvSpPr>
      <xdr:spPr>
        <a:xfrm flipH="1">
          <a:off x="404707" y="15245081"/>
          <a:ext cx="82126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939801</xdr:colOff>
      <xdr:row>117</xdr:row>
      <xdr:rowOff>33866</xdr:rowOff>
    </xdr:from>
    <xdr:to>
      <xdr:col>1</xdr:col>
      <xdr:colOff>1270001</xdr:colOff>
      <xdr:row>119</xdr:row>
      <xdr:rowOff>127000</xdr:rowOff>
    </xdr:to>
    <xdr:sp macro="" textlink="">
      <xdr:nvSpPr>
        <xdr:cNvPr id="31" name="Rectangle 30"/>
        <xdr:cNvSpPr/>
      </xdr:nvSpPr>
      <xdr:spPr>
        <a:xfrm>
          <a:off x="1259841" y="1522814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36</xdr:row>
      <xdr:rowOff>16933</xdr:rowOff>
    </xdr:from>
    <xdr:to>
      <xdr:col>25</xdr:col>
      <xdr:colOff>118528</xdr:colOff>
      <xdr:row>65</xdr:row>
      <xdr:rowOff>16933</xdr:rowOff>
    </xdr:to>
    <xdr:sp macro="" textlink="">
      <xdr:nvSpPr>
        <xdr:cNvPr id="32" name="Rectangle à coins arrondis 31"/>
        <xdr:cNvSpPr/>
      </xdr:nvSpPr>
      <xdr:spPr>
        <a:xfrm>
          <a:off x="237060" y="6536266"/>
          <a:ext cx="12344401" cy="42333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397955</xdr:colOff>
      <xdr:row>61</xdr:row>
      <xdr:rowOff>131130</xdr:rowOff>
    </xdr:from>
    <xdr:to>
      <xdr:col>1</xdr:col>
      <xdr:colOff>1363155</xdr:colOff>
      <xdr:row>64</xdr:row>
      <xdr:rowOff>46463</xdr:rowOff>
    </xdr:to>
    <xdr:sp macro="" textlink="">
      <xdr:nvSpPr>
        <xdr:cNvPr id="33" name="Pentagone 32">
          <a:hlinkClick xmlns:r="http://schemas.openxmlformats.org/officeDocument/2006/relationships" r:id="rId3"/>
        </xdr:cNvPr>
        <xdr:cNvSpPr/>
      </xdr:nvSpPr>
      <xdr:spPr>
        <a:xfrm>
          <a:off x="719688" y="10206463"/>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33867</xdr:colOff>
      <xdr:row>61</xdr:row>
      <xdr:rowOff>118538</xdr:rowOff>
    </xdr:from>
    <xdr:to>
      <xdr:col>1</xdr:col>
      <xdr:colOff>364067</xdr:colOff>
      <xdr:row>64</xdr:row>
      <xdr:rowOff>42338</xdr:rowOff>
    </xdr:to>
    <xdr:sp macro="" textlink="">
      <xdr:nvSpPr>
        <xdr:cNvPr id="34" name="Rectangle 33"/>
        <xdr:cNvSpPr/>
      </xdr:nvSpPr>
      <xdr:spPr>
        <a:xfrm>
          <a:off x="355600" y="10193871"/>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162</xdr:row>
      <xdr:rowOff>50801</xdr:rowOff>
    </xdr:from>
    <xdr:to>
      <xdr:col>1</xdr:col>
      <xdr:colOff>905934</xdr:colOff>
      <xdr:row>164</xdr:row>
      <xdr:rowOff>110067</xdr:rowOff>
    </xdr:to>
    <xdr:sp macro="" textlink="">
      <xdr:nvSpPr>
        <xdr:cNvPr id="35" name="Pentagone 34">
          <a:hlinkClick xmlns:r="http://schemas.openxmlformats.org/officeDocument/2006/relationships" r:id="rId4"/>
        </xdr:cNvPr>
        <xdr:cNvSpPr/>
      </xdr:nvSpPr>
      <xdr:spPr>
        <a:xfrm flipH="1">
          <a:off x="406400" y="19219334"/>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939801</xdr:colOff>
      <xdr:row>162</xdr:row>
      <xdr:rowOff>33866</xdr:rowOff>
    </xdr:from>
    <xdr:to>
      <xdr:col>1</xdr:col>
      <xdr:colOff>1270001</xdr:colOff>
      <xdr:row>164</xdr:row>
      <xdr:rowOff>127000</xdr:rowOff>
    </xdr:to>
    <xdr:sp macro="" textlink="">
      <xdr:nvSpPr>
        <xdr:cNvPr id="36" name="Rectangle 35"/>
        <xdr:cNvSpPr/>
      </xdr:nvSpPr>
      <xdr:spPr>
        <a:xfrm>
          <a:off x="1261534" y="19202399"/>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29</xdr:col>
      <xdr:colOff>160867</xdr:colOff>
      <xdr:row>95</xdr:row>
      <xdr:rowOff>160867</xdr:rowOff>
    </xdr:to>
    <xdr:sp macro="" textlink="">
      <xdr:nvSpPr>
        <xdr:cNvPr id="37" name="Rectangle à coins arrondis 36"/>
        <xdr:cNvSpPr/>
      </xdr:nvSpPr>
      <xdr:spPr>
        <a:xfrm>
          <a:off x="237060" y="11125200"/>
          <a:ext cx="15155340" cy="4986867"/>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406422</xdr:colOff>
      <xdr:row>92</xdr:row>
      <xdr:rowOff>131125</xdr:rowOff>
    </xdr:from>
    <xdr:to>
      <xdr:col>1</xdr:col>
      <xdr:colOff>1371622</xdr:colOff>
      <xdr:row>95</xdr:row>
      <xdr:rowOff>46458</xdr:rowOff>
    </xdr:to>
    <xdr:sp macro="" textlink="">
      <xdr:nvSpPr>
        <xdr:cNvPr id="38" name="Pentagone 37">
          <a:hlinkClick xmlns:r="http://schemas.openxmlformats.org/officeDocument/2006/relationships" r:id="rId5"/>
        </xdr:cNvPr>
        <xdr:cNvSpPr/>
      </xdr:nvSpPr>
      <xdr:spPr>
        <a:xfrm>
          <a:off x="728155" y="155743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42334</xdr:colOff>
      <xdr:row>92</xdr:row>
      <xdr:rowOff>118533</xdr:rowOff>
    </xdr:from>
    <xdr:to>
      <xdr:col>1</xdr:col>
      <xdr:colOff>372534</xdr:colOff>
      <xdr:row>95</xdr:row>
      <xdr:rowOff>42333</xdr:rowOff>
    </xdr:to>
    <xdr:sp macro="" textlink="">
      <xdr:nvSpPr>
        <xdr:cNvPr id="39" name="Rectangle 38"/>
        <xdr:cNvSpPr/>
      </xdr:nvSpPr>
      <xdr:spPr>
        <a:xfrm>
          <a:off x="364067" y="155617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222</xdr:row>
      <xdr:rowOff>50801</xdr:rowOff>
    </xdr:from>
    <xdr:to>
      <xdr:col>1</xdr:col>
      <xdr:colOff>905934</xdr:colOff>
      <xdr:row>224</xdr:row>
      <xdr:rowOff>110067</xdr:rowOff>
    </xdr:to>
    <xdr:sp macro="" textlink="">
      <xdr:nvSpPr>
        <xdr:cNvPr id="40" name="Pentagone 39">
          <a:hlinkClick xmlns:r="http://schemas.openxmlformats.org/officeDocument/2006/relationships" r:id="rId6"/>
        </xdr:cNvPr>
        <xdr:cNvSpPr/>
      </xdr:nvSpPr>
      <xdr:spPr>
        <a:xfrm flipH="1">
          <a:off x="406400" y="271780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222</xdr:row>
      <xdr:rowOff>50800</xdr:rowOff>
    </xdr:from>
    <xdr:to>
      <xdr:col>1</xdr:col>
      <xdr:colOff>1270000</xdr:colOff>
      <xdr:row>224</xdr:row>
      <xdr:rowOff>143933</xdr:rowOff>
    </xdr:to>
    <xdr:sp macro="" textlink="">
      <xdr:nvSpPr>
        <xdr:cNvPr id="42" name="Rectangle 41"/>
        <xdr:cNvSpPr/>
      </xdr:nvSpPr>
      <xdr:spPr>
        <a:xfrm>
          <a:off x="1261533" y="36322000"/>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18</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25400</xdr:colOff>
      <xdr:row>9</xdr:row>
      <xdr:rowOff>8466</xdr:rowOff>
    </xdr:from>
    <xdr:to>
      <xdr:col>13</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25401</xdr:colOff>
      <xdr:row>18</xdr:row>
      <xdr:rowOff>16933</xdr:rowOff>
    </xdr:from>
    <xdr:to>
      <xdr:col>13</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20</xdr:col>
      <xdr:colOff>22013</xdr:colOff>
      <xdr:row>4</xdr:row>
      <xdr:rowOff>129540</xdr:rowOff>
    </xdr:to>
    <xdr:grpSp>
      <xdr:nvGrpSpPr>
        <xdr:cNvPr id="49" name="Groupe 48"/>
        <xdr:cNvGrpSpPr/>
      </xdr:nvGrpSpPr>
      <xdr:grpSpPr>
        <a:xfrm>
          <a:off x="0" y="0"/>
          <a:ext cx="10884746" cy="1281007"/>
          <a:chOff x="76200" y="0"/>
          <a:chExt cx="10165080" cy="1287780"/>
        </a:xfrm>
      </xdr:grpSpPr>
      <xdr:pic>
        <xdr:nvPicPr>
          <xdr:cNvPr id="50" name="Image 49" descr="EX-ACT logo">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51" name="Rectangle à coins arrondis 50"/>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52" name="ZoneTexte 51"/>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53" name="Rectangle à coins arrondis 52">
            <a:hlinkClick xmlns:r="http://schemas.openxmlformats.org/officeDocument/2006/relationships" r:id="rId11"/>
          </xdr:cNvPr>
          <xdr:cNvSpPr/>
        </xdr:nvSpPr>
        <xdr:spPr>
          <a:xfrm>
            <a:off x="5291940" y="476250"/>
            <a:ext cx="111831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4" name="Rectangle à coins arrondis 53">
            <a:hlinkClick xmlns:r="http://schemas.openxmlformats.org/officeDocument/2006/relationships" r:id="rId12"/>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5" name="Rectangle à coins arrondis 54">
            <a:hlinkClick xmlns:r="http://schemas.openxmlformats.org/officeDocument/2006/relationships" r:id="rId13"/>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6" name="Rectangle à coins arrondis 55">
            <a:hlinkClick xmlns:r="http://schemas.openxmlformats.org/officeDocument/2006/relationships" r:id="rId14"/>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7" name="Rectangle à coins arrondis 56">
            <a:hlinkClick xmlns:r="http://schemas.openxmlformats.org/officeDocument/2006/relationships" r:id="rId15"/>
          </xdr:cNvPr>
          <xdr:cNvSpPr/>
        </xdr:nvSpPr>
        <xdr:spPr>
          <a:xfrm>
            <a:off x="3984189" y="476250"/>
            <a:ext cx="1272550"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8" name="Rectangle à coins arrondis 57">
            <a:hlinkClick xmlns:r="http://schemas.openxmlformats.org/officeDocument/2006/relationships" r:id="rId16"/>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9" name="Rectangle à coins arrondis 58">
            <a:hlinkClick xmlns:r="http://schemas.openxmlformats.org/officeDocument/2006/relationships" r:id="rId17"/>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60" name="Rectangle à coins arrondis 59">
            <a:hlinkClick xmlns:r="http://schemas.openxmlformats.org/officeDocument/2006/relationships" r:id="rId18"/>
          </xdr:cNvPr>
          <xdr:cNvSpPr/>
        </xdr:nvSpPr>
        <xdr:spPr>
          <a:xfrm>
            <a:off x="6445453" y="476250"/>
            <a:ext cx="12021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5</xdr:col>
      <xdr:colOff>592667</xdr:colOff>
      <xdr:row>8</xdr:row>
      <xdr:rowOff>160868</xdr:rowOff>
    </xdr:from>
    <xdr:to>
      <xdr:col>7</xdr:col>
      <xdr:colOff>16933</xdr:colOff>
      <xdr:row>10</xdr:row>
      <xdr:rowOff>1</xdr:rowOff>
    </xdr:to>
    <xdr:sp macro="" textlink="">
      <xdr:nvSpPr>
        <xdr:cNvPr id="62" name="Rectangle à coins arrondis 61">
          <a:hlinkClick xmlns:r="http://schemas.openxmlformats.org/officeDocument/2006/relationships" r:id="rId1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609600</xdr:colOff>
      <xdr:row>17</xdr:row>
      <xdr:rowOff>160868</xdr:rowOff>
    </xdr:from>
    <xdr:to>
      <xdr:col>7</xdr:col>
      <xdr:colOff>16933</xdr:colOff>
      <xdr:row>19</xdr:row>
      <xdr:rowOff>1</xdr:rowOff>
    </xdr:to>
    <xdr:sp macro="" textlink="">
      <xdr:nvSpPr>
        <xdr:cNvPr id="64" name="Rectangle à coins arrondis 63">
          <a:hlinkClick xmlns:r="http://schemas.openxmlformats.org/officeDocument/2006/relationships" r:id="rId1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25401</xdr:colOff>
      <xdr:row>39</xdr:row>
      <xdr:rowOff>16933</xdr:rowOff>
    </xdr:from>
    <xdr:to>
      <xdr:col>13</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25401</xdr:colOff>
      <xdr:row>48</xdr:row>
      <xdr:rowOff>16933</xdr:rowOff>
    </xdr:from>
    <xdr:to>
      <xdr:col>13</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16</xdr:col>
      <xdr:colOff>135466</xdr:colOff>
      <xdr:row>71</xdr:row>
      <xdr:rowOff>25400</xdr:rowOff>
    </xdr:from>
    <xdr:to>
      <xdr:col>18</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16</xdr:col>
      <xdr:colOff>118533</xdr:colOff>
      <xdr:row>79</xdr:row>
      <xdr:rowOff>16934</xdr:rowOff>
    </xdr:from>
    <xdr:to>
      <xdr:col>17</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428413</xdr:colOff>
      <xdr:row>4</xdr:row>
      <xdr:rowOff>129540</xdr:rowOff>
    </xdr:to>
    <xdr:grpSp>
      <xdr:nvGrpSpPr>
        <xdr:cNvPr id="30" name="Groupe 29"/>
        <xdr:cNvGrpSpPr/>
      </xdr:nvGrpSpPr>
      <xdr:grpSpPr>
        <a:xfrm>
          <a:off x="0" y="0"/>
          <a:ext cx="10690013" cy="1281007"/>
          <a:chOff x="76200" y="0"/>
          <a:chExt cx="10165080" cy="1287780"/>
        </a:xfrm>
      </xdr:grpSpPr>
      <xdr:pic>
        <xdr:nvPicPr>
          <xdr:cNvPr id="31" name="Image 30" descr="EX-ACT 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36" name="Rectangle à coins arrondis 35"/>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38" name="Rectangle à coins arrondis 37">
            <a:hlinkClick xmlns:r="http://schemas.openxmlformats.org/officeDocument/2006/relationships" r:id="rId5"/>
          </xdr:cNvPr>
          <xdr:cNvSpPr/>
        </xdr:nvSpPr>
        <xdr:spPr>
          <a:xfrm>
            <a:off x="5291940" y="476250"/>
            <a:ext cx="1118312"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6"/>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7"/>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8"/>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9"/>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10"/>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11"/>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2"/>
          </xdr:cNvPr>
          <xdr:cNvSpPr/>
        </xdr:nvSpPr>
        <xdr:spPr>
          <a:xfrm>
            <a:off x="6445453" y="476250"/>
            <a:ext cx="12021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1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1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22</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19</xdr:row>
      <xdr:rowOff>0</xdr:rowOff>
    </xdr:from>
    <xdr:to>
      <xdr:col>2</xdr:col>
      <xdr:colOff>186266</xdr:colOff>
      <xdr:row>21</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19</xdr:row>
      <xdr:rowOff>4234</xdr:rowOff>
    </xdr:from>
    <xdr:to>
      <xdr:col>3</xdr:col>
      <xdr:colOff>694265</xdr:colOff>
      <xdr:row>21</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121</xdr:row>
      <xdr:rowOff>33866</xdr:rowOff>
    </xdr:from>
    <xdr:to>
      <xdr:col>2</xdr:col>
      <xdr:colOff>1270001</xdr:colOff>
      <xdr:row>123</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121</xdr:row>
      <xdr:rowOff>16935</xdr:rowOff>
    </xdr:from>
    <xdr:to>
      <xdr:col>3</xdr:col>
      <xdr:colOff>338667</xdr:colOff>
      <xdr:row>123</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121</xdr:row>
      <xdr:rowOff>0</xdr:rowOff>
    </xdr:from>
    <xdr:to>
      <xdr:col>3</xdr:col>
      <xdr:colOff>702734</xdr:colOff>
      <xdr:row>123</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24</xdr:row>
      <xdr:rowOff>76200</xdr:rowOff>
    </xdr:from>
    <xdr:to>
      <xdr:col>27</xdr:col>
      <xdr:colOff>169333</xdr:colOff>
      <xdr:row>51</xdr:row>
      <xdr:rowOff>135466</xdr:rowOff>
    </xdr:to>
    <xdr:sp macro="" textlink="">
      <xdr:nvSpPr>
        <xdr:cNvPr id="35" name="Rectangle à coins arrondis 34"/>
        <xdr:cNvSpPr/>
      </xdr:nvSpPr>
      <xdr:spPr>
        <a:xfrm>
          <a:off x="237067" y="4758267"/>
          <a:ext cx="12158133" cy="4631266"/>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48</xdr:row>
      <xdr:rowOff>0</xdr:rowOff>
    </xdr:from>
    <xdr:to>
      <xdr:col>2</xdr:col>
      <xdr:colOff>186266</xdr:colOff>
      <xdr:row>50</xdr:row>
      <xdr:rowOff>93134</xdr:rowOff>
    </xdr:to>
    <xdr:sp macro="" textlink="">
      <xdr:nvSpPr>
        <xdr:cNvPr id="37" name="Rectangle 36"/>
        <xdr:cNvSpPr/>
      </xdr:nvSpPr>
      <xdr:spPr>
        <a:xfrm>
          <a:off x="321733" y="8746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48</xdr:row>
      <xdr:rowOff>4234</xdr:rowOff>
    </xdr:from>
    <xdr:to>
      <xdr:col>3</xdr:col>
      <xdr:colOff>694265</xdr:colOff>
      <xdr:row>50</xdr:row>
      <xdr:rowOff>88901</xdr:rowOff>
    </xdr:to>
    <xdr:sp macro="" textlink="">
      <xdr:nvSpPr>
        <xdr:cNvPr id="38" name="Pentagone 37">
          <a:hlinkClick xmlns:r="http://schemas.openxmlformats.org/officeDocument/2006/relationships" r:id="rId3"/>
        </xdr:cNvPr>
        <xdr:cNvSpPr/>
      </xdr:nvSpPr>
      <xdr:spPr>
        <a:xfrm>
          <a:off x="677332" y="8750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191</xdr:row>
      <xdr:rowOff>33866</xdr:rowOff>
    </xdr:from>
    <xdr:to>
      <xdr:col>2</xdr:col>
      <xdr:colOff>1270001</xdr:colOff>
      <xdr:row>193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191</xdr:row>
      <xdr:rowOff>16935</xdr:rowOff>
    </xdr:from>
    <xdr:to>
      <xdr:col>3</xdr:col>
      <xdr:colOff>338667</xdr:colOff>
      <xdr:row>193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191</xdr:row>
      <xdr:rowOff>0</xdr:rowOff>
    </xdr:from>
    <xdr:to>
      <xdr:col>3</xdr:col>
      <xdr:colOff>702734</xdr:colOff>
      <xdr:row>193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64347</xdr:colOff>
      <xdr:row>4</xdr:row>
      <xdr:rowOff>129540</xdr:rowOff>
    </xdr:to>
    <xdr:grpSp>
      <xdr:nvGrpSpPr>
        <xdr:cNvPr id="42" name="Groupe 41"/>
        <xdr:cNvGrpSpPr/>
      </xdr:nvGrpSpPr>
      <xdr:grpSpPr>
        <a:xfrm>
          <a:off x="0" y="0"/>
          <a:ext cx="10224347" cy="1281007"/>
          <a:chOff x="76200" y="0"/>
          <a:chExt cx="10165080" cy="1287780"/>
        </a:xfrm>
      </xdr:grpSpPr>
      <xdr:pic>
        <xdr:nvPicPr>
          <xdr:cNvPr id="43" name="Image 42" descr="EX-ACT logo">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44" name="Rectangle à coins arrondis 43"/>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5" name="ZoneTexte 44"/>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46" name="Rectangle à coins arrondis 45">
            <a:hlinkClick xmlns:r="http://schemas.openxmlformats.org/officeDocument/2006/relationships" r:id="rId7"/>
          </xdr:cNvPr>
          <xdr:cNvSpPr/>
        </xdr:nvSpPr>
        <xdr:spPr>
          <a:xfrm>
            <a:off x="5291940" y="476250"/>
            <a:ext cx="111831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7" name="Rectangle à coins arrondis 46">
            <a:hlinkClick xmlns:r="http://schemas.openxmlformats.org/officeDocument/2006/relationships" r:id="rId8"/>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8" name="Rectangle à coins arrondis 47">
            <a:hlinkClick xmlns:r="http://schemas.openxmlformats.org/officeDocument/2006/relationships" r:id="rId9"/>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9" name="Rectangle à coins arrondis 48">
            <a:hlinkClick xmlns:r="http://schemas.openxmlformats.org/officeDocument/2006/relationships" r:id="rId10"/>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0" name="Rectangle à coins arrondis 49">
            <a:hlinkClick xmlns:r="http://schemas.openxmlformats.org/officeDocument/2006/relationships" r:id="rId11"/>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1" name="Rectangle à coins arrondis 50">
            <a:hlinkClick xmlns:r="http://schemas.openxmlformats.org/officeDocument/2006/relationships" r:id="rId12"/>
          </xdr:cNvPr>
          <xdr:cNvSpPr/>
        </xdr:nvSpPr>
        <xdr:spPr>
          <a:xfrm>
            <a:off x="7682788" y="476250"/>
            <a:ext cx="1164032" cy="720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2" name="Rectangle à coins arrondis 51">
            <a:hlinkClick xmlns:r="http://schemas.openxmlformats.org/officeDocument/2006/relationships" r:id="rId13"/>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3" name="Rectangle à coins arrondis 52">
            <a:hlinkClick xmlns:r="http://schemas.openxmlformats.org/officeDocument/2006/relationships" r:id="rId14"/>
          </xdr:cNvPr>
          <xdr:cNvSpPr/>
        </xdr:nvSpPr>
        <xdr:spPr>
          <a:xfrm>
            <a:off x="6445453" y="476250"/>
            <a:ext cx="1202132"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1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303107</xdr:colOff>
      <xdr:row>118</xdr:row>
      <xdr:rowOff>6</xdr:rowOff>
    </xdr:from>
    <xdr:to>
      <xdr:col>3</xdr:col>
      <xdr:colOff>33867</xdr:colOff>
      <xdr:row>119</xdr:row>
      <xdr:rowOff>8467</xdr:rowOff>
    </xdr:to>
    <xdr:sp macro="" textlink="">
      <xdr:nvSpPr>
        <xdr:cNvPr id="28" name="Rectangle à coins arrondis 27">
          <a:hlinkClick xmlns:r="http://schemas.openxmlformats.org/officeDocument/2006/relationships" r:id="rId15"/>
        </xdr:cNvPr>
        <xdr:cNvSpPr/>
      </xdr:nvSpPr>
      <xdr:spPr>
        <a:xfrm>
          <a:off x="768774" y="20675606"/>
          <a:ext cx="213360" cy="17779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123</xdr:row>
      <xdr:rowOff>84669</xdr:rowOff>
    </xdr:from>
    <xdr:to>
      <xdr:col>3</xdr:col>
      <xdr:colOff>355601</xdr:colOff>
      <xdr:row>125</xdr:row>
      <xdr:rowOff>143934</xdr:rowOff>
    </xdr:to>
    <xdr:sp macro="" textlink="">
      <xdr:nvSpPr>
        <xdr:cNvPr id="22" name="Pentagone 21">
          <a:hlinkClick xmlns:r="http://schemas.openxmlformats.org/officeDocument/2006/relationships" r:id="rId2"/>
        </xdr:cNvPr>
        <xdr:cNvSpPr/>
      </xdr:nvSpPr>
      <xdr:spPr>
        <a:xfrm flipH="1">
          <a:off x="482601" y="205486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123</xdr:row>
      <xdr:rowOff>67734</xdr:rowOff>
    </xdr:from>
    <xdr:to>
      <xdr:col>3</xdr:col>
      <xdr:colOff>719668</xdr:colOff>
      <xdr:row>125</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939801</xdr:colOff>
      <xdr:row>123</xdr:row>
      <xdr:rowOff>33866</xdr:rowOff>
    </xdr:from>
    <xdr:to>
      <xdr:col>2</xdr:col>
      <xdr:colOff>1270001</xdr:colOff>
      <xdr:row>125</xdr:row>
      <xdr:rowOff>127000</xdr:rowOff>
    </xdr:to>
    <xdr:sp macro="" textlink="">
      <xdr:nvSpPr>
        <xdr:cNvPr id="34" name="Rectangle 33"/>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55</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211667</xdr:colOff>
      <xdr:row>57</xdr:row>
      <xdr:rowOff>93133</xdr:rowOff>
    </xdr:from>
    <xdr:to>
      <xdr:col>25</xdr:col>
      <xdr:colOff>186267</xdr:colOff>
      <xdr:row>80</xdr:row>
      <xdr:rowOff>0</xdr:rowOff>
    </xdr:to>
    <xdr:sp macro="" textlink="">
      <xdr:nvSpPr>
        <xdr:cNvPr id="36" name="Rectangle à coins arrondis 35"/>
        <xdr:cNvSpPr/>
      </xdr:nvSpPr>
      <xdr:spPr>
        <a:xfrm>
          <a:off x="211667" y="10202333"/>
          <a:ext cx="11294533" cy="36830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8468</xdr:colOff>
      <xdr:row>52</xdr:row>
      <xdr:rowOff>118534</xdr:rowOff>
    </xdr:from>
    <xdr:to>
      <xdr:col>2</xdr:col>
      <xdr:colOff>194734</xdr:colOff>
      <xdr:row>55</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52</xdr:row>
      <xdr:rowOff>122768</xdr:rowOff>
    </xdr:from>
    <xdr:to>
      <xdr:col>3</xdr:col>
      <xdr:colOff>702733</xdr:colOff>
      <xdr:row>55</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192</xdr:row>
      <xdr:rowOff>84669</xdr:rowOff>
    </xdr:from>
    <xdr:to>
      <xdr:col>3</xdr:col>
      <xdr:colOff>355601</xdr:colOff>
      <xdr:row>194</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192</xdr:row>
      <xdr:rowOff>33866</xdr:rowOff>
    </xdr:from>
    <xdr:to>
      <xdr:col>2</xdr:col>
      <xdr:colOff>1270001</xdr:colOff>
      <xdr:row>194</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192</xdr:row>
      <xdr:rowOff>76199</xdr:rowOff>
    </xdr:from>
    <xdr:to>
      <xdr:col>3</xdr:col>
      <xdr:colOff>728133</xdr:colOff>
      <xdr:row>194</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77</xdr:row>
      <xdr:rowOff>12592</xdr:rowOff>
    </xdr:from>
    <xdr:to>
      <xdr:col>3</xdr:col>
      <xdr:colOff>702754</xdr:colOff>
      <xdr:row>79</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77</xdr:row>
      <xdr:rowOff>0</xdr:rowOff>
    </xdr:from>
    <xdr:to>
      <xdr:col>2</xdr:col>
      <xdr:colOff>186266</xdr:colOff>
      <xdr:row>79</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227</xdr:row>
      <xdr:rowOff>84669</xdr:rowOff>
    </xdr:from>
    <xdr:to>
      <xdr:col>3</xdr:col>
      <xdr:colOff>355601</xdr:colOff>
      <xdr:row>229</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227</xdr:row>
      <xdr:rowOff>33866</xdr:rowOff>
    </xdr:from>
    <xdr:to>
      <xdr:col>2</xdr:col>
      <xdr:colOff>1270001</xdr:colOff>
      <xdr:row>229</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227</xdr:row>
      <xdr:rowOff>76201</xdr:rowOff>
    </xdr:from>
    <xdr:to>
      <xdr:col>3</xdr:col>
      <xdr:colOff>719666</xdr:colOff>
      <xdr:row>230</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22</xdr:col>
      <xdr:colOff>580813</xdr:colOff>
      <xdr:row>4</xdr:row>
      <xdr:rowOff>129540</xdr:rowOff>
    </xdr:to>
    <xdr:grpSp>
      <xdr:nvGrpSpPr>
        <xdr:cNvPr id="39" name="Groupe 38"/>
        <xdr:cNvGrpSpPr/>
      </xdr:nvGrpSpPr>
      <xdr:grpSpPr>
        <a:xfrm>
          <a:off x="0" y="0"/>
          <a:ext cx="10427546" cy="1281007"/>
          <a:chOff x="76200" y="0"/>
          <a:chExt cx="10165080" cy="1287780"/>
        </a:xfrm>
      </xdr:grpSpPr>
      <xdr:pic>
        <xdr:nvPicPr>
          <xdr:cNvPr id="46" name="Image 45" descr="EX-ACT logo">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48" name="Rectangle à coins arrondis 47"/>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50" name="Rectangle à coins arrondis 49">
            <a:hlinkClick xmlns:r="http://schemas.openxmlformats.org/officeDocument/2006/relationships" r:id="rId9"/>
          </xdr:cNvPr>
          <xdr:cNvSpPr/>
        </xdr:nvSpPr>
        <xdr:spPr>
          <a:xfrm>
            <a:off x="5291940" y="476250"/>
            <a:ext cx="111831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0"/>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1"/>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2"/>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13"/>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7682788" y="476250"/>
            <a:ext cx="1164032" cy="720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9122968" y="266700"/>
            <a:ext cx="1118312" cy="792480"/>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445453" y="476250"/>
            <a:ext cx="12021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degradation</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16087</xdr:colOff>
      <xdr:row>33</xdr:row>
      <xdr:rowOff>143933</xdr:rowOff>
    </xdr:from>
    <xdr:to>
      <xdr:col>7</xdr:col>
      <xdr:colOff>511387</xdr:colOff>
      <xdr:row>52</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33</xdr:row>
      <xdr:rowOff>143934</xdr:rowOff>
    </xdr:from>
    <xdr:to>
      <xdr:col>16</xdr:col>
      <xdr:colOff>365761</xdr:colOff>
      <xdr:row>52</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54</xdr:row>
      <xdr:rowOff>0</xdr:rowOff>
    </xdr:from>
    <xdr:to>
      <xdr:col>16</xdr:col>
      <xdr:colOff>327660</xdr:colOff>
      <xdr:row>70</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54</xdr:row>
      <xdr:rowOff>0</xdr:rowOff>
    </xdr:from>
    <xdr:to>
      <xdr:col>7</xdr:col>
      <xdr:colOff>502920</xdr:colOff>
      <xdr:row>70</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201</xdr:row>
      <xdr:rowOff>8460</xdr:rowOff>
    </xdr:from>
    <xdr:to>
      <xdr:col>13</xdr:col>
      <xdr:colOff>76200</xdr:colOff>
      <xdr:row>202</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194</xdr:row>
      <xdr:rowOff>63503</xdr:rowOff>
    </xdr:from>
    <xdr:to>
      <xdr:col>19</xdr:col>
      <xdr:colOff>601134</xdr:colOff>
      <xdr:row>210</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194</xdr:row>
      <xdr:rowOff>67733</xdr:rowOff>
    </xdr:from>
    <xdr:to>
      <xdr:col>25</xdr:col>
      <xdr:colOff>795867</xdr:colOff>
      <xdr:row>210</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147</xdr:row>
      <xdr:rowOff>0</xdr:rowOff>
    </xdr:from>
    <xdr:to>
      <xdr:col>1</xdr:col>
      <xdr:colOff>364066</xdr:colOff>
      <xdr:row>148</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212</xdr:row>
      <xdr:rowOff>8468</xdr:rowOff>
    </xdr:from>
    <xdr:to>
      <xdr:col>1</xdr:col>
      <xdr:colOff>76201</xdr:colOff>
      <xdr:row>213</xdr:row>
      <xdr:rowOff>118534</xdr:rowOff>
    </xdr:to>
    <xdr:sp macro="" textlink="">
      <xdr:nvSpPr>
        <xdr:cNvPr id="31" name="Pentagone 30">
          <a:hlinkClick xmlns:r="http://schemas.openxmlformats.org/officeDocument/2006/relationships" r:id="rId7"/>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27</xdr:row>
      <xdr:rowOff>160867</xdr:rowOff>
    </xdr:from>
    <xdr:to>
      <xdr:col>22</xdr:col>
      <xdr:colOff>491067</xdr:colOff>
      <xdr:row>32</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241</xdr:row>
      <xdr:rowOff>8465</xdr:rowOff>
    </xdr:from>
    <xdr:to>
      <xdr:col>1</xdr:col>
      <xdr:colOff>160867</xdr:colOff>
      <xdr:row>242</xdr:row>
      <xdr:rowOff>143933</xdr:rowOff>
    </xdr:to>
    <xdr:sp macro="" textlink="">
      <xdr:nvSpPr>
        <xdr:cNvPr id="26" name="Pentagone 25">
          <a:hlinkClick xmlns:r="http://schemas.openxmlformats.org/officeDocument/2006/relationships" r:id="rId8"/>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0</xdr:colOff>
      <xdr:row>0</xdr:row>
      <xdr:rowOff>0</xdr:rowOff>
    </xdr:from>
    <xdr:to>
      <xdr:col>16</xdr:col>
      <xdr:colOff>327660</xdr:colOff>
      <xdr:row>4</xdr:row>
      <xdr:rowOff>122767</xdr:rowOff>
    </xdr:to>
    <xdr:grpSp>
      <xdr:nvGrpSpPr>
        <xdr:cNvPr id="29" name="Groupe 28"/>
        <xdr:cNvGrpSpPr/>
      </xdr:nvGrpSpPr>
      <xdr:grpSpPr>
        <a:xfrm>
          <a:off x="0" y="0"/>
          <a:ext cx="10860193" cy="1274234"/>
          <a:chOff x="76200" y="0"/>
          <a:chExt cx="10165080" cy="1287780"/>
        </a:xfrm>
      </xdr:grpSpPr>
      <xdr:pic>
        <xdr:nvPicPr>
          <xdr:cNvPr id="32" name="Image 31" descr="EX-ACT logo">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 y="114300"/>
            <a:ext cx="856248" cy="103599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sp macro="" textlink="">
        <xdr:nvSpPr>
          <xdr:cNvPr id="33" name="Rectangle à coins arrondis 32"/>
          <xdr:cNvSpPr/>
        </xdr:nvSpPr>
        <xdr:spPr>
          <a:xfrm>
            <a:off x="967739" y="38100"/>
            <a:ext cx="7962901" cy="1249680"/>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4" name="ZoneTexte 33"/>
          <xdr:cNvSpPr txBox="1"/>
        </xdr:nvSpPr>
        <xdr:spPr>
          <a:xfrm>
            <a:off x="1024572" y="0"/>
            <a:ext cx="71267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 - Standard Edition</a:t>
            </a:r>
          </a:p>
        </xdr:txBody>
      </xdr:sp>
      <xdr:sp macro="" textlink="">
        <xdr:nvSpPr>
          <xdr:cNvPr id="35" name="Rectangle à coins arrondis 34">
            <a:hlinkClick xmlns:r="http://schemas.openxmlformats.org/officeDocument/2006/relationships" r:id="rId11"/>
          </xdr:cNvPr>
          <xdr:cNvSpPr/>
        </xdr:nvSpPr>
        <xdr:spPr>
          <a:xfrm>
            <a:off x="5291940" y="476250"/>
            <a:ext cx="111831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6" name="Rectangle à coins arrondis 35">
            <a:hlinkClick xmlns:r="http://schemas.openxmlformats.org/officeDocument/2006/relationships" r:id="rId12"/>
          </xdr:cNvPr>
          <xdr:cNvSpPr/>
        </xdr:nvSpPr>
        <xdr:spPr>
          <a:xfrm>
            <a:off x="1043930" y="476250"/>
            <a:ext cx="609596"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7" name="Rectangle à coins arrondis 36">
            <a:hlinkClick xmlns:r="http://schemas.openxmlformats.org/officeDocument/2006/relationships" r:id="rId13"/>
          </xdr:cNvPr>
          <xdr:cNvSpPr/>
        </xdr:nvSpPr>
        <xdr:spPr>
          <a:xfrm>
            <a:off x="1688727"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8" name="Rectangle à coins arrondis 37">
            <a:hlinkClick xmlns:r="http://schemas.openxmlformats.org/officeDocument/2006/relationships" r:id="rId14"/>
          </xdr:cNvPr>
          <xdr:cNvSpPr/>
        </xdr:nvSpPr>
        <xdr:spPr>
          <a:xfrm>
            <a:off x="2836458" y="476250"/>
            <a:ext cx="111253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9" name="Rectangle à coins arrondis 38">
            <a:hlinkClick xmlns:r="http://schemas.openxmlformats.org/officeDocument/2006/relationships" r:id="rId15"/>
          </xdr:cNvPr>
          <xdr:cNvSpPr/>
        </xdr:nvSpPr>
        <xdr:spPr>
          <a:xfrm>
            <a:off x="3984189" y="476250"/>
            <a:ext cx="1272550"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0" name="Rectangle à coins arrondis 39">
            <a:hlinkClick xmlns:r="http://schemas.openxmlformats.org/officeDocument/2006/relationships" r:id="rId16"/>
          </xdr:cNvPr>
          <xdr:cNvSpPr/>
        </xdr:nvSpPr>
        <xdr:spPr>
          <a:xfrm>
            <a:off x="7682788" y="476250"/>
            <a:ext cx="11640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1" name="Rectangle à coins arrondis 40">
            <a:hlinkClick xmlns:r="http://schemas.openxmlformats.org/officeDocument/2006/relationships" r:id="rId17"/>
          </xdr:cNvPr>
          <xdr:cNvSpPr/>
        </xdr:nvSpPr>
        <xdr:spPr>
          <a:xfrm>
            <a:off x="9122968" y="266700"/>
            <a:ext cx="1118312" cy="792480"/>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2" name="Rectangle à coins arrondis 41">
            <a:hlinkClick xmlns:r="http://schemas.openxmlformats.org/officeDocument/2006/relationships" r:id="rId18"/>
          </xdr:cNvPr>
          <xdr:cNvSpPr/>
        </xdr:nvSpPr>
        <xdr:spPr>
          <a:xfrm>
            <a:off x="6445453" y="476250"/>
            <a:ext cx="1202132" cy="7200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degradation</a:t>
            </a:r>
          </a:p>
        </xdr:txBody>
      </xdr:sp>
    </xdr:grpSp>
    <xdr:clientData/>
  </xdr:twoCellAnchor>
  <xdr:twoCellAnchor>
    <xdr:from>
      <xdr:col>13</xdr:col>
      <xdr:colOff>2</xdr:colOff>
      <xdr:row>81</xdr:row>
      <xdr:rowOff>16934</xdr:rowOff>
    </xdr:from>
    <xdr:to>
      <xdr:col>15</xdr:col>
      <xdr:colOff>25400</xdr:colOff>
      <xdr:row>85</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4.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S50"/>
  <sheetViews>
    <sheetView tabSelected="1" zoomScale="80" zoomScaleNormal="80" workbookViewId="0">
      <pane ySplit="5" topLeftCell="A6" activePane="bottomLeft" state="frozen"/>
      <selection pane="bottomLeft" activeCell="K35" sqref="K35"/>
    </sheetView>
  </sheetViews>
  <sheetFormatPr baseColWidth="10" defaultColWidth="10" defaultRowHeight="13.2"/>
  <cols>
    <col min="1" max="1" width="2.33203125" style="1664" customWidth="1"/>
    <col min="2" max="2" width="17.6640625" style="1664" customWidth="1"/>
    <col min="3" max="16384" width="10" style="1664"/>
  </cols>
  <sheetData>
    <row r="1" spans="1:19" s="2285" customFormat="1" ht="22.95" customHeight="1"/>
    <row r="2" spans="1:19" s="2285" customFormat="1" ht="22.95" customHeight="1"/>
    <row r="3" spans="1:19" s="2285" customFormat="1" ht="22.95" customHeight="1"/>
    <row r="4" spans="1:19" s="2285" customFormat="1" ht="22.95" customHeight="1"/>
    <row r="5" spans="1:19" s="2285" customFormat="1" ht="22.95" customHeight="1">
      <c r="A5" s="2781" t="str">
        <f>IF(ISBLANK(HLOOKUP(select,translations!$B$436:$H$450,2,)),"",HLOOKUP(select,translations!$B$436:$H$450,2,))</f>
        <v xml:space="preserve"> </v>
      </c>
      <c r="B5" s="2782"/>
    </row>
    <row r="7" spans="1:19">
      <c r="I7" s="1665" t="s">
        <v>1056</v>
      </c>
      <c r="J7" s="1666"/>
    </row>
    <row r="8" spans="1:19">
      <c r="I8" s="1665" t="s">
        <v>1057</v>
      </c>
      <c r="J8" s="1666"/>
    </row>
    <row r="9" spans="1:19">
      <c r="I9" s="1665" t="s">
        <v>1058</v>
      </c>
      <c r="J9" s="1666"/>
    </row>
    <row r="11" spans="1:19">
      <c r="D11" s="1664" t="s">
        <v>1053</v>
      </c>
    </row>
    <row r="13" spans="1:19" ht="21.75" customHeight="1">
      <c r="B13" s="3060" t="s">
        <v>108</v>
      </c>
      <c r="C13" s="3060"/>
      <c r="D13" s="3060"/>
      <c r="E13" s="3060"/>
      <c r="F13" s="3060"/>
      <c r="G13" s="3060"/>
      <c r="H13" s="3060"/>
      <c r="I13" s="3060"/>
      <c r="J13" s="3060"/>
      <c r="L13" s="3059" t="s">
        <v>5560</v>
      </c>
      <c r="M13" s="3059"/>
      <c r="N13" s="3059"/>
      <c r="O13" s="3059"/>
      <c r="P13" s="3059"/>
      <c r="R13" s="2076" t="str">
        <f>M14</f>
        <v>English</v>
      </c>
      <c r="S13" s="2076"/>
    </row>
    <row r="14" spans="1:19" ht="21.75" customHeight="1">
      <c r="B14" s="3060" t="s">
        <v>1054</v>
      </c>
      <c r="C14" s="3060"/>
      <c r="D14" s="3060"/>
      <c r="E14" s="3060"/>
      <c r="F14" s="3060"/>
      <c r="G14" s="3060"/>
      <c r="H14" s="3060"/>
      <c r="I14" s="3060"/>
      <c r="J14" s="3060"/>
      <c r="L14" s="3021"/>
      <c r="M14" s="3061" t="s">
        <v>1647</v>
      </c>
      <c r="N14" s="3061"/>
      <c r="O14" s="3061"/>
      <c r="P14" s="3020"/>
      <c r="R14" s="2076" t="str">
        <f>IF(M14&lt;&gt;List!$I$13,M14,IF(M16="",List!$I$7,'0.Start'!M16))</f>
        <v>English</v>
      </c>
      <c r="S14" s="2076"/>
    </row>
    <row r="15" spans="1:19" ht="21" customHeight="1">
      <c r="E15" s="1667"/>
      <c r="L15" s="3062" t="s">
        <v>5559</v>
      </c>
      <c r="M15" s="3062"/>
      <c r="N15" s="3062"/>
      <c r="O15" s="3062"/>
      <c r="P15" s="3062"/>
      <c r="R15" s="2076"/>
      <c r="S15" s="2076"/>
    </row>
    <row r="16" spans="1:19" ht="20.399999999999999">
      <c r="B16" s="3059" t="str">
        <f>HLOOKUP(select,translations!$B$1:$H$10,5,)</f>
        <v>Version 6.0 - Multilingual Edition</v>
      </c>
      <c r="C16" s="3059"/>
      <c r="D16" s="3059"/>
      <c r="E16" s="3059"/>
      <c r="F16" s="3059"/>
      <c r="G16" s="3059"/>
      <c r="H16" s="3059"/>
      <c r="I16" s="3059"/>
      <c r="J16" s="3059"/>
      <c r="M16" s="3056" t="s">
        <v>5792</v>
      </c>
      <c r="N16" s="3056"/>
      <c r="O16" s="3056"/>
    </row>
    <row r="25" spans="1:10">
      <c r="B25" s="1668" t="str">
        <f>HLOOKUP(select,translations!$B$1:$H$10,2,)</f>
        <v>Disclaimer</v>
      </c>
    </row>
    <row r="26" spans="1:10" ht="12.75" customHeight="1">
      <c r="A26" s="1668"/>
      <c r="B26" s="3058"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058"/>
      <c r="D26" s="3058"/>
      <c r="E26" s="3058"/>
      <c r="F26" s="3058"/>
      <c r="G26" s="3058"/>
      <c r="H26" s="3058"/>
      <c r="I26" s="3058"/>
      <c r="J26" s="3058"/>
    </row>
    <row r="27" spans="1:10">
      <c r="B27" s="3058"/>
      <c r="C27" s="3058"/>
      <c r="D27" s="3058"/>
      <c r="E27" s="3058"/>
      <c r="F27" s="3058"/>
      <c r="G27" s="3058"/>
      <c r="H27" s="3058"/>
      <c r="I27" s="3058"/>
      <c r="J27" s="3058"/>
    </row>
    <row r="28" spans="1:10">
      <c r="B28" s="3058"/>
      <c r="C28" s="3058"/>
      <c r="D28" s="3058"/>
      <c r="E28" s="3058"/>
      <c r="F28" s="3058"/>
      <c r="G28" s="3058"/>
      <c r="H28" s="3058"/>
      <c r="I28" s="3058"/>
      <c r="J28" s="3058"/>
    </row>
    <row r="29" spans="1:10">
      <c r="B29" s="3058"/>
      <c r="C29" s="3058"/>
      <c r="D29" s="3058"/>
      <c r="E29" s="3058"/>
      <c r="F29" s="3058"/>
      <c r="G29" s="3058"/>
      <c r="H29" s="3058"/>
      <c r="I29" s="3058"/>
      <c r="J29" s="3058"/>
    </row>
    <row r="30" spans="1:10">
      <c r="B30" s="3058"/>
      <c r="C30" s="3058"/>
      <c r="D30" s="3058"/>
      <c r="E30" s="3058"/>
      <c r="F30" s="3058"/>
      <c r="G30" s="3058"/>
      <c r="H30" s="3058"/>
      <c r="I30" s="3058"/>
      <c r="J30" s="3058"/>
    </row>
    <row r="31" spans="1:10">
      <c r="B31" s="3058" t="str">
        <f>HLOOKUP(select,translations!$B$1:$H$10,4,)</f>
        <v>The choices of calculation made in this tool are those of the author(s) and do not necessarily reflect the views  and choices of the Food and Agriculture Organization of the United Nations.</v>
      </c>
      <c r="C31" s="3058"/>
      <c r="D31" s="3058"/>
      <c r="E31" s="3058"/>
      <c r="F31" s="3058"/>
      <c r="G31" s="3058"/>
      <c r="H31" s="3058"/>
      <c r="I31" s="3058"/>
      <c r="J31" s="3058"/>
    </row>
    <row r="32" spans="1:10">
      <c r="B32" s="3058"/>
      <c r="C32" s="3058"/>
      <c r="D32" s="3058"/>
      <c r="E32" s="3058"/>
      <c r="F32" s="3058"/>
      <c r="G32" s="3058"/>
      <c r="H32" s="3058"/>
      <c r="I32" s="3058"/>
      <c r="J32" s="3058"/>
    </row>
    <row r="33" spans="2:10">
      <c r="B33" s="2629"/>
      <c r="C33" s="2629"/>
      <c r="D33" s="2629"/>
      <c r="E33" s="2629"/>
      <c r="F33" s="2629"/>
      <c r="G33" s="2629"/>
      <c r="H33" s="2629"/>
      <c r="I33" s="2629"/>
    </row>
    <row r="34" spans="2:10">
      <c r="B34" s="2629"/>
      <c r="C34" s="2629"/>
      <c r="D34" s="2629"/>
      <c r="E34" s="2629"/>
      <c r="F34" s="2629"/>
      <c r="G34" s="2629"/>
      <c r="H34" s="2629"/>
      <c r="I34" s="2629"/>
    </row>
    <row r="35" spans="2:10">
      <c r="D35" s="1669"/>
      <c r="E35" s="1669"/>
      <c r="F35" s="1669"/>
      <c r="G35" s="1669"/>
    </row>
    <row r="36" spans="2:10">
      <c r="D36" s="1669"/>
      <c r="E36" s="1669"/>
      <c r="F36" s="1669"/>
      <c r="G36" s="1669"/>
    </row>
    <row r="41" spans="2:10" ht="12.75" customHeight="1">
      <c r="B41" s="3057"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058"/>
      <c r="D41" s="3058"/>
      <c r="E41" s="3058"/>
      <c r="F41" s="3058"/>
      <c r="G41" s="3058"/>
      <c r="H41" s="3058"/>
      <c r="I41" s="3058"/>
      <c r="J41" s="3058"/>
    </row>
    <row r="42" spans="2:10">
      <c r="B42" s="3058"/>
      <c r="C42" s="3058"/>
      <c r="D42" s="3058"/>
      <c r="E42" s="3058"/>
      <c r="F42" s="3058"/>
      <c r="G42" s="3058"/>
      <c r="H42" s="3058"/>
      <c r="I42" s="3058"/>
      <c r="J42" s="3058"/>
    </row>
    <row r="43" spans="2:10">
      <c r="B43" s="3058"/>
      <c r="C43" s="3058"/>
      <c r="D43" s="3058"/>
      <c r="E43" s="3058"/>
      <c r="F43" s="3058"/>
      <c r="G43" s="3058"/>
      <c r="H43" s="3058"/>
      <c r="I43" s="3058"/>
      <c r="J43" s="3058"/>
    </row>
    <row r="44" spans="2:10">
      <c r="B44" s="3058"/>
      <c r="C44" s="3058"/>
      <c r="D44" s="3058"/>
      <c r="E44" s="3058"/>
      <c r="F44" s="3058"/>
      <c r="G44" s="3058"/>
      <c r="H44" s="3058"/>
      <c r="I44" s="3058"/>
      <c r="J44" s="3058"/>
    </row>
    <row r="45" spans="2:10">
      <c r="B45" s="3058"/>
      <c r="C45" s="3058"/>
      <c r="D45" s="3058"/>
      <c r="E45" s="3058"/>
      <c r="F45" s="3058"/>
      <c r="G45" s="3058"/>
      <c r="H45" s="3058"/>
      <c r="I45" s="3058"/>
      <c r="J45" s="3058"/>
    </row>
    <row r="46" spans="2:10">
      <c r="B46" s="3058"/>
      <c r="C46" s="3058"/>
      <c r="D46" s="3058"/>
      <c r="E46" s="3058"/>
      <c r="F46" s="3058"/>
      <c r="G46" s="3058"/>
      <c r="H46" s="3058"/>
      <c r="I46" s="3058"/>
      <c r="J46" s="3058"/>
    </row>
    <row r="47" spans="2:10">
      <c r="B47" s="3058"/>
      <c r="C47" s="3058"/>
      <c r="D47" s="3058"/>
      <c r="E47" s="3058"/>
      <c r="F47" s="3058"/>
      <c r="G47" s="3058"/>
      <c r="H47" s="3058"/>
      <c r="I47" s="3058"/>
      <c r="J47" s="3058"/>
    </row>
    <row r="48" spans="2:10">
      <c r="B48" s="3058"/>
      <c r="C48" s="3058"/>
      <c r="D48" s="3058"/>
      <c r="E48" s="3058"/>
      <c r="F48" s="3058"/>
      <c r="G48" s="3058"/>
      <c r="H48" s="3058"/>
      <c r="I48" s="3058"/>
      <c r="J48" s="3058"/>
    </row>
    <row r="49" spans="2:10">
      <c r="B49" s="3058"/>
      <c r="C49" s="3058"/>
      <c r="D49" s="3058"/>
      <c r="E49" s="3058"/>
      <c r="F49" s="3058"/>
      <c r="G49" s="3058"/>
      <c r="H49" s="3058"/>
      <c r="I49" s="3058"/>
      <c r="J49" s="3058"/>
    </row>
    <row r="50" spans="2:10">
      <c r="B50" s="3058"/>
      <c r="C50" s="3058"/>
      <c r="D50" s="3058"/>
      <c r="E50" s="3058"/>
      <c r="F50" s="3058"/>
      <c r="G50" s="3058"/>
      <c r="H50" s="3058"/>
      <c r="I50" s="3058"/>
      <c r="J50" s="3058"/>
    </row>
  </sheetData>
  <sheetProtection password="E8A2" sheet="1" objects="1" scenarios="1" formatCells="0" formatColumns="0"/>
  <mergeCells count="10">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L18:M18 L17:P18 P16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pageSetUpPr fitToPage="1"/>
  </sheetPr>
  <dimension ref="A1:BD56"/>
  <sheetViews>
    <sheetView topLeftCell="A4" zoomScale="61" zoomScaleNormal="61" workbookViewId="0">
      <selection activeCell="V34" sqref="V34"/>
    </sheetView>
  </sheetViews>
  <sheetFormatPr baseColWidth="10" defaultColWidth="9.5546875" defaultRowHeight="13.2"/>
  <cols>
    <col min="1" max="1" width="3.88671875" style="1" customWidth="1"/>
    <col min="2" max="2" width="21" style="1" customWidth="1"/>
    <col min="3" max="3" width="17.88671875" style="1" customWidth="1"/>
    <col min="4" max="4" width="9.33203125" style="9" customWidth="1"/>
    <col min="5" max="5" width="7" style="9" customWidth="1"/>
    <col min="6" max="6" width="9.5546875" style="1" customWidth="1"/>
    <col min="7" max="7" width="8.5546875" style="1" customWidth="1"/>
    <col min="8" max="8" width="14.88671875" style="1" customWidth="1"/>
    <col min="9" max="9" width="9.33203125" style="1" customWidth="1"/>
    <col min="10" max="10" width="8.88671875" style="1" customWidth="1"/>
    <col min="11" max="11" width="9.33203125" style="1" customWidth="1"/>
    <col min="12" max="12" width="9.109375" style="1" customWidth="1"/>
    <col min="13" max="14" width="9.33203125" style="1" customWidth="1"/>
    <col min="15" max="15" width="10.109375" style="1" customWidth="1"/>
    <col min="16" max="16" width="10.5546875" style="1" customWidth="1"/>
    <col min="17" max="17" width="10.33203125" style="1" customWidth="1"/>
    <col min="18" max="18" width="15.5546875" style="1" customWidth="1"/>
    <col min="19" max="19" width="11.33203125" style="9" customWidth="1"/>
    <col min="20" max="20" width="11" style="9" customWidth="1"/>
    <col min="21" max="21" width="10" style="55" customWidth="1"/>
    <col min="22" max="22" width="9.5546875" style="1" customWidth="1"/>
    <col min="23" max="23" width="13" style="1" customWidth="1"/>
    <col min="24" max="26" width="9.5546875" style="1" customWidth="1"/>
    <col min="27" max="52" width="9.5546875" style="1951" customWidth="1"/>
    <col min="53" max="56" width="9.5546875" style="1128" customWidth="1"/>
    <col min="57" max="16384" width="9.5546875" style="1"/>
  </cols>
  <sheetData>
    <row r="1" spans="1:56" s="1670" customFormat="1" ht="22.95" customHeight="1">
      <c r="D1" s="1671"/>
      <c r="E1" s="1671"/>
      <c r="S1" s="1671"/>
      <c r="T1" s="1671"/>
      <c r="U1" s="1716"/>
      <c r="AA1" s="1924"/>
      <c r="AB1" s="1924"/>
      <c r="AC1" s="1924"/>
      <c r="AD1" s="1924"/>
      <c r="AE1" s="1924"/>
      <c r="AF1" s="1924"/>
      <c r="AG1" s="1924"/>
      <c r="AH1" s="1924"/>
      <c r="AI1" s="1924"/>
      <c r="AJ1" s="1924"/>
      <c r="AK1" s="1924"/>
      <c r="AL1" s="1924"/>
      <c r="AM1" s="1924"/>
      <c r="AN1" s="1924"/>
      <c r="AO1" s="1924"/>
      <c r="AP1" s="1924"/>
      <c r="AQ1" s="1924"/>
      <c r="AR1" s="1924"/>
      <c r="AS1" s="1924"/>
      <c r="AT1" s="1924"/>
      <c r="AU1" s="1924"/>
      <c r="AV1" s="1924"/>
      <c r="AW1" s="1924"/>
      <c r="AX1" s="1924"/>
      <c r="AY1" s="1924"/>
      <c r="AZ1" s="1924"/>
      <c r="BA1" s="1703"/>
      <c r="BB1" s="1703"/>
      <c r="BC1" s="1703"/>
      <c r="BD1" s="1703"/>
    </row>
    <row r="2" spans="1:56" s="1670" customFormat="1" ht="22.95" customHeight="1">
      <c r="D2" s="1671"/>
      <c r="E2" s="1671"/>
      <c r="S2" s="1671"/>
      <c r="T2" s="1671"/>
      <c r="U2" s="1716"/>
      <c r="AA2" s="1924"/>
      <c r="AB2" s="1924"/>
      <c r="AC2" s="1924"/>
      <c r="AD2" s="1924"/>
      <c r="AE2" s="1924"/>
      <c r="AF2" s="1924"/>
      <c r="AG2" s="1924"/>
      <c r="AH2" s="1924"/>
      <c r="AI2" s="1924"/>
      <c r="AJ2" s="1924"/>
      <c r="AK2" s="1924"/>
      <c r="AL2" s="1924"/>
      <c r="AM2" s="1924"/>
      <c r="AN2" s="1924"/>
      <c r="AO2" s="1924"/>
      <c r="AP2" s="1924"/>
      <c r="AQ2" s="1924"/>
      <c r="AR2" s="1924"/>
      <c r="AS2" s="1924"/>
      <c r="AT2" s="1924"/>
      <c r="AU2" s="1924"/>
      <c r="AV2" s="1924"/>
      <c r="AW2" s="1924"/>
      <c r="AX2" s="1924"/>
      <c r="AY2" s="1924"/>
      <c r="AZ2" s="1924"/>
      <c r="BA2" s="1703"/>
      <c r="BB2" s="1703"/>
      <c r="BC2" s="1703"/>
      <c r="BD2" s="1703"/>
    </row>
    <row r="3" spans="1:56" s="1670" customFormat="1" ht="22.95" customHeight="1">
      <c r="D3" s="1671"/>
      <c r="E3" s="1671"/>
      <c r="S3" s="1671"/>
      <c r="T3" s="1671"/>
      <c r="U3" s="1716"/>
      <c r="AA3" s="1924"/>
      <c r="AB3" s="1924"/>
      <c r="AC3" s="1924"/>
      <c r="AD3" s="1924"/>
      <c r="AE3" s="1924"/>
      <c r="AF3" s="1924"/>
      <c r="AG3" s="1924"/>
      <c r="AH3" s="1924"/>
      <c r="AI3" s="1924"/>
      <c r="AJ3" s="1924"/>
      <c r="AK3" s="1924"/>
      <c r="AL3" s="1924"/>
      <c r="AM3" s="1924"/>
      <c r="AN3" s="1924"/>
      <c r="AO3" s="1924"/>
      <c r="AP3" s="1924"/>
      <c r="AQ3" s="1924"/>
      <c r="AR3" s="1924"/>
      <c r="AS3" s="1924"/>
      <c r="AT3" s="1924"/>
      <c r="AU3" s="1924"/>
      <c r="AV3" s="1924"/>
      <c r="AW3" s="1924"/>
      <c r="AX3" s="1924"/>
      <c r="AY3" s="1924"/>
      <c r="AZ3" s="1924"/>
      <c r="BA3" s="1703"/>
      <c r="BB3" s="1703"/>
      <c r="BC3" s="1703"/>
      <c r="BD3" s="1703"/>
    </row>
    <row r="4" spans="1:56" s="1670" customFormat="1" ht="22.95" customHeight="1">
      <c r="D4" s="1671"/>
      <c r="E4" s="1671"/>
      <c r="S4" s="1671"/>
      <c r="T4" s="1671"/>
      <c r="U4" s="1716"/>
      <c r="AA4" s="1924"/>
      <c r="AB4" s="1924"/>
      <c r="AC4" s="1924"/>
      <c r="AD4" s="1924"/>
      <c r="AE4" s="1924"/>
      <c r="AF4" s="1924"/>
      <c r="AG4" s="1924"/>
      <c r="AH4" s="1924"/>
      <c r="AI4" s="1924"/>
      <c r="AJ4" s="1924"/>
      <c r="AK4" s="1924"/>
      <c r="AL4" s="1924"/>
      <c r="AM4" s="1924"/>
      <c r="AN4" s="1924"/>
      <c r="AO4" s="1924"/>
      <c r="AP4" s="1924"/>
      <c r="AQ4" s="1924"/>
      <c r="AR4" s="1924"/>
      <c r="AS4" s="1924"/>
      <c r="AT4" s="1924"/>
      <c r="AU4" s="1924"/>
      <c r="AV4" s="1924"/>
      <c r="AW4" s="1924"/>
      <c r="AX4" s="1924"/>
      <c r="AY4" s="1924"/>
      <c r="AZ4" s="1924"/>
      <c r="BA4" s="1703"/>
      <c r="BB4" s="1703"/>
      <c r="BC4" s="1703"/>
      <c r="BD4" s="1703"/>
    </row>
    <row r="5" spans="1:56" s="1717" customFormat="1" ht="22.95" customHeight="1">
      <c r="A5" s="1717" t="s">
        <v>482</v>
      </c>
      <c r="D5" s="1718"/>
      <c r="E5" s="1718"/>
      <c r="I5" s="3095" t="s">
        <v>479</v>
      </c>
      <c r="J5" s="3095"/>
      <c r="S5" s="1718"/>
      <c r="T5" s="1718"/>
      <c r="U5" s="1719"/>
      <c r="AA5" s="2476"/>
      <c r="AB5" s="2476"/>
      <c r="AC5" s="2476"/>
      <c r="AD5" s="2476"/>
      <c r="AE5" s="2476"/>
      <c r="AF5" s="2476"/>
      <c r="AG5" s="2476"/>
      <c r="AH5" s="2476"/>
      <c r="AI5" s="2476"/>
      <c r="AJ5" s="2476"/>
      <c r="AK5" s="2476"/>
      <c r="AL5" s="2476"/>
      <c r="AM5" s="2476"/>
      <c r="AN5" s="2476"/>
      <c r="AO5" s="2476"/>
      <c r="AP5" s="2476"/>
      <c r="AQ5" s="2476"/>
      <c r="AR5" s="2476"/>
      <c r="AS5" s="2476"/>
      <c r="AT5" s="2476"/>
      <c r="AU5" s="2476"/>
      <c r="AV5" s="2476"/>
      <c r="AW5" s="2476"/>
      <c r="AX5" s="2476"/>
      <c r="AY5" s="2476"/>
      <c r="AZ5" s="2476"/>
      <c r="BA5" s="1720"/>
      <c r="BB5" s="1720"/>
      <c r="BC5" s="1720"/>
      <c r="BD5" s="1720"/>
    </row>
    <row r="7" spans="1:56">
      <c r="B7" s="256" t="s">
        <v>143</v>
      </c>
      <c r="C7" s="256"/>
      <c r="D7" s="257"/>
      <c r="E7" s="257"/>
      <c r="F7" s="258"/>
      <c r="G7" s="258"/>
      <c r="H7" s="258"/>
      <c r="I7" s="258"/>
      <c r="J7" s="258"/>
      <c r="K7" s="258"/>
    </row>
    <row r="8" spans="1:56">
      <c r="B8" s="221"/>
      <c r="C8" s="135"/>
      <c r="D8" s="130" t="s">
        <v>659</v>
      </c>
      <c r="E8" s="216" t="s">
        <v>629</v>
      </c>
      <c r="F8" s="216"/>
      <c r="G8" s="216"/>
      <c r="H8" s="216"/>
      <c r="I8" s="216"/>
      <c r="J8" s="216"/>
      <c r="K8" s="135"/>
      <c r="L8" s="230" t="s">
        <v>694</v>
      </c>
      <c r="M8" s="216"/>
      <c r="N8" s="216"/>
      <c r="O8" s="216"/>
      <c r="P8" s="216"/>
      <c r="Q8" s="131"/>
      <c r="R8" s="1202" t="s">
        <v>102</v>
      </c>
      <c r="S8" s="1201" t="s">
        <v>662</v>
      </c>
      <c r="T8" s="217"/>
      <c r="U8" s="221" t="s">
        <v>710</v>
      </c>
      <c r="V8" s="49" t="s">
        <v>1329</v>
      </c>
    </row>
    <row r="9" spans="1:56">
      <c r="B9" s="171"/>
      <c r="C9" s="13"/>
      <c r="D9" s="127" t="s">
        <v>660</v>
      </c>
      <c r="E9" s="3086" t="s">
        <v>637</v>
      </c>
      <c r="F9" s="3086"/>
      <c r="G9" s="3086"/>
      <c r="H9" s="13"/>
      <c r="I9" s="13" t="s">
        <v>638</v>
      </c>
      <c r="J9" s="13"/>
      <c r="K9" s="13"/>
      <c r="L9" s="113"/>
      <c r="M9" s="13"/>
      <c r="N9" s="13"/>
      <c r="O9" s="13"/>
      <c r="P9" s="13"/>
      <c r="Q9" s="31" t="s">
        <v>657</v>
      </c>
      <c r="R9" s="1030" t="s">
        <v>904</v>
      </c>
      <c r="S9" s="127" t="s">
        <v>663</v>
      </c>
      <c r="T9" s="218" t="s">
        <v>663</v>
      </c>
      <c r="U9" s="171" t="s">
        <v>711</v>
      </c>
      <c r="AI9" s="1922" t="s">
        <v>65</v>
      </c>
      <c r="AL9" s="2467"/>
      <c r="AM9" s="2467"/>
      <c r="AP9" s="1952"/>
    </row>
    <row r="10" spans="1:56" ht="13.8" thickBot="1">
      <c r="B10" s="171"/>
      <c r="C10" s="13" t="s">
        <v>686</v>
      </c>
      <c r="D10" s="127" t="s">
        <v>661</v>
      </c>
      <c r="E10" s="13"/>
      <c r="F10" s="13"/>
      <c r="G10" s="13"/>
      <c r="H10" s="13"/>
      <c r="I10" s="222" t="s">
        <v>666</v>
      </c>
      <c r="J10" s="13"/>
      <c r="K10" s="13"/>
      <c r="L10" s="113"/>
      <c r="M10" s="13"/>
      <c r="N10" s="13"/>
      <c r="O10" s="13"/>
      <c r="P10" s="13"/>
      <c r="Q10" s="31" t="s">
        <v>551</v>
      </c>
      <c r="R10" s="1030" t="s">
        <v>905</v>
      </c>
      <c r="S10" s="127" t="s">
        <v>664</v>
      </c>
      <c r="T10" s="218" t="s">
        <v>665</v>
      </c>
      <c r="U10" s="171" t="s">
        <v>671</v>
      </c>
      <c r="AI10" s="2477" t="s">
        <v>55</v>
      </c>
      <c r="AL10" s="2470"/>
      <c r="AM10" s="2470"/>
      <c r="AN10" s="2470"/>
      <c r="AO10" s="1964"/>
      <c r="AP10" s="1964"/>
    </row>
    <row r="11" spans="1:56" ht="13.8" thickBot="1">
      <c r="B11" s="18" t="s">
        <v>1159</v>
      </c>
      <c r="C11" s="932" t="s">
        <v>1115</v>
      </c>
      <c r="D11" s="1856">
        <f>'3.Cropland'!D75</f>
        <v>150</v>
      </c>
      <c r="E11" s="1906" t="str">
        <f>'3.Cropland'!E75</f>
        <v>Please select water regime</v>
      </c>
      <c r="F11" s="1906"/>
      <c r="G11" s="1906"/>
      <c r="H11" s="1906" t="str">
        <f>'3.Cropland'!H75</f>
        <v>Please select preseason water regime</v>
      </c>
      <c r="I11" s="1907"/>
      <c r="J11" s="1906"/>
      <c r="K11" s="1907"/>
      <c r="L11" s="1906" t="str">
        <f>'3.Cropland'!N75</f>
        <v>Please select type of Organic Amendment</v>
      </c>
      <c r="M11" s="1906"/>
      <c r="N11" s="1906"/>
      <c r="O11" s="1906"/>
      <c r="P11" s="1906"/>
      <c r="Q11" s="2276">
        <f>IF('3.Cropland'!J234="",'3.Cropland'!I234,'3.Cropland'!J234)</f>
        <v>5.5</v>
      </c>
      <c r="R11" s="2282">
        <f>IF('3.Cropland'!F234="",'3.Cropland'!E234,'3.Cropland'!F234)</f>
        <v>0</v>
      </c>
      <c r="S11" s="3047">
        <f>'3.Cropland'!P254</f>
        <v>0</v>
      </c>
      <c r="T11" s="1203">
        <f t="shared" ref="T11:T24" si="0">$D11*S11</f>
        <v>0</v>
      </c>
      <c r="U11" s="1204">
        <f>IF($L11="straw Burnt",$Q11*$W$14*($X$14*methane+$Y$14*Nitrous)/1000,0)</f>
        <v>0</v>
      </c>
      <c r="V11" s="1915">
        <f>'3.Cropland'!S75</f>
        <v>0</v>
      </c>
      <c r="W11" s="129" t="s">
        <v>538</v>
      </c>
      <c r="X11" s="57"/>
      <c r="Y11" s="56"/>
      <c r="AE11" s="1951" t="s">
        <v>66</v>
      </c>
      <c r="AG11" s="1951" t="s">
        <v>67</v>
      </c>
      <c r="AH11" s="1952"/>
      <c r="AI11" s="1922" t="s">
        <v>106</v>
      </c>
      <c r="AJ11" s="1952"/>
      <c r="AK11" s="2470" t="s">
        <v>337</v>
      </c>
      <c r="AL11" s="2470"/>
      <c r="AM11" s="1951" t="s">
        <v>66</v>
      </c>
      <c r="AO11" s="1951" t="s">
        <v>67</v>
      </c>
      <c r="AP11" s="1964"/>
    </row>
    <row r="12" spans="1:56" ht="13.8" thickBot="1">
      <c r="B12" s="18" t="s">
        <v>1160</v>
      </c>
      <c r="C12" s="932" t="s">
        <v>1168</v>
      </c>
      <c r="D12" s="1856">
        <f>'3.Cropland'!D76</f>
        <v>150</v>
      </c>
      <c r="E12" s="1906" t="str">
        <f>'3.Cropland'!E76</f>
        <v>Please select water regime</v>
      </c>
      <c r="F12" s="1906"/>
      <c r="G12" s="1906"/>
      <c r="H12" s="1906" t="str">
        <f>'3.Cropland'!H76</f>
        <v>Please select preseason water regime</v>
      </c>
      <c r="I12" s="1907"/>
      <c r="J12" s="1906"/>
      <c r="K12" s="1907"/>
      <c r="L12" s="1906" t="str">
        <f>'3.Cropland'!N76</f>
        <v>Please select type of Organic Amendment</v>
      </c>
      <c r="M12" s="1906"/>
      <c r="N12" s="1906"/>
      <c r="O12" s="1906"/>
      <c r="P12" s="1906"/>
      <c r="Q12" s="2276">
        <f>IF('3.Cropland'!J235="",'3.Cropland'!I235,'3.Cropland'!J235)</f>
        <v>5.5</v>
      </c>
      <c r="R12" s="2282">
        <f>IF('3.Cropland'!F235="",'3.Cropland'!E235,'3.Cropland'!F235)</f>
        <v>0</v>
      </c>
      <c r="S12" s="3047">
        <f>'3.Cropland'!P255</f>
        <v>0</v>
      </c>
      <c r="T12" s="1203">
        <f>$D12*S12</f>
        <v>0</v>
      </c>
      <c r="U12" s="1204">
        <f t="shared" ref="U12:U24" si="1">IF($L12="straw Burnt",$Q12*$W$14*($X$14*methane+$Y$14*Nitrous)/1000,0)</f>
        <v>0</v>
      </c>
      <c r="V12" s="1915">
        <f>'3.Cropland'!S76</f>
        <v>0</v>
      </c>
      <c r="W12" s="126" t="s">
        <v>537</v>
      </c>
      <c r="X12" s="57" t="s">
        <v>337</v>
      </c>
      <c r="Y12" s="56" t="s">
        <v>338</v>
      </c>
      <c r="AE12" s="1952" t="s">
        <v>51</v>
      </c>
      <c r="AF12" s="1952" t="s">
        <v>691</v>
      </c>
      <c r="AG12" s="1952" t="s">
        <v>52</v>
      </c>
      <c r="AH12" s="1952" t="s">
        <v>691</v>
      </c>
      <c r="AI12" s="1952" t="s">
        <v>52</v>
      </c>
      <c r="AJ12" s="1952" t="s">
        <v>691</v>
      </c>
      <c r="AK12" s="2470" t="s">
        <v>690</v>
      </c>
      <c r="AL12" s="2470" t="s">
        <v>691</v>
      </c>
      <c r="AM12" s="2470" t="s">
        <v>56</v>
      </c>
      <c r="AN12" s="2470" t="s">
        <v>691</v>
      </c>
      <c r="AO12" s="1964" t="s">
        <v>51</v>
      </c>
      <c r="AP12" s="1964" t="s">
        <v>691</v>
      </c>
    </row>
    <row r="13" spans="1:56" ht="13.8" thickBot="1">
      <c r="B13" s="18" t="s">
        <v>1253</v>
      </c>
      <c r="C13" s="1205" t="s">
        <v>1250</v>
      </c>
      <c r="D13" s="1856">
        <f>'3.Cropland'!D77</f>
        <v>150</v>
      </c>
      <c r="E13" s="1906" t="str">
        <f>'3.Cropland'!E77</f>
        <v>Please select water regime</v>
      </c>
      <c r="F13" s="1906"/>
      <c r="G13" s="1906"/>
      <c r="H13" s="1906" t="str">
        <f>'3.Cropland'!H77</f>
        <v>Please select preseason water regime</v>
      </c>
      <c r="I13" s="1907"/>
      <c r="J13" s="1906"/>
      <c r="K13" s="1907"/>
      <c r="L13" s="1906" t="str">
        <f>'3.Cropland'!N77</f>
        <v>Please select type of Organic Amendment</v>
      </c>
      <c r="M13" s="1906"/>
      <c r="N13" s="1906"/>
      <c r="O13" s="1906"/>
      <c r="P13" s="1906"/>
      <c r="Q13" s="2276">
        <f>IF('3.Cropland'!J236="",'3.Cropland'!I236,'3.Cropland'!J236)</f>
        <v>5.5</v>
      </c>
      <c r="R13" s="2282">
        <f>IF('3.Cropland'!F236="",'3.Cropland'!E236,'3.Cropland'!F236)</f>
        <v>0</v>
      </c>
      <c r="S13" s="3047">
        <f>'3.Cropland'!P256</f>
        <v>0</v>
      </c>
      <c r="T13" s="1203">
        <f t="shared" si="0"/>
        <v>0</v>
      </c>
      <c r="U13" s="1204">
        <f t="shared" si="1"/>
        <v>0</v>
      </c>
      <c r="V13" s="1915">
        <f>'3.Cropland'!S77</f>
        <v>0</v>
      </c>
      <c r="W13" s="126" t="s">
        <v>539</v>
      </c>
      <c r="X13" s="128" t="s">
        <v>540</v>
      </c>
      <c r="Y13" s="203"/>
      <c r="AE13" s="1964">
        <f>(MIN(C32,D32)*time_tot+ABS(D32-C32)*IF(D32&gt;C32,time2+time*(VLOOKUP(E32,List!$E$35:$F$37,2,)),time*(1-(VLOOKUP(E32,List!$E$35:$F$37,2,)))))*IF($L11="straw Burnt",$Q11*$W$14*($X$14*methane)/1000,0)</f>
        <v>0</v>
      </c>
      <c r="AF13" s="1964">
        <f>(MIN(C32,F32)*time_tot+ABS(F32-C32)*IF(F32&gt;C32,time2+time*(VLOOKUP(G32,List!$E$35:$F$37,2,)),time*(1-(VLOOKUP(G32,List!$E$35:$F$37,2,)))))*IF($L11="straw Burnt",$Q11*$W$14*($X$14*methane)/1000,0)</f>
        <v>0</v>
      </c>
      <c r="AG13" s="1964">
        <f>(MIN(C32,D32)*time_tot+ABS(D32-C32)*IF(D32&gt;C32,time2+time*(VLOOKUP(E32,List!$E$35:$F$37,2,)),time*(1-(VLOOKUP(E32,List!$E$35:$F$37,2,)))))*IF($L11="straw Burnt",$Q11*$W$14*($Y$14*Nitrous)/1000,0)</f>
        <v>0</v>
      </c>
      <c r="AH13" s="1964">
        <f>(MIN(C32,F32)*time_tot+ABS(F32-C32)*IF(F32&gt;C32,time2+time*(VLOOKUP(G32,List!$E$35:$F$37,2,)),time*(1-(VLOOKUP(G32,List!$E$35:$F$37,2,)))))*IF($L11="straw Burnt",$Q11*$W$14*($Y$14*Nitrous)/1000,0)</f>
        <v>0</v>
      </c>
      <c r="AI13" s="1964">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64">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70">
        <f>(MIN(C32,D32)*time+ABS(D32-C32)*IF(D32&gt;C32,time*(VLOOKUP(E32,List!$E$35:$F$37,2,)),time*(1-(VLOOKUP(E32,List!$E$35:$F$37,2,)))))*$T11*methane/1000</f>
        <v>0</v>
      </c>
      <c r="AL13" s="2470">
        <f>(MIN(C32,F32)*time+ABS(F32-C32)*IF(F32&gt;C32,time*(VLOOKUP(G32,List!$E$35:$F$37,2,)),time*(1-(VLOOKUP(G32,List!$E$35:$F$37,2,)))))*$T11*methane/1000</f>
        <v>0</v>
      </c>
      <c r="AM13" s="1964">
        <f>(MIN(C32,D32)*time+ABS(D32-C32)*IF(D32&gt;C32,time*(VLOOKUP(E32,List!$E$35:$F$37,2,)),time*(1-(VLOOKUP(E32,List!$E$35:$F$37,2,)))))*IF($L11="straw Burnt",$Q11*$W$14*($X$14*methane)/1000,0)</f>
        <v>0</v>
      </c>
      <c r="AN13" s="1964">
        <f>(MIN(C32,F32)*time+ABS(F32-C32)*IF(F32&gt;C32,time*(VLOOKUP(G32,List!$E$35:$F$37,2,)),time*(1-(VLOOKUP(G32,List!$E$35:$F$37,2,)))))*IF($L11="straw Burnt",$Q11*$W$14*($X$14*methane)/1000,0)</f>
        <v>0</v>
      </c>
      <c r="AO13" s="1964">
        <f>(MIN(C32,D32)*time+ABS(D32-C32)*IF(D32&gt;C32,time*(VLOOKUP(E32,List!$E$35:$F$37,2,)),time*(1-(VLOOKUP(E32,List!$E$35:$F$37,2,)))))*IF($L11="straw Burnt",$Q11*$W$14*($Y$14*Nitrous)/1000,0)</f>
        <v>0</v>
      </c>
      <c r="AP13" s="1964">
        <f>(MIN(C32,F32)*time+ABS(F32-C32)*IF(F32&gt;C32,time*(VLOOKUP(G32,List!$E$35:$F$37,2,)),time*(1-(VLOOKUP(G32,List!$E$35:$F$37,2,)))))*IF($L11="straw Burnt",$Q11*$W$14*($Y$14*Nitrous)/1000,0)</f>
        <v>0</v>
      </c>
      <c r="AQ13" s="1965" t="s">
        <v>25</v>
      </c>
      <c r="AR13" s="1965" t="s">
        <v>531</v>
      </c>
      <c r="AS13" s="1965" t="s">
        <v>37</v>
      </c>
      <c r="AT13" s="1965" t="s">
        <v>38</v>
      </c>
    </row>
    <row r="14" spans="1:56" ht="13.8" thickBot="1">
      <c r="B14" s="18" t="s">
        <v>1254</v>
      </c>
      <c r="C14" s="1205" t="s">
        <v>77</v>
      </c>
      <c r="D14" s="1856">
        <f>'3.Cropland'!D78</f>
        <v>150</v>
      </c>
      <c r="E14" s="1906" t="str">
        <f>'3.Cropland'!E78</f>
        <v>Please select water regime</v>
      </c>
      <c r="F14" s="1906"/>
      <c r="G14" s="1906"/>
      <c r="H14" s="1906" t="str">
        <f>'3.Cropland'!H78</f>
        <v>Please select preseason water regime</v>
      </c>
      <c r="I14" s="1907"/>
      <c r="J14" s="1906"/>
      <c r="K14" s="1907"/>
      <c r="L14" s="1906" t="str">
        <f>'3.Cropland'!N78</f>
        <v>Please select type of Organic Amendment</v>
      </c>
      <c r="M14" s="1906"/>
      <c r="N14" s="1906"/>
      <c r="O14" s="1906"/>
      <c r="P14" s="1906"/>
      <c r="Q14" s="2276">
        <f>IF('3.Cropland'!J237="",'3.Cropland'!I237,'3.Cropland'!J237)</f>
        <v>5.5</v>
      </c>
      <c r="R14" s="2282">
        <f>IF('3.Cropland'!F237="",'3.Cropland'!E237,'3.Cropland'!F237)</f>
        <v>0</v>
      </c>
      <c r="S14" s="3047">
        <f>'3.Cropland'!P257</f>
        <v>0</v>
      </c>
      <c r="T14" s="1203">
        <f t="shared" si="0"/>
        <v>0</v>
      </c>
      <c r="U14" s="1204">
        <f t="shared" si="1"/>
        <v>0</v>
      </c>
      <c r="V14" s="1915">
        <f>'3.Cropland'!S78</f>
        <v>0</v>
      </c>
      <c r="W14" s="129">
        <v>0.8</v>
      </c>
      <c r="X14" s="57">
        <v>2.7</v>
      </c>
      <c r="Y14" s="56">
        <v>7.0000000000000007E-2</v>
      </c>
      <c r="AE14" s="1964">
        <f>(MIN(C33,D33)*time_tot+ABS(D33-C33)*IF(D33&gt;C33,time2+time*(VLOOKUP(E33,List!$E$35:$F$37,2,)),time*(1-(VLOOKUP(E33,List!$E$35:$F$37,2,)))))*IF($L12="straw Burnt",$Q12*$W$14*($X$14*methane)/1000,0)</f>
        <v>0</v>
      </c>
      <c r="AF14" s="1964">
        <f>(MIN(C33,F33)*time_tot+ABS(F33-C33)*IF(F33&gt;C33,time2+time*(VLOOKUP(G33,List!$E$35:$F$37,2,)),time*(1-(VLOOKUP(G33,List!$E$35:$F$37,2,)))))*IF($L12="straw Burnt",$Q12*$W$14*($X$14*methane)/1000,0)</f>
        <v>0</v>
      </c>
      <c r="AG14" s="1964">
        <f>(MIN(C33,D33)*time_tot+ABS(D33-C33)*IF(D33&gt;C33,time2+time*(VLOOKUP(E33,List!$E$35:$F$37,2,)),time*(1-(VLOOKUP(E33,List!$E$35:$F$37,2,)))))*IF($L12="straw Burnt",$Q12*$W$14*($Y$14*Nitrous)/1000,0)</f>
        <v>0</v>
      </c>
      <c r="AH14" s="1964">
        <f>(MIN(C33,F33)*time_tot+ABS(F33-C33)*IF(F33&gt;C33,time2+time*(VLOOKUP(G33,List!$E$35:$F$37,2,)),time*(1-(VLOOKUP(G33,List!$E$35:$F$37,2,)))))*IF($L12="straw Burnt",$Q12*$W$14*($Y$14*Nitrous)/1000,0)</f>
        <v>0</v>
      </c>
      <c r="AI14" s="1964">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64">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70">
        <f>(MIN(C33,D33)*time+ABS(D33-C33)*IF(D33&gt;C33,time*(VLOOKUP(E33,List!$E$35:$F$37,2,)),time*(1-(VLOOKUP(E33,List!$E$35:$F$37,2,)))))*$T12*methane/1000</f>
        <v>0</v>
      </c>
      <c r="AL14" s="2470">
        <f>(MIN(C33,F33)*time+ABS(F33-C33)*IF(F33&gt;C33,time*(VLOOKUP(G33,List!$E$35:$F$37,2,)),time*(1-(VLOOKUP(G33,List!$E$35:$F$37,2,)))))*$T12*methane/1000</f>
        <v>0</v>
      </c>
      <c r="AM14" s="1964">
        <f>(MIN(C33,D33)*time+ABS(D33-C33)*IF(D33&gt;C33,time*(VLOOKUP(E33,List!$E$35:$F$37,2,)),time*(1-(VLOOKUP(E33,List!$E$35:$F$37,2,)))))*IF($L12="straw Burnt",$Q12*$W$14*($X$14*methane)/1000,0)</f>
        <v>0</v>
      </c>
      <c r="AN14" s="1964">
        <f>(MIN(C33,F33)*time+ABS(F33-C33)*IF(F33&gt;C33,time*(VLOOKUP(G33,List!$E$35:$F$37,2,)),time*(1-(VLOOKUP(G33,List!$E$35:$F$37,2,)))))*IF($L12="straw Burnt",$Q12*$W$14*($X$14*methane)/1000,0)</f>
        <v>0</v>
      </c>
      <c r="AO14" s="1964">
        <f>(MIN(C33,D33)*time+ABS(D33-C33)*IF(D33&gt;C33,time*(VLOOKUP(E33,List!$E$35:$F$37,2,)),time*(1-(VLOOKUP(E33,List!$E$35:$F$37,2,)))))*IF($L12="straw Burnt",$Q12*$W$14*($Y$14*Nitrous)/1000,0)</f>
        <v>0</v>
      </c>
      <c r="AP14" s="1964">
        <f>(MIN(C33,F33)*time+ABS(F33-C33)*IF(F33&gt;C33,time*(VLOOKUP(G33,List!$E$35:$F$37,2,)),time*(1-(VLOOKUP(G33,List!$E$35:$F$37,2,)))))*IF($L12="straw Burnt",$Q12*$W$14*($Y$14*Nitrous)/1000,0)</f>
        <v>0</v>
      </c>
      <c r="AQ14" s="1965" t="s">
        <v>26</v>
      </c>
      <c r="AR14" s="1965"/>
      <c r="AS14" s="1965"/>
      <c r="AT14" s="1965"/>
    </row>
    <row r="15" spans="1:56" ht="13.8" thickBot="1">
      <c r="B15" s="113" t="s">
        <v>623</v>
      </c>
      <c r="C15" s="766"/>
      <c r="D15" s="1905">
        <f>'3.Cropland'!D83</f>
        <v>150</v>
      </c>
      <c r="E15" s="1908" t="str">
        <f>'3.Cropland'!E83</f>
        <v>Please select water regime</v>
      </c>
      <c r="F15" s="1908"/>
      <c r="G15" s="1908"/>
      <c r="H15" s="1908" t="str">
        <f>'3.Cropland'!H83</f>
        <v>Please select preseason water regime</v>
      </c>
      <c r="I15" s="1908"/>
      <c r="J15" s="1908"/>
      <c r="K15" s="1908"/>
      <c r="L15" s="1909" t="str">
        <f>'3.Cropland'!N83</f>
        <v>Please select type of Organic Amendment</v>
      </c>
      <c r="M15" s="1909"/>
      <c r="N15" s="1909"/>
      <c r="O15" s="1909"/>
      <c r="P15" s="1909"/>
      <c r="Q15" s="2276">
        <f>IF('3.Cropland'!J239="",'3.Cropland'!I239,'3.Cropland'!J239)</f>
        <v>5.5</v>
      </c>
      <c r="R15" s="2282">
        <f>IF('3.Cropland'!F239="",'3.Cropland'!E239,'3.Cropland'!F239)</f>
        <v>0</v>
      </c>
      <c r="S15" s="3047">
        <f>'3.Cropland'!P259</f>
        <v>0</v>
      </c>
      <c r="T15" s="1212">
        <f t="shared" si="0"/>
        <v>0</v>
      </c>
      <c r="U15" s="1213">
        <f t="shared" si="1"/>
        <v>0</v>
      </c>
      <c r="V15" s="1915">
        <f>'3.Cropland'!S83</f>
        <v>0</v>
      </c>
      <c r="AE15" s="1964">
        <f>(MIN(C34,D34)*time_tot+ABS(D34-C34)*IF(D34&gt;C34,time2+time*(VLOOKUP(E34,List!$E$35:$F$37,2,)),time*(1-(VLOOKUP(E34,List!$E$35:$F$37,2,)))))*IF($L13="straw Burnt",$Q13*$W$14*($X$14*methane)/1000,0)</f>
        <v>0</v>
      </c>
      <c r="AF15" s="1964">
        <f>(MIN(C34,F34)*time_tot+ABS(F34-C34)*IF(F34&gt;C34,time2+time*(VLOOKUP(G34,List!$E$35:$F$37,2,)),time*(1-(VLOOKUP(G34,List!$E$35:$F$37,2,)))))*IF($L13="straw Burnt",$Q13*$W$14*($X$14*methane)/1000,0)</f>
        <v>0</v>
      </c>
      <c r="AG15" s="1964">
        <f>(MIN(C34,D34)*time_tot+ABS(D34-C34)*IF(D34&gt;C34,time2+time*(VLOOKUP(E34,List!$E$35:$F$37,2,)),time*(1-(VLOOKUP(E34,List!$E$35:$F$37,2,)))))*IF($L13="straw Burnt",$Q13*$W$14*($Y$14*Nitrous)/1000,0)</f>
        <v>0</v>
      </c>
      <c r="AH15" s="1964">
        <f>(MIN(C34,F34)*time_tot+ABS(F34-C34)*IF(F34&gt;C34,time2+time*(VLOOKUP(G34,List!$E$35:$F$37,2,)),time*(1-(VLOOKUP(G34,List!$E$35:$F$37,2,)))))*IF($L13="straw Burnt",$Q13*$W$14*($Y$14*Nitrous)/1000,0)</f>
        <v>0</v>
      </c>
      <c r="AI15" s="1964">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64">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70">
        <f>(MIN(C34,D34)*time+ABS(D34-C34)*IF(D34&gt;C34,time*(VLOOKUP(E34,List!$E$35:$F$37,2,)),time*(1-(VLOOKUP(E34,List!$E$35:$F$37,2,)))))*$T13*methane/1000</f>
        <v>0</v>
      </c>
      <c r="AL15" s="2470">
        <f>(MIN(C34,F34)*time+ABS(F34-C34)*IF(F34&gt;C34,time*(VLOOKUP(G34,List!$E$35:$F$37,2,)),time*(1-(VLOOKUP(G34,List!$E$35:$F$37,2,)))))*$T13*methane/1000</f>
        <v>0</v>
      </c>
      <c r="AM15" s="1964">
        <f>(MIN(C34,D34)*time+ABS(D34-C34)*IF(D34&gt;C34,time*(VLOOKUP(E34,List!$E$35:$F$37,2,)),time*(1-(VLOOKUP(E34,List!$E$35:$F$37,2,)))))*IF($L13="straw Burnt",$Q13*$W$14*($X$14*methane)/1000,0)</f>
        <v>0</v>
      </c>
      <c r="AN15" s="1964">
        <f>(MIN(C34,F34)*time+ABS(F34-C34)*IF(F34&gt;C34,time*(VLOOKUP(G34,List!$E$35:$F$37,2,)),time*(1-(VLOOKUP(G34,List!$E$35:$F$37,2,)))))*IF($L13="straw Burnt",$Q13*$W$14*($X$14*methane)/1000,0)</f>
        <v>0</v>
      </c>
      <c r="AO15" s="1964">
        <f>(MIN(C34,D34)*time+ABS(D34-C34)*IF(D34&gt;C34,time*(VLOOKUP(E34,List!$E$35:$F$37,2,)),time*(1-(VLOOKUP(E34,List!$E$35:$F$37,2,)))))*IF($L13="straw Burnt",$Q13*$W$14*($Y$14*Nitrous)/1000,0)</f>
        <v>0</v>
      </c>
      <c r="AP15" s="1964">
        <f>(MIN(C34,F34)*time+ABS(F34-C34)*IF(F34&gt;C34,time*(VLOOKUP(G34,List!$E$35:$F$37,2,)),time*(1-(VLOOKUP(G34,List!$E$35:$F$37,2,)))))*IF($L13="straw Burnt",$Q13*$W$14*($Y$14*Nitrous)/1000,0)</f>
        <v>0</v>
      </c>
      <c r="AQ15" s="1965" t="s">
        <v>27</v>
      </c>
      <c r="AR15" s="1965">
        <f>SUM(I32:I45)-SUM(H32:H45)</f>
        <v>0</v>
      </c>
      <c r="AS15" s="1965">
        <f>SUM(AJ13:AJ26)-SUM(AI13:AI26)</f>
        <v>0</v>
      </c>
      <c r="AT15" s="1965">
        <f>AR15-AS15</f>
        <v>0</v>
      </c>
    </row>
    <row r="16" spans="1:56" ht="13.8" thickBot="1">
      <c r="B16" s="113" t="s">
        <v>624</v>
      </c>
      <c r="C16" s="766"/>
      <c r="D16" s="1905">
        <f>'3.Cropland'!D84</f>
        <v>150</v>
      </c>
      <c r="E16" s="1908" t="str">
        <f>'3.Cropland'!E84</f>
        <v>Please select water regime</v>
      </c>
      <c r="F16" s="1910"/>
      <c r="G16" s="1910"/>
      <c r="H16" s="1908" t="str">
        <f>'3.Cropland'!H84</f>
        <v>Please select preseason water regime</v>
      </c>
      <c r="I16" s="1910"/>
      <c r="J16" s="1910"/>
      <c r="K16" s="1910"/>
      <c r="L16" s="1909" t="str">
        <f>'3.Cropland'!N84</f>
        <v>Please select type of Organic Amendment</v>
      </c>
      <c r="M16" s="1911"/>
      <c r="N16" s="1911"/>
      <c r="O16" s="1911"/>
      <c r="P16" s="1911"/>
      <c r="Q16" s="2276">
        <f>IF('3.Cropland'!J240="",'3.Cropland'!I240,'3.Cropland'!J240)</f>
        <v>5.5</v>
      </c>
      <c r="R16" s="2282">
        <f>IF('3.Cropland'!F240="",'3.Cropland'!E240,'3.Cropland'!F240)</f>
        <v>0</v>
      </c>
      <c r="S16" s="3047">
        <f>'3.Cropland'!P260</f>
        <v>0</v>
      </c>
      <c r="T16" s="215">
        <f t="shared" si="0"/>
        <v>0</v>
      </c>
      <c r="U16" s="1211">
        <f t="shared" si="1"/>
        <v>0</v>
      </c>
      <c r="V16" s="1915">
        <f>'3.Cropland'!S84</f>
        <v>0</v>
      </c>
      <c r="AE16" s="1964">
        <f>(MIN(C35,D35)*time_tot+ABS(D35-C35)*IF(D35&gt;C35,time2+time*(VLOOKUP(E35,List!$E$35:$F$37,2,)),time*(1-(VLOOKUP(E35,List!$E$35:$F$37,2,)))))*IF($L14="straw Burnt",$Q14*$W$14*($X$14*methane)/1000,0)</f>
        <v>0</v>
      </c>
      <c r="AF16" s="1964">
        <f>(MIN(C35,F35)*time_tot+ABS(F35-C35)*IF(F35&gt;C35,time2+time*(VLOOKUP(G35,List!$E$35:$F$37,2,)),time*(1-(VLOOKUP(G35,List!$E$35:$F$37,2,)))))*IF($L14="straw Burnt",$Q14*$W$14*($X$14*methane)/1000,0)</f>
        <v>0</v>
      </c>
      <c r="AG16" s="1964">
        <f>(MIN(C35,D35)*time_tot+ABS(D35-C35)*IF(D35&gt;C35,time2+time*(VLOOKUP(E35,List!$E$35:$F$37,2,)),time*(1-(VLOOKUP(E35,List!$E$35:$F$37,2,)))))*IF($L14="straw Burnt",$Q14*$W$14*($Y$14*Nitrous)/1000,0)</f>
        <v>0</v>
      </c>
      <c r="AH16" s="1964">
        <f>(MIN(C35,F35)*time_tot+ABS(F35-C35)*IF(F35&gt;C35,time2+time*(VLOOKUP(G35,List!$E$35:$F$37,2,)),time*(1-(VLOOKUP(G35,List!$E$35:$F$37,2,)))))*IF($L14="straw Burnt",$Q14*$W$14*($Y$14*Nitrous)/1000,0)</f>
        <v>0</v>
      </c>
      <c r="AI16" s="1964">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64">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70">
        <f>(MIN(C35,D35)*time+ABS(D35-C35)*IF(D35&gt;C35,time*(VLOOKUP(E35,List!$E$35:$F$37,2,)),time*(1-(VLOOKUP(E35,List!$E$35:$F$37,2,)))))*$T14*methane/1000</f>
        <v>0</v>
      </c>
      <c r="AL16" s="2470">
        <f>(MIN(C35,F35)*time+ABS(F35-C35)*IF(F35&gt;C35,time*(VLOOKUP(G35,List!$E$35:$F$37,2,)),time*(1-(VLOOKUP(G35,List!$E$35:$F$37,2,)))))*$T14*methane/1000</f>
        <v>0</v>
      </c>
      <c r="AM16" s="1964">
        <f>(MIN(C35,D35)*time+ABS(D35-C35)*IF(D35&gt;C35,time*(VLOOKUP(E35,List!$E$35:$F$37,2,)),time*(1-(VLOOKUP(E35,List!$E$35:$F$37,2,)))))*IF($L14="straw Burnt",$Q14*$W$14*($X$14*methane)/1000,0)</f>
        <v>0</v>
      </c>
      <c r="AN16" s="1964">
        <f>(MIN(C35,F35)*time+ABS(F35-C35)*IF(F35&gt;C35,time*(VLOOKUP(G35,List!$E$35:$F$37,2,)),time*(1-(VLOOKUP(G35,List!$E$35:$F$37,2,)))))*IF($L14="straw Burnt",$Q14*$W$14*($X$14*methane)/1000,0)</f>
        <v>0</v>
      </c>
      <c r="AO16" s="1964">
        <f>(MIN(C35,D35)*time+ABS(D35-C35)*IF(D35&gt;C35,time*(VLOOKUP(E35,List!$E$35:$F$37,2,)),time*(1-(VLOOKUP(E35,List!$E$35:$F$37,2,)))))*IF($L14="straw Burnt",$Q14*$W$14*($Y$14*Nitrous)/1000,0)</f>
        <v>0</v>
      </c>
      <c r="AP16" s="1964">
        <f>(MIN(C35,F35)*time+ABS(F35-C35)*IF(F35&gt;C35,time*(VLOOKUP(G35,List!$E$35:$F$37,2,)),time*(1-(VLOOKUP(G35,List!$E$35:$F$37,2,)))))*IF($L14="straw Burnt",$Q14*$W$14*($Y$14*Nitrous)/1000,0)</f>
        <v>0</v>
      </c>
      <c r="AQ16" s="1965" t="s">
        <v>337</v>
      </c>
      <c r="AR16" s="1965">
        <f>SUM(AF13:AF26)-SUM(AE13:AE26)+SUM(K32:K45)-SUM(J32:J45)</f>
        <v>0</v>
      </c>
      <c r="AS16" s="1965">
        <f>SUM(AN13:AN26)-SUM(AM13:AM26)+SUM(AL13:AL26)-SUM(AK13:AK26)</f>
        <v>0</v>
      </c>
      <c r="AT16" s="1965">
        <f>AR16-AS16</f>
        <v>0</v>
      </c>
    </row>
    <row r="17" spans="2:46" ht="13.8" thickBot="1">
      <c r="B17" s="113" t="s">
        <v>625</v>
      </c>
      <c r="C17" s="766"/>
      <c r="D17" s="1905">
        <f>'3.Cropland'!D85</f>
        <v>150</v>
      </c>
      <c r="E17" s="1908" t="str">
        <f>'3.Cropland'!E85</f>
        <v>Please select water regime</v>
      </c>
      <c r="F17" s="1910"/>
      <c r="G17" s="1910"/>
      <c r="H17" s="1908" t="str">
        <f>'3.Cropland'!H85</f>
        <v>Please select preseason water regime</v>
      </c>
      <c r="I17" s="1910"/>
      <c r="J17" s="1910"/>
      <c r="K17" s="1910"/>
      <c r="L17" s="1909" t="str">
        <f>'3.Cropland'!N85</f>
        <v>Please select type of Organic Amendment</v>
      </c>
      <c r="M17" s="1911"/>
      <c r="N17" s="1911"/>
      <c r="O17" s="1911"/>
      <c r="P17" s="1911"/>
      <c r="Q17" s="2276">
        <f>IF('3.Cropland'!J241="",'3.Cropland'!I241,'3.Cropland'!J241)</f>
        <v>5.5</v>
      </c>
      <c r="R17" s="2282">
        <f>IF('3.Cropland'!F241="",'3.Cropland'!E241,'3.Cropland'!F241)</f>
        <v>0</v>
      </c>
      <c r="S17" s="3047">
        <f>'3.Cropland'!P261</f>
        <v>0</v>
      </c>
      <c r="T17" s="215">
        <f>$D17*S17</f>
        <v>0</v>
      </c>
      <c r="U17" s="1211">
        <f t="shared" si="1"/>
        <v>0</v>
      </c>
      <c r="V17" s="1915">
        <f>'3.Cropland'!S85</f>
        <v>0</v>
      </c>
      <c r="AE17" s="1964">
        <f>(MIN(C36,D36)*time_tot+ABS(D36-C36)*IF(D36&gt;C36,time2+time*(VLOOKUP(E36,List!$E$35:$F$37,2,)),time*(1-(VLOOKUP(E36,List!$E$35:$F$37,2,)))))*IF($L15="straw Burnt",$Q15*$W$14*($X$14*methane)/1000,0)</f>
        <v>0</v>
      </c>
      <c r="AF17" s="1964">
        <f>(MIN(C36,F36)*time_tot+ABS(F36-C36)*IF(F36&gt;C36,time2+time*(VLOOKUP(G36,List!$E$35:$F$37,2,)),time*(1-(VLOOKUP(G36,List!$E$35:$F$37,2,)))))*IF($L15="straw Burnt",$Q15*$W$14*($X$14*methane)/1000,0)</f>
        <v>0</v>
      </c>
      <c r="AG17" s="1964">
        <f>(MIN(C36,D36)*time_tot+ABS(D36-C36)*IF(D36&gt;C36,time2+time*(VLOOKUP(E36,List!$E$35:$F$37,2,)),time*(1-(VLOOKUP(E36,List!$E$35:$F$37,2,)))))*IF($L15="straw Burnt",$Q15*$W$14*($Y$14*Nitrous)/1000,0)</f>
        <v>0</v>
      </c>
      <c r="AH17" s="1964">
        <f>(MIN(C36,F36)*time_tot+ABS(F36-C36)*IF(F36&gt;C36,time2+time*(VLOOKUP(G36,List!$E$35:$F$37,2,)),time*(1-(VLOOKUP(G36,List!$E$35:$F$37,2,)))))*IF($L15="straw Burnt",$Q15*$W$14*($Y$14*Nitrous)/1000,0)</f>
        <v>0</v>
      </c>
      <c r="AI17" s="1964">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64">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70">
        <f>(MIN(C36,D36)*time+ABS(D36-C36)*IF(D36&gt;C36,time*(VLOOKUP(E36,List!$E$35:$F$37,2,)),time*(1-(VLOOKUP(E36,List!$E$35:$F$37,2,)))))*$T15*methane/1000</f>
        <v>0</v>
      </c>
      <c r="AL17" s="2470">
        <f>(MIN(C36,F36)*time+ABS(F36-C36)*IF(F36&gt;C36,time*(VLOOKUP(G36,List!$E$35:$F$37,2,)),time*(1-(VLOOKUP(G36,List!$E$35:$F$37,2,)))))*$T15*methane/1000</f>
        <v>0</v>
      </c>
      <c r="AM17" s="1964">
        <f>(MIN(C36,D36)*time+ABS(D36-C36)*IF(D36&gt;C36,time*(VLOOKUP(E36,List!$E$35:$F$37,2,)),time*(1-(VLOOKUP(E36,List!$E$35:$F$37,2,)))))*IF($L15="straw Burnt",$Q15*$W$14*($X$14*methane)/1000,0)</f>
        <v>0</v>
      </c>
      <c r="AN17" s="1964">
        <f>(MIN(C36,F36)*time+ABS(F36-C36)*IF(F36&gt;C36,time*(VLOOKUP(G36,List!$E$35:$F$37,2,)),time*(1-(VLOOKUP(G36,List!$E$35:$F$37,2,)))))*IF($L15="straw Burnt",$Q15*$W$14*($X$14*methane)/1000,0)</f>
        <v>0</v>
      </c>
      <c r="AO17" s="1964">
        <f>(MIN(C36,D36)*time+ABS(D36-C36)*IF(D36&gt;C36,time*(VLOOKUP(E36,List!$E$35:$F$37,2,)),time*(1-(VLOOKUP(E36,List!$E$35:$F$37,2,)))))*IF($L15="straw Burnt",$Q15*$W$14*($Y$14*Nitrous)/1000,0)</f>
        <v>0</v>
      </c>
      <c r="AP17" s="1964">
        <f>(MIN(C36,F36)*time+ABS(F36-C36)*IF(F36&gt;C36,time*(VLOOKUP(G36,List!$E$35:$F$37,2,)),time*(1-(VLOOKUP(G36,List!$E$35:$F$37,2,)))))*IF($L15="straw Burnt",$Q15*$W$14*($Y$14*Nitrous)/1000,0)</f>
        <v>0</v>
      </c>
      <c r="AQ17" s="1965" t="s">
        <v>338</v>
      </c>
      <c r="AR17" s="1965">
        <f>SUM(AH13:AH26)-SUM(AG13:AG26)</f>
        <v>0</v>
      </c>
      <c r="AS17" s="1965">
        <f>SUM(AP13:AP26)-SUM(AO13:AO26)</f>
        <v>0</v>
      </c>
      <c r="AT17" s="1965">
        <f>AR17-AS17</f>
        <v>0</v>
      </c>
    </row>
    <row r="18" spans="2:46" ht="13.8" thickBot="1">
      <c r="B18" s="113" t="s">
        <v>626</v>
      </c>
      <c r="C18" s="766"/>
      <c r="D18" s="1905">
        <f>'3.Cropland'!D86</f>
        <v>150</v>
      </c>
      <c r="E18" s="1908" t="str">
        <f>'3.Cropland'!E86</f>
        <v>Please select water regime</v>
      </c>
      <c r="F18" s="1910"/>
      <c r="G18" s="1910"/>
      <c r="H18" s="1908" t="str">
        <f>'3.Cropland'!H86</f>
        <v>Please select preseason water regime</v>
      </c>
      <c r="I18" s="1910"/>
      <c r="J18" s="1910"/>
      <c r="K18" s="1910"/>
      <c r="L18" s="1909" t="str">
        <f>'3.Cropland'!N86</f>
        <v>Please select type of Organic Amendment</v>
      </c>
      <c r="M18" s="1911"/>
      <c r="N18" s="1911"/>
      <c r="O18" s="1911"/>
      <c r="P18" s="1911"/>
      <c r="Q18" s="2276">
        <f>IF('3.Cropland'!J242="",'3.Cropland'!I242,'3.Cropland'!J242)</f>
        <v>5.5</v>
      </c>
      <c r="R18" s="2282">
        <f>IF('3.Cropland'!F242="",'3.Cropland'!E242,'3.Cropland'!F242)</f>
        <v>0</v>
      </c>
      <c r="S18" s="3047">
        <f>'3.Cropland'!P262</f>
        <v>0</v>
      </c>
      <c r="T18" s="215">
        <f t="shared" si="0"/>
        <v>0</v>
      </c>
      <c r="U18" s="1211">
        <f t="shared" si="1"/>
        <v>0</v>
      </c>
      <c r="V18" s="1915">
        <f>'3.Cropland'!S86</f>
        <v>0</v>
      </c>
      <c r="AE18" s="1964">
        <f>(MIN(C37,D37)*time_tot+ABS(D37-C37)*IF(D37&gt;C37,time2+time*(VLOOKUP(E37,List!$E$35:$F$37,2,)),time*(1-(VLOOKUP(E37,List!$E$35:$F$37,2,)))))*IF($L16="straw Burnt",$Q16*$W$14*($X$14*methane)/1000,0)</f>
        <v>0</v>
      </c>
      <c r="AF18" s="1964">
        <f>(MIN(C37,F37)*time_tot+ABS(F37-C37)*IF(F37&gt;C37,time2+time*(VLOOKUP(G37,List!$E$35:$F$37,2,)),time*(1-(VLOOKUP(G37,List!$E$35:$F$37,2,)))))*IF($L16="straw Burnt",$Q16*$W$14*($X$14*methane)/1000,0)</f>
        <v>0</v>
      </c>
      <c r="AG18" s="1964">
        <f>(MIN(C37,D37)*time_tot+ABS(D37-C37)*IF(D37&gt;C37,time2+time*(VLOOKUP(E37,List!$E$35:$F$37,2,)),time*(1-(VLOOKUP(E37,List!$E$35:$F$37,2,)))))*IF($L16="straw Burnt",$Q16*$W$14*($Y$14*Nitrous)/1000,0)</f>
        <v>0</v>
      </c>
      <c r="AH18" s="1964">
        <f>(MIN(C37,F37)*time_tot+ABS(F37-C37)*IF(F37&gt;C37,time2+time*(VLOOKUP(G37,List!$E$35:$F$37,2,)),time*(1-(VLOOKUP(G37,List!$E$35:$F$37,2,)))))*IF($L16="straw Burnt",$Q16*$W$14*($Y$14*Nitrous)/1000,0)</f>
        <v>0</v>
      </c>
      <c r="AI18" s="1964">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64">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70">
        <f>(MIN(C37,D37)*time+ABS(D37-C37)*IF(D37&gt;C37,time*(VLOOKUP(E37,List!$E$35:$F$37,2,)),time*(1-(VLOOKUP(E37,List!$E$35:$F$37,2,)))))*$T16*methane/1000</f>
        <v>0</v>
      </c>
      <c r="AL18" s="2470">
        <f>(MIN(C37,F37)*time+ABS(F37-C37)*IF(F37&gt;C37,time*(VLOOKUP(G37,List!$E$35:$F$37,2,)),time*(1-(VLOOKUP(G37,List!$E$35:$F$37,2,)))))*$T16*methane/1000</f>
        <v>0</v>
      </c>
      <c r="AM18" s="1964">
        <f>(MIN(C37,D37)*time+ABS(D37-C37)*IF(D37&gt;C37,time*(VLOOKUP(E37,List!$E$35:$F$37,2,)),time*(1-(VLOOKUP(E37,List!$E$35:$F$37,2,)))))*IF($L16="straw Burnt",$Q16*$W$14*($X$14*methane)/1000,0)</f>
        <v>0</v>
      </c>
      <c r="AN18" s="1964">
        <f>(MIN(C37,F37)*time+ABS(F37-C37)*IF(F37&gt;C37,time*(VLOOKUP(G37,List!$E$35:$F$37,2,)),time*(1-(VLOOKUP(G37,List!$E$35:$F$37,2,)))))*IF($L16="straw Burnt",$Q16*$W$14*($X$14*methane)/1000,0)</f>
        <v>0</v>
      </c>
      <c r="AO18" s="1964">
        <f>(MIN(C37,D37)*time+ABS(D37-C37)*IF(D37&gt;C37,time*(VLOOKUP(E37,List!$E$35:$F$37,2,)),time*(1-(VLOOKUP(E37,List!$E$35:$F$37,2,)))))*IF($L16="straw Burnt",$Q16*$W$14*($Y$14*Nitrous)/1000,0)</f>
        <v>0</v>
      </c>
      <c r="AP18" s="1964">
        <f>(MIN(C37,F37)*time+ABS(F37-C37)*IF(F37&gt;C37,time*(VLOOKUP(G37,List!$E$35:$F$37,2,)),time*(1-(VLOOKUP(G37,List!$E$35:$F$37,2,)))))*IF($L16="straw Burnt",$Q16*$W$14*($Y$14*Nitrous)/1000,0)</f>
        <v>0</v>
      </c>
      <c r="AQ18" s="1965"/>
      <c r="AR18" s="1965">
        <f>SUM(AR14:AR17)</f>
        <v>0</v>
      </c>
      <c r="AS18" s="1965">
        <f>SUM(AS14:AS17)</f>
        <v>0</v>
      </c>
      <c r="AT18" s="1965">
        <f>SUM(AT14:AT17)</f>
        <v>0</v>
      </c>
    </row>
    <row r="19" spans="2:46" ht="13.8" thickBot="1">
      <c r="B19" s="113" t="s">
        <v>627</v>
      </c>
      <c r="C19" s="766"/>
      <c r="D19" s="1905">
        <f>'3.Cropland'!D87</f>
        <v>150</v>
      </c>
      <c r="E19" s="1908" t="str">
        <f>'3.Cropland'!E87</f>
        <v>Please select water regime</v>
      </c>
      <c r="F19" s="1910"/>
      <c r="G19" s="1910"/>
      <c r="H19" s="1908" t="str">
        <f>'3.Cropland'!H87</f>
        <v>Please select preseason water regime</v>
      </c>
      <c r="I19" s="1910"/>
      <c r="J19" s="1910"/>
      <c r="K19" s="1910"/>
      <c r="L19" s="1909" t="str">
        <f>'3.Cropland'!N87</f>
        <v>Please select type of Organic Amendment</v>
      </c>
      <c r="M19" s="1911"/>
      <c r="N19" s="1911"/>
      <c r="O19" s="1911"/>
      <c r="P19" s="1911"/>
      <c r="Q19" s="2276">
        <f>IF('3.Cropland'!J243="",'3.Cropland'!I243,'3.Cropland'!J243)</f>
        <v>5.5</v>
      </c>
      <c r="R19" s="2282">
        <f>IF('3.Cropland'!F243="",'3.Cropland'!E243,'3.Cropland'!F243)</f>
        <v>0</v>
      </c>
      <c r="S19" s="3047">
        <f>'3.Cropland'!P263</f>
        <v>0</v>
      </c>
      <c r="T19" s="215">
        <f t="shared" si="0"/>
        <v>0</v>
      </c>
      <c r="U19" s="1211">
        <f t="shared" si="1"/>
        <v>0</v>
      </c>
      <c r="V19" s="1915">
        <f>'3.Cropland'!S87</f>
        <v>0</v>
      </c>
      <c r="AE19" s="1964">
        <f>(MIN(C38,D38)*time_tot+ABS(D38-C38)*IF(D38&gt;C38,time2+time*(VLOOKUP(E38,List!$E$35:$F$37,2,)),time*(1-(VLOOKUP(E38,List!$E$35:$F$37,2,)))))*IF($L17="straw Burnt",$Q17*$W$14*($X$14*methane)/1000,0)</f>
        <v>0</v>
      </c>
      <c r="AF19" s="1964">
        <f>(MIN(C38,F38)*time_tot+ABS(F38-C38)*IF(F38&gt;C38,time2+time*(VLOOKUP(G38,List!$E$35:$F$37,2,)),time*(1-(VLOOKUP(G38,List!$E$35:$F$37,2,)))))*IF($L17="straw Burnt",$Q17*$W$14*($X$14*methane)/1000,0)</f>
        <v>0</v>
      </c>
      <c r="AG19" s="1964">
        <f>(MIN(C38,D38)*time_tot+ABS(D38-C38)*IF(D38&gt;C38,time2+time*(VLOOKUP(E38,List!$E$35:$F$37,2,)),time*(1-(VLOOKUP(E38,List!$E$35:$F$37,2,)))))*IF($L17="straw Burnt",$Q17*$W$14*($Y$14*Nitrous)/1000,0)</f>
        <v>0</v>
      </c>
      <c r="AH19" s="1964">
        <f>(MIN(C38,F38)*time_tot+ABS(F38-C38)*IF(F38&gt;C38,time2+time*(VLOOKUP(G38,List!$E$35:$F$37,2,)),time*(1-(VLOOKUP(G38,List!$E$35:$F$37,2,)))))*IF($L17="straw Burnt",$Q17*$W$14*($Y$14*Nitrous)/1000,0)</f>
        <v>0</v>
      </c>
      <c r="AI19" s="1964">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64">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70">
        <f>(MIN(C38,D38)*time+ABS(D38-C38)*IF(D38&gt;C38,time*(VLOOKUP(E38,List!$E$35:$F$37,2,)),time*(1-(VLOOKUP(E38,List!$E$35:$F$37,2,)))))*$T17*methane/1000</f>
        <v>0</v>
      </c>
      <c r="AL19" s="2470">
        <f>(MIN(C38,F38)*time+ABS(F38-C38)*IF(F38&gt;C38,time*(VLOOKUP(G38,List!$E$35:$F$37,2,)),time*(1-(VLOOKUP(G38,List!$E$35:$F$37,2,)))))*$T17*methane/1000</f>
        <v>0</v>
      </c>
      <c r="AM19" s="1964">
        <f>(MIN(C38,D38)*time+ABS(D38-C38)*IF(D38&gt;C38,time*(VLOOKUP(E38,List!$E$35:$F$37,2,)),time*(1-(VLOOKUP(E38,List!$E$35:$F$37,2,)))))*IF($L17="straw Burnt",$Q17*$W$14*($X$14*methane)/1000,0)</f>
        <v>0</v>
      </c>
      <c r="AN19" s="1964">
        <f>(MIN(C38,F38)*time+ABS(F38-C38)*IF(F38&gt;C38,time*(VLOOKUP(G38,List!$E$35:$F$37,2,)),time*(1-(VLOOKUP(G38,List!$E$35:$F$37,2,)))))*IF($L17="straw Burnt",$Q17*$W$14*($X$14*methane)/1000,0)</f>
        <v>0</v>
      </c>
      <c r="AO19" s="1964">
        <f>(MIN(C38,D38)*time+ABS(D38-C38)*IF(D38&gt;C38,time*(VLOOKUP(E38,List!$E$35:$F$37,2,)),time*(1-(VLOOKUP(E38,List!$E$35:$F$37,2,)))))*IF($L17="straw Burnt",$Q17*$W$14*($Y$14*Nitrous)/1000,0)</f>
        <v>0</v>
      </c>
      <c r="AP19" s="1964">
        <f>(MIN(C38,F38)*time+ABS(F38-C38)*IF(F38&gt;C38,time*(VLOOKUP(G38,List!$E$35:$F$37,2,)),time*(1-(VLOOKUP(G38,List!$E$35:$F$37,2,)))))*IF($L17="straw Burnt",$Q17*$W$14*($Y$14*Nitrous)/1000,0)</f>
        <v>0</v>
      </c>
    </row>
    <row r="20" spans="2:46" ht="13.8" thickBot="1">
      <c r="B20" s="113" t="s">
        <v>628</v>
      </c>
      <c r="C20" s="766"/>
      <c r="D20" s="1905">
        <f>'3.Cropland'!D88</f>
        <v>150</v>
      </c>
      <c r="E20" s="1908" t="str">
        <f>'3.Cropland'!E88</f>
        <v>Please select water regime</v>
      </c>
      <c r="F20" s="1910"/>
      <c r="G20" s="1910"/>
      <c r="H20" s="1908" t="str">
        <f>'3.Cropland'!H88</f>
        <v>Please select preseason water regime</v>
      </c>
      <c r="I20" s="1910"/>
      <c r="J20" s="1910"/>
      <c r="K20" s="1910"/>
      <c r="L20" s="1909" t="str">
        <f>'3.Cropland'!N88</f>
        <v>Please select type of Organic Amendment</v>
      </c>
      <c r="M20" s="1911"/>
      <c r="N20" s="1911"/>
      <c r="O20" s="1911"/>
      <c r="P20" s="1911"/>
      <c r="Q20" s="2276">
        <f>IF('3.Cropland'!J244="",'3.Cropland'!I244,'3.Cropland'!J244)</f>
        <v>5.5</v>
      </c>
      <c r="R20" s="2282">
        <f>IF('3.Cropland'!F244="",'3.Cropland'!E244,'3.Cropland'!F244)</f>
        <v>0</v>
      </c>
      <c r="S20" s="3047">
        <f>'3.Cropland'!P264</f>
        <v>0</v>
      </c>
      <c r="T20" s="215">
        <f t="shared" si="0"/>
        <v>0</v>
      </c>
      <c r="U20" s="1211">
        <f t="shared" si="1"/>
        <v>0</v>
      </c>
      <c r="V20" s="1915">
        <f>'3.Cropland'!S88</f>
        <v>0</v>
      </c>
      <c r="AE20" s="1964">
        <f>(MIN(C39,D39)*time_tot+ABS(D39-C39)*IF(D39&gt;C39,time2+time*(VLOOKUP(E39,List!$E$35:$F$37,2,)),time*(1-(VLOOKUP(E39,List!$E$35:$F$37,2,)))))*IF($L18="straw Burnt",$Q18*$W$14*($X$14*methane)/1000,0)</f>
        <v>0</v>
      </c>
      <c r="AF20" s="1964">
        <f>(MIN(C39,F39)*time_tot+ABS(F39-C39)*IF(F39&gt;C39,time2+time*(VLOOKUP(G39,List!$E$35:$F$37,2,)),time*(1-(VLOOKUP(G39,List!$E$35:$F$37,2,)))))*IF($L18="straw Burnt",$Q18*$W$14*($X$14*methane)/1000,0)</f>
        <v>0</v>
      </c>
      <c r="AG20" s="1964">
        <f>(MIN(C39,D39)*time_tot+ABS(D39-C39)*IF(D39&gt;C39,time2+time*(VLOOKUP(E39,List!$E$35:$F$37,2,)),time*(1-(VLOOKUP(E39,List!$E$35:$F$37,2,)))))*IF($L18="straw Burnt",$Q18*$W$14*($Y$14*Nitrous)/1000,0)</f>
        <v>0</v>
      </c>
      <c r="AH20" s="1964">
        <f>(MIN(C39,F39)*time_tot+ABS(F39-C39)*IF(F39&gt;C39,time2+time*(VLOOKUP(G39,List!$E$35:$F$37,2,)),time*(1-(VLOOKUP(G39,List!$E$35:$F$37,2,)))))*IF($L18="straw Burnt",$Q18*$W$14*($Y$14*Nitrous)/1000,0)</f>
        <v>0</v>
      </c>
      <c r="AI20" s="1964">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64">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70">
        <f>(MIN(C39,D39)*time+ABS(D39-C39)*IF(D39&gt;C39,time*(VLOOKUP(E39,List!$E$35:$F$37,2,)),time*(1-(VLOOKUP(E39,List!$E$35:$F$37,2,)))))*$T18*methane/1000</f>
        <v>0</v>
      </c>
      <c r="AL20" s="2470">
        <f>(MIN(C39,F39)*time+ABS(F39-C39)*IF(F39&gt;C39,time*(VLOOKUP(G39,List!$E$35:$F$37,2,)),time*(1-(VLOOKUP(G39,List!$E$35:$F$37,2,)))))*$T18*methane/1000</f>
        <v>0</v>
      </c>
      <c r="AM20" s="1964">
        <f>(MIN(C39,D39)*time+ABS(D39-C39)*IF(D39&gt;C39,time*(VLOOKUP(E39,List!$E$35:$F$37,2,)),time*(1-(VLOOKUP(E39,List!$E$35:$F$37,2,)))))*IF($L18="straw Burnt",$Q18*$W$14*($X$14*methane)/1000,0)</f>
        <v>0</v>
      </c>
      <c r="AN20" s="1964">
        <f>(MIN(C39,F39)*time+ABS(F39-C39)*IF(F39&gt;C39,time*(VLOOKUP(G39,List!$E$35:$F$37,2,)),time*(1-(VLOOKUP(G39,List!$E$35:$F$37,2,)))))*IF($L18="straw Burnt",$Q18*$W$14*($X$14*methane)/1000,0)</f>
        <v>0</v>
      </c>
      <c r="AO20" s="1964">
        <f>(MIN(C39,D39)*time+ABS(D39-C39)*IF(D39&gt;C39,time*(VLOOKUP(E39,List!$E$35:$F$37,2,)),time*(1-(VLOOKUP(E39,List!$E$35:$F$37,2,)))))*IF($L18="straw Burnt",$Q18*$W$14*($Y$14*Nitrous)/1000,0)</f>
        <v>0</v>
      </c>
      <c r="AP20" s="1964">
        <f>(MIN(C39,F39)*time+ABS(F39-C39)*IF(F39&gt;C39,time*(VLOOKUP(G39,List!$E$35:$F$37,2,)),time*(1-(VLOOKUP(G39,List!$E$35:$F$37,2,)))))*IF($L18="straw Burnt",$Q18*$W$14*($Y$14*Nitrous)/1000,0)</f>
        <v>0</v>
      </c>
    </row>
    <row r="21" spans="2:46" ht="13.8" thickBot="1">
      <c r="B21" s="113" t="s">
        <v>652</v>
      </c>
      <c r="C21" s="766"/>
      <c r="D21" s="1905">
        <f>'3.Cropland'!D89</f>
        <v>150</v>
      </c>
      <c r="E21" s="1908" t="str">
        <f>'3.Cropland'!E89</f>
        <v>Please select water regime</v>
      </c>
      <c r="F21" s="1910"/>
      <c r="G21" s="1910"/>
      <c r="H21" s="1908" t="str">
        <f>'3.Cropland'!H89</f>
        <v>Please select preseason water regime</v>
      </c>
      <c r="I21" s="1910"/>
      <c r="J21" s="1910"/>
      <c r="K21" s="1910"/>
      <c r="L21" s="1909" t="str">
        <f>'3.Cropland'!N89</f>
        <v>Please select type of Organic Amendment</v>
      </c>
      <c r="M21" s="1911"/>
      <c r="N21" s="1911"/>
      <c r="O21" s="1911"/>
      <c r="P21" s="1911"/>
      <c r="Q21" s="2276">
        <f>IF('3.Cropland'!J245="",'3.Cropland'!I245,'3.Cropland'!J245)</f>
        <v>5.5</v>
      </c>
      <c r="R21" s="2282">
        <f>IF('3.Cropland'!F245="",'3.Cropland'!E245,'3.Cropland'!F245)</f>
        <v>0</v>
      </c>
      <c r="S21" s="3047">
        <f>'3.Cropland'!P265</f>
        <v>0</v>
      </c>
      <c r="T21" s="215">
        <f t="shared" si="0"/>
        <v>0</v>
      </c>
      <c r="U21" s="1211">
        <f t="shared" si="1"/>
        <v>0</v>
      </c>
      <c r="V21" s="1915">
        <f>'3.Cropland'!S89</f>
        <v>0</v>
      </c>
      <c r="AE21" s="1964">
        <f>(MIN(C40,D40)*time_tot+ABS(D40-C40)*IF(D40&gt;C40,time2+time*(VLOOKUP(E40,List!$E$35:$F$37,2,)),time*(1-(VLOOKUP(E40,List!$E$35:$F$37,2,)))))*IF($L19="straw Burnt",$Q19*$W$14*($X$14*methane)/1000,0)</f>
        <v>0</v>
      </c>
      <c r="AF21" s="1964">
        <f>(MIN(C40,F40)*time_tot+ABS(F40-C40)*IF(F40&gt;C40,time2+time*(VLOOKUP(G40,List!$E$35:$F$37,2,)),time*(1-(VLOOKUP(G40,List!$E$35:$F$37,2,)))))*IF($L19="straw Burnt",$Q19*$W$14*($X$14*methane)/1000,0)</f>
        <v>0</v>
      </c>
      <c r="AG21" s="1964">
        <f>(MIN(C40,D40)*time_tot+ABS(D40-C40)*IF(D40&gt;C40,time2+time*(VLOOKUP(E40,List!$E$35:$F$37,2,)),time*(1-(VLOOKUP(E40,List!$E$35:$F$37,2,)))))*IF($L19="straw Burnt",$Q19*$W$14*($Y$14*Nitrous)/1000,0)</f>
        <v>0</v>
      </c>
      <c r="AH21" s="1964">
        <f>(MIN(C40,F40)*time_tot+ABS(F40-C40)*IF(F40&gt;C40,time2+time*(VLOOKUP(G40,List!$E$35:$F$37,2,)),time*(1-(VLOOKUP(G40,List!$E$35:$F$37,2,)))))*IF($L19="straw Burnt",$Q19*$W$14*($Y$14*Nitrous)/1000,0)</f>
        <v>0</v>
      </c>
      <c r="AI21" s="1964">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64">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70">
        <f>(MIN(C40,D40)*time+ABS(D40-C40)*IF(D40&gt;C40,time*(VLOOKUP(E40,List!$E$35:$F$37,2,)),time*(1-(VLOOKUP(E40,List!$E$35:$F$37,2,)))))*$T19*methane/1000</f>
        <v>0</v>
      </c>
      <c r="AL21" s="2470">
        <f>(MIN(C40,F40)*time+ABS(F40-C40)*IF(F40&gt;C40,time*(VLOOKUP(G40,List!$E$35:$F$37,2,)),time*(1-(VLOOKUP(G40,List!$E$35:$F$37,2,)))))*$T19*methane/1000</f>
        <v>0</v>
      </c>
      <c r="AM21" s="1964">
        <f>(MIN(C40,D40)*time+ABS(D40-C40)*IF(D40&gt;C40,time*(VLOOKUP(E40,List!$E$35:$F$37,2,)),time*(1-(VLOOKUP(E40,List!$E$35:$F$37,2,)))))*IF($L19="straw Burnt",$Q19*$W$14*($X$14*methane)/1000,0)</f>
        <v>0</v>
      </c>
      <c r="AN21" s="1964">
        <f>(MIN(C40,F40)*time+ABS(F40-C40)*IF(F40&gt;C40,time*(VLOOKUP(G40,List!$E$35:$F$37,2,)),time*(1-(VLOOKUP(G40,List!$E$35:$F$37,2,)))))*IF($L19="straw Burnt",$Q19*$W$14*($X$14*methane)/1000,0)</f>
        <v>0</v>
      </c>
      <c r="AO21" s="1964">
        <f>(MIN(C40,D40)*time+ABS(D40-C40)*IF(D40&gt;C40,time*(VLOOKUP(E40,List!$E$35:$F$37,2,)),time*(1-(VLOOKUP(E40,List!$E$35:$F$37,2,)))))*IF($L19="straw Burnt",$Q19*$W$14*($Y$14*Nitrous)/1000,0)</f>
        <v>0</v>
      </c>
      <c r="AP21" s="1964">
        <f>(MIN(C40,F40)*time+ABS(F40-C40)*IF(F40&gt;C40,time*(VLOOKUP(G40,List!$E$35:$F$37,2,)),time*(1-(VLOOKUP(G40,List!$E$35:$F$37,2,)))))*IF($L19="straw Burnt",$Q19*$W$14*($Y$14*Nitrous)/1000,0)</f>
        <v>0</v>
      </c>
      <c r="AQ21" s="1965" t="s">
        <v>25</v>
      </c>
      <c r="AR21" s="1965" t="s">
        <v>690</v>
      </c>
      <c r="AS21" s="1951" t="s">
        <v>691</v>
      </c>
    </row>
    <row r="22" spans="2:46" ht="13.8" thickBot="1">
      <c r="B22" s="113" t="s">
        <v>653</v>
      </c>
      <c r="C22" s="766"/>
      <c r="D22" s="1905">
        <f>'3.Cropland'!D90</f>
        <v>150</v>
      </c>
      <c r="E22" s="1908" t="str">
        <f>'3.Cropland'!E90</f>
        <v>Please select water regime</v>
      </c>
      <c r="F22" s="1910"/>
      <c r="G22" s="1910"/>
      <c r="H22" s="1908" t="str">
        <f>'3.Cropland'!H90</f>
        <v>Please select preseason water regime</v>
      </c>
      <c r="I22" s="1910"/>
      <c r="J22" s="1910"/>
      <c r="K22" s="1910"/>
      <c r="L22" s="1909" t="str">
        <f>'3.Cropland'!N90</f>
        <v>Please select type of Organic Amendment</v>
      </c>
      <c r="M22" s="1911"/>
      <c r="N22" s="1911"/>
      <c r="O22" s="1911"/>
      <c r="P22" s="1911"/>
      <c r="Q22" s="2276">
        <f>IF('3.Cropland'!J246="",'3.Cropland'!I246,'3.Cropland'!J246)</f>
        <v>5.5</v>
      </c>
      <c r="R22" s="2282">
        <f>IF('3.Cropland'!F246="",'3.Cropland'!E246,'3.Cropland'!F246)</f>
        <v>0</v>
      </c>
      <c r="S22" s="3047">
        <f>'3.Cropland'!P266</f>
        <v>0</v>
      </c>
      <c r="T22" s="215">
        <f t="shared" si="0"/>
        <v>0</v>
      </c>
      <c r="U22" s="1211">
        <f t="shared" si="1"/>
        <v>0</v>
      </c>
      <c r="V22" s="1915">
        <f>'3.Cropland'!S90</f>
        <v>0</v>
      </c>
      <c r="AE22" s="1964">
        <f>(MIN(C41,D41)*time_tot+ABS(D41-C41)*IF(D41&gt;C41,time2+time*(VLOOKUP(E41,List!$E$35:$F$37,2,)),time*(1-(VLOOKUP(E41,List!$E$35:$F$37,2,)))))*IF($L20="straw Burnt",$Q20*$W$14*($X$14*methane)/1000,0)</f>
        <v>0</v>
      </c>
      <c r="AF22" s="1964">
        <f>(MIN(C41,F41)*time_tot+ABS(F41-C41)*IF(F41&gt;C41,time2+time*(VLOOKUP(G41,List!$E$35:$F$37,2,)),time*(1-(VLOOKUP(G41,List!$E$35:$F$37,2,)))))*IF($L20="straw Burnt",$Q20*$W$14*($X$14*methane)/1000,0)</f>
        <v>0</v>
      </c>
      <c r="AG22" s="1964">
        <f>(MIN(C41,D41)*time_tot+ABS(D41-C41)*IF(D41&gt;C41,time2+time*(VLOOKUP(E41,List!$E$35:$F$37,2,)),time*(1-(VLOOKUP(E41,List!$E$35:$F$37,2,)))))*IF($L20="straw Burnt",$Q20*$W$14*($Y$14*Nitrous)/1000,0)</f>
        <v>0</v>
      </c>
      <c r="AH22" s="1964">
        <f>(MIN(C41,F41)*time_tot+ABS(F41-C41)*IF(F41&gt;C41,time2+time*(VLOOKUP(G41,List!$E$35:$F$37,2,)),time*(1-(VLOOKUP(G41,List!$E$35:$F$37,2,)))))*IF($L20="straw Burnt",$Q20*$W$14*($Y$14*Nitrous)/1000,0)</f>
        <v>0</v>
      </c>
      <c r="AI22" s="1964">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64">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70">
        <f>(MIN(C41,D41)*time+ABS(D41-C41)*IF(D41&gt;C41,time*(VLOOKUP(E41,List!$E$35:$F$37,2,)),time*(1-(VLOOKUP(E41,List!$E$35:$F$37,2,)))))*$T20*methane/1000</f>
        <v>0</v>
      </c>
      <c r="AL22" s="2470">
        <f>(MIN(C41,F41)*time+ABS(F41-C41)*IF(F41&gt;C41,time*(VLOOKUP(G41,List!$E$35:$F$37,2,)),time*(1-(VLOOKUP(G41,List!$E$35:$F$37,2,)))))*$T20*methane/1000</f>
        <v>0</v>
      </c>
      <c r="AM22" s="1964">
        <f>(MIN(C41,D41)*time+ABS(D41-C41)*IF(D41&gt;C41,time*(VLOOKUP(E41,List!$E$35:$F$37,2,)),time*(1-(VLOOKUP(E41,List!$E$35:$F$37,2,)))))*IF($L20="straw Burnt",$Q20*$W$14*($X$14*methane)/1000,0)</f>
        <v>0</v>
      </c>
      <c r="AN22" s="1964">
        <f>(MIN(C41,F41)*time+ABS(F41-C41)*IF(F41&gt;C41,time*(VLOOKUP(G41,List!$E$35:$F$37,2,)),time*(1-(VLOOKUP(G41,List!$E$35:$F$37,2,)))))*IF($L20="straw Burnt",$Q20*$W$14*($X$14*methane)/1000,0)</f>
        <v>0</v>
      </c>
      <c r="AO22" s="1964">
        <f>(MIN(C41,D41)*time+ABS(D41-C41)*IF(D41&gt;C41,time*(VLOOKUP(E41,List!$E$35:$F$37,2,)),time*(1-(VLOOKUP(E41,List!$E$35:$F$37,2,)))))*IF($L20="straw Burnt",$Q20*$W$14*($Y$14*Nitrous)/1000,0)</f>
        <v>0</v>
      </c>
      <c r="AP22" s="1964">
        <f>(MIN(C41,F41)*time+ABS(F41-C41)*IF(F41&gt;C41,time*(VLOOKUP(G41,List!$E$35:$F$37,2,)),time*(1-(VLOOKUP(G41,List!$E$35:$F$37,2,)))))*IF($L20="straw Burnt",$Q20*$W$14*($Y$14*Nitrous)/1000,0)</f>
        <v>0</v>
      </c>
      <c r="AQ22" s="1965" t="s">
        <v>26</v>
      </c>
      <c r="AR22" s="1951">
        <v>0</v>
      </c>
      <c r="AS22" s="1951">
        <v>0</v>
      </c>
    </row>
    <row r="23" spans="2:46" ht="13.8" thickBot="1">
      <c r="B23" s="113" t="s">
        <v>654</v>
      </c>
      <c r="C23" s="766"/>
      <c r="D23" s="1905">
        <f>'3.Cropland'!D91</f>
        <v>150</v>
      </c>
      <c r="E23" s="1908" t="str">
        <f>'3.Cropland'!E91</f>
        <v>Please select water regime</v>
      </c>
      <c r="F23" s="1910"/>
      <c r="G23" s="1910"/>
      <c r="H23" s="1908" t="str">
        <f>'3.Cropland'!H91</f>
        <v>Please select preseason water regime</v>
      </c>
      <c r="I23" s="1910"/>
      <c r="J23" s="1910"/>
      <c r="K23" s="1910"/>
      <c r="L23" s="1909" t="str">
        <f>'3.Cropland'!N91</f>
        <v>Please select type of Organic Amendment</v>
      </c>
      <c r="M23" s="1911"/>
      <c r="N23" s="1911"/>
      <c r="O23" s="1911"/>
      <c r="P23" s="1911"/>
      <c r="Q23" s="2276">
        <f>IF('3.Cropland'!J247="",'3.Cropland'!I247,'3.Cropland'!J247)</f>
        <v>5.5</v>
      </c>
      <c r="R23" s="2282">
        <f>IF('3.Cropland'!F247="",'3.Cropland'!E247,'3.Cropland'!F247)</f>
        <v>0</v>
      </c>
      <c r="S23" s="3047">
        <f>'3.Cropland'!P267</f>
        <v>0</v>
      </c>
      <c r="T23" s="215">
        <f t="shared" si="0"/>
        <v>0</v>
      </c>
      <c r="U23" s="1211">
        <f t="shared" si="1"/>
        <v>0</v>
      </c>
      <c r="V23" s="1915">
        <f>'3.Cropland'!S91</f>
        <v>0</v>
      </c>
      <c r="AE23" s="1964">
        <f>(MIN(C42,D42)*time_tot+ABS(D42-C42)*IF(D42&gt;C42,time2+time*(VLOOKUP(E42,List!$E$35:$F$37,2,)),time*(1-(VLOOKUP(E42,List!$E$35:$F$37,2,)))))*IF($L21="straw Burnt",$Q21*$W$14*($X$14*methane)/1000,0)</f>
        <v>0</v>
      </c>
      <c r="AF23" s="1964">
        <f>(MIN(C42,F42)*time_tot+ABS(F42-C42)*IF(F42&gt;C42,time2+time*(VLOOKUP(G42,List!$E$35:$F$37,2,)),time*(1-(VLOOKUP(G42,List!$E$35:$F$37,2,)))))*IF($L21="straw Burnt",$Q21*$W$14*($X$14*methane)/1000,0)</f>
        <v>0</v>
      </c>
      <c r="AG23" s="1964">
        <f>(MIN(C42,D42)*time_tot+ABS(D42-C42)*IF(D42&gt;C42,time2+time*(VLOOKUP(E42,List!$E$35:$F$37,2,)),time*(1-(VLOOKUP(E42,List!$E$35:$F$37,2,)))))*IF($L21="straw Burnt",$Q21*$W$14*($Y$14*Nitrous)/1000,0)</f>
        <v>0</v>
      </c>
      <c r="AH23" s="1964">
        <f>(MIN(C42,F42)*time_tot+ABS(F42-C42)*IF(F42&gt;C42,time2+time*(VLOOKUP(G42,List!$E$35:$F$37,2,)),time*(1-(VLOOKUP(G42,List!$E$35:$F$37,2,)))))*IF($L21="straw Burnt",$Q21*$W$14*($Y$14*Nitrous)/1000,0)</f>
        <v>0</v>
      </c>
      <c r="AI23" s="1964">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64">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70">
        <f>(MIN(C42,D42)*time+ABS(D42-C42)*IF(D42&gt;C42,time*(VLOOKUP(E42,List!$E$35:$F$37,2,)),time*(1-(VLOOKUP(E42,List!$E$35:$F$37,2,)))))*$T21*methane/1000</f>
        <v>0</v>
      </c>
      <c r="AL23" s="2470">
        <f>(MIN(C42,F42)*time+ABS(F42-C42)*IF(F42&gt;C42,time*(VLOOKUP(G42,List!$E$35:$F$37,2,)),time*(1-(VLOOKUP(G42,List!$E$35:$F$37,2,)))))*$T21*methane/1000</f>
        <v>0</v>
      </c>
      <c r="AM23" s="1964">
        <f>(MIN(C42,D42)*time+ABS(D42-C42)*IF(D42&gt;C42,time*(VLOOKUP(E42,List!$E$35:$F$37,2,)),time*(1-(VLOOKUP(E42,List!$E$35:$F$37,2,)))))*IF($L21="straw Burnt",$Q21*$W$14*($X$14*methane)/1000,0)</f>
        <v>0</v>
      </c>
      <c r="AN23" s="1964">
        <f>(MIN(C42,F42)*time+ABS(F42-C42)*IF(F42&gt;C42,time*(VLOOKUP(G42,List!$E$35:$F$37,2,)),time*(1-(VLOOKUP(G42,List!$E$35:$F$37,2,)))))*IF($L21="straw Burnt",$Q21*$W$14*($X$14*methane)/1000,0)</f>
        <v>0</v>
      </c>
      <c r="AO23" s="1964">
        <f>(MIN(C42,D42)*time+ABS(D42-C42)*IF(D42&gt;C42,time*(VLOOKUP(E42,List!$E$35:$F$37,2,)),time*(1-(VLOOKUP(E42,List!$E$35:$F$37,2,)))))*IF($L21="straw Burnt",$Q21*$W$14*($Y$14*Nitrous)/1000,0)</f>
        <v>0</v>
      </c>
      <c r="AP23" s="1964">
        <f>(MIN(C42,F42)*time+ABS(F42-C42)*IF(F42&gt;C42,time*(VLOOKUP(G42,List!$E$35:$F$37,2,)),time*(1-(VLOOKUP(G42,List!$E$35:$F$37,2,)))))*IF($L21="straw Burnt",$Q21*$W$14*($Y$14*Nitrous)/1000,0)</f>
        <v>0</v>
      </c>
      <c r="AQ23" s="1965" t="s">
        <v>27</v>
      </c>
      <c r="AR23" s="1965">
        <f>SUM(H32:H45)</f>
        <v>0</v>
      </c>
      <c r="AS23" s="1965">
        <f>SUM(I32:I45)</f>
        <v>0</v>
      </c>
    </row>
    <row r="24" spans="2:46" ht="13.8" thickBot="1">
      <c r="B24" s="114" t="s">
        <v>655</v>
      </c>
      <c r="C24" s="767"/>
      <c r="D24" s="1905">
        <f>'3.Cropland'!D92</f>
        <v>150</v>
      </c>
      <c r="E24" s="1908" t="str">
        <f>'3.Cropland'!E92</f>
        <v>Please select water regime</v>
      </c>
      <c r="F24" s="1912"/>
      <c r="G24" s="1912"/>
      <c r="H24" s="1908" t="str">
        <f>'3.Cropland'!H92</f>
        <v>Please select preseason water regime</v>
      </c>
      <c r="I24" s="1912"/>
      <c r="J24" s="1912"/>
      <c r="K24" s="1912"/>
      <c r="L24" s="1909" t="str">
        <f>'3.Cropland'!N92</f>
        <v>Please select type of Organic Amendment</v>
      </c>
      <c r="M24" s="1913"/>
      <c r="N24" s="1913"/>
      <c r="O24" s="1913"/>
      <c r="P24" s="1913"/>
      <c r="Q24" s="2276">
        <f>IF('3.Cropland'!J248="",'3.Cropland'!I248,'3.Cropland'!J248)</f>
        <v>5.5</v>
      </c>
      <c r="R24" s="2282">
        <f>IF('3.Cropland'!F248="",'3.Cropland'!E248,'3.Cropland'!F248)</f>
        <v>0</v>
      </c>
      <c r="S24" s="3047">
        <f>'3.Cropland'!P268</f>
        <v>0</v>
      </c>
      <c r="T24" s="1209">
        <f t="shared" si="0"/>
        <v>0</v>
      </c>
      <c r="U24" s="1210">
        <f t="shared" si="1"/>
        <v>0</v>
      </c>
      <c r="V24" s="1915">
        <f>'3.Cropland'!S92</f>
        <v>0</v>
      </c>
      <c r="AE24" s="1964">
        <f>(MIN(C43,D43)*time_tot+ABS(D43-C43)*IF(D43&gt;C43,time2+time*(VLOOKUP(E43,List!$E$35:$F$37,2,)),time*(1-(VLOOKUP(E43,List!$E$35:$F$37,2,)))))*IF($L22="straw Burnt",$Q22*$W$14*($X$14*methane)/1000,0)</f>
        <v>0</v>
      </c>
      <c r="AF24" s="1964">
        <f>(MIN(C43,F43)*time_tot+ABS(F43-C43)*IF(F43&gt;C43,time2+time*(VLOOKUP(G43,List!$E$35:$F$37,2,)),time*(1-(VLOOKUP(G43,List!$E$35:$F$37,2,)))))*IF($L22="straw Burnt",$Q22*$W$14*($X$14*methane)/1000,0)</f>
        <v>0</v>
      </c>
      <c r="AG24" s="1964">
        <f>(MIN(C43,D43)*time_tot+ABS(D43-C43)*IF(D43&gt;C43,time2+time*(VLOOKUP(E43,List!$E$35:$F$37,2,)),time*(1-(VLOOKUP(E43,List!$E$35:$F$37,2,)))))*IF($L22="straw Burnt",$Q22*$W$14*($Y$14*Nitrous)/1000,0)</f>
        <v>0</v>
      </c>
      <c r="AH24" s="1964">
        <f>(MIN(C43,F43)*time_tot+ABS(F43-C43)*IF(F43&gt;C43,time2+time*(VLOOKUP(G43,List!$E$35:$F$37,2,)),time*(1-(VLOOKUP(G43,List!$E$35:$F$37,2,)))))*IF($L22="straw Burnt",$Q22*$W$14*($Y$14*Nitrous)/1000,0)</f>
        <v>0</v>
      </c>
      <c r="AI24" s="1964">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64">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70">
        <f>(MIN(C43,D43)*time+ABS(D43-C43)*IF(D43&gt;C43,time*(VLOOKUP(E43,List!$E$35:$F$37,2,)),time*(1-(VLOOKUP(E43,List!$E$35:$F$37,2,)))))*$T22*methane/1000</f>
        <v>0</v>
      </c>
      <c r="AL24" s="2470">
        <f>(MIN(C43,F43)*time+ABS(F43-C43)*IF(F43&gt;C43,time*(VLOOKUP(G43,List!$E$35:$F$37,2,)),time*(1-(VLOOKUP(G43,List!$E$35:$F$37,2,)))))*$T22*methane/1000</f>
        <v>0</v>
      </c>
      <c r="AM24" s="1964">
        <f>(MIN(C43,D43)*time+ABS(D43-C43)*IF(D43&gt;C43,time*(VLOOKUP(E43,List!$E$35:$F$37,2,)),time*(1-(VLOOKUP(E43,List!$E$35:$F$37,2,)))))*IF($L22="straw Burnt",$Q22*$W$14*($X$14*methane)/1000,0)</f>
        <v>0</v>
      </c>
      <c r="AN24" s="1964">
        <f>(MIN(C43,F43)*time+ABS(F43-C43)*IF(F43&gt;C43,time*(VLOOKUP(G43,List!$E$35:$F$37,2,)),time*(1-(VLOOKUP(G43,List!$E$35:$F$37,2,)))))*IF($L22="straw Burnt",$Q22*$W$14*($X$14*methane)/1000,0)</f>
        <v>0</v>
      </c>
      <c r="AO24" s="1964">
        <f>(MIN(C43,D43)*time+ABS(D43-C43)*IF(D43&gt;C43,time*(VLOOKUP(E43,List!$E$35:$F$37,2,)),time*(1-(VLOOKUP(E43,List!$E$35:$F$37,2,)))))*IF($L22="straw Burnt",$Q22*$W$14*($Y$14*Nitrous)/1000,0)</f>
        <v>0</v>
      </c>
      <c r="AP24" s="1964">
        <f>(MIN(C43,F43)*time+ABS(F43-C43)*IF(F43&gt;C43,time*(VLOOKUP(G43,List!$E$35:$F$37,2,)),time*(1-(VLOOKUP(G43,List!$E$35:$F$37,2,)))))*IF($L22="straw Burnt",$Q22*$W$14*($Y$14*Nitrous)/1000,0)</f>
        <v>0</v>
      </c>
      <c r="AQ24" s="1965" t="s">
        <v>337</v>
      </c>
      <c r="AR24" s="1965">
        <f>SUM(AE13:AE26)+SUM(J32:J45)</f>
        <v>0</v>
      </c>
      <c r="AS24" s="1965">
        <f>SUM(AF13:AF26)+SUM(K32:K45)</f>
        <v>0</v>
      </c>
    </row>
    <row r="25" spans="2:46">
      <c r="B25" s="210" t="s">
        <v>656</v>
      </c>
      <c r="C25" s="210"/>
      <c r="D25" s="214"/>
      <c r="E25" s="214"/>
      <c r="F25" s="210"/>
      <c r="G25" s="210"/>
      <c r="H25" s="210"/>
      <c r="I25" s="210"/>
      <c r="J25" s="210"/>
      <c r="K25" s="210"/>
      <c r="L25" s="210"/>
      <c r="M25" s="210"/>
      <c r="R25" s="770" t="s">
        <v>899</v>
      </c>
      <c r="AE25" s="1964">
        <f>(MIN(C44,D44)*time_tot+ABS(D44-C44)*IF(D44&gt;C44,time2+time*(VLOOKUP(E44,List!$E$35:$F$37,2,)),time*(1-(VLOOKUP(E44,List!$E$35:$F$37,2,)))))*IF($L23="straw Burnt",$Q23*$W$14*($X$14*methane)/1000,0)</f>
        <v>0</v>
      </c>
      <c r="AF25" s="1964">
        <f>(MIN(C44,F44)*time_tot+ABS(F44-C44)*IF(F44&gt;C44,time2+time*(VLOOKUP(G44,List!$E$35:$F$37,2,)),time*(1-(VLOOKUP(G44,List!$E$35:$F$37,2,)))))*IF($L23="straw Burnt",$Q23*$W$14*($X$14*methane)/1000,0)</f>
        <v>0</v>
      </c>
      <c r="AG25" s="1964">
        <f>(MIN(C44,D44)*time_tot+ABS(D44-C44)*IF(D44&gt;C44,time2+time*(VLOOKUP(E44,List!$E$35:$F$37,2,)),time*(1-(VLOOKUP(E44,List!$E$35:$F$37,2,)))))*IF($L23="straw Burnt",$Q23*$W$14*($Y$14*Nitrous)/1000,0)</f>
        <v>0</v>
      </c>
      <c r="AH25" s="1964">
        <f>(MIN(C44,F44)*time_tot+ABS(F44-C44)*IF(F44&gt;C44,time2+time*(VLOOKUP(G44,List!$E$35:$F$37,2,)),time*(1-(VLOOKUP(G44,List!$E$35:$F$37,2,)))))*IF($L23="straw Burnt",$Q23*$W$14*($Y$14*Nitrous)/1000,0)</f>
        <v>0</v>
      </c>
      <c r="AI25" s="1964">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64">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70">
        <f>(MIN(C44,D44)*time+ABS(D44-C44)*IF(D44&gt;C44,time*(VLOOKUP(E44,List!$E$35:$F$37,2,)),time*(1-(VLOOKUP(E44,List!$E$35:$F$37,2,)))))*$T23*methane/1000</f>
        <v>0</v>
      </c>
      <c r="AL25" s="2470">
        <f>(MIN(C44,F44)*time+ABS(F44-C44)*IF(F44&gt;C44,time*(VLOOKUP(G44,List!$E$35:$F$37,2,)),time*(1-(VLOOKUP(G44,List!$E$35:$F$37,2,)))))*$T23*methane/1000</f>
        <v>0</v>
      </c>
      <c r="AM25" s="1964">
        <f>(MIN(C44,D44)*time+ABS(D44-C44)*IF(D44&gt;C44,time*(VLOOKUP(E44,List!$E$35:$F$37,2,)),time*(1-(VLOOKUP(E44,List!$E$35:$F$37,2,)))))*IF($L23="straw Burnt",$Q23*$W$14*($X$14*methane)/1000,0)</f>
        <v>0</v>
      </c>
      <c r="AN25" s="1964">
        <f>(MIN(C44,F44)*time+ABS(F44-C44)*IF(F44&gt;C44,time*(VLOOKUP(G44,List!$E$35:$F$37,2,)),time*(1-(VLOOKUP(G44,List!$E$35:$F$37,2,)))))*IF($L23="straw Burnt",$Q23*$W$14*($X$14*methane)/1000,0)</f>
        <v>0</v>
      </c>
      <c r="AO25" s="1964">
        <f>(MIN(C44,D44)*time+ABS(D44-C44)*IF(D44&gt;C44,time*(VLOOKUP(E44,List!$E$35:$F$37,2,)),time*(1-(VLOOKUP(E44,List!$E$35:$F$37,2,)))))*IF($L23="straw Burnt",$Q23*$W$14*($Y$14*Nitrous)/1000,0)</f>
        <v>0</v>
      </c>
      <c r="AP25" s="1964">
        <f>(MIN(C44,F44)*time+ABS(F44-C44)*IF(F44&gt;C44,time*(VLOOKUP(G44,List!$E$35:$F$37,2,)),time*(1-(VLOOKUP(G44,List!$E$35:$F$37,2,)))))*IF($L23="straw Burnt",$Q23*$W$14*($Y$14*Nitrous)/1000,0)</f>
        <v>0</v>
      </c>
      <c r="AQ25" s="1965" t="s">
        <v>338</v>
      </c>
      <c r="AR25" s="1965">
        <f>SUM(AG13:AG26)</f>
        <v>0</v>
      </c>
      <c r="AS25" s="1965">
        <f>SUM(AH13:AH26)</f>
        <v>0</v>
      </c>
    </row>
    <row r="26" spans="2:46">
      <c r="B26" s="210" t="s">
        <v>658</v>
      </c>
      <c r="C26" s="210"/>
      <c r="D26" s="214"/>
      <c r="E26" s="214"/>
      <c r="F26" s="210"/>
      <c r="G26" s="210"/>
      <c r="H26" s="210"/>
      <c r="I26" s="210"/>
      <c r="J26" s="210"/>
      <c r="K26" s="210"/>
      <c r="L26" s="210"/>
      <c r="M26" s="210"/>
      <c r="R26" s="572" t="s">
        <v>1288</v>
      </c>
      <c r="AE26" s="1964">
        <f>(MIN(C45,D45)*time_tot+ABS(D45-C45)*IF(D45&gt;C45,time2+time*(VLOOKUP(E45,List!$E$35:$F$37,2,)),time*(1-(VLOOKUP(E45,List!$E$35:$F$37,2,)))))*IF($L24="straw Burnt",$Q24*$W$14*($X$14*methane)/1000,0)</f>
        <v>0</v>
      </c>
      <c r="AF26" s="1964">
        <f>(MIN(C45,F45)*time_tot+ABS(F45-C45)*IF(F45&gt;C45,time2+time*(VLOOKUP(G45,List!$E$35:$F$37,2,)),time*(1-(VLOOKUP(G45,List!$E$35:$F$37,2,)))))*IF($L24="straw Burnt",$Q24*$W$14*($X$14*methane)/1000,0)</f>
        <v>0</v>
      </c>
      <c r="AG26" s="1964">
        <f>(MIN(C45,D45)*time_tot+ABS(D45-C45)*IF(D45&gt;C45,time2+time*(VLOOKUP(E45,List!$E$35:$F$37,2,)),time*(1-(VLOOKUP(E45,List!$E$35:$F$37,2,)))))*IF($L24="straw Burnt",$Q24*$W$14*($Y$14*Nitrous)/1000,0)</f>
        <v>0</v>
      </c>
      <c r="AH26" s="1964">
        <f>(MIN(C45,F45)*time_tot+ABS(F45-C45)*IF(F45&gt;C45,time2+time*(VLOOKUP(G45,List!$E$35:$F$37,2,)),time*(1-(VLOOKUP(G45,List!$E$35:$F$37,2,)))))*IF($L24="straw Burnt",$Q24*$W$14*($Y$14*Nitrous)/1000,0)</f>
        <v>0</v>
      </c>
      <c r="AI26" s="1964">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64">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70">
        <f>(MIN(C45,D45)*time+ABS(D45-C45)*IF(D45&gt;C45,time*(VLOOKUP(E45,List!$E$35:$F$37,2,)),time*(1-(VLOOKUP(E45,List!$E$35:$F$37,2,)))))*$T24*methane/1000</f>
        <v>0</v>
      </c>
      <c r="AL26" s="2470">
        <f>(MIN(C45,F45)*time+ABS(F45-C45)*IF(F45&gt;C45,time*(VLOOKUP(G45,List!$E$35:$F$37,2,)),time*(1-(VLOOKUP(G45,List!$E$35:$F$37,2,)))))*$T24*methane/1000</f>
        <v>0</v>
      </c>
      <c r="AM26" s="1964">
        <f>(MIN(C45,D45)*time+ABS(D45-C45)*IF(D45&gt;C45,time*(VLOOKUP(E45,List!$E$35:$F$37,2,)),time*(1-(VLOOKUP(E45,List!$E$35:$F$37,2,)))))*IF($L24="straw Burnt",$Q24*$W$14*($X$14*methane)/1000,0)</f>
        <v>0</v>
      </c>
      <c r="AN26" s="1964">
        <f>(MIN(C45,F45)*time+ABS(F45-C45)*IF(F45&gt;C45,time*(VLOOKUP(G45,List!$E$35:$F$37,2,)),time*(1-(VLOOKUP(G45,List!$E$35:$F$37,2,)))))*IF($L24="straw Burnt",$Q24*$W$14*($X$14*methane)/1000,0)</f>
        <v>0</v>
      </c>
      <c r="AO26" s="1964">
        <f>(MIN(C45,D45)*time+ABS(D45-C45)*IF(D45&gt;C45,time*(VLOOKUP(E45,List!$E$35:$F$37,2,)),time*(1-(VLOOKUP(E45,List!$E$35:$F$37,2,)))))*IF($L24="straw Burnt",$Q24*$W$14*($Y$14*Nitrous)/1000,0)</f>
        <v>0</v>
      </c>
      <c r="AP26" s="1964">
        <f>(MIN(C45,F45)*time+ABS(F45-C45)*IF(F45&gt;C45,time*(VLOOKUP(G45,List!$E$35:$F$37,2,)),time*(1-(VLOOKUP(G45,List!$E$35:$F$37,2,)))))*IF($L24="straw Burnt",$Q24*$W$14*($Y$14*Nitrous)/1000,0)</f>
        <v>0</v>
      </c>
      <c r="AQ26" s="1965"/>
      <c r="AR26" s="1965">
        <f>SUM(AR23:AR25)</f>
        <v>0</v>
      </c>
      <c r="AS26" s="1965">
        <f>SUM(AS23:AS25)</f>
        <v>0</v>
      </c>
    </row>
    <row r="27" spans="2:46">
      <c r="S27" s="1"/>
      <c r="T27" s="1"/>
      <c r="U27" s="9"/>
      <c r="V27" s="9"/>
      <c r="W27" s="55"/>
      <c r="AG27" s="2478"/>
      <c r="AJ27" s="1964"/>
      <c r="AL27" s="1965"/>
    </row>
    <row r="28" spans="2:46">
      <c r="B28" s="160" t="s">
        <v>669</v>
      </c>
      <c r="C28" s="161"/>
      <c r="D28" s="160"/>
      <c r="E28" s="160"/>
      <c r="F28" s="160"/>
      <c r="G28" s="160"/>
      <c r="H28" s="160" t="s">
        <v>103</v>
      </c>
      <c r="I28" s="160"/>
      <c r="J28" s="160"/>
      <c r="K28" s="160"/>
      <c r="L28" s="160"/>
      <c r="M28" s="160"/>
      <c r="N28" s="160"/>
      <c r="O28" s="160"/>
      <c r="P28" s="160"/>
      <c r="R28" s="2087" t="s">
        <v>1513</v>
      </c>
      <c r="S28" s="2083"/>
      <c r="T28" s="2089"/>
      <c r="U28" s="9"/>
      <c r="V28" s="9"/>
      <c r="W28" s="55"/>
      <c r="AF28" s="1952" t="s">
        <v>1601</v>
      </c>
      <c r="AG28" s="1952"/>
      <c r="AH28" s="1952"/>
      <c r="AI28" s="1952"/>
      <c r="AJ28" s="1952"/>
    </row>
    <row r="29" spans="2:46">
      <c r="B29" s="150" t="s">
        <v>668</v>
      </c>
      <c r="C29" s="150"/>
      <c r="D29" s="135"/>
      <c r="E29" s="135"/>
      <c r="F29" s="135"/>
      <c r="G29" s="135"/>
      <c r="H29" s="3166" t="s">
        <v>105</v>
      </c>
      <c r="I29" s="3087"/>
      <c r="J29" s="3086" t="s">
        <v>104</v>
      </c>
      <c r="K29" s="3087"/>
      <c r="L29" s="209" t="s">
        <v>709</v>
      </c>
      <c r="M29" s="282"/>
      <c r="N29" s="150" t="s">
        <v>531</v>
      </c>
      <c r="O29" s="217"/>
      <c r="P29" s="131" t="s">
        <v>348</v>
      </c>
      <c r="R29" s="2082" t="s">
        <v>1514</v>
      </c>
      <c r="S29" s="2079"/>
      <c r="T29" s="2085"/>
      <c r="U29" s="9"/>
      <c r="V29" s="9"/>
      <c r="W29" s="55"/>
      <c r="AF29" s="1952" t="s">
        <v>265</v>
      </c>
      <c r="AG29" s="1952"/>
      <c r="AH29" s="1952"/>
      <c r="AI29" s="1952"/>
      <c r="AJ29" s="1952"/>
    </row>
    <row r="30" spans="2:46">
      <c r="B30" s="227"/>
      <c r="C30" s="259" t="s">
        <v>1291</v>
      </c>
      <c r="D30" s="260" t="s">
        <v>689</v>
      </c>
      <c r="E30" s="226"/>
      <c r="F30" s="301" t="s">
        <v>688</v>
      </c>
      <c r="G30" s="225"/>
      <c r="H30" s="3084" t="s">
        <v>708</v>
      </c>
      <c r="I30" s="3085"/>
      <c r="J30" s="3167" t="s">
        <v>708</v>
      </c>
      <c r="K30" s="3085"/>
      <c r="L30" s="230"/>
      <c r="M30" s="229"/>
      <c r="N30" s="113" t="s">
        <v>671</v>
      </c>
      <c r="O30" s="919"/>
      <c r="P30" s="221" t="s">
        <v>875</v>
      </c>
      <c r="R30" s="2086" t="s">
        <v>690</v>
      </c>
      <c r="S30" s="2088" t="s">
        <v>691</v>
      </c>
      <c r="T30" s="2081" t="s">
        <v>348</v>
      </c>
      <c r="U30" s="9"/>
      <c r="V30" s="9"/>
      <c r="W30" s="55"/>
      <c r="AF30" s="1952"/>
      <c r="AG30" s="1952" t="s">
        <v>346</v>
      </c>
      <c r="AH30" s="1952"/>
      <c r="AI30" s="1952" t="s">
        <v>1603</v>
      </c>
      <c r="AJ30" s="1952"/>
    </row>
    <row r="31" spans="2:46">
      <c r="B31" s="223" t="s">
        <v>667</v>
      </c>
      <c r="C31" s="907" t="s">
        <v>352</v>
      </c>
      <c r="D31" s="151" t="s">
        <v>346</v>
      </c>
      <c r="E31" s="152" t="s">
        <v>353</v>
      </c>
      <c r="F31" s="224" t="s">
        <v>346</v>
      </c>
      <c r="G31" s="228" t="s">
        <v>353</v>
      </c>
      <c r="H31" s="275" t="s">
        <v>690</v>
      </c>
      <c r="I31" s="276" t="s">
        <v>691</v>
      </c>
      <c r="J31" s="1206" t="s">
        <v>690</v>
      </c>
      <c r="K31" s="276" t="s">
        <v>691</v>
      </c>
      <c r="L31" s="280" t="s">
        <v>690</v>
      </c>
      <c r="M31" s="281" t="s">
        <v>691</v>
      </c>
      <c r="N31" s="277" t="s">
        <v>690</v>
      </c>
      <c r="O31" s="920" t="s">
        <v>691</v>
      </c>
      <c r="P31" s="921"/>
      <c r="R31" s="2090" t="s">
        <v>1461</v>
      </c>
      <c r="S31" s="2091" t="s">
        <v>1461</v>
      </c>
      <c r="T31" s="2080"/>
      <c r="U31" s="9"/>
      <c r="V31" s="9"/>
      <c r="W31" s="55"/>
      <c r="AF31" s="1952" t="s">
        <v>352</v>
      </c>
      <c r="AG31" s="1952" t="s">
        <v>56</v>
      </c>
      <c r="AH31" s="1952" t="s">
        <v>279</v>
      </c>
      <c r="AI31" s="1952" t="s">
        <v>56</v>
      </c>
      <c r="AJ31" s="1952" t="s">
        <v>279</v>
      </c>
    </row>
    <row r="32" spans="2:46">
      <c r="B32" s="412" t="s">
        <v>1255</v>
      </c>
      <c r="C32" s="409">
        <v>0</v>
      </c>
      <c r="D32" s="409">
        <f>Matrix!H10</f>
        <v>0</v>
      </c>
      <c r="E32" s="405" t="s">
        <v>356</v>
      </c>
      <c r="F32" s="409">
        <f>Matrix!H27</f>
        <v>0</v>
      </c>
      <c r="G32" s="1510" t="s">
        <v>356</v>
      </c>
      <c r="H32" s="1485">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87">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86">
        <f>(MIN(C32,D32)*time_tot+ABS(D32-C32)*IF(D32&gt;C32,time2+time*(VLOOKUP(E32,List!$E$35:$F$37,2,)),time*(1-(VLOOKUP(E32,List!$E$35:$F$37,2,)))))*$T11*methane/1000</f>
        <v>0</v>
      </c>
      <c r="K32" s="1486">
        <f>(MIN(C32,F32)*time_tot+ABS(F32-C32)*IF(F32&gt;C32,time2+time*(VLOOKUP(G32,List!$E$35:$F$37,2,)),time*(1-(VLOOKUP(G32,List!$E$35:$F$37,2,)))))*$T11*methane/1000</f>
        <v>0</v>
      </c>
      <c r="L32" s="1485">
        <f>(MIN(C32,D32)*time_tot+ABS(D32-C32)*IF(D32&gt;C32,time2+time*(VLOOKUP(E32,List!$E$35:$F$37,2,)),time*(1-(VLOOKUP(E32,List!$E$35:$F$37,2,)))))*$U11</f>
        <v>0</v>
      </c>
      <c r="M32" s="1494">
        <f>(MIN(C32,F32)*time_tot+ABS(F32-C32)*IF(F32&gt;C32,time2+time*(VLOOKUP(G32,List!$E$35:$F$37,2,)),time*(1-(VLOOKUP(G32,List!$E$35:$F$37,2,)))))*$U11</f>
        <v>0</v>
      </c>
      <c r="N32" s="1495">
        <f>L32+J32+H32</f>
        <v>0</v>
      </c>
      <c r="O32" s="1494">
        <f>M32+K32+I32</f>
        <v>0</v>
      </c>
      <c r="P32" s="414">
        <f>O32-N32</f>
        <v>0</v>
      </c>
      <c r="R32" s="2093">
        <f>$V11*(time*((ABS(D32-C32)*(IF(C32&lt;=D32,VLOOKUP(E32,List!$E$35:$F$37,2,),1-VLOOKUP(E32,List!$E$35:$F$37,2,))))+MIN(D32,C32))+(D32*time2))</f>
        <v>0</v>
      </c>
      <c r="S32" s="2093">
        <f>$V11*(time*((ABS(F32-C32)*(IF(C32&lt;=F32,VLOOKUP(G32,List!$E$35:$F$37,2,),1-VLOOKUP(G32,List!$E$35:$F$37,2,))))+MIN(F32,C32))+(F32*time2))</f>
        <v>0</v>
      </c>
      <c r="T32" s="2084">
        <f>S32-R32</f>
        <v>0</v>
      </c>
      <c r="U32" s="9"/>
      <c r="V32" s="9"/>
      <c r="W32" s="55"/>
      <c r="AF32" s="1952">
        <f>C32*IF($L11="Straw burnt",1,0)</f>
        <v>0</v>
      </c>
      <c r="AG32" s="1952">
        <f>D32*IF($L11="Straw burnt",1,0)</f>
        <v>0</v>
      </c>
      <c r="AH32" s="1952">
        <f>F32*IF($L11="Straw burnt",1,0)</f>
        <v>0</v>
      </c>
      <c r="AI32" s="1964">
        <f t="shared" ref="AI32:AI45" si="2">IF(L32&gt;0,L32/$U11,0)</f>
        <v>0</v>
      </c>
      <c r="AJ32" s="1964">
        <f t="shared" ref="AJ32:AJ45" si="3">IF(M32&gt;0,M32/$U11,0)</f>
        <v>0</v>
      </c>
    </row>
    <row r="33" spans="2:36">
      <c r="B33" s="428" t="s">
        <v>1161</v>
      </c>
      <c r="C33" s="409">
        <f>MAX(Matrix!E30,Matrix!E13)</f>
        <v>0</v>
      </c>
      <c r="D33" s="409">
        <f>C33-Matrix!E13</f>
        <v>0</v>
      </c>
      <c r="E33" s="405" t="s">
        <v>356</v>
      </c>
      <c r="F33" s="409">
        <f>C33-Matrix!E30</f>
        <v>0</v>
      </c>
      <c r="G33" s="1510" t="s">
        <v>356</v>
      </c>
      <c r="H33" s="1496">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94">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86">
        <f>(MIN(C33,D33)*time_tot+ABS(D33-C33)*IF(D33&gt;C33,time2+time*(VLOOKUP(E33,List!$E$35:$F$37,2,)),time*(1-(VLOOKUP(E33,List!$E$35:$F$37,2,)))))*$T12*methane/1000</f>
        <v>0</v>
      </c>
      <c r="K33" s="1486">
        <f>(MIN(C33,F33)*time_tot+ABS(F33-C33)*IF(F33&gt;C33,time2+time*(VLOOKUP(G33,List!$E$35:$F$37,2,)),time*(1-(VLOOKUP(G33,List!$E$35:$F$37,2,)))))*$T12*methane/1000</f>
        <v>0</v>
      </c>
      <c r="L33" s="1485">
        <f>(MIN(C33,D33)*time_tot+ABS(D33-C33)*IF(D33&gt;C33,time2+time*(VLOOKUP(E33,List!$E$35:$F$37,2,)),time*(1-(VLOOKUP(E33,List!$E$35:$F$37,2,)))))*$U12</f>
        <v>0</v>
      </c>
      <c r="M33" s="1494">
        <f>(MIN(C33,F33)*time_tot+ABS(F33-C33)*IF(F33&gt;C33,time2+time*(VLOOKUP(G33,List!$E$35:$F$37,2,)),time*(1-(VLOOKUP(G33,List!$E$35:$F$37,2,)))))*$U12</f>
        <v>0</v>
      </c>
      <c r="N33" s="1496">
        <f t="shared" ref="N33:N45" si="4">L33+J33+H33</f>
        <v>0</v>
      </c>
      <c r="O33" s="1494">
        <f t="shared" ref="O33:O45" si="5">M33+K33+I33</f>
        <v>0</v>
      </c>
      <c r="P33" s="414">
        <f>O33-N33</f>
        <v>0</v>
      </c>
      <c r="R33" s="2093">
        <f>$V12*(time*((ABS(D33-C33)*(IF(C33&lt;=D33,VLOOKUP(E33,List!$E$35:$F$37,2,),1-VLOOKUP(E33,List!$E$35:$F$37,2,))))+MIN(D33,C33))+(D33*time2))</f>
        <v>0</v>
      </c>
      <c r="S33" s="2093">
        <f>$V12*(time*((ABS(F33-C33)*(IF(C33&lt;=F33,VLOOKUP(G33,List!$E$35:$F$37,2,),1-VLOOKUP(G33,List!$E$35:$F$37,2,))))+MIN(F33,C33))+(F33*time2))</f>
        <v>0</v>
      </c>
      <c r="T33" s="2084">
        <f t="shared" ref="T33:T45" si="6">S33-R33</f>
        <v>0</v>
      </c>
      <c r="U33" s="9"/>
      <c r="V33" s="9"/>
      <c r="W33" s="55"/>
      <c r="AF33" s="1952">
        <f t="shared" ref="AF33:AF45" si="7">C33*IF($L12="Straw burnt",1,0)</f>
        <v>0</v>
      </c>
      <c r="AG33" s="1952">
        <f t="shared" ref="AG33:AG45" si="8">D33*IF($L12="Straw burnt",1,0)</f>
        <v>0</v>
      </c>
      <c r="AH33" s="1952">
        <f t="shared" ref="AH33:AH45" si="9">F33*IF($L12="Straw burnt",1,0)</f>
        <v>0</v>
      </c>
      <c r="AI33" s="1964">
        <f t="shared" si="2"/>
        <v>0</v>
      </c>
      <c r="AJ33" s="1964">
        <f t="shared" si="3"/>
        <v>0</v>
      </c>
    </row>
    <row r="34" spans="2:36">
      <c r="B34" s="428" t="s">
        <v>1256</v>
      </c>
      <c r="C34" s="406">
        <v>0</v>
      </c>
      <c r="D34" s="408">
        <f>Matrix!AR22+Matrix!AY22+Matrix!BN22+Matrix!BU22+Matrix!CB22+Matrix!CI22</f>
        <v>0</v>
      </c>
      <c r="E34" s="407" t="s">
        <v>356</v>
      </c>
      <c r="F34" s="408">
        <f>Matrix!CI38+Matrix!CB38+Matrix!BU38+Matrix!BN38+Matrix!AY38+Matrix!AR38</f>
        <v>0</v>
      </c>
      <c r="G34" s="1511" t="s">
        <v>356</v>
      </c>
      <c r="H34" s="1490">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91">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86">
        <f>(MIN(C34,D34)*time_tot+ABS(D34-C34)*IF(D34&gt;C34,time2+time*(VLOOKUP(E34,List!$E$35:$F$37,2,)),time*(1-(VLOOKUP(E34,List!$E$35:$F$37,2,)))))*$T13*methane/1000</f>
        <v>0</v>
      </c>
      <c r="K34" s="1486">
        <f>(MIN(C34,F34)*time_tot+ABS(F34-C34)*IF(F34&gt;C34,time2+time*(VLOOKUP(G34,List!$E$35:$F$37,2,)),time*(1-(VLOOKUP(G34,List!$E$35:$F$37,2,)))))*$T13*methane/1000</f>
        <v>0</v>
      </c>
      <c r="L34" s="1485">
        <f>(MIN(C34,D34)*time_tot+ABS(D34-C34)*IF(D34&gt;C34,time2+time*(VLOOKUP(E34,List!$E$35:$F$37,2,)),time*(1-(VLOOKUP(E34,List!$E$35:$F$37,2,)))))*$U13</f>
        <v>0</v>
      </c>
      <c r="M34" s="1494">
        <f>(MIN(C34,F34)*time_tot+ABS(F34-C34)*IF(F34&gt;C34,time2+time*(VLOOKUP(G34,List!$E$35:$F$37,2,)),time*(1-(VLOOKUP(G34,List!$E$35:$F$37,2,)))))*$U13</f>
        <v>0</v>
      </c>
      <c r="N34" s="1496">
        <f t="shared" si="4"/>
        <v>0</v>
      </c>
      <c r="O34" s="1494">
        <f t="shared" si="5"/>
        <v>0</v>
      </c>
      <c r="P34" s="414">
        <f>O34-N34</f>
        <v>0</v>
      </c>
      <c r="R34" s="2093">
        <f>$V13*(time*((ABS(D34-C34)*(IF(C34&lt;=D34,VLOOKUP(E34,List!$E$35:$F$37,2,),1-VLOOKUP(E34,List!$E$35:$F$37,2,))))+MIN(D34,C34))+(D34*time2))</f>
        <v>0</v>
      </c>
      <c r="S34" s="2093">
        <f>$V13*(time*((ABS(F34-C34)*(IF(C34&lt;=F34,VLOOKUP(G34,List!$E$35:$F$37,2,),1-VLOOKUP(G34,List!$E$35:$F$37,2,))))+MIN(F34,C34))+(F34*time2))</f>
        <v>0</v>
      </c>
      <c r="T34" s="2084">
        <f t="shared" si="6"/>
        <v>0</v>
      </c>
      <c r="U34" s="9"/>
      <c r="V34" s="9"/>
      <c r="W34" s="55"/>
      <c r="AF34" s="1952">
        <f t="shared" si="7"/>
        <v>0</v>
      </c>
      <c r="AG34" s="1952">
        <f t="shared" si="8"/>
        <v>0</v>
      </c>
      <c r="AH34" s="1952">
        <f t="shared" si="9"/>
        <v>0</v>
      </c>
      <c r="AI34" s="1964">
        <f t="shared" si="2"/>
        <v>0</v>
      </c>
      <c r="AJ34" s="1964">
        <f t="shared" si="3"/>
        <v>0</v>
      </c>
    </row>
    <row r="35" spans="2:36" ht="13.8" thickBot="1">
      <c r="B35" s="296" t="s">
        <v>1257</v>
      </c>
      <c r="C35" s="430">
        <f>MAX(SUM(Matrix!BE22:BJ22),SUM(Matrix!BE38:BJ38))</f>
        <v>0</v>
      </c>
      <c r="D35" s="411">
        <f>C35-SUM(Matrix!BE22:BJ22)</f>
        <v>0</v>
      </c>
      <c r="E35" s="410" t="s">
        <v>356</v>
      </c>
      <c r="F35" s="411">
        <f>C35-SUM(Matrix!BE38:BJ38)</f>
        <v>0</v>
      </c>
      <c r="G35" s="1512" t="s">
        <v>356</v>
      </c>
      <c r="H35" s="1496">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94">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86">
        <f>(MIN(C35,D35)*time_tot+ABS(D35-C35)*IF(D35&gt;C35,time2+time*(VLOOKUP(E35,List!$E$35:$F$37,2,)),time*(1-(VLOOKUP(E35,List!$E$35:$F$37,2,)))))*$T14*methane/1000</f>
        <v>0</v>
      </c>
      <c r="K35" s="1486">
        <f>(MIN(C35,F35)*time_tot+ABS(F35-C35)*IF(F35&gt;C35,time2+time*(VLOOKUP(G35,List!$E$35:$F$37,2,)),time*(1-(VLOOKUP(G35,List!$E$35:$F$37,2,)))))*$T14*methane/1000</f>
        <v>0</v>
      </c>
      <c r="L35" s="1485">
        <f>(MIN(C35,D35)*time_tot+ABS(D35-C35)*IF(D35&gt;C35,time2+time*(VLOOKUP(E35,List!$E$35:$F$37,2,)),time*(1-(VLOOKUP(E35,List!$E$35:$F$37,2,)))))*$U14</f>
        <v>0</v>
      </c>
      <c r="M35" s="1487">
        <f>(MIN(C35,F35)*time_tot+ABS(F35-C35)*IF(F35&gt;C35,time2+time*(VLOOKUP(G35,List!$E$35:$F$37,2,)),time*(1-(VLOOKUP(G35,List!$E$35:$F$37,2,)))))*$U14</f>
        <v>0</v>
      </c>
      <c r="N35" s="1485">
        <f t="shared" si="4"/>
        <v>0</v>
      </c>
      <c r="O35" s="1487">
        <f t="shared" si="5"/>
        <v>0</v>
      </c>
      <c r="P35" s="284">
        <f>O35-N35</f>
        <v>0</v>
      </c>
      <c r="R35" s="2093">
        <f>$V14*(time*((ABS(D35-C35)*(IF(C35&lt;=D35,VLOOKUP(E35,List!$E$35:$F$37,2,),1-VLOOKUP(E35,List!$E$35:$F$37,2,))))+MIN(D35,C35))+(D35*time2))</f>
        <v>0</v>
      </c>
      <c r="S35" s="2093">
        <f>$V14*(time*((ABS(F35-C35)*(IF(C35&lt;=F35,VLOOKUP(G35,List!$E$35:$F$37,2,),1-VLOOKUP(G35,List!$E$35:$F$37,2,))))+MIN(F35,C35))+(F35*time2))</f>
        <v>0</v>
      </c>
      <c r="T35" s="2084">
        <f t="shared" si="6"/>
        <v>0</v>
      </c>
      <c r="U35" s="9"/>
      <c r="V35" s="9"/>
      <c r="W35" s="55"/>
      <c r="AF35" s="1952">
        <f t="shared" si="7"/>
        <v>0</v>
      </c>
      <c r="AG35" s="1952">
        <f t="shared" si="8"/>
        <v>0</v>
      </c>
      <c r="AH35" s="1952">
        <f t="shared" si="9"/>
        <v>0</v>
      </c>
      <c r="AI35" s="1964">
        <f t="shared" si="2"/>
        <v>0</v>
      </c>
      <c r="AJ35" s="1964">
        <f t="shared" si="3"/>
        <v>0</v>
      </c>
    </row>
    <row r="36" spans="2:36" ht="13.8" thickBot="1">
      <c r="B36" s="153" t="str">
        <f>B15</f>
        <v>Rice1</v>
      </c>
      <c r="C36" s="1914">
        <f>'3.Cropland'!V83</f>
        <v>0</v>
      </c>
      <c r="D36" s="1914">
        <f>'3.Cropland'!W83</f>
        <v>0</v>
      </c>
      <c r="E36" s="2236" t="str">
        <f>VLOOKUP('3.Cropland'!X83,List!$D$35:$E$37,2,)</f>
        <v>Linear</v>
      </c>
      <c r="F36" s="1841">
        <f>'3.Cropland'!Y83</f>
        <v>0</v>
      </c>
      <c r="G36" s="2236" t="str">
        <f>VLOOKUP('3.Cropland'!Z83,List!$D$35:$E$37,2,)</f>
        <v>Linear</v>
      </c>
      <c r="H36" s="1488">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89">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86">
        <f>(MIN(C36,D36)*time_tot+ABS(D36-C36)*IF(D36&gt;C36,time2+time*(VLOOKUP(E36,List!$E$35:$F$37,2,)),time*(1-(VLOOKUP(E36,List!$E$35:$F$37,2,)))))*$T15*methane/1000</f>
        <v>0</v>
      </c>
      <c r="K36" s="1486">
        <f>(MIN(C36,F36)*time_tot+ABS(F36-C36)*IF(F36&gt;C36,time2+time*(VLOOKUP(G36,List!$E$35:$F$37,2,)),time*(1-(VLOOKUP(G36,List!$E$35:$F$37,2,)))))*$T15*methane/1000</f>
        <v>0</v>
      </c>
      <c r="L36" s="1485">
        <f>(MIN(C36,D36)*time_tot+ABS(D36-C36)*IF(D36&gt;C36,time2+time*(VLOOKUP(E36,List!$E$35:$F$37,2,)),time*(1-(VLOOKUP(E36,List!$E$35:$F$37,2,)))))*$U15</f>
        <v>0</v>
      </c>
      <c r="M36" s="1487">
        <f>(MIN(C36,F36)*time_tot+ABS(F36-C36)*IF(F36&gt;C36,time2+time*(VLOOKUP(G36,List!$E$35:$F$37,2,)),time*(1-(VLOOKUP(G36,List!$E$35:$F$37,2,)))))*$U15</f>
        <v>0</v>
      </c>
      <c r="N36" s="1486">
        <f t="shared" si="4"/>
        <v>0</v>
      </c>
      <c r="O36" s="1487">
        <f t="shared" si="5"/>
        <v>0</v>
      </c>
      <c r="P36" s="1039">
        <f>O36-N36</f>
        <v>0</v>
      </c>
      <c r="R36" s="2093">
        <f>$V15*(time*((ABS(D36-C36)*(IF(C36&lt;=D36,VLOOKUP(E36,List!$E$35:$F$37,2,),1-VLOOKUP(E36,List!$E$35:$F$37,2,))))+MIN(D36,C36))+(D36*time2))</f>
        <v>0</v>
      </c>
      <c r="S36" s="2093">
        <f>$V15*(time*((ABS(F36-C36)*(IF(C36&lt;=F36,VLOOKUP(G36,List!$E$35:$F$37,2,),1-VLOOKUP(G36,List!$E$35:$F$37,2,))))+MIN(F36,C36))+(F36*time2))</f>
        <v>0</v>
      </c>
      <c r="T36" s="2084">
        <f t="shared" si="6"/>
        <v>0</v>
      </c>
      <c r="U36" s="9"/>
      <c r="V36" s="9"/>
      <c r="W36" s="55"/>
      <c r="AF36" s="1952">
        <f t="shared" si="7"/>
        <v>0</v>
      </c>
      <c r="AG36" s="1952">
        <f t="shared" si="8"/>
        <v>0</v>
      </c>
      <c r="AH36" s="1952">
        <f t="shared" si="9"/>
        <v>0</v>
      </c>
      <c r="AI36" s="1964">
        <f t="shared" si="2"/>
        <v>0</v>
      </c>
      <c r="AJ36" s="1964">
        <f t="shared" si="3"/>
        <v>0</v>
      </c>
    </row>
    <row r="37" spans="2:36" ht="13.8" thickBot="1">
      <c r="B37" s="153" t="str">
        <f t="shared" ref="B37:B45" si="10">B16</f>
        <v>Rice2</v>
      </c>
      <c r="C37" s="1914">
        <f>'3.Cropland'!V84</f>
        <v>0</v>
      </c>
      <c r="D37" s="1914">
        <f>'3.Cropland'!W84</f>
        <v>0</v>
      </c>
      <c r="E37" s="2236" t="str">
        <f>VLOOKUP('3.Cropland'!X84,List!$D$35:$E$37,2,)</f>
        <v>Linear</v>
      </c>
      <c r="F37" s="1841">
        <f>'3.Cropland'!Y84</f>
        <v>0</v>
      </c>
      <c r="G37" s="2236" t="str">
        <f>VLOOKUP('3.Cropland'!Z84,List!$D$35:$E$37,2,)</f>
        <v>Linear</v>
      </c>
      <c r="H37" s="1488">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89">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92">
        <f>(MIN(C37,D37)*time_tot+ABS(D37-C37)*IF(D37&gt;C37,time2+time*(VLOOKUP(E37,List!$E$35:$F$37,2,)),time*(1-(VLOOKUP(E37,List!$E$35:$F$37,2,)))))*$T16*methane/1000</f>
        <v>0</v>
      </c>
      <c r="K37" s="1492">
        <f>(MIN(C37,F37)*time_tot+ABS(F37-C37)*IF(F37&gt;C37,time2+time*(VLOOKUP(G37,List!$E$35:$F$37,2,)),time*(1-(VLOOKUP(G37,List!$E$35:$F$37,2,)))))*$T16*methane/1000</f>
        <v>0</v>
      </c>
      <c r="L37" s="1488">
        <f>(MIN(C37,D37)*time_tot+ABS(D37-C37)*IF(D37&gt;C37,time2+time*(VLOOKUP(E37,List!$E$35:$F$37,2,)),time*(1-(VLOOKUP(E37,List!$E$35:$F$37,2,)))))*$U16</f>
        <v>0</v>
      </c>
      <c r="M37" s="1489">
        <f>(MIN(C37,F37)*time_tot+ABS(F37-C37)*IF(F37&gt;C37,time2+time*(VLOOKUP(G37,List!$E$35:$F$37,2,)),time*(1-(VLOOKUP(G37,List!$E$35:$F$37,2,)))))*$U16</f>
        <v>0</v>
      </c>
      <c r="N37" s="1492">
        <f t="shared" si="4"/>
        <v>0</v>
      </c>
      <c r="O37" s="1489">
        <f t="shared" si="5"/>
        <v>0</v>
      </c>
      <c r="P37" s="1040">
        <f t="shared" ref="P37:P45" si="11">O37-N37</f>
        <v>0</v>
      </c>
      <c r="R37" s="2093">
        <f>$V16*(time*((ABS(D37-C37)*(IF(C37&lt;=D37,VLOOKUP(E37,List!$E$35:$F$37,2,),1-VLOOKUP(E37,List!$E$35:$F$37,2,))))+MIN(D37,C37))+(D37*time2))</f>
        <v>0</v>
      </c>
      <c r="S37" s="2093">
        <f>$V16*(time*((ABS(F37-C37)*(IF(C37&lt;=F37,VLOOKUP(G37,List!$E$35:$F$37,2,),1-VLOOKUP(G37,List!$E$35:$F$37,2,))))+MIN(F37,C37))+(F37*time2))</f>
        <v>0</v>
      </c>
      <c r="T37" s="2084">
        <f t="shared" si="6"/>
        <v>0</v>
      </c>
      <c r="U37" s="9"/>
      <c r="V37" s="9"/>
      <c r="W37" s="55"/>
      <c r="AF37" s="1952">
        <f t="shared" si="7"/>
        <v>0</v>
      </c>
      <c r="AG37" s="1952">
        <f t="shared" si="8"/>
        <v>0</v>
      </c>
      <c r="AH37" s="1952">
        <f t="shared" si="9"/>
        <v>0</v>
      </c>
      <c r="AI37" s="1964">
        <f t="shared" si="2"/>
        <v>0</v>
      </c>
      <c r="AJ37" s="1964">
        <f t="shared" si="3"/>
        <v>0</v>
      </c>
    </row>
    <row r="38" spans="2:36" ht="13.8" thickBot="1">
      <c r="B38" s="153" t="str">
        <f t="shared" si="10"/>
        <v>Rice3</v>
      </c>
      <c r="C38" s="1914">
        <f>'3.Cropland'!V85</f>
        <v>0</v>
      </c>
      <c r="D38" s="1914">
        <f>'3.Cropland'!W85</f>
        <v>0</v>
      </c>
      <c r="E38" s="2236" t="str">
        <f>VLOOKUP('3.Cropland'!X85,List!$D$35:$E$37,2,)</f>
        <v>Linear</v>
      </c>
      <c r="F38" s="1841">
        <f>'3.Cropland'!Y85</f>
        <v>0</v>
      </c>
      <c r="G38" s="2236" t="str">
        <f>VLOOKUP('3.Cropland'!Z85,List!$D$35:$E$37,2,)</f>
        <v>Linear</v>
      </c>
      <c r="H38" s="1488">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89">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92">
        <f>(MIN(C38,D38)*time_tot+ABS(D38-C38)*IF(D38&gt;C38,time2+time*(VLOOKUP(E38,List!$E$35:$F$37,2,)),time*(1-(VLOOKUP(E38,List!$E$35:$F$37,2,)))))*$T17*methane/1000</f>
        <v>0</v>
      </c>
      <c r="K38" s="1492">
        <f>(MIN(C38,F38)*time_tot+ABS(F38-C38)*IF(F38&gt;C38,time2+time*(VLOOKUP(G38,List!$E$35:$F$37,2,)),time*(1-(VLOOKUP(G38,List!$E$35:$F$37,2,)))))*$T17*methane/1000</f>
        <v>0</v>
      </c>
      <c r="L38" s="1488">
        <f>(MIN(C38,D38)*time_tot+ABS(D38-C38)*IF(D38&gt;C38,time2+time*(VLOOKUP(E38,List!$E$35:$F$37,2,)),time*(1-(VLOOKUP(E38,List!$E$35:$F$37,2,)))))*$U17</f>
        <v>0</v>
      </c>
      <c r="M38" s="1489">
        <f>(MIN(C38,F38)*time_tot+ABS(F38-C38)*IF(F38&gt;C38,time2+time*(VLOOKUP(G38,List!$E$35:$F$37,2,)),time*(1-(VLOOKUP(G38,List!$E$35:$F$37,2,)))))*$U17</f>
        <v>0</v>
      </c>
      <c r="N38" s="1492">
        <f t="shared" si="4"/>
        <v>0</v>
      </c>
      <c r="O38" s="1489">
        <f t="shared" si="5"/>
        <v>0</v>
      </c>
      <c r="P38" s="1040">
        <f t="shared" si="11"/>
        <v>0</v>
      </c>
      <c r="R38" s="2093">
        <f>$V17*(time*((ABS(D38-C38)*(IF(C38&lt;=D38,VLOOKUP(E38,List!$E$35:$F$37,2,),1-VLOOKUP(E38,List!$E$35:$F$37,2,))))+MIN(D38,C38))+(D38*time2))</f>
        <v>0</v>
      </c>
      <c r="S38" s="2093">
        <f>$V17*(time*((ABS(F38-C38)*(IF(C38&lt;=F38,VLOOKUP(G38,List!$E$35:$F$37,2,),1-VLOOKUP(G38,List!$E$35:$F$37,2,))))+MIN(F38,C38))+(F38*time2))</f>
        <v>0</v>
      </c>
      <c r="T38" s="2084">
        <f t="shared" si="6"/>
        <v>0</v>
      </c>
      <c r="U38" s="9"/>
      <c r="V38" s="9"/>
      <c r="W38" s="55"/>
      <c r="AF38" s="1952">
        <f t="shared" si="7"/>
        <v>0</v>
      </c>
      <c r="AG38" s="1952">
        <f t="shared" si="8"/>
        <v>0</v>
      </c>
      <c r="AH38" s="1952">
        <f t="shared" si="9"/>
        <v>0</v>
      </c>
      <c r="AI38" s="1964">
        <f t="shared" si="2"/>
        <v>0</v>
      </c>
      <c r="AJ38" s="1964">
        <f t="shared" si="3"/>
        <v>0</v>
      </c>
    </row>
    <row r="39" spans="2:36" ht="13.8" thickBot="1">
      <c r="B39" s="153" t="str">
        <f t="shared" si="10"/>
        <v>Rice4</v>
      </c>
      <c r="C39" s="1914">
        <f>'3.Cropland'!V86</f>
        <v>0</v>
      </c>
      <c r="D39" s="1914">
        <f>'3.Cropland'!W86</f>
        <v>0</v>
      </c>
      <c r="E39" s="2236" t="str">
        <f>VLOOKUP('3.Cropland'!X86,List!$D$35:$E$37,2,)</f>
        <v>Linear</v>
      </c>
      <c r="F39" s="1841">
        <f>'3.Cropland'!Y86</f>
        <v>0</v>
      </c>
      <c r="G39" s="2236" t="str">
        <f>VLOOKUP('3.Cropland'!Z86,List!$D$35:$E$37,2,)</f>
        <v>Linear</v>
      </c>
      <c r="H39" s="1488">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89">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92">
        <f>(MIN(C39,D39)*time_tot+ABS(D39-C39)*IF(D39&gt;C39,time2+time*(VLOOKUP(E39,List!$E$35:$F$37,2,)),time*(1-(VLOOKUP(E39,List!$E$35:$F$37,2,)))))*$T18*methane/1000</f>
        <v>0</v>
      </c>
      <c r="K39" s="1492">
        <f>(MIN(C39,F39)*time_tot+ABS(F39-C39)*IF(F39&gt;C39,time2+time*(VLOOKUP(G39,List!$E$35:$F$37,2,)),time*(1-(VLOOKUP(G39,List!$E$35:$F$37,2,)))))*$T18*methane/1000</f>
        <v>0</v>
      </c>
      <c r="L39" s="1488">
        <f>(MIN(C39,D39)*time_tot+ABS(D39-C39)*IF(D39&gt;C39,time2+time*(VLOOKUP(E39,List!$E$35:$F$37,2,)),time*(1-(VLOOKUP(E39,List!$E$35:$F$37,2,)))))*$U18</f>
        <v>0</v>
      </c>
      <c r="M39" s="1489">
        <f>(MIN(C39,F39)*time_tot+ABS(F39-C39)*IF(F39&gt;C39,time2+time*(VLOOKUP(G39,List!$E$35:$F$37,2,)),time*(1-(VLOOKUP(G39,List!$E$35:$F$37,2,)))))*$U18</f>
        <v>0</v>
      </c>
      <c r="N39" s="1492">
        <f t="shared" si="4"/>
        <v>0</v>
      </c>
      <c r="O39" s="1489">
        <f t="shared" si="5"/>
        <v>0</v>
      </c>
      <c r="P39" s="1040">
        <f t="shared" si="11"/>
        <v>0</v>
      </c>
      <c r="R39" s="2093">
        <f>$V18*(time*((ABS(D39-C39)*(IF(C39&lt;=D39,VLOOKUP(E39,List!$E$35:$F$37,2,),1-VLOOKUP(E39,List!$E$35:$F$37,2,))))+MIN(D39,C39))+(D39*time2))</f>
        <v>0</v>
      </c>
      <c r="S39" s="2093">
        <f>$V18*(time*((ABS(F39-C39)*(IF(C39&lt;=F39,VLOOKUP(G39,List!$E$35:$F$37,2,),1-VLOOKUP(G39,List!$E$35:$F$37,2,))))+MIN(F39,C39))+(F39*time2))</f>
        <v>0</v>
      </c>
      <c r="T39" s="2084">
        <f t="shared" si="6"/>
        <v>0</v>
      </c>
      <c r="U39" s="9"/>
      <c r="V39" s="9"/>
      <c r="W39" s="55"/>
      <c r="AF39" s="1952">
        <f t="shared" si="7"/>
        <v>0</v>
      </c>
      <c r="AG39" s="1952">
        <f t="shared" si="8"/>
        <v>0</v>
      </c>
      <c r="AH39" s="1952">
        <f t="shared" si="9"/>
        <v>0</v>
      </c>
      <c r="AI39" s="1964">
        <f t="shared" si="2"/>
        <v>0</v>
      </c>
      <c r="AJ39" s="1964">
        <f t="shared" si="3"/>
        <v>0</v>
      </c>
    </row>
    <row r="40" spans="2:36" ht="13.8" thickBot="1">
      <c r="B40" s="153" t="str">
        <f t="shared" si="10"/>
        <v>Rice5</v>
      </c>
      <c r="C40" s="1914">
        <f>'3.Cropland'!V87</f>
        <v>0</v>
      </c>
      <c r="D40" s="1914">
        <f>'3.Cropland'!W87</f>
        <v>0</v>
      </c>
      <c r="E40" s="2236" t="str">
        <f>VLOOKUP('3.Cropland'!X87,List!$D$35:$E$37,2,)</f>
        <v>Linear</v>
      </c>
      <c r="F40" s="1841">
        <f>'3.Cropland'!Y87</f>
        <v>0</v>
      </c>
      <c r="G40" s="2236" t="str">
        <f>VLOOKUP('3.Cropland'!Z87,List!$D$35:$E$37,2,)</f>
        <v>Linear</v>
      </c>
      <c r="H40" s="1488">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89">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92">
        <f>(MIN(C40,D40)*time_tot+ABS(D40-C40)*IF(D40&gt;C40,time2+time*(VLOOKUP(E40,List!$E$35:$F$37,2,)),time*(1-(VLOOKUP(E40,List!$E$35:$F$37,2,)))))*$T19*methane/1000</f>
        <v>0</v>
      </c>
      <c r="K40" s="1492">
        <f>(MIN(C40,F40)*time_tot+ABS(F40-C40)*IF(F40&gt;C40,time2+time*(VLOOKUP(G40,List!$E$35:$F$37,2,)),time*(1-(VLOOKUP(G40,List!$E$35:$F$37,2,)))))*$T19*methane/1000</f>
        <v>0</v>
      </c>
      <c r="L40" s="1488">
        <f>(MIN(C40,D40)*time_tot+ABS(D40-C40)*IF(D40&gt;C40,time2+time*(VLOOKUP(E40,List!$E$35:$F$37,2,)),time*(1-(VLOOKUP(E40,List!$E$35:$F$37,2,)))))*$U19</f>
        <v>0</v>
      </c>
      <c r="M40" s="1489">
        <f>(MIN(C40,F40)*time_tot+ABS(F40-C40)*IF(F40&gt;C40,time2+time*(VLOOKUP(G40,List!$E$35:$F$37,2,)),time*(1-(VLOOKUP(G40,List!$E$35:$F$37,2,)))))*$U19</f>
        <v>0</v>
      </c>
      <c r="N40" s="1492">
        <f t="shared" si="4"/>
        <v>0</v>
      </c>
      <c r="O40" s="1489">
        <f t="shared" si="5"/>
        <v>0</v>
      </c>
      <c r="P40" s="1040">
        <f t="shared" si="11"/>
        <v>0</v>
      </c>
      <c r="R40" s="2093">
        <f>$V19*(time*((ABS(D40-C40)*(IF(C40&lt;=D40,VLOOKUP(E40,List!$E$35:$F$37,2,),1-VLOOKUP(E40,List!$E$35:$F$37,2,))))+MIN(D40,C40))+(D40*time2))</f>
        <v>0</v>
      </c>
      <c r="S40" s="2093">
        <f>$V19*(time*((ABS(F40-C40)*(IF(C40&lt;=F40,VLOOKUP(G40,List!$E$35:$F$37,2,),1-VLOOKUP(G40,List!$E$35:$F$37,2,))))+MIN(F40,C40))+(F40*time2))</f>
        <v>0</v>
      </c>
      <c r="T40" s="2084">
        <f t="shared" si="6"/>
        <v>0</v>
      </c>
      <c r="U40" s="9"/>
      <c r="V40" s="9"/>
      <c r="W40" s="55"/>
      <c r="AF40" s="1952">
        <f t="shared" si="7"/>
        <v>0</v>
      </c>
      <c r="AG40" s="1952">
        <f t="shared" si="8"/>
        <v>0</v>
      </c>
      <c r="AH40" s="1952">
        <f t="shared" si="9"/>
        <v>0</v>
      </c>
      <c r="AI40" s="1964">
        <f t="shared" si="2"/>
        <v>0</v>
      </c>
      <c r="AJ40" s="1964">
        <f t="shared" si="3"/>
        <v>0</v>
      </c>
    </row>
    <row r="41" spans="2:36" ht="13.8" thickBot="1">
      <c r="B41" s="153" t="str">
        <f t="shared" si="10"/>
        <v>Rice6</v>
      </c>
      <c r="C41" s="1914">
        <f>'3.Cropland'!V88</f>
        <v>0</v>
      </c>
      <c r="D41" s="1914">
        <f>'3.Cropland'!W88</f>
        <v>0</v>
      </c>
      <c r="E41" s="2236" t="str">
        <f>VLOOKUP('3.Cropland'!X88,List!$D$35:$E$37,2,)</f>
        <v>Linear</v>
      </c>
      <c r="F41" s="1841">
        <f>'3.Cropland'!Y88</f>
        <v>0</v>
      </c>
      <c r="G41" s="2236" t="str">
        <f>VLOOKUP('3.Cropland'!Z88,List!$D$35:$E$37,2,)</f>
        <v>Linear</v>
      </c>
      <c r="H41" s="1488">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89">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92">
        <f>(MIN(C41,D41)*time_tot+ABS(D41-C41)*IF(D41&gt;C41,time2+time*(VLOOKUP(E41,List!$E$35:$F$37,2,)),time*(1-(VLOOKUP(E41,List!$E$35:$F$37,2,)))))*$T20*methane/1000</f>
        <v>0</v>
      </c>
      <c r="K41" s="1492">
        <f>(MIN(C41,F41)*time_tot+ABS(F41-C41)*IF(F41&gt;C41,time2+time*(VLOOKUP(G41,List!$E$35:$F$37,2,)),time*(1-(VLOOKUP(G41,List!$E$35:$F$37,2,)))))*$T20*methane/1000</f>
        <v>0</v>
      </c>
      <c r="L41" s="1488">
        <f>(MIN(C41,D41)*time_tot+ABS(D41-C41)*IF(D41&gt;C41,time2+time*(VLOOKUP(E41,List!$E$35:$F$37,2,)),time*(1-(VLOOKUP(E41,List!$E$35:$F$37,2,)))))*$U20</f>
        <v>0</v>
      </c>
      <c r="M41" s="1489">
        <f>(MIN(C41,F41)*time_tot+ABS(F41-C41)*IF(F41&gt;C41,time2+time*(VLOOKUP(G41,List!$E$35:$F$37,2,)),time*(1-(VLOOKUP(G41,List!$E$35:$F$37,2,)))))*$U20</f>
        <v>0</v>
      </c>
      <c r="N41" s="1492">
        <f t="shared" si="4"/>
        <v>0</v>
      </c>
      <c r="O41" s="1489">
        <f t="shared" si="5"/>
        <v>0</v>
      </c>
      <c r="P41" s="1040">
        <f t="shared" si="11"/>
        <v>0</v>
      </c>
      <c r="R41" s="2093">
        <f>$V20*(time*((ABS(D41-C41)*(IF(C41&lt;=D41,VLOOKUP(E41,List!$E$35:$F$37,2,),1-VLOOKUP(E41,List!$E$35:$F$37,2,))))+MIN(D41,C41))+(D41*time2))</f>
        <v>0</v>
      </c>
      <c r="S41" s="2093">
        <f>$V20*(time*((ABS(F41-C41)*(IF(C41&lt;=F41,VLOOKUP(G41,List!$E$35:$F$37,2,),1-VLOOKUP(G41,List!$E$35:$F$37,2,))))+MIN(F41,C41))+(F41*time2))</f>
        <v>0</v>
      </c>
      <c r="T41" s="2084">
        <f t="shared" si="6"/>
        <v>0</v>
      </c>
      <c r="U41" s="9"/>
      <c r="V41" s="9"/>
      <c r="W41" s="55"/>
      <c r="AF41" s="1952">
        <f t="shared" si="7"/>
        <v>0</v>
      </c>
      <c r="AG41" s="1952">
        <f t="shared" si="8"/>
        <v>0</v>
      </c>
      <c r="AH41" s="1952">
        <f t="shared" si="9"/>
        <v>0</v>
      </c>
      <c r="AI41" s="1964">
        <f t="shared" si="2"/>
        <v>0</v>
      </c>
      <c r="AJ41" s="1964">
        <f t="shared" si="3"/>
        <v>0</v>
      </c>
    </row>
    <row r="42" spans="2:36" ht="13.8" thickBot="1">
      <c r="B42" s="153" t="str">
        <f t="shared" si="10"/>
        <v>Rice7</v>
      </c>
      <c r="C42" s="1914">
        <f>'3.Cropland'!V89</f>
        <v>0</v>
      </c>
      <c r="D42" s="1914">
        <f>'3.Cropland'!W89</f>
        <v>0</v>
      </c>
      <c r="E42" s="2236" t="str">
        <f>VLOOKUP('3.Cropland'!X89,List!$D$35:$E$37,2,)</f>
        <v>Linear</v>
      </c>
      <c r="F42" s="1841">
        <f>'3.Cropland'!Y89</f>
        <v>0</v>
      </c>
      <c r="G42" s="2236" t="str">
        <f>VLOOKUP('3.Cropland'!Z89,List!$D$35:$E$37,2,)</f>
        <v>Linear</v>
      </c>
      <c r="H42" s="1488">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89">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92">
        <f>(MIN(C42,D42)*time_tot+ABS(D42-C42)*IF(D42&gt;C42,time2+time*(VLOOKUP(E42,List!$E$35:$F$37,2,)),time*(1-(VLOOKUP(E42,List!$E$35:$F$37,2,)))))*$T21*methane/1000</f>
        <v>0</v>
      </c>
      <c r="K42" s="1492">
        <f>(MIN(C42,F42)*time_tot+ABS(F42-C42)*IF(F42&gt;C42,time2+time*(VLOOKUP(G42,List!$E$35:$F$37,2,)),time*(1-(VLOOKUP(G42,List!$E$35:$F$37,2,)))))*$T21*methane/1000</f>
        <v>0</v>
      </c>
      <c r="L42" s="1488">
        <f>(MIN(C42,D42)*time_tot+ABS(D42-C42)*IF(D42&gt;C42,time2+time*(VLOOKUP(E42,List!$E$35:$F$37,2,)),time*(1-(VLOOKUP(E42,List!$E$35:$F$37,2,)))))*$U21</f>
        <v>0</v>
      </c>
      <c r="M42" s="1489">
        <f>(MIN(C42,F42)*time_tot+ABS(F42-C42)*IF(F42&gt;C42,time2+time*(VLOOKUP(G42,List!$E$35:$F$37,2,)),time*(1-(VLOOKUP(G42,List!$E$35:$F$37,2,)))))*$U21</f>
        <v>0</v>
      </c>
      <c r="N42" s="1492">
        <f t="shared" si="4"/>
        <v>0</v>
      </c>
      <c r="O42" s="1489">
        <f t="shared" si="5"/>
        <v>0</v>
      </c>
      <c r="P42" s="1040">
        <f t="shared" si="11"/>
        <v>0</v>
      </c>
      <c r="R42" s="2093">
        <f>$V21*(time*((ABS(D42-C42)*(IF(C42&lt;=D42,VLOOKUP(E42,List!$E$35:$F$37,2,),1-VLOOKUP(E42,List!$E$35:$F$37,2,))))+MIN(D42,C42))+(D42*time2))</f>
        <v>0</v>
      </c>
      <c r="S42" s="2093">
        <f>$V21*(time*((ABS(F42-C42)*(IF(C42&lt;=F42,VLOOKUP(G42,List!$E$35:$F$37,2,),1-VLOOKUP(G42,List!$E$35:$F$37,2,))))+MIN(F42,C42))+(F42*time2))</f>
        <v>0</v>
      </c>
      <c r="T42" s="2084">
        <f t="shared" si="6"/>
        <v>0</v>
      </c>
      <c r="U42" s="9"/>
      <c r="V42" s="9"/>
      <c r="W42" s="55"/>
      <c r="AF42" s="1952">
        <f t="shared" si="7"/>
        <v>0</v>
      </c>
      <c r="AG42" s="1952">
        <f t="shared" si="8"/>
        <v>0</v>
      </c>
      <c r="AH42" s="1952">
        <f t="shared" si="9"/>
        <v>0</v>
      </c>
      <c r="AI42" s="1964">
        <f t="shared" si="2"/>
        <v>0</v>
      </c>
      <c r="AJ42" s="1964">
        <f t="shared" si="3"/>
        <v>0</v>
      </c>
    </row>
    <row r="43" spans="2:36" ht="13.8" thickBot="1">
      <c r="B43" s="153" t="str">
        <f t="shared" si="10"/>
        <v>Rice8</v>
      </c>
      <c r="C43" s="1914">
        <f>'3.Cropland'!V90</f>
        <v>0</v>
      </c>
      <c r="D43" s="1914">
        <f>'3.Cropland'!W90</f>
        <v>0</v>
      </c>
      <c r="E43" s="2236" t="str">
        <f>VLOOKUP('3.Cropland'!X90,List!$D$35:$E$37,2,)</f>
        <v>Linear</v>
      </c>
      <c r="F43" s="1841">
        <f>'3.Cropland'!Y90</f>
        <v>0</v>
      </c>
      <c r="G43" s="2236" t="str">
        <f>VLOOKUP('3.Cropland'!Z90,List!$D$35:$E$37,2,)</f>
        <v>Linear</v>
      </c>
      <c r="H43" s="1488">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89">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92">
        <f>(MIN(C43,D43)*time_tot+ABS(D43-C43)*IF(D43&gt;C43,time2+time*(VLOOKUP(E43,List!$E$35:$F$37,2,)),time*(1-(VLOOKUP(E43,List!$E$35:$F$37,2,)))))*$T22*methane/1000</f>
        <v>0</v>
      </c>
      <c r="K43" s="1492">
        <f>(MIN(C43,F43)*time_tot+ABS(F43-C43)*IF(F43&gt;C43,time2+time*(VLOOKUP(G43,List!$E$35:$F$37,2,)),time*(1-(VLOOKUP(G43,List!$E$35:$F$37,2,)))))*$T22*methane/1000</f>
        <v>0</v>
      </c>
      <c r="L43" s="1488">
        <f>(MIN(C43,D43)*time_tot+ABS(D43-C43)*IF(D43&gt;C43,time2+time*(VLOOKUP(E43,List!$E$35:$F$37,2,)),time*(1-(VLOOKUP(E43,List!$E$35:$F$37,2,)))))*$U22</f>
        <v>0</v>
      </c>
      <c r="M43" s="1489">
        <f>(MIN(C43,F43)*time_tot+ABS(F43-C43)*IF(F43&gt;C43,time2+time*(VLOOKUP(G43,List!$E$35:$F$37,2,)),time*(1-(VLOOKUP(G43,List!$E$35:$F$37,2,)))))*$U22</f>
        <v>0</v>
      </c>
      <c r="N43" s="1492">
        <f t="shared" si="4"/>
        <v>0</v>
      </c>
      <c r="O43" s="1489">
        <f t="shared" si="5"/>
        <v>0</v>
      </c>
      <c r="P43" s="1040">
        <f t="shared" si="11"/>
        <v>0</v>
      </c>
      <c r="R43" s="2093">
        <f>$V22*(time*((ABS(D43-C43)*(IF(C43&lt;=D43,VLOOKUP(E43,List!$E$35:$F$37,2,),1-VLOOKUP(E43,List!$E$35:$F$37,2,))))+MIN(D43,C43))+(D43*time2))</f>
        <v>0</v>
      </c>
      <c r="S43" s="2093">
        <f>$V22*(time*((ABS(F43-C43)*(IF(C43&lt;=F43,VLOOKUP(G43,List!$E$35:$F$37,2,),1-VLOOKUP(G43,List!$E$35:$F$37,2,))))+MIN(F43,C43))+(F43*time2))</f>
        <v>0</v>
      </c>
      <c r="T43" s="2084">
        <f t="shared" si="6"/>
        <v>0</v>
      </c>
      <c r="U43" s="9"/>
      <c r="V43" s="9"/>
      <c r="W43" s="55"/>
      <c r="AF43" s="1952">
        <f t="shared" si="7"/>
        <v>0</v>
      </c>
      <c r="AG43" s="1952">
        <f t="shared" si="8"/>
        <v>0</v>
      </c>
      <c r="AH43" s="1952">
        <f t="shared" si="9"/>
        <v>0</v>
      </c>
      <c r="AI43" s="1964">
        <f t="shared" si="2"/>
        <v>0</v>
      </c>
      <c r="AJ43" s="1964">
        <f t="shared" si="3"/>
        <v>0</v>
      </c>
    </row>
    <row r="44" spans="2:36" ht="13.8" thickBot="1">
      <c r="B44" s="153" t="str">
        <f t="shared" si="10"/>
        <v>Rice9</v>
      </c>
      <c r="C44" s="1914">
        <f>'3.Cropland'!V91</f>
        <v>0</v>
      </c>
      <c r="D44" s="1914">
        <f>'3.Cropland'!W91</f>
        <v>0</v>
      </c>
      <c r="E44" s="2236" t="str">
        <f>VLOOKUP('3.Cropland'!X91,List!$D$35:$E$37,2,)</f>
        <v>Linear</v>
      </c>
      <c r="F44" s="1841">
        <f>'3.Cropland'!Y91</f>
        <v>0</v>
      </c>
      <c r="G44" s="2236" t="str">
        <f>VLOOKUP('3.Cropland'!Z91,List!$D$35:$E$37,2,)</f>
        <v>Linear</v>
      </c>
      <c r="H44" s="1488">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89">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92">
        <f>(MIN(C44,D44)*time_tot+ABS(D44-C44)*IF(D44&gt;C44,time2+time*(VLOOKUP(E44,List!$E$35:$F$37,2,)),time*(1-(VLOOKUP(E44,List!$E$35:$F$37,2,)))))*$T23*methane/1000</f>
        <v>0</v>
      </c>
      <c r="K44" s="1492">
        <f>(MIN(C44,F44)*time_tot+ABS(F44-C44)*IF(F44&gt;C44,time2+time*(VLOOKUP(G44,List!$E$35:$F$37,2,)),time*(1-(VLOOKUP(G44,List!$E$35:$F$37,2,)))))*$T23*methane/1000</f>
        <v>0</v>
      </c>
      <c r="L44" s="1488">
        <f>(MIN(C44,D44)*time_tot+ABS(D44-C44)*IF(D44&gt;C44,time2+time*(VLOOKUP(E44,List!$E$35:$F$37,2,)),time*(1-(VLOOKUP(E44,List!$E$35:$F$37,2,)))))*$U23</f>
        <v>0</v>
      </c>
      <c r="M44" s="1489">
        <f>(MIN(C44,F44)*time_tot+ABS(F44-C44)*IF(F44&gt;C44,time2+time*(VLOOKUP(G44,List!$E$35:$F$37,2,)),time*(1-(VLOOKUP(G44,List!$E$35:$F$37,2,)))))*$U23</f>
        <v>0</v>
      </c>
      <c r="N44" s="1492">
        <f t="shared" si="4"/>
        <v>0</v>
      </c>
      <c r="O44" s="1489">
        <f t="shared" si="5"/>
        <v>0</v>
      </c>
      <c r="P44" s="1040">
        <f t="shared" si="11"/>
        <v>0</v>
      </c>
      <c r="R44" s="2093">
        <f>$V23*(time*((ABS(D44-C44)*(IF(C44&lt;=D44,VLOOKUP(E44,List!$E$35:$F$37,2,),1-VLOOKUP(E44,List!$E$35:$F$37,2,))))+MIN(D44,C44))+(D44*time2))</f>
        <v>0</v>
      </c>
      <c r="S44" s="2093">
        <f>$V23*(time*((ABS(F44-C44)*(IF(C44&lt;=F44,VLOOKUP(G44,List!$E$35:$F$37,2,),1-VLOOKUP(G44,List!$E$35:$F$37,2,))))+MIN(F44,C44))+(F44*time2))</f>
        <v>0</v>
      </c>
      <c r="T44" s="2084">
        <f t="shared" si="6"/>
        <v>0</v>
      </c>
      <c r="U44" s="9"/>
      <c r="V44" s="9"/>
      <c r="W44" s="55"/>
      <c r="AF44" s="1952">
        <f t="shared" si="7"/>
        <v>0</v>
      </c>
      <c r="AG44" s="1952">
        <f t="shared" si="8"/>
        <v>0</v>
      </c>
      <c r="AH44" s="1952">
        <f t="shared" si="9"/>
        <v>0</v>
      </c>
      <c r="AI44" s="1964">
        <f t="shared" si="2"/>
        <v>0</v>
      </c>
      <c r="AJ44" s="1964">
        <f t="shared" si="3"/>
        <v>0</v>
      </c>
    </row>
    <row r="45" spans="2:36">
      <c r="B45" s="153" t="str">
        <f t="shared" si="10"/>
        <v>Rice10</v>
      </c>
      <c r="C45" s="1914">
        <f>'3.Cropland'!V92</f>
        <v>0</v>
      </c>
      <c r="D45" s="1914">
        <f>'3.Cropland'!W92</f>
        <v>0</v>
      </c>
      <c r="E45" s="2236" t="str">
        <f>VLOOKUP('3.Cropland'!X92,List!$D$35:$E$37,2,)</f>
        <v>Linear</v>
      </c>
      <c r="F45" s="1841">
        <f>'3.Cropland'!Y92</f>
        <v>0</v>
      </c>
      <c r="G45" s="2236" t="str">
        <f>VLOOKUP('3.Cropland'!Z92,List!$D$35:$E$37,2,)</f>
        <v>Linear</v>
      </c>
      <c r="H45" s="1490">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91">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93">
        <f>(MIN(C45,D45)*time_tot+ABS(D45-C45)*IF(D45&gt;C45,time2+time*(VLOOKUP(E45,List!$E$35:$F$37,2,)),time*(1-(VLOOKUP(E45,List!$E$35:$F$37,2,)))))*$T24*methane/1000</f>
        <v>0</v>
      </c>
      <c r="K45" s="1493">
        <f>(MIN(C45,F45)*time_tot+ABS(F45-C45)*IF(F45&gt;C45,time2+time*(VLOOKUP(G45,List!$E$35:$F$37,2,)),time*(1-(VLOOKUP(G45,List!$E$35:$F$37,2,)))))*$T24*methane/1000</f>
        <v>0</v>
      </c>
      <c r="L45" s="1490">
        <f>(MIN(C45,D45)*time_tot+ABS(D45-C45)*IF(D45&gt;C45,time2+time*(VLOOKUP(E45,List!$E$35:$F$37,2,)),time*(1-(VLOOKUP(E45,List!$E$35:$F$37,2,)))))*$U24</f>
        <v>0</v>
      </c>
      <c r="M45" s="1491">
        <f>(MIN(C45,F45)*time_tot+ABS(F45-C45)*IF(F45&gt;C45,time2+time*(VLOOKUP(G45,List!$E$35:$F$37,2,)),time*(1-(VLOOKUP(G45,List!$E$35:$F$37,2,)))))*$U24</f>
        <v>0</v>
      </c>
      <c r="N45" s="1493">
        <f t="shared" si="4"/>
        <v>0</v>
      </c>
      <c r="O45" s="1491">
        <f t="shared" si="5"/>
        <v>0</v>
      </c>
      <c r="P45" s="1041">
        <f t="shared" si="11"/>
        <v>0</v>
      </c>
      <c r="R45" s="2093">
        <f>$V24*(time*((ABS(D45-C45)*(IF(C45&lt;=D45,VLOOKUP(E45,List!$E$35:$F$37,2,),1-VLOOKUP(E45,List!$E$35:$F$37,2,))))+MIN(D45,C45))+(D45*time2))</f>
        <v>0</v>
      </c>
      <c r="S45" s="2093">
        <f>$V24*(time*((ABS(F45-C45)*(IF(C45&lt;=F45,VLOOKUP(G45,List!$E$35:$F$37,2,),1-VLOOKUP(G45,List!$E$35:$F$37,2,))))+MIN(F45,C45))+(F45*time2))</f>
        <v>0</v>
      </c>
      <c r="T45" s="2084">
        <f t="shared" si="6"/>
        <v>0</v>
      </c>
      <c r="U45" s="9"/>
      <c r="V45" s="9"/>
      <c r="W45" s="55"/>
      <c r="AF45" s="1952">
        <f t="shared" si="7"/>
        <v>0</v>
      </c>
      <c r="AG45" s="1952">
        <f t="shared" si="8"/>
        <v>0</v>
      </c>
      <c r="AH45" s="1952">
        <f t="shared" si="9"/>
        <v>0</v>
      </c>
      <c r="AI45" s="1964">
        <f t="shared" si="2"/>
        <v>0</v>
      </c>
      <c r="AJ45" s="1964">
        <f t="shared" si="3"/>
        <v>0</v>
      </c>
    </row>
    <row r="46" spans="2:36" ht="13.8" thickBot="1">
      <c r="B46" s="293" t="s">
        <v>1175</v>
      </c>
      <c r="C46" s="198">
        <f>SUM(C36:C45)</f>
        <v>0</v>
      </c>
      <c r="D46" s="198">
        <f>SUM(D36:D45)</f>
        <v>0</v>
      </c>
      <c r="E46" s="294"/>
      <c r="F46" s="198">
        <f>SUM(F36:F45)</f>
        <v>0</v>
      </c>
      <c r="G46" s="1207" t="str">
        <f>IF(C46=D46,IF(D46=F46,"","Check areas !"),"Check areas !")</f>
        <v/>
      </c>
      <c r="H46" s="1208"/>
      <c r="I46" s="297"/>
      <c r="P46" s="9"/>
      <c r="Q46" s="9"/>
      <c r="S46" s="1"/>
      <c r="T46" s="1"/>
      <c r="U46" s="9"/>
      <c r="V46" s="9"/>
      <c r="W46" s="55"/>
      <c r="AF46" s="1952"/>
      <c r="AG46" s="1952"/>
      <c r="AH46" s="1952"/>
      <c r="AI46" s="1952"/>
      <c r="AJ46" s="1952"/>
    </row>
    <row r="47" spans="2:36" ht="13.8" thickBot="1">
      <c r="C47" s="9"/>
      <c r="E47" s="1"/>
      <c r="M47" s="231" t="s">
        <v>670</v>
      </c>
      <c r="N47" s="1376">
        <f>SUM(N32:N45)</f>
        <v>0</v>
      </c>
      <c r="O47" s="1377">
        <f>SUM(O32:O45)</f>
        <v>0</v>
      </c>
      <c r="P47" s="934">
        <f>SUM(P32:P45)</f>
        <v>0</v>
      </c>
      <c r="Q47" s="9"/>
      <c r="R47" s="2092">
        <f>SUM(R32:R45)</f>
        <v>0</v>
      </c>
      <c r="S47" s="2092">
        <f>SUM(S32:S45)</f>
        <v>0</v>
      </c>
      <c r="T47" s="2092">
        <f>SUM(T32:T45)</f>
        <v>0</v>
      </c>
      <c r="U47" s="1"/>
      <c r="AF47" s="1952">
        <f>SUM(AF32:AF45)</f>
        <v>0</v>
      </c>
      <c r="AG47" s="1952">
        <f>SUM(AG32:AG45)</f>
        <v>0</v>
      </c>
      <c r="AH47" s="1952">
        <f>SUM(AH32:AH45)</f>
        <v>0</v>
      </c>
      <c r="AI47" s="1952">
        <f>SUM(AI32:AI45)</f>
        <v>0</v>
      </c>
      <c r="AJ47" s="1952">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39"/>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O46"/>
  <sheetViews>
    <sheetView topLeftCell="A11" zoomScaleNormal="100" workbookViewId="0">
      <selection activeCell="M37" sqref="M37"/>
    </sheetView>
  </sheetViews>
  <sheetFormatPr baseColWidth="10" defaultColWidth="8.88671875" defaultRowHeight="13.2"/>
  <cols>
    <col min="1" max="4" width="8.88671875" style="233" customWidth="1"/>
    <col min="5" max="5" width="10" style="233" customWidth="1"/>
    <col min="6" max="8" width="8.88671875" style="233" customWidth="1"/>
    <col min="9" max="9" width="10.109375" style="233" customWidth="1"/>
    <col min="10" max="12" width="8.88671875" style="233" customWidth="1"/>
    <col min="13" max="13" width="8.88671875" style="234" customWidth="1"/>
    <col min="14" max="16384" width="8.88671875" style="233"/>
  </cols>
  <sheetData>
    <row r="1" spans="2:90" s="1678" customFormat="1" ht="22.95" customHeight="1">
      <c r="M1" s="1682"/>
    </row>
    <row r="2" spans="2:90" s="1678" customFormat="1" ht="22.95" customHeight="1">
      <c r="M2" s="1682"/>
    </row>
    <row r="3" spans="2:90" s="1678" customFormat="1" ht="22.95" customHeight="1">
      <c r="M3" s="1682"/>
    </row>
    <row r="4" spans="2:90" s="1678" customFormat="1" ht="22.95" customHeight="1">
      <c r="M4" s="1682"/>
    </row>
    <row r="5" spans="2:90" s="1678" customFormat="1" ht="22.95" customHeight="1">
      <c r="B5" s="1735" t="s">
        <v>1264</v>
      </c>
      <c r="C5" s="1736"/>
      <c r="D5" s="1736">
        <f>title</f>
        <v>0</v>
      </c>
      <c r="E5" s="1736"/>
      <c r="F5" s="1736"/>
      <c r="G5" s="1736"/>
      <c r="H5" s="1736"/>
      <c r="I5" s="1736"/>
      <c r="J5" s="1736"/>
      <c r="K5" s="1736"/>
      <c r="L5" s="1736"/>
      <c r="M5" s="1737"/>
    </row>
    <row r="6" spans="2:90" ht="13.8" thickBot="1">
      <c r="AP6" s="431" t="s">
        <v>1240</v>
      </c>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row>
    <row r="7" spans="2:90" ht="13.8" thickBot="1">
      <c r="B7" s="432" t="s">
        <v>271</v>
      </c>
      <c r="C7" s="433"/>
      <c r="D7" s="433"/>
      <c r="E7" s="3169" t="s">
        <v>1105</v>
      </c>
      <c r="F7" s="3170"/>
      <c r="G7" s="3170"/>
      <c r="H7" s="3170"/>
      <c r="I7" s="3170"/>
      <c r="J7" s="3170"/>
      <c r="K7" s="3171"/>
      <c r="L7" s="434"/>
      <c r="M7" s="435"/>
      <c r="N7" s="434"/>
      <c r="O7" s="434"/>
      <c r="P7" s="434"/>
      <c r="Q7" s="434"/>
      <c r="R7" s="434"/>
      <c r="S7" s="434"/>
      <c r="T7" s="434"/>
      <c r="U7" s="434"/>
      <c r="W7" s="436" t="s">
        <v>1109</v>
      </c>
      <c r="X7" s="437"/>
      <c r="Y7" s="437"/>
      <c r="Z7" s="437"/>
      <c r="AA7" s="437"/>
      <c r="AB7" s="437"/>
      <c r="AC7" s="437"/>
      <c r="AD7" s="437"/>
      <c r="AE7" s="437"/>
      <c r="AG7" s="438" t="s">
        <v>1113</v>
      </c>
      <c r="AH7" s="439"/>
      <c r="AI7" s="439"/>
      <c r="AJ7" s="439"/>
      <c r="AK7" s="439"/>
      <c r="AL7" s="439"/>
      <c r="AM7" s="439"/>
      <c r="AN7" s="439"/>
      <c r="AP7" s="440" t="s">
        <v>676</v>
      </c>
      <c r="AQ7" s="441" t="s">
        <v>673</v>
      </c>
      <c r="AR7" s="441" t="s">
        <v>1637</v>
      </c>
      <c r="AS7" s="441" t="s">
        <v>675</v>
      </c>
      <c r="AT7" s="441" t="s">
        <v>334</v>
      </c>
      <c r="AU7" s="441" t="s">
        <v>1207</v>
      </c>
      <c r="AV7" s="441" t="s">
        <v>100</v>
      </c>
      <c r="AW7" s="442" t="str">
        <f>AQ7</f>
        <v>Perennial/Tree Crop</v>
      </c>
      <c r="AX7" s="441" t="str">
        <f>AP7</f>
        <v>Annual Crop</v>
      </c>
      <c r="AY7" s="441" t="str">
        <f>AR7</f>
        <v>Flooded Rice</v>
      </c>
      <c r="AZ7" s="441" t="str">
        <f>AS7</f>
        <v>Set aside</v>
      </c>
      <c r="BA7" s="441" t="str">
        <f>AT7</f>
        <v>Grassland</v>
      </c>
      <c r="BB7" s="441" t="str">
        <f>AU7</f>
        <v>Degraded</v>
      </c>
      <c r="BC7" s="441" t="str">
        <f>AV7</f>
        <v xml:space="preserve">Other </v>
      </c>
      <c r="BD7" s="442" t="str">
        <f>AY7</f>
        <v>Flooded Rice</v>
      </c>
      <c r="BE7" s="441" t="str">
        <f>AX7</f>
        <v>Annual Crop</v>
      </c>
      <c r="BF7" s="441" t="str">
        <f>AW7</f>
        <v>Perennial/Tree Crop</v>
      </c>
      <c r="BG7" s="441" t="str">
        <f>AZ7</f>
        <v>Set aside</v>
      </c>
      <c r="BH7" s="441" t="str">
        <f>BA7</f>
        <v>Grassland</v>
      </c>
      <c r="BI7" s="441" t="str">
        <f>BB7</f>
        <v>Degraded</v>
      </c>
      <c r="BJ7" s="441" t="str">
        <f>BC7</f>
        <v xml:space="preserve">Other </v>
      </c>
      <c r="BK7" s="442" t="str">
        <f>BG7</f>
        <v>Set aside</v>
      </c>
      <c r="BL7" s="441" t="str">
        <f>BE7</f>
        <v>Annual Crop</v>
      </c>
      <c r="BM7" s="441" t="str">
        <f>BF7</f>
        <v>Perennial/Tree Crop</v>
      </c>
      <c r="BN7" s="441" t="str">
        <f>BD7</f>
        <v>Flooded Rice</v>
      </c>
      <c r="BO7" s="441" t="str">
        <f>BH7</f>
        <v>Grassland</v>
      </c>
      <c r="BP7" s="441" t="str">
        <f>BI7</f>
        <v>Degraded</v>
      </c>
      <c r="BQ7" s="441" t="str">
        <f>BJ7</f>
        <v xml:space="preserve">Other </v>
      </c>
      <c r="BR7" s="442" t="str">
        <f>BO7</f>
        <v>Grassland</v>
      </c>
      <c r="BS7" s="441" t="str">
        <f>BL7</f>
        <v>Annual Crop</v>
      </c>
      <c r="BT7" s="441" t="str">
        <f>BM7</f>
        <v>Perennial/Tree Crop</v>
      </c>
      <c r="BU7" s="441" t="str">
        <f>BN7</f>
        <v>Flooded Rice</v>
      </c>
      <c r="BV7" s="441" t="str">
        <f>BK7</f>
        <v>Set aside</v>
      </c>
      <c r="BW7" s="441" t="str">
        <f>BP7</f>
        <v>Degraded</v>
      </c>
      <c r="BX7" s="441" t="str">
        <f>BQ7</f>
        <v xml:space="preserve">Other </v>
      </c>
      <c r="BY7" s="442" t="str">
        <f>BW7</f>
        <v>Degraded</v>
      </c>
      <c r="BZ7" s="441" t="str">
        <f>BS7</f>
        <v>Annual Crop</v>
      </c>
      <c r="CA7" s="441" t="str">
        <f>BT7</f>
        <v>Perennial/Tree Crop</v>
      </c>
      <c r="CB7" s="441" t="str">
        <f>BU7</f>
        <v>Flooded Rice</v>
      </c>
      <c r="CC7" s="441" t="str">
        <f>BV7</f>
        <v>Set aside</v>
      </c>
      <c r="CD7" s="441" t="str">
        <f>BR7</f>
        <v>Grassland</v>
      </c>
      <c r="CE7" s="441" t="str">
        <f>BX7</f>
        <v xml:space="preserve">Other </v>
      </c>
      <c r="CF7" s="443" t="str">
        <f>CE7</f>
        <v xml:space="preserve">Other </v>
      </c>
      <c r="CG7" s="441" t="str">
        <f>BZ7</f>
        <v>Annual Crop</v>
      </c>
      <c r="CH7" s="441" t="str">
        <f>CA7</f>
        <v>Perennial/Tree Crop</v>
      </c>
      <c r="CI7" s="441" t="str">
        <f>CB7</f>
        <v>Flooded Rice</v>
      </c>
      <c r="CJ7" s="441" t="str">
        <f>CC7</f>
        <v>Set aside</v>
      </c>
      <c r="CK7" s="441" t="str">
        <f>CD7</f>
        <v>Grassland</v>
      </c>
      <c r="CL7" s="441" t="str">
        <f>BY7</f>
        <v>Degraded</v>
      </c>
    </row>
    <row r="8" spans="2:90" ht="15.6">
      <c r="B8" s="444"/>
      <c r="C8" s="445" t="s">
        <v>689</v>
      </c>
      <c r="D8" s="446"/>
      <c r="E8" s="447" t="s">
        <v>1119</v>
      </c>
      <c r="F8" s="3168" t="s">
        <v>1106</v>
      </c>
      <c r="G8" s="3168"/>
      <c r="H8" s="3168"/>
      <c r="I8" s="448" t="s">
        <v>334</v>
      </c>
      <c r="J8" s="3168" t="s">
        <v>1107</v>
      </c>
      <c r="K8" s="3172"/>
      <c r="L8" s="241"/>
      <c r="M8" s="435"/>
      <c r="N8" s="241"/>
      <c r="O8" s="241"/>
      <c r="P8" s="241"/>
      <c r="Q8" s="241"/>
      <c r="R8" s="241"/>
      <c r="S8" s="241"/>
      <c r="T8" s="241"/>
      <c r="U8" s="241"/>
      <c r="W8" s="437"/>
      <c r="X8" s="437" t="str">
        <f>List!A62</f>
        <v>Annual Crop</v>
      </c>
      <c r="Y8" s="437" t="str">
        <f>List!A63</f>
        <v>Perennial/Tree Crop</v>
      </c>
      <c r="Z8" s="437" t="str">
        <f>List!A64</f>
        <v>Flooded Rice</v>
      </c>
      <c r="AA8" s="437" t="str">
        <f>List!A66</f>
        <v>Grassland</v>
      </c>
      <c r="AB8" s="437" t="str">
        <f>List!A65</f>
        <v>Set aside</v>
      </c>
      <c r="AC8" s="437" t="str">
        <f>List!A67</f>
        <v>Degraded</v>
      </c>
      <c r="AD8" s="437" t="str">
        <f>List!A68</f>
        <v>Other (nominal)</v>
      </c>
      <c r="AE8" s="437" t="str">
        <f>List!A69</f>
        <v>Other (degraded)</v>
      </c>
      <c r="AG8" s="449" t="s">
        <v>676</v>
      </c>
      <c r="AH8" s="439" t="s">
        <v>1001</v>
      </c>
      <c r="AI8" s="439" t="s">
        <v>1003</v>
      </c>
      <c r="AJ8" s="439" t="s">
        <v>1004</v>
      </c>
      <c r="AK8" s="439" t="s">
        <v>1637</v>
      </c>
      <c r="AL8" s="439" t="s">
        <v>674</v>
      </c>
      <c r="AM8" s="439" t="s">
        <v>334</v>
      </c>
      <c r="AN8" s="439" t="s">
        <v>998</v>
      </c>
      <c r="AP8" s="442"/>
      <c r="AQ8" s="431">
        <f>IF(LEFT('non Forest LUC'!$D9,6)=LEFT(Matrix!$AP$7,6),IF(LEFT('non Forest LUC'!$F9,6)=LEFT(Matrix!AQ$7,6),'non Forest LUC'!$D31,0),0)</f>
        <v>0</v>
      </c>
      <c r="AR8" s="431">
        <f>IF(LEFT('non Forest LUC'!$D9,6)=LEFT(Matrix!$AP$7,6),IF(LEFT('non Forest LUC'!$F9,6)=LEFT(Matrix!AR$7,6),'non Forest LUC'!$D31,0),0)</f>
        <v>0</v>
      </c>
      <c r="AS8" s="431">
        <f>IF(LEFT('non Forest LUC'!$D9,6)=LEFT(Matrix!$AP$7,6),IF(LEFT('non Forest LUC'!$F9,6)=LEFT(Matrix!AS$7,6),'non Forest LUC'!$D31,0),0)</f>
        <v>0</v>
      </c>
      <c r="AT8" s="431">
        <f>IF(LEFT('non Forest LUC'!$D9,6)=LEFT(Matrix!$AP$7,6),IF(LEFT('non Forest LUC'!$F9,6)=LEFT(Matrix!AT$7,6),'non Forest LUC'!$D31,0),0)</f>
        <v>0</v>
      </c>
      <c r="AU8" s="431">
        <f>IF(LEFT('non Forest LUC'!$D9,6)=LEFT(Matrix!$AP$7,6),IF(LEFT('non Forest LUC'!$F9,6)=LEFT(Matrix!AU$7,6),'non Forest LUC'!$D31,0),0)</f>
        <v>0</v>
      </c>
      <c r="AV8" s="431">
        <f>IF(LEFT('non Forest LUC'!$D9,6)=LEFT(Matrix!$AP$7,6),IF(LEFT('non Forest LUC'!$F9,6)=LEFT(Matrix!AV$7,6),'non Forest LUC'!$D31,0),0)</f>
        <v>0</v>
      </c>
      <c r="AW8" s="442"/>
      <c r="AX8" s="431">
        <f>IF(LEFT('non Forest LUC'!$D9,6)=LEFT(Matrix!$AW$7,6),IF(LEFT('non Forest LUC'!$F9,6)=LEFT(Matrix!AX$7,6),'non Forest LUC'!$D31,0),0)</f>
        <v>0</v>
      </c>
      <c r="AY8" s="431">
        <f>IF(LEFT('non Forest LUC'!$D9,6)=LEFT(Matrix!$AW$7,6),IF(LEFT('non Forest LUC'!$F9,6)=LEFT(Matrix!AY$7,6),'non Forest LUC'!$D31,0),0)</f>
        <v>0</v>
      </c>
      <c r="AZ8" s="431">
        <f>IF(LEFT('non Forest LUC'!$D9,6)=LEFT(Matrix!$AW$7,6),IF(LEFT('non Forest LUC'!$F9,6)=LEFT(Matrix!AZ$7,6),'non Forest LUC'!$D31,0),0)</f>
        <v>0</v>
      </c>
      <c r="BA8" s="431">
        <f>IF(LEFT('non Forest LUC'!$D9,6)=LEFT(Matrix!$AW$7,6),IF(LEFT('non Forest LUC'!$F9,6)=LEFT(Matrix!BA$7,6),'non Forest LUC'!$D31,0),0)</f>
        <v>0</v>
      </c>
      <c r="BB8" s="431">
        <f>IF(LEFT('non Forest LUC'!$D9,6)=LEFT(Matrix!$AW$7,6),IF(LEFT('non Forest LUC'!$F9,6)=LEFT(Matrix!BB$7,6),'non Forest LUC'!$D31,0),0)</f>
        <v>0</v>
      </c>
      <c r="BC8" s="431">
        <f>IF(LEFT('non Forest LUC'!$D9,6)=LEFT(Matrix!$AW$7,6),IF(LEFT('non Forest LUC'!$F9,6)=LEFT(Matrix!BC$7,6),'non Forest LUC'!$D31,0),0)</f>
        <v>0</v>
      </c>
      <c r="BD8" s="442"/>
      <c r="BE8" s="431">
        <f>IF(LEFT('non Forest LUC'!$D9,6)=LEFT(Matrix!$BD$7,6),IF(LEFT('non Forest LUC'!$F9,6)=LEFT(Matrix!BE$7,6),'non Forest LUC'!$D31,0),0)</f>
        <v>0</v>
      </c>
      <c r="BF8" s="431">
        <f>IF(LEFT('non Forest LUC'!$D9,6)=LEFT(Matrix!$BD$7,6),IF(LEFT('non Forest LUC'!$F9,6)=LEFT(Matrix!BF$7,6),'non Forest LUC'!$D31,0),0)</f>
        <v>0</v>
      </c>
      <c r="BG8" s="431">
        <f>IF(LEFT('non Forest LUC'!$D9,6)=LEFT(Matrix!$BD$7,6),IF(LEFT('non Forest LUC'!$F9,6)=LEFT(Matrix!BG$7,6),'non Forest LUC'!$D31,0),0)</f>
        <v>0</v>
      </c>
      <c r="BH8" s="431">
        <f>IF(LEFT('non Forest LUC'!$D9,6)=LEFT(Matrix!$BD$7,6),IF(LEFT('non Forest LUC'!$F9,6)=LEFT(Matrix!BH$7,6),'non Forest LUC'!$D31,0),0)</f>
        <v>0</v>
      </c>
      <c r="BI8" s="431">
        <f>IF(LEFT('non Forest LUC'!$D9,6)=LEFT(Matrix!$BD$7,6),IF(LEFT('non Forest LUC'!$F9,6)=LEFT(Matrix!BI$7,6),'non Forest LUC'!$D31,0),0)</f>
        <v>0</v>
      </c>
      <c r="BJ8" s="431">
        <f>IF(LEFT('non Forest LUC'!$D9,6)=LEFT(Matrix!$BD$7,6),IF(LEFT('non Forest LUC'!$F9,6)=LEFT(Matrix!BJ$7,6),'non Forest LUC'!$D31,0),0)</f>
        <v>0</v>
      </c>
      <c r="BK8" s="442"/>
      <c r="BL8" s="431">
        <f>IF(LEFT('non Forest LUC'!$D9,6)=LEFT(Matrix!$BK$7,6),IF(LEFT('non Forest LUC'!$F9,6)=LEFT(Matrix!BL$7,6),'non Forest LUC'!$D31,0),0)</f>
        <v>0</v>
      </c>
      <c r="BM8" s="431">
        <f>IF(LEFT('non Forest LUC'!$D9,6)=LEFT(Matrix!$BK$7,6),IF(LEFT('non Forest LUC'!$F9,6)=LEFT(Matrix!BM$7,6),'non Forest LUC'!$D31,0),0)</f>
        <v>0</v>
      </c>
      <c r="BN8" s="431">
        <f>IF(LEFT('non Forest LUC'!$D9,6)=LEFT(Matrix!$BK$7,6),IF(LEFT('non Forest LUC'!$F9,6)=LEFT(Matrix!BN$7,6),'non Forest LUC'!$D31,0),0)</f>
        <v>0</v>
      </c>
      <c r="BO8" s="431">
        <f>IF(LEFT('non Forest LUC'!$D9,6)=LEFT(Matrix!$BK$7,6),IF(LEFT('non Forest LUC'!$F9,6)=LEFT(Matrix!BO$7,6),'non Forest LUC'!$D31,0),0)</f>
        <v>0</v>
      </c>
      <c r="BP8" s="431">
        <f>IF(LEFT('non Forest LUC'!$D9,6)=LEFT(Matrix!$BK$7,6),IF(LEFT('non Forest LUC'!$F9,6)=LEFT(Matrix!BP$7,6),'non Forest LUC'!$D31,0),0)</f>
        <v>0</v>
      </c>
      <c r="BQ8" s="431">
        <f>IF(LEFT('non Forest LUC'!$D9,6)=LEFT(Matrix!$BK$7,6),IF(LEFT('non Forest LUC'!$F9,6)=LEFT(Matrix!BQ$7,6),'non Forest LUC'!$D31,0),0)</f>
        <v>0</v>
      </c>
      <c r="BR8" s="442"/>
      <c r="BS8" s="431">
        <f>IF(LEFT('non Forest LUC'!$D9,6)=LEFT(Matrix!$BR$7,6),IF(LEFT('non Forest LUC'!$F9,6)=LEFT(Matrix!BS$7,6),'non Forest LUC'!$D31,0),0)</f>
        <v>0</v>
      </c>
      <c r="BT8" s="431">
        <f>IF(LEFT('non Forest LUC'!$D9,6)=LEFT(Matrix!$BR$7,6),IF(LEFT('non Forest LUC'!$F9,6)=LEFT(Matrix!BT$7,6),'non Forest LUC'!$D31,0),0)</f>
        <v>0</v>
      </c>
      <c r="BU8" s="431">
        <f>IF(LEFT('non Forest LUC'!$D9,6)=LEFT(Matrix!$BR$7,6),IF(LEFT('non Forest LUC'!$F9,6)=LEFT(Matrix!BU$7,6),'non Forest LUC'!$D31,0),0)</f>
        <v>0</v>
      </c>
      <c r="BV8" s="431">
        <f>IF(LEFT('non Forest LUC'!$D9,6)=LEFT(Matrix!$BR$7,6),IF(LEFT('non Forest LUC'!$F9,6)=LEFT(Matrix!BV$7,6),'non Forest LUC'!$D31,0),0)</f>
        <v>0</v>
      </c>
      <c r="BW8" s="431">
        <f>IF(LEFT('non Forest LUC'!$D9,6)=LEFT(Matrix!$BR$7,6),IF(LEFT('non Forest LUC'!$F9,6)=LEFT(Matrix!BW$7,6),'non Forest LUC'!$D31,0),0)</f>
        <v>0</v>
      </c>
      <c r="BX8" s="431">
        <f>IF(LEFT('non Forest LUC'!$D9,6)=LEFT(Matrix!$BR$7,6),IF(LEFT('non Forest LUC'!$F9,6)=LEFT(Matrix!BX$7,6),'non Forest LUC'!$D31,0),0)</f>
        <v>0</v>
      </c>
      <c r="BY8" s="442"/>
      <c r="BZ8" s="431">
        <f>IF(LEFT('non Forest LUC'!$D9,6)=LEFT(Matrix!$BY$7,6),IF(LEFT('non Forest LUC'!$F9,6)=LEFT(Matrix!BZ$7,6),'non Forest LUC'!$D31,0),0)</f>
        <v>0</v>
      </c>
      <c r="CA8" s="431">
        <f>IF(LEFT('non Forest LUC'!$D9,6)=LEFT(Matrix!$BY$7,6),IF(LEFT('non Forest LUC'!$F9,6)=LEFT(Matrix!CA$7,6),'non Forest LUC'!$D31,0),0)</f>
        <v>0</v>
      </c>
      <c r="CB8" s="431">
        <f>IF(LEFT('non Forest LUC'!$D9,6)=LEFT(Matrix!$BY$7,6),IF(LEFT('non Forest LUC'!$F9,6)=LEFT(Matrix!CB$7,6),'non Forest LUC'!$D31,0),0)</f>
        <v>0</v>
      </c>
      <c r="CC8" s="431">
        <f>IF(LEFT('non Forest LUC'!$D9,6)=LEFT(Matrix!$BY$7,6),IF(LEFT('non Forest LUC'!$F9,6)=LEFT(Matrix!CC$7,6),'non Forest LUC'!$D31,0),0)</f>
        <v>0</v>
      </c>
      <c r="CD8" s="431">
        <f>IF(LEFT('non Forest LUC'!$D9,6)=LEFT(Matrix!$BY$7,6),IF(LEFT('non Forest LUC'!$F9,6)=LEFT(Matrix!CD$7,6),'non Forest LUC'!$D31,0),0)</f>
        <v>0</v>
      </c>
      <c r="CE8" s="431">
        <f>IF(LEFT('non Forest LUC'!$D9,6)=LEFT(Matrix!$BY$7,6),IF(LEFT('non Forest LUC'!$F9,6)=LEFT(Matrix!CE$7,6),'non Forest LUC'!$D31,0),0)</f>
        <v>0</v>
      </c>
      <c r="CF8" s="442"/>
      <c r="CG8" s="431">
        <f>IF(LEFT('non Forest LUC'!$D9,6)=LEFT(Matrix!$CF$7,6),IF(LEFT('non Forest LUC'!$F9,6)=LEFT(Matrix!CG$7,6),'non Forest LUC'!$D31,0),0)</f>
        <v>0</v>
      </c>
      <c r="CH8" s="431">
        <f>IF(LEFT('non Forest LUC'!$D9,6)=LEFT(Matrix!$CF$7,6),IF(LEFT('non Forest LUC'!$F9,6)=LEFT(Matrix!CH$7,6),'non Forest LUC'!$D31,0),0)</f>
        <v>0</v>
      </c>
      <c r="CI8" s="431">
        <f>IF(LEFT('non Forest LUC'!$D9,6)=LEFT(Matrix!$CF$7,6),IF(LEFT('non Forest LUC'!$F9,6)=LEFT(Matrix!CI$7,6),'non Forest LUC'!$D31,0),0)</f>
        <v>0</v>
      </c>
      <c r="CJ8" s="431">
        <f>IF(LEFT('non Forest LUC'!$D9,6)=LEFT(Matrix!$CF$7,6),IF(LEFT('non Forest LUC'!$F9,6)=LEFT(Matrix!CJ$7,6),'non Forest LUC'!$D31,0),0)</f>
        <v>0</v>
      </c>
      <c r="CK8" s="431">
        <f>IF(LEFT('non Forest LUC'!$D9,6)=LEFT(Matrix!$CF$7,6),IF(LEFT('non Forest LUC'!$F9,6)=LEFT(Matrix!CK$7,6),'non Forest LUC'!$D31,0),0)</f>
        <v>0</v>
      </c>
      <c r="CL8" s="431">
        <f>IF(LEFT('non Forest LUC'!$D9,6)=LEFT(Matrix!$CF$7,6),IF(LEFT('non Forest LUC'!$F9,6)=LEFT(Matrix!CL$7,6),'non Forest LUC'!$D31,0),0)</f>
        <v>0</v>
      </c>
    </row>
    <row r="9" spans="2:90" ht="13.8" thickBot="1">
      <c r="B9" s="444"/>
      <c r="C9" s="450"/>
      <c r="D9" s="451"/>
      <c r="E9" s="452" t="s">
        <v>392</v>
      </c>
      <c r="F9" s="453" t="s">
        <v>1110</v>
      </c>
      <c r="G9" s="453" t="s">
        <v>1111</v>
      </c>
      <c r="H9" s="453" t="s">
        <v>1112</v>
      </c>
      <c r="I9" s="454"/>
      <c r="J9" s="454" t="s">
        <v>1207</v>
      </c>
      <c r="K9" s="455" t="s">
        <v>393</v>
      </c>
      <c r="L9" s="240"/>
      <c r="M9" s="456" t="s">
        <v>1117</v>
      </c>
      <c r="O9" s="240"/>
      <c r="P9" s="240"/>
      <c r="Q9" s="240"/>
      <c r="R9" s="240"/>
      <c r="S9" s="240"/>
      <c r="T9" s="240"/>
      <c r="U9" s="240"/>
      <c r="W9" s="437"/>
      <c r="X9" s="457">
        <f>IF(Deforestation!$I27=X$8,1,0)*Deforestation!$H42</f>
        <v>0</v>
      </c>
      <c r="Y9" s="457">
        <f>IF(Deforestation!$I27=Y$8,1,0)*Deforestation!$H42</f>
        <v>0</v>
      </c>
      <c r="Z9" s="457">
        <f>IF(Deforestation!$I27=Z$8,1,0)*Deforestation!$H42</f>
        <v>0</v>
      </c>
      <c r="AA9" s="457">
        <f>IF(Deforestation!$I27=AA$8,1,0)*Deforestation!$H42</f>
        <v>0</v>
      </c>
      <c r="AB9" s="457">
        <f>IF(Deforestation!$I27=AB$8,1,0)*Deforestation!$H42</f>
        <v>0</v>
      </c>
      <c r="AC9" s="457">
        <f>IF(Deforestation!$I27=AC$8,1,0)*Deforestation!$H42</f>
        <v>0</v>
      </c>
      <c r="AD9" s="457">
        <f>IF(Deforestation!$I27=AD$8,1,0)*Deforestation!$H42</f>
        <v>0</v>
      </c>
      <c r="AE9" s="457">
        <f>IF(Deforestation!$I27=AE$8,1,0)*Deforestation!$H42</f>
        <v>0</v>
      </c>
      <c r="AG9" s="439">
        <f>IF(AG$8='A-R'!$E27,'A-R'!$E42,0)</f>
        <v>0</v>
      </c>
      <c r="AH9" s="439">
        <f>IF(AH$8='A-R'!$E27,'A-R'!$E42,0)</f>
        <v>0</v>
      </c>
      <c r="AI9" s="439">
        <f>IF(AI$8='A-R'!$E27,'A-R'!$E42,0)</f>
        <v>0</v>
      </c>
      <c r="AJ9" s="439">
        <f>IF(AJ$8='A-R'!$E27,'A-R'!$E42,0)</f>
        <v>0</v>
      </c>
      <c r="AK9" s="439">
        <f>IF(AK$8='A-R'!$E27,'A-R'!$E42,0)</f>
        <v>0</v>
      </c>
      <c r="AL9" s="439">
        <f>IF(AL$8='A-R'!$E27,'A-R'!$E42,0)</f>
        <v>0</v>
      </c>
      <c r="AM9" s="439">
        <f>IF(AM$8='A-R'!$E27,'A-R'!$E42,0)</f>
        <v>0</v>
      </c>
      <c r="AN9" s="439">
        <f>IF(AN$8='A-R'!$E27,'A-R'!$E42,0)</f>
        <v>0</v>
      </c>
      <c r="AP9" s="442"/>
      <c r="AQ9" s="431">
        <f>IF(LEFT('non Forest LUC'!$D10,6)=LEFT(Matrix!$AP$7,6),IF(LEFT('non Forest LUC'!$F10,6)=LEFT(Matrix!AQ$7,6),'non Forest LUC'!$D32,0),0)</f>
        <v>0</v>
      </c>
      <c r="AR9" s="431">
        <f>IF(LEFT('non Forest LUC'!$D10,6)=LEFT(Matrix!$AP$7,6),IF(LEFT('non Forest LUC'!$F10,6)=LEFT(Matrix!AR$7,6),'non Forest LUC'!$D32,0),0)</f>
        <v>0</v>
      </c>
      <c r="AS9" s="431">
        <f>IF(LEFT('non Forest LUC'!$D10,6)=LEFT(Matrix!$AP$7,6),IF(LEFT('non Forest LUC'!$F10,6)=LEFT(Matrix!AS$7,6),'non Forest LUC'!$D32,0),0)</f>
        <v>0</v>
      </c>
      <c r="AT9" s="431">
        <f>IF(LEFT('non Forest LUC'!$D10,6)=LEFT(Matrix!$AP$7,6),IF(LEFT('non Forest LUC'!$F10,6)=LEFT(Matrix!AT$7,6),'non Forest LUC'!$D32,0),0)</f>
        <v>0</v>
      </c>
      <c r="AU9" s="431">
        <f>IF(LEFT('non Forest LUC'!$D10,6)=LEFT(Matrix!$AP$7,6),IF(LEFT('non Forest LUC'!$F10,6)=LEFT(Matrix!AU$7,6),'non Forest LUC'!$D32,0),0)</f>
        <v>0</v>
      </c>
      <c r="AV9" s="431">
        <f>IF(LEFT('non Forest LUC'!$D10,6)=LEFT(Matrix!$AP$7,6),IF(LEFT('non Forest LUC'!$F10,6)=LEFT(Matrix!AV$7,6),'non Forest LUC'!$D32,0),0)</f>
        <v>0</v>
      </c>
      <c r="AW9" s="442"/>
      <c r="AX9" s="431">
        <f>IF(LEFT('non Forest LUC'!$D10,6)=LEFT(Matrix!$AW$7,6),IF(LEFT('non Forest LUC'!$F10,6)=LEFT(Matrix!AX$7,6),'non Forest LUC'!$D32,0),0)</f>
        <v>0</v>
      </c>
      <c r="AY9" s="431">
        <f>IF(LEFT('non Forest LUC'!$D10,6)=LEFT(Matrix!$AW$7,6),IF(LEFT('non Forest LUC'!$F10,6)=LEFT(Matrix!AY$7,6),'non Forest LUC'!$D32,0),0)</f>
        <v>0</v>
      </c>
      <c r="AZ9" s="431">
        <f>IF(LEFT('non Forest LUC'!$D10,6)=LEFT(Matrix!$AW$7,6),IF(LEFT('non Forest LUC'!$F10,6)=LEFT(Matrix!AZ$7,6),'non Forest LUC'!$D32,0),0)</f>
        <v>0</v>
      </c>
      <c r="BA9" s="431">
        <f>IF(LEFT('non Forest LUC'!$D10,6)=LEFT(Matrix!$AW$7,6),IF(LEFT('non Forest LUC'!$F10,6)=LEFT(Matrix!BA$7,6),'non Forest LUC'!$D32,0),0)</f>
        <v>0</v>
      </c>
      <c r="BB9" s="431">
        <f>IF(LEFT('non Forest LUC'!$D10,6)=LEFT(Matrix!$AW$7,6),IF(LEFT('non Forest LUC'!$F10,6)=LEFT(Matrix!BB$7,6),'non Forest LUC'!$D32,0),0)</f>
        <v>0</v>
      </c>
      <c r="BC9" s="431">
        <f>IF(LEFT('non Forest LUC'!$D10,6)=LEFT(Matrix!$AW$7,6),IF(LEFT('non Forest LUC'!$F10,6)=LEFT(Matrix!BC$7,6),'non Forest LUC'!$D32,0),0)</f>
        <v>0</v>
      </c>
      <c r="BD9" s="442"/>
      <c r="BE9" s="431">
        <f>IF(LEFT('non Forest LUC'!$D10,6)=LEFT(Matrix!$BD$7,6),IF(LEFT('non Forest LUC'!$F10,6)=LEFT(Matrix!BE$7,6),'non Forest LUC'!$D32,0),0)</f>
        <v>0</v>
      </c>
      <c r="BF9" s="431">
        <f>IF(LEFT('non Forest LUC'!$D10,6)=LEFT(Matrix!$BD$7,6),IF(LEFT('non Forest LUC'!$F10,6)=LEFT(Matrix!BF$7,6),'non Forest LUC'!$D32,0),0)</f>
        <v>0</v>
      </c>
      <c r="BG9" s="431">
        <f>IF(LEFT('non Forest LUC'!$D10,6)=LEFT(Matrix!$BD$7,6),IF(LEFT('non Forest LUC'!$F10,6)=LEFT(Matrix!BG$7,6),'non Forest LUC'!$D32,0),0)</f>
        <v>0</v>
      </c>
      <c r="BH9" s="431">
        <f>IF(LEFT('non Forest LUC'!$D10,6)=LEFT(Matrix!$BD$7,6),IF(LEFT('non Forest LUC'!$F10,6)=LEFT(Matrix!BH$7,6),'non Forest LUC'!$D32,0),0)</f>
        <v>0</v>
      </c>
      <c r="BI9" s="431">
        <f>IF(LEFT('non Forest LUC'!$D10,6)=LEFT(Matrix!$BD$7,6),IF(LEFT('non Forest LUC'!$F10,6)=LEFT(Matrix!BI$7,6),'non Forest LUC'!$D32,0),0)</f>
        <v>0</v>
      </c>
      <c r="BJ9" s="431">
        <f>IF(LEFT('non Forest LUC'!$D10,6)=LEFT(Matrix!$BD$7,6),IF(LEFT('non Forest LUC'!$F10,6)=LEFT(Matrix!BJ$7,6),'non Forest LUC'!$D32,0),0)</f>
        <v>0</v>
      </c>
      <c r="BK9" s="442"/>
      <c r="BL9" s="431">
        <f>IF(LEFT('non Forest LUC'!$D10,6)=LEFT(Matrix!$BK$7,6),IF(LEFT('non Forest LUC'!$F10,6)=LEFT(Matrix!BL$7,6),'non Forest LUC'!$D32,0),0)</f>
        <v>0</v>
      </c>
      <c r="BM9" s="431">
        <f>IF(LEFT('non Forest LUC'!$D10,6)=LEFT(Matrix!$BK$7,6),IF(LEFT('non Forest LUC'!$F10,6)=LEFT(Matrix!BM$7,6),'non Forest LUC'!$D32,0),0)</f>
        <v>0</v>
      </c>
      <c r="BN9" s="431">
        <f>IF(LEFT('non Forest LUC'!$D10,6)=LEFT(Matrix!$BK$7,6),IF(LEFT('non Forest LUC'!$F10,6)=LEFT(Matrix!BN$7,6),'non Forest LUC'!$D32,0),0)</f>
        <v>0</v>
      </c>
      <c r="BO9" s="431">
        <f>IF(LEFT('non Forest LUC'!$D10,6)=LEFT(Matrix!$BK$7,6),IF(LEFT('non Forest LUC'!$F10,6)=LEFT(Matrix!BO$7,6),'non Forest LUC'!$D32,0),0)</f>
        <v>0</v>
      </c>
      <c r="BP9" s="431">
        <f>IF(LEFT('non Forest LUC'!$D10,6)=LEFT(Matrix!$BK$7,6),IF(LEFT('non Forest LUC'!$F10,6)=LEFT(Matrix!BP$7,6),'non Forest LUC'!$D32,0),0)</f>
        <v>0</v>
      </c>
      <c r="BQ9" s="431">
        <f>IF(LEFT('non Forest LUC'!$D10,6)=LEFT(Matrix!$BK$7,6),IF(LEFT('non Forest LUC'!$F10,6)=LEFT(Matrix!BQ$7,6),'non Forest LUC'!$D32,0),0)</f>
        <v>0</v>
      </c>
      <c r="BR9" s="442"/>
      <c r="BS9" s="431">
        <f>IF(LEFT('non Forest LUC'!$D10,6)=LEFT(Matrix!$BR$7,6),IF(LEFT('non Forest LUC'!$F10,6)=LEFT(Matrix!BS$7,6),'non Forest LUC'!$D32,0),0)</f>
        <v>0</v>
      </c>
      <c r="BT9" s="431">
        <f>IF(LEFT('non Forest LUC'!$D10,6)=LEFT(Matrix!$BR$7,6),IF(LEFT('non Forest LUC'!$F10,6)=LEFT(Matrix!BT$7,6),'non Forest LUC'!$D32,0),0)</f>
        <v>0</v>
      </c>
      <c r="BU9" s="431">
        <f>IF(LEFT('non Forest LUC'!$D10,6)=LEFT(Matrix!$BR$7,6),IF(LEFT('non Forest LUC'!$F10,6)=LEFT(Matrix!BU$7,6),'non Forest LUC'!$D32,0),0)</f>
        <v>0</v>
      </c>
      <c r="BV9" s="431">
        <f>IF(LEFT('non Forest LUC'!$D10,6)=LEFT(Matrix!$BR$7,6),IF(LEFT('non Forest LUC'!$F10,6)=LEFT(Matrix!BV$7,6),'non Forest LUC'!$D32,0),0)</f>
        <v>0</v>
      </c>
      <c r="BW9" s="431">
        <f>IF(LEFT('non Forest LUC'!$D10,6)=LEFT(Matrix!$BR$7,6),IF(LEFT('non Forest LUC'!$F10,6)=LEFT(Matrix!BW$7,6),'non Forest LUC'!$D32,0),0)</f>
        <v>0</v>
      </c>
      <c r="BX9" s="431">
        <f>IF(LEFT('non Forest LUC'!$D10,6)=LEFT(Matrix!$BR$7,6),IF(LEFT('non Forest LUC'!$F10,6)=LEFT(Matrix!BX$7,6),'non Forest LUC'!$D32,0),0)</f>
        <v>0</v>
      </c>
      <c r="BY9" s="442"/>
      <c r="BZ9" s="431">
        <f>IF(LEFT('non Forest LUC'!$D10,6)=LEFT(Matrix!$BY$7,6),IF(LEFT('non Forest LUC'!$F10,6)=LEFT(Matrix!BZ$7,6),'non Forest LUC'!$D32,0),0)</f>
        <v>0</v>
      </c>
      <c r="CA9" s="431">
        <f>IF(LEFT('non Forest LUC'!$D10,6)=LEFT(Matrix!$BY$7,6),IF(LEFT('non Forest LUC'!$F10,6)=LEFT(Matrix!CA$7,6),'non Forest LUC'!$D32,0),0)</f>
        <v>0</v>
      </c>
      <c r="CB9" s="431">
        <f>IF(LEFT('non Forest LUC'!$D10,6)=LEFT(Matrix!$BY$7,6),IF(LEFT('non Forest LUC'!$F10,6)=LEFT(Matrix!CB$7,6),'non Forest LUC'!$D32,0),0)</f>
        <v>0</v>
      </c>
      <c r="CC9" s="431">
        <f>IF(LEFT('non Forest LUC'!$D10,6)=LEFT(Matrix!$BY$7,6),IF(LEFT('non Forest LUC'!$F10,6)=LEFT(Matrix!CC$7,6),'non Forest LUC'!$D32,0),0)</f>
        <v>0</v>
      </c>
      <c r="CD9" s="431">
        <f>IF(LEFT('non Forest LUC'!$D10,6)=LEFT(Matrix!$BY$7,6),IF(LEFT('non Forest LUC'!$F10,6)=LEFT(Matrix!CD$7,6),'non Forest LUC'!$D32,0),0)</f>
        <v>0</v>
      </c>
      <c r="CE9" s="431">
        <f>IF(LEFT('non Forest LUC'!$D10,6)=LEFT(Matrix!$BY$7,6),IF(LEFT('non Forest LUC'!$F10,6)=LEFT(Matrix!CE$7,6),'non Forest LUC'!$D32,0),0)</f>
        <v>0</v>
      </c>
      <c r="CF9" s="442"/>
      <c r="CG9" s="431">
        <f>IF(LEFT('non Forest LUC'!$D10,6)=LEFT(Matrix!$CF$7,6),IF(LEFT('non Forest LUC'!$F10,6)=LEFT(Matrix!CG$7,6),'non Forest LUC'!$D32,0),0)</f>
        <v>0</v>
      </c>
      <c r="CH9" s="431">
        <f>IF(LEFT('non Forest LUC'!$D10,6)=LEFT(Matrix!$CF$7,6),IF(LEFT('non Forest LUC'!$F10,6)=LEFT(Matrix!CH$7,6),'non Forest LUC'!$D32,0),0)</f>
        <v>0</v>
      </c>
      <c r="CI9" s="431">
        <f>IF(LEFT('non Forest LUC'!$D10,6)=LEFT(Matrix!$CF$7,6),IF(LEFT('non Forest LUC'!$F10,6)=LEFT(Matrix!CI$7,6),'non Forest LUC'!$D32,0),0)</f>
        <v>0</v>
      </c>
      <c r="CJ9" s="431">
        <f>IF(LEFT('non Forest LUC'!$D10,6)=LEFT(Matrix!$CF$7,6),IF(LEFT('non Forest LUC'!$F10,6)=LEFT(Matrix!CJ$7,6),'non Forest LUC'!$D32,0),0)</f>
        <v>0</v>
      </c>
      <c r="CK9" s="431">
        <f>IF(LEFT('non Forest LUC'!$D10,6)=LEFT(Matrix!$CF$7,6),IF(LEFT('non Forest LUC'!$F10,6)=LEFT(Matrix!CK$7,6),'non Forest LUC'!$D32,0),0)</f>
        <v>0</v>
      </c>
      <c r="CL9" s="431">
        <f>IF(LEFT('non Forest LUC'!$D10,6)=LEFT(Matrix!$CF$7,6),IF(LEFT('non Forest LUC'!$F10,6)=LEFT(Matrix!CL$7,6),'non Forest LUC'!$D32,0),0)</f>
        <v>0</v>
      </c>
    </row>
    <row r="10" spans="2:90">
      <c r="B10" s="447" t="s">
        <v>1108</v>
      </c>
      <c r="C10" s="447" t="s">
        <v>1114</v>
      </c>
      <c r="D10" s="458"/>
      <c r="E10" s="1301">
        <f>SUM(Deforestation!C42:C51)-SUM(Deforestation!H42:H51)+SUM('Forest Degradation'!C43:C52)</f>
        <v>0</v>
      </c>
      <c r="F10" s="460">
        <f>X19</f>
        <v>0</v>
      </c>
      <c r="G10" s="461">
        <f>Y19</f>
        <v>0</v>
      </c>
      <c r="H10" s="461">
        <f>Z19</f>
        <v>0</v>
      </c>
      <c r="I10" s="462">
        <f>AA19</f>
        <v>0</v>
      </c>
      <c r="J10" s="463">
        <f>AC19+AE19</f>
        <v>0</v>
      </c>
      <c r="K10" s="464">
        <f>AB19+AD19</f>
        <v>0</v>
      </c>
      <c r="L10" s="240"/>
      <c r="M10" s="465">
        <f t="shared" ref="M10:M15" si="0">SUM(E10:K10)</f>
        <v>0</v>
      </c>
      <c r="O10" s="466"/>
      <c r="P10" s="466"/>
      <c r="Q10" s="466"/>
      <c r="R10" s="466"/>
      <c r="S10" s="466"/>
      <c r="T10" s="466"/>
      <c r="U10" s="466"/>
      <c r="W10" s="437"/>
      <c r="X10" s="457">
        <f>IF(Deforestation!$I28=X$8,1,0)*Deforestation!$H43</f>
        <v>0</v>
      </c>
      <c r="Y10" s="457">
        <f>IF(Deforestation!$I28=Y$8,1,0)*Deforestation!$H43</f>
        <v>0</v>
      </c>
      <c r="Z10" s="457">
        <f>IF(Deforestation!$I28=Z$8,1,0)*Deforestation!$H43</f>
        <v>0</v>
      </c>
      <c r="AA10" s="457">
        <f>IF(Deforestation!$I28=AA$8,1,0)*Deforestation!$H43</f>
        <v>0</v>
      </c>
      <c r="AB10" s="457">
        <f>IF(Deforestation!$I28=AB$8,1,0)*Deforestation!$H43</f>
        <v>0</v>
      </c>
      <c r="AC10" s="457">
        <f>IF(Deforestation!$I28=AC$8,1,0)*Deforestation!$H43</f>
        <v>0</v>
      </c>
      <c r="AD10" s="457">
        <f>IF(Deforestation!$I28=AD$8,1,0)*Deforestation!$H43</f>
        <v>0</v>
      </c>
      <c r="AE10" s="457">
        <f>IF(Deforestation!$I28=AE$8,1,0)*Deforestation!$H43</f>
        <v>0</v>
      </c>
      <c r="AG10" s="439">
        <f>IF(AG$8='A-R'!$E28,'A-R'!$E43,0)</f>
        <v>0</v>
      </c>
      <c r="AH10" s="439">
        <f>IF(AH$8='A-R'!$E28,'A-R'!$E43,0)</f>
        <v>0</v>
      </c>
      <c r="AI10" s="439">
        <f>IF(AI$8='A-R'!$E28,'A-R'!$E43,0)</f>
        <v>0</v>
      </c>
      <c r="AJ10" s="439">
        <f>IF(AJ$8='A-R'!$E28,'A-R'!$E43,0)</f>
        <v>0</v>
      </c>
      <c r="AK10" s="439">
        <f>IF(AK$8='A-R'!$E28,'A-R'!$E43,0)</f>
        <v>0</v>
      </c>
      <c r="AL10" s="439">
        <f>IF(AL$8='A-R'!$E28,'A-R'!$E43,0)</f>
        <v>0</v>
      </c>
      <c r="AM10" s="439">
        <f>IF(AM$8='A-R'!$E28,'A-R'!$E43,0)</f>
        <v>0</v>
      </c>
      <c r="AN10" s="439">
        <f>IF(AN$8='A-R'!$E28,'A-R'!$E43,0)</f>
        <v>0</v>
      </c>
      <c r="AP10" s="442"/>
      <c r="AQ10" s="431">
        <f>IF(LEFT('non Forest LUC'!$D11,6)=LEFT(Matrix!$AP$7,6),IF(LEFT('non Forest LUC'!$F11,6)=LEFT(Matrix!AQ$7,6),'non Forest LUC'!$D33,0),0)</f>
        <v>0</v>
      </c>
      <c r="AR10" s="431">
        <f>IF(LEFT('non Forest LUC'!$D11,6)=LEFT(Matrix!$AP$7,6),IF(LEFT('non Forest LUC'!$F11,6)=LEFT(Matrix!AR$7,6),'non Forest LUC'!$D33,0),0)</f>
        <v>0</v>
      </c>
      <c r="AS10" s="431">
        <f>IF(LEFT('non Forest LUC'!$D11,6)=LEFT(Matrix!$AP$7,6),IF(LEFT('non Forest LUC'!$F11,6)=LEFT(Matrix!AS$7,6),'non Forest LUC'!$D33,0),0)</f>
        <v>0</v>
      </c>
      <c r="AT10" s="431">
        <f>IF(LEFT('non Forest LUC'!$D11,6)=LEFT(Matrix!$AP$7,6),IF(LEFT('non Forest LUC'!$F11,6)=LEFT(Matrix!AT$7,6),'non Forest LUC'!$D33,0),0)</f>
        <v>0</v>
      </c>
      <c r="AU10" s="431">
        <f>IF(LEFT('non Forest LUC'!$D11,6)=LEFT(Matrix!$AP$7,6),IF(LEFT('non Forest LUC'!$F11,6)=LEFT(Matrix!AU$7,6),'non Forest LUC'!$D33,0),0)</f>
        <v>0</v>
      </c>
      <c r="AV10" s="431">
        <f>IF(LEFT('non Forest LUC'!$D11,6)=LEFT(Matrix!$AP$7,6),IF(LEFT('non Forest LUC'!$F11,6)=LEFT(Matrix!AV$7,6),'non Forest LUC'!$D33,0),0)</f>
        <v>0</v>
      </c>
      <c r="AW10" s="442"/>
      <c r="AX10" s="431">
        <f>IF(LEFT('non Forest LUC'!$D11,6)=LEFT(Matrix!$AW$7,6),IF(LEFT('non Forest LUC'!$F11,6)=LEFT(Matrix!AX$7,6),'non Forest LUC'!$D33,0),0)</f>
        <v>0</v>
      </c>
      <c r="AY10" s="431">
        <f>IF(LEFT('non Forest LUC'!$D11,6)=LEFT(Matrix!$AW$7,6),IF(LEFT('non Forest LUC'!$F11,6)=LEFT(Matrix!AY$7,6),'non Forest LUC'!$D33,0),0)</f>
        <v>0</v>
      </c>
      <c r="AZ10" s="431">
        <f>IF(LEFT('non Forest LUC'!$D11,6)=LEFT(Matrix!$AW$7,6),IF(LEFT('non Forest LUC'!$F11,6)=LEFT(Matrix!AZ$7,6),'non Forest LUC'!$D33,0),0)</f>
        <v>0</v>
      </c>
      <c r="BA10" s="431">
        <f>IF(LEFT('non Forest LUC'!$D11,6)=LEFT(Matrix!$AW$7,6),IF(LEFT('non Forest LUC'!$F11,6)=LEFT(Matrix!BA$7,6),'non Forest LUC'!$D33,0),0)</f>
        <v>0</v>
      </c>
      <c r="BB10" s="431">
        <f>IF(LEFT('non Forest LUC'!$D11,6)=LEFT(Matrix!$AW$7,6),IF(LEFT('non Forest LUC'!$F11,6)=LEFT(Matrix!BB$7,6),'non Forest LUC'!$D33,0),0)</f>
        <v>0</v>
      </c>
      <c r="BC10" s="431">
        <f>IF(LEFT('non Forest LUC'!$D11,6)=LEFT(Matrix!$AW$7,6),IF(LEFT('non Forest LUC'!$F11,6)=LEFT(Matrix!BC$7,6),'non Forest LUC'!$D33,0),0)</f>
        <v>0</v>
      </c>
      <c r="BD10" s="442"/>
      <c r="BE10" s="431">
        <f>IF(LEFT('non Forest LUC'!$D11,6)=LEFT(Matrix!$BD$7,6),IF(LEFT('non Forest LUC'!$F11,6)=LEFT(Matrix!BE$7,6),'non Forest LUC'!$D33,0),0)</f>
        <v>0</v>
      </c>
      <c r="BF10" s="431">
        <f>IF(LEFT('non Forest LUC'!$D11,6)=LEFT(Matrix!$BD$7,6),IF(LEFT('non Forest LUC'!$F11,6)=LEFT(Matrix!BF$7,6),'non Forest LUC'!$D33,0),0)</f>
        <v>0</v>
      </c>
      <c r="BG10" s="431">
        <f>IF(LEFT('non Forest LUC'!$D11,6)=LEFT(Matrix!$BD$7,6),IF(LEFT('non Forest LUC'!$F11,6)=LEFT(Matrix!BG$7,6),'non Forest LUC'!$D33,0),0)</f>
        <v>0</v>
      </c>
      <c r="BH10" s="431">
        <f>IF(LEFT('non Forest LUC'!$D11,6)=LEFT(Matrix!$BD$7,6),IF(LEFT('non Forest LUC'!$F11,6)=LEFT(Matrix!BH$7,6),'non Forest LUC'!$D33,0),0)</f>
        <v>0</v>
      </c>
      <c r="BI10" s="431">
        <f>IF(LEFT('non Forest LUC'!$D11,6)=LEFT(Matrix!$BD$7,6),IF(LEFT('non Forest LUC'!$F11,6)=LEFT(Matrix!BI$7,6),'non Forest LUC'!$D33,0),0)</f>
        <v>0</v>
      </c>
      <c r="BJ10" s="431">
        <f>IF(LEFT('non Forest LUC'!$D11,6)=LEFT(Matrix!$BD$7,6),IF(LEFT('non Forest LUC'!$F11,6)=LEFT(Matrix!BJ$7,6),'non Forest LUC'!$D33,0),0)</f>
        <v>0</v>
      </c>
      <c r="BK10" s="442"/>
      <c r="BL10" s="431">
        <f>IF(LEFT('non Forest LUC'!$D11,6)=LEFT(Matrix!$BK$7,6),IF(LEFT('non Forest LUC'!$F11,6)=LEFT(Matrix!BL$7,6),'non Forest LUC'!$D33,0),0)</f>
        <v>0</v>
      </c>
      <c r="BM10" s="431">
        <f>IF(LEFT('non Forest LUC'!$D11,6)=LEFT(Matrix!$BK$7,6),IF(LEFT('non Forest LUC'!$F11,6)=LEFT(Matrix!BM$7,6),'non Forest LUC'!$D33,0),0)</f>
        <v>0</v>
      </c>
      <c r="BN10" s="431">
        <f>IF(LEFT('non Forest LUC'!$D11,6)=LEFT(Matrix!$BK$7,6),IF(LEFT('non Forest LUC'!$F11,6)=LEFT(Matrix!BN$7,6),'non Forest LUC'!$D33,0),0)</f>
        <v>0</v>
      </c>
      <c r="BO10" s="431">
        <f>IF(LEFT('non Forest LUC'!$D11,6)=LEFT(Matrix!$BK$7,6),IF(LEFT('non Forest LUC'!$F11,6)=LEFT(Matrix!BO$7,6),'non Forest LUC'!$D33,0),0)</f>
        <v>0</v>
      </c>
      <c r="BP10" s="431">
        <f>IF(LEFT('non Forest LUC'!$D11,6)=LEFT(Matrix!$BK$7,6),IF(LEFT('non Forest LUC'!$F11,6)=LEFT(Matrix!BP$7,6),'non Forest LUC'!$D33,0),0)</f>
        <v>0</v>
      </c>
      <c r="BQ10" s="431">
        <f>IF(LEFT('non Forest LUC'!$D11,6)=LEFT(Matrix!$BK$7,6),IF(LEFT('non Forest LUC'!$F11,6)=LEFT(Matrix!BQ$7,6),'non Forest LUC'!$D33,0),0)</f>
        <v>0</v>
      </c>
      <c r="BR10" s="442"/>
      <c r="BS10" s="431">
        <f>IF(LEFT('non Forest LUC'!$D11,6)=LEFT(Matrix!$BR$7,6),IF(LEFT('non Forest LUC'!$F11,6)=LEFT(Matrix!BS$7,6),'non Forest LUC'!$D33,0),0)</f>
        <v>0</v>
      </c>
      <c r="BT10" s="431">
        <f>IF(LEFT('non Forest LUC'!$D11,6)=LEFT(Matrix!$BR$7,6),IF(LEFT('non Forest LUC'!$F11,6)=LEFT(Matrix!BT$7,6),'non Forest LUC'!$D33,0),0)</f>
        <v>0</v>
      </c>
      <c r="BU10" s="431">
        <f>IF(LEFT('non Forest LUC'!$D11,6)=LEFT(Matrix!$BR$7,6),IF(LEFT('non Forest LUC'!$F11,6)=LEFT(Matrix!BU$7,6),'non Forest LUC'!$D33,0),0)</f>
        <v>0</v>
      </c>
      <c r="BV10" s="431">
        <f>IF(LEFT('non Forest LUC'!$D11,6)=LEFT(Matrix!$BR$7,6),IF(LEFT('non Forest LUC'!$F11,6)=LEFT(Matrix!BV$7,6),'non Forest LUC'!$D33,0),0)</f>
        <v>0</v>
      </c>
      <c r="BW10" s="431">
        <f>IF(LEFT('non Forest LUC'!$D11,6)=LEFT(Matrix!$BR$7,6),IF(LEFT('non Forest LUC'!$F11,6)=LEFT(Matrix!BW$7,6),'non Forest LUC'!$D33,0),0)</f>
        <v>0</v>
      </c>
      <c r="BX10" s="431">
        <f>IF(LEFT('non Forest LUC'!$D11,6)=LEFT(Matrix!$BR$7,6),IF(LEFT('non Forest LUC'!$F11,6)=LEFT(Matrix!BX$7,6),'non Forest LUC'!$D33,0),0)</f>
        <v>0</v>
      </c>
      <c r="BY10" s="442"/>
      <c r="BZ10" s="431">
        <f>IF(LEFT('non Forest LUC'!$D11,6)=LEFT(Matrix!$BY$7,6),IF(LEFT('non Forest LUC'!$F11,6)=LEFT(Matrix!BZ$7,6),'non Forest LUC'!$D33,0),0)</f>
        <v>0</v>
      </c>
      <c r="CA10" s="431">
        <f>IF(LEFT('non Forest LUC'!$D11,6)=LEFT(Matrix!$BY$7,6),IF(LEFT('non Forest LUC'!$F11,6)=LEFT(Matrix!CA$7,6),'non Forest LUC'!$D33,0),0)</f>
        <v>0</v>
      </c>
      <c r="CB10" s="431">
        <f>IF(LEFT('non Forest LUC'!$D11,6)=LEFT(Matrix!$BY$7,6),IF(LEFT('non Forest LUC'!$F11,6)=LEFT(Matrix!CB$7,6),'non Forest LUC'!$D33,0),0)</f>
        <v>0</v>
      </c>
      <c r="CC10" s="431">
        <f>IF(LEFT('non Forest LUC'!$D11,6)=LEFT(Matrix!$BY$7,6),IF(LEFT('non Forest LUC'!$F11,6)=LEFT(Matrix!CC$7,6),'non Forest LUC'!$D33,0),0)</f>
        <v>0</v>
      </c>
      <c r="CD10" s="431">
        <f>IF(LEFT('non Forest LUC'!$D11,6)=LEFT(Matrix!$BY$7,6),IF(LEFT('non Forest LUC'!$F11,6)=LEFT(Matrix!CD$7,6),'non Forest LUC'!$D33,0),0)</f>
        <v>0</v>
      </c>
      <c r="CE10" s="431">
        <f>IF(LEFT('non Forest LUC'!$D11,6)=LEFT(Matrix!$BY$7,6),IF(LEFT('non Forest LUC'!$F11,6)=LEFT(Matrix!CE$7,6),'non Forest LUC'!$D33,0),0)</f>
        <v>0</v>
      </c>
      <c r="CF10" s="442"/>
      <c r="CG10" s="431">
        <f>IF(LEFT('non Forest LUC'!$D11,6)=LEFT(Matrix!$CF$7,6),IF(LEFT('non Forest LUC'!$F11,6)=LEFT(Matrix!CG$7,6),'non Forest LUC'!$D33,0),0)</f>
        <v>0</v>
      </c>
      <c r="CH10" s="431">
        <f>IF(LEFT('non Forest LUC'!$D11,6)=LEFT(Matrix!$CF$7,6),IF(LEFT('non Forest LUC'!$F11,6)=LEFT(Matrix!CH$7,6),'non Forest LUC'!$D33,0),0)</f>
        <v>0</v>
      </c>
      <c r="CI10" s="431">
        <f>IF(LEFT('non Forest LUC'!$D11,6)=LEFT(Matrix!$CF$7,6),IF(LEFT('non Forest LUC'!$F11,6)=LEFT(Matrix!CI$7,6),'non Forest LUC'!$D33,0),0)</f>
        <v>0</v>
      </c>
      <c r="CJ10" s="431">
        <f>IF(LEFT('non Forest LUC'!$D11,6)=LEFT(Matrix!$CF$7,6),IF(LEFT('non Forest LUC'!$F11,6)=LEFT(Matrix!CJ$7,6),'non Forest LUC'!$D33,0),0)</f>
        <v>0</v>
      </c>
      <c r="CK10" s="431">
        <f>IF(LEFT('non Forest LUC'!$D11,6)=LEFT(Matrix!$CF$7,6),IF(LEFT('non Forest LUC'!$F11,6)=LEFT(Matrix!CK$7,6),'non Forest LUC'!$D33,0),0)</f>
        <v>0</v>
      </c>
      <c r="CL10" s="431">
        <f>IF(LEFT('non Forest LUC'!$D11,6)=LEFT(Matrix!$CF$7,6),IF(LEFT('non Forest LUC'!$F11,6)=LEFT(Matrix!CL$7,6),'non Forest LUC'!$D33,0),0)</f>
        <v>0</v>
      </c>
    </row>
    <row r="11" spans="2:90">
      <c r="B11" s="467"/>
      <c r="C11" s="468"/>
      <c r="D11" s="469" t="s">
        <v>1110</v>
      </c>
      <c r="E11" s="470">
        <f>AG19</f>
        <v>0</v>
      </c>
      <c r="F11" s="471">
        <f>Annual!D48+Annual!D35+Annual!D37</f>
        <v>0</v>
      </c>
      <c r="G11" s="472">
        <f>AQ22</f>
        <v>0</v>
      </c>
      <c r="H11" s="472">
        <f>AR22</f>
        <v>0</v>
      </c>
      <c r="I11" s="473">
        <f>AT22</f>
        <v>0</v>
      </c>
      <c r="J11" s="474">
        <f>AU22</f>
        <v>0</v>
      </c>
      <c r="K11" s="475">
        <f>AV22+AS22</f>
        <v>0</v>
      </c>
      <c r="L11" s="240"/>
      <c r="M11" s="465">
        <f t="shared" si="0"/>
        <v>0</v>
      </c>
      <c r="O11" s="476"/>
      <c r="P11" s="476"/>
      <c r="Q11" s="476"/>
      <c r="R11" s="476"/>
      <c r="S11" s="476"/>
      <c r="T11" s="476"/>
      <c r="U11" s="476"/>
      <c r="W11" s="437"/>
      <c r="X11" s="457">
        <f>IF(Deforestation!$I29=X$8,1,0)*Deforestation!$H44</f>
        <v>0</v>
      </c>
      <c r="Y11" s="457">
        <f>IF(Deforestation!$I29=Y$8,1,0)*Deforestation!$H44</f>
        <v>0</v>
      </c>
      <c r="Z11" s="457">
        <f>IF(Deforestation!$I29=Z$8,1,0)*Deforestation!$H44</f>
        <v>0</v>
      </c>
      <c r="AA11" s="457">
        <f>IF(Deforestation!$I29=AA$8,1,0)*Deforestation!$H44</f>
        <v>0</v>
      </c>
      <c r="AB11" s="457">
        <f>IF(Deforestation!$I29=AB$8,1,0)*Deforestation!$H44</f>
        <v>0</v>
      </c>
      <c r="AC11" s="457">
        <f>IF(Deforestation!$I29=AC$8,1,0)*Deforestation!$H44</f>
        <v>0</v>
      </c>
      <c r="AD11" s="457">
        <f>IF(Deforestation!$I29=AD$8,1,0)*Deforestation!$H44</f>
        <v>0</v>
      </c>
      <c r="AE11" s="457">
        <f>IF(Deforestation!$I29=AE$8,1,0)*Deforestation!$H44</f>
        <v>0</v>
      </c>
      <c r="AG11" s="439">
        <f>IF(AG$8='A-R'!$E29,'A-R'!$E44,0)</f>
        <v>0</v>
      </c>
      <c r="AH11" s="439">
        <f>IF(AH$8='A-R'!$E29,'A-R'!$E44,0)</f>
        <v>0</v>
      </c>
      <c r="AI11" s="439">
        <f>IF(AI$8='A-R'!$E29,'A-R'!$E44,0)</f>
        <v>0</v>
      </c>
      <c r="AJ11" s="439">
        <f>IF(AJ$8='A-R'!$E29,'A-R'!$E44,0)</f>
        <v>0</v>
      </c>
      <c r="AK11" s="439">
        <f>IF(AK$8='A-R'!$E29,'A-R'!$E44,0)</f>
        <v>0</v>
      </c>
      <c r="AL11" s="439">
        <f>IF(AL$8='A-R'!$E29,'A-R'!$E44,0)</f>
        <v>0</v>
      </c>
      <c r="AM11" s="439">
        <f>IF(AM$8='A-R'!$E29,'A-R'!$E44,0)</f>
        <v>0</v>
      </c>
      <c r="AN11" s="439">
        <f>IF(AN$8='A-R'!$E29,'A-R'!$E44,0)</f>
        <v>0</v>
      </c>
      <c r="AP11" s="442"/>
      <c r="AQ11" s="431">
        <f>IF(LEFT('non Forest LUC'!$D12,6)=LEFT(Matrix!$AP$7,6),IF(LEFT('non Forest LUC'!$F12,6)=LEFT(Matrix!AQ$7,6),'non Forest LUC'!$D34,0),0)</f>
        <v>0</v>
      </c>
      <c r="AR11" s="431">
        <f>IF(LEFT('non Forest LUC'!$D12,6)=LEFT(Matrix!$AP$7,6),IF(LEFT('non Forest LUC'!$F12,6)=LEFT(Matrix!AR$7,6),'non Forest LUC'!$D34,0),0)</f>
        <v>0</v>
      </c>
      <c r="AS11" s="431">
        <f>IF(LEFT('non Forest LUC'!$D12,6)=LEFT(Matrix!$AP$7,6),IF(LEFT('non Forest LUC'!$F12,6)=LEFT(Matrix!AS$7,6),'non Forest LUC'!$D34,0),0)</f>
        <v>0</v>
      </c>
      <c r="AT11" s="431">
        <f>IF(LEFT('non Forest LUC'!$D12,6)=LEFT(Matrix!$AP$7,6),IF(LEFT('non Forest LUC'!$F12,6)=LEFT(Matrix!AT$7,6),'non Forest LUC'!$D34,0),0)</f>
        <v>0</v>
      </c>
      <c r="AU11" s="431">
        <f>IF(LEFT('non Forest LUC'!$D12,6)=LEFT(Matrix!$AP$7,6),IF(LEFT('non Forest LUC'!$F12,6)=LEFT(Matrix!AU$7,6),'non Forest LUC'!$D34,0),0)</f>
        <v>0</v>
      </c>
      <c r="AV11" s="431">
        <f>IF(LEFT('non Forest LUC'!$D12,6)=LEFT(Matrix!$AP$7,6),IF(LEFT('non Forest LUC'!$F12,6)=LEFT(Matrix!AV$7,6),'non Forest LUC'!$D34,0),0)</f>
        <v>0</v>
      </c>
      <c r="AW11" s="442"/>
      <c r="AX11" s="431">
        <f>IF(LEFT('non Forest LUC'!$D12,6)=LEFT(Matrix!$AW$7,6),IF(LEFT('non Forest LUC'!$F12,6)=LEFT(Matrix!AX$7,6),'non Forest LUC'!$D34,0),0)</f>
        <v>0</v>
      </c>
      <c r="AY11" s="431">
        <f>IF(LEFT('non Forest LUC'!$D12,6)=LEFT(Matrix!$AW$7,6),IF(LEFT('non Forest LUC'!$F12,6)=LEFT(Matrix!AY$7,6),'non Forest LUC'!$D34,0),0)</f>
        <v>0</v>
      </c>
      <c r="AZ11" s="431">
        <f>IF(LEFT('non Forest LUC'!$D12,6)=LEFT(Matrix!$AW$7,6),IF(LEFT('non Forest LUC'!$F12,6)=LEFT(Matrix!AZ$7,6),'non Forest LUC'!$D34,0),0)</f>
        <v>0</v>
      </c>
      <c r="BA11" s="431">
        <f>IF(LEFT('non Forest LUC'!$D12,6)=LEFT(Matrix!$AW$7,6),IF(LEFT('non Forest LUC'!$F12,6)=LEFT(Matrix!BA$7,6),'non Forest LUC'!$D34,0),0)</f>
        <v>0</v>
      </c>
      <c r="BB11" s="431">
        <f>IF(LEFT('non Forest LUC'!$D12,6)=LEFT(Matrix!$AW$7,6),IF(LEFT('non Forest LUC'!$F12,6)=LEFT(Matrix!BB$7,6),'non Forest LUC'!$D34,0),0)</f>
        <v>0</v>
      </c>
      <c r="BC11" s="431">
        <f>IF(LEFT('non Forest LUC'!$D12,6)=LEFT(Matrix!$AW$7,6),IF(LEFT('non Forest LUC'!$F12,6)=LEFT(Matrix!BC$7,6),'non Forest LUC'!$D34,0),0)</f>
        <v>0</v>
      </c>
      <c r="BD11" s="442"/>
      <c r="BE11" s="431">
        <f>IF(LEFT('non Forest LUC'!$D12,6)=LEFT(Matrix!$BD$7,6),IF(LEFT('non Forest LUC'!$F12,6)=LEFT(Matrix!BE$7,6),'non Forest LUC'!$D34,0),0)</f>
        <v>0</v>
      </c>
      <c r="BF11" s="431">
        <f>IF(LEFT('non Forest LUC'!$D12,6)=LEFT(Matrix!$BD$7,6),IF(LEFT('non Forest LUC'!$F12,6)=LEFT(Matrix!BF$7,6),'non Forest LUC'!$D34,0),0)</f>
        <v>0</v>
      </c>
      <c r="BG11" s="431">
        <f>IF(LEFT('non Forest LUC'!$D12,6)=LEFT(Matrix!$BD$7,6),IF(LEFT('non Forest LUC'!$F12,6)=LEFT(Matrix!BG$7,6),'non Forest LUC'!$D34,0),0)</f>
        <v>0</v>
      </c>
      <c r="BH11" s="431">
        <f>IF(LEFT('non Forest LUC'!$D12,6)=LEFT(Matrix!$BD$7,6),IF(LEFT('non Forest LUC'!$F12,6)=LEFT(Matrix!BH$7,6),'non Forest LUC'!$D34,0),0)</f>
        <v>0</v>
      </c>
      <c r="BI11" s="431">
        <f>IF(LEFT('non Forest LUC'!$D12,6)=LEFT(Matrix!$BD$7,6),IF(LEFT('non Forest LUC'!$F12,6)=LEFT(Matrix!BI$7,6),'non Forest LUC'!$D34,0),0)</f>
        <v>0</v>
      </c>
      <c r="BJ11" s="431">
        <f>IF(LEFT('non Forest LUC'!$D12,6)=LEFT(Matrix!$BD$7,6),IF(LEFT('non Forest LUC'!$F12,6)=LEFT(Matrix!BJ$7,6),'non Forest LUC'!$D34,0),0)</f>
        <v>0</v>
      </c>
      <c r="BK11" s="442"/>
      <c r="BL11" s="431">
        <f>IF(LEFT('non Forest LUC'!$D12,6)=LEFT(Matrix!$BK$7,6),IF(LEFT('non Forest LUC'!$F12,6)=LEFT(Matrix!BL$7,6),'non Forest LUC'!$D34,0),0)</f>
        <v>0</v>
      </c>
      <c r="BM11" s="431">
        <f>IF(LEFT('non Forest LUC'!$D12,6)=LEFT(Matrix!$BK$7,6),IF(LEFT('non Forest LUC'!$F12,6)=LEFT(Matrix!BM$7,6),'non Forest LUC'!$D34,0),0)</f>
        <v>0</v>
      </c>
      <c r="BN11" s="431">
        <f>IF(LEFT('non Forest LUC'!$D12,6)=LEFT(Matrix!$BK$7,6),IF(LEFT('non Forest LUC'!$F12,6)=LEFT(Matrix!BN$7,6),'non Forest LUC'!$D34,0),0)</f>
        <v>0</v>
      </c>
      <c r="BO11" s="431">
        <f>IF(LEFT('non Forest LUC'!$D12,6)=LEFT(Matrix!$BK$7,6),IF(LEFT('non Forest LUC'!$F12,6)=LEFT(Matrix!BO$7,6),'non Forest LUC'!$D34,0),0)</f>
        <v>0</v>
      </c>
      <c r="BP11" s="431">
        <f>IF(LEFT('non Forest LUC'!$D12,6)=LEFT(Matrix!$BK$7,6),IF(LEFT('non Forest LUC'!$F12,6)=LEFT(Matrix!BP$7,6),'non Forest LUC'!$D34,0),0)</f>
        <v>0</v>
      </c>
      <c r="BQ11" s="431">
        <f>IF(LEFT('non Forest LUC'!$D12,6)=LEFT(Matrix!$BK$7,6),IF(LEFT('non Forest LUC'!$F12,6)=LEFT(Matrix!BQ$7,6),'non Forest LUC'!$D34,0),0)</f>
        <v>0</v>
      </c>
      <c r="BR11" s="442"/>
      <c r="BS11" s="431">
        <f>IF(LEFT('non Forest LUC'!$D12,6)=LEFT(Matrix!$BR$7,6),IF(LEFT('non Forest LUC'!$F12,6)=LEFT(Matrix!BS$7,6),'non Forest LUC'!$D34,0),0)</f>
        <v>0</v>
      </c>
      <c r="BT11" s="431">
        <f>IF(LEFT('non Forest LUC'!$D12,6)=LEFT(Matrix!$BR$7,6),IF(LEFT('non Forest LUC'!$F12,6)=LEFT(Matrix!BT$7,6),'non Forest LUC'!$D34,0),0)</f>
        <v>0</v>
      </c>
      <c r="BU11" s="431">
        <f>IF(LEFT('non Forest LUC'!$D12,6)=LEFT(Matrix!$BR$7,6),IF(LEFT('non Forest LUC'!$F12,6)=LEFT(Matrix!BU$7,6),'non Forest LUC'!$D34,0),0)</f>
        <v>0</v>
      </c>
      <c r="BV11" s="431">
        <f>IF(LEFT('non Forest LUC'!$D12,6)=LEFT(Matrix!$BR$7,6),IF(LEFT('non Forest LUC'!$F12,6)=LEFT(Matrix!BV$7,6),'non Forest LUC'!$D34,0),0)</f>
        <v>0</v>
      </c>
      <c r="BW11" s="431">
        <f>IF(LEFT('non Forest LUC'!$D12,6)=LEFT(Matrix!$BR$7,6),IF(LEFT('non Forest LUC'!$F12,6)=LEFT(Matrix!BW$7,6),'non Forest LUC'!$D34,0),0)</f>
        <v>0</v>
      </c>
      <c r="BX11" s="431">
        <f>IF(LEFT('non Forest LUC'!$D12,6)=LEFT(Matrix!$BR$7,6),IF(LEFT('non Forest LUC'!$F12,6)=LEFT(Matrix!BX$7,6),'non Forest LUC'!$D34,0),0)</f>
        <v>0</v>
      </c>
      <c r="BY11" s="442"/>
      <c r="BZ11" s="431">
        <f>IF(LEFT('non Forest LUC'!$D12,6)=LEFT(Matrix!$BY$7,6),IF(LEFT('non Forest LUC'!$F12,6)=LEFT(Matrix!BZ$7,6),'non Forest LUC'!$D34,0),0)</f>
        <v>0</v>
      </c>
      <c r="CA11" s="431">
        <f>IF(LEFT('non Forest LUC'!$D12,6)=LEFT(Matrix!$BY$7,6),IF(LEFT('non Forest LUC'!$F12,6)=LEFT(Matrix!CA$7,6),'non Forest LUC'!$D34,0),0)</f>
        <v>0</v>
      </c>
      <c r="CB11" s="431">
        <f>IF(LEFT('non Forest LUC'!$D12,6)=LEFT(Matrix!$BY$7,6),IF(LEFT('non Forest LUC'!$F12,6)=LEFT(Matrix!CB$7,6),'non Forest LUC'!$D34,0),0)</f>
        <v>0</v>
      </c>
      <c r="CC11" s="431">
        <f>IF(LEFT('non Forest LUC'!$D12,6)=LEFT(Matrix!$BY$7,6),IF(LEFT('non Forest LUC'!$F12,6)=LEFT(Matrix!CC$7,6),'non Forest LUC'!$D34,0),0)</f>
        <v>0</v>
      </c>
      <c r="CD11" s="431">
        <f>IF(LEFT('non Forest LUC'!$D12,6)=LEFT(Matrix!$BY$7,6),IF(LEFT('non Forest LUC'!$F12,6)=LEFT(Matrix!CD$7,6),'non Forest LUC'!$D34,0),0)</f>
        <v>0</v>
      </c>
      <c r="CE11" s="431">
        <f>IF(LEFT('non Forest LUC'!$D12,6)=LEFT(Matrix!$BY$7,6),IF(LEFT('non Forest LUC'!$F12,6)=LEFT(Matrix!CE$7,6),'non Forest LUC'!$D34,0),0)</f>
        <v>0</v>
      </c>
      <c r="CF11" s="442"/>
      <c r="CG11" s="431">
        <f>IF(LEFT('non Forest LUC'!$D12,6)=LEFT(Matrix!$CF$7,6),IF(LEFT('non Forest LUC'!$F12,6)=LEFT(Matrix!CG$7,6),'non Forest LUC'!$D34,0),0)</f>
        <v>0</v>
      </c>
      <c r="CH11" s="431">
        <f>IF(LEFT('non Forest LUC'!$D12,6)=LEFT(Matrix!$CF$7,6),IF(LEFT('non Forest LUC'!$F12,6)=LEFT(Matrix!CH$7,6),'non Forest LUC'!$D34,0),0)</f>
        <v>0</v>
      </c>
      <c r="CI11" s="431">
        <f>IF(LEFT('non Forest LUC'!$D12,6)=LEFT(Matrix!$CF$7,6),IF(LEFT('non Forest LUC'!$F12,6)=LEFT(Matrix!CI$7,6),'non Forest LUC'!$D34,0),0)</f>
        <v>0</v>
      </c>
      <c r="CJ11" s="431">
        <f>IF(LEFT('non Forest LUC'!$D12,6)=LEFT(Matrix!$CF$7,6),IF(LEFT('non Forest LUC'!$F12,6)=LEFT(Matrix!CJ$7,6),'non Forest LUC'!$D34,0),0)</f>
        <v>0</v>
      </c>
      <c r="CK11" s="431">
        <f>IF(LEFT('non Forest LUC'!$D12,6)=LEFT(Matrix!$CF$7,6),IF(LEFT('non Forest LUC'!$F12,6)=LEFT(Matrix!CK$7,6),'non Forest LUC'!$D34,0),0)</f>
        <v>0</v>
      </c>
      <c r="CL11" s="431">
        <f>IF(LEFT('non Forest LUC'!$D12,6)=LEFT(Matrix!$CF$7,6),IF(LEFT('non Forest LUC'!$F12,6)=LEFT(Matrix!CL$7,6),'non Forest LUC'!$D34,0),0)</f>
        <v>0</v>
      </c>
    </row>
    <row r="12" spans="2:90">
      <c r="B12" s="467"/>
      <c r="C12" s="477" t="s">
        <v>1106</v>
      </c>
      <c r="D12" s="469" t="s">
        <v>1111</v>
      </c>
      <c r="E12" s="478">
        <f>SUM(AH19:AJ19)</f>
        <v>0</v>
      </c>
      <c r="F12" s="479">
        <f>AX22</f>
        <v>0</v>
      </c>
      <c r="G12" s="480">
        <f>Perennial!D46+Perennial!D33+Perennial!D35</f>
        <v>0</v>
      </c>
      <c r="H12" s="479">
        <f>AY22</f>
        <v>0</v>
      </c>
      <c r="I12" s="481">
        <f>BA22</f>
        <v>0</v>
      </c>
      <c r="J12" s="474">
        <f>BB22</f>
        <v>0</v>
      </c>
      <c r="K12" s="482">
        <f>AZ22+BC22</f>
        <v>0</v>
      </c>
      <c r="L12" s="240"/>
      <c r="M12" s="465">
        <f t="shared" si="0"/>
        <v>0</v>
      </c>
      <c r="O12" s="476"/>
      <c r="P12" s="476"/>
      <c r="Q12" s="476"/>
      <c r="R12" s="476"/>
      <c r="S12" s="476"/>
      <c r="T12" s="476"/>
      <c r="U12" s="476"/>
      <c r="W12" s="437"/>
      <c r="X12" s="457">
        <f>IF(Deforestation!$I30=X$8,1,0)*Deforestation!$H45</f>
        <v>0</v>
      </c>
      <c r="Y12" s="457">
        <f>IF(Deforestation!$I30=Y$8,1,0)*Deforestation!$H45</f>
        <v>0</v>
      </c>
      <c r="Z12" s="457">
        <f>IF(Deforestation!$I30=Z$8,1,0)*Deforestation!$H45</f>
        <v>0</v>
      </c>
      <c r="AA12" s="457">
        <f>IF(Deforestation!$I30=AA$8,1,0)*Deforestation!$H45</f>
        <v>0</v>
      </c>
      <c r="AB12" s="457">
        <f>IF(Deforestation!$I30=AB$8,1,0)*Deforestation!$H45</f>
        <v>0</v>
      </c>
      <c r="AC12" s="457">
        <f>IF(Deforestation!$I30=AC$8,1,0)*Deforestation!$H45</f>
        <v>0</v>
      </c>
      <c r="AD12" s="457">
        <f>IF(Deforestation!$I30=AD$8,1,0)*Deforestation!$H45</f>
        <v>0</v>
      </c>
      <c r="AE12" s="457">
        <f>IF(Deforestation!$I30=AE$8,1,0)*Deforestation!$H45</f>
        <v>0</v>
      </c>
      <c r="AG12" s="439">
        <f>IF(AG$8='A-R'!$E30,'A-R'!$E45,0)</f>
        <v>0</v>
      </c>
      <c r="AH12" s="439">
        <f>IF(AH$8='A-R'!$E30,'A-R'!$E45,0)</f>
        <v>0</v>
      </c>
      <c r="AI12" s="439">
        <f>IF(AI$8='A-R'!$E30,'A-R'!$E45,0)</f>
        <v>0</v>
      </c>
      <c r="AJ12" s="439">
        <f>IF(AJ$8='A-R'!$E30,'A-R'!$E45,0)</f>
        <v>0</v>
      </c>
      <c r="AK12" s="439">
        <f>IF(AK$8='A-R'!$E30,'A-R'!$E45,0)</f>
        <v>0</v>
      </c>
      <c r="AL12" s="439">
        <f>IF(AL$8='A-R'!$E30,'A-R'!$E45,0)</f>
        <v>0</v>
      </c>
      <c r="AM12" s="439">
        <f>IF(AM$8='A-R'!$E30,'A-R'!$E45,0)</f>
        <v>0</v>
      </c>
      <c r="AN12" s="439">
        <f>IF(AN$8='A-R'!$E30,'A-R'!$E45,0)</f>
        <v>0</v>
      </c>
      <c r="AP12" s="442"/>
      <c r="AQ12" s="431">
        <f>IF(LEFT('non Forest LUC'!$D13,6)=LEFT(Matrix!$AP$7,6),IF(LEFT('non Forest LUC'!$F13,6)=LEFT(Matrix!AQ$7,6),'non Forest LUC'!$D35,0),0)</f>
        <v>0</v>
      </c>
      <c r="AR12" s="431">
        <f>IF(LEFT('non Forest LUC'!$D13,6)=LEFT(Matrix!$AP$7,6),IF(LEFT('non Forest LUC'!$F13,6)=LEFT(Matrix!AR$7,6),'non Forest LUC'!$D35,0),0)</f>
        <v>0</v>
      </c>
      <c r="AS12" s="431">
        <f>IF(LEFT('non Forest LUC'!$D13,6)=LEFT(Matrix!$AP$7,6),IF(LEFT('non Forest LUC'!$F13,6)=LEFT(Matrix!AS$7,6),'non Forest LUC'!$D35,0),0)</f>
        <v>0</v>
      </c>
      <c r="AT12" s="431">
        <f>IF(LEFT('non Forest LUC'!$D13,6)=LEFT(Matrix!$AP$7,6),IF(LEFT('non Forest LUC'!$F13,6)=LEFT(Matrix!AT$7,6),'non Forest LUC'!$D35,0),0)</f>
        <v>0</v>
      </c>
      <c r="AU12" s="431">
        <f>IF(LEFT('non Forest LUC'!$D13,6)=LEFT(Matrix!$AP$7,6),IF(LEFT('non Forest LUC'!$F13,6)=LEFT(Matrix!AU$7,6),'non Forest LUC'!$D35,0),0)</f>
        <v>0</v>
      </c>
      <c r="AV12" s="431">
        <f>IF(LEFT('non Forest LUC'!$D13,6)=LEFT(Matrix!$AP$7,6),IF(LEFT('non Forest LUC'!$F13,6)=LEFT(Matrix!AV$7,6),'non Forest LUC'!$D35,0),0)</f>
        <v>0</v>
      </c>
      <c r="AW12" s="442"/>
      <c r="AX12" s="431">
        <f>IF(LEFT('non Forest LUC'!$D13,6)=LEFT(Matrix!$AW$7,6),IF(LEFT('non Forest LUC'!$F13,6)=LEFT(Matrix!AX$7,6),'non Forest LUC'!$D35,0),0)</f>
        <v>0</v>
      </c>
      <c r="AY12" s="431">
        <f>IF(LEFT('non Forest LUC'!$D13,6)=LEFT(Matrix!$AW$7,6),IF(LEFT('non Forest LUC'!$F13,6)=LEFT(Matrix!AY$7,6),'non Forest LUC'!$D35,0),0)</f>
        <v>0</v>
      </c>
      <c r="AZ12" s="431">
        <f>IF(LEFT('non Forest LUC'!$D13,6)=LEFT(Matrix!$AW$7,6),IF(LEFT('non Forest LUC'!$F13,6)=LEFT(Matrix!AZ$7,6),'non Forest LUC'!$D35,0),0)</f>
        <v>0</v>
      </c>
      <c r="BA12" s="431">
        <f>IF(LEFT('non Forest LUC'!$D13,6)=LEFT(Matrix!$AW$7,6),IF(LEFT('non Forest LUC'!$F13,6)=LEFT(Matrix!BA$7,6),'non Forest LUC'!$D35,0),0)</f>
        <v>0</v>
      </c>
      <c r="BB12" s="431">
        <f>IF(LEFT('non Forest LUC'!$D13,6)=LEFT(Matrix!$AW$7,6),IF(LEFT('non Forest LUC'!$F13,6)=LEFT(Matrix!BB$7,6),'non Forest LUC'!$D35,0),0)</f>
        <v>0</v>
      </c>
      <c r="BC12" s="431">
        <f>IF(LEFT('non Forest LUC'!$D13,6)=LEFT(Matrix!$AW$7,6),IF(LEFT('non Forest LUC'!$F13,6)=LEFT(Matrix!BC$7,6),'non Forest LUC'!$D35,0),0)</f>
        <v>0</v>
      </c>
      <c r="BD12" s="442"/>
      <c r="BE12" s="431">
        <f>IF(LEFT('non Forest LUC'!$D13,6)=LEFT(Matrix!$BD$7,6),IF(LEFT('non Forest LUC'!$F13,6)=LEFT(Matrix!BE$7,6),'non Forest LUC'!$D35,0),0)</f>
        <v>0</v>
      </c>
      <c r="BF12" s="431">
        <f>IF(LEFT('non Forest LUC'!$D13,6)=LEFT(Matrix!$BD$7,6),IF(LEFT('non Forest LUC'!$F13,6)=LEFT(Matrix!BF$7,6),'non Forest LUC'!$D35,0),0)</f>
        <v>0</v>
      </c>
      <c r="BG12" s="431">
        <f>IF(LEFT('non Forest LUC'!$D13,6)=LEFT(Matrix!$BD$7,6),IF(LEFT('non Forest LUC'!$F13,6)=LEFT(Matrix!BG$7,6),'non Forest LUC'!$D35,0),0)</f>
        <v>0</v>
      </c>
      <c r="BH12" s="431">
        <f>IF(LEFT('non Forest LUC'!$D13,6)=LEFT(Matrix!$BD$7,6),IF(LEFT('non Forest LUC'!$F13,6)=LEFT(Matrix!BH$7,6),'non Forest LUC'!$D35,0),0)</f>
        <v>0</v>
      </c>
      <c r="BI12" s="431">
        <f>IF(LEFT('non Forest LUC'!$D13,6)=LEFT(Matrix!$BD$7,6),IF(LEFT('non Forest LUC'!$F13,6)=LEFT(Matrix!BI$7,6),'non Forest LUC'!$D35,0),0)</f>
        <v>0</v>
      </c>
      <c r="BJ12" s="431">
        <f>IF(LEFT('non Forest LUC'!$D13,6)=LEFT(Matrix!$BD$7,6),IF(LEFT('non Forest LUC'!$F13,6)=LEFT(Matrix!BJ$7,6),'non Forest LUC'!$D35,0),0)</f>
        <v>0</v>
      </c>
      <c r="BK12" s="442"/>
      <c r="BL12" s="431">
        <f>IF(LEFT('non Forest LUC'!$D13,6)=LEFT(Matrix!$BK$7,6),IF(LEFT('non Forest LUC'!$F13,6)=LEFT(Matrix!BL$7,6),'non Forest LUC'!$D35,0),0)</f>
        <v>0</v>
      </c>
      <c r="BM12" s="431">
        <f>IF(LEFT('non Forest LUC'!$D13,6)=LEFT(Matrix!$BK$7,6),IF(LEFT('non Forest LUC'!$F13,6)=LEFT(Matrix!BM$7,6),'non Forest LUC'!$D35,0),0)</f>
        <v>0</v>
      </c>
      <c r="BN12" s="431">
        <f>IF(LEFT('non Forest LUC'!$D13,6)=LEFT(Matrix!$BK$7,6),IF(LEFT('non Forest LUC'!$F13,6)=LEFT(Matrix!BN$7,6),'non Forest LUC'!$D35,0),0)</f>
        <v>0</v>
      </c>
      <c r="BO12" s="431">
        <f>IF(LEFT('non Forest LUC'!$D13,6)=LEFT(Matrix!$BK$7,6),IF(LEFT('non Forest LUC'!$F13,6)=LEFT(Matrix!BO$7,6),'non Forest LUC'!$D35,0),0)</f>
        <v>0</v>
      </c>
      <c r="BP12" s="431">
        <f>IF(LEFT('non Forest LUC'!$D13,6)=LEFT(Matrix!$BK$7,6),IF(LEFT('non Forest LUC'!$F13,6)=LEFT(Matrix!BP$7,6),'non Forest LUC'!$D35,0),0)</f>
        <v>0</v>
      </c>
      <c r="BQ12" s="431">
        <f>IF(LEFT('non Forest LUC'!$D13,6)=LEFT(Matrix!$BK$7,6),IF(LEFT('non Forest LUC'!$F13,6)=LEFT(Matrix!BQ$7,6),'non Forest LUC'!$D35,0),0)</f>
        <v>0</v>
      </c>
      <c r="BR12" s="442"/>
      <c r="BS12" s="431">
        <f>IF(LEFT('non Forest LUC'!$D13,6)=LEFT(Matrix!$BR$7,6),IF(LEFT('non Forest LUC'!$F13,6)=LEFT(Matrix!BS$7,6),'non Forest LUC'!$D35,0),0)</f>
        <v>0</v>
      </c>
      <c r="BT12" s="431">
        <f>IF(LEFT('non Forest LUC'!$D13,6)=LEFT(Matrix!$BR$7,6),IF(LEFT('non Forest LUC'!$F13,6)=LEFT(Matrix!BT$7,6),'non Forest LUC'!$D35,0),0)</f>
        <v>0</v>
      </c>
      <c r="BU12" s="431">
        <f>IF(LEFT('non Forest LUC'!$D13,6)=LEFT(Matrix!$BR$7,6),IF(LEFT('non Forest LUC'!$F13,6)=LEFT(Matrix!BU$7,6),'non Forest LUC'!$D35,0),0)</f>
        <v>0</v>
      </c>
      <c r="BV12" s="431">
        <f>IF(LEFT('non Forest LUC'!$D13,6)=LEFT(Matrix!$BR$7,6),IF(LEFT('non Forest LUC'!$F13,6)=LEFT(Matrix!BV$7,6),'non Forest LUC'!$D35,0),0)</f>
        <v>0</v>
      </c>
      <c r="BW12" s="431">
        <f>IF(LEFT('non Forest LUC'!$D13,6)=LEFT(Matrix!$BR$7,6),IF(LEFT('non Forest LUC'!$F13,6)=LEFT(Matrix!BW$7,6),'non Forest LUC'!$D35,0),0)</f>
        <v>0</v>
      </c>
      <c r="BX12" s="431">
        <f>IF(LEFT('non Forest LUC'!$D13,6)=LEFT(Matrix!$BR$7,6),IF(LEFT('non Forest LUC'!$F13,6)=LEFT(Matrix!BX$7,6),'non Forest LUC'!$D35,0),0)</f>
        <v>0</v>
      </c>
      <c r="BY12" s="442"/>
      <c r="BZ12" s="431">
        <f>IF(LEFT('non Forest LUC'!$D13,6)=LEFT(Matrix!$BY$7,6),IF(LEFT('non Forest LUC'!$F13,6)=LEFT(Matrix!BZ$7,6),'non Forest LUC'!$D35,0),0)</f>
        <v>0</v>
      </c>
      <c r="CA12" s="431">
        <f>IF(LEFT('non Forest LUC'!$D13,6)=LEFT(Matrix!$BY$7,6),IF(LEFT('non Forest LUC'!$F13,6)=LEFT(Matrix!CA$7,6),'non Forest LUC'!$D35,0),0)</f>
        <v>0</v>
      </c>
      <c r="CB12" s="431">
        <f>IF(LEFT('non Forest LUC'!$D13,6)=LEFT(Matrix!$BY$7,6),IF(LEFT('non Forest LUC'!$F13,6)=LEFT(Matrix!CB$7,6),'non Forest LUC'!$D35,0),0)</f>
        <v>0</v>
      </c>
      <c r="CC12" s="431">
        <f>IF(LEFT('non Forest LUC'!$D13,6)=LEFT(Matrix!$BY$7,6),IF(LEFT('non Forest LUC'!$F13,6)=LEFT(Matrix!CC$7,6),'non Forest LUC'!$D35,0),0)</f>
        <v>0</v>
      </c>
      <c r="CD12" s="431">
        <f>IF(LEFT('non Forest LUC'!$D13,6)=LEFT(Matrix!$BY$7,6),IF(LEFT('non Forest LUC'!$F13,6)=LEFT(Matrix!CD$7,6),'non Forest LUC'!$D35,0),0)</f>
        <v>0</v>
      </c>
      <c r="CE12" s="431">
        <f>IF(LEFT('non Forest LUC'!$D13,6)=LEFT(Matrix!$BY$7,6),IF(LEFT('non Forest LUC'!$F13,6)=LEFT(Matrix!CE$7,6),'non Forest LUC'!$D35,0),0)</f>
        <v>0</v>
      </c>
      <c r="CF12" s="442"/>
      <c r="CG12" s="431">
        <f>IF(LEFT('non Forest LUC'!$D13,6)=LEFT(Matrix!$CF$7,6),IF(LEFT('non Forest LUC'!$F13,6)=LEFT(Matrix!CG$7,6),'non Forest LUC'!$D35,0),0)</f>
        <v>0</v>
      </c>
      <c r="CH12" s="431">
        <f>IF(LEFT('non Forest LUC'!$D13,6)=LEFT(Matrix!$CF$7,6),IF(LEFT('non Forest LUC'!$F13,6)=LEFT(Matrix!CH$7,6),'non Forest LUC'!$D35,0),0)</f>
        <v>0</v>
      </c>
      <c r="CI12" s="431">
        <f>IF(LEFT('non Forest LUC'!$D13,6)=LEFT(Matrix!$CF$7,6),IF(LEFT('non Forest LUC'!$F13,6)=LEFT(Matrix!CI$7,6),'non Forest LUC'!$D35,0),0)</f>
        <v>0</v>
      </c>
      <c r="CJ12" s="431">
        <f>IF(LEFT('non Forest LUC'!$D13,6)=LEFT(Matrix!$CF$7,6),IF(LEFT('non Forest LUC'!$F13,6)=LEFT(Matrix!CJ$7,6),'non Forest LUC'!$D35,0),0)</f>
        <v>0</v>
      </c>
      <c r="CK12" s="431">
        <f>IF(LEFT('non Forest LUC'!$D13,6)=LEFT(Matrix!$CF$7,6),IF(LEFT('non Forest LUC'!$F13,6)=LEFT(Matrix!CK$7,6),'non Forest LUC'!$D35,0),0)</f>
        <v>0</v>
      </c>
      <c r="CL12" s="431">
        <f>IF(LEFT('non Forest LUC'!$D13,6)=LEFT(Matrix!$CF$7,6),IF(LEFT('non Forest LUC'!$F13,6)=LEFT(Matrix!CL$7,6),'non Forest LUC'!$D35,0),0)</f>
        <v>0</v>
      </c>
    </row>
    <row r="13" spans="2:90">
      <c r="B13" s="467"/>
      <c r="C13" s="477"/>
      <c r="D13" s="469" t="s">
        <v>1112</v>
      </c>
      <c r="E13" s="478">
        <f>AK19</f>
        <v>0</v>
      </c>
      <c r="F13" s="479">
        <f>BE22</f>
        <v>0</v>
      </c>
      <c r="G13" s="479">
        <f>BF22</f>
        <v>0</v>
      </c>
      <c r="H13" s="480">
        <f>'Irrigated Rice'!C46+'Irrigated Rice'!D33+'Irrigated Rice'!D35</f>
        <v>0</v>
      </c>
      <c r="I13" s="481">
        <f>BH22</f>
        <v>0</v>
      </c>
      <c r="J13" s="474">
        <f>BI22</f>
        <v>0</v>
      </c>
      <c r="K13" s="482">
        <f>BJ22+BG22</f>
        <v>0</v>
      </c>
      <c r="L13" s="240"/>
      <c r="M13" s="465">
        <f t="shared" si="0"/>
        <v>0</v>
      </c>
      <c r="O13" s="476"/>
      <c r="P13" s="476"/>
      <c r="Q13" s="476"/>
      <c r="R13" s="476"/>
      <c r="S13" s="476"/>
      <c r="T13" s="476"/>
      <c r="U13" s="476"/>
      <c r="W13" s="437"/>
      <c r="X13" s="457">
        <f>IF(Deforestation!$I31=X$8,1,0)*Deforestation!$H46</f>
        <v>0</v>
      </c>
      <c r="Y13" s="457">
        <f>IF(Deforestation!$I31=Y$8,1,0)*Deforestation!$H46</f>
        <v>0</v>
      </c>
      <c r="Z13" s="457">
        <f>IF(Deforestation!$I31=Z$8,1,0)*Deforestation!$H46</f>
        <v>0</v>
      </c>
      <c r="AA13" s="457">
        <f>IF(Deforestation!$I31=AA$8,1,0)*Deforestation!$H46</f>
        <v>0</v>
      </c>
      <c r="AB13" s="457">
        <f>IF(Deforestation!$I31=AB$8,1,0)*Deforestation!$H46</f>
        <v>0</v>
      </c>
      <c r="AC13" s="457">
        <f>IF(Deforestation!$I31=AC$8,1,0)*Deforestation!$H46</f>
        <v>0</v>
      </c>
      <c r="AD13" s="457">
        <f>IF(Deforestation!$I31=AD$8,1,0)*Deforestation!$H46</f>
        <v>0</v>
      </c>
      <c r="AE13" s="457">
        <f>IF(Deforestation!$I31=AE$8,1,0)*Deforestation!$H46</f>
        <v>0</v>
      </c>
      <c r="AG13" s="439">
        <f>IF(AG$8='A-R'!$E31,'A-R'!$E46,0)</f>
        <v>0</v>
      </c>
      <c r="AH13" s="439">
        <f>IF(AH$8='A-R'!$E31,'A-R'!$E46,0)</f>
        <v>0</v>
      </c>
      <c r="AI13" s="439">
        <f>IF(AI$8='A-R'!$E31,'A-R'!$E46,0)</f>
        <v>0</v>
      </c>
      <c r="AJ13" s="439">
        <f>IF(AJ$8='A-R'!$E31,'A-R'!$E46,0)</f>
        <v>0</v>
      </c>
      <c r="AK13" s="439">
        <f>IF(AK$8='A-R'!$E31,'A-R'!$E46,0)</f>
        <v>0</v>
      </c>
      <c r="AL13" s="439">
        <f>IF(AL$8='A-R'!$E31,'A-R'!$E46,0)</f>
        <v>0</v>
      </c>
      <c r="AM13" s="439">
        <f>IF(AM$8='A-R'!$E31,'A-R'!$E46,0)</f>
        <v>0</v>
      </c>
      <c r="AN13" s="439">
        <f>IF(AN$8='A-R'!$E31,'A-R'!$E46,0)</f>
        <v>0</v>
      </c>
      <c r="AP13" s="442"/>
      <c r="AQ13" s="431">
        <f>IF(LEFT('non Forest LUC'!$D14,6)=LEFT(Matrix!$AP$7,6),IF(LEFT('non Forest LUC'!$F14,6)=LEFT(Matrix!AQ$7,6),'non Forest LUC'!$D36,0),0)</f>
        <v>0</v>
      </c>
      <c r="AR13" s="431">
        <f>IF(LEFT('non Forest LUC'!$D14,6)=LEFT(Matrix!$AP$7,6),IF(LEFT('non Forest LUC'!$F14,6)=LEFT(Matrix!AR$7,6),'non Forest LUC'!$D36,0),0)</f>
        <v>0</v>
      </c>
      <c r="AS13" s="431">
        <f>IF(LEFT('non Forest LUC'!$D14,6)=LEFT(Matrix!$AP$7,6),IF(LEFT('non Forest LUC'!$F14,6)=LEFT(Matrix!AS$7,6),'non Forest LUC'!$D36,0),0)</f>
        <v>0</v>
      </c>
      <c r="AT13" s="431">
        <f>IF(LEFT('non Forest LUC'!$D14,6)=LEFT(Matrix!$AP$7,6),IF(LEFT('non Forest LUC'!$F14,6)=LEFT(Matrix!AT$7,6),'non Forest LUC'!$D36,0),0)</f>
        <v>0</v>
      </c>
      <c r="AU13" s="431">
        <f>IF(LEFT('non Forest LUC'!$D14,6)=LEFT(Matrix!$AP$7,6),IF(LEFT('non Forest LUC'!$F14,6)=LEFT(Matrix!AU$7,6),'non Forest LUC'!$D36,0),0)</f>
        <v>0</v>
      </c>
      <c r="AV13" s="431">
        <f>IF(LEFT('non Forest LUC'!$D14,6)=LEFT(Matrix!$AP$7,6),IF(LEFT('non Forest LUC'!$F14,6)=LEFT(Matrix!AV$7,6),'non Forest LUC'!$D36,0),0)</f>
        <v>0</v>
      </c>
      <c r="AW13" s="442"/>
      <c r="AX13" s="431">
        <f>IF(LEFT('non Forest LUC'!$D14,6)=LEFT(Matrix!$AW$7,6),IF(LEFT('non Forest LUC'!$F14,6)=LEFT(Matrix!AX$7,6),'non Forest LUC'!$D36,0),0)</f>
        <v>0</v>
      </c>
      <c r="AY13" s="431">
        <f>IF(LEFT('non Forest LUC'!$D14,6)=LEFT(Matrix!$AW$7,6),IF(LEFT('non Forest LUC'!$F14,6)=LEFT(Matrix!AY$7,6),'non Forest LUC'!$D36,0),0)</f>
        <v>0</v>
      </c>
      <c r="AZ13" s="431">
        <f>IF(LEFT('non Forest LUC'!$D14,6)=LEFT(Matrix!$AW$7,6),IF(LEFT('non Forest LUC'!$F14,6)=LEFT(Matrix!AZ$7,6),'non Forest LUC'!$D36,0),0)</f>
        <v>0</v>
      </c>
      <c r="BA13" s="431">
        <f>IF(LEFT('non Forest LUC'!$D14,6)=LEFT(Matrix!$AW$7,6),IF(LEFT('non Forest LUC'!$F14,6)=LEFT(Matrix!BA$7,6),'non Forest LUC'!$D36,0),0)</f>
        <v>0</v>
      </c>
      <c r="BB13" s="431">
        <f>IF(LEFT('non Forest LUC'!$D14,6)=LEFT(Matrix!$AW$7,6),IF(LEFT('non Forest LUC'!$F14,6)=LEFT(Matrix!BB$7,6),'non Forest LUC'!$D36,0),0)</f>
        <v>0</v>
      </c>
      <c r="BC13" s="431">
        <f>IF(LEFT('non Forest LUC'!$D14,6)=LEFT(Matrix!$AW$7,6),IF(LEFT('non Forest LUC'!$F14,6)=LEFT(Matrix!BC$7,6),'non Forest LUC'!$D36,0),0)</f>
        <v>0</v>
      </c>
      <c r="BD13" s="442"/>
      <c r="BE13" s="431">
        <f>IF(LEFT('non Forest LUC'!$D14,6)=LEFT(Matrix!$BD$7,6),IF(LEFT('non Forest LUC'!$F14,6)=LEFT(Matrix!BE$7,6),'non Forest LUC'!$D36,0),0)</f>
        <v>0</v>
      </c>
      <c r="BF13" s="431">
        <f>IF(LEFT('non Forest LUC'!$D14,6)=LEFT(Matrix!$BD$7,6),IF(LEFT('non Forest LUC'!$F14,6)=LEFT(Matrix!BF$7,6),'non Forest LUC'!$D36,0),0)</f>
        <v>0</v>
      </c>
      <c r="BG13" s="431">
        <f>IF(LEFT('non Forest LUC'!$D14,6)=LEFT(Matrix!$BD$7,6),IF(LEFT('non Forest LUC'!$F14,6)=LEFT(Matrix!BG$7,6),'non Forest LUC'!$D36,0),0)</f>
        <v>0</v>
      </c>
      <c r="BH13" s="431">
        <f>IF(LEFT('non Forest LUC'!$D14,6)=LEFT(Matrix!$BD$7,6),IF(LEFT('non Forest LUC'!$F14,6)=LEFT(Matrix!BH$7,6),'non Forest LUC'!$D36,0),0)</f>
        <v>0</v>
      </c>
      <c r="BI13" s="431">
        <f>IF(LEFT('non Forest LUC'!$D14,6)=LEFT(Matrix!$BD$7,6),IF(LEFT('non Forest LUC'!$F14,6)=LEFT(Matrix!BI$7,6),'non Forest LUC'!$D36,0),0)</f>
        <v>0</v>
      </c>
      <c r="BJ13" s="431">
        <f>IF(LEFT('non Forest LUC'!$D14,6)=LEFT(Matrix!$BD$7,6),IF(LEFT('non Forest LUC'!$F14,6)=LEFT(Matrix!BJ$7,6),'non Forest LUC'!$D36,0),0)</f>
        <v>0</v>
      </c>
      <c r="BK13" s="442"/>
      <c r="BL13" s="431">
        <f>IF(LEFT('non Forest LUC'!$D14,6)=LEFT(Matrix!$BK$7,6),IF(LEFT('non Forest LUC'!$F14,6)=LEFT(Matrix!BL$7,6),'non Forest LUC'!$D36,0),0)</f>
        <v>0</v>
      </c>
      <c r="BM13" s="431">
        <f>IF(LEFT('non Forest LUC'!$D14,6)=LEFT(Matrix!$BK$7,6),IF(LEFT('non Forest LUC'!$F14,6)=LEFT(Matrix!BM$7,6),'non Forest LUC'!$D36,0),0)</f>
        <v>0</v>
      </c>
      <c r="BN13" s="431">
        <f>IF(LEFT('non Forest LUC'!$D14,6)=LEFT(Matrix!$BK$7,6),IF(LEFT('non Forest LUC'!$F14,6)=LEFT(Matrix!BN$7,6),'non Forest LUC'!$D36,0),0)</f>
        <v>0</v>
      </c>
      <c r="BO13" s="431">
        <f>IF(LEFT('non Forest LUC'!$D14,6)=LEFT(Matrix!$BK$7,6),IF(LEFT('non Forest LUC'!$F14,6)=LEFT(Matrix!BO$7,6),'non Forest LUC'!$D36,0),0)</f>
        <v>0</v>
      </c>
      <c r="BP13" s="431">
        <f>IF(LEFT('non Forest LUC'!$D14,6)=LEFT(Matrix!$BK$7,6),IF(LEFT('non Forest LUC'!$F14,6)=LEFT(Matrix!BP$7,6),'non Forest LUC'!$D36,0),0)</f>
        <v>0</v>
      </c>
      <c r="BQ13" s="431">
        <f>IF(LEFT('non Forest LUC'!$D14,6)=LEFT(Matrix!$BK$7,6),IF(LEFT('non Forest LUC'!$F14,6)=LEFT(Matrix!BQ$7,6),'non Forest LUC'!$D36,0),0)</f>
        <v>0</v>
      </c>
      <c r="BR13" s="442"/>
      <c r="BS13" s="431">
        <f>IF(LEFT('non Forest LUC'!$D14,6)=LEFT(Matrix!$BR$7,6),IF(LEFT('non Forest LUC'!$F14,6)=LEFT(Matrix!BS$7,6),'non Forest LUC'!$D36,0),0)</f>
        <v>0</v>
      </c>
      <c r="BT13" s="431">
        <f>IF(LEFT('non Forest LUC'!$D14,6)=LEFT(Matrix!$BR$7,6),IF(LEFT('non Forest LUC'!$F14,6)=LEFT(Matrix!BT$7,6),'non Forest LUC'!$D36,0),0)</f>
        <v>0</v>
      </c>
      <c r="BU13" s="431">
        <f>IF(LEFT('non Forest LUC'!$D14,6)=LEFT(Matrix!$BR$7,6),IF(LEFT('non Forest LUC'!$F14,6)=LEFT(Matrix!BU$7,6),'non Forest LUC'!$D36,0),0)</f>
        <v>0</v>
      </c>
      <c r="BV13" s="431">
        <f>IF(LEFT('non Forest LUC'!$D14,6)=LEFT(Matrix!$BR$7,6),IF(LEFT('non Forest LUC'!$F14,6)=LEFT(Matrix!BV$7,6),'non Forest LUC'!$D36,0),0)</f>
        <v>0</v>
      </c>
      <c r="BW13" s="431">
        <f>IF(LEFT('non Forest LUC'!$D14,6)=LEFT(Matrix!$BR$7,6),IF(LEFT('non Forest LUC'!$F14,6)=LEFT(Matrix!BW$7,6),'non Forest LUC'!$D36,0),0)</f>
        <v>0</v>
      </c>
      <c r="BX13" s="431">
        <f>IF(LEFT('non Forest LUC'!$D14,6)=LEFT(Matrix!$BR$7,6),IF(LEFT('non Forest LUC'!$F14,6)=LEFT(Matrix!BX$7,6),'non Forest LUC'!$D36,0),0)</f>
        <v>0</v>
      </c>
      <c r="BY13" s="442"/>
      <c r="BZ13" s="431">
        <f>IF(LEFT('non Forest LUC'!$D14,6)=LEFT(Matrix!$BY$7,6),IF(LEFT('non Forest LUC'!$F14,6)=LEFT(Matrix!BZ$7,6),'non Forest LUC'!$D36,0),0)</f>
        <v>0</v>
      </c>
      <c r="CA13" s="431">
        <f>IF(LEFT('non Forest LUC'!$D14,6)=LEFT(Matrix!$BY$7,6),IF(LEFT('non Forest LUC'!$F14,6)=LEFT(Matrix!CA$7,6),'non Forest LUC'!$D36,0),0)</f>
        <v>0</v>
      </c>
      <c r="CB13" s="431">
        <f>IF(LEFT('non Forest LUC'!$D14,6)=LEFT(Matrix!$BY$7,6),IF(LEFT('non Forest LUC'!$F14,6)=LEFT(Matrix!CB$7,6),'non Forest LUC'!$D36,0),0)</f>
        <v>0</v>
      </c>
      <c r="CC13" s="431">
        <f>IF(LEFT('non Forest LUC'!$D14,6)=LEFT(Matrix!$BY$7,6),IF(LEFT('non Forest LUC'!$F14,6)=LEFT(Matrix!CC$7,6),'non Forest LUC'!$D36,0),0)</f>
        <v>0</v>
      </c>
      <c r="CD13" s="431">
        <f>IF(LEFT('non Forest LUC'!$D14,6)=LEFT(Matrix!$BY$7,6),IF(LEFT('non Forest LUC'!$F14,6)=LEFT(Matrix!CD$7,6),'non Forest LUC'!$D36,0),0)</f>
        <v>0</v>
      </c>
      <c r="CE13" s="431">
        <f>IF(LEFT('non Forest LUC'!$D14,6)=LEFT(Matrix!$BY$7,6),IF(LEFT('non Forest LUC'!$F14,6)=LEFT(Matrix!CE$7,6),'non Forest LUC'!$D36,0),0)</f>
        <v>0</v>
      </c>
      <c r="CF13" s="442"/>
      <c r="CG13" s="431">
        <f>IF(LEFT('non Forest LUC'!$D14,6)=LEFT(Matrix!$CF$7,6),IF(LEFT('non Forest LUC'!$F14,6)=LEFT(Matrix!CG$7,6),'non Forest LUC'!$D36,0),0)</f>
        <v>0</v>
      </c>
      <c r="CH13" s="431">
        <f>IF(LEFT('non Forest LUC'!$D14,6)=LEFT(Matrix!$CF$7,6),IF(LEFT('non Forest LUC'!$F14,6)=LEFT(Matrix!CH$7,6),'non Forest LUC'!$D36,0),0)</f>
        <v>0</v>
      </c>
      <c r="CI13" s="431">
        <f>IF(LEFT('non Forest LUC'!$D14,6)=LEFT(Matrix!$CF$7,6),IF(LEFT('non Forest LUC'!$F14,6)=LEFT(Matrix!CI$7,6),'non Forest LUC'!$D36,0),0)</f>
        <v>0</v>
      </c>
      <c r="CJ13" s="431">
        <f>IF(LEFT('non Forest LUC'!$D14,6)=LEFT(Matrix!$CF$7,6),IF(LEFT('non Forest LUC'!$F14,6)=LEFT(Matrix!CJ$7,6),'non Forest LUC'!$D36,0),0)</f>
        <v>0</v>
      </c>
      <c r="CK13" s="431">
        <f>IF(LEFT('non Forest LUC'!$D14,6)=LEFT(Matrix!$CF$7,6),IF(LEFT('non Forest LUC'!$F14,6)=LEFT(Matrix!CK$7,6),'non Forest LUC'!$D36,0),0)</f>
        <v>0</v>
      </c>
      <c r="CL13" s="431">
        <f>IF(LEFT('non Forest LUC'!$D14,6)=LEFT(Matrix!$CF$7,6),IF(LEFT('non Forest LUC'!$F14,6)=LEFT(Matrix!CL$7,6),'non Forest LUC'!$D36,0),0)</f>
        <v>0</v>
      </c>
    </row>
    <row r="14" spans="2:90">
      <c r="B14" s="467"/>
      <c r="C14" s="483" t="s">
        <v>334</v>
      </c>
      <c r="D14" s="469"/>
      <c r="E14" s="478">
        <f>AM19</f>
        <v>0</v>
      </c>
      <c r="F14" s="484">
        <f>BS22</f>
        <v>0</v>
      </c>
      <c r="G14" s="485">
        <f>BT22</f>
        <v>0</v>
      </c>
      <c r="H14" s="486">
        <f>BU22</f>
        <v>0</v>
      </c>
      <c r="I14" s="487">
        <f>Grass!E43+Grass!E30+Grass!E32</f>
        <v>0</v>
      </c>
      <c r="J14" s="474">
        <f>BW22</f>
        <v>0</v>
      </c>
      <c r="K14" s="482">
        <f>BV22+BX22</f>
        <v>0</v>
      </c>
      <c r="L14" s="240"/>
      <c r="M14" s="465">
        <f t="shared" si="0"/>
        <v>0</v>
      </c>
      <c r="O14" s="476"/>
      <c r="P14" s="476"/>
      <c r="Q14" s="476"/>
      <c r="R14" s="476"/>
      <c r="S14" s="476"/>
      <c r="T14" s="476"/>
      <c r="U14" s="476"/>
      <c r="W14" s="437"/>
      <c r="X14" s="457">
        <f>IF(Deforestation!$I32=X$8,1,0)*Deforestation!$H47</f>
        <v>0</v>
      </c>
      <c r="Y14" s="457">
        <f>IF(Deforestation!$I32=Y$8,1,0)*Deforestation!$H47</f>
        <v>0</v>
      </c>
      <c r="Z14" s="457">
        <f>IF(Deforestation!$I32=Z$8,1,0)*Deforestation!$H47</f>
        <v>0</v>
      </c>
      <c r="AA14" s="457">
        <f>IF(Deforestation!$I32=AA$8,1,0)*Deforestation!$H47</f>
        <v>0</v>
      </c>
      <c r="AB14" s="457">
        <f>IF(Deforestation!$I32=AB$8,1,0)*Deforestation!$H47</f>
        <v>0</v>
      </c>
      <c r="AC14" s="457">
        <f>IF(Deforestation!$I32=AC$8,1,0)*Deforestation!$H47</f>
        <v>0</v>
      </c>
      <c r="AD14" s="457">
        <f>IF(Deforestation!$I32=AD$8,1,0)*Deforestation!$H47</f>
        <v>0</v>
      </c>
      <c r="AE14" s="457">
        <f>IF(Deforestation!$I32=AE$8,1,0)*Deforestation!$H47</f>
        <v>0</v>
      </c>
      <c r="AG14" s="439">
        <f>IF(AG$8='A-R'!$E32,'A-R'!$E47,0)</f>
        <v>0</v>
      </c>
      <c r="AH14" s="439">
        <f>IF(AH$8='A-R'!$E32,'A-R'!$E47,0)</f>
        <v>0</v>
      </c>
      <c r="AI14" s="439">
        <f>IF(AI$8='A-R'!$E32,'A-R'!$E47,0)</f>
        <v>0</v>
      </c>
      <c r="AJ14" s="439">
        <f>IF(AJ$8='A-R'!$E32,'A-R'!$E47,0)</f>
        <v>0</v>
      </c>
      <c r="AK14" s="439">
        <f>IF(AK$8='A-R'!$E32,'A-R'!$E47,0)</f>
        <v>0</v>
      </c>
      <c r="AL14" s="439">
        <f>IF(AL$8='A-R'!$E32,'A-R'!$E47,0)</f>
        <v>0</v>
      </c>
      <c r="AM14" s="439">
        <f>IF(AM$8='A-R'!$E32,'A-R'!$E47,0)</f>
        <v>0</v>
      </c>
      <c r="AN14" s="439">
        <f>IF(AN$8='A-R'!$E32,'A-R'!$E47,0)</f>
        <v>0</v>
      </c>
      <c r="AP14" s="442"/>
      <c r="AQ14" s="431">
        <f>IF(LEFT('non Forest LUC'!$D15,6)=LEFT(Matrix!$AP$7,6),IF(LEFT('non Forest LUC'!$F15,6)=LEFT(Matrix!AQ$7,6),'non Forest LUC'!$D37,0),0)</f>
        <v>0</v>
      </c>
      <c r="AR14" s="431">
        <f>IF(LEFT('non Forest LUC'!$D15,6)=LEFT(Matrix!$AP$7,6),IF(LEFT('non Forest LUC'!$F15,6)=LEFT(Matrix!AR$7,6),'non Forest LUC'!$D37,0),0)</f>
        <v>0</v>
      </c>
      <c r="AS14" s="431">
        <f>IF(LEFT('non Forest LUC'!$D15,6)=LEFT(Matrix!$AP$7,6),IF(LEFT('non Forest LUC'!$F15,6)=LEFT(Matrix!AS$7,6),'non Forest LUC'!$D37,0),0)</f>
        <v>0</v>
      </c>
      <c r="AT14" s="431">
        <f>IF(LEFT('non Forest LUC'!$D15,6)=LEFT(Matrix!$AP$7,6),IF(LEFT('non Forest LUC'!$F15,6)=LEFT(Matrix!AT$7,6),'non Forest LUC'!$D37,0),0)</f>
        <v>0</v>
      </c>
      <c r="AU14" s="431">
        <f>IF(LEFT('non Forest LUC'!$D15,6)=LEFT(Matrix!$AP$7,6),IF(LEFT('non Forest LUC'!$F15,6)=LEFT(Matrix!AU$7,6),'non Forest LUC'!$D37,0),0)</f>
        <v>0</v>
      </c>
      <c r="AV14" s="431">
        <f>IF(LEFT('non Forest LUC'!$D15,6)=LEFT(Matrix!$AP$7,6),IF(LEFT('non Forest LUC'!$F15,6)=LEFT(Matrix!AV$7,6),'non Forest LUC'!$D37,0),0)</f>
        <v>0</v>
      </c>
      <c r="AW14" s="442"/>
      <c r="AX14" s="431">
        <f>IF(LEFT('non Forest LUC'!$D15,6)=LEFT(Matrix!$AW$7,6),IF(LEFT('non Forest LUC'!$F15,6)=LEFT(Matrix!AX$7,6),'non Forest LUC'!$D37,0),0)</f>
        <v>0</v>
      </c>
      <c r="AY14" s="431">
        <f>IF(LEFT('non Forest LUC'!$D15,6)=LEFT(Matrix!$AW$7,6),IF(LEFT('non Forest LUC'!$F15,6)=LEFT(Matrix!AY$7,6),'non Forest LUC'!$D37,0),0)</f>
        <v>0</v>
      </c>
      <c r="AZ14" s="431">
        <f>IF(LEFT('non Forest LUC'!$D15,6)=LEFT(Matrix!$AW$7,6),IF(LEFT('non Forest LUC'!$F15,6)=LEFT(Matrix!AZ$7,6),'non Forest LUC'!$D37,0),0)</f>
        <v>0</v>
      </c>
      <c r="BA14" s="431">
        <f>IF(LEFT('non Forest LUC'!$D15,6)=LEFT(Matrix!$AW$7,6),IF(LEFT('non Forest LUC'!$F15,6)=LEFT(Matrix!BA$7,6),'non Forest LUC'!$D37,0),0)</f>
        <v>0</v>
      </c>
      <c r="BB14" s="431">
        <f>IF(LEFT('non Forest LUC'!$D15,6)=LEFT(Matrix!$AW$7,6),IF(LEFT('non Forest LUC'!$F15,6)=LEFT(Matrix!BB$7,6),'non Forest LUC'!$D37,0),0)</f>
        <v>0</v>
      </c>
      <c r="BC14" s="431">
        <f>IF(LEFT('non Forest LUC'!$D15,6)=LEFT(Matrix!$AW$7,6),IF(LEFT('non Forest LUC'!$F15,6)=LEFT(Matrix!BC$7,6),'non Forest LUC'!$D37,0),0)</f>
        <v>0</v>
      </c>
      <c r="BD14" s="442"/>
      <c r="BE14" s="431">
        <f>IF(LEFT('non Forest LUC'!$D15,6)=LEFT(Matrix!$BD$7,6),IF(LEFT('non Forest LUC'!$F15,6)=LEFT(Matrix!BE$7,6),'non Forest LUC'!$D37,0),0)</f>
        <v>0</v>
      </c>
      <c r="BF14" s="431">
        <f>IF(LEFT('non Forest LUC'!$D15,6)=LEFT(Matrix!$BD$7,6),IF(LEFT('non Forest LUC'!$F15,6)=LEFT(Matrix!BF$7,6),'non Forest LUC'!$D37,0),0)</f>
        <v>0</v>
      </c>
      <c r="BG14" s="431">
        <f>IF(LEFT('non Forest LUC'!$D15,6)=LEFT(Matrix!$BD$7,6),IF(LEFT('non Forest LUC'!$F15,6)=LEFT(Matrix!BG$7,6),'non Forest LUC'!$D37,0),0)</f>
        <v>0</v>
      </c>
      <c r="BH14" s="431">
        <f>IF(LEFT('non Forest LUC'!$D15,6)=LEFT(Matrix!$BD$7,6),IF(LEFT('non Forest LUC'!$F15,6)=LEFT(Matrix!BH$7,6),'non Forest LUC'!$D37,0),0)</f>
        <v>0</v>
      </c>
      <c r="BI14" s="431">
        <f>IF(LEFT('non Forest LUC'!$D15,6)=LEFT(Matrix!$BD$7,6),IF(LEFT('non Forest LUC'!$F15,6)=LEFT(Matrix!BI$7,6),'non Forest LUC'!$D37,0),0)</f>
        <v>0</v>
      </c>
      <c r="BJ14" s="431">
        <f>IF(LEFT('non Forest LUC'!$D15,6)=LEFT(Matrix!$BD$7,6),IF(LEFT('non Forest LUC'!$F15,6)=LEFT(Matrix!BJ$7,6),'non Forest LUC'!$D37,0),0)</f>
        <v>0</v>
      </c>
      <c r="BK14" s="442"/>
      <c r="BL14" s="431">
        <f>IF(LEFT('non Forest LUC'!$D15,6)=LEFT(Matrix!$BK$7,6),IF(LEFT('non Forest LUC'!$F15,6)=LEFT(Matrix!BL$7,6),'non Forest LUC'!$D37,0),0)</f>
        <v>0</v>
      </c>
      <c r="BM14" s="431">
        <f>IF(LEFT('non Forest LUC'!$D15,6)=LEFT(Matrix!$BK$7,6),IF(LEFT('non Forest LUC'!$F15,6)=LEFT(Matrix!BM$7,6),'non Forest LUC'!$D37,0),0)</f>
        <v>0</v>
      </c>
      <c r="BN14" s="431">
        <f>IF(LEFT('non Forest LUC'!$D15,6)=LEFT(Matrix!$BK$7,6),IF(LEFT('non Forest LUC'!$F15,6)=LEFT(Matrix!BN$7,6),'non Forest LUC'!$D37,0),0)</f>
        <v>0</v>
      </c>
      <c r="BO14" s="431">
        <f>IF(LEFT('non Forest LUC'!$D15,6)=LEFT(Matrix!$BK$7,6),IF(LEFT('non Forest LUC'!$F15,6)=LEFT(Matrix!BO$7,6),'non Forest LUC'!$D37,0),0)</f>
        <v>0</v>
      </c>
      <c r="BP14" s="431">
        <f>IF(LEFT('non Forest LUC'!$D15,6)=LEFT(Matrix!$BK$7,6),IF(LEFT('non Forest LUC'!$F15,6)=LEFT(Matrix!BP$7,6),'non Forest LUC'!$D37,0),0)</f>
        <v>0</v>
      </c>
      <c r="BQ14" s="431">
        <f>IF(LEFT('non Forest LUC'!$D15,6)=LEFT(Matrix!$BK$7,6),IF(LEFT('non Forest LUC'!$F15,6)=LEFT(Matrix!BQ$7,6),'non Forest LUC'!$D37,0),0)</f>
        <v>0</v>
      </c>
      <c r="BR14" s="442"/>
      <c r="BS14" s="431">
        <f>IF(LEFT('non Forest LUC'!$D15,6)=LEFT(Matrix!$BR$7,6),IF(LEFT('non Forest LUC'!$F15,6)=LEFT(Matrix!BS$7,6),'non Forest LUC'!$D37,0),0)</f>
        <v>0</v>
      </c>
      <c r="BT14" s="431">
        <f>IF(LEFT('non Forest LUC'!$D15,6)=LEFT(Matrix!$BR$7,6),IF(LEFT('non Forest LUC'!$F15,6)=LEFT(Matrix!BT$7,6),'non Forest LUC'!$D37,0),0)</f>
        <v>0</v>
      </c>
      <c r="BU14" s="431">
        <f>IF(LEFT('non Forest LUC'!$D15,6)=LEFT(Matrix!$BR$7,6),IF(LEFT('non Forest LUC'!$F15,6)=LEFT(Matrix!BU$7,6),'non Forest LUC'!$D37,0),0)</f>
        <v>0</v>
      </c>
      <c r="BV14" s="431">
        <f>IF(LEFT('non Forest LUC'!$D15,6)=LEFT(Matrix!$BR$7,6),IF(LEFT('non Forest LUC'!$F15,6)=LEFT(Matrix!BV$7,6),'non Forest LUC'!$D37,0),0)</f>
        <v>0</v>
      </c>
      <c r="BW14" s="431">
        <f>IF(LEFT('non Forest LUC'!$D15,6)=LEFT(Matrix!$BR$7,6),IF(LEFT('non Forest LUC'!$F15,6)=LEFT(Matrix!BW$7,6),'non Forest LUC'!$D37,0),0)</f>
        <v>0</v>
      </c>
      <c r="BX14" s="431">
        <f>IF(LEFT('non Forest LUC'!$D15,6)=LEFT(Matrix!$BR$7,6),IF(LEFT('non Forest LUC'!$F15,6)=LEFT(Matrix!BX$7,6),'non Forest LUC'!$D37,0),0)</f>
        <v>0</v>
      </c>
      <c r="BY14" s="442"/>
      <c r="BZ14" s="431">
        <f>IF(LEFT('non Forest LUC'!$D15,6)=LEFT(Matrix!$BY$7,6),IF(LEFT('non Forest LUC'!$F15,6)=LEFT(Matrix!BZ$7,6),'non Forest LUC'!$D37,0),0)</f>
        <v>0</v>
      </c>
      <c r="CA14" s="431">
        <f>IF(LEFT('non Forest LUC'!$D15,6)=LEFT(Matrix!$BY$7,6),IF(LEFT('non Forest LUC'!$F15,6)=LEFT(Matrix!CA$7,6),'non Forest LUC'!$D37,0),0)</f>
        <v>0</v>
      </c>
      <c r="CB14" s="431">
        <f>IF(LEFT('non Forest LUC'!$D15,6)=LEFT(Matrix!$BY$7,6),IF(LEFT('non Forest LUC'!$F15,6)=LEFT(Matrix!CB$7,6),'non Forest LUC'!$D37,0),0)</f>
        <v>0</v>
      </c>
      <c r="CC14" s="431">
        <f>IF(LEFT('non Forest LUC'!$D15,6)=LEFT(Matrix!$BY$7,6),IF(LEFT('non Forest LUC'!$F15,6)=LEFT(Matrix!CC$7,6),'non Forest LUC'!$D37,0),0)</f>
        <v>0</v>
      </c>
      <c r="CD14" s="431">
        <f>IF(LEFT('non Forest LUC'!$D15,6)=LEFT(Matrix!$BY$7,6),IF(LEFT('non Forest LUC'!$F15,6)=LEFT(Matrix!CD$7,6),'non Forest LUC'!$D37,0),0)</f>
        <v>0</v>
      </c>
      <c r="CE14" s="431">
        <f>IF(LEFT('non Forest LUC'!$D15,6)=LEFT(Matrix!$BY$7,6),IF(LEFT('non Forest LUC'!$F15,6)=LEFT(Matrix!CE$7,6),'non Forest LUC'!$D37,0),0)</f>
        <v>0</v>
      </c>
      <c r="CF14" s="442"/>
      <c r="CG14" s="431">
        <f>IF(LEFT('non Forest LUC'!$D15,6)=LEFT(Matrix!$CF$7,6),IF(LEFT('non Forest LUC'!$F15,6)=LEFT(Matrix!CG$7,6),'non Forest LUC'!$D37,0),0)</f>
        <v>0</v>
      </c>
      <c r="CH14" s="431">
        <f>IF(LEFT('non Forest LUC'!$D15,6)=LEFT(Matrix!$CF$7,6),IF(LEFT('non Forest LUC'!$F15,6)=LEFT(Matrix!CH$7,6),'non Forest LUC'!$D37,0),0)</f>
        <v>0</v>
      </c>
      <c r="CI14" s="431">
        <f>IF(LEFT('non Forest LUC'!$D15,6)=LEFT(Matrix!$CF$7,6),IF(LEFT('non Forest LUC'!$F15,6)=LEFT(Matrix!CI$7,6),'non Forest LUC'!$D37,0),0)</f>
        <v>0</v>
      </c>
      <c r="CJ14" s="431">
        <f>IF(LEFT('non Forest LUC'!$D15,6)=LEFT(Matrix!$CF$7,6),IF(LEFT('non Forest LUC'!$F15,6)=LEFT(Matrix!CJ$7,6),'non Forest LUC'!$D37,0),0)</f>
        <v>0</v>
      </c>
      <c r="CK14" s="431">
        <f>IF(LEFT('non Forest LUC'!$D15,6)=LEFT(Matrix!$CF$7,6),IF(LEFT('non Forest LUC'!$F15,6)=LEFT(Matrix!CK$7,6),'non Forest LUC'!$D37,0),0)</f>
        <v>0</v>
      </c>
      <c r="CL14" s="431">
        <f>IF(LEFT('non Forest LUC'!$D15,6)=LEFT(Matrix!$CF$7,6),IF(LEFT('non Forest LUC'!$F15,6)=LEFT(Matrix!CL$7,6),'non Forest LUC'!$D37,0),0)</f>
        <v>0</v>
      </c>
    </row>
    <row r="15" spans="2:90">
      <c r="B15" s="467"/>
      <c r="C15" s="483" t="s">
        <v>1107</v>
      </c>
      <c r="D15" s="488" t="s">
        <v>1207</v>
      </c>
      <c r="E15" s="478">
        <f>AN19</f>
        <v>0</v>
      </c>
      <c r="F15" s="479">
        <f>BZ22</f>
        <v>0</v>
      </c>
      <c r="G15" s="479">
        <f>CA22</f>
        <v>0</v>
      </c>
      <c r="H15" s="479">
        <f>CB22</f>
        <v>0</v>
      </c>
      <c r="I15" s="479">
        <f>CD22</f>
        <v>0</v>
      </c>
      <c r="J15" s="489">
        <f>MAX((SUM(E15:I15)+K15),(SUM(E32:I32)+K32))-(SUM(E15:I15)+K15)</f>
        <v>0</v>
      </c>
      <c r="K15" s="490">
        <f>CE22+CC22</f>
        <v>0</v>
      </c>
      <c r="L15" s="240"/>
      <c r="M15" s="465">
        <f t="shared" si="0"/>
        <v>0</v>
      </c>
      <c r="O15" s="242"/>
      <c r="P15" s="242"/>
      <c r="Q15" s="242"/>
      <c r="R15" s="242"/>
      <c r="S15" s="242"/>
      <c r="T15" s="242"/>
      <c r="U15" s="242"/>
      <c r="W15" s="437"/>
      <c r="X15" s="457">
        <f>IF(Deforestation!$I33=X$8,1,0)*Deforestation!$H48</f>
        <v>0</v>
      </c>
      <c r="Y15" s="457">
        <f>IF(Deforestation!$I33=Y$8,1,0)*Deforestation!$H48</f>
        <v>0</v>
      </c>
      <c r="Z15" s="457">
        <f>IF(Deforestation!$I33=Z$8,1,0)*Deforestation!$H48</f>
        <v>0</v>
      </c>
      <c r="AA15" s="457">
        <f>IF(Deforestation!$I33=AA$8,1,0)*Deforestation!$H48</f>
        <v>0</v>
      </c>
      <c r="AB15" s="457">
        <f>IF(Deforestation!$I33=AB$8,1,0)*Deforestation!$H48</f>
        <v>0</v>
      </c>
      <c r="AC15" s="457">
        <f>IF(Deforestation!$I33=AC$8,1,0)*Deforestation!$H48</f>
        <v>0</v>
      </c>
      <c r="AD15" s="457">
        <f>IF(Deforestation!$I33=AD$8,1,0)*Deforestation!$H48</f>
        <v>0</v>
      </c>
      <c r="AE15" s="457">
        <f>IF(Deforestation!$I33=AE$8,1,0)*Deforestation!$H48</f>
        <v>0</v>
      </c>
      <c r="AG15" s="439">
        <f>IF(AG$8='A-R'!$E33,'A-R'!$E48,0)</f>
        <v>0</v>
      </c>
      <c r="AH15" s="439">
        <f>IF(AH$8='A-R'!$E33,'A-R'!$E48,0)</f>
        <v>0</v>
      </c>
      <c r="AI15" s="439">
        <f>IF(AI$8='A-R'!$E33,'A-R'!$E48,0)</f>
        <v>0</v>
      </c>
      <c r="AJ15" s="439">
        <f>IF(AJ$8='A-R'!$E33,'A-R'!$E48,0)</f>
        <v>0</v>
      </c>
      <c r="AK15" s="439">
        <f>IF(AK$8='A-R'!$E33,'A-R'!$E48,0)</f>
        <v>0</v>
      </c>
      <c r="AL15" s="439">
        <f>IF(AL$8='A-R'!$E33,'A-R'!$E48,0)</f>
        <v>0</v>
      </c>
      <c r="AM15" s="439">
        <f>IF(AM$8='A-R'!$E33,'A-R'!$E48,0)</f>
        <v>0</v>
      </c>
      <c r="AN15" s="439">
        <f>IF(AN$8='A-R'!$E33,'A-R'!$E48,0)</f>
        <v>0</v>
      </c>
      <c r="AP15" s="442"/>
      <c r="AQ15" s="431">
        <f>IF(LEFT('non Forest LUC'!$D16,6)=LEFT(Matrix!$AP$7,6),IF(LEFT('non Forest LUC'!$F16,6)=LEFT(Matrix!AQ$7,6),'non Forest LUC'!$D38,0),0)</f>
        <v>0</v>
      </c>
      <c r="AR15" s="431">
        <f>IF(LEFT('non Forest LUC'!$D16,6)=LEFT(Matrix!$AP$7,6),IF(LEFT('non Forest LUC'!$F16,6)=LEFT(Matrix!AR$7,6),'non Forest LUC'!$D38,0),0)</f>
        <v>0</v>
      </c>
      <c r="AS15" s="431">
        <f>IF(LEFT('non Forest LUC'!$D16,6)=LEFT(Matrix!$AP$7,6),IF(LEFT('non Forest LUC'!$F16,6)=LEFT(Matrix!AS$7,6),'non Forest LUC'!$D38,0),0)</f>
        <v>0</v>
      </c>
      <c r="AT15" s="431">
        <f>IF(LEFT('non Forest LUC'!$D16,6)=LEFT(Matrix!$AP$7,6),IF(LEFT('non Forest LUC'!$F16,6)=LEFT(Matrix!AT$7,6),'non Forest LUC'!$D38,0),0)</f>
        <v>0</v>
      </c>
      <c r="AU15" s="431">
        <f>IF(LEFT('non Forest LUC'!$D16,6)=LEFT(Matrix!$AP$7,6),IF(LEFT('non Forest LUC'!$F16,6)=LEFT(Matrix!AU$7,6),'non Forest LUC'!$D38,0),0)</f>
        <v>0</v>
      </c>
      <c r="AV15" s="431">
        <f>IF(LEFT('non Forest LUC'!$D16,6)=LEFT(Matrix!$AP$7,6),IF(LEFT('non Forest LUC'!$F16,6)=LEFT(Matrix!AV$7,6),'non Forest LUC'!$D38,0),0)</f>
        <v>0</v>
      </c>
      <c r="AW15" s="442"/>
      <c r="AX15" s="431">
        <f>IF(LEFT('non Forest LUC'!$D16,6)=LEFT(Matrix!$AW$7,6),IF(LEFT('non Forest LUC'!$F16,6)=LEFT(Matrix!AX$7,6),'non Forest LUC'!$D38,0),0)</f>
        <v>0</v>
      </c>
      <c r="AY15" s="431">
        <f>IF(LEFT('non Forest LUC'!$D16,6)=LEFT(Matrix!$AW$7,6),IF(LEFT('non Forest LUC'!$F16,6)=LEFT(Matrix!AY$7,6),'non Forest LUC'!$D38,0),0)</f>
        <v>0</v>
      </c>
      <c r="AZ15" s="431">
        <f>IF(LEFT('non Forest LUC'!$D16,6)=LEFT(Matrix!$AW$7,6),IF(LEFT('non Forest LUC'!$F16,6)=LEFT(Matrix!AZ$7,6),'non Forest LUC'!$D38,0),0)</f>
        <v>0</v>
      </c>
      <c r="BA15" s="431">
        <f>IF(LEFT('non Forest LUC'!$D16,6)=LEFT(Matrix!$AW$7,6),IF(LEFT('non Forest LUC'!$F16,6)=LEFT(Matrix!BA$7,6),'non Forest LUC'!$D38,0),0)</f>
        <v>0</v>
      </c>
      <c r="BB15" s="431">
        <f>IF(LEFT('non Forest LUC'!$D16,6)=LEFT(Matrix!$AW$7,6),IF(LEFT('non Forest LUC'!$F16,6)=LEFT(Matrix!BB$7,6),'non Forest LUC'!$D38,0),0)</f>
        <v>0</v>
      </c>
      <c r="BC15" s="431">
        <f>IF(LEFT('non Forest LUC'!$D16,6)=LEFT(Matrix!$AW$7,6),IF(LEFT('non Forest LUC'!$F16,6)=LEFT(Matrix!BC$7,6),'non Forest LUC'!$D38,0),0)</f>
        <v>0</v>
      </c>
      <c r="BD15" s="442"/>
      <c r="BE15" s="431">
        <f>IF(LEFT('non Forest LUC'!$D16,6)=LEFT(Matrix!$BD$7,6),IF(LEFT('non Forest LUC'!$F16,6)=LEFT(Matrix!BE$7,6),'non Forest LUC'!$D38,0),0)</f>
        <v>0</v>
      </c>
      <c r="BF15" s="431">
        <f>IF(LEFT('non Forest LUC'!$D16,6)=LEFT(Matrix!$BD$7,6),IF(LEFT('non Forest LUC'!$F16,6)=LEFT(Matrix!BF$7,6),'non Forest LUC'!$D38,0),0)</f>
        <v>0</v>
      </c>
      <c r="BG15" s="431">
        <f>IF(LEFT('non Forest LUC'!$D16,6)=LEFT(Matrix!$BD$7,6),IF(LEFT('non Forest LUC'!$F16,6)=LEFT(Matrix!BG$7,6),'non Forest LUC'!$D38,0),0)</f>
        <v>0</v>
      </c>
      <c r="BH15" s="431">
        <f>IF(LEFT('non Forest LUC'!$D16,6)=LEFT(Matrix!$BD$7,6),IF(LEFT('non Forest LUC'!$F16,6)=LEFT(Matrix!BH$7,6),'non Forest LUC'!$D38,0),0)</f>
        <v>0</v>
      </c>
      <c r="BI15" s="431">
        <f>IF(LEFT('non Forest LUC'!$D16,6)=LEFT(Matrix!$BD$7,6),IF(LEFT('non Forest LUC'!$F16,6)=LEFT(Matrix!BI$7,6),'non Forest LUC'!$D38,0),0)</f>
        <v>0</v>
      </c>
      <c r="BJ15" s="431">
        <f>IF(LEFT('non Forest LUC'!$D16,6)=LEFT(Matrix!$BD$7,6),IF(LEFT('non Forest LUC'!$F16,6)=LEFT(Matrix!BJ$7,6),'non Forest LUC'!$D38,0),0)</f>
        <v>0</v>
      </c>
      <c r="BK15" s="442"/>
      <c r="BL15" s="431">
        <f>IF(LEFT('non Forest LUC'!$D16,6)=LEFT(Matrix!$BK$7,6),IF(LEFT('non Forest LUC'!$F16,6)=LEFT(Matrix!BL$7,6),'non Forest LUC'!$D38,0),0)</f>
        <v>0</v>
      </c>
      <c r="BM15" s="431">
        <f>IF(LEFT('non Forest LUC'!$D16,6)=LEFT(Matrix!$BK$7,6),IF(LEFT('non Forest LUC'!$F16,6)=LEFT(Matrix!BM$7,6),'non Forest LUC'!$D38,0),0)</f>
        <v>0</v>
      </c>
      <c r="BN15" s="431">
        <f>IF(LEFT('non Forest LUC'!$D16,6)=LEFT(Matrix!$BK$7,6),IF(LEFT('non Forest LUC'!$F16,6)=LEFT(Matrix!BN$7,6),'non Forest LUC'!$D38,0),0)</f>
        <v>0</v>
      </c>
      <c r="BO15" s="431">
        <f>IF(LEFT('non Forest LUC'!$D16,6)=LEFT(Matrix!$BK$7,6),IF(LEFT('non Forest LUC'!$F16,6)=LEFT(Matrix!BO$7,6),'non Forest LUC'!$D38,0),0)</f>
        <v>0</v>
      </c>
      <c r="BP15" s="431">
        <f>IF(LEFT('non Forest LUC'!$D16,6)=LEFT(Matrix!$BK$7,6),IF(LEFT('non Forest LUC'!$F16,6)=LEFT(Matrix!BP$7,6),'non Forest LUC'!$D38,0),0)</f>
        <v>0</v>
      </c>
      <c r="BQ15" s="431">
        <f>IF(LEFT('non Forest LUC'!$D16,6)=LEFT(Matrix!$BK$7,6),IF(LEFT('non Forest LUC'!$F16,6)=LEFT(Matrix!BQ$7,6),'non Forest LUC'!$D38,0),0)</f>
        <v>0</v>
      </c>
      <c r="BR15" s="442"/>
      <c r="BS15" s="431">
        <f>IF(LEFT('non Forest LUC'!$D16,6)=LEFT(Matrix!$BR$7,6),IF(LEFT('non Forest LUC'!$F16,6)=LEFT(Matrix!BS$7,6),'non Forest LUC'!$D38,0),0)</f>
        <v>0</v>
      </c>
      <c r="BT15" s="431">
        <f>IF(LEFT('non Forest LUC'!$D16,6)=LEFT(Matrix!$BR$7,6),IF(LEFT('non Forest LUC'!$F16,6)=LEFT(Matrix!BT$7,6),'non Forest LUC'!$D38,0),0)</f>
        <v>0</v>
      </c>
      <c r="BU15" s="431">
        <f>IF(LEFT('non Forest LUC'!$D16,6)=LEFT(Matrix!$BR$7,6),IF(LEFT('non Forest LUC'!$F16,6)=LEFT(Matrix!BU$7,6),'non Forest LUC'!$D38,0),0)</f>
        <v>0</v>
      </c>
      <c r="BV15" s="431">
        <f>IF(LEFT('non Forest LUC'!$D16,6)=LEFT(Matrix!$BR$7,6),IF(LEFT('non Forest LUC'!$F16,6)=LEFT(Matrix!BV$7,6),'non Forest LUC'!$D38,0),0)</f>
        <v>0</v>
      </c>
      <c r="BW15" s="431">
        <f>IF(LEFT('non Forest LUC'!$D16,6)=LEFT(Matrix!$BR$7,6),IF(LEFT('non Forest LUC'!$F16,6)=LEFT(Matrix!BW$7,6),'non Forest LUC'!$D38,0),0)</f>
        <v>0</v>
      </c>
      <c r="BX15" s="431">
        <f>IF(LEFT('non Forest LUC'!$D16,6)=LEFT(Matrix!$BR$7,6),IF(LEFT('non Forest LUC'!$F16,6)=LEFT(Matrix!BX$7,6),'non Forest LUC'!$D38,0),0)</f>
        <v>0</v>
      </c>
      <c r="BY15" s="442"/>
      <c r="BZ15" s="431">
        <f>IF(LEFT('non Forest LUC'!$D16,6)=LEFT(Matrix!$BY$7,6),IF(LEFT('non Forest LUC'!$F16,6)=LEFT(Matrix!BZ$7,6),'non Forest LUC'!$D38,0),0)</f>
        <v>0</v>
      </c>
      <c r="CA15" s="431">
        <f>IF(LEFT('non Forest LUC'!$D16,6)=LEFT(Matrix!$BY$7,6),IF(LEFT('non Forest LUC'!$F16,6)=LEFT(Matrix!CA$7,6),'non Forest LUC'!$D38,0),0)</f>
        <v>0</v>
      </c>
      <c r="CB15" s="431">
        <f>IF(LEFT('non Forest LUC'!$D16,6)=LEFT(Matrix!$BY$7,6),IF(LEFT('non Forest LUC'!$F16,6)=LEFT(Matrix!CB$7,6),'non Forest LUC'!$D38,0),0)</f>
        <v>0</v>
      </c>
      <c r="CC15" s="431">
        <f>IF(LEFT('non Forest LUC'!$D16,6)=LEFT(Matrix!$BY$7,6),IF(LEFT('non Forest LUC'!$F16,6)=LEFT(Matrix!CC$7,6),'non Forest LUC'!$D38,0),0)</f>
        <v>0</v>
      </c>
      <c r="CD15" s="431">
        <f>IF(LEFT('non Forest LUC'!$D16,6)=LEFT(Matrix!$BY$7,6),IF(LEFT('non Forest LUC'!$F16,6)=LEFT(Matrix!CD$7,6),'non Forest LUC'!$D38,0),0)</f>
        <v>0</v>
      </c>
      <c r="CE15" s="431">
        <f>IF(LEFT('non Forest LUC'!$D16,6)=LEFT(Matrix!$BY$7,6),IF(LEFT('non Forest LUC'!$F16,6)=LEFT(Matrix!CE$7,6),'non Forest LUC'!$D38,0),0)</f>
        <v>0</v>
      </c>
      <c r="CF15" s="442"/>
      <c r="CG15" s="431">
        <f>IF(LEFT('non Forest LUC'!$D16,6)=LEFT(Matrix!$CF$7,6),IF(LEFT('non Forest LUC'!$F16,6)=LEFT(Matrix!CG$7,6),'non Forest LUC'!$D38,0),0)</f>
        <v>0</v>
      </c>
      <c r="CH15" s="431">
        <f>IF(LEFT('non Forest LUC'!$D16,6)=LEFT(Matrix!$CF$7,6),IF(LEFT('non Forest LUC'!$F16,6)=LEFT(Matrix!CH$7,6),'non Forest LUC'!$D38,0),0)</f>
        <v>0</v>
      </c>
      <c r="CI15" s="431">
        <f>IF(LEFT('non Forest LUC'!$D16,6)=LEFT(Matrix!$CF$7,6),IF(LEFT('non Forest LUC'!$F16,6)=LEFT(Matrix!CI$7,6),'non Forest LUC'!$D38,0),0)</f>
        <v>0</v>
      </c>
      <c r="CJ15" s="431">
        <f>IF(LEFT('non Forest LUC'!$D16,6)=LEFT(Matrix!$CF$7,6),IF(LEFT('non Forest LUC'!$F16,6)=LEFT(Matrix!CJ$7,6),'non Forest LUC'!$D38,0),0)</f>
        <v>0</v>
      </c>
      <c r="CK15" s="431">
        <f>IF(LEFT('non Forest LUC'!$D16,6)=LEFT(Matrix!$CF$7,6),IF(LEFT('non Forest LUC'!$F16,6)=LEFT(Matrix!CK$7,6),'non Forest LUC'!$D38,0),0)</f>
        <v>0</v>
      </c>
      <c r="CL15" s="431">
        <f>IF(LEFT('non Forest LUC'!$D16,6)=LEFT(Matrix!$CF$7,6),IF(LEFT('non Forest LUC'!$F16,6)=LEFT(Matrix!CL$7,6),'non Forest LUC'!$D38,0),0)</f>
        <v>0</v>
      </c>
    </row>
    <row r="16" spans="2:90" ht="13.8" thickBot="1">
      <c r="B16" s="491"/>
      <c r="C16" s="452"/>
      <c r="D16" s="492" t="s">
        <v>393</v>
      </c>
      <c r="E16" s="493">
        <f>AL19</f>
        <v>0</v>
      </c>
      <c r="F16" s="494">
        <f>BL22+CG22</f>
        <v>0</v>
      </c>
      <c r="G16" s="494">
        <f>BM22+CH22</f>
        <v>0</v>
      </c>
      <c r="H16" s="494">
        <f>BN22+CI22</f>
        <v>0</v>
      </c>
      <c r="I16" s="494">
        <f>BO22+CK22</f>
        <v>0</v>
      </c>
      <c r="J16" s="494">
        <f>BP22+CL22</f>
        <v>0</v>
      </c>
      <c r="K16" s="459">
        <f>MAX(SUM(E16:J16),SUM(E33:J33))-SUM(E16:J16)</f>
        <v>0</v>
      </c>
      <c r="L16" s="240"/>
      <c r="M16" s="465">
        <f>SUM(E16:K16)</f>
        <v>0</v>
      </c>
      <c r="W16" s="437"/>
      <c r="X16" s="457">
        <f>IF(Deforestation!$I34=X$8,1,0)*Deforestation!$H49</f>
        <v>0</v>
      </c>
      <c r="Y16" s="457">
        <f>IF(Deforestation!$I34=Y$8,1,0)*Deforestation!$H49</f>
        <v>0</v>
      </c>
      <c r="Z16" s="457">
        <f>IF(Deforestation!$I34=Z$8,1,0)*Deforestation!$H49</f>
        <v>0</v>
      </c>
      <c r="AA16" s="457">
        <f>IF(Deforestation!$I34=AA$8,1,0)*Deforestation!$H49</f>
        <v>0</v>
      </c>
      <c r="AB16" s="457">
        <f>IF(Deforestation!$I34=AB$8,1,0)*Deforestation!$H49</f>
        <v>0</v>
      </c>
      <c r="AC16" s="457">
        <f>IF(Deforestation!$I34=AC$8,1,0)*Deforestation!$H49</f>
        <v>0</v>
      </c>
      <c r="AD16" s="457">
        <f>IF(Deforestation!$I34=AD$8,1,0)*Deforestation!$H49</f>
        <v>0</v>
      </c>
      <c r="AE16" s="457">
        <f>IF(Deforestation!$I34=AE$8,1,0)*Deforestation!$H49</f>
        <v>0</v>
      </c>
      <c r="AG16" s="439">
        <f>IF(AG$8='A-R'!$E34,'A-R'!$E49,0)</f>
        <v>0</v>
      </c>
      <c r="AH16" s="439">
        <f>IF(AH$8='A-R'!$E34,'A-R'!$E49,0)</f>
        <v>0</v>
      </c>
      <c r="AI16" s="439">
        <f>IF(AI$8='A-R'!$E34,'A-R'!$E49,0)</f>
        <v>0</v>
      </c>
      <c r="AJ16" s="439">
        <f>IF(AJ$8='A-R'!$E34,'A-R'!$E49,0)</f>
        <v>0</v>
      </c>
      <c r="AK16" s="439">
        <f>IF(AK$8='A-R'!$E34,'A-R'!$E49,0)</f>
        <v>0</v>
      </c>
      <c r="AL16" s="439">
        <f>IF(AL$8='A-R'!$E34,'A-R'!$E49,0)</f>
        <v>0</v>
      </c>
      <c r="AM16" s="439">
        <f>IF(AM$8='A-R'!$E34,'A-R'!$E49,0)</f>
        <v>0</v>
      </c>
      <c r="AN16" s="439">
        <f>IF(AN$8='A-R'!$E34,'A-R'!$E49,0)</f>
        <v>0</v>
      </c>
      <c r="AP16" s="442"/>
      <c r="AQ16" s="431">
        <f>IF(LEFT('non Forest LUC'!$D17,6)=LEFT(Matrix!$AP$7,6),IF(LEFT('non Forest LUC'!$F17,6)=LEFT(Matrix!AQ$7,6),'non Forest LUC'!$D39,0),0)</f>
        <v>0</v>
      </c>
      <c r="AR16" s="431">
        <f>IF(LEFT('non Forest LUC'!$D17,6)=LEFT(Matrix!$AP$7,6),IF(LEFT('non Forest LUC'!$F17,6)=LEFT(Matrix!AR$7,6),'non Forest LUC'!$D39,0),0)</f>
        <v>0</v>
      </c>
      <c r="AS16" s="431">
        <f>IF(LEFT('non Forest LUC'!$D17,6)=LEFT(Matrix!$AP$7,6),IF(LEFT('non Forest LUC'!$F17,6)=LEFT(Matrix!AS$7,6),'non Forest LUC'!$D39,0),0)</f>
        <v>0</v>
      </c>
      <c r="AT16" s="431">
        <f>IF(LEFT('non Forest LUC'!$D17,6)=LEFT(Matrix!$AP$7,6),IF(LEFT('non Forest LUC'!$F17,6)=LEFT(Matrix!AT$7,6),'non Forest LUC'!$D39,0),0)</f>
        <v>0</v>
      </c>
      <c r="AU16" s="431">
        <f>IF(LEFT('non Forest LUC'!$D17,6)=LEFT(Matrix!$AP$7,6),IF(LEFT('non Forest LUC'!$F17,6)=LEFT(Matrix!AU$7,6),'non Forest LUC'!$D39,0),0)</f>
        <v>0</v>
      </c>
      <c r="AV16" s="431">
        <f>IF(LEFT('non Forest LUC'!$D17,6)=LEFT(Matrix!$AP$7,6),IF(LEFT('non Forest LUC'!$F17,6)=LEFT(Matrix!AV$7,6),'non Forest LUC'!$D39,0),0)</f>
        <v>0</v>
      </c>
      <c r="AW16" s="442"/>
      <c r="AX16" s="431">
        <f>IF(LEFT('non Forest LUC'!$D17,6)=LEFT(Matrix!$AW$7,6),IF(LEFT('non Forest LUC'!$F17,6)=LEFT(Matrix!AX$7,6),'non Forest LUC'!$D39,0),0)</f>
        <v>0</v>
      </c>
      <c r="AY16" s="431">
        <f>IF(LEFT('non Forest LUC'!$D17,6)=LEFT(Matrix!$AW$7,6),IF(LEFT('non Forest LUC'!$F17,6)=LEFT(Matrix!AY$7,6),'non Forest LUC'!$D39,0),0)</f>
        <v>0</v>
      </c>
      <c r="AZ16" s="431">
        <f>IF(LEFT('non Forest LUC'!$D17,6)=LEFT(Matrix!$AW$7,6),IF(LEFT('non Forest LUC'!$F17,6)=LEFT(Matrix!AZ$7,6),'non Forest LUC'!$D39,0),0)</f>
        <v>0</v>
      </c>
      <c r="BA16" s="431">
        <f>IF(LEFT('non Forest LUC'!$D17,6)=LEFT(Matrix!$AW$7,6),IF(LEFT('non Forest LUC'!$F17,6)=LEFT(Matrix!BA$7,6),'non Forest LUC'!$D39,0),0)</f>
        <v>0</v>
      </c>
      <c r="BB16" s="431">
        <f>IF(LEFT('non Forest LUC'!$D17,6)=LEFT(Matrix!$AW$7,6),IF(LEFT('non Forest LUC'!$F17,6)=LEFT(Matrix!BB$7,6),'non Forest LUC'!$D39,0),0)</f>
        <v>0</v>
      </c>
      <c r="BC16" s="431">
        <f>IF(LEFT('non Forest LUC'!$D17,6)=LEFT(Matrix!$AW$7,6),IF(LEFT('non Forest LUC'!$F17,6)=LEFT(Matrix!BC$7,6),'non Forest LUC'!$D39,0),0)</f>
        <v>0</v>
      </c>
      <c r="BD16" s="442"/>
      <c r="BE16" s="431">
        <f>IF(LEFT('non Forest LUC'!$D17,6)=LEFT(Matrix!$BD$7,6),IF(LEFT('non Forest LUC'!$F17,6)=LEFT(Matrix!BE$7,6),'non Forest LUC'!$D39,0),0)</f>
        <v>0</v>
      </c>
      <c r="BF16" s="431">
        <f>IF(LEFT('non Forest LUC'!$D17,6)=LEFT(Matrix!$BD$7,6),IF(LEFT('non Forest LUC'!$F17,6)=LEFT(Matrix!BF$7,6),'non Forest LUC'!$D39,0),0)</f>
        <v>0</v>
      </c>
      <c r="BG16" s="431">
        <f>IF(LEFT('non Forest LUC'!$D17,6)=LEFT(Matrix!$BD$7,6),IF(LEFT('non Forest LUC'!$F17,6)=LEFT(Matrix!BG$7,6),'non Forest LUC'!$D39,0),0)</f>
        <v>0</v>
      </c>
      <c r="BH16" s="431">
        <f>IF(LEFT('non Forest LUC'!$D17,6)=LEFT(Matrix!$BD$7,6),IF(LEFT('non Forest LUC'!$F17,6)=LEFT(Matrix!BH$7,6),'non Forest LUC'!$D39,0),0)</f>
        <v>0</v>
      </c>
      <c r="BI16" s="431">
        <f>IF(LEFT('non Forest LUC'!$D17,6)=LEFT(Matrix!$BD$7,6),IF(LEFT('non Forest LUC'!$F17,6)=LEFT(Matrix!BI$7,6),'non Forest LUC'!$D39,0),0)</f>
        <v>0</v>
      </c>
      <c r="BJ16" s="431">
        <f>IF(LEFT('non Forest LUC'!$D17,6)=LEFT(Matrix!$BD$7,6),IF(LEFT('non Forest LUC'!$F17,6)=LEFT(Matrix!BJ$7,6),'non Forest LUC'!$D39,0),0)</f>
        <v>0</v>
      </c>
      <c r="BK16" s="442"/>
      <c r="BL16" s="431">
        <f>IF(LEFT('non Forest LUC'!$D17,6)=LEFT(Matrix!$BK$7,6),IF(LEFT('non Forest LUC'!$F17,6)=LEFT(Matrix!BL$7,6),'non Forest LUC'!$D39,0),0)</f>
        <v>0</v>
      </c>
      <c r="BM16" s="431">
        <f>IF(LEFT('non Forest LUC'!$D17,6)=LEFT(Matrix!$BK$7,6),IF(LEFT('non Forest LUC'!$F17,6)=LEFT(Matrix!BM$7,6),'non Forest LUC'!$D39,0),0)</f>
        <v>0</v>
      </c>
      <c r="BN16" s="431">
        <f>IF(LEFT('non Forest LUC'!$D17,6)=LEFT(Matrix!$BK$7,6),IF(LEFT('non Forest LUC'!$F17,6)=LEFT(Matrix!BN$7,6),'non Forest LUC'!$D39,0),0)</f>
        <v>0</v>
      </c>
      <c r="BO16" s="431">
        <f>IF(LEFT('non Forest LUC'!$D17,6)=LEFT(Matrix!$BK$7,6),IF(LEFT('non Forest LUC'!$F17,6)=LEFT(Matrix!BO$7,6),'non Forest LUC'!$D39,0),0)</f>
        <v>0</v>
      </c>
      <c r="BP16" s="431">
        <f>IF(LEFT('non Forest LUC'!$D17,6)=LEFT(Matrix!$BK$7,6),IF(LEFT('non Forest LUC'!$F17,6)=LEFT(Matrix!BP$7,6),'non Forest LUC'!$D39,0),0)</f>
        <v>0</v>
      </c>
      <c r="BQ16" s="431">
        <f>IF(LEFT('non Forest LUC'!$D17,6)=LEFT(Matrix!$BK$7,6),IF(LEFT('non Forest LUC'!$F17,6)=LEFT(Matrix!BQ$7,6),'non Forest LUC'!$D39,0),0)</f>
        <v>0</v>
      </c>
      <c r="BR16" s="442"/>
      <c r="BS16" s="431">
        <f>IF(LEFT('non Forest LUC'!$D17,6)=LEFT(Matrix!$BR$7,6),IF(LEFT('non Forest LUC'!$F17,6)=LEFT(Matrix!BS$7,6),'non Forest LUC'!$D39,0),0)</f>
        <v>0</v>
      </c>
      <c r="BT16" s="431">
        <f>IF(LEFT('non Forest LUC'!$D17,6)=LEFT(Matrix!$BR$7,6),IF(LEFT('non Forest LUC'!$F17,6)=LEFT(Matrix!BT$7,6),'non Forest LUC'!$D39,0),0)</f>
        <v>0</v>
      </c>
      <c r="BU16" s="431">
        <f>IF(LEFT('non Forest LUC'!$D17,6)=LEFT(Matrix!$BR$7,6),IF(LEFT('non Forest LUC'!$F17,6)=LEFT(Matrix!BU$7,6),'non Forest LUC'!$D39,0),0)</f>
        <v>0</v>
      </c>
      <c r="BV16" s="431">
        <f>IF(LEFT('non Forest LUC'!$D17,6)=LEFT(Matrix!$BR$7,6),IF(LEFT('non Forest LUC'!$F17,6)=LEFT(Matrix!BV$7,6),'non Forest LUC'!$D39,0),0)</f>
        <v>0</v>
      </c>
      <c r="BW16" s="431">
        <f>IF(LEFT('non Forest LUC'!$D17,6)=LEFT(Matrix!$BR$7,6),IF(LEFT('non Forest LUC'!$F17,6)=LEFT(Matrix!BW$7,6),'non Forest LUC'!$D39,0),0)</f>
        <v>0</v>
      </c>
      <c r="BX16" s="431">
        <f>IF(LEFT('non Forest LUC'!$D17,6)=LEFT(Matrix!$BR$7,6),IF(LEFT('non Forest LUC'!$F17,6)=LEFT(Matrix!BX$7,6),'non Forest LUC'!$D39,0),0)</f>
        <v>0</v>
      </c>
      <c r="BY16" s="442"/>
      <c r="BZ16" s="431">
        <f>IF(LEFT('non Forest LUC'!$D17,6)=LEFT(Matrix!$BY$7,6),IF(LEFT('non Forest LUC'!$F17,6)=LEFT(Matrix!BZ$7,6),'non Forest LUC'!$D39,0),0)</f>
        <v>0</v>
      </c>
      <c r="CA16" s="431">
        <f>IF(LEFT('non Forest LUC'!$D17,6)=LEFT(Matrix!$BY$7,6),IF(LEFT('non Forest LUC'!$F17,6)=LEFT(Matrix!CA$7,6),'non Forest LUC'!$D39,0),0)</f>
        <v>0</v>
      </c>
      <c r="CB16" s="431">
        <f>IF(LEFT('non Forest LUC'!$D17,6)=LEFT(Matrix!$BY$7,6),IF(LEFT('non Forest LUC'!$F17,6)=LEFT(Matrix!CB$7,6),'non Forest LUC'!$D39,0),0)</f>
        <v>0</v>
      </c>
      <c r="CC16" s="431">
        <f>IF(LEFT('non Forest LUC'!$D17,6)=LEFT(Matrix!$BY$7,6),IF(LEFT('non Forest LUC'!$F17,6)=LEFT(Matrix!CC$7,6),'non Forest LUC'!$D39,0),0)</f>
        <v>0</v>
      </c>
      <c r="CD16" s="431">
        <f>IF(LEFT('non Forest LUC'!$D17,6)=LEFT(Matrix!$BY$7,6),IF(LEFT('non Forest LUC'!$F17,6)=LEFT(Matrix!CD$7,6),'non Forest LUC'!$D39,0),0)</f>
        <v>0</v>
      </c>
      <c r="CE16" s="431">
        <f>IF(LEFT('non Forest LUC'!$D17,6)=LEFT(Matrix!$BY$7,6),IF(LEFT('non Forest LUC'!$F17,6)=LEFT(Matrix!CE$7,6),'non Forest LUC'!$D39,0),0)</f>
        <v>0</v>
      </c>
      <c r="CF16" s="442"/>
      <c r="CG16" s="431">
        <f>IF(LEFT('non Forest LUC'!$D17,6)=LEFT(Matrix!$CF$7,6),IF(LEFT('non Forest LUC'!$F17,6)=LEFT(Matrix!CG$7,6),'non Forest LUC'!$D39,0),0)</f>
        <v>0</v>
      </c>
      <c r="CH16" s="431">
        <f>IF(LEFT('non Forest LUC'!$D17,6)=LEFT(Matrix!$CF$7,6),IF(LEFT('non Forest LUC'!$F17,6)=LEFT(Matrix!CH$7,6),'non Forest LUC'!$D39,0),0)</f>
        <v>0</v>
      </c>
      <c r="CI16" s="431">
        <f>IF(LEFT('non Forest LUC'!$D17,6)=LEFT(Matrix!$CF$7,6),IF(LEFT('non Forest LUC'!$F17,6)=LEFT(Matrix!CI$7,6),'non Forest LUC'!$D39,0),0)</f>
        <v>0</v>
      </c>
      <c r="CJ16" s="431">
        <f>IF(LEFT('non Forest LUC'!$D17,6)=LEFT(Matrix!$CF$7,6),IF(LEFT('non Forest LUC'!$F17,6)=LEFT(Matrix!CJ$7,6),'non Forest LUC'!$D39,0),0)</f>
        <v>0</v>
      </c>
      <c r="CK16" s="431">
        <f>IF(LEFT('non Forest LUC'!$D17,6)=LEFT(Matrix!$CF$7,6),IF(LEFT('non Forest LUC'!$F17,6)=LEFT(Matrix!CK$7,6),'non Forest LUC'!$D39,0),0)</f>
        <v>0</v>
      </c>
      <c r="CL16" s="431">
        <f>IF(LEFT('non Forest LUC'!$D17,6)=LEFT(Matrix!$CF$7,6),IF(LEFT('non Forest LUC'!$F17,6)=LEFT(Matrix!CL$7,6),'non Forest LUC'!$D39,0),0)</f>
        <v>0</v>
      </c>
    </row>
    <row r="17" spans="2:93">
      <c r="L17" s="240"/>
      <c r="W17" s="437"/>
      <c r="X17" s="457">
        <f>IF(Deforestation!$I35=X$8,1,0)*Deforestation!$H50</f>
        <v>0</v>
      </c>
      <c r="Y17" s="457">
        <f>IF(Deforestation!$I35=Y$8,1,0)*Deforestation!$H50</f>
        <v>0</v>
      </c>
      <c r="Z17" s="457">
        <f>IF(Deforestation!$I35=Z$8,1,0)*Deforestation!$H50</f>
        <v>0</v>
      </c>
      <c r="AA17" s="457">
        <f>IF(Deforestation!$I35=AA$8,1,0)*Deforestation!$H50</f>
        <v>0</v>
      </c>
      <c r="AB17" s="457">
        <f>IF(Deforestation!$I35=AB$8,1,0)*Deforestation!$H50</f>
        <v>0</v>
      </c>
      <c r="AC17" s="457">
        <f>IF(Deforestation!$I35=AC$8,1,0)*Deforestation!$H50</f>
        <v>0</v>
      </c>
      <c r="AD17" s="457">
        <f>IF(Deforestation!$I35=AD$8,1,0)*Deforestation!$H50</f>
        <v>0</v>
      </c>
      <c r="AE17" s="457">
        <f>IF(Deforestation!$I35=AE$8,1,0)*Deforestation!$H50</f>
        <v>0</v>
      </c>
      <c r="AG17" s="439">
        <f>IF(AG$8='A-R'!$E35,'A-R'!$E50,0)</f>
        <v>0</v>
      </c>
      <c r="AH17" s="439">
        <f>IF(AH$8='A-R'!$E35,'A-R'!$E50,0)</f>
        <v>0</v>
      </c>
      <c r="AI17" s="439">
        <f>IF(AI$8='A-R'!$E35,'A-R'!$E50,0)</f>
        <v>0</v>
      </c>
      <c r="AJ17" s="439">
        <f>IF(AJ$8='A-R'!$E35,'A-R'!$E50,0)</f>
        <v>0</v>
      </c>
      <c r="AK17" s="439">
        <f>IF(AK$8='A-R'!$E35,'A-R'!$E50,0)</f>
        <v>0</v>
      </c>
      <c r="AL17" s="439">
        <f>IF(AL$8='A-R'!$E35,'A-R'!$E50,0)</f>
        <v>0</v>
      </c>
      <c r="AM17" s="439">
        <f>IF(AM$8='A-R'!$E35,'A-R'!$E50,0)</f>
        <v>0</v>
      </c>
      <c r="AN17" s="439">
        <f>IF(AN$8='A-R'!$E35,'A-R'!$E50,0)</f>
        <v>0</v>
      </c>
      <c r="AP17" s="442"/>
      <c r="AQ17" s="431">
        <f>IF(LEFT('non Forest LUC'!$D18,6)=LEFT(Matrix!$AP$7,6),IF(LEFT('non Forest LUC'!$F18,6)=LEFT(Matrix!AQ$7,6),'non Forest LUC'!$D40,0),0)</f>
        <v>0</v>
      </c>
      <c r="AR17" s="431">
        <f>IF(LEFT('non Forest LUC'!$D18,6)=LEFT(Matrix!$AP$7,6),IF(LEFT('non Forest LUC'!$F18,6)=LEFT(Matrix!AR$7,6),'non Forest LUC'!$D40,0),0)</f>
        <v>0</v>
      </c>
      <c r="AS17" s="431">
        <f>IF(LEFT('non Forest LUC'!$D18,6)=LEFT(Matrix!$AP$7,6),IF(LEFT('non Forest LUC'!$F18,6)=LEFT(Matrix!AS$7,6),'non Forest LUC'!$D40,0),0)</f>
        <v>0</v>
      </c>
      <c r="AT17" s="431">
        <f>IF(LEFT('non Forest LUC'!$D18,6)=LEFT(Matrix!$AP$7,6),IF(LEFT('non Forest LUC'!$F18,6)=LEFT(Matrix!AT$7,6),'non Forest LUC'!$D40,0),0)</f>
        <v>0</v>
      </c>
      <c r="AU17" s="431">
        <f>IF(LEFT('non Forest LUC'!$D18,6)=LEFT(Matrix!$AP$7,6),IF(LEFT('non Forest LUC'!$F18,6)=LEFT(Matrix!AU$7,6),'non Forest LUC'!$D40,0),0)</f>
        <v>0</v>
      </c>
      <c r="AV17" s="431">
        <f>IF(LEFT('non Forest LUC'!$D18,6)=LEFT(Matrix!$AP$7,6),IF(LEFT('non Forest LUC'!$F18,6)=LEFT(Matrix!AV$7,6),'non Forest LUC'!$D40,0),0)</f>
        <v>0</v>
      </c>
      <c r="AW17" s="442"/>
      <c r="AX17" s="431">
        <f>IF(LEFT('non Forest LUC'!$D18,6)=LEFT(Matrix!$AW$7,6),IF(LEFT('non Forest LUC'!$F18,6)=LEFT(Matrix!AX$7,6),'non Forest LUC'!$D40,0),0)</f>
        <v>0</v>
      </c>
      <c r="AY17" s="431">
        <f>IF(LEFT('non Forest LUC'!$D18,6)=LEFT(Matrix!$AW$7,6),IF(LEFT('non Forest LUC'!$F18,6)=LEFT(Matrix!AY$7,6),'non Forest LUC'!$D40,0),0)</f>
        <v>0</v>
      </c>
      <c r="AZ17" s="431">
        <f>IF(LEFT('non Forest LUC'!$D18,6)=LEFT(Matrix!$AW$7,6),IF(LEFT('non Forest LUC'!$F18,6)=LEFT(Matrix!AZ$7,6),'non Forest LUC'!$D40,0),0)</f>
        <v>0</v>
      </c>
      <c r="BA17" s="431">
        <f>IF(LEFT('non Forest LUC'!$D18,6)=LEFT(Matrix!$AW$7,6),IF(LEFT('non Forest LUC'!$F18,6)=LEFT(Matrix!BA$7,6),'non Forest LUC'!$D40,0),0)</f>
        <v>0</v>
      </c>
      <c r="BB17" s="431">
        <f>IF(LEFT('non Forest LUC'!$D18,6)=LEFT(Matrix!$AW$7,6),IF(LEFT('non Forest LUC'!$F18,6)=LEFT(Matrix!BB$7,6),'non Forest LUC'!$D40,0),0)</f>
        <v>0</v>
      </c>
      <c r="BC17" s="431">
        <f>IF(LEFT('non Forest LUC'!$D18,6)=LEFT(Matrix!$AW$7,6),IF(LEFT('non Forest LUC'!$F18,6)=LEFT(Matrix!BC$7,6),'non Forest LUC'!$D40,0),0)</f>
        <v>0</v>
      </c>
      <c r="BD17" s="442"/>
      <c r="BE17" s="431">
        <f>IF(LEFT('non Forest LUC'!$D18,6)=LEFT(Matrix!$BD$7,6),IF(LEFT('non Forest LUC'!$F18,6)=LEFT(Matrix!BE$7,6),'non Forest LUC'!$D40,0),0)</f>
        <v>0</v>
      </c>
      <c r="BF17" s="431">
        <f>IF(LEFT('non Forest LUC'!$D18,6)=LEFT(Matrix!$BD$7,6),IF(LEFT('non Forest LUC'!$F18,6)=LEFT(Matrix!BF$7,6),'non Forest LUC'!$D40,0),0)</f>
        <v>0</v>
      </c>
      <c r="BG17" s="431">
        <f>IF(LEFT('non Forest LUC'!$D18,6)=LEFT(Matrix!$BD$7,6),IF(LEFT('non Forest LUC'!$F18,6)=LEFT(Matrix!BG$7,6),'non Forest LUC'!$D40,0),0)</f>
        <v>0</v>
      </c>
      <c r="BH17" s="431">
        <f>IF(LEFT('non Forest LUC'!$D18,6)=LEFT(Matrix!$BD$7,6),IF(LEFT('non Forest LUC'!$F18,6)=LEFT(Matrix!BH$7,6),'non Forest LUC'!$D40,0),0)</f>
        <v>0</v>
      </c>
      <c r="BI17" s="431">
        <f>IF(LEFT('non Forest LUC'!$D18,6)=LEFT(Matrix!$BD$7,6),IF(LEFT('non Forest LUC'!$F18,6)=LEFT(Matrix!BI$7,6),'non Forest LUC'!$D40,0),0)</f>
        <v>0</v>
      </c>
      <c r="BJ17" s="431">
        <f>IF(LEFT('non Forest LUC'!$D18,6)=LEFT(Matrix!$BD$7,6),IF(LEFT('non Forest LUC'!$F18,6)=LEFT(Matrix!BJ$7,6),'non Forest LUC'!$D40,0),0)</f>
        <v>0</v>
      </c>
      <c r="BK17" s="442"/>
      <c r="BL17" s="431">
        <f>IF(LEFT('non Forest LUC'!$D18,6)=LEFT(Matrix!$BK$7,6),IF(LEFT('non Forest LUC'!$F18,6)=LEFT(Matrix!BL$7,6),'non Forest LUC'!$D40,0),0)</f>
        <v>0</v>
      </c>
      <c r="BM17" s="431">
        <f>IF(LEFT('non Forest LUC'!$D18,6)=LEFT(Matrix!$BK$7,6),IF(LEFT('non Forest LUC'!$F18,6)=LEFT(Matrix!BM$7,6),'non Forest LUC'!$D40,0),0)</f>
        <v>0</v>
      </c>
      <c r="BN17" s="431">
        <f>IF(LEFT('non Forest LUC'!$D18,6)=LEFT(Matrix!$BK$7,6),IF(LEFT('non Forest LUC'!$F18,6)=LEFT(Matrix!BN$7,6),'non Forest LUC'!$D40,0),0)</f>
        <v>0</v>
      </c>
      <c r="BO17" s="431">
        <f>IF(LEFT('non Forest LUC'!$D18,6)=LEFT(Matrix!$BK$7,6),IF(LEFT('non Forest LUC'!$F18,6)=LEFT(Matrix!BO$7,6),'non Forest LUC'!$D40,0),0)</f>
        <v>0</v>
      </c>
      <c r="BP17" s="431">
        <f>IF(LEFT('non Forest LUC'!$D18,6)=LEFT(Matrix!$BK$7,6),IF(LEFT('non Forest LUC'!$F18,6)=LEFT(Matrix!BP$7,6),'non Forest LUC'!$D40,0),0)</f>
        <v>0</v>
      </c>
      <c r="BQ17" s="431">
        <f>IF(LEFT('non Forest LUC'!$D18,6)=LEFT(Matrix!$BK$7,6),IF(LEFT('non Forest LUC'!$F18,6)=LEFT(Matrix!BQ$7,6),'non Forest LUC'!$D40,0),0)</f>
        <v>0</v>
      </c>
      <c r="BR17" s="442"/>
      <c r="BS17" s="431">
        <f>IF(LEFT('non Forest LUC'!$D18,6)=LEFT(Matrix!$BR$7,6),IF(LEFT('non Forest LUC'!$F18,6)=LEFT(Matrix!BS$7,6),'non Forest LUC'!$D40,0),0)</f>
        <v>0</v>
      </c>
      <c r="BT17" s="431">
        <f>IF(LEFT('non Forest LUC'!$D18,6)=LEFT(Matrix!$BR$7,6),IF(LEFT('non Forest LUC'!$F18,6)=LEFT(Matrix!BT$7,6),'non Forest LUC'!$D40,0),0)</f>
        <v>0</v>
      </c>
      <c r="BU17" s="431">
        <f>IF(LEFT('non Forest LUC'!$D18,6)=LEFT(Matrix!$BR$7,6),IF(LEFT('non Forest LUC'!$F18,6)=LEFT(Matrix!BU$7,6),'non Forest LUC'!$D40,0),0)</f>
        <v>0</v>
      </c>
      <c r="BV17" s="431">
        <f>IF(LEFT('non Forest LUC'!$D18,6)=LEFT(Matrix!$BR$7,6),IF(LEFT('non Forest LUC'!$F18,6)=LEFT(Matrix!BV$7,6),'non Forest LUC'!$D40,0),0)</f>
        <v>0</v>
      </c>
      <c r="BW17" s="431">
        <f>IF(LEFT('non Forest LUC'!$D18,6)=LEFT(Matrix!$BR$7,6),IF(LEFT('non Forest LUC'!$F18,6)=LEFT(Matrix!BW$7,6),'non Forest LUC'!$D40,0),0)</f>
        <v>0</v>
      </c>
      <c r="BX17" s="431">
        <f>IF(LEFT('non Forest LUC'!$D18,6)=LEFT(Matrix!$BR$7,6),IF(LEFT('non Forest LUC'!$F18,6)=LEFT(Matrix!BX$7,6),'non Forest LUC'!$D40,0),0)</f>
        <v>0</v>
      </c>
      <c r="BY17" s="442"/>
      <c r="BZ17" s="431">
        <f>IF(LEFT('non Forest LUC'!$D18,6)=LEFT(Matrix!$BY$7,6),IF(LEFT('non Forest LUC'!$F18,6)=LEFT(Matrix!BZ$7,6),'non Forest LUC'!$D40,0),0)</f>
        <v>0</v>
      </c>
      <c r="CA17" s="431">
        <f>IF(LEFT('non Forest LUC'!$D18,6)=LEFT(Matrix!$BY$7,6),IF(LEFT('non Forest LUC'!$F18,6)=LEFT(Matrix!CA$7,6),'non Forest LUC'!$D40,0),0)</f>
        <v>0</v>
      </c>
      <c r="CB17" s="431">
        <f>IF(LEFT('non Forest LUC'!$D18,6)=LEFT(Matrix!$BY$7,6),IF(LEFT('non Forest LUC'!$F18,6)=LEFT(Matrix!CB$7,6),'non Forest LUC'!$D40,0),0)</f>
        <v>0</v>
      </c>
      <c r="CC17" s="431">
        <f>IF(LEFT('non Forest LUC'!$D18,6)=LEFT(Matrix!$BY$7,6),IF(LEFT('non Forest LUC'!$F18,6)=LEFT(Matrix!CC$7,6),'non Forest LUC'!$D40,0),0)</f>
        <v>0</v>
      </c>
      <c r="CD17" s="431">
        <f>IF(LEFT('non Forest LUC'!$D18,6)=LEFT(Matrix!$BY$7,6),IF(LEFT('non Forest LUC'!$F18,6)=LEFT(Matrix!CD$7,6),'non Forest LUC'!$D40,0),0)</f>
        <v>0</v>
      </c>
      <c r="CE17" s="431">
        <f>IF(LEFT('non Forest LUC'!$D18,6)=LEFT(Matrix!$BY$7,6),IF(LEFT('non Forest LUC'!$F18,6)=LEFT(Matrix!CE$7,6),'non Forest LUC'!$D40,0),0)</f>
        <v>0</v>
      </c>
      <c r="CF17" s="442"/>
      <c r="CG17" s="431">
        <f>IF(LEFT('non Forest LUC'!$D18,6)=LEFT(Matrix!$CF$7,6),IF(LEFT('non Forest LUC'!$F18,6)=LEFT(Matrix!CG$7,6),'non Forest LUC'!$D40,0),0)</f>
        <v>0</v>
      </c>
      <c r="CH17" s="431">
        <f>IF(LEFT('non Forest LUC'!$D18,6)=LEFT(Matrix!$CF$7,6),IF(LEFT('non Forest LUC'!$F18,6)=LEFT(Matrix!CH$7,6),'non Forest LUC'!$D40,0),0)</f>
        <v>0</v>
      </c>
      <c r="CI17" s="431">
        <f>IF(LEFT('non Forest LUC'!$D18,6)=LEFT(Matrix!$CF$7,6),IF(LEFT('non Forest LUC'!$F18,6)=LEFT(Matrix!CI$7,6),'non Forest LUC'!$D40,0),0)</f>
        <v>0</v>
      </c>
      <c r="CJ17" s="431">
        <f>IF(LEFT('non Forest LUC'!$D18,6)=LEFT(Matrix!$CF$7,6),IF(LEFT('non Forest LUC'!$F18,6)=LEFT(Matrix!CJ$7,6),'non Forest LUC'!$D40,0),0)</f>
        <v>0</v>
      </c>
      <c r="CK17" s="431">
        <f>IF(LEFT('non Forest LUC'!$D18,6)=LEFT(Matrix!$CF$7,6),IF(LEFT('non Forest LUC'!$F18,6)=LEFT(Matrix!CK$7,6),'non Forest LUC'!$D40,0),0)</f>
        <v>0</v>
      </c>
      <c r="CL17" s="431">
        <f>IF(LEFT('non Forest LUC'!$D18,6)=LEFT(Matrix!$CF$7,6),IF(LEFT('non Forest LUC'!$F18,6)=LEFT(Matrix!CL$7,6),'non Forest LUC'!$D40,0),0)</f>
        <v>0</v>
      </c>
    </row>
    <row r="18" spans="2:93" ht="15.75" customHeight="1">
      <c r="D18" s="495" t="s">
        <v>1118</v>
      </c>
      <c r="E18" s="496">
        <f>SUM(E10:E16)</f>
        <v>0</v>
      </c>
      <c r="F18" s="496">
        <f t="shared" ref="F18:K18" si="1">SUM(F10:F16)</f>
        <v>0</v>
      </c>
      <c r="G18" s="496">
        <f t="shared" si="1"/>
        <v>0</v>
      </c>
      <c r="H18" s="496">
        <f t="shared" si="1"/>
        <v>0</v>
      </c>
      <c r="I18" s="496">
        <f t="shared" si="1"/>
        <v>0</v>
      </c>
      <c r="J18" s="496">
        <f t="shared" si="1"/>
        <v>0</v>
      </c>
      <c r="K18" s="496">
        <f t="shared" si="1"/>
        <v>0</v>
      </c>
      <c r="L18" s="240"/>
      <c r="M18" s="496">
        <f>SUM(M10:M16)</f>
        <v>0</v>
      </c>
      <c r="W18" s="437"/>
      <c r="X18" s="457">
        <f>IF(Deforestation!$I36=X$8,1,0)*Deforestation!$H51</f>
        <v>0</v>
      </c>
      <c r="Y18" s="457">
        <f>IF(Deforestation!$I36=Y$8,1,0)*Deforestation!$H51</f>
        <v>0</v>
      </c>
      <c r="Z18" s="457">
        <f>IF(Deforestation!$I36=Z$8,1,0)*Deforestation!$H51</f>
        <v>0</v>
      </c>
      <c r="AA18" s="457">
        <f>IF(Deforestation!$I36=AA$8,1,0)*Deforestation!$H51</f>
        <v>0</v>
      </c>
      <c r="AB18" s="457">
        <f>IF(Deforestation!$I36=AB$8,1,0)*Deforestation!$H51</f>
        <v>0</v>
      </c>
      <c r="AC18" s="457">
        <f>IF(Deforestation!$I36=AC$8,1,0)*Deforestation!$H51</f>
        <v>0</v>
      </c>
      <c r="AD18" s="457">
        <f>IF(Deforestation!$I36=AD$8,1,0)*Deforestation!$H51</f>
        <v>0</v>
      </c>
      <c r="AE18" s="457">
        <f>IF(Deforestation!$I36=AE$8,1,0)*Deforestation!$H51</f>
        <v>0</v>
      </c>
      <c r="AG18" s="439">
        <f>IF(AG$8='A-R'!$E36,'A-R'!$E51,0)</f>
        <v>0</v>
      </c>
      <c r="AH18" s="439">
        <f>IF(AH$8='A-R'!$E36,'A-R'!$E51,0)</f>
        <v>0</v>
      </c>
      <c r="AI18" s="439">
        <f>IF(AI$8='A-R'!$E36,'A-R'!$E51,0)</f>
        <v>0</v>
      </c>
      <c r="AJ18" s="439">
        <f>IF(AJ$8='A-R'!$E36,'A-R'!$E51,0)</f>
        <v>0</v>
      </c>
      <c r="AK18" s="439">
        <f>IF(AK$8='A-R'!$E36,'A-R'!$E51,0)</f>
        <v>0</v>
      </c>
      <c r="AL18" s="439">
        <f>IF(AL$8='A-R'!$E36,'A-R'!$E51,0)</f>
        <v>0</v>
      </c>
      <c r="AM18" s="439">
        <f>IF(AM$8='A-R'!$E36,'A-R'!$E51,0)</f>
        <v>0</v>
      </c>
      <c r="AN18" s="439">
        <f>IF(AN$8='A-R'!$E36,'A-R'!$E51,0)</f>
        <v>0</v>
      </c>
      <c r="AP18" s="442"/>
      <c r="AQ18" s="431">
        <f>IF(LEFT('non Forest LUC'!$D19,6)=LEFT(Matrix!$AP$7,6),IF(LEFT('non Forest LUC'!$F19,6)=LEFT(Matrix!AQ$7,6),'non Forest LUC'!$D41,0),0)</f>
        <v>0</v>
      </c>
      <c r="AR18" s="431">
        <f>IF(LEFT('non Forest LUC'!$D19,6)=LEFT(Matrix!$AP$7,6),IF(LEFT('non Forest LUC'!$F19,6)=LEFT(Matrix!AR$7,6),'non Forest LUC'!$D41,0),0)</f>
        <v>0</v>
      </c>
      <c r="AS18" s="431">
        <f>IF(LEFT('non Forest LUC'!$D19,6)=LEFT(Matrix!$AP$7,6),IF(LEFT('non Forest LUC'!$F19,6)=LEFT(Matrix!AS$7,6),'non Forest LUC'!$D41,0),0)</f>
        <v>0</v>
      </c>
      <c r="AT18" s="431">
        <f>IF(LEFT('non Forest LUC'!$D19,6)=LEFT(Matrix!$AP$7,6),IF(LEFT('non Forest LUC'!$F19,6)=LEFT(Matrix!AT$7,6),'non Forest LUC'!$D41,0),0)</f>
        <v>0</v>
      </c>
      <c r="AU18" s="431">
        <f>IF(LEFT('non Forest LUC'!$D19,6)=LEFT(Matrix!$AP$7,6),IF(LEFT('non Forest LUC'!$F19,6)=LEFT(Matrix!AU$7,6),'non Forest LUC'!$D41,0),0)</f>
        <v>0</v>
      </c>
      <c r="AV18" s="431">
        <f>IF(LEFT('non Forest LUC'!$D19,6)=LEFT(Matrix!$AP$7,6),IF(LEFT('non Forest LUC'!$F19,6)=LEFT(Matrix!AV$7,6),'non Forest LUC'!$D41,0),0)</f>
        <v>0</v>
      </c>
      <c r="AW18" s="442"/>
      <c r="AX18" s="431">
        <f>IF(LEFT('non Forest LUC'!$D19,6)=LEFT(Matrix!$AW$7,6),IF(LEFT('non Forest LUC'!$F19,6)=LEFT(Matrix!AX$7,6),'non Forest LUC'!$D41,0),0)</f>
        <v>0</v>
      </c>
      <c r="AY18" s="431">
        <f>IF(LEFT('non Forest LUC'!$D19,6)=LEFT(Matrix!$AW$7,6),IF(LEFT('non Forest LUC'!$F19,6)=LEFT(Matrix!AY$7,6),'non Forest LUC'!$D41,0),0)</f>
        <v>0</v>
      </c>
      <c r="AZ18" s="431">
        <f>IF(LEFT('non Forest LUC'!$D19,6)=LEFT(Matrix!$AW$7,6),IF(LEFT('non Forest LUC'!$F19,6)=LEFT(Matrix!AZ$7,6),'non Forest LUC'!$D41,0),0)</f>
        <v>0</v>
      </c>
      <c r="BA18" s="431">
        <f>IF(LEFT('non Forest LUC'!$D19,6)=LEFT(Matrix!$AW$7,6),IF(LEFT('non Forest LUC'!$F19,6)=LEFT(Matrix!BA$7,6),'non Forest LUC'!$D41,0),0)</f>
        <v>0</v>
      </c>
      <c r="BB18" s="431">
        <f>IF(LEFT('non Forest LUC'!$D19,6)=LEFT(Matrix!$AW$7,6),IF(LEFT('non Forest LUC'!$F19,6)=LEFT(Matrix!BB$7,6),'non Forest LUC'!$D41,0),0)</f>
        <v>0</v>
      </c>
      <c r="BC18" s="431">
        <f>IF(LEFT('non Forest LUC'!$D19,6)=LEFT(Matrix!$AW$7,6),IF(LEFT('non Forest LUC'!$F19,6)=LEFT(Matrix!BC$7,6),'non Forest LUC'!$D41,0),0)</f>
        <v>0</v>
      </c>
      <c r="BD18" s="442"/>
      <c r="BE18" s="431">
        <f>IF(LEFT('non Forest LUC'!$D19,6)=LEFT(Matrix!$BD$7,6),IF(LEFT('non Forest LUC'!$F19,6)=LEFT(Matrix!BE$7,6),'non Forest LUC'!$D41,0),0)</f>
        <v>0</v>
      </c>
      <c r="BF18" s="431">
        <f>IF(LEFT('non Forest LUC'!$D19,6)=LEFT(Matrix!$BD$7,6),IF(LEFT('non Forest LUC'!$F19,6)=LEFT(Matrix!BF$7,6),'non Forest LUC'!$D41,0),0)</f>
        <v>0</v>
      </c>
      <c r="BG18" s="431">
        <f>IF(LEFT('non Forest LUC'!$D19,6)=LEFT(Matrix!$BD$7,6),IF(LEFT('non Forest LUC'!$F19,6)=LEFT(Matrix!BG$7,6),'non Forest LUC'!$D41,0),0)</f>
        <v>0</v>
      </c>
      <c r="BH18" s="431">
        <f>IF(LEFT('non Forest LUC'!$D19,6)=LEFT(Matrix!$BD$7,6),IF(LEFT('non Forest LUC'!$F19,6)=LEFT(Matrix!BH$7,6),'non Forest LUC'!$D41,0),0)</f>
        <v>0</v>
      </c>
      <c r="BI18" s="431">
        <f>IF(LEFT('non Forest LUC'!$D19,6)=LEFT(Matrix!$BD$7,6),IF(LEFT('non Forest LUC'!$F19,6)=LEFT(Matrix!BI$7,6),'non Forest LUC'!$D41,0),0)</f>
        <v>0</v>
      </c>
      <c r="BJ18" s="431">
        <f>IF(LEFT('non Forest LUC'!$D19,6)=LEFT(Matrix!$BD$7,6),IF(LEFT('non Forest LUC'!$F19,6)=LEFT(Matrix!BJ$7,6),'non Forest LUC'!$D41,0),0)</f>
        <v>0</v>
      </c>
      <c r="BK18" s="442"/>
      <c r="BL18" s="431">
        <f>IF(LEFT('non Forest LUC'!$D19,6)=LEFT(Matrix!$BK$7,6),IF(LEFT('non Forest LUC'!$F19,6)=LEFT(Matrix!BL$7,6),'non Forest LUC'!$D41,0),0)</f>
        <v>0</v>
      </c>
      <c r="BM18" s="431">
        <f>IF(LEFT('non Forest LUC'!$D19,6)=LEFT(Matrix!$BK$7,6),IF(LEFT('non Forest LUC'!$F19,6)=LEFT(Matrix!BM$7,6),'non Forest LUC'!$D41,0),0)</f>
        <v>0</v>
      </c>
      <c r="BN18" s="431">
        <f>IF(LEFT('non Forest LUC'!$D19,6)=LEFT(Matrix!$BK$7,6),IF(LEFT('non Forest LUC'!$F19,6)=LEFT(Matrix!BN$7,6),'non Forest LUC'!$D41,0),0)</f>
        <v>0</v>
      </c>
      <c r="BO18" s="431">
        <f>IF(LEFT('non Forest LUC'!$D19,6)=LEFT(Matrix!$BK$7,6),IF(LEFT('non Forest LUC'!$F19,6)=LEFT(Matrix!BO$7,6),'non Forest LUC'!$D41,0),0)</f>
        <v>0</v>
      </c>
      <c r="BP18" s="431">
        <f>IF(LEFT('non Forest LUC'!$D19,6)=LEFT(Matrix!$BK$7,6),IF(LEFT('non Forest LUC'!$F19,6)=LEFT(Matrix!BP$7,6),'non Forest LUC'!$D41,0),0)</f>
        <v>0</v>
      </c>
      <c r="BQ18" s="431">
        <f>IF(LEFT('non Forest LUC'!$D19,6)=LEFT(Matrix!$BK$7,6),IF(LEFT('non Forest LUC'!$F19,6)=LEFT(Matrix!BQ$7,6),'non Forest LUC'!$D41,0),0)</f>
        <v>0</v>
      </c>
      <c r="BR18" s="442"/>
      <c r="BS18" s="431">
        <f>IF(LEFT('non Forest LUC'!$D19,6)=LEFT(Matrix!$BR$7,6),IF(LEFT('non Forest LUC'!$F19,6)=LEFT(Matrix!BS$7,6),'non Forest LUC'!$D41,0),0)</f>
        <v>0</v>
      </c>
      <c r="BT18" s="431">
        <f>IF(LEFT('non Forest LUC'!$D19,6)=LEFT(Matrix!$BR$7,6),IF(LEFT('non Forest LUC'!$F19,6)=LEFT(Matrix!BT$7,6),'non Forest LUC'!$D41,0),0)</f>
        <v>0</v>
      </c>
      <c r="BU18" s="431">
        <f>IF(LEFT('non Forest LUC'!$D19,6)=LEFT(Matrix!$BR$7,6),IF(LEFT('non Forest LUC'!$F19,6)=LEFT(Matrix!BU$7,6),'non Forest LUC'!$D41,0),0)</f>
        <v>0</v>
      </c>
      <c r="BV18" s="431">
        <f>IF(LEFT('non Forest LUC'!$D19,6)=LEFT(Matrix!$BR$7,6),IF(LEFT('non Forest LUC'!$F19,6)=LEFT(Matrix!BV$7,6),'non Forest LUC'!$D41,0),0)</f>
        <v>0</v>
      </c>
      <c r="BW18" s="431">
        <f>IF(LEFT('non Forest LUC'!$D19,6)=LEFT(Matrix!$BR$7,6),IF(LEFT('non Forest LUC'!$F19,6)=LEFT(Matrix!BW$7,6),'non Forest LUC'!$D41,0),0)</f>
        <v>0</v>
      </c>
      <c r="BX18" s="431">
        <f>IF(LEFT('non Forest LUC'!$D19,6)=LEFT(Matrix!$BR$7,6),IF(LEFT('non Forest LUC'!$F19,6)=LEFT(Matrix!BX$7,6),'non Forest LUC'!$D41,0),0)</f>
        <v>0</v>
      </c>
      <c r="BY18" s="442"/>
      <c r="BZ18" s="431">
        <f>IF(LEFT('non Forest LUC'!$D19,6)=LEFT(Matrix!$BY$7,6),IF(LEFT('non Forest LUC'!$F19,6)=LEFT(Matrix!BZ$7,6),'non Forest LUC'!$D41,0),0)</f>
        <v>0</v>
      </c>
      <c r="CA18" s="431">
        <f>IF(LEFT('non Forest LUC'!$D19,6)=LEFT(Matrix!$BY$7,6),IF(LEFT('non Forest LUC'!$F19,6)=LEFT(Matrix!CA$7,6),'non Forest LUC'!$D41,0),0)</f>
        <v>0</v>
      </c>
      <c r="CB18" s="431">
        <f>IF(LEFT('non Forest LUC'!$D19,6)=LEFT(Matrix!$BY$7,6),IF(LEFT('non Forest LUC'!$F19,6)=LEFT(Matrix!CB$7,6),'non Forest LUC'!$D41,0),0)</f>
        <v>0</v>
      </c>
      <c r="CC18" s="431">
        <f>IF(LEFT('non Forest LUC'!$D19,6)=LEFT(Matrix!$BY$7,6),IF(LEFT('non Forest LUC'!$F19,6)=LEFT(Matrix!CC$7,6),'non Forest LUC'!$D41,0),0)</f>
        <v>0</v>
      </c>
      <c r="CD18" s="431">
        <f>IF(LEFT('non Forest LUC'!$D19,6)=LEFT(Matrix!$BY$7,6),IF(LEFT('non Forest LUC'!$F19,6)=LEFT(Matrix!CD$7,6),'non Forest LUC'!$D41,0),0)</f>
        <v>0</v>
      </c>
      <c r="CE18" s="431">
        <f>IF(LEFT('non Forest LUC'!$D19,6)=LEFT(Matrix!$BY$7,6),IF(LEFT('non Forest LUC'!$F19,6)=LEFT(Matrix!CE$7,6),'non Forest LUC'!$D41,0),0)</f>
        <v>0</v>
      </c>
      <c r="CF18" s="442"/>
      <c r="CG18" s="431">
        <f>IF(LEFT('non Forest LUC'!$D19,6)=LEFT(Matrix!$CF$7,6),IF(LEFT('non Forest LUC'!$F19,6)=LEFT(Matrix!CG$7,6),'non Forest LUC'!$D41,0),0)</f>
        <v>0</v>
      </c>
      <c r="CH18" s="431">
        <f>IF(LEFT('non Forest LUC'!$D19,6)=LEFT(Matrix!$CF$7,6),IF(LEFT('non Forest LUC'!$F19,6)=LEFT(Matrix!CH$7,6),'non Forest LUC'!$D41,0),0)</f>
        <v>0</v>
      </c>
      <c r="CI18" s="431">
        <f>IF(LEFT('non Forest LUC'!$D19,6)=LEFT(Matrix!$CF$7,6),IF(LEFT('non Forest LUC'!$F19,6)=LEFT(Matrix!CI$7,6),'non Forest LUC'!$D41,0),0)</f>
        <v>0</v>
      </c>
      <c r="CJ18" s="431">
        <f>IF(LEFT('non Forest LUC'!$D19,6)=LEFT(Matrix!$CF$7,6),IF(LEFT('non Forest LUC'!$F19,6)=LEFT(Matrix!CJ$7,6),'non Forest LUC'!$D41,0),0)</f>
        <v>0</v>
      </c>
      <c r="CK18" s="431">
        <f>IF(LEFT('non Forest LUC'!$D19,6)=LEFT(Matrix!$CF$7,6),IF(LEFT('non Forest LUC'!$F19,6)=LEFT(Matrix!CK$7,6),'non Forest LUC'!$D41,0),0)</f>
        <v>0</v>
      </c>
      <c r="CL18" s="431">
        <f>IF(LEFT('non Forest LUC'!$D19,6)=LEFT(Matrix!$CF$7,6),IF(LEFT('non Forest LUC'!$F19,6)=LEFT(Matrix!CL$7,6),'non Forest LUC'!$D41,0),0)</f>
        <v>0</v>
      </c>
    </row>
    <row r="19" spans="2:93" ht="8.25" customHeight="1">
      <c r="L19" s="240"/>
      <c r="W19" s="497" t="s">
        <v>531</v>
      </c>
      <c r="X19" s="497">
        <f t="shared" ref="X19:AG19" si="2">SUM(X9:X18)</f>
        <v>0</v>
      </c>
      <c r="Y19" s="497">
        <f t="shared" si="2"/>
        <v>0</v>
      </c>
      <c r="Z19" s="497">
        <f t="shared" si="2"/>
        <v>0</v>
      </c>
      <c r="AA19" s="497">
        <f t="shared" si="2"/>
        <v>0</v>
      </c>
      <c r="AB19" s="497">
        <f t="shared" si="2"/>
        <v>0</v>
      </c>
      <c r="AC19" s="497">
        <f t="shared" si="2"/>
        <v>0</v>
      </c>
      <c r="AD19" s="497">
        <f t="shared" si="2"/>
        <v>0</v>
      </c>
      <c r="AE19" s="497">
        <f t="shared" si="2"/>
        <v>0</v>
      </c>
      <c r="AG19" s="1621">
        <f t="shared" si="2"/>
        <v>0</v>
      </c>
      <c r="AH19" s="1621">
        <f t="shared" ref="AH19:AN19" si="3">SUM(AH9:AH18)</f>
        <v>0</v>
      </c>
      <c r="AI19" s="1621">
        <f t="shared" si="3"/>
        <v>0</v>
      </c>
      <c r="AJ19" s="1621">
        <f t="shared" si="3"/>
        <v>0</v>
      </c>
      <c r="AK19" s="1621">
        <f t="shared" si="3"/>
        <v>0</v>
      </c>
      <c r="AL19" s="1621">
        <f t="shared" si="3"/>
        <v>0</v>
      </c>
      <c r="AM19" s="1621">
        <f t="shared" si="3"/>
        <v>0</v>
      </c>
      <c r="AN19" s="1621">
        <f t="shared" si="3"/>
        <v>0</v>
      </c>
      <c r="AP19" s="442"/>
      <c r="AQ19" s="431">
        <f>IF(LEFT('non Forest LUC'!$D20,6)=LEFT(Matrix!$AP$7,6),IF(LEFT('non Forest LUC'!$F20,6)=LEFT(Matrix!AQ$7,6),'non Forest LUC'!$D42,0),0)</f>
        <v>0</v>
      </c>
      <c r="AR19" s="431">
        <f>IF(LEFT('non Forest LUC'!$D20,6)=LEFT(Matrix!$AP$7,6),IF(LEFT('non Forest LUC'!$F20,6)=LEFT(Matrix!AR$7,6),'non Forest LUC'!$D42,0),0)</f>
        <v>0</v>
      </c>
      <c r="AS19" s="431">
        <f>IF(LEFT('non Forest LUC'!$D20,6)=LEFT(Matrix!$AP$7,6),IF(LEFT('non Forest LUC'!$F20,6)=LEFT(Matrix!AS$7,6),'non Forest LUC'!$D42,0),0)</f>
        <v>0</v>
      </c>
      <c r="AT19" s="431">
        <f>IF(LEFT('non Forest LUC'!$D20,6)=LEFT(Matrix!$AP$7,6),IF(LEFT('non Forest LUC'!$F20,6)=LEFT(Matrix!AT$7,6),'non Forest LUC'!$D42,0),0)</f>
        <v>0</v>
      </c>
      <c r="AU19" s="431">
        <f>IF(LEFT('non Forest LUC'!$D20,6)=LEFT(Matrix!$AP$7,6),IF(LEFT('non Forest LUC'!$F20,6)=LEFT(Matrix!AU$7,6),'non Forest LUC'!$D42,0),0)</f>
        <v>0</v>
      </c>
      <c r="AV19" s="431">
        <f>IF(LEFT('non Forest LUC'!$D20,6)=LEFT(Matrix!$AP$7,6),IF(LEFT('non Forest LUC'!$F20,6)=LEFT(Matrix!AV$7,6),'non Forest LUC'!$D42,0),0)</f>
        <v>0</v>
      </c>
      <c r="AW19" s="442"/>
      <c r="AX19" s="431">
        <f>IF(LEFT('non Forest LUC'!$D20,6)=LEFT(Matrix!$AW$7,6),IF(LEFT('non Forest LUC'!$F20,6)=LEFT(Matrix!AX$7,6),'non Forest LUC'!$D42,0),0)</f>
        <v>0</v>
      </c>
      <c r="AY19" s="431">
        <f>IF(LEFT('non Forest LUC'!$D20,6)=LEFT(Matrix!$AW$7,6),IF(LEFT('non Forest LUC'!$F20,6)=LEFT(Matrix!AY$7,6),'non Forest LUC'!$D42,0),0)</f>
        <v>0</v>
      </c>
      <c r="AZ19" s="431">
        <f>IF(LEFT('non Forest LUC'!$D20,6)=LEFT(Matrix!$AW$7,6),IF(LEFT('non Forest LUC'!$F20,6)=LEFT(Matrix!AZ$7,6),'non Forest LUC'!$D42,0),0)</f>
        <v>0</v>
      </c>
      <c r="BA19" s="431">
        <f>IF(LEFT('non Forest LUC'!$D20,6)=LEFT(Matrix!$AW$7,6),IF(LEFT('non Forest LUC'!$F20,6)=LEFT(Matrix!BA$7,6),'non Forest LUC'!$D42,0),0)</f>
        <v>0</v>
      </c>
      <c r="BB19" s="431">
        <f>IF(LEFT('non Forest LUC'!$D20,6)=LEFT(Matrix!$AW$7,6),IF(LEFT('non Forest LUC'!$F20,6)=LEFT(Matrix!BB$7,6),'non Forest LUC'!$D42,0),0)</f>
        <v>0</v>
      </c>
      <c r="BC19" s="431">
        <f>IF(LEFT('non Forest LUC'!$D20,6)=LEFT(Matrix!$AW$7,6),IF(LEFT('non Forest LUC'!$F20,6)=LEFT(Matrix!BC$7,6),'non Forest LUC'!$D42,0),0)</f>
        <v>0</v>
      </c>
      <c r="BD19" s="442"/>
      <c r="BE19" s="431">
        <f>IF(LEFT('non Forest LUC'!$D20,6)=LEFT(Matrix!$BD$7,6),IF(LEFT('non Forest LUC'!$F20,6)=LEFT(Matrix!BE$7,6),'non Forest LUC'!$D42,0),0)</f>
        <v>0</v>
      </c>
      <c r="BF19" s="431">
        <f>IF(LEFT('non Forest LUC'!$D20,6)=LEFT(Matrix!$BD$7,6),IF(LEFT('non Forest LUC'!$F20,6)=LEFT(Matrix!BF$7,6),'non Forest LUC'!$D42,0),0)</f>
        <v>0</v>
      </c>
      <c r="BG19" s="431">
        <f>IF(LEFT('non Forest LUC'!$D20,6)=LEFT(Matrix!$BD$7,6),IF(LEFT('non Forest LUC'!$F20,6)=LEFT(Matrix!BG$7,6),'non Forest LUC'!$D42,0),0)</f>
        <v>0</v>
      </c>
      <c r="BH19" s="431">
        <f>IF(LEFT('non Forest LUC'!$D20,6)=LEFT(Matrix!$BD$7,6),IF(LEFT('non Forest LUC'!$F20,6)=LEFT(Matrix!BH$7,6),'non Forest LUC'!$D42,0),0)</f>
        <v>0</v>
      </c>
      <c r="BI19" s="431">
        <f>IF(LEFT('non Forest LUC'!$D20,6)=LEFT(Matrix!$BD$7,6),IF(LEFT('non Forest LUC'!$F20,6)=LEFT(Matrix!BI$7,6),'non Forest LUC'!$D42,0),0)</f>
        <v>0</v>
      </c>
      <c r="BJ19" s="431">
        <f>IF(LEFT('non Forest LUC'!$D20,6)=LEFT(Matrix!$BD$7,6),IF(LEFT('non Forest LUC'!$F20,6)=LEFT(Matrix!BJ$7,6),'non Forest LUC'!$D42,0),0)</f>
        <v>0</v>
      </c>
      <c r="BK19" s="442"/>
      <c r="BL19" s="431">
        <f>IF(LEFT('non Forest LUC'!$D20,6)=LEFT(Matrix!$BK$7,6),IF(LEFT('non Forest LUC'!$F20,6)=LEFT(Matrix!BL$7,6),'non Forest LUC'!$D42,0),0)</f>
        <v>0</v>
      </c>
      <c r="BM19" s="431">
        <f>IF(LEFT('non Forest LUC'!$D20,6)=LEFT(Matrix!$BK$7,6),IF(LEFT('non Forest LUC'!$F20,6)=LEFT(Matrix!BM$7,6),'non Forest LUC'!$D42,0),0)</f>
        <v>0</v>
      </c>
      <c r="BN19" s="431">
        <f>IF(LEFT('non Forest LUC'!$D20,6)=LEFT(Matrix!$BK$7,6),IF(LEFT('non Forest LUC'!$F20,6)=LEFT(Matrix!BN$7,6),'non Forest LUC'!$D42,0),0)</f>
        <v>0</v>
      </c>
      <c r="BO19" s="431">
        <f>IF(LEFT('non Forest LUC'!$D20,6)=LEFT(Matrix!$BK$7,6),IF(LEFT('non Forest LUC'!$F20,6)=LEFT(Matrix!BO$7,6),'non Forest LUC'!$D42,0),0)</f>
        <v>0</v>
      </c>
      <c r="BP19" s="431">
        <f>IF(LEFT('non Forest LUC'!$D20,6)=LEFT(Matrix!$BK$7,6),IF(LEFT('non Forest LUC'!$F20,6)=LEFT(Matrix!BP$7,6),'non Forest LUC'!$D42,0),0)</f>
        <v>0</v>
      </c>
      <c r="BQ19" s="431">
        <f>IF(LEFT('non Forest LUC'!$D20,6)=LEFT(Matrix!$BK$7,6),IF(LEFT('non Forest LUC'!$F20,6)=LEFT(Matrix!BQ$7,6),'non Forest LUC'!$D42,0),0)</f>
        <v>0</v>
      </c>
      <c r="BR19" s="442"/>
      <c r="BS19" s="431">
        <f>IF(LEFT('non Forest LUC'!$D20,6)=LEFT(Matrix!$BR$7,6),IF(LEFT('non Forest LUC'!$F20,6)=LEFT(Matrix!BS$7,6),'non Forest LUC'!$D42,0),0)</f>
        <v>0</v>
      </c>
      <c r="BT19" s="431">
        <f>IF(LEFT('non Forest LUC'!$D20,6)=LEFT(Matrix!$BR$7,6),IF(LEFT('non Forest LUC'!$F20,6)=LEFT(Matrix!BT$7,6),'non Forest LUC'!$D42,0),0)</f>
        <v>0</v>
      </c>
      <c r="BU19" s="431">
        <f>IF(LEFT('non Forest LUC'!$D20,6)=LEFT(Matrix!$BR$7,6),IF(LEFT('non Forest LUC'!$F20,6)=LEFT(Matrix!BU$7,6),'non Forest LUC'!$D42,0),0)</f>
        <v>0</v>
      </c>
      <c r="BV19" s="431">
        <f>IF(LEFT('non Forest LUC'!$D20,6)=LEFT(Matrix!$BR$7,6),IF(LEFT('non Forest LUC'!$F20,6)=LEFT(Matrix!BV$7,6),'non Forest LUC'!$D42,0),0)</f>
        <v>0</v>
      </c>
      <c r="BW19" s="431">
        <f>IF(LEFT('non Forest LUC'!$D20,6)=LEFT(Matrix!$BR$7,6),IF(LEFT('non Forest LUC'!$F20,6)=LEFT(Matrix!BW$7,6),'non Forest LUC'!$D42,0),0)</f>
        <v>0</v>
      </c>
      <c r="BX19" s="431">
        <f>IF(LEFT('non Forest LUC'!$D20,6)=LEFT(Matrix!$BR$7,6),IF(LEFT('non Forest LUC'!$F20,6)=LEFT(Matrix!BX$7,6),'non Forest LUC'!$D42,0),0)</f>
        <v>0</v>
      </c>
      <c r="BY19" s="442"/>
      <c r="BZ19" s="431">
        <f>IF(LEFT('non Forest LUC'!$D20,6)=LEFT(Matrix!$BY$7,6),IF(LEFT('non Forest LUC'!$F20,6)=LEFT(Matrix!BZ$7,6),'non Forest LUC'!$D42,0),0)</f>
        <v>0</v>
      </c>
      <c r="CA19" s="431">
        <f>IF(LEFT('non Forest LUC'!$D20,6)=LEFT(Matrix!$BY$7,6),IF(LEFT('non Forest LUC'!$F20,6)=LEFT(Matrix!CA$7,6),'non Forest LUC'!$D42,0),0)</f>
        <v>0</v>
      </c>
      <c r="CB19" s="431">
        <f>IF(LEFT('non Forest LUC'!$D20,6)=LEFT(Matrix!$BY$7,6),IF(LEFT('non Forest LUC'!$F20,6)=LEFT(Matrix!CB$7,6),'non Forest LUC'!$D42,0),0)</f>
        <v>0</v>
      </c>
      <c r="CC19" s="431">
        <f>IF(LEFT('non Forest LUC'!$D20,6)=LEFT(Matrix!$BY$7,6),IF(LEFT('non Forest LUC'!$F20,6)=LEFT(Matrix!CC$7,6),'non Forest LUC'!$D42,0),0)</f>
        <v>0</v>
      </c>
      <c r="CD19" s="431">
        <f>IF(LEFT('non Forest LUC'!$D20,6)=LEFT(Matrix!$BY$7,6),IF(LEFT('non Forest LUC'!$F20,6)=LEFT(Matrix!CD$7,6),'non Forest LUC'!$D42,0),0)</f>
        <v>0</v>
      </c>
      <c r="CE19" s="431">
        <f>IF(LEFT('non Forest LUC'!$D20,6)=LEFT(Matrix!$BY$7,6),IF(LEFT('non Forest LUC'!$F20,6)=LEFT(Matrix!CE$7,6),'non Forest LUC'!$D42,0),0)</f>
        <v>0</v>
      </c>
      <c r="CF19" s="442"/>
      <c r="CG19" s="431">
        <f>IF(LEFT('non Forest LUC'!$D20,6)=LEFT(Matrix!$CF$7,6),IF(LEFT('non Forest LUC'!$F20,6)=LEFT(Matrix!CG$7,6),'non Forest LUC'!$D42,0),0)</f>
        <v>0</v>
      </c>
      <c r="CH19" s="431">
        <f>IF(LEFT('non Forest LUC'!$D20,6)=LEFT(Matrix!$CF$7,6),IF(LEFT('non Forest LUC'!$F20,6)=LEFT(Matrix!CH$7,6),'non Forest LUC'!$D42,0),0)</f>
        <v>0</v>
      </c>
      <c r="CI19" s="431">
        <f>IF(LEFT('non Forest LUC'!$D20,6)=LEFT(Matrix!$CF$7,6),IF(LEFT('non Forest LUC'!$F20,6)=LEFT(Matrix!CI$7,6),'non Forest LUC'!$D42,0),0)</f>
        <v>0</v>
      </c>
      <c r="CJ19" s="431">
        <f>IF(LEFT('non Forest LUC'!$D20,6)=LEFT(Matrix!$CF$7,6),IF(LEFT('non Forest LUC'!$F20,6)=LEFT(Matrix!CJ$7,6),'non Forest LUC'!$D42,0),0)</f>
        <v>0</v>
      </c>
      <c r="CK19" s="431">
        <f>IF(LEFT('non Forest LUC'!$D20,6)=LEFT(Matrix!$CF$7,6),IF(LEFT('non Forest LUC'!$F20,6)=LEFT(Matrix!CK$7,6),'non Forest LUC'!$D42,0),0)</f>
        <v>0</v>
      </c>
      <c r="CL19" s="431">
        <f>IF(LEFT('non Forest LUC'!$D20,6)=LEFT(Matrix!$CF$7,6),IF(LEFT('non Forest LUC'!$F20,6)=LEFT(Matrix!CL$7,6),'non Forest LUC'!$D42,0),0)</f>
        <v>0</v>
      </c>
    </row>
    <row r="20" spans="2:93" ht="15.75" customHeight="1">
      <c r="J20" s="1619"/>
      <c r="K20" s="1620" t="s">
        <v>272</v>
      </c>
      <c r="M20" s="496">
        <f>'Organic Soils'!S45</f>
        <v>0</v>
      </c>
      <c r="W20" s="234"/>
      <c r="X20" s="234"/>
      <c r="Y20" s="234"/>
      <c r="Z20" s="234"/>
      <c r="AA20" s="234"/>
      <c r="AB20" s="234"/>
      <c r="AC20" s="234"/>
      <c r="AD20" s="234"/>
      <c r="AE20" s="234"/>
      <c r="AP20" s="442"/>
      <c r="AQ20" s="431">
        <f>IF(LEFT('non Forest LUC'!$D21,6)=LEFT(Matrix!$AP$7,6),IF(LEFT('non Forest LUC'!$F21,6)=LEFT(Matrix!AQ$7,6),'non Forest LUC'!$D43,0),0)</f>
        <v>0</v>
      </c>
      <c r="AR20" s="431">
        <f>IF(LEFT('non Forest LUC'!$D21,6)=LEFT(Matrix!$AP$7,6),IF(LEFT('non Forest LUC'!$F21,6)=LEFT(Matrix!AR$7,6),'non Forest LUC'!$D43,0),0)</f>
        <v>0</v>
      </c>
      <c r="AS20" s="431">
        <f>IF(LEFT('non Forest LUC'!$D21,6)=LEFT(Matrix!$AP$7,6),IF(LEFT('non Forest LUC'!$F21,6)=LEFT(Matrix!AS$7,6),'non Forest LUC'!$D43,0),0)</f>
        <v>0</v>
      </c>
      <c r="AT20" s="431">
        <f>IF(LEFT('non Forest LUC'!$D21,6)=LEFT(Matrix!$AP$7,6),IF(LEFT('non Forest LUC'!$F21,6)=LEFT(Matrix!AT$7,6),'non Forest LUC'!$D43,0),0)</f>
        <v>0</v>
      </c>
      <c r="AU20" s="431">
        <f>IF(LEFT('non Forest LUC'!$D21,6)=LEFT(Matrix!$AP$7,6),IF(LEFT('non Forest LUC'!$F21,6)=LEFT(Matrix!AU$7,6),'non Forest LUC'!$D43,0),0)</f>
        <v>0</v>
      </c>
      <c r="AV20" s="431">
        <f>IF(LEFT('non Forest LUC'!$D21,6)=LEFT(Matrix!$AP$7,6),IF(LEFT('non Forest LUC'!$F21,6)=LEFT(Matrix!AV$7,6),'non Forest LUC'!$D43,0),0)</f>
        <v>0</v>
      </c>
      <c r="AW20" s="442"/>
      <c r="AX20" s="431">
        <f>IF(LEFT('non Forest LUC'!$D21,6)=LEFT(Matrix!$AW$7,6),IF(LEFT('non Forest LUC'!$F21,6)=LEFT(Matrix!AX$7,6),'non Forest LUC'!$D43,0),0)</f>
        <v>0</v>
      </c>
      <c r="AY20" s="431">
        <f>IF(LEFT('non Forest LUC'!$D21,6)=LEFT(Matrix!$AW$7,6),IF(LEFT('non Forest LUC'!$F21,6)=LEFT(Matrix!AY$7,6),'non Forest LUC'!$D43,0),0)</f>
        <v>0</v>
      </c>
      <c r="AZ20" s="431">
        <f>IF(LEFT('non Forest LUC'!$D21,6)=LEFT(Matrix!$AW$7,6),IF(LEFT('non Forest LUC'!$F21,6)=LEFT(Matrix!AZ$7,6),'non Forest LUC'!$D43,0),0)</f>
        <v>0</v>
      </c>
      <c r="BA20" s="431">
        <f>IF(LEFT('non Forest LUC'!$D21,6)=LEFT(Matrix!$AW$7,6),IF(LEFT('non Forest LUC'!$F21,6)=LEFT(Matrix!BA$7,6),'non Forest LUC'!$D43,0),0)</f>
        <v>0</v>
      </c>
      <c r="BB20" s="431">
        <f>IF(LEFT('non Forest LUC'!$D21,6)=LEFT(Matrix!$AW$7,6),IF(LEFT('non Forest LUC'!$F21,6)=LEFT(Matrix!BB$7,6),'non Forest LUC'!$D43,0),0)</f>
        <v>0</v>
      </c>
      <c r="BC20" s="431">
        <f>IF(LEFT('non Forest LUC'!$D21,6)=LEFT(Matrix!$AW$7,6),IF(LEFT('non Forest LUC'!$F21,6)=LEFT(Matrix!BC$7,6),'non Forest LUC'!$D43,0),0)</f>
        <v>0</v>
      </c>
      <c r="BD20" s="442"/>
      <c r="BE20" s="431">
        <f>IF(LEFT('non Forest LUC'!$D21,6)=LEFT(Matrix!$BD$7,6),IF(LEFT('non Forest LUC'!$F21,6)=LEFT(Matrix!BE$7,6),'non Forest LUC'!$D43,0),0)</f>
        <v>0</v>
      </c>
      <c r="BF20" s="431">
        <f>IF(LEFT('non Forest LUC'!$D21,6)=LEFT(Matrix!$BD$7,6),IF(LEFT('non Forest LUC'!$F21,6)=LEFT(Matrix!BF$7,6),'non Forest LUC'!$D43,0),0)</f>
        <v>0</v>
      </c>
      <c r="BG20" s="431">
        <f>IF(LEFT('non Forest LUC'!$D21,6)=LEFT(Matrix!$BD$7,6),IF(LEFT('non Forest LUC'!$F21,6)=LEFT(Matrix!BG$7,6),'non Forest LUC'!$D43,0),0)</f>
        <v>0</v>
      </c>
      <c r="BH20" s="431">
        <f>IF(LEFT('non Forest LUC'!$D21,6)=LEFT(Matrix!$BD$7,6),IF(LEFT('non Forest LUC'!$F21,6)=LEFT(Matrix!BH$7,6),'non Forest LUC'!$D43,0),0)</f>
        <v>0</v>
      </c>
      <c r="BI20" s="431">
        <f>IF(LEFT('non Forest LUC'!$D21,6)=LEFT(Matrix!$BD$7,6),IF(LEFT('non Forest LUC'!$F21,6)=LEFT(Matrix!BI$7,6),'non Forest LUC'!$D43,0),0)</f>
        <v>0</v>
      </c>
      <c r="BJ20" s="431">
        <f>IF(LEFT('non Forest LUC'!$D21,6)=LEFT(Matrix!$BD$7,6),IF(LEFT('non Forest LUC'!$F21,6)=LEFT(Matrix!BJ$7,6),'non Forest LUC'!$D43,0),0)</f>
        <v>0</v>
      </c>
      <c r="BK20" s="442"/>
      <c r="BL20" s="431">
        <f>IF(LEFT('non Forest LUC'!$D21,6)=LEFT(Matrix!$BK$7,6),IF(LEFT('non Forest LUC'!$F21,6)=LEFT(Matrix!BL$7,6),'non Forest LUC'!$D43,0),0)</f>
        <v>0</v>
      </c>
      <c r="BM20" s="431">
        <f>IF(LEFT('non Forest LUC'!$D21,6)=LEFT(Matrix!$BK$7,6),IF(LEFT('non Forest LUC'!$F21,6)=LEFT(Matrix!BM$7,6),'non Forest LUC'!$D43,0),0)</f>
        <v>0</v>
      </c>
      <c r="BN20" s="431">
        <f>IF(LEFT('non Forest LUC'!$D21,6)=LEFT(Matrix!$BK$7,6),IF(LEFT('non Forest LUC'!$F21,6)=LEFT(Matrix!BN$7,6),'non Forest LUC'!$D43,0),0)</f>
        <v>0</v>
      </c>
      <c r="BO20" s="431">
        <f>IF(LEFT('non Forest LUC'!$D21,6)=LEFT(Matrix!$BK$7,6),IF(LEFT('non Forest LUC'!$F21,6)=LEFT(Matrix!BO$7,6),'non Forest LUC'!$D43,0),0)</f>
        <v>0</v>
      </c>
      <c r="BP20" s="431">
        <f>IF(LEFT('non Forest LUC'!$D21,6)=LEFT(Matrix!$BK$7,6),IF(LEFT('non Forest LUC'!$F21,6)=LEFT(Matrix!BP$7,6),'non Forest LUC'!$D43,0),0)</f>
        <v>0</v>
      </c>
      <c r="BQ20" s="431">
        <f>IF(LEFT('non Forest LUC'!$D21,6)=LEFT(Matrix!$BK$7,6),IF(LEFT('non Forest LUC'!$F21,6)=LEFT(Matrix!BQ$7,6),'non Forest LUC'!$D43,0),0)</f>
        <v>0</v>
      </c>
      <c r="BR20" s="442"/>
      <c r="BS20" s="431">
        <f>IF(LEFT('non Forest LUC'!$D21,6)=LEFT(Matrix!$BR$7,6),IF(LEFT('non Forest LUC'!$F21,6)=LEFT(Matrix!BS$7,6),'non Forest LUC'!$D43,0),0)</f>
        <v>0</v>
      </c>
      <c r="BT20" s="431">
        <f>IF(LEFT('non Forest LUC'!$D21,6)=LEFT(Matrix!$BR$7,6),IF(LEFT('non Forest LUC'!$F21,6)=LEFT(Matrix!BT$7,6),'non Forest LUC'!$D43,0),0)</f>
        <v>0</v>
      </c>
      <c r="BU20" s="431">
        <f>IF(LEFT('non Forest LUC'!$D21,6)=LEFT(Matrix!$BR$7,6),IF(LEFT('non Forest LUC'!$F21,6)=LEFT(Matrix!BU$7,6),'non Forest LUC'!$D43,0),0)</f>
        <v>0</v>
      </c>
      <c r="BV20" s="431">
        <f>IF(LEFT('non Forest LUC'!$D21,6)=LEFT(Matrix!$BR$7,6),IF(LEFT('non Forest LUC'!$F21,6)=LEFT(Matrix!BV$7,6),'non Forest LUC'!$D43,0),0)</f>
        <v>0</v>
      </c>
      <c r="BW20" s="431">
        <f>IF(LEFT('non Forest LUC'!$D21,6)=LEFT(Matrix!$BR$7,6),IF(LEFT('non Forest LUC'!$F21,6)=LEFT(Matrix!BW$7,6),'non Forest LUC'!$D43,0),0)</f>
        <v>0</v>
      </c>
      <c r="BX20" s="431">
        <f>IF(LEFT('non Forest LUC'!$D21,6)=LEFT(Matrix!$BR$7,6),IF(LEFT('non Forest LUC'!$F21,6)=LEFT(Matrix!BX$7,6),'non Forest LUC'!$D43,0),0)</f>
        <v>0</v>
      </c>
      <c r="BY20" s="442"/>
      <c r="BZ20" s="431">
        <f>IF(LEFT('non Forest LUC'!$D21,6)=LEFT(Matrix!$BY$7,6),IF(LEFT('non Forest LUC'!$F21,6)=LEFT(Matrix!BZ$7,6),'non Forest LUC'!$D43,0),0)</f>
        <v>0</v>
      </c>
      <c r="CA20" s="431">
        <f>IF(LEFT('non Forest LUC'!$D21,6)=LEFT(Matrix!$BY$7,6),IF(LEFT('non Forest LUC'!$F21,6)=LEFT(Matrix!CA$7,6),'non Forest LUC'!$D43,0),0)</f>
        <v>0</v>
      </c>
      <c r="CB20" s="431">
        <f>IF(LEFT('non Forest LUC'!$D21,6)=LEFT(Matrix!$BY$7,6),IF(LEFT('non Forest LUC'!$F21,6)=LEFT(Matrix!CB$7,6),'non Forest LUC'!$D43,0),0)</f>
        <v>0</v>
      </c>
      <c r="CC20" s="431">
        <f>IF(LEFT('non Forest LUC'!$D21,6)=LEFT(Matrix!$BY$7,6),IF(LEFT('non Forest LUC'!$F21,6)=LEFT(Matrix!CC$7,6),'non Forest LUC'!$D43,0),0)</f>
        <v>0</v>
      </c>
      <c r="CD20" s="431">
        <f>IF(LEFT('non Forest LUC'!$D21,6)=LEFT(Matrix!$BY$7,6),IF(LEFT('non Forest LUC'!$F21,6)=LEFT(Matrix!CD$7,6),'non Forest LUC'!$D43,0),0)</f>
        <v>0</v>
      </c>
      <c r="CE20" s="431">
        <f>IF(LEFT('non Forest LUC'!$D21,6)=LEFT(Matrix!$BY$7,6),IF(LEFT('non Forest LUC'!$F21,6)=LEFT(Matrix!CE$7,6),'non Forest LUC'!$D43,0),0)</f>
        <v>0</v>
      </c>
      <c r="CF20" s="442"/>
      <c r="CG20" s="431">
        <f>IF(LEFT('non Forest LUC'!$D21,6)=LEFT(Matrix!$CF$7,6),IF(LEFT('non Forest LUC'!$F21,6)=LEFT(Matrix!CG$7,6),'non Forest LUC'!$D43,0),0)</f>
        <v>0</v>
      </c>
      <c r="CH20" s="431">
        <f>IF(LEFT('non Forest LUC'!$D21,6)=LEFT(Matrix!$CF$7,6),IF(LEFT('non Forest LUC'!$F21,6)=LEFT(Matrix!CH$7,6),'non Forest LUC'!$D43,0),0)</f>
        <v>0</v>
      </c>
      <c r="CI20" s="431">
        <f>IF(LEFT('non Forest LUC'!$D21,6)=LEFT(Matrix!$CF$7,6),IF(LEFT('non Forest LUC'!$F21,6)=LEFT(Matrix!CI$7,6),'non Forest LUC'!$D43,0),0)</f>
        <v>0</v>
      </c>
      <c r="CJ20" s="431">
        <f>IF(LEFT('non Forest LUC'!$D21,6)=LEFT(Matrix!$CF$7,6),IF(LEFT('non Forest LUC'!$F21,6)=LEFT(Matrix!CJ$7,6),'non Forest LUC'!$D43,0),0)</f>
        <v>0</v>
      </c>
      <c r="CK20" s="431">
        <f>IF(LEFT('non Forest LUC'!$D21,6)=LEFT(Matrix!$CF$7,6),IF(LEFT('non Forest LUC'!$F21,6)=LEFT(Matrix!CK$7,6),'non Forest LUC'!$D43,0),0)</f>
        <v>0</v>
      </c>
      <c r="CL20" s="431">
        <f>IF(LEFT('non Forest LUC'!$D21,6)=LEFT(Matrix!$CF$7,6),IF(LEFT('non Forest LUC'!$F21,6)=LEFT(Matrix!CL$7,6),'non Forest LUC'!$D43,0),0)</f>
        <v>0</v>
      </c>
    </row>
    <row r="21" spans="2:93" ht="7.5" customHeight="1">
      <c r="W21" s="234"/>
      <c r="X21" s="234"/>
      <c r="Y21" s="234"/>
      <c r="Z21" s="234"/>
      <c r="AA21" s="234"/>
      <c r="AB21" s="234"/>
      <c r="AC21" s="234"/>
      <c r="AD21" s="234"/>
      <c r="AE21" s="234"/>
      <c r="AP21" s="498"/>
      <c r="AQ21" s="431">
        <f>IF(LEFT('non Forest LUC'!$D22,6)=LEFT(Matrix!$AP$7,6),IF(LEFT('non Forest LUC'!$F22,6)=LEFT(Matrix!AQ$7,6),'non Forest LUC'!$D44,0),0)</f>
        <v>0</v>
      </c>
      <c r="AR21" s="431">
        <f>IF(LEFT('non Forest LUC'!$D22,6)=LEFT(Matrix!$AP$7,6),IF(LEFT('non Forest LUC'!$F22,6)=LEFT(Matrix!AR$7,6),'non Forest LUC'!$D44,0),0)</f>
        <v>0</v>
      </c>
      <c r="AS21" s="431">
        <f>IF(LEFT('non Forest LUC'!$D22,6)=LEFT(Matrix!$AP$7,6),IF(LEFT('non Forest LUC'!$F22,6)=LEFT(Matrix!AS$7,6),'non Forest LUC'!$D44,0),0)</f>
        <v>0</v>
      </c>
      <c r="AT21" s="431">
        <f>IF(LEFT('non Forest LUC'!$D22,6)=LEFT(Matrix!$AP$7,6),IF(LEFT('non Forest LUC'!$F22,6)=LEFT(Matrix!AT$7,6),'non Forest LUC'!$D44,0),0)</f>
        <v>0</v>
      </c>
      <c r="AU21" s="431">
        <f>IF(LEFT('non Forest LUC'!$D22,6)=LEFT(Matrix!$AP$7,6),IF(LEFT('non Forest LUC'!$F22,6)=LEFT(Matrix!AU$7,6),'non Forest LUC'!$D44,0),0)</f>
        <v>0</v>
      </c>
      <c r="AV21" s="431">
        <f>IF(LEFT('non Forest LUC'!$D22,6)=LEFT(Matrix!$AP$7,6),IF(LEFT('non Forest LUC'!$F22,6)=LEFT(Matrix!AV$7,6),'non Forest LUC'!$D44,0),0)</f>
        <v>0</v>
      </c>
      <c r="AW21" s="442"/>
      <c r="AX21" s="431">
        <f>IF(LEFT('non Forest LUC'!$D22,6)=LEFT(Matrix!$AW$7,6),IF(LEFT('non Forest LUC'!$F22,6)=LEFT(Matrix!AX$7,6),'non Forest LUC'!$D44,0),0)</f>
        <v>0</v>
      </c>
      <c r="AY21" s="431">
        <f>IF(LEFT('non Forest LUC'!$D22,6)=LEFT(Matrix!$AW$7,6),IF(LEFT('non Forest LUC'!$F22,6)=LEFT(Matrix!AY$7,6),'non Forest LUC'!$D44,0),0)</f>
        <v>0</v>
      </c>
      <c r="AZ21" s="431">
        <f>IF(LEFT('non Forest LUC'!$D22,6)=LEFT(Matrix!$AW$7,6),IF(LEFT('non Forest LUC'!$F22,6)=LEFT(Matrix!AZ$7,6),'non Forest LUC'!$D44,0),0)</f>
        <v>0</v>
      </c>
      <c r="BA21" s="431">
        <f>IF(LEFT('non Forest LUC'!$D22,6)=LEFT(Matrix!$AW$7,6),IF(LEFT('non Forest LUC'!$F22,6)=LEFT(Matrix!BA$7,6),'non Forest LUC'!$D44,0),0)</f>
        <v>0</v>
      </c>
      <c r="BB21" s="431">
        <f>IF(LEFT('non Forest LUC'!$D22,6)=LEFT(Matrix!$AW$7,6),IF(LEFT('non Forest LUC'!$F22,6)=LEFT(Matrix!BB$7,6),'non Forest LUC'!$D44,0),0)</f>
        <v>0</v>
      </c>
      <c r="BC21" s="431">
        <f>IF(LEFT('non Forest LUC'!$D22,6)=LEFT(Matrix!$AW$7,6),IF(LEFT('non Forest LUC'!$F22,6)=LEFT(Matrix!BC$7,6),'non Forest LUC'!$D44,0),0)</f>
        <v>0</v>
      </c>
      <c r="BD21" s="442"/>
      <c r="BE21" s="431">
        <f>IF(LEFT('non Forest LUC'!$D22,6)=LEFT(Matrix!$BD$7,6),IF(LEFT('non Forest LUC'!$F22,6)=LEFT(Matrix!BE$7,6),'non Forest LUC'!$D44,0),0)</f>
        <v>0</v>
      </c>
      <c r="BF21" s="431">
        <f>IF(LEFT('non Forest LUC'!$D22,6)=LEFT(Matrix!$BD$7,6),IF(LEFT('non Forest LUC'!$F22,6)=LEFT(Matrix!BF$7,6),'non Forest LUC'!$D44,0),0)</f>
        <v>0</v>
      </c>
      <c r="BG21" s="431">
        <f>IF(LEFT('non Forest LUC'!$D22,6)=LEFT(Matrix!$BD$7,6),IF(LEFT('non Forest LUC'!$F22,6)=LEFT(Matrix!BG$7,6),'non Forest LUC'!$D44,0),0)</f>
        <v>0</v>
      </c>
      <c r="BH21" s="431">
        <f>IF(LEFT('non Forest LUC'!$D22,6)=LEFT(Matrix!$BD$7,6),IF(LEFT('non Forest LUC'!$F22,6)=LEFT(Matrix!BH$7,6),'non Forest LUC'!$D44,0),0)</f>
        <v>0</v>
      </c>
      <c r="BI21" s="431">
        <f>IF(LEFT('non Forest LUC'!$D22,6)=LEFT(Matrix!$BD$7,6),IF(LEFT('non Forest LUC'!$F22,6)=LEFT(Matrix!BI$7,6),'non Forest LUC'!$D44,0),0)</f>
        <v>0</v>
      </c>
      <c r="BJ21" s="431">
        <f>IF(LEFT('non Forest LUC'!$D22,6)=LEFT(Matrix!$BD$7,6),IF(LEFT('non Forest LUC'!$F22,6)=LEFT(Matrix!BJ$7,6),'non Forest LUC'!$D44,0),0)</f>
        <v>0</v>
      </c>
      <c r="BK21" s="442"/>
      <c r="BL21" s="431">
        <f>IF(LEFT('non Forest LUC'!$D22,6)=LEFT(Matrix!$BK$7,6),IF(LEFT('non Forest LUC'!$F22,6)=LEFT(Matrix!BL$7,6),'non Forest LUC'!$D44,0),0)</f>
        <v>0</v>
      </c>
      <c r="BM21" s="431">
        <f>IF(LEFT('non Forest LUC'!$D22,6)=LEFT(Matrix!$BK$7,6),IF(LEFT('non Forest LUC'!$F22,6)=LEFT(Matrix!BM$7,6),'non Forest LUC'!$D44,0),0)</f>
        <v>0</v>
      </c>
      <c r="BN21" s="431">
        <f>IF(LEFT('non Forest LUC'!$D22,6)=LEFT(Matrix!$BK$7,6),IF(LEFT('non Forest LUC'!$F22,6)=LEFT(Matrix!BN$7,6),'non Forest LUC'!$D44,0),0)</f>
        <v>0</v>
      </c>
      <c r="BO21" s="431">
        <f>IF(LEFT('non Forest LUC'!$D22,6)=LEFT(Matrix!$BK$7,6),IF(LEFT('non Forest LUC'!$F22,6)=LEFT(Matrix!BO$7,6),'non Forest LUC'!$D44,0),0)</f>
        <v>0</v>
      </c>
      <c r="BP21" s="431">
        <f>IF(LEFT('non Forest LUC'!$D22,6)=LEFT(Matrix!$BK$7,6),IF(LEFT('non Forest LUC'!$F22,6)=LEFT(Matrix!BP$7,6),'non Forest LUC'!$D44,0),0)</f>
        <v>0</v>
      </c>
      <c r="BQ21" s="431">
        <f>IF(LEFT('non Forest LUC'!$D22,6)=LEFT(Matrix!$BK$7,6),IF(LEFT('non Forest LUC'!$F22,6)=LEFT(Matrix!BQ$7,6),'non Forest LUC'!$D44,0),0)</f>
        <v>0</v>
      </c>
      <c r="BR21" s="442"/>
      <c r="BS21" s="431">
        <f>IF(LEFT('non Forest LUC'!$D22,6)=LEFT(Matrix!$BR$7,6),IF(LEFT('non Forest LUC'!$F22,6)=LEFT(Matrix!BS$7,6),'non Forest LUC'!$D44,0),0)</f>
        <v>0</v>
      </c>
      <c r="BT21" s="431">
        <f>IF(LEFT('non Forest LUC'!$D22,6)=LEFT(Matrix!$BR$7,6),IF(LEFT('non Forest LUC'!$F22,6)=LEFT(Matrix!BT$7,6),'non Forest LUC'!$D44,0),0)</f>
        <v>0</v>
      </c>
      <c r="BU21" s="431">
        <f>IF(LEFT('non Forest LUC'!$D22,6)=LEFT(Matrix!$BR$7,6),IF(LEFT('non Forest LUC'!$F22,6)=LEFT(Matrix!BU$7,6),'non Forest LUC'!$D44,0),0)</f>
        <v>0</v>
      </c>
      <c r="BV21" s="431">
        <f>IF(LEFT('non Forest LUC'!$D22,6)=LEFT(Matrix!$BR$7,6),IF(LEFT('non Forest LUC'!$F22,6)=LEFT(Matrix!BV$7,6),'non Forest LUC'!$D44,0),0)</f>
        <v>0</v>
      </c>
      <c r="BW21" s="431">
        <f>IF(LEFT('non Forest LUC'!$D22,6)=LEFT(Matrix!$BR$7,6),IF(LEFT('non Forest LUC'!$F22,6)=LEFT(Matrix!BW$7,6),'non Forest LUC'!$D44,0),0)</f>
        <v>0</v>
      </c>
      <c r="BX21" s="431">
        <f>IF(LEFT('non Forest LUC'!$D22,6)=LEFT(Matrix!$BR$7,6),IF(LEFT('non Forest LUC'!$F22,6)=LEFT(Matrix!BX$7,6),'non Forest LUC'!$D44,0),0)</f>
        <v>0</v>
      </c>
      <c r="BY21" s="442"/>
      <c r="BZ21" s="431">
        <f>IF(LEFT('non Forest LUC'!$D22,6)=LEFT(Matrix!$BY$7,6),IF(LEFT('non Forest LUC'!$F22,6)=LEFT(Matrix!BZ$7,6),'non Forest LUC'!$D44,0),0)</f>
        <v>0</v>
      </c>
      <c r="CA21" s="431">
        <f>IF(LEFT('non Forest LUC'!$D22,6)=LEFT(Matrix!$BY$7,6),IF(LEFT('non Forest LUC'!$F22,6)=LEFT(Matrix!CA$7,6),'non Forest LUC'!$D44,0),0)</f>
        <v>0</v>
      </c>
      <c r="CB21" s="431">
        <f>IF(LEFT('non Forest LUC'!$D22,6)=LEFT(Matrix!$BY$7,6),IF(LEFT('non Forest LUC'!$F22,6)=LEFT(Matrix!CB$7,6),'non Forest LUC'!$D44,0),0)</f>
        <v>0</v>
      </c>
      <c r="CC21" s="431">
        <f>IF(LEFT('non Forest LUC'!$D22,6)=LEFT(Matrix!$BY$7,6),IF(LEFT('non Forest LUC'!$F22,6)=LEFT(Matrix!CC$7,6),'non Forest LUC'!$D44,0),0)</f>
        <v>0</v>
      </c>
      <c r="CD21" s="431">
        <f>IF(LEFT('non Forest LUC'!$D22,6)=LEFT(Matrix!$BY$7,6),IF(LEFT('non Forest LUC'!$F22,6)=LEFT(Matrix!CD$7,6),'non Forest LUC'!$D44,0),0)</f>
        <v>0</v>
      </c>
      <c r="CE21" s="431">
        <f>IF(LEFT('non Forest LUC'!$D22,6)=LEFT(Matrix!$BY$7,6),IF(LEFT('non Forest LUC'!$F22,6)=LEFT(Matrix!CE$7,6),'non Forest LUC'!$D44,0),0)</f>
        <v>0</v>
      </c>
      <c r="CF21" s="442"/>
      <c r="CG21" s="431">
        <f>IF(LEFT('non Forest LUC'!$D22,6)=LEFT(Matrix!$CF$7,6),IF(LEFT('non Forest LUC'!$F22,6)=LEFT(Matrix!CG$7,6),'non Forest LUC'!$D44,0),0)</f>
        <v>0</v>
      </c>
      <c r="CH21" s="431">
        <f>IF(LEFT('non Forest LUC'!$D22,6)=LEFT(Matrix!$CF$7,6),IF(LEFT('non Forest LUC'!$F22,6)=LEFT(Matrix!CH$7,6),'non Forest LUC'!$D44,0),0)</f>
        <v>0</v>
      </c>
      <c r="CI21" s="431">
        <f>IF(LEFT('non Forest LUC'!$D22,6)=LEFT(Matrix!$CF$7,6),IF(LEFT('non Forest LUC'!$F22,6)=LEFT(Matrix!CI$7,6),'non Forest LUC'!$D44,0),0)</f>
        <v>0</v>
      </c>
      <c r="CJ21" s="431">
        <f>IF(LEFT('non Forest LUC'!$D22,6)=LEFT(Matrix!$CF$7,6),IF(LEFT('non Forest LUC'!$F22,6)=LEFT(Matrix!CJ$7,6),'non Forest LUC'!$D44,0),0)</f>
        <v>0</v>
      </c>
      <c r="CK21" s="431">
        <f>IF(LEFT('non Forest LUC'!$D22,6)=LEFT(Matrix!$CF$7,6),IF(LEFT('non Forest LUC'!$F22,6)=LEFT(Matrix!CK$7,6),'non Forest LUC'!$D44,0),0)</f>
        <v>0</v>
      </c>
      <c r="CL21" s="431">
        <f>IF(LEFT('non Forest LUC'!$D22,6)=LEFT(Matrix!$CF$7,6),IF(LEFT('non Forest LUC'!$F22,6)=LEFT(Matrix!CL$7,6),'non Forest LUC'!$D44,0),0)</f>
        <v>0</v>
      </c>
    </row>
    <row r="22" spans="2:93" ht="7.5" customHeight="1" thickBot="1">
      <c r="W22" s="454"/>
      <c r="X22" s="454"/>
      <c r="Y22" s="454"/>
      <c r="Z22" s="454"/>
      <c r="AA22" s="454"/>
      <c r="AB22" s="454"/>
      <c r="AC22" s="454"/>
      <c r="AD22" s="454"/>
      <c r="AE22" s="454"/>
      <c r="AF22" s="454"/>
      <c r="AG22" s="454"/>
      <c r="AH22" s="454"/>
      <c r="AI22" s="454"/>
      <c r="AJ22" s="454"/>
      <c r="AK22" s="454"/>
      <c r="AL22" s="454"/>
      <c r="AM22" s="454"/>
      <c r="AN22" s="454"/>
      <c r="AO22" s="454"/>
      <c r="AP22" s="499" t="s">
        <v>1239</v>
      </c>
      <c r="AQ22" s="500">
        <f t="shared" ref="AQ22:AV22" si="4">SUM(AQ8:AQ21)</f>
        <v>0</v>
      </c>
      <c r="AR22" s="500">
        <f t="shared" si="4"/>
        <v>0</v>
      </c>
      <c r="AS22" s="500">
        <f t="shared" si="4"/>
        <v>0</v>
      </c>
      <c r="AT22" s="500">
        <f t="shared" si="4"/>
        <v>0</v>
      </c>
      <c r="AU22" s="500">
        <f t="shared" si="4"/>
        <v>0</v>
      </c>
      <c r="AV22" s="500">
        <f t="shared" si="4"/>
        <v>0</v>
      </c>
      <c r="AW22" s="501" t="s">
        <v>1239</v>
      </c>
      <c r="AX22" s="500">
        <f t="shared" ref="AX22:BC22" si="5">SUM(AX8:AX21)</f>
        <v>0</v>
      </c>
      <c r="AY22" s="500">
        <f t="shared" si="5"/>
        <v>0</v>
      </c>
      <c r="AZ22" s="500">
        <f t="shared" si="5"/>
        <v>0</v>
      </c>
      <c r="BA22" s="500">
        <f t="shared" si="5"/>
        <v>0</v>
      </c>
      <c r="BB22" s="500">
        <f t="shared" si="5"/>
        <v>0</v>
      </c>
      <c r="BC22" s="500">
        <f t="shared" si="5"/>
        <v>0</v>
      </c>
      <c r="BD22" s="501" t="s">
        <v>1239</v>
      </c>
      <c r="BE22" s="500">
        <f t="shared" ref="BE22:BJ22" si="6">SUM(BE8:BE21)</f>
        <v>0</v>
      </c>
      <c r="BF22" s="500">
        <f t="shared" si="6"/>
        <v>0</v>
      </c>
      <c r="BG22" s="500">
        <f t="shared" si="6"/>
        <v>0</v>
      </c>
      <c r="BH22" s="500">
        <f t="shared" si="6"/>
        <v>0</v>
      </c>
      <c r="BI22" s="500">
        <f t="shared" si="6"/>
        <v>0</v>
      </c>
      <c r="BJ22" s="500">
        <f t="shared" si="6"/>
        <v>0</v>
      </c>
      <c r="BK22" s="501" t="s">
        <v>1239</v>
      </c>
      <c r="BL22" s="500">
        <f t="shared" ref="BL22:BQ22" si="7">SUM(BL8:BL21)</f>
        <v>0</v>
      </c>
      <c r="BM22" s="500">
        <f t="shared" si="7"/>
        <v>0</v>
      </c>
      <c r="BN22" s="500">
        <f t="shared" si="7"/>
        <v>0</v>
      </c>
      <c r="BO22" s="500">
        <f t="shared" si="7"/>
        <v>0</v>
      </c>
      <c r="BP22" s="500">
        <f t="shared" si="7"/>
        <v>0</v>
      </c>
      <c r="BQ22" s="500">
        <f t="shared" si="7"/>
        <v>0</v>
      </c>
      <c r="BR22" s="501" t="s">
        <v>1239</v>
      </c>
      <c r="BS22" s="500">
        <f t="shared" ref="BS22:BX22" si="8">SUM(BS8:BS21)</f>
        <v>0</v>
      </c>
      <c r="BT22" s="500">
        <f t="shared" si="8"/>
        <v>0</v>
      </c>
      <c r="BU22" s="500">
        <f t="shared" si="8"/>
        <v>0</v>
      </c>
      <c r="BV22" s="500">
        <f t="shared" si="8"/>
        <v>0</v>
      </c>
      <c r="BW22" s="500">
        <f t="shared" si="8"/>
        <v>0</v>
      </c>
      <c r="BX22" s="500">
        <f t="shared" si="8"/>
        <v>0</v>
      </c>
      <c r="BY22" s="501" t="s">
        <v>1239</v>
      </c>
      <c r="BZ22" s="500">
        <f t="shared" ref="BZ22:CE22" si="9">SUM(BZ8:BZ21)</f>
        <v>0</v>
      </c>
      <c r="CA22" s="500">
        <f t="shared" si="9"/>
        <v>0</v>
      </c>
      <c r="CB22" s="500">
        <f t="shared" si="9"/>
        <v>0</v>
      </c>
      <c r="CC22" s="500">
        <f t="shared" si="9"/>
        <v>0</v>
      </c>
      <c r="CD22" s="500">
        <f t="shared" si="9"/>
        <v>0</v>
      </c>
      <c r="CE22" s="500">
        <f t="shared" si="9"/>
        <v>0</v>
      </c>
      <c r="CF22" s="501" t="s">
        <v>1239</v>
      </c>
      <c r="CG22" s="500">
        <f t="shared" ref="CG22:CL22" si="10">SUM(CG8:CG21)</f>
        <v>0</v>
      </c>
      <c r="CH22" s="500">
        <f t="shared" si="10"/>
        <v>0</v>
      </c>
      <c r="CI22" s="500">
        <f t="shared" si="10"/>
        <v>0</v>
      </c>
      <c r="CJ22" s="500">
        <f t="shared" si="10"/>
        <v>0</v>
      </c>
      <c r="CK22" s="500">
        <f t="shared" si="10"/>
        <v>0</v>
      </c>
      <c r="CL22" s="500">
        <f t="shared" si="10"/>
        <v>0</v>
      </c>
      <c r="CM22" s="454">
        <f>SUM(AQ22:CL22)</f>
        <v>0</v>
      </c>
      <c r="CN22" s="454"/>
      <c r="CO22" s="454"/>
    </row>
    <row r="23" spans="2:93" ht="7.5" customHeight="1" thickBot="1">
      <c r="N23" s="434"/>
      <c r="O23" s="434"/>
      <c r="P23" s="434"/>
      <c r="Q23" s="434"/>
      <c r="R23" s="434"/>
      <c r="S23" s="434"/>
      <c r="T23" s="434"/>
      <c r="U23" s="434"/>
      <c r="W23" s="436" t="s">
        <v>1109</v>
      </c>
      <c r="X23" s="437"/>
      <c r="Y23" s="437"/>
      <c r="Z23" s="437"/>
      <c r="AA23" s="437"/>
      <c r="AB23" s="437"/>
      <c r="AC23" s="437"/>
      <c r="AD23" s="437"/>
      <c r="AE23" s="437"/>
      <c r="AG23" s="438" t="s">
        <v>1113</v>
      </c>
      <c r="AH23" s="439"/>
      <c r="AI23" s="439"/>
      <c r="AJ23" s="439"/>
      <c r="AK23" s="439"/>
      <c r="AL23" s="439"/>
      <c r="AM23" s="439"/>
      <c r="AN23" s="439"/>
      <c r="AP23" s="431" t="s">
        <v>1240</v>
      </c>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c r="BU23" s="431"/>
      <c r="BV23" s="431"/>
      <c r="BW23" s="431"/>
      <c r="BX23" s="431"/>
      <c r="BY23" s="431"/>
      <c r="BZ23" s="431"/>
      <c r="CA23" s="431"/>
      <c r="CB23" s="431"/>
      <c r="CC23" s="431"/>
      <c r="CD23" s="431"/>
      <c r="CE23" s="431"/>
      <c r="CF23" s="431"/>
      <c r="CG23" s="431"/>
      <c r="CH23" s="431"/>
      <c r="CI23" s="431"/>
      <c r="CJ23" s="431"/>
      <c r="CK23" s="431"/>
      <c r="CL23" s="431"/>
    </row>
    <row r="24" spans="2:93" ht="15.75" customHeight="1" thickBot="1">
      <c r="B24" s="502" t="s">
        <v>271</v>
      </c>
      <c r="C24" s="503"/>
      <c r="D24" s="504"/>
      <c r="E24" s="3169" t="s">
        <v>1105</v>
      </c>
      <c r="F24" s="3170"/>
      <c r="G24" s="3170"/>
      <c r="H24" s="3170"/>
      <c r="I24" s="3170"/>
      <c r="J24" s="3170"/>
      <c r="K24" s="3171"/>
      <c r="L24" s="434"/>
      <c r="M24" s="435"/>
      <c r="N24" s="241"/>
      <c r="O24" s="241"/>
      <c r="P24" s="241"/>
      <c r="Q24" s="241"/>
      <c r="R24" s="241"/>
      <c r="S24" s="241"/>
      <c r="T24" s="241"/>
      <c r="U24" s="241"/>
      <c r="W24" s="437"/>
      <c r="X24" s="437" t="str">
        <f>X8</f>
        <v>Annual Crop</v>
      </c>
      <c r="Y24" s="437" t="str">
        <f t="shared" ref="Y24:AE24" si="11">Y8</f>
        <v>Perennial/Tree Crop</v>
      </c>
      <c r="Z24" s="437" t="str">
        <f t="shared" si="11"/>
        <v>Flooded Rice</v>
      </c>
      <c r="AA24" s="437" t="str">
        <f t="shared" si="11"/>
        <v>Grassland</v>
      </c>
      <c r="AB24" s="437" t="str">
        <f t="shared" si="11"/>
        <v>Set aside</v>
      </c>
      <c r="AC24" s="437" t="str">
        <f t="shared" si="11"/>
        <v>Degraded</v>
      </c>
      <c r="AD24" s="437" t="str">
        <f>AD8</f>
        <v>Other (nominal)</v>
      </c>
      <c r="AE24" s="437" t="str">
        <f t="shared" si="11"/>
        <v>Other (degraded)</v>
      </c>
      <c r="AG24" s="449" t="s">
        <v>676</v>
      </c>
      <c r="AH24" s="439" t="s">
        <v>1001</v>
      </c>
      <c r="AI24" s="439" t="s">
        <v>1003</v>
      </c>
      <c r="AJ24" s="439" t="s">
        <v>1004</v>
      </c>
      <c r="AK24" s="439" t="s">
        <v>1637</v>
      </c>
      <c r="AL24" s="439" t="s">
        <v>674</v>
      </c>
      <c r="AM24" s="439" t="s">
        <v>334</v>
      </c>
      <c r="AN24" s="439" t="s">
        <v>998</v>
      </c>
      <c r="AP24" s="440" t="s">
        <v>676</v>
      </c>
      <c r="AQ24" s="441" t="str">
        <f t="shared" ref="AQ24:AX24" si="12">AQ7</f>
        <v>Perennial/Tree Crop</v>
      </c>
      <c r="AR24" s="441" t="str">
        <f t="shared" si="12"/>
        <v>Flooded Rice</v>
      </c>
      <c r="AS24" s="441" t="str">
        <f t="shared" si="12"/>
        <v>Set aside</v>
      </c>
      <c r="AT24" s="441" t="str">
        <f t="shared" si="12"/>
        <v>Grassland</v>
      </c>
      <c r="AU24" s="441" t="str">
        <f t="shared" si="12"/>
        <v>Degraded</v>
      </c>
      <c r="AV24" s="441" t="str">
        <f t="shared" si="12"/>
        <v xml:space="preserve">Other </v>
      </c>
      <c r="AW24" s="442" t="str">
        <f t="shared" si="12"/>
        <v>Perennial/Tree Crop</v>
      </c>
      <c r="AX24" s="441" t="str">
        <f t="shared" si="12"/>
        <v>Annual Crop</v>
      </c>
      <c r="AY24" s="441" t="str">
        <f t="shared" ref="AY24:BD24" si="13">AY7</f>
        <v>Flooded Rice</v>
      </c>
      <c r="AZ24" s="441" t="str">
        <f t="shared" si="13"/>
        <v>Set aside</v>
      </c>
      <c r="BA24" s="441" t="str">
        <f t="shared" si="13"/>
        <v>Grassland</v>
      </c>
      <c r="BB24" s="441" t="str">
        <f t="shared" si="13"/>
        <v>Degraded</v>
      </c>
      <c r="BC24" s="441" t="str">
        <f t="shared" si="13"/>
        <v xml:space="preserve">Other </v>
      </c>
      <c r="BD24" s="442" t="str">
        <f t="shared" si="13"/>
        <v>Flooded Rice</v>
      </c>
      <c r="BE24" s="441" t="str">
        <f t="shared" ref="BE24:BJ24" si="14">BE7</f>
        <v>Annual Crop</v>
      </c>
      <c r="BF24" s="441" t="str">
        <f t="shared" si="14"/>
        <v>Perennial/Tree Crop</v>
      </c>
      <c r="BG24" s="441" t="str">
        <f t="shared" si="14"/>
        <v>Set aside</v>
      </c>
      <c r="BH24" s="441" t="str">
        <f t="shared" si="14"/>
        <v>Grassland</v>
      </c>
      <c r="BI24" s="441" t="str">
        <f t="shared" si="14"/>
        <v>Degraded</v>
      </c>
      <c r="BJ24" s="441" t="str">
        <f t="shared" si="14"/>
        <v xml:space="preserve">Other </v>
      </c>
      <c r="BK24" s="442" t="str">
        <f t="shared" ref="BK24:CL24" si="15">BK7</f>
        <v>Set aside</v>
      </c>
      <c r="BL24" s="441" t="str">
        <f t="shared" si="15"/>
        <v>Annual Crop</v>
      </c>
      <c r="BM24" s="441" t="str">
        <f t="shared" si="15"/>
        <v>Perennial/Tree Crop</v>
      </c>
      <c r="BN24" s="441" t="str">
        <f t="shared" si="15"/>
        <v>Flooded Rice</v>
      </c>
      <c r="BO24" s="441" t="str">
        <f t="shared" si="15"/>
        <v>Grassland</v>
      </c>
      <c r="BP24" s="441" t="str">
        <f t="shared" si="15"/>
        <v>Degraded</v>
      </c>
      <c r="BQ24" s="441" t="str">
        <f t="shared" si="15"/>
        <v xml:space="preserve">Other </v>
      </c>
      <c r="BR24" s="442" t="str">
        <f t="shared" si="15"/>
        <v>Grassland</v>
      </c>
      <c r="BS24" s="441" t="str">
        <f t="shared" si="15"/>
        <v>Annual Crop</v>
      </c>
      <c r="BT24" s="441" t="str">
        <f t="shared" si="15"/>
        <v>Perennial/Tree Crop</v>
      </c>
      <c r="BU24" s="441" t="str">
        <f t="shared" si="15"/>
        <v>Flooded Rice</v>
      </c>
      <c r="BV24" s="441" t="str">
        <f t="shared" si="15"/>
        <v>Set aside</v>
      </c>
      <c r="BW24" s="441" t="str">
        <f t="shared" si="15"/>
        <v>Degraded</v>
      </c>
      <c r="BX24" s="441" t="str">
        <f t="shared" si="15"/>
        <v xml:space="preserve">Other </v>
      </c>
      <c r="BY24" s="442" t="str">
        <f t="shared" si="15"/>
        <v>Degraded</v>
      </c>
      <c r="BZ24" s="441" t="str">
        <f t="shared" si="15"/>
        <v>Annual Crop</v>
      </c>
      <c r="CA24" s="441" t="str">
        <f t="shared" si="15"/>
        <v>Perennial/Tree Crop</v>
      </c>
      <c r="CB24" s="441" t="str">
        <f t="shared" si="15"/>
        <v>Flooded Rice</v>
      </c>
      <c r="CC24" s="441" t="str">
        <f t="shared" si="15"/>
        <v>Set aside</v>
      </c>
      <c r="CD24" s="441" t="str">
        <f t="shared" si="15"/>
        <v>Grassland</v>
      </c>
      <c r="CE24" s="441" t="str">
        <f t="shared" si="15"/>
        <v xml:space="preserve">Other </v>
      </c>
      <c r="CF24" s="443" t="str">
        <f t="shared" si="15"/>
        <v xml:space="preserve">Other </v>
      </c>
      <c r="CG24" s="441" t="str">
        <f t="shared" si="15"/>
        <v>Annual Crop</v>
      </c>
      <c r="CH24" s="441" t="str">
        <f t="shared" si="15"/>
        <v>Perennial/Tree Crop</v>
      </c>
      <c r="CI24" s="441" t="str">
        <f t="shared" si="15"/>
        <v>Flooded Rice</v>
      </c>
      <c r="CJ24" s="441" t="str">
        <f t="shared" si="15"/>
        <v>Set aside</v>
      </c>
      <c r="CK24" s="441" t="str">
        <f t="shared" si="15"/>
        <v>Grassland</v>
      </c>
      <c r="CL24" s="441" t="str">
        <f t="shared" si="15"/>
        <v>Degraded</v>
      </c>
    </row>
    <row r="25" spans="2:93" ht="15.75" customHeight="1">
      <c r="B25" s="505"/>
      <c r="C25" s="506" t="s">
        <v>688</v>
      </c>
      <c r="D25" s="507"/>
      <c r="E25" s="447" t="s">
        <v>1119</v>
      </c>
      <c r="F25" s="3168" t="s">
        <v>1106</v>
      </c>
      <c r="G25" s="3168"/>
      <c r="H25" s="3168"/>
      <c r="I25" s="448" t="s">
        <v>334</v>
      </c>
      <c r="J25" s="3168" t="s">
        <v>1107</v>
      </c>
      <c r="K25" s="3172"/>
      <c r="L25" s="241"/>
      <c r="M25" s="435"/>
      <c r="O25" s="240"/>
      <c r="P25" s="240"/>
      <c r="Q25" s="240"/>
      <c r="R25" s="240"/>
      <c r="S25" s="240"/>
      <c r="T25" s="240"/>
      <c r="U25" s="240"/>
      <c r="W25" s="437"/>
      <c r="X25" s="457">
        <f>IF(Deforestation!$I27=X$24,1,0)*Deforestation!$I42</f>
        <v>0</v>
      </c>
      <c r="Y25" s="457">
        <f>IF(Deforestation!$I27=Y$24,1,0)*Deforestation!$I42</f>
        <v>0</v>
      </c>
      <c r="Z25" s="457">
        <f>IF(Deforestation!$I27=Z$24,1,0)*Deforestation!$I42</f>
        <v>0</v>
      </c>
      <c r="AA25" s="457">
        <f>IF(Deforestation!$I27=AA$24,1,0)*Deforestation!$I42</f>
        <v>0</v>
      </c>
      <c r="AB25" s="457">
        <f>IF(Deforestation!$I27=AB$24,1,0)*Deforestation!$I42</f>
        <v>0</v>
      </c>
      <c r="AC25" s="457">
        <f>IF(Deforestation!$I27=AC$24,1,0)*Deforestation!$I42</f>
        <v>0</v>
      </c>
      <c r="AD25" s="457">
        <f>IF(Deforestation!$I27=AD$24,1,0)*Deforestation!$I42</f>
        <v>0</v>
      </c>
      <c r="AE25" s="457">
        <f>IF(Deforestation!$I27=AE$24,1,0)*Deforestation!$I42</f>
        <v>0</v>
      </c>
      <c r="AG25" s="439">
        <f>IF(AG$8='A-R'!$E27,'A-R'!$G42,0)</f>
        <v>0</v>
      </c>
      <c r="AH25" s="439">
        <f>IF(AH$8='A-R'!$E27,'A-R'!$G42,0)</f>
        <v>0</v>
      </c>
      <c r="AI25" s="439">
        <f>IF(AI$8='A-R'!$E27,'A-R'!$G42,0)</f>
        <v>0</v>
      </c>
      <c r="AJ25" s="439">
        <f>IF(AJ$8='A-R'!$E27,'A-R'!$G42,0)</f>
        <v>0</v>
      </c>
      <c r="AK25" s="439">
        <f>IF(AK$8='A-R'!$E27,'A-R'!$G42,0)</f>
        <v>0</v>
      </c>
      <c r="AL25" s="439">
        <f>IF(AL$8='A-R'!$E27,'A-R'!$G42,0)</f>
        <v>0</v>
      </c>
      <c r="AM25" s="439">
        <f>IF(AM$8='A-R'!$E27,'A-R'!$G42,0)</f>
        <v>0</v>
      </c>
      <c r="AN25" s="439">
        <f>IF(AN$8='A-R'!$E27,'A-R'!$G42,0)</f>
        <v>0</v>
      </c>
      <c r="AP25" s="442"/>
      <c r="AQ25" s="431">
        <f>IF(LEFT('non Forest LUC'!$D9,6)=LEFT(Matrix!$AP$24,6),IF(LEFT('non Forest LUC'!$F9,6)=LEFT(Matrix!AQ$24,6),'non Forest LUC'!$F31,0),0)</f>
        <v>0</v>
      </c>
      <c r="AR25" s="431">
        <f>IF(LEFT('non Forest LUC'!$D9,6)=LEFT(Matrix!$AP$24,6),IF(LEFT('non Forest LUC'!$F9,6)=LEFT(Matrix!AR$24,6),'non Forest LUC'!$F31,0),0)</f>
        <v>0</v>
      </c>
      <c r="AS25" s="431">
        <f>IF(LEFT('non Forest LUC'!$D9,6)=LEFT(Matrix!$AP$24,6),IF(LEFT('non Forest LUC'!$F9,6)=LEFT(Matrix!AS$24,6),'non Forest LUC'!$F31,0),0)</f>
        <v>0</v>
      </c>
      <c r="AT25" s="431">
        <f>IF(LEFT('non Forest LUC'!$D9,6)=LEFT(Matrix!$AP$24,6),IF(LEFT('non Forest LUC'!$F9,6)=LEFT(Matrix!AT$24,6),'non Forest LUC'!$F31,0),0)</f>
        <v>0</v>
      </c>
      <c r="AU25" s="431">
        <f>IF(LEFT('non Forest LUC'!$D9,6)=LEFT(Matrix!$AP$24,6),IF(LEFT('non Forest LUC'!$F9,6)=LEFT(Matrix!AU$24,6),'non Forest LUC'!$F31,0),0)</f>
        <v>0</v>
      </c>
      <c r="AV25" s="431">
        <f>IF(LEFT('non Forest LUC'!$D9,6)=LEFT(Matrix!$AP$24,6),IF(LEFT('non Forest LUC'!$F9,6)=LEFT(Matrix!AV$24,6),'non Forest LUC'!$F31,0),0)</f>
        <v>0</v>
      </c>
      <c r="AW25" s="442"/>
      <c r="AX25" s="431">
        <f>IF(LEFT('non Forest LUC'!$D9,6)=LEFT(Matrix!$AW$24,6),IF(LEFT('non Forest LUC'!$F9,6)=LEFT(Matrix!AX$24,6),'non Forest LUC'!$F31,0),0)</f>
        <v>0</v>
      </c>
      <c r="AY25" s="431">
        <f>IF(LEFT('non Forest LUC'!$D9,6)=LEFT(Matrix!$AW$24,6),IF(LEFT('non Forest LUC'!$F9,6)=LEFT(Matrix!AY$24,6),'non Forest LUC'!$F31,0),0)</f>
        <v>0</v>
      </c>
      <c r="AZ25" s="431">
        <f>IF(LEFT('non Forest LUC'!$D9,6)=LEFT(Matrix!$AW$24,6),IF(LEFT('non Forest LUC'!$F9,6)=LEFT(Matrix!AZ$24,6),'non Forest LUC'!$F31,0),0)</f>
        <v>0</v>
      </c>
      <c r="BA25" s="431">
        <f>IF(LEFT('non Forest LUC'!$D9,6)=LEFT(Matrix!$AW$24,6),IF(LEFT('non Forest LUC'!$F9,6)=LEFT(Matrix!BA$24,6),'non Forest LUC'!$F31,0),0)</f>
        <v>0</v>
      </c>
      <c r="BB25" s="431">
        <f>IF(LEFT('non Forest LUC'!$D9,6)=LEFT(Matrix!$AW$24,6),IF(LEFT('non Forest LUC'!$F9,6)=LEFT(Matrix!BB$24,6),'non Forest LUC'!$F31,0),0)</f>
        <v>0</v>
      </c>
      <c r="BC25" s="431">
        <f>IF(LEFT('non Forest LUC'!$D9,6)=LEFT(Matrix!$AW$24,6),IF(LEFT('non Forest LUC'!$F9,6)=LEFT(Matrix!BC$24,6),'non Forest LUC'!$F31,0),0)</f>
        <v>0</v>
      </c>
      <c r="BD25" s="442"/>
      <c r="BE25" s="431">
        <f>IF(LEFT('non Forest LUC'!$D9,6)=LEFT(Matrix!$BD$24,6),IF(LEFT('non Forest LUC'!$F9,6)=LEFT(Matrix!BE$24,6),'non Forest LUC'!$F31,0),0)</f>
        <v>0</v>
      </c>
      <c r="BF25" s="431">
        <f>IF(LEFT('non Forest LUC'!$D9,6)=LEFT(Matrix!$BD$24,6),IF(LEFT('non Forest LUC'!$F9,6)=LEFT(Matrix!BF$24,6),'non Forest LUC'!$F31,0),0)</f>
        <v>0</v>
      </c>
      <c r="BG25" s="431">
        <f>IF(LEFT('non Forest LUC'!$D9,6)=LEFT(Matrix!$BD$24,6),IF(LEFT('non Forest LUC'!$F9,6)=LEFT(Matrix!BG$24,6),'non Forest LUC'!$F31,0),0)</f>
        <v>0</v>
      </c>
      <c r="BH25" s="431">
        <f>IF(LEFT('non Forest LUC'!$D9,6)=LEFT(Matrix!$BD$24,6),IF(LEFT('non Forest LUC'!$F9,6)=LEFT(Matrix!BH$24,6),'non Forest LUC'!$F31,0),0)</f>
        <v>0</v>
      </c>
      <c r="BI25" s="431">
        <f>IF(LEFT('non Forest LUC'!$D9,6)=LEFT(Matrix!$BD$24,6),IF(LEFT('non Forest LUC'!$F9,6)=LEFT(Matrix!BI$24,6),'non Forest LUC'!$F31,0),0)</f>
        <v>0</v>
      </c>
      <c r="BJ25" s="431">
        <f>IF(LEFT('non Forest LUC'!$D9,6)=LEFT(Matrix!$BD$24,6),IF(LEFT('non Forest LUC'!$F9,6)=LEFT(Matrix!BJ$24,6),'non Forest LUC'!$F31,0),0)</f>
        <v>0</v>
      </c>
      <c r="BK25" s="442"/>
      <c r="BL25" s="431">
        <f>IF(LEFT('non Forest LUC'!$D9,6)=LEFT(Matrix!$BK$24,6),IF(LEFT('non Forest LUC'!$F9,6)=LEFT(Matrix!BL$24,6),'non Forest LUC'!$F31,0),0)</f>
        <v>0</v>
      </c>
      <c r="BM25" s="431">
        <f>IF(LEFT('non Forest LUC'!$D9,6)=LEFT(Matrix!$BK$24,6),IF(LEFT('non Forest LUC'!$F9,6)=LEFT(Matrix!BM$24,6),'non Forest LUC'!$F31,0),0)</f>
        <v>0</v>
      </c>
      <c r="BN25" s="431">
        <f>IF(LEFT('non Forest LUC'!$D9,6)=LEFT(Matrix!$BK$24,6),IF(LEFT('non Forest LUC'!$F9,6)=LEFT(Matrix!BN$24,6),'non Forest LUC'!$F31,0),0)</f>
        <v>0</v>
      </c>
      <c r="BO25" s="431">
        <f>IF(LEFT('non Forest LUC'!$D9,6)=LEFT(Matrix!$BK$24,6),IF(LEFT('non Forest LUC'!$F9,6)=LEFT(Matrix!BO$24,6),'non Forest LUC'!$F31,0),0)</f>
        <v>0</v>
      </c>
      <c r="BP25" s="431">
        <f>IF(LEFT('non Forest LUC'!$D9,6)=LEFT(Matrix!$BK$24,6),IF(LEFT('non Forest LUC'!$F9,6)=LEFT(Matrix!BP$24,6),'non Forest LUC'!$F31,0),0)</f>
        <v>0</v>
      </c>
      <c r="BQ25" s="431">
        <f>IF(LEFT('non Forest LUC'!$D9,6)=LEFT(Matrix!$BK$24,6),IF(LEFT('non Forest LUC'!$F9,6)=LEFT(Matrix!BQ$24,6),'non Forest LUC'!$F31,0),0)</f>
        <v>0</v>
      </c>
      <c r="BR25" s="442"/>
      <c r="BS25" s="431">
        <f>IF(LEFT('non Forest LUC'!$D9,6)=LEFT(Matrix!$BR$24,6),IF(LEFT('non Forest LUC'!$F9,6)=LEFT(Matrix!BS$24,6),'non Forest LUC'!$F31,0),0)</f>
        <v>0</v>
      </c>
      <c r="BT25" s="431">
        <f>IF(LEFT('non Forest LUC'!$D9,6)=LEFT(Matrix!$BR$24,6),IF(LEFT('non Forest LUC'!$F9,6)=LEFT(Matrix!BT$24,6),'non Forest LUC'!$F31,0),0)</f>
        <v>0</v>
      </c>
      <c r="BU25" s="431">
        <f>IF(LEFT('non Forest LUC'!$D9,6)=LEFT(Matrix!$BR$24,6),IF(LEFT('non Forest LUC'!$F9,6)=LEFT(Matrix!BU$24,6),'non Forest LUC'!$F31,0),0)</f>
        <v>0</v>
      </c>
      <c r="BV25" s="431">
        <f>IF(LEFT('non Forest LUC'!$D9,6)=LEFT(Matrix!$BR$24,6),IF(LEFT('non Forest LUC'!$F9,6)=LEFT(Matrix!BV$24,6),'non Forest LUC'!$F31,0),0)</f>
        <v>0</v>
      </c>
      <c r="BW25" s="431">
        <f>IF(LEFT('non Forest LUC'!$D9,6)=LEFT(Matrix!$BR$24,6),IF(LEFT('non Forest LUC'!$F9,6)=LEFT(Matrix!BW$24,6),'non Forest LUC'!$F31,0),0)</f>
        <v>0</v>
      </c>
      <c r="BX25" s="431">
        <f>IF(LEFT('non Forest LUC'!$D9,6)=LEFT(Matrix!$BR$24,6),IF(LEFT('non Forest LUC'!$F9,6)=LEFT(Matrix!BX$24,6),'non Forest LUC'!$F31,0),0)</f>
        <v>0</v>
      </c>
      <c r="BY25" s="442"/>
      <c r="BZ25" s="431">
        <f>IF(LEFT('non Forest LUC'!$D9,6)=LEFT(Matrix!$BY$24,6),IF(LEFT('non Forest LUC'!$F9,6)=LEFT(Matrix!BZ$24,6),'non Forest LUC'!$F31,0),0)</f>
        <v>0</v>
      </c>
      <c r="CA25" s="431">
        <f>IF(LEFT('non Forest LUC'!$D9,6)=LEFT(Matrix!$BY$24,6),IF(LEFT('non Forest LUC'!$F9,6)=LEFT(Matrix!CA$24,6),'non Forest LUC'!$F31,0),0)</f>
        <v>0</v>
      </c>
      <c r="CB25" s="431">
        <f>IF(LEFT('non Forest LUC'!$D9,6)=LEFT(Matrix!$BY$24,6),IF(LEFT('non Forest LUC'!$F9,6)=LEFT(Matrix!CB$24,6),'non Forest LUC'!$F31,0),0)</f>
        <v>0</v>
      </c>
      <c r="CC25" s="431">
        <f>IF(LEFT('non Forest LUC'!$D9,6)=LEFT(Matrix!$BY$24,6),IF(LEFT('non Forest LUC'!$F9,6)=LEFT(Matrix!CC$24,6),'non Forest LUC'!$F31,0),0)</f>
        <v>0</v>
      </c>
      <c r="CD25" s="431">
        <f>IF(LEFT('non Forest LUC'!$D9,6)=LEFT(Matrix!$BY$24,6),IF(LEFT('non Forest LUC'!$F9,6)=LEFT(Matrix!CD$24,6),'non Forest LUC'!$F31,0),0)</f>
        <v>0</v>
      </c>
      <c r="CE25" s="431">
        <f>IF(LEFT('non Forest LUC'!$D9,6)=LEFT(Matrix!$BY$24,6),IF(LEFT('non Forest LUC'!$F9,6)=LEFT(Matrix!CE$24,6),'non Forest LUC'!$F31,0),0)</f>
        <v>0</v>
      </c>
      <c r="CF25" s="442"/>
      <c r="CG25" s="431">
        <f>IF(LEFT('non Forest LUC'!$D9,6)=LEFT(Matrix!$CF$24,6),IF(LEFT('non Forest LUC'!$F9,6)=LEFT(Matrix!CG$24,6),'non Forest LUC'!$F31,0),0)</f>
        <v>0</v>
      </c>
      <c r="CH25" s="431">
        <f>IF(LEFT('non Forest LUC'!$D9,6)=LEFT(Matrix!$CF$24,6),IF(LEFT('non Forest LUC'!$F9,6)=LEFT(Matrix!CH$24,6),'non Forest LUC'!$F31,0),0)</f>
        <v>0</v>
      </c>
      <c r="CI25" s="431">
        <f>IF(LEFT('non Forest LUC'!$D9,6)=LEFT(Matrix!$CF$24,6),IF(LEFT('non Forest LUC'!$F9,6)=LEFT(Matrix!CI$24,6),'non Forest LUC'!$F31,0),0)</f>
        <v>0</v>
      </c>
      <c r="CJ25" s="431">
        <f>IF(LEFT('non Forest LUC'!$D9,6)=LEFT(Matrix!$CF$24,6),IF(LEFT('non Forest LUC'!$F9,6)=LEFT(Matrix!CJ$24,6),'non Forest LUC'!$F31,0),0)</f>
        <v>0</v>
      </c>
      <c r="CK25" s="431">
        <f>IF(LEFT('non Forest LUC'!$D9,6)=LEFT(Matrix!$CF$24,6),IF(LEFT('non Forest LUC'!$F9,6)=LEFT(Matrix!CK$24,6),'non Forest LUC'!$F31,0),0)</f>
        <v>0</v>
      </c>
      <c r="CL25" s="431">
        <f>IF(LEFT('non Forest LUC'!$D9,6)=LEFT(Matrix!$CF$24,6),IF(LEFT('non Forest LUC'!$F9,6)=LEFT(Matrix!CL$24,6),'non Forest LUC'!$F31,0),0)</f>
        <v>0</v>
      </c>
    </row>
    <row r="26" spans="2:93" ht="13.8" thickBot="1">
      <c r="B26" s="508"/>
      <c r="C26" s="509"/>
      <c r="D26" s="510"/>
      <c r="E26" s="452" t="s">
        <v>392</v>
      </c>
      <c r="F26" s="453" t="s">
        <v>1110</v>
      </c>
      <c r="G26" s="453" t="s">
        <v>1111</v>
      </c>
      <c r="H26" s="453" t="s">
        <v>1112</v>
      </c>
      <c r="I26" s="454"/>
      <c r="J26" s="454" t="s">
        <v>1207</v>
      </c>
      <c r="K26" s="455" t="s">
        <v>393</v>
      </c>
      <c r="L26" s="240"/>
      <c r="M26" s="456" t="s">
        <v>1117</v>
      </c>
      <c r="O26" s="466"/>
      <c r="P26" s="466"/>
      <c r="Q26" s="466"/>
      <c r="R26" s="466"/>
      <c r="S26" s="466"/>
      <c r="T26" s="466"/>
      <c r="U26" s="466"/>
      <c r="W26" s="437"/>
      <c r="X26" s="457">
        <f>IF(Deforestation!$I28=X$24,1,0)*Deforestation!$I43</f>
        <v>0</v>
      </c>
      <c r="Y26" s="457">
        <f>IF(Deforestation!$I28=Y$24,1,0)*Deforestation!$I43</f>
        <v>0</v>
      </c>
      <c r="Z26" s="457">
        <f>IF(Deforestation!$I28=Z$24,1,0)*Deforestation!$I43</f>
        <v>0</v>
      </c>
      <c r="AA26" s="457">
        <f>IF(Deforestation!$I28=AA$24,1,0)*Deforestation!$I43</f>
        <v>0</v>
      </c>
      <c r="AB26" s="457">
        <f>IF(Deforestation!$I28=AB$24,1,0)*Deforestation!$I43</f>
        <v>0</v>
      </c>
      <c r="AC26" s="457">
        <f>IF(Deforestation!$I28=AC$24,1,0)*Deforestation!$I43</f>
        <v>0</v>
      </c>
      <c r="AD26" s="457">
        <f>IF(Deforestation!$I28=AD$24,1,0)*Deforestation!$I43</f>
        <v>0</v>
      </c>
      <c r="AE26" s="457">
        <f>IF(Deforestation!$I28=AE$24,1,0)*Deforestation!$I43</f>
        <v>0</v>
      </c>
      <c r="AG26" s="439">
        <f>IF(AG$8='A-R'!$E28,'A-R'!$G43,0)</f>
        <v>0</v>
      </c>
      <c r="AH26" s="439">
        <f>IF(AH$8='A-R'!$E28,'A-R'!$G43,0)</f>
        <v>0</v>
      </c>
      <c r="AI26" s="439">
        <f>IF(AI$8='A-R'!$E28,'A-R'!$G43,0)</f>
        <v>0</v>
      </c>
      <c r="AJ26" s="439">
        <f>IF(AJ$8='A-R'!$E28,'A-R'!$G43,0)</f>
        <v>0</v>
      </c>
      <c r="AK26" s="439">
        <f>IF(AK$8='A-R'!$E28,'A-R'!$G43,0)</f>
        <v>0</v>
      </c>
      <c r="AL26" s="439">
        <f>IF(AL$8='A-R'!$E28,'A-R'!$G43,0)</f>
        <v>0</v>
      </c>
      <c r="AM26" s="439">
        <f>IF(AM$8='A-R'!$E28,'A-R'!$G43,0)</f>
        <v>0</v>
      </c>
      <c r="AN26" s="439">
        <f>IF(AN$8='A-R'!$E28,'A-R'!$G43,0)</f>
        <v>0</v>
      </c>
      <c r="AP26" s="442"/>
      <c r="AQ26" s="431">
        <f>IF(LEFT('non Forest LUC'!$D10,6)=LEFT(Matrix!$AP$24,6),IF(LEFT('non Forest LUC'!$F10,6)=LEFT(Matrix!AQ$24,6),'non Forest LUC'!$F32,0),0)</f>
        <v>0</v>
      </c>
      <c r="AR26" s="431">
        <f>IF(LEFT('non Forest LUC'!$D10,6)=LEFT(Matrix!$AP$24,6),IF(LEFT('non Forest LUC'!$F10,6)=LEFT(Matrix!AR$24,6),'non Forest LUC'!$F32,0),0)</f>
        <v>0</v>
      </c>
      <c r="AS26" s="431">
        <f>IF(LEFT('non Forest LUC'!$D10,6)=LEFT(Matrix!$AP$24,6),IF(LEFT('non Forest LUC'!$F10,6)=LEFT(Matrix!AS$24,6),'non Forest LUC'!$F32,0),0)</f>
        <v>0</v>
      </c>
      <c r="AT26" s="431">
        <f>IF(LEFT('non Forest LUC'!$D10,6)=LEFT(Matrix!$AP$24,6),IF(LEFT('non Forest LUC'!$F10,6)=LEFT(Matrix!AT$24,6),'non Forest LUC'!$F32,0),0)</f>
        <v>0</v>
      </c>
      <c r="AU26" s="431">
        <f>IF(LEFT('non Forest LUC'!$D10,6)=LEFT(Matrix!$AP$24,6),IF(LEFT('non Forest LUC'!$F10,6)=LEFT(Matrix!AU$24,6),'non Forest LUC'!$F32,0),0)</f>
        <v>0</v>
      </c>
      <c r="AV26" s="431">
        <f>IF(LEFT('non Forest LUC'!$D10,6)=LEFT(Matrix!$AP$24,6),IF(LEFT('non Forest LUC'!$F10,6)=LEFT(Matrix!AV$24,6),'non Forest LUC'!$F32,0),0)</f>
        <v>0</v>
      </c>
      <c r="AW26" s="442"/>
      <c r="AX26" s="431">
        <f>IF(LEFT('non Forest LUC'!$D10,6)=LEFT(Matrix!$AW$24,6),IF(LEFT('non Forest LUC'!$F10,6)=LEFT(Matrix!AX$24,6),'non Forest LUC'!$F32,0),0)</f>
        <v>0</v>
      </c>
      <c r="AY26" s="431">
        <f>IF(LEFT('non Forest LUC'!$D10,6)=LEFT(Matrix!$AW$24,6),IF(LEFT('non Forest LUC'!$F10,6)=LEFT(Matrix!AY$24,6),'non Forest LUC'!$F32,0),0)</f>
        <v>0</v>
      </c>
      <c r="AZ26" s="431">
        <f>IF(LEFT('non Forest LUC'!$D10,6)=LEFT(Matrix!$AW$24,6),IF(LEFT('non Forest LUC'!$F10,6)=LEFT(Matrix!AZ$24,6),'non Forest LUC'!$F32,0),0)</f>
        <v>0</v>
      </c>
      <c r="BA26" s="431">
        <f>IF(LEFT('non Forest LUC'!$D10,6)=LEFT(Matrix!$AW$24,6),IF(LEFT('non Forest LUC'!$F10,6)=LEFT(Matrix!BA$24,6),'non Forest LUC'!$F32,0),0)</f>
        <v>0</v>
      </c>
      <c r="BB26" s="431">
        <f>IF(LEFT('non Forest LUC'!$D10,6)=LEFT(Matrix!$AW$24,6),IF(LEFT('non Forest LUC'!$F10,6)=LEFT(Matrix!BB$24,6),'non Forest LUC'!$F32,0),0)</f>
        <v>0</v>
      </c>
      <c r="BC26" s="431">
        <f>IF(LEFT('non Forest LUC'!$D10,6)=LEFT(Matrix!$AW$24,6),IF(LEFT('non Forest LUC'!$F10,6)=LEFT(Matrix!BC$24,6),'non Forest LUC'!$F32,0),0)</f>
        <v>0</v>
      </c>
      <c r="BD26" s="442"/>
      <c r="BE26" s="431">
        <f>IF(LEFT('non Forest LUC'!$D10,6)=LEFT(Matrix!$BD$24,6),IF(LEFT('non Forest LUC'!$F10,6)=LEFT(Matrix!BE$24,6),'non Forest LUC'!$F32,0),0)</f>
        <v>0</v>
      </c>
      <c r="BF26" s="431">
        <f>IF(LEFT('non Forest LUC'!$D10,6)=LEFT(Matrix!$BD$24,6),IF(LEFT('non Forest LUC'!$F10,6)=LEFT(Matrix!BF$24,6),'non Forest LUC'!$F32,0),0)</f>
        <v>0</v>
      </c>
      <c r="BG26" s="431">
        <f>IF(LEFT('non Forest LUC'!$D10,6)=LEFT(Matrix!$BD$24,6),IF(LEFT('non Forest LUC'!$F10,6)=LEFT(Matrix!BG$24,6),'non Forest LUC'!$F32,0),0)</f>
        <v>0</v>
      </c>
      <c r="BH26" s="431">
        <f>IF(LEFT('non Forest LUC'!$D10,6)=LEFT(Matrix!$BD$24,6),IF(LEFT('non Forest LUC'!$F10,6)=LEFT(Matrix!BH$24,6),'non Forest LUC'!$F32,0),0)</f>
        <v>0</v>
      </c>
      <c r="BI26" s="431">
        <f>IF(LEFT('non Forest LUC'!$D10,6)=LEFT(Matrix!$BD$24,6),IF(LEFT('non Forest LUC'!$F10,6)=LEFT(Matrix!BI$24,6),'non Forest LUC'!$F32,0),0)</f>
        <v>0</v>
      </c>
      <c r="BJ26" s="431">
        <f>IF(LEFT('non Forest LUC'!$D10,6)=LEFT(Matrix!$BD$24,6),IF(LEFT('non Forest LUC'!$F10,6)=LEFT(Matrix!BJ$24,6),'non Forest LUC'!$F32,0),0)</f>
        <v>0</v>
      </c>
      <c r="BK26" s="442"/>
      <c r="BL26" s="431">
        <f>IF(LEFT('non Forest LUC'!$D10,6)=LEFT(Matrix!$BK$24,6),IF(LEFT('non Forest LUC'!$F10,6)=LEFT(Matrix!BL$24,6),'non Forest LUC'!$F32,0),0)</f>
        <v>0</v>
      </c>
      <c r="BM26" s="431">
        <f>IF(LEFT('non Forest LUC'!$D10,6)=LEFT(Matrix!$BK$24,6),IF(LEFT('non Forest LUC'!$F10,6)=LEFT(Matrix!BM$24,6),'non Forest LUC'!$F32,0),0)</f>
        <v>0</v>
      </c>
      <c r="BN26" s="431">
        <f>IF(LEFT('non Forest LUC'!$D10,6)=LEFT(Matrix!$BK$24,6),IF(LEFT('non Forest LUC'!$F10,6)=LEFT(Matrix!BN$24,6),'non Forest LUC'!$F32,0),0)</f>
        <v>0</v>
      </c>
      <c r="BO26" s="431">
        <f>IF(LEFT('non Forest LUC'!$D10,6)=LEFT(Matrix!$BK$24,6),IF(LEFT('non Forest LUC'!$F10,6)=LEFT(Matrix!BO$24,6),'non Forest LUC'!$F32,0),0)</f>
        <v>0</v>
      </c>
      <c r="BP26" s="431">
        <f>IF(LEFT('non Forest LUC'!$D10,6)=LEFT(Matrix!$BK$24,6),IF(LEFT('non Forest LUC'!$F10,6)=LEFT(Matrix!BP$24,6),'non Forest LUC'!$F32,0),0)</f>
        <v>0</v>
      </c>
      <c r="BQ26" s="431">
        <f>IF(LEFT('non Forest LUC'!$D10,6)=LEFT(Matrix!$BK$24,6),IF(LEFT('non Forest LUC'!$F10,6)=LEFT(Matrix!BQ$24,6),'non Forest LUC'!$F32,0),0)</f>
        <v>0</v>
      </c>
      <c r="BR26" s="442"/>
      <c r="BS26" s="431">
        <f>IF(LEFT('non Forest LUC'!$D10,6)=LEFT(Matrix!$BR$24,6),IF(LEFT('non Forest LUC'!$F10,6)=LEFT(Matrix!BS$24,6),'non Forest LUC'!$F32,0),0)</f>
        <v>0</v>
      </c>
      <c r="BT26" s="431">
        <f>IF(LEFT('non Forest LUC'!$D10,6)=LEFT(Matrix!$BR$24,6),IF(LEFT('non Forest LUC'!$F10,6)=LEFT(Matrix!BT$24,6),'non Forest LUC'!$F32,0),0)</f>
        <v>0</v>
      </c>
      <c r="BU26" s="431">
        <f>IF(LEFT('non Forest LUC'!$D10,6)=LEFT(Matrix!$BR$24,6),IF(LEFT('non Forest LUC'!$F10,6)=LEFT(Matrix!BU$24,6),'non Forest LUC'!$F32,0),0)</f>
        <v>0</v>
      </c>
      <c r="BV26" s="431">
        <f>IF(LEFT('non Forest LUC'!$D10,6)=LEFT(Matrix!$BR$24,6),IF(LEFT('non Forest LUC'!$F10,6)=LEFT(Matrix!BV$24,6),'non Forest LUC'!$F32,0),0)</f>
        <v>0</v>
      </c>
      <c r="BW26" s="431">
        <f>IF(LEFT('non Forest LUC'!$D10,6)=LEFT(Matrix!$BR$24,6),IF(LEFT('non Forest LUC'!$F10,6)=LEFT(Matrix!BW$24,6),'non Forest LUC'!$F32,0),0)</f>
        <v>0</v>
      </c>
      <c r="BX26" s="431">
        <f>IF(LEFT('non Forest LUC'!$D10,6)=LEFT(Matrix!$BR$24,6),IF(LEFT('non Forest LUC'!$F10,6)=LEFT(Matrix!BX$24,6),'non Forest LUC'!$F32,0),0)</f>
        <v>0</v>
      </c>
      <c r="BY26" s="442"/>
      <c r="BZ26" s="431">
        <f>IF(LEFT('non Forest LUC'!$D10,6)=LEFT(Matrix!$BY$24,6),IF(LEFT('non Forest LUC'!$F10,6)=LEFT(Matrix!BZ$24,6),'non Forest LUC'!$F32,0),0)</f>
        <v>0</v>
      </c>
      <c r="CA26" s="431">
        <f>IF(LEFT('non Forest LUC'!$D10,6)=LEFT(Matrix!$BY$24,6),IF(LEFT('non Forest LUC'!$F10,6)=LEFT(Matrix!CA$24,6),'non Forest LUC'!$F32,0),0)</f>
        <v>0</v>
      </c>
      <c r="CB26" s="431">
        <f>IF(LEFT('non Forest LUC'!$D10,6)=LEFT(Matrix!$BY$24,6),IF(LEFT('non Forest LUC'!$F10,6)=LEFT(Matrix!CB$24,6),'non Forest LUC'!$F32,0),0)</f>
        <v>0</v>
      </c>
      <c r="CC26" s="431">
        <f>IF(LEFT('non Forest LUC'!$D10,6)=LEFT(Matrix!$BY$24,6),IF(LEFT('non Forest LUC'!$F10,6)=LEFT(Matrix!CC$24,6),'non Forest LUC'!$F32,0),0)</f>
        <v>0</v>
      </c>
      <c r="CD26" s="431">
        <f>IF(LEFT('non Forest LUC'!$D10,6)=LEFT(Matrix!$BY$24,6),IF(LEFT('non Forest LUC'!$F10,6)=LEFT(Matrix!CD$24,6),'non Forest LUC'!$F32,0),0)</f>
        <v>0</v>
      </c>
      <c r="CE26" s="431">
        <f>IF(LEFT('non Forest LUC'!$D10,6)=LEFT(Matrix!$BY$24,6),IF(LEFT('non Forest LUC'!$F10,6)=LEFT(Matrix!CE$24,6),'non Forest LUC'!$F32,0),0)</f>
        <v>0</v>
      </c>
      <c r="CF26" s="442"/>
      <c r="CG26" s="431">
        <f>IF(LEFT('non Forest LUC'!$D10,6)=LEFT(Matrix!$CF$24,6),IF(LEFT('non Forest LUC'!$F10,6)=LEFT(Matrix!CG$24,6),'non Forest LUC'!$F32,0),0)</f>
        <v>0</v>
      </c>
      <c r="CH26" s="431">
        <f>IF(LEFT('non Forest LUC'!$D10,6)=LEFT(Matrix!$CF$24,6),IF(LEFT('non Forest LUC'!$F10,6)=LEFT(Matrix!CH$24,6),'non Forest LUC'!$F32,0),0)</f>
        <v>0</v>
      </c>
      <c r="CI26" s="431">
        <f>IF(LEFT('non Forest LUC'!$D10,6)=LEFT(Matrix!$CF$24,6),IF(LEFT('non Forest LUC'!$F10,6)=LEFT(Matrix!CI$24,6),'non Forest LUC'!$F32,0),0)</f>
        <v>0</v>
      </c>
      <c r="CJ26" s="431">
        <f>IF(LEFT('non Forest LUC'!$D10,6)=LEFT(Matrix!$CF$24,6),IF(LEFT('non Forest LUC'!$F10,6)=LEFT(Matrix!CJ$24,6),'non Forest LUC'!$F32,0),0)</f>
        <v>0</v>
      </c>
      <c r="CK26" s="431">
        <f>IF(LEFT('non Forest LUC'!$D10,6)=LEFT(Matrix!$CF$24,6),IF(LEFT('non Forest LUC'!$F10,6)=LEFT(Matrix!CK$24,6),'non Forest LUC'!$F32,0),0)</f>
        <v>0</v>
      </c>
      <c r="CL26" s="431">
        <f>IF(LEFT('non Forest LUC'!$D10,6)=LEFT(Matrix!$CF$24,6),IF(LEFT('non Forest LUC'!$F10,6)=LEFT(Matrix!CL$24,6),'non Forest LUC'!$F32,0),0)</f>
        <v>0</v>
      </c>
    </row>
    <row r="27" spans="2:93">
      <c r="B27" s="511" t="s">
        <v>1108</v>
      </c>
      <c r="C27" s="447" t="s">
        <v>1114</v>
      </c>
      <c r="D27" s="458"/>
      <c r="E27" s="1301">
        <f>SUM(Deforestation!C42:C51)-SUM(Deforestation!I42:I51)+SUM('Forest Degradation'!C43:C52)</f>
        <v>0</v>
      </c>
      <c r="F27" s="460">
        <f>X35</f>
        <v>0</v>
      </c>
      <c r="G27" s="461">
        <f>Y35</f>
        <v>0</v>
      </c>
      <c r="H27" s="461">
        <f>Z35</f>
        <v>0</v>
      </c>
      <c r="I27" s="462">
        <f>AA35</f>
        <v>0</v>
      </c>
      <c r="J27" s="463">
        <f>AC35+AE35</f>
        <v>0</v>
      </c>
      <c r="K27" s="464">
        <f>AB35+AD35</f>
        <v>0</v>
      </c>
      <c r="L27" s="240"/>
      <c r="M27" s="1507">
        <f>SUM(E27:K27)</f>
        <v>0</v>
      </c>
      <c r="O27" s="476"/>
      <c r="P27" s="476"/>
      <c r="Q27" s="476"/>
      <c r="R27" s="476"/>
      <c r="S27" s="476"/>
      <c r="T27" s="476"/>
      <c r="U27" s="476"/>
      <c r="W27" s="437"/>
      <c r="X27" s="457">
        <f>IF(Deforestation!$I29=X$24,1,0)*Deforestation!$I44</f>
        <v>0</v>
      </c>
      <c r="Y27" s="457">
        <f>IF(Deforestation!$I29=Y$24,1,0)*Deforestation!$I44</f>
        <v>0</v>
      </c>
      <c r="Z27" s="457">
        <f>IF(Deforestation!$I29=Z$24,1,0)*Deforestation!$I44</f>
        <v>0</v>
      </c>
      <c r="AA27" s="457">
        <f>IF(Deforestation!$I29=AA$24,1,0)*Deforestation!$I44</f>
        <v>0</v>
      </c>
      <c r="AB27" s="457">
        <f>IF(Deforestation!$I29=AB$24,1,0)*Deforestation!$I44</f>
        <v>0</v>
      </c>
      <c r="AC27" s="457">
        <f>IF(Deforestation!$I29=AC$24,1,0)*Deforestation!$I44</f>
        <v>0</v>
      </c>
      <c r="AD27" s="457">
        <f>IF(Deforestation!$I29=AD$24,1,0)*Deforestation!$I44</f>
        <v>0</v>
      </c>
      <c r="AE27" s="457">
        <f>IF(Deforestation!$I29=AE$24,1,0)*Deforestation!$I44</f>
        <v>0</v>
      </c>
      <c r="AG27" s="439">
        <f>IF(AG$8='A-R'!$E29,'A-R'!$G44,0)</f>
        <v>0</v>
      </c>
      <c r="AH27" s="439">
        <f>IF(AH$8='A-R'!$E29,'A-R'!$G44,0)</f>
        <v>0</v>
      </c>
      <c r="AI27" s="439">
        <f>IF(AI$8='A-R'!$E29,'A-R'!$G44,0)</f>
        <v>0</v>
      </c>
      <c r="AJ27" s="439">
        <f>IF(AJ$8='A-R'!$E29,'A-R'!$G44,0)</f>
        <v>0</v>
      </c>
      <c r="AK27" s="439">
        <f>IF(AK$8='A-R'!$E29,'A-R'!$G44,0)</f>
        <v>0</v>
      </c>
      <c r="AL27" s="439">
        <f>IF(AL$8='A-R'!$E29,'A-R'!$G44,0)</f>
        <v>0</v>
      </c>
      <c r="AM27" s="439">
        <f>IF(AM$8='A-R'!$E29,'A-R'!$G44,0)</f>
        <v>0</v>
      </c>
      <c r="AN27" s="439">
        <f>IF(AN$8='A-R'!$E29,'A-R'!$G44,0)</f>
        <v>0</v>
      </c>
      <c r="AP27" s="442"/>
      <c r="AQ27" s="431">
        <f>IF(LEFT('non Forest LUC'!$D11,6)=LEFT(Matrix!$AP$24,6),IF(LEFT('non Forest LUC'!$F11,6)=LEFT(Matrix!AQ$24,6),'non Forest LUC'!$F33,0),0)</f>
        <v>0</v>
      </c>
      <c r="AR27" s="431">
        <f>IF(LEFT('non Forest LUC'!$D11,6)=LEFT(Matrix!$AP$24,6),IF(LEFT('non Forest LUC'!$F11,6)=LEFT(Matrix!AR$24,6),'non Forest LUC'!$F33,0),0)</f>
        <v>0</v>
      </c>
      <c r="AS27" s="431">
        <f>IF(LEFT('non Forest LUC'!$D11,6)=LEFT(Matrix!$AP$24,6),IF(LEFT('non Forest LUC'!$F11,6)=LEFT(Matrix!AS$24,6),'non Forest LUC'!$F33,0),0)</f>
        <v>0</v>
      </c>
      <c r="AT27" s="431">
        <f>IF(LEFT('non Forest LUC'!$D11,6)=LEFT(Matrix!$AP$24,6),IF(LEFT('non Forest LUC'!$F11,6)=LEFT(Matrix!AT$24,6),'non Forest LUC'!$F33,0),0)</f>
        <v>0</v>
      </c>
      <c r="AU27" s="431">
        <f>IF(LEFT('non Forest LUC'!$D11,6)=LEFT(Matrix!$AP$24,6),IF(LEFT('non Forest LUC'!$F11,6)=LEFT(Matrix!AU$24,6),'non Forest LUC'!$F33,0),0)</f>
        <v>0</v>
      </c>
      <c r="AV27" s="431">
        <f>IF(LEFT('non Forest LUC'!$D11,6)=LEFT(Matrix!$AP$24,6),IF(LEFT('non Forest LUC'!$F11,6)=LEFT(Matrix!AV$24,6),'non Forest LUC'!$F33,0),0)</f>
        <v>0</v>
      </c>
      <c r="AW27" s="442"/>
      <c r="AX27" s="431">
        <f>IF(LEFT('non Forest LUC'!$D11,6)=LEFT(Matrix!$AW$24,6),IF(LEFT('non Forest LUC'!$F11,6)=LEFT(Matrix!AX$24,6),'non Forest LUC'!$F33,0),0)</f>
        <v>0</v>
      </c>
      <c r="AY27" s="431">
        <f>IF(LEFT('non Forest LUC'!$D11,6)=LEFT(Matrix!$AW$24,6),IF(LEFT('non Forest LUC'!$F11,6)=LEFT(Matrix!AY$24,6),'non Forest LUC'!$F33,0),0)</f>
        <v>0</v>
      </c>
      <c r="AZ27" s="431">
        <f>IF(LEFT('non Forest LUC'!$D11,6)=LEFT(Matrix!$AW$24,6),IF(LEFT('non Forest LUC'!$F11,6)=LEFT(Matrix!AZ$24,6),'non Forest LUC'!$F33,0),0)</f>
        <v>0</v>
      </c>
      <c r="BA27" s="431">
        <f>IF(LEFT('non Forest LUC'!$D11,6)=LEFT(Matrix!$AW$24,6),IF(LEFT('non Forest LUC'!$F11,6)=LEFT(Matrix!BA$24,6),'non Forest LUC'!$F33,0),0)</f>
        <v>0</v>
      </c>
      <c r="BB27" s="431">
        <f>IF(LEFT('non Forest LUC'!$D11,6)=LEFT(Matrix!$AW$24,6),IF(LEFT('non Forest LUC'!$F11,6)=LEFT(Matrix!BB$24,6),'non Forest LUC'!$F33,0),0)</f>
        <v>0</v>
      </c>
      <c r="BC27" s="431">
        <f>IF(LEFT('non Forest LUC'!$D11,6)=LEFT(Matrix!$AW$24,6),IF(LEFT('non Forest LUC'!$F11,6)=LEFT(Matrix!BC$24,6),'non Forest LUC'!$F33,0),0)</f>
        <v>0</v>
      </c>
      <c r="BD27" s="442"/>
      <c r="BE27" s="431">
        <f>IF(LEFT('non Forest LUC'!$D11,6)=LEFT(Matrix!$BD$24,6),IF(LEFT('non Forest LUC'!$F11,6)=LEFT(Matrix!BE$24,6),'non Forest LUC'!$F33,0),0)</f>
        <v>0</v>
      </c>
      <c r="BF27" s="431">
        <f>IF(LEFT('non Forest LUC'!$D11,6)=LEFT(Matrix!$BD$24,6),IF(LEFT('non Forest LUC'!$F11,6)=LEFT(Matrix!BF$24,6),'non Forest LUC'!$F33,0),0)</f>
        <v>0</v>
      </c>
      <c r="BG27" s="431">
        <f>IF(LEFT('non Forest LUC'!$D11,6)=LEFT(Matrix!$BD$24,6),IF(LEFT('non Forest LUC'!$F11,6)=LEFT(Matrix!BG$24,6),'non Forest LUC'!$F33,0),0)</f>
        <v>0</v>
      </c>
      <c r="BH27" s="431">
        <f>IF(LEFT('non Forest LUC'!$D11,6)=LEFT(Matrix!$BD$24,6),IF(LEFT('non Forest LUC'!$F11,6)=LEFT(Matrix!BH$24,6),'non Forest LUC'!$F33,0),0)</f>
        <v>0</v>
      </c>
      <c r="BI27" s="431">
        <f>IF(LEFT('non Forest LUC'!$D11,6)=LEFT(Matrix!$BD$24,6),IF(LEFT('non Forest LUC'!$F11,6)=LEFT(Matrix!BI$24,6),'non Forest LUC'!$F33,0),0)</f>
        <v>0</v>
      </c>
      <c r="BJ27" s="431">
        <f>IF(LEFT('non Forest LUC'!$D11,6)=LEFT(Matrix!$BD$24,6),IF(LEFT('non Forest LUC'!$F11,6)=LEFT(Matrix!BJ$24,6),'non Forest LUC'!$F33,0),0)</f>
        <v>0</v>
      </c>
      <c r="BK27" s="442"/>
      <c r="BL27" s="431">
        <f>IF(LEFT('non Forest LUC'!$D11,6)=LEFT(Matrix!$BK$24,6),IF(LEFT('non Forest LUC'!$F11,6)=LEFT(Matrix!BL$24,6),'non Forest LUC'!$F33,0),0)</f>
        <v>0</v>
      </c>
      <c r="BM27" s="431">
        <f>IF(LEFT('non Forest LUC'!$D11,6)=LEFT(Matrix!$BK$24,6),IF(LEFT('non Forest LUC'!$F11,6)=LEFT(Matrix!BM$24,6),'non Forest LUC'!$F33,0),0)</f>
        <v>0</v>
      </c>
      <c r="BN27" s="431">
        <f>IF(LEFT('non Forest LUC'!$D11,6)=LEFT(Matrix!$BK$24,6),IF(LEFT('non Forest LUC'!$F11,6)=LEFT(Matrix!BN$24,6),'non Forest LUC'!$F33,0),0)</f>
        <v>0</v>
      </c>
      <c r="BO27" s="431">
        <f>IF(LEFT('non Forest LUC'!$D11,6)=LEFT(Matrix!$BK$24,6),IF(LEFT('non Forest LUC'!$F11,6)=LEFT(Matrix!BO$24,6),'non Forest LUC'!$F33,0),0)</f>
        <v>0</v>
      </c>
      <c r="BP27" s="431">
        <f>IF(LEFT('non Forest LUC'!$D11,6)=LEFT(Matrix!$BK$24,6),IF(LEFT('non Forest LUC'!$F11,6)=LEFT(Matrix!BP$24,6),'non Forest LUC'!$F33,0),0)</f>
        <v>0</v>
      </c>
      <c r="BQ27" s="431">
        <f>IF(LEFT('non Forest LUC'!$D11,6)=LEFT(Matrix!$BK$24,6),IF(LEFT('non Forest LUC'!$F11,6)=LEFT(Matrix!BQ$24,6),'non Forest LUC'!$F33,0),0)</f>
        <v>0</v>
      </c>
      <c r="BR27" s="442"/>
      <c r="BS27" s="431">
        <f>IF(LEFT('non Forest LUC'!$D11,6)=LEFT(Matrix!$BR$24,6),IF(LEFT('non Forest LUC'!$F11,6)=LEFT(Matrix!BS$24,6),'non Forest LUC'!$F33,0),0)</f>
        <v>0</v>
      </c>
      <c r="BT27" s="431">
        <f>IF(LEFT('non Forest LUC'!$D11,6)=LEFT(Matrix!$BR$24,6),IF(LEFT('non Forest LUC'!$F11,6)=LEFT(Matrix!BT$24,6),'non Forest LUC'!$F33,0),0)</f>
        <v>0</v>
      </c>
      <c r="BU27" s="431">
        <f>IF(LEFT('non Forest LUC'!$D11,6)=LEFT(Matrix!$BR$24,6),IF(LEFT('non Forest LUC'!$F11,6)=LEFT(Matrix!BU$24,6),'non Forest LUC'!$F33,0),0)</f>
        <v>0</v>
      </c>
      <c r="BV27" s="431">
        <f>IF(LEFT('non Forest LUC'!$D11,6)=LEFT(Matrix!$BR$24,6),IF(LEFT('non Forest LUC'!$F11,6)=LEFT(Matrix!BV$24,6),'non Forest LUC'!$F33,0),0)</f>
        <v>0</v>
      </c>
      <c r="BW27" s="431">
        <f>IF(LEFT('non Forest LUC'!$D11,6)=LEFT(Matrix!$BR$24,6),IF(LEFT('non Forest LUC'!$F11,6)=LEFT(Matrix!BW$24,6),'non Forest LUC'!$F33,0),0)</f>
        <v>0</v>
      </c>
      <c r="BX27" s="431">
        <f>IF(LEFT('non Forest LUC'!$D11,6)=LEFT(Matrix!$BR$24,6),IF(LEFT('non Forest LUC'!$F11,6)=LEFT(Matrix!BX$24,6),'non Forest LUC'!$F33,0),0)</f>
        <v>0</v>
      </c>
      <c r="BY27" s="442"/>
      <c r="BZ27" s="431">
        <f>IF(LEFT('non Forest LUC'!$D11,6)=LEFT(Matrix!$BY$24,6),IF(LEFT('non Forest LUC'!$F11,6)=LEFT(Matrix!BZ$24,6),'non Forest LUC'!$F33,0),0)</f>
        <v>0</v>
      </c>
      <c r="CA27" s="431">
        <f>IF(LEFT('non Forest LUC'!$D11,6)=LEFT(Matrix!$BY$24,6),IF(LEFT('non Forest LUC'!$F11,6)=LEFT(Matrix!CA$24,6),'non Forest LUC'!$F33,0),0)</f>
        <v>0</v>
      </c>
      <c r="CB27" s="431">
        <f>IF(LEFT('non Forest LUC'!$D11,6)=LEFT(Matrix!$BY$24,6),IF(LEFT('non Forest LUC'!$F11,6)=LEFT(Matrix!CB$24,6),'non Forest LUC'!$F33,0),0)</f>
        <v>0</v>
      </c>
      <c r="CC27" s="431">
        <f>IF(LEFT('non Forest LUC'!$D11,6)=LEFT(Matrix!$BY$24,6),IF(LEFT('non Forest LUC'!$F11,6)=LEFT(Matrix!CC$24,6),'non Forest LUC'!$F33,0),0)</f>
        <v>0</v>
      </c>
      <c r="CD27" s="431">
        <f>IF(LEFT('non Forest LUC'!$D11,6)=LEFT(Matrix!$BY$24,6),IF(LEFT('non Forest LUC'!$F11,6)=LEFT(Matrix!CD$24,6),'non Forest LUC'!$F33,0),0)</f>
        <v>0</v>
      </c>
      <c r="CE27" s="431">
        <f>IF(LEFT('non Forest LUC'!$D11,6)=LEFT(Matrix!$BY$24,6),IF(LEFT('non Forest LUC'!$F11,6)=LEFT(Matrix!CE$24,6),'non Forest LUC'!$F33,0),0)</f>
        <v>0</v>
      </c>
      <c r="CF27" s="442"/>
      <c r="CG27" s="431">
        <f>IF(LEFT('non Forest LUC'!$D11,6)=LEFT(Matrix!$CF$24,6),IF(LEFT('non Forest LUC'!$F11,6)=LEFT(Matrix!CG$24,6),'non Forest LUC'!$F33,0),0)</f>
        <v>0</v>
      </c>
      <c r="CH27" s="431">
        <f>IF(LEFT('non Forest LUC'!$D11,6)=LEFT(Matrix!$CF$24,6),IF(LEFT('non Forest LUC'!$F11,6)=LEFT(Matrix!CH$24,6),'non Forest LUC'!$F33,0),0)</f>
        <v>0</v>
      </c>
      <c r="CI27" s="431">
        <f>IF(LEFT('non Forest LUC'!$D11,6)=LEFT(Matrix!$CF$24,6),IF(LEFT('non Forest LUC'!$F11,6)=LEFT(Matrix!CI$24,6),'non Forest LUC'!$F33,0),0)</f>
        <v>0</v>
      </c>
      <c r="CJ27" s="431">
        <f>IF(LEFT('non Forest LUC'!$D11,6)=LEFT(Matrix!$CF$24,6),IF(LEFT('non Forest LUC'!$F11,6)=LEFT(Matrix!CJ$24,6),'non Forest LUC'!$F33,0),0)</f>
        <v>0</v>
      </c>
      <c r="CK27" s="431">
        <f>IF(LEFT('non Forest LUC'!$D11,6)=LEFT(Matrix!$CF$24,6),IF(LEFT('non Forest LUC'!$F11,6)=LEFT(Matrix!CK$24,6),'non Forest LUC'!$F33,0),0)</f>
        <v>0</v>
      </c>
      <c r="CL27" s="431">
        <f>IF(LEFT('non Forest LUC'!$D11,6)=LEFT(Matrix!$CF$24,6),IF(LEFT('non Forest LUC'!$F11,6)=LEFT(Matrix!CL$24,6),'non Forest LUC'!$F33,0),0)</f>
        <v>0</v>
      </c>
    </row>
    <row r="28" spans="2:93">
      <c r="B28" s="512"/>
      <c r="C28" s="468"/>
      <c r="D28" s="469" t="s">
        <v>1110</v>
      </c>
      <c r="E28" s="513">
        <f>AG35</f>
        <v>0</v>
      </c>
      <c r="F28" s="514">
        <f>Annual!D48+Annual!F35+Annual!F37</f>
        <v>0</v>
      </c>
      <c r="G28" s="472">
        <f>AQ38</f>
        <v>0</v>
      </c>
      <c r="H28" s="472">
        <f>AR38</f>
        <v>0</v>
      </c>
      <c r="I28" s="473">
        <f>AT38</f>
        <v>0</v>
      </c>
      <c r="J28" s="474">
        <f>AU38</f>
        <v>0</v>
      </c>
      <c r="K28" s="475">
        <f>AV38+AS38</f>
        <v>0</v>
      </c>
      <c r="L28" s="240"/>
      <c r="M28" s="465">
        <f t="shared" ref="M28:M33" si="16">SUM(E28:K28)</f>
        <v>0</v>
      </c>
      <c r="O28" s="476"/>
      <c r="P28" s="476"/>
      <c r="Q28" s="476"/>
      <c r="R28" s="476"/>
      <c r="S28" s="476"/>
      <c r="T28" s="476"/>
      <c r="U28" s="476"/>
      <c r="W28" s="437"/>
      <c r="X28" s="457">
        <f>IF(Deforestation!$I30=X$24,1,0)*Deforestation!$I45</f>
        <v>0</v>
      </c>
      <c r="Y28" s="457">
        <f>IF(Deforestation!$I30=Y$24,1,0)*Deforestation!$I45</f>
        <v>0</v>
      </c>
      <c r="Z28" s="457">
        <f>IF(Deforestation!$I30=Z$24,1,0)*Deforestation!$I45</f>
        <v>0</v>
      </c>
      <c r="AA28" s="457">
        <f>IF(Deforestation!$I30=AA$24,1,0)*Deforestation!$I45</f>
        <v>0</v>
      </c>
      <c r="AB28" s="457">
        <f>IF(Deforestation!$I30=AB$24,1,0)*Deforestation!$I45</f>
        <v>0</v>
      </c>
      <c r="AC28" s="457">
        <f>IF(Deforestation!$I30=AC$24,1,0)*Deforestation!$I45</f>
        <v>0</v>
      </c>
      <c r="AD28" s="457">
        <f>IF(Deforestation!$I30=AD$24,1,0)*Deforestation!$I45</f>
        <v>0</v>
      </c>
      <c r="AE28" s="457">
        <f>IF(Deforestation!$I30=AE$24,1,0)*Deforestation!$I45</f>
        <v>0</v>
      </c>
      <c r="AG28" s="439">
        <f>IF(AG$8='A-R'!$E30,'A-R'!$G45,0)</f>
        <v>0</v>
      </c>
      <c r="AH28" s="439">
        <f>IF(AH$8='A-R'!$E30,'A-R'!$G45,0)</f>
        <v>0</v>
      </c>
      <c r="AI28" s="439">
        <f>IF(AI$8='A-R'!$E30,'A-R'!$G45,0)</f>
        <v>0</v>
      </c>
      <c r="AJ28" s="439">
        <f>IF(AJ$8='A-R'!$E30,'A-R'!$G45,0)</f>
        <v>0</v>
      </c>
      <c r="AK28" s="439">
        <f>IF(AK$8='A-R'!$E30,'A-R'!$G45,0)</f>
        <v>0</v>
      </c>
      <c r="AL28" s="439">
        <f>IF(AL$8='A-R'!$E30,'A-R'!$G45,0)</f>
        <v>0</v>
      </c>
      <c r="AM28" s="439">
        <f>IF(AM$8='A-R'!$E30,'A-R'!$G45,0)</f>
        <v>0</v>
      </c>
      <c r="AN28" s="439">
        <f>IF(AN$8='A-R'!$E30,'A-R'!$G45,0)</f>
        <v>0</v>
      </c>
      <c r="AP28" s="442"/>
      <c r="AQ28" s="431">
        <f>IF(LEFT('non Forest LUC'!$D12,6)=LEFT(Matrix!$AP$24,6),IF(LEFT('non Forest LUC'!$F12,6)=LEFT(Matrix!AQ$24,6),'non Forest LUC'!$F34,0),0)</f>
        <v>0</v>
      </c>
      <c r="AR28" s="431">
        <f>IF(LEFT('non Forest LUC'!$D12,6)=LEFT(Matrix!$AP$24,6),IF(LEFT('non Forest LUC'!$F12,6)=LEFT(Matrix!AR$24,6),'non Forest LUC'!$F34,0),0)</f>
        <v>0</v>
      </c>
      <c r="AS28" s="431">
        <f>IF(LEFT('non Forest LUC'!$D12,6)=LEFT(Matrix!$AP$24,6),IF(LEFT('non Forest LUC'!$F12,6)=LEFT(Matrix!AS$24,6),'non Forest LUC'!$F34,0),0)</f>
        <v>0</v>
      </c>
      <c r="AT28" s="431">
        <f>IF(LEFT('non Forest LUC'!$D12,6)=LEFT(Matrix!$AP$24,6),IF(LEFT('non Forest LUC'!$F12,6)=LEFT(Matrix!AT$24,6),'non Forest LUC'!$F34,0),0)</f>
        <v>0</v>
      </c>
      <c r="AU28" s="431">
        <f>IF(LEFT('non Forest LUC'!$D12,6)=LEFT(Matrix!$AP$24,6),IF(LEFT('non Forest LUC'!$F12,6)=LEFT(Matrix!AU$24,6),'non Forest LUC'!$F34,0),0)</f>
        <v>0</v>
      </c>
      <c r="AV28" s="431">
        <f>IF(LEFT('non Forest LUC'!$D12,6)=LEFT(Matrix!$AP$24,6),IF(LEFT('non Forest LUC'!$F12,6)=LEFT(Matrix!AV$24,6),'non Forest LUC'!$F34,0),0)</f>
        <v>0</v>
      </c>
      <c r="AW28" s="442"/>
      <c r="AX28" s="431">
        <f>IF(LEFT('non Forest LUC'!$D12,6)=LEFT(Matrix!$AW$24,6),IF(LEFT('non Forest LUC'!$F12,6)=LEFT(Matrix!AX$24,6),'non Forest LUC'!$F34,0),0)</f>
        <v>0</v>
      </c>
      <c r="AY28" s="431">
        <f>IF(LEFT('non Forest LUC'!$D12,6)=LEFT(Matrix!$AW$24,6),IF(LEFT('non Forest LUC'!$F12,6)=LEFT(Matrix!AY$24,6),'non Forest LUC'!$F34,0),0)</f>
        <v>0</v>
      </c>
      <c r="AZ28" s="431">
        <f>IF(LEFT('non Forest LUC'!$D12,6)=LEFT(Matrix!$AW$24,6),IF(LEFT('non Forest LUC'!$F12,6)=LEFT(Matrix!AZ$24,6),'non Forest LUC'!$F34,0),0)</f>
        <v>0</v>
      </c>
      <c r="BA28" s="431">
        <f>IF(LEFT('non Forest LUC'!$D12,6)=LEFT(Matrix!$AW$24,6),IF(LEFT('non Forest LUC'!$F12,6)=LEFT(Matrix!BA$24,6),'non Forest LUC'!$F34,0),0)</f>
        <v>0</v>
      </c>
      <c r="BB28" s="431">
        <f>IF(LEFT('non Forest LUC'!$D12,6)=LEFT(Matrix!$AW$24,6),IF(LEFT('non Forest LUC'!$F12,6)=LEFT(Matrix!BB$24,6),'non Forest LUC'!$F34,0),0)</f>
        <v>0</v>
      </c>
      <c r="BC28" s="431">
        <f>IF(LEFT('non Forest LUC'!$D12,6)=LEFT(Matrix!$AW$24,6),IF(LEFT('non Forest LUC'!$F12,6)=LEFT(Matrix!BC$24,6),'non Forest LUC'!$F34,0),0)</f>
        <v>0</v>
      </c>
      <c r="BD28" s="442"/>
      <c r="BE28" s="431">
        <f>IF(LEFT('non Forest LUC'!$D12,6)=LEFT(Matrix!$BD$24,6),IF(LEFT('non Forest LUC'!$F12,6)=LEFT(Matrix!BE$24,6),'non Forest LUC'!$F34,0),0)</f>
        <v>0</v>
      </c>
      <c r="BF28" s="431">
        <f>IF(LEFT('non Forest LUC'!$D12,6)=LEFT(Matrix!$BD$24,6),IF(LEFT('non Forest LUC'!$F12,6)=LEFT(Matrix!BF$24,6),'non Forest LUC'!$F34,0),0)</f>
        <v>0</v>
      </c>
      <c r="BG28" s="431">
        <f>IF(LEFT('non Forest LUC'!$D12,6)=LEFT(Matrix!$BD$24,6),IF(LEFT('non Forest LUC'!$F12,6)=LEFT(Matrix!BG$24,6),'non Forest LUC'!$F34,0),0)</f>
        <v>0</v>
      </c>
      <c r="BH28" s="431">
        <f>IF(LEFT('non Forest LUC'!$D12,6)=LEFT(Matrix!$BD$24,6),IF(LEFT('non Forest LUC'!$F12,6)=LEFT(Matrix!BH$24,6),'non Forest LUC'!$F34,0),0)</f>
        <v>0</v>
      </c>
      <c r="BI28" s="431">
        <f>IF(LEFT('non Forest LUC'!$D12,6)=LEFT(Matrix!$BD$24,6),IF(LEFT('non Forest LUC'!$F12,6)=LEFT(Matrix!BI$24,6),'non Forest LUC'!$F34,0),0)</f>
        <v>0</v>
      </c>
      <c r="BJ28" s="431">
        <f>IF(LEFT('non Forest LUC'!$D12,6)=LEFT(Matrix!$BD$24,6),IF(LEFT('non Forest LUC'!$F12,6)=LEFT(Matrix!BJ$24,6),'non Forest LUC'!$F34,0),0)</f>
        <v>0</v>
      </c>
      <c r="BK28" s="442"/>
      <c r="BL28" s="431">
        <f>IF(LEFT('non Forest LUC'!$D12,6)=LEFT(Matrix!$BK$24,6),IF(LEFT('non Forest LUC'!$F12,6)=LEFT(Matrix!BL$24,6),'non Forest LUC'!$F34,0),0)</f>
        <v>0</v>
      </c>
      <c r="BM28" s="431">
        <f>IF(LEFT('non Forest LUC'!$D12,6)=LEFT(Matrix!$BK$24,6),IF(LEFT('non Forest LUC'!$F12,6)=LEFT(Matrix!BM$24,6),'non Forest LUC'!$F34,0),0)</f>
        <v>0</v>
      </c>
      <c r="BN28" s="431">
        <f>IF(LEFT('non Forest LUC'!$D12,6)=LEFT(Matrix!$BK$24,6),IF(LEFT('non Forest LUC'!$F12,6)=LEFT(Matrix!BN$24,6),'non Forest LUC'!$F34,0),0)</f>
        <v>0</v>
      </c>
      <c r="BO28" s="431">
        <f>IF(LEFT('non Forest LUC'!$D12,6)=LEFT(Matrix!$BK$24,6),IF(LEFT('non Forest LUC'!$F12,6)=LEFT(Matrix!BO$24,6),'non Forest LUC'!$F34,0),0)</f>
        <v>0</v>
      </c>
      <c r="BP28" s="431">
        <f>IF(LEFT('non Forest LUC'!$D12,6)=LEFT(Matrix!$BK$24,6),IF(LEFT('non Forest LUC'!$F12,6)=LEFT(Matrix!BP$24,6),'non Forest LUC'!$F34,0),0)</f>
        <v>0</v>
      </c>
      <c r="BQ28" s="431">
        <f>IF(LEFT('non Forest LUC'!$D12,6)=LEFT(Matrix!$BK$24,6),IF(LEFT('non Forest LUC'!$F12,6)=LEFT(Matrix!BQ$24,6),'non Forest LUC'!$F34,0),0)</f>
        <v>0</v>
      </c>
      <c r="BR28" s="442"/>
      <c r="BS28" s="431">
        <f>IF(LEFT('non Forest LUC'!$D12,6)=LEFT(Matrix!$BR$24,6),IF(LEFT('non Forest LUC'!$F12,6)=LEFT(Matrix!BS$24,6),'non Forest LUC'!$F34,0),0)</f>
        <v>0</v>
      </c>
      <c r="BT28" s="431">
        <f>IF(LEFT('non Forest LUC'!$D12,6)=LEFT(Matrix!$BR$24,6),IF(LEFT('non Forest LUC'!$F12,6)=LEFT(Matrix!BT$24,6),'non Forest LUC'!$F34,0),0)</f>
        <v>0</v>
      </c>
      <c r="BU28" s="431">
        <f>IF(LEFT('non Forest LUC'!$D12,6)=LEFT(Matrix!$BR$24,6),IF(LEFT('non Forest LUC'!$F12,6)=LEFT(Matrix!BU$24,6),'non Forest LUC'!$F34,0),0)</f>
        <v>0</v>
      </c>
      <c r="BV28" s="431">
        <f>IF(LEFT('non Forest LUC'!$D12,6)=LEFT(Matrix!$BR$24,6),IF(LEFT('non Forest LUC'!$F12,6)=LEFT(Matrix!BV$24,6),'non Forest LUC'!$F34,0),0)</f>
        <v>0</v>
      </c>
      <c r="BW28" s="431">
        <f>IF(LEFT('non Forest LUC'!$D12,6)=LEFT(Matrix!$BR$24,6),IF(LEFT('non Forest LUC'!$F12,6)=LEFT(Matrix!BW$24,6),'non Forest LUC'!$F34,0),0)</f>
        <v>0</v>
      </c>
      <c r="BX28" s="431">
        <f>IF(LEFT('non Forest LUC'!$D12,6)=LEFT(Matrix!$BR$24,6),IF(LEFT('non Forest LUC'!$F12,6)=LEFT(Matrix!BX$24,6),'non Forest LUC'!$F34,0),0)</f>
        <v>0</v>
      </c>
      <c r="BY28" s="442"/>
      <c r="BZ28" s="431">
        <f>IF(LEFT('non Forest LUC'!$D12,6)=LEFT(Matrix!$BY$24,6),IF(LEFT('non Forest LUC'!$F12,6)=LEFT(Matrix!BZ$24,6),'non Forest LUC'!$F34,0),0)</f>
        <v>0</v>
      </c>
      <c r="CA28" s="431">
        <f>IF(LEFT('non Forest LUC'!$D12,6)=LEFT(Matrix!$BY$24,6),IF(LEFT('non Forest LUC'!$F12,6)=LEFT(Matrix!CA$24,6),'non Forest LUC'!$F34,0),0)</f>
        <v>0</v>
      </c>
      <c r="CB28" s="431">
        <f>IF(LEFT('non Forest LUC'!$D12,6)=LEFT(Matrix!$BY$24,6),IF(LEFT('non Forest LUC'!$F12,6)=LEFT(Matrix!CB$24,6),'non Forest LUC'!$F34,0),0)</f>
        <v>0</v>
      </c>
      <c r="CC28" s="431">
        <f>IF(LEFT('non Forest LUC'!$D12,6)=LEFT(Matrix!$BY$24,6),IF(LEFT('non Forest LUC'!$F12,6)=LEFT(Matrix!CC$24,6),'non Forest LUC'!$F34,0),0)</f>
        <v>0</v>
      </c>
      <c r="CD28" s="431">
        <f>IF(LEFT('non Forest LUC'!$D12,6)=LEFT(Matrix!$BY$24,6),IF(LEFT('non Forest LUC'!$F12,6)=LEFT(Matrix!CD$24,6),'non Forest LUC'!$F34,0),0)</f>
        <v>0</v>
      </c>
      <c r="CE28" s="431">
        <f>IF(LEFT('non Forest LUC'!$D12,6)=LEFT(Matrix!$BY$24,6),IF(LEFT('non Forest LUC'!$F12,6)=LEFT(Matrix!CE$24,6),'non Forest LUC'!$F34,0),0)</f>
        <v>0</v>
      </c>
      <c r="CF28" s="442"/>
      <c r="CG28" s="431">
        <f>IF(LEFT('non Forest LUC'!$D12,6)=LEFT(Matrix!$CF$24,6),IF(LEFT('non Forest LUC'!$F12,6)=LEFT(Matrix!CG$24,6),'non Forest LUC'!$F34,0),0)</f>
        <v>0</v>
      </c>
      <c r="CH28" s="431">
        <f>IF(LEFT('non Forest LUC'!$D12,6)=LEFT(Matrix!$CF$24,6),IF(LEFT('non Forest LUC'!$F12,6)=LEFT(Matrix!CH$24,6),'non Forest LUC'!$F34,0),0)</f>
        <v>0</v>
      </c>
      <c r="CI28" s="431">
        <f>IF(LEFT('non Forest LUC'!$D12,6)=LEFT(Matrix!$CF$24,6),IF(LEFT('non Forest LUC'!$F12,6)=LEFT(Matrix!CI$24,6),'non Forest LUC'!$F34,0),0)</f>
        <v>0</v>
      </c>
      <c r="CJ28" s="431">
        <f>IF(LEFT('non Forest LUC'!$D12,6)=LEFT(Matrix!$CF$24,6),IF(LEFT('non Forest LUC'!$F12,6)=LEFT(Matrix!CJ$24,6),'non Forest LUC'!$F34,0),0)</f>
        <v>0</v>
      </c>
      <c r="CK28" s="431">
        <f>IF(LEFT('non Forest LUC'!$D12,6)=LEFT(Matrix!$CF$24,6),IF(LEFT('non Forest LUC'!$F12,6)=LEFT(Matrix!CK$24,6),'non Forest LUC'!$F34,0),0)</f>
        <v>0</v>
      </c>
      <c r="CL28" s="431">
        <f>IF(LEFT('non Forest LUC'!$D12,6)=LEFT(Matrix!$CF$24,6),IF(LEFT('non Forest LUC'!$F12,6)=LEFT(Matrix!CL$24,6),'non Forest LUC'!$F34,0),0)</f>
        <v>0</v>
      </c>
    </row>
    <row r="29" spans="2:93">
      <c r="B29" s="512"/>
      <c r="C29" s="477" t="s">
        <v>1106</v>
      </c>
      <c r="D29" s="469" t="s">
        <v>1111</v>
      </c>
      <c r="E29" s="515">
        <f>SUM(AH35:AJ35)</f>
        <v>0</v>
      </c>
      <c r="F29" s="479">
        <f>AX38</f>
        <v>0</v>
      </c>
      <c r="G29" s="480">
        <f>Perennial!F46+Perennial!F33+Perennial!F35</f>
        <v>0</v>
      </c>
      <c r="H29" s="479">
        <f>AY38</f>
        <v>0</v>
      </c>
      <c r="I29" s="481">
        <f>BA38</f>
        <v>0</v>
      </c>
      <c r="J29" s="474">
        <f>BB38</f>
        <v>0</v>
      </c>
      <c r="K29" s="482">
        <f>AZ38+BC38</f>
        <v>0</v>
      </c>
      <c r="L29" s="240"/>
      <c r="M29" s="465">
        <f t="shared" si="16"/>
        <v>0</v>
      </c>
      <c r="O29" s="476"/>
      <c r="P29" s="476"/>
      <c r="Q29" s="476"/>
      <c r="R29" s="476"/>
      <c r="S29" s="476"/>
      <c r="T29" s="476"/>
      <c r="U29" s="476"/>
      <c r="W29" s="437"/>
      <c r="X29" s="457">
        <f>IF(Deforestation!$I31=X$24,1,0)*Deforestation!$I46</f>
        <v>0</v>
      </c>
      <c r="Y29" s="457">
        <f>IF(Deforestation!$I31=Y$24,1,0)*Deforestation!$I46</f>
        <v>0</v>
      </c>
      <c r="Z29" s="457">
        <f>IF(Deforestation!$I31=Z$24,1,0)*Deforestation!$I46</f>
        <v>0</v>
      </c>
      <c r="AA29" s="457">
        <f>IF(Deforestation!$I31=AA$24,1,0)*Deforestation!$I46</f>
        <v>0</v>
      </c>
      <c r="AB29" s="457">
        <f>IF(Deforestation!$I31=AB$24,1,0)*Deforestation!$I46</f>
        <v>0</v>
      </c>
      <c r="AC29" s="457">
        <f>IF(Deforestation!$I31=AC$24,1,0)*Deforestation!$I46</f>
        <v>0</v>
      </c>
      <c r="AD29" s="457">
        <f>IF(Deforestation!$I31=AD$24,1,0)*Deforestation!$I46</f>
        <v>0</v>
      </c>
      <c r="AE29" s="457">
        <f>IF(Deforestation!$I31=AE$24,1,0)*Deforestation!$I46</f>
        <v>0</v>
      </c>
      <c r="AG29" s="439">
        <f>IF(AG$8='A-R'!$E31,'A-R'!$G46,0)</f>
        <v>0</v>
      </c>
      <c r="AH29" s="439">
        <f>IF(AH$8='A-R'!$E31,'A-R'!$G46,0)</f>
        <v>0</v>
      </c>
      <c r="AI29" s="439">
        <f>IF(AI$8='A-R'!$E31,'A-R'!$G46,0)</f>
        <v>0</v>
      </c>
      <c r="AJ29" s="439">
        <f>IF(AJ$8='A-R'!$E31,'A-R'!$G46,0)</f>
        <v>0</v>
      </c>
      <c r="AK29" s="439">
        <f>IF(AK$8='A-R'!$E31,'A-R'!$G46,0)</f>
        <v>0</v>
      </c>
      <c r="AL29" s="439">
        <f>IF(AL$8='A-R'!$E31,'A-R'!$G46,0)</f>
        <v>0</v>
      </c>
      <c r="AM29" s="439">
        <f>IF(AM$8='A-R'!$E31,'A-R'!$G46,0)</f>
        <v>0</v>
      </c>
      <c r="AN29" s="439">
        <f>IF(AN$8='A-R'!$E31,'A-R'!$G46,0)</f>
        <v>0</v>
      </c>
      <c r="AP29" s="442"/>
      <c r="AQ29" s="431">
        <f>IF(LEFT('non Forest LUC'!$D13,6)=LEFT(Matrix!$AP$24,6),IF(LEFT('non Forest LUC'!$F13,6)=LEFT(Matrix!AQ$24,6),'non Forest LUC'!$F35,0),0)</f>
        <v>0</v>
      </c>
      <c r="AR29" s="431">
        <f>IF(LEFT('non Forest LUC'!$D13,6)=LEFT(Matrix!$AP$24,6),IF(LEFT('non Forest LUC'!$F13,6)=LEFT(Matrix!AR$24,6),'non Forest LUC'!$F35,0),0)</f>
        <v>0</v>
      </c>
      <c r="AS29" s="431">
        <f>IF(LEFT('non Forest LUC'!$D13,6)=LEFT(Matrix!$AP$24,6),IF(LEFT('non Forest LUC'!$F13,6)=LEFT(Matrix!AS$24,6),'non Forest LUC'!$F35,0),0)</f>
        <v>0</v>
      </c>
      <c r="AT29" s="431">
        <f>IF(LEFT('non Forest LUC'!$D13,6)=LEFT(Matrix!$AP$24,6),IF(LEFT('non Forest LUC'!$F13,6)=LEFT(Matrix!AT$24,6),'non Forest LUC'!$F35,0),0)</f>
        <v>0</v>
      </c>
      <c r="AU29" s="431">
        <f>IF(LEFT('non Forest LUC'!$D13,6)=LEFT(Matrix!$AP$24,6),IF(LEFT('non Forest LUC'!$F13,6)=LEFT(Matrix!AU$24,6),'non Forest LUC'!$F35,0),0)</f>
        <v>0</v>
      </c>
      <c r="AV29" s="431">
        <f>IF(LEFT('non Forest LUC'!$D13,6)=LEFT(Matrix!$AP$24,6),IF(LEFT('non Forest LUC'!$F13,6)=LEFT(Matrix!AV$24,6),'non Forest LUC'!$F35,0),0)</f>
        <v>0</v>
      </c>
      <c r="AW29" s="442"/>
      <c r="AX29" s="431">
        <f>IF(LEFT('non Forest LUC'!$D13,6)=LEFT(Matrix!$AW$24,6),IF(LEFT('non Forest LUC'!$F13,6)=LEFT(Matrix!AX$24,6),'non Forest LUC'!$F35,0),0)</f>
        <v>0</v>
      </c>
      <c r="AY29" s="431">
        <f>IF(LEFT('non Forest LUC'!$D13,6)=LEFT(Matrix!$AW$24,6),IF(LEFT('non Forest LUC'!$F13,6)=LEFT(Matrix!AY$24,6),'non Forest LUC'!$F35,0),0)</f>
        <v>0</v>
      </c>
      <c r="AZ29" s="431">
        <f>IF(LEFT('non Forest LUC'!$D13,6)=LEFT(Matrix!$AW$24,6),IF(LEFT('non Forest LUC'!$F13,6)=LEFT(Matrix!AZ$24,6),'non Forest LUC'!$F35,0),0)</f>
        <v>0</v>
      </c>
      <c r="BA29" s="431">
        <f>IF(LEFT('non Forest LUC'!$D13,6)=LEFT(Matrix!$AW$24,6),IF(LEFT('non Forest LUC'!$F13,6)=LEFT(Matrix!BA$24,6),'non Forest LUC'!$F35,0),0)</f>
        <v>0</v>
      </c>
      <c r="BB29" s="431">
        <f>IF(LEFT('non Forest LUC'!$D13,6)=LEFT(Matrix!$AW$24,6),IF(LEFT('non Forest LUC'!$F13,6)=LEFT(Matrix!BB$24,6),'non Forest LUC'!$F35,0),0)</f>
        <v>0</v>
      </c>
      <c r="BC29" s="431">
        <f>IF(LEFT('non Forest LUC'!$D13,6)=LEFT(Matrix!$AW$24,6),IF(LEFT('non Forest LUC'!$F13,6)=LEFT(Matrix!BC$24,6),'non Forest LUC'!$F35,0),0)</f>
        <v>0</v>
      </c>
      <c r="BD29" s="442"/>
      <c r="BE29" s="431">
        <f>IF(LEFT('non Forest LUC'!$D13,6)=LEFT(Matrix!$BD$24,6),IF(LEFT('non Forest LUC'!$F13,6)=LEFT(Matrix!BE$24,6),'non Forest LUC'!$F35,0),0)</f>
        <v>0</v>
      </c>
      <c r="BF29" s="431">
        <f>IF(LEFT('non Forest LUC'!$D13,6)=LEFT(Matrix!$BD$24,6),IF(LEFT('non Forest LUC'!$F13,6)=LEFT(Matrix!BF$24,6),'non Forest LUC'!$F35,0),0)</f>
        <v>0</v>
      </c>
      <c r="BG29" s="431">
        <f>IF(LEFT('non Forest LUC'!$D13,6)=LEFT(Matrix!$BD$24,6),IF(LEFT('non Forest LUC'!$F13,6)=LEFT(Matrix!BG$24,6),'non Forest LUC'!$F35,0),0)</f>
        <v>0</v>
      </c>
      <c r="BH29" s="431">
        <f>IF(LEFT('non Forest LUC'!$D13,6)=LEFT(Matrix!$BD$24,6),IF(LEFT('non Forest LUC'!$F13,6)=LEFT(Matrix!BH$24,6),'non Forest LUC'!$F35,0),0)</f>
        <v>0</v>
      </c>
      <c r="BI29" s="431">
        <f>IF(LEFT('non Forest LUC'!$D13,6)=LEFT(Matrix!$BD$24,6),IF(LEFT('non Forest LUC'!$F13,6)=LEFT(Matrix!BI$24,6),'non Forest LUC'!$F35,0),0)</f>
        <v>0</v>
      </c>
      <c r="BJ29" s="431">
        <f>IF(LEFT('non Forest LUC'!$D13,6)=LEFT(Matrix!$BD$24,6),IF(LEFT('non Forest LUC'!$F13,6)=LEFT(Matrix!BJ$24,6),'non Forest LUC'!$F35,0),0)</f>
        <v>0</v>
      </c>
      <c r="BK29" s="442"/>
      <c r="BL29" s="431">
        <f>IF(LEFT('non Forest LUC'!$D13,6)=LEFT(Matrix!$BK$24,6),IF(LEFT('non Forest LUC'!$F13,6)=LEFT(Matrix!BL$24,6),'non Forest LUC'!$F35,0),0)</f>
        <v>0</v>
      </c>
      <c r="BM29" s="431">
        <f>IF(LEFT('non Forest LUC'!$D13,6)=LEFT(Matrix!$BK$24,6),IF(LEFT('non Forest LUC'!$F13,6)=LEFT(Matrix!BM$24,6),'non Forest LUC'!$F35,0),0)</f>
        <v>0</v>
      </c>
      <c r="BN29" s="431">
        <f>IF(LEFT('non Forest LUC'!$D13,6)=LEFT(Matrix!$BK$24,6),IF(LEFT('non Forest LUC'!$F13,6)=LEFT(Matrix!BN$24,6),'non Forest LUC'!$F35,0),0)</f>
        <v>0</v>
      </c>
      <c r="BO29" s="431">
        <f>IF(LEFT('non Forest LUC'!$D13,6)=LEFT(Matrix!$BK$24,6),IF(LEFT('non Forest LUC'!$F13,6)=LEFT(Matrix!BO$24,6),'non Forest LUC'!$F35,0),0)</f>
        <v>0</v>
      </c>
      <c r="BP29" s="431">
        <f>IF(LEFT('non Forest LUC'!$D13,6)=LEFT(Matrix!$BK$24,6),IF(LEFT('non Forest LUC'!$F13,6)=LEFT(Matrix!BP$24,6),'non Forest LUC'!$F35,0),0)</f>
        <v>0</v>
      </c>
      <c r="BQ29" s="431">
        <f>IF(LEFT('non Forest LUC'!$D13,6)=LEFT(Matrix!$BK$24,6),IF(LEFT('non Forest LUC'!$F13,6)=LEFT(Matrix!BQ$24,6),'non Forest LUC'!$F35,0),0)</f>
        <v>0</v>
      </c>
      <c r="BR29" s="442"/>
      <c r="BS29" s="431">
        <f>IF(LEFT('non Forest LUC'!$D13,6)=LEFT(Matrix!$BR$24,6),IF(LEFT('non Forest LUC'!$F13,6)=LEFT(Matrix!BS$24,6),'non Forest LUC'!$F35,0),0)</f>
        <v>0</v>
      </c>
      <c r="BT29" s="431">
        <f>IF(LEFT('non Forest LUC'!$D13,6)=LEFT(Matrix!$BR$24,6),IF(LEFT('non Forest LUC'!$F13,6)=LEFT(Matrix!BT$24,6),'non Forest LUC'!$F35,0),0)</f>
        <v>0</v>
      </c>
      <c r="BU29" s="431">
        <f>IF(LEFT('non Forest LUC'!$D13,6)=LEFT(Matrix!$BR$24,6),IF(LEFT('non Forest LUC'!$F13,6)=LEFT(Matrix!BU$24,6),'non Forest LUC'!$F35,0),0)</f>
        <v>0</v>
      </c>
      <c r="BV29" s="431">
        <f>IF(LEFT('non Forest LUC'!$D13,6)=LEFT(Matrix!$BR$24,6),IF(LEFT('non Forest LUC'!$F13,6)=LEFT(Matrix!BV$24,6),'non Forest LUC'!$F35,0),0)</f>
        <v>0</v>
      </c>
      <c r="BW29" s="431">
        <f>IF(LEFT('non Forest LUC'!$D13,6)=LEFT(Matrix!$BR$24,6),IF(LEFT('non Forest LUC'!$F13,6)=LEFT(Matrix!BW$24,6),'non Forest LUC'!$F35,0),0)</f>
        <v>0</v>
      </c>
      <c r="BX29" s="431">
        <f>IF(LEFT('non Forest LUC'!$D13,6)=LEFT(Matrix!$BR$24,6),IF(LEFT('non Forest LUC'!$F13,6)=LEFT(Matrix!BX$24,6),'non Forest LUC'!$F35,0),0)</f>
        <v>0</v>
      </c>
      <c r="BY29" s="442"/>
      <c r="BZ29" s="431">
        <f>IF(LEFT('non Forest LUC'!$D13,6)=LEFT(Matrix!$BY$24,6),IF(LEFT('non Forest LUC'!$F13,6)=LEFT(Matrix!BZ$24,6),'non Forest LUC'!$F35,0),0)</f>
        <v>0</v>
      </c>
      <c r="CA29" s="431">
        <f>IF(LEFT('non Forest LUC'!$D13,6)=LEFT(Matrix!$BY$24,6),IF(LEFT('non Forest LUC'!$F13,6)=LEFT(Matrix!CA$24,6),'non Forest LUC'!$F35,0),0)</f>
        <v>0</v>
      </c>
      <c r="CB29" s="431">
        <f>IF(LEFT('non Forest LUC'!$D13,6)=LEFT(Matrix!$BY$24,6),IF(LEFT('non Forest LUC'!$F13,6)=LEFT(Matrix!CB$24,6),'non Forest LUC'!$F35,0),0)</f>
        <v>0</v>
      </c>
      <c r="CC29" s="431">
        <f>IF(LEFT('non Forest LUC'!$D13,6)=LEFT(Matrix!$BY$24,6),IF(LEFT('non Forest LUC'!$F13,6)=LEFT(Matrix!CC$24,6),'non Forest LUC'!$F35,0),0)</f>
        <v>0</v>
      </c>
      <c r="CD29" s="431">
        <f>IF(LEFT('non Forest LUC'!$D13,6)=LEFT(Matrix!$BY$24,6),IF(LEFT('non Forest LUC'!$F13,6)=LEFT(Matrix!CD$24,6),'non Forest LUC'!$F35,0),0)</f>
        <v>0</v>
      </c>
      <c r="CE29" s="431">
        <f>IF(LEFT('non Forest LUC'!$D13,6)=LEFT(Matrix!$BY$24,6),IF(LEFT('non Forest LUC'!$F13,6)=LEFT(Matrix!CE$24,6),'non Forest LUC'!$F35,0),0)</f>
        <v>0</v>
      </c>
      <c r="CF29" s="442"/>
      <c r="CG29" s="431">
        <f>IF(LEFT('non Forest LUC'!$D13,6)=LEFT(Matrix!$CF$24,6),IF(LEFT('non Forest LUC'!$F13,6)=LEFT(Matrix!CG$24,6),'non Forest LUC'!$F35,0),0)</f>
        <v>0</v>
      </c>
      <c r="CH29" s="431">
        <f>IF(LEFT('non Forest LUC'!$D13,6)=LEFT(Matrix!$CF$24,6),IF(LEFT('non Forest LUC'!$F13,6)=LEFT(Matrix!CH$24,6),'non Forest LUC'!$F35,0),0)</f>
        <v>0</v>
      </c>
      <c r="CI29" s="431">
        <f>IF(LEFT('non Forest LUC'!$D13,6)=LEFT(Matrix!$CF$24,6),IF(LEFT('non Forest LUC'!$F13,6)=LEFT(Matrix!CI$24,6),'non Forest LUC'!$F35,0),0)</f>
        <v>0</v>
      </c>
      <c r="CJ29" s="431">
        <f>IF(LEFT('non Forest LUC'!$D13,6)=LEFT(Matrix!$CF$24,6),IF(LEFT('non Forest LUC'!$F13,6)=LEFT(Matrix!CJ$24,6),'non Forest LUC'!$F35,0),0)</f>
        <v>0</v>
      </c>
      <c r="CK29" s="431">
        <f>IF(LEFT('non Forest LUC'!$D13,6)=LEFT(Matrix!$CF$24,6),IF(LEFT('non Forest LUC'!$F13,6)=LEFT(Matrix!CK$24,6),'non Forest LUC'!$F35,0),0)</f>
        <v>0</v>
      </c>
      <c r="CL29" s="431">
        <f>IF(LEFT('non Forest LUC'!$D13,6)=LEFT(Matrix!$CF$24,6),IF(LEFT('non Forest LUC'!$F13,6)=LEFT(Matrix!CL$24,6),'non Forest LUC'!$F35,0),0)</f>
        <v>0</v>
      </c>
    </row>
    <row r="30" spans="2:93">
      <c r="B30" s="512"/>
      <c r="C30" s="477"/>
      <c r="D30" s="469" t="s">
        <v>1112</v>
      </c>
      <c r="E30" s="515">
        <f>AK35</f>
        <v>0</v>
      </c>
      <c r="F30" s="479">
        <f>BE38</f>
        <v>0</v>
      </c>
      <c r="G30" s="479">
        <f>BF38</f>
        <v>0</v>
      </c>
      <c r="H30" s="480">
        <f>'Irrigated Rice'!C46+'Irrigated Rice'!F33+'Irrigated Rice'!F35</f>
        <v>0</v>
      </c>
      <c r="I30" s="481">
        <f>BH38</f>
        <v>0</v>
      </c>
      <c r="J30" s="474">
        <f>BI38</f>
        <v>0</v>
      </c>
      <c r="K30" s="482">
        <f>BJ38+BG38</f>
        <v>0</v>
      </c>
      <c r="L30" s="240"/>
      <c r="M30" s="465">
        <f t="shared" si="16"/>
        <v>0</v>
      </c>
      <c r="O30" s="476"/>
      <c r="P30" s="476"/>
      <c r="Q30" s="476"/>
      <c r="R30" s="476"/>
      <c r="S30" s="476"/>
      <c r="T30" s="476"/>
      <c r="U30" s="476"/>
      <c r="W30" s="437"/>
      <c r="X30" s="457">
        <f>IF(Deforestation!$I32=X$24,1,0)*Deforestation!$I47</f>
        <v>0</v>
      </c>
      <c r="Y30" s="457">
        <f>IF(Deforestation!$I32=Y$24,1,0)*Deforestation!$I47</f>
        <v>0</v>
      </c>
      <c r="Z30" s="457">
        <f>IF(Deforestation!$I32=Z$24,1,0)*Deforestation!$I47</f>
        <v>0</v>
      </c>
      <c r="AA30" s="457">
        <f>IF(Deforestation!$I32=AA$24,1,0)*Deforestation!$I47</f>
        <v>0</v>
      </c>
      <c r="AB30" s="457">
        <f>IF(Deforestation!$I32=AB$24,1,0)*Deforestation!$I47</f>
        <v>0</v>
      </c>
      <c r="AC30" s="457">
        <f>IF(Deforestation!$I32=AC$24,1,0)*Deforestation!$I47</f>
        <v>0</v>
      </c>
      <c r="AD30" s="457">
        <f>IF(Deforestation!$I32=AD$24,1,0)*Deforestation!$I47</f>
        <v>0</v>
      </c>
      <c r="AE30" s="457">
        <f>IF(Deforestation!$I32=AE$24,1,0)*Deforestation!$I47</f>
        <v>0</v>
      </c>
      <c r="AG30" s="439">
        <f>IF(AG$8='A-R'!$E32,'A-R'!$G47,0)</f>
        <v>0</v>
      </c>
      <c r="AH30" s="439">
        <f>IF(AH$8='A-R'!$E32,'A-R'!$G47,0)</f>
        <v>0</v>
      </c>
      <c r="AI30" s="439">
        <f>IF(AI$8='A-R'!$E32,'A-R'!$G47,0)</f>
        <v>0</v>
      </c>
      <c r="AJ30" s="439">
        <f>IF(AJ$8='A-R'!$E32,'A-R'!$G47,0)</f>
        <v>0</v>
      </c>
      <c r="AK30" s="439">
        <f>IF(AK$8='A-R'!$E32,'A-R'!$G47,0)</f>
        <v>0</v>
      </c>
      <c r="AL30" s="439">
        <f>IF(AL$8='A-R'!$E32,'A-R'!$G47,0)</f>
        <v>0</v>
      </c>
      <c r="AM30" s="439">
        <f>IF(AM$8='A-R'!$E32,'A-R'!$G47,0)</f>
        <v>0</v>
      </c>
      <c r="AN30" s="439">
        <f>IF(AN$8='A-R'!$E32,'A-R'!$G47,0)</f>
        <v>0</v>
      </c>
      <c r="AP30" s="442"/>
      <c r="AQ30" s="431">
        <f>IF(LEFT('non Forest LUC'!$D14,6)=LEFT(Matrix!$AP$24,6),IF(LEFT('non Forest LUC'!$F14,6)=LEFT(Matrix!AQ$24,6),'non Forest LUC'!$F36,0),0)</f>
        <v>0</v>
      </c>
      <c r="AR30" s="431">
        <f>IF(LEFT('non Forest LUC'!$D14,6)=LEFT(Matrix!$AP$24,6),IF(LEFT('non Forest LUC'!$F14,6)=LEFT(Matrix!AR$24,6),'non Forest LUC'!$F36,0),0)</f>
        <v>0</v>
      </c>
      <c r="AS30" s="431">
        <f>IF(LEFT('non Forest LUC'!$D14,6)=LEFT(Matrix!$AP$24,6),IF(LEFT('non Forest LUC'!$F14,6)=LEFT(Matrix!AS$24,6),'non Forest LUC'!$F36,0),0)</f>
        <v>0</v>
      </c>
      <c r="AT30" s="431">
        <f>IF(LEFT('non Forest LUC'!$D14,6)=LEFT(Matrix!$AP$24,6),IF(LEFT('non Forest LUC'!$F14,6)=LEFT(Matrix!AT$24,6),'non Forest LUC'!$F36,0),0)</f>
        <v>0</v>
      </c>
      <c r="AU30" s="431">
        <f>IF(LEFT('non Forest LUC'!$D14,6)=LEFT(Matrix!$AP$24,6),IF(LEFT('non Forest LUC'!$F14,6)=LEFT(Matrix!AU$24,6),'non Forest LUC'!$F36,0),0)</f>
        <v>0</v>
      </c>
      <c r="AV30" s="431">
        <f>IF(LEFT('non Forest LUC'!$D14,6)=LEFT(Matrix!$AP$24,6),IF(LEFT('non Forest LUC'!$F14,6)=LEFT(Matrix!AV$24,6),'non Forest LUC'!$F36,0),0)</f>
        <v>0</v>
      </c>
      <c r="AW30" s="442"/>
      <c r="AX30" s="431">
        <f>IF(LEFT('non Forest LUC'!$D14,6)=LEFT(Matrix!$AW$24,6),IF(LEFT('non Forest LUC'!$F14,6)=LEFT(Matrix!AX$24,6),'non Forest LUC'!$F36,0),0)</f>
        <v>0</v>
      </c>
      <c r="AY30" s="431">
        <f>IF(LEFT('non Forest LUC'!$D14,6)=LEFT(Matrix!$AW$24,6),IF(LEFT('non Forest LUC'!$F14,6)=LEFT(Matrix!AY$24,6),'non Forest LUC'!$F36,0),0)</f>
        <v>0</v>
      </c>
      <c r="AZ30" s="431">
        <f>IF(LEFT('non Forest LUC'!$D14,6)=LEFT(Matrix!$AW$24,6),IF(LEFT('non Forest LUC'!$F14,6)=LEFT(Matrix!AZ$24,6),'non Forest LUC'!$F36,0),0)</f>
        <v>0</v>
      </c>
      <c r="BA30" s="431">
        <f>IF(LEFT('non Forest LUC'!$D14,6)=LEFT(Matrix!$AW$24,6),IF(LEFT('non Forest LUC'!$F14,6)=LEFT(Matrix!BA$24,6),'non Forest LUC'!$F36,0),0)</f>
        <v>0</v>
      </c>
      <c r="BB30" s="431">
        <f>IF(LEFT('non Forest LUC'!$D14,6)=LEFT(Matrix!$AW$24,6),IF(LEFT('non Forest LUC'!$F14,6)=LEFT(Matrix!BB$24,6),'non Forest LUC'!$F36,0),0)</f>
        <v>0</v>
      </c>
      <c r="BC30" s="431">
        <f>IF(LEFT('non Forest LUC'!$D14,6)=LEFT(Matrix!$AW$24,6),IF(LEFT('non Forest LUC'!$F14,6)=LEFT(Matrix!BC$24,6),'non Forest LUC'!$F36,0),0)</f>
        <v>0</v>
      </c>
      <c r="BD30" s="442"/>
      <c r="BE30" s="431">
        <f>IF(LEFT('non Forest LUC'!$D14,6)=LEFT(Matrix!$BD$24,6),IF(LEFT('non Forest LUC'!$F14,6)=LEFT(Matrix!BE$24,6),'non Forest LUC'!$F36,0),0)</f>
        <v>0</v>
      </c>
      <c r="BF30" s="431">
        <f>IF(LEFT('non Forest LUC'!$D14,6)=LEFT(Matrix!$BD$24,6),IF(LEFT('non Forest LUC'!$F14,6)=LEFT(Matrix!BF$24,6),'non Forest LUC'!$F36,0),0)</f>
        <v>0</v>
      </c>
      <c r="BG30" s="431">
        <f>IF(LEFT('non Forest LUC'!$D14,6)=LEFT(Matrix!$BD$24,6),IF(LEFT('non Forest LUC'!$F14,6)=LEFT(Matrix!BG$24,6),'non Forest LUC'!$F36,0),0)</f>
        <v>0</v>
      </c>
      <c r="BH30" s="431">
        <f>IF(LEFT('non Forest LUC'!$D14,6)=LEFT(Matrix!$BD$24,6),IF(LEFT('non Forest LUC'!$F14,6)=LEFT(Matrix!BH$24,6),'non Forest LUC'!$F36,0),0)</f>
        <v>0</v>
      </c>
      <c r="BI30" s="431">
        <f>IF(LEFT('non Forest LUC'!$D14,6)=LEFT(Matrix!$BD$24,6),IF(LEFT('non Forest LUC'!$F14,6)=LEFT(Matrix!BI$24,6),'non Forest LUC'!$F36,0),0)</f>
        <v>0</v>
      </c>
      <c r="BJ30" s="431">
        <f>IF(LEFT('non Forest LUC'!$D14,6)=LEFT(Matrix!$BD$24,6),IF(LEFT('non Forest LUC'!$F14,6)=LEFT(Matrix!BJ$24,6),'non Forest LUC'!$F36,0),0)</f>
        <v>0</v>
      </c>
      <c r="BK30" s="442"/>
      <c r="BL30" s="431">
        <f>IF(LEFT('non Forest LUC'!$D14,6)=LEFT(Matrix!$BK$24,6),IF(LEFT('non Forest LUC'!$F14,6)=LEFT(Matrix!BL$24,6),'non Forest LUC'!$F36,0),0)</f>
        <v>0</v>
      </c>
      <c r="BM30" s="431">
        <f>IF(LEFT('non Forest LUC'!$D14,6)=LEFT(Matrix!$BK$24,6),IF(LEFT('non Forest LUC'!$F14,6)=LEFT(Matrix!BM$24,6),'non Forest LUC'!$F36,0),0)</f>
        <v>0</v>
      </c>
      <c r="BN30" s="431">
        <f>IF(LEFT('non Forest LUC'!$D14,6)=LEFT(Matrix!$BK$24,6),IF(LEFT('non Forest LUC'!$F14,6)=LEFT(Matrix!BN$24,6),'non Forest LUC'!$F36,0),0)</f>
        <v>0</v>
      </c>
      <c r="BO30" s="431">
        <f>IF(LEFT('non Forest LUC'!$D14,6)=LEFT(Matrix!$BK$24,6),IF(LEFT('non Forest LUC'!$F14,6)=LEFT(Matrix!BO$24,6),'non Forest LUC'!$F36,0),0)</f>
        <v>0</v>
      </c>
      <c r="BP30" s="431">
        <f>IF(LEFT('non Forest LUC'!$D14,6)=LEFT(Matrix!$BK$24,6),IF(LEFT('non Forest LUC'!$F14,6)=LEFT(Matrix!BP$24,6),'non Forest LUC'!$F36,0),0)</f>
        <v>0</v>
      </c>
      <c r="BQ30" s="431">
        <f>IF(LEFT('non Forest LUC'!$D14,6)=LEFT(Matrix!$BK$24,6),IF(LEFT('non Forest LUC'!$F14,6)=LEFT(Matrix!BQ$24,6),'non Forest LUC'!$F36,0),0)</f>
        <v>0</v>
      </c>
      <c r="BR30" s="442"/>
      <c r="BS30" s="431">
        <f>IF(LEFT('non Forest LUC'!$D14,6)=LEFT(Matrix!$BR$24,6),IF(LEFT('non Forest LUC'!$F14,6)=LEFT(Matrix!BS$24,6),'non Forest LUC'!$F36,0),0)</f>
        <v>0</v>
      </c>
      <c r="BT30" s="431">
        <f>IF(LEFT('non Forest LUC'!$D14,6)=LEFT(Matrix!$BR$24,6),IF(LEFT('non Forest LUC'!$F14,6)=LEFT(Matrix!BT$24,6),'non Forest LUC'!$F36,0),0)</f>
        <v>0</v>
      </c>
      <c r="BU30" s="431">
        <f>IF(LEFT('non Forest LUC'!$D14,6)=LEFT(Matrix!$BR$24,6),IF(LEFT('non Forest LUC'!$F14,6)=LEFT(Matrix!BU$24,6),'non Forest LUC'!$F36,0),0)</f>
        <v>0</v>
      </c>
      <c r="BV30" s="431">
        <f>IF(LEFT('non Forest LUC'!$D14,6)=LEFT(Matrix!$BR$24,6),IF(LEFT('non Forest LUC'!$F14,6)=LEFT(Matrix!BV$24,6),'non Forest LUC'!$F36,0),0)</f>
        <v>0</v>
      </c>
      <c r="BW30" s="431">
        <f>IF(LEFT('non Forest LUC'!$D14,6)=LEFT(Matrix!$BR$24,6),IF(LEFT('non Forest LUC'!$F14,6)=LEFT(Matrix!BW$24,6),'non Forest LUC'!$F36,0),0)</f>
        <v>0</v>
      </c>
      <c r="BX30" s="431">
        <f>IF(LEFT('non Forest LUC'!$D14,6)=LEFT(Matrix!$BR$24,6),IF(LEFT('non Forest LUC'!$F14,6)=LEFT(Matrix!BX$24,6),'non Forest LUC'!$F36,0),0)</f>
        <v>0</v>
      </c>
      <c r="BY30" s="442"/>
      <c r="BZ30" s="431">
        <f>IF(LEFT('non Forest LUC'!$D14,6)=LEFT(Matrix!$BY$24,6),IF(LEFT('non Forest LUC'!$F14,6)=LEFT(Matrix!BZ$24,6),'non Forest LUC'!$F36,0),0)</f>
        <v>0</v>
      </c>
      <c r="CA30" s="431">
        <f>IF(LEFT('non Forest LUC'!$D14,6)=LEFT(Matrix!$BY$24,6),IF(LEFT('non Forest LUC'!$F14,6)=LEFT(Matrix!CA$24,6),'non Forest LUC'!$F36,0),0)</f>
        <v>0</v>
      </c>
      <c r="CB30" s="431">
        <f>IF(LEFT('non Forest LUC'!$D14,6)=LEFT(Matrix!$BY$24,6),IF(LEFT('non Forest LUC'!$F14,6)=LEFT(Matrix!CB$24,6),'non Forest LUC'!$F36,0),0)</f>
        <v>0</v>
      </c>
      <c r="CC30" s="431">
        <f>IF(LEFT('non Forest LUC'!$D14,6)=LEFT(Matrix!$BY$24,6),IF(LEFT('non Forest LUC'!$F14,6)=LEFT(Matrix!CC$24,6),'non Forest LUC'!$F36,0),0)</f>
        <v>0</v>
      </c>
      <c r="CD30" s="431">
        <f>IF(LEFT('non Forest LUC'!$D14,6)=LEFT(Matrix!$BY$24,6),IF(LEFT('non Forest LUC'!$F14,6)=LEFT(Matrix!CD$24,6),'non Forest LUC'!$F36,0),0)</f>
        <v>0</v>
      </c>
      <c r="CE30" s="431">
        <f>IF(LEFT('non Forest LUC'!$D14,6)=LEFT(Matrix!$BY$24,6),IF(LEFT('non Forest LUC'!$F14,6)=LEFT(Matrix!CE$24,6),'non Forest LUC'!$F36,0),0)</f>
        <v>0</v>
      </c>
      <c r="CF30" s="442"/>
      <c r="CG30" s="431">
        <f>IF(LEFT('non Forest LUC'!$D14,6)=LEFT(Matrix!$CF$24,6),IF(LEFT('non Forest LUC'!$F14,6)=LEFT(Matrix!CG$24,6),'non Forest LUC'!$F36,0),0)</f>
        <v>0</v>
      </c>
      <c r="CH30" s="431">
        <f>IF(LEFT('non Forest LUC'!$D14,6)=LEFT(Matrix!$CF$24,6),IF(LEFT('non Forest LUC'!$F14,6)=LEFT(Matrix!CH$24,6),'non Forest LUC'!$F36,0),0)</f>
        <v>0</v>
      </c>
      <c r="CI30" s="431">
        <f>IF(LEFT('non Forest LUC'!$D14,6)=LEFT(Matrix!$CF$24,6),IF(LEFT('non Forest LUC'!$F14,6)=LEFT(Matrix!CI$24,6),'non Forest LUC'!$F36,0),0)</f>
        <v>0</v>
      </c>
      <c r="CJ30" s="431">
        <f>IF(LEFT('non Forest LUC'!$D14,6)=LEFT(Matrix!$CF$24,6),IF(LEFT('non Forest LUC'!$F14,6)=LEFT(Matrix!CJ$24,6),'non Forest LUC'!$F36,0),0)</f>
        <v>0</v>
      </c>
      <c r="CK30" s="431">
        <f>IF(LEFT('non Forest LUC'!$D14,6)=LEFT(Matrix!$CF$24,6),IF(LEFT('non Forest LUC'!$F14,6)=LEFT(Matrix!CK$24,6),'non Forest LUC'!$F36,0),0)</f>
        <v>0</v>
      </c>
      <c r="CL30" s="431">
        <f>IF(LEFT('non Forest LUC'!$D14,6)=LEFT(Matrix!$CF$24,6),IF(LEFT('non Forest LUC'!$F14,6)=LEFT(Matrix!CL$24,6),'non Forest LUC'!$F36,0),0)</f>
        <v>0</v>
      </c>
    </row>
    <row r="31" spans="2:93">
      <c r="B31" s="512"/>
      <c r="C31" s="483" t="s">
        <v>334</v>
      </c>
      <c r="D31" s="469"/>
      <c r="E31" s="515">
        <f>AM35</f>
        <v>0</v>
      </c>
      <c r="F31" s="484">
        <f>BS38</f>
        <v>0</v>
      </c>
      <c r="G31" s="485">
        <f>BT38</f>
        <v>0</v>
      </c>
      <c r="H31" s="486">
        <f>BU38</f>
        <v>0</v>
      </c>
      <c r="I31" s="487">
        <f>Grass!G43+Grass!G30+Grass!G32</f>
        <v>0</v>
      </c>
      <c r="J31" s="474">
        <f>BW38</f>
        <v>0</v>
      </c>
      <c r="K31" s="482">
        <f>BV38+BX38</f>
        <v>0</v>
      </c>
      <c r="L31" s="240"/>
      <c r="M31" s="465">
        <f t="shared" si="16"/>
        <v>0</v>
      </c>
      <c r="O31" s="242"/>
      <c r="P31" s="242"/>
      <c r="Q31" s="242"/>
      <c r="R31" s="242"/>
      <c r="S31" s="242"/>
      <c r="T31" s="242"/>
      <c r="U31" s="242"/>
      <c r="W31" s="437"/>
      <c r="X31" s="457">
        <f>IF(Deforestation!$I33=X$24,1,0)*Deforestation!$I48</f>
        <v>0</v>
      </c>
      <c r="Y31" s="457">
        <f>IF(Deforestation!$I33=Y$24,1,0)*Deforestation!$I48</f>
        <v>0</v>
      </c>
      <c r="Z31" s="457">
        <f>IF(Deforestation!$I33=Z$24,1,0)*Deforestation!$I48</f>
        <v>0</v>
      </c>
      <c r="AA31" s="457">
        <f>IF(Deforestation!$I33=AA$24,1,0)*Deforestation!$I48</f>
        <v>0</v>
      </c>
      <c r="AB31" s="457">
        <f>IF(Deforestation!$I33=AB$24,1,0)*Deforestation!$I48</f>
        <v>0</v>
      </c>
      <c r="AC31" s="457">
        <f>IF(Deforestation!$I33=AC$24,1,0)*Deforestation!$I48</f>
        <v>0</v>
      </c>
      <c r="AD31" s="457">
        <f>IF(Deforestation!$I33=AD$24,1,0)*Deforestation!$I48</f>
        <v>0</v>
      </c>
      <c r="AE31" s="457">
        <f>IF(Deforestation!$I33=AE$24,1,0)*Deforestation!$I48</f>
        <v>0</v>
      </c>
      <c r="AG31" s="439">
        <f>IF(AG$8='A-R'!$E33,'A-R'!$G48,0)</f>
        <v>0</v>
      </c>
      <c r="AH31" s="439">
        <f>IF(AH$8='A-R'!$E33,'A-R'!$G48,0)</f>
        <v>0</v>
      </c>
      <c r="AI31" s="439">
        <f>IF(AI$8='A-R'!$E33,'A-R'!$G48,0)</f>
        <v>0</v>
      </c>
      <c r="AJ31" s="439">
        <f>IF(AJ$8='A-R'!$E33,'A-R'!$G48,0)</f>
        <v>0</v>
      </c>
      <c r="AK31" s="439">
        <f>IF(AK$8='A-R'!$E33,'A-R'!$G48,0)</f>
        <v>0</v>
      </c>
      <c r="AL31" s="439">
        <f>IF(AL$8='A-R'!$E33,'A-R'!$G48,0)</f>
        <v>0</v>
      </c>
      <c r="AM31" s="439">
        <f>IF(AM$8='A-R'!$E33,'A-R'!$G48,0)</f>
        <v>0</v>
      </c>
      <c r="AN31" s="439">
        <f>IF(AN$8='A-R'!$E33,'A-R'!$G48,0)</f>
        <v>0</v>
      </c>
      <c r="AP31" s="442"/>
      <c r="AQ31" s="431">
        <f>IF(LEFT('non Forest LUC'!$D15,6)=LEFT(Matrix!$AP$24,6),IF(LEFT('non Forest LUC'!$F15,6)=LEFT(Matrix!AQ$24,6),'non Forest LUC'!$F37,0),0)</f>
        <v>0</v>
      </c>
      <c r="AR31" s="431">
        <f>IF(LEFT('non Forest LUC'!$D15,6)=LEFT(Matrix!$AP$24,6),IF(LEFT('non Forest LUC'!$F15,6)=LEFT(Matrix!AR$24,6),'non Forest LUC'!$F37,0),0)</f>
        <v>0</v>
      </c>
      <c r="AS31" s="431">
        <f>IF(LEFT('non Forest LUC'!$D15,6)=LEFT(Matrix!$AP$24,6),IF(LEFT('non Forest LUC'!$F15,6)=LEFT(Matrix!AS$24,6),'non Forest LUC'!$F37,0),0)</f>
        <v>0</v>
      </c>
      <c r="AT31" s="431">
        <f>IF(LEFT('non Forest LUC'!$D15,6)=LEFT(Matrix!$AP$24,6),IF(LEFT('non Forest LUC'!$F15,6)=LEFT(Matrix!AT$24,6),'non Forest LUC'!$F37,0),0)</f>
        <v>0</v>
      </c>
      <c r="AU31" s="431">
        <f>IF(LEFT('non Forest LUC'!$D15,6)=LEFT(Matrix!$AP$24,6),IF(LEFT('non Forest LUC'!$F15,6)=LEFT(Matrix!AU$24,6),'non Forest LUC'!$F37,0),0)</f>
        <v>0</v>
      </c>
      <c r="AV31" s="431">
        <f>IF(LEFT('non Forest LUC'!$D15,6)=LEFT(Matrix!$AP$24,6),IF(LEFT('non Forest LUC'!$F15,6)=LEFT(Matrix!AV$24,6),'non Forest LUC'!$F37,0),0)</f>
        <v>0</v>
      </c>
      <c r="AW31" s="442"/>
      <c r="AX31" s="431">
        <f>IF(LEFT('non Forest LUC'!$D15,6)=LEFT(Matrix!$AW$24,6),IF(LEFT('non Forest LUC'!$F15,6)=LEFT(Matrix!AX$24,6),'non Forest LUC'!$F37,0),0)</f>
        <v>0</v>
      </c>
      <c r="AY31" s="431">
        <f>IF(LEFT('non Forest LUC'!$D15,6)=LEFT(Matrix!$AW$24,6),IF(LEFT('non Forest LUC'!$F15,6)=LEFT(Matrix!AY$24,6),'non Forest LUC'!$F37,0),0)</f>
        <v>0</v>
      </c>
      <c r="AZ31" s="431">
        <f>IF(LEFT('non Forest LUC'!$D15,6)=LEFT(Matrix!$AW$24,6),IF(LEFT('non Forest LUC'!$F15,6)=LEFT(Matrix!AZ$24,6),'non Forest LUC'!$F37,0),0)</f>
        <v>0</v>
      </c>
      <c r="BA31" s="431">
        <f>IF(LEFT('non Forest LUC'!$D15,6)=LEFT(Matrix!$AW$24,6),IF(LEFT('non Forest LUC'!$F15,6)=LEFT(Matrix!BA$24,6),'non Forest LUC'!$F37,0),0)</f>
        <v>0</v>
      </c>
      <c r="BB31" s="431">
        <f>IF(LEFT('non Forest LUC'!$D15,6)=LEFT(Matrix!$AW$24,6),IF(LEFT('non Forest LUC'!$F15,6)=LEFT(Matrix!BB$24,6),'non Forest LUC'!$F37,0),0)</f>
        <v>0</v>
      </c>
      <c r="BC31" s="431">
        <f>IF(LEFT('non Forest LUC'!$D15,6)=LEFT(Matrix!$AW$24,6),IF(LEFT('non Forest LUC'!$F15,6)=LEFT(Matrix!BC$24,6),'non Forest LUC'!$F37,0),0)</f>
        <v>0</v>
      </c>
      <c r="BD31" s="442"/>
      <c r="BE31" s="431">
        <f>IF(LEFT('non Forest LUC'!$D15,6)=LEFT(Matrix!$BD$24,6),IF(LEFT('non Forest LUC'!$F15,6)=LEFT(Matrix!BE$24,6),'non Forest LUC'!$F37,0),0)</f>
        <v>0</v>
      </c>
      <c r="BF31" s="431">
        <f>IF(LEFT('non Forest LUC'!$D15,6)=LEFT(Matrix!$BD$24,6),IF(LEFT('non Forest LUC'!$F15,6)=LEFT(Matrix!BF$24,6),'non Forest LUC'!$F37,0),0)</f>
        <v>0</v>
      </c>
      <c r="BG31" s="431">
        <f>IF(LEFT('non Forest LUC'!$D15,6)=LEFT(Matrix!$BD$24,6),IF(LEFT('non Forest LUC'!$F15,6)=LEFT(Matrix!BG$24,6),'non Forest LUC'!$F37,0),0)</f>
        <v>0</v>
      </c>
      <c r="BH31" s="431">
        <f>IF(LEFT('non Forest LUC'!$D15,6)=LEFT(Matrix!$BD$24,6),IF(LEFT('non Forest LUC'!$F15,6)=LEFT(Matrix!BH$24,6),'non Forest LUC'!$F37,0),0)</f>
        <v>0</v>
      </c>
      <c r="BI31" s="431">
        <f>IF(LEFT('non Forest LUC'!$D15,6)=LEFT(Matrix!$BD$24,6),IF(LEFT('non Forest LUC'!$F15,6)=LEFT(Matrix!BI$24,6),'non Forest LUC'!$F37,0),0)</f>
        <v>0</v>
      </c>
      <c r="BJ31" s="431">
        <f>IF(LEFT('non Forest LUC'!$D15,6)=LEFT(Matrix!$BD$24,6),IF(LEFT('non Forest LUC'!$F15,6)=LEFT(Matrix!BJ$24,6),'non Forest LUC'!$F37,0),0)</f>
        <v>0</v>
      </c>
      <c r="BK31" s="442"/>
      <c r="BL31" s="431">
        <f>IF(LEFT('non Forest LUC'!$D15,6)=LEFT(Matrix!$BK$24,6),IF(LEFT('non Forest LUC'!$F15,6)=LEFT(Matrix!BL$24,6),'non Forest LUC'!$F37,0),0)</f>
        <v>0</v>
      </c>
      <c r="BM31" s="431">
        <f>IF(LEFT('non Forest LUC'!$D15,6)=LEFT(Matrix!$BK$24,6),IF(LEFT('non Forest LUC'!$F15,6)=LEFT(Matrix!BM$24,6),'non Forest LUC'!$F37,0),0)</f>
        <v>0</v>
      </c>
      <c r="BN31" s="431">
        <f>IF(LEFT('non Forest LUC'!$D15,6)=LEFT(Matrix!$BK$24,6),IF(LEFT('non Forest LUC'!$F15,6)=LEFT(Matrix!BN$24,6),'non Forest LUC'!$F37,0),0)</f>
        <v>0</v>
      </c>
      <c r="BO31" s="431">
        <f>IF(LEFT('non Forest LUC'!$D15,6)=LEFT(Matrix!$BK$24,6),IF(LEFT('non Forest LUC'!$F15,6)=LEFT(Matrix!BO$24,6),'non Forest LUC'!$F37,0),0)</f>
        <v>0</v>
      </c>
      <c r="BP31" s="431">
        <f>IF(LEFT('non Forest LUC'!$D15,6)=LEFT(Matrix!$BK$24,6),IF(LEFT('non Forest LUC'!$F15,6)=LEFT(Matrix!BP$24,6),'non Forest LUC'!$F37,0),0)</f>
        <v>0</v>
      </c>
      <c r="BQ31" s="431">
        <f>IF(LEFT('non Forest LUC'!$D15,6)=LEFT(Matrix!$BK$24,6),IF(LEFT('non Forest LUC'!$F15,6)=LEFT(Matrix!BQ$24,6),'non Forest LUC'!$F37,0),0)</f>
        <v>0</v>
      </c>
      <c r="BR31" s="442"/>
      <c r="BS31" s="431">
        <f>IF(LEFT('non Forest LUC'!$D15,6)=LEFT(Matrix!$BR$24,6),IF(LEFT('non Forest LUC'!$F15,6)=LEFT(Matrix!BS$24,6),'non Forest LUC'!$F37,0),0)</f>
        <v>0</v>
      </c>
      <c r="BT31" s="431">
        <f>IF(LEFT('non Forest LUC'!$D15,6)=LEFT(Matrix!$BR$24,6),IF(LEFT('non Forest LUC'!$F15,6)=LEFT(Matrix!BT$24,6),'non Forest LUC'!$F37,0),0)</f>
        <v>0</v>
      </c>
      <c r="BU31" s="431">
        <f>IF(LEFT('non Forest LUC'!$D15,6)=LEFT(Matrix!$BR$24,6),IF(LEFT('non Forest LUC'!$F15,6)=LEFT(Matrix!BU$24,6),'non Forest LUC'!$F37,0),0)</f>
        <v>0</v>
      </c>
      <c r="BV31" s="431">
        <f>IF(LEFT('non Forest LUC'!$D15,6)=LEFT(Matrix!$BR$24,6),IF(LEFT('non Forest LUC'!$F15,6)=LEFT(Matrix!BV$24,6),'non Forest LUC'!$F37,0),0)</f>
        <v>0</v>
      </c>
      <c r="BW31" s="431">
        <f>IF(LEFT('non Forest LUC'!$D15,6)=LEFT(Matrix!$BR$24,6),IF(LEFT('non Forest LUC'!$F15,6)=LEFT(Matrix!BW$24,6),'non Forest LUC'!$F37,0),0)</f>
        <v>0</v>
      </c>
      <c r="BX31" s="431">
        <f>IF(LEFT('non Forest LUC'!$D15,6)=LEFT(Matrix!$BR$24,6),IF(LEFT('non Forest LUC'!$F15,6)=LEFT(Matrix!BX$24,6),'non Forest LUC'!$F37,0),0)</f>
        <v>0</v>
      </c>
      <c r="BY31" s="442"/>
      <c r="BZ31" s="431">
        <f>IF(LEFT('non Forest LUC'!$D15,6)=LEFT(Matrix!$BY$24,6),IF(LEFT('non Forest LUC'!$F15,6)=LEFT(Matrix!BZ$24,6),'non Forest LUC'!$F37,0),0)</f>
        <v>0</v>
      </c>
      <c r="CA31" s="431">
        <f>IF(LEFT('non Forest LUC'!$D15,6)=LEFT(Matrix!$BY$24,6),IF(LEFT('non Forest LUC'!$F15,6)=LEFT(Matrix!CA$24,6),'non Forest LUC'!$F37,0),0)</f>
        <v>0</v>
      </c>
      <c r="CB31" s="431">
        <f>IF(LEFT('non Forest LUC'!$D15,6)=LEFT(Matrix!$BY$24,6),IF(LEFT('non Forest LUC'!$F15,6)=LEFT(Matrix!CB$24,6),'non Forest LUC'!$F37,0),0)</f>
        <v>0</v>
      </c>
      <c r="CC31" s="431">
        <f>IF(LEFT('non Forest LUC'!$D15,6)=LEFT(Matrix!$BY$24,6),IF(LEFT('non Forest LUC'!$F15,6)=LEFT(Matrix!CC$24,6),'non Forest LUC'!$F37,0),0)</f>
        <v>0</v>
      </c>
      <c r="CD31" s="431">
        <f>IF(LEFT('non Forest LUC'!$D15,6)=LEFT(Matrix!$BY$24,6),IF(LEFT('non Forest LUC'!$F15,6)=LEFT(Matrix!CD$24,6),'non Forest LUC'!$F37,0),0)</f>
        <v>0</v>
      </c>
      <c r="CE31" s="431">
        <f>IF(LEFT('non Forest LUC'!$D15,6)=LEFT(Matrix!$BY$24,6),IF(LEFT('non Forest LUC'!$F15,6)=LEFT(Matrix!CE$24,6),'non Forest LUC'!$F37,0),0)</f>
        <v>0</v>
      </c>
      <c r="CF31" s="442"/>
      <c r="CG31" s="431">
        <f>IF(LEFT('non Forest LUC'!$D15,6)=LEFT(Matrix!$CF$24,6),IF(LEFT('non Forest LUC'!$F15,6)=LEFT(Matrix!CG$24,6),'non Forest LUC'!$F37,0),0)</f>
        <v>0</v>
      </c>
      <c r="CH31" s="431">
        <f>IF(LEFT('non Forest LUC'!$D15,6)=LEFT(Matrix!$CF$24,6),IF(LEFT('non Forest LUC'!$F15,6)=LEFT(Matrix!CH$24,6),'non Forest LUC'!$F37,0),0)</f>
        <v>0</v>
      </c>
      <c r="CI31" s="431">
        <f>IF(LEFT('non Forest LUC'!$D15,6)=LEFT(Matrix!$CF$24,6),IF(LEFT('non Forest LUC'!$F15,6)=LEFT(Matrix!CI$24,6),'non Forest LUC'!$F37,0),0)</f>
        <v>0</v>
      </c>
      <c r="CJ31" s="431">
        <f>IF(LEFT('non Forest LUC'!$D15,6)=LEFT(Matrix!$CF$24,6),IF(LEFT('non Forest LUC'!$F15,6)=LEFT(Matrix!CJ$24,6),'non Forest LUC'!$F37,0),0)</f>
        <v>0</v>
      </c>
      <c r="CK31" s="431">
        <f>IF(LEFT('non Forest LUC'!$D15,6)=LEFT(Matrix!$CF$24,6),IF(LEFT('non Forest LUC'!$F15,6)=LEFT(Matrix!CK$24,6),'non Forest LUC'!$F37,0),0)</f>
        <v>0</v>
      </c>
      <c r="CL31" s="431">
        <f>IF(LEFT('non Forest LUC'!$D15,6)=LEFT(Matrix!$CF$24,6),IF(LEFT('non Forest LUC'!$F15,6)=LEFT(Matrix!CL$24,6),'non Forest LUC'!$F37,0),0)</f>
        <v>0</v>
      </c>
    </row>
    <row r="32" spans="2:93">
      <c r="B32" s="467"/>
      <c r="C32" s="483" t="s">
        <v>1107</v>
      </c>
      <c r="D32" s="488" t="s">
        <v>1207</v>
      </c>
      <c r="E32" s="478">
        <f>AN35</f>
        <v>0</v>
      </c>
      <c r="F32" s="479">
        <f>BZ38</f>
        <v>0</v>
      </c>
      <c r="G32" s="479">
        <f>CA38</f>
        <v>0</v>
      </c>
      <c r="H32" s="479">
        <f>CB38</f>
        <v>0</v>
      </c>
      <c r="I32" s="479">
        <f>CD38</f>
        <v>0</v>
      </c>
      <c r="J32" s="489">
        <f>MAX((SUM(E15:I15)+K15),(SUM(E32:I32)+K32))-(SUM(E32:I32)+K32)</f>
        <v>0</v>
      </c>
      <c r="K32" s="490">
        <f>CE38+CC38</f>
        <v>0</v>
      </c>
      <c r="L32" s="240"/>
      <c r="M32" s="465">
        <f t="shared" si="16"/>
        <v>0</v>
      </c>
      <c r="W32" s="437"/>
      <c r="X32" s="457">
        <f>IF(Deforestation!$I34=X$24,1,0)*Deforestation!$I49</f>
        <v>0</v>
      </c>
      <c r="Y32" s="457">
        <f>IF(Deforestation!$I34=Y$24,1,0)*Deforestation!$I49</f>
        <v>0</v>
      </c>
      <c r="Z32" s="457">
        <f>IF(Deforestation!$I34=Z$24,1,0)*Deforestation!$I49</f>
        <v>0</v>
      </c>
      <c r="AA32" s="457">
        <f>IF(Deforestation!$I34=AA$24,1,0)*Deforestation!$I49</f>
        <v>0</v>
      </c>
      <c r="AB32" s="457">
        <f>IF(Deforestation!$I34=AB$24,1,0)*Deforestation!$I49</f>
        <v>0</v>
      </c>
      <c r="AC32" s="457">
        <f>IF(Deforestation!$I34=AC$24,1,0)*Deforestation!$I49</f>
        <v>0</v>
      </c>
      <c r="AD32" s="457">
        <f>IF(Deforestation!$I34=AD$24,1,0)*Deforestation!$I49</f>
        <v>0</v>
      </c>
      <c r="AE32" s="457">
        <f>IF(Deforestation!$I34=AE$24,1,0)*Deforestation!$I49</f>
        <v>0</v>
      </c>
      <c r="AG32" s="439">
        <f>IF(AG$8='A-R'!$E34,'A-R'!$G49,0)</f>
        <v>0</v>
      </c>
      <c r="AH32" s="439">
        <f>IF(AH$8='A-R'!$E34,'A-R'!$G49,0)</f>
        <v>0</v>
      </c>
      <c r="AI32" s="439">
        <f>IF(AI$8='A-R'!$E34,'A-R'!$G49,0)</f>
        <v>0</v>
      </c>
      <c r="AJ32" s="439">
        <f>IF(AJ$8='A-R'!$E34,'A-R'!$G49,0)</f>
        <v>0</v>
      </c>
      <c r="AK32" s="439">
        <f>IF(AK$8='A-R'!$E34,'A-R'!$G49,0)</f>
        <v>0</v>
      </c>
      <c r="AL32" s="439">
        <f>IF(AL$8='A-R'!$E34,'A-R'!$G49,0)</f>
        <v>0</v>
      </c>
      <c r="AM32" s="439">
        <f>IF(AM$8='A-R'!$E34,'A-R'!$G49,0)</f>
        <v>0</v>
      </c>
      <c r="AN32" s="439">
        <f>IF(AN$8='A-R'!$E34,'A-R'!$G49,0)</f>
        <v>0</v>
      </c>
      <c r="AP32" s="442"/>
      <c r="AQ32" s="431">
        <f>IF(LEFT('non Forest LUC'!$D16,6)=LEFT(Matrix!$AP$24,6),IF(LEFT('non Forest LUC'!$F16,6)=LEFT(Matrix!AQ$24,6),'non Forest LUC'!$F38,0),0)</f>
        <v>0</v>
      </c>
      <c r="AR32" s="431">
        <f>IF(LEFT('non Forest LUC'!$D16,6)=LEFT(Matrix!$AP$24,6),IF(LEFT('non Forest LUC'!$F16,6)=LEFT(Matrix!AR$24,6),'non Forest LUC'!$F38,0),0)</f>
        <v>0</v>
      </c>
      <c r="AS32" s="431">
        <f>IF(LEFT('non Forest LUC'!$D16,6)=LEFT(Matrix!$AP$24,6),IF(LEFT('non Forest LUC'!$F16,6)=LEFT(Matrix!AS$24,6),'non Forest LUC'!$F38,0),0)</f>
        <v>0</v>
      </c>
      <c r="AT32" s="431">
        <f>IF(LEFT('non Forest LUC'!$D16,6)=LEFT(Matrix!$AP$24,6),IF(LEFT('non Forest LUC'!$F16,6)=LEFT(Matrix!AT$24,6),'non Forest LUC'!$F38,0),0)</f>
        <v>0</v>
      </c>
      <c r="AU32" s="431">
        <f>IF(LEFT('non Forest LUC'!$D16,6)=LEFT(Matrix!$AP$24,6),IF(LEFT('non Forest LUC'!$F16,6)=LEFT(Matrix!AU$24,6),'non Forest LUC'!$F38,0),0)</f>
        <v>0</v>
      </c>
      <c r="AV32" s="431">
        <f>IF(LEFT('non Forest LUC'!$D16,6)=LEFT(Matrix!$AP$24,6),IF(LEFT('non Forest LUC'!$F16,6)=LEFT(Matrix!AV$24,6),'non Forest LUC'!$F38,0),0)</f>
        <v>0</v>
      </c>
      <c r="AW32" s="442"/>
      <c r="AX32" s="431">
        <f>IF(LEFT('non Forest LUC'!$D16,6)=LEFT(Matrix!$AW$24,6),IF(LEFT('non Forest LUC'!$F16,6)=LEFT(Matrix!AX$24,6),'non Forest LUC'!$F38,0),0)</f>
        <v>0</v>
      </c>
      <c r="AY32" s="431">
        <f>IF(LEFT('non Forest LUC'!$D16,6)=LEFT(Matrix!$AW$24,6),IF(LEFT('non Forest LUC'!$F16,6)=LEFT(Matrix!AY$24,6),'non Forest LUC'!$F38,0),0)</f>
        <v>0</v>
      </c>
      <c r="AZ32" s="431">
        <f>IF(LEFT('non Forest LUC'!$D16,6)=LEFT(Matrix!$AW$24,6),IF(LEFT('non Forest LUC'!$F16,6)=LEFT(Matrix!AZ$24,6),'non Forest LUC'!$F38,0),0)</f>
        <v>0</v>
      </c>
      <c r="BA32" s="431">
        <f>IF(LEFT('non Forest LUC'!$D16,6)=LEFT(Matrix!$AW$24,6),IF(LEFT('non Forest LUC'!$F16,6)=LEFT(Matrix!BA$24,6),'non Forest LUC'!$F38,0),0)</f>
        <v>0</v>
      </c>
      <c r="BB32" s="431">
        <f>IF(LEFT('non Forest LUC'!$D16,6)=LEFT(Matrix!$AW$24,6),IF(LEFT('non Forest LUC'!$F16,6)=LEFT(Matrix!BB$24,6),'non Forest LUC'!$F38,0),0)</f>
        <v>0</v>
      </c>
      <c r="BC32" s="431">
        <f>IF(LEFT('non Forest LUC'!$D16,6)=LEFT(Matrix!$AW$24,6),IF(LEFT('non Forest LUC'!$F16,6)=LEFT(Matrix!BC$24,6),'non Forest LUC'!$F38,0),0)</f>
        <v>0</v>
      </c>
      <c r="BD32" s="442"/>
      <c r="BE32" s="431">
        <f>IF(LEFT('non Forest LUC'!$D16,6)=LEFT(Matrix!$BD$24,6),IF(LEFT('non Forest LUC'!$F16,6)=LEFT(Matrix!BE$24,6),'non Forest LUC'!$F38,0),0)</f>
        <v>0</v>
      </c>
      <c r="BF32" s="431">
        <f>IF(LEFT('non Forest LUC'!$D16,6)=LEFT(Matrix!$BD$24,6),IF(LEFT('non Forest LUC'!$F16,6)=LEFT(Matrix!BF$24,6),'non Forest LUC'!$F38,0),0)</f>
        <v>0</v>
      </c>
      <c r="BG32" s="431">
        <f>IF(LEFT('non Forest LUC'!$D16,6)=LEFT(Matrix!$BD$24,6),IF(LEFT('non Forest LUC'!$F16,6)=LEFT(Matrix!BG$24,6),'non Forest LUC'!$F38,0),0)</f>
        <v>0</v>
      </c>
      <c r="BH32" s="431">
        <f>IF(LEFT('non Forest LUC'!$D16,6)=LEFT(Matrix!$BD$24,6),IF(LEFT('non Forest LUC'!$F16,6)=LEFT(Matrix!BH$24,6),'non Forest LUC'!$F38,0),0)</f>
        <v>0</v>
      </c>
      <c r="BI32" s="431">
        <f>IF(LEFT('non Forest LUC'!$D16,6)=LEFT(Matrix!$BD$24,6),IF(LEFT('non Forest LUC'!$F16,6)=LEFT(Matrix!BI$24,6),'non Forest LUC'!$F38,0),0)</f>
        <v>0</v>
      </c>
      <c r="BJ32" s="431">
        <f>IF(LEFT('non Forest LUC'!$D16,6)=LEFT(Matrix!$BD$24,6),IF(LEFT('non Forest LUC'!$F16,6)=LEFT(Matrix!BJ$24,6),'non Forest LUC'!$F38,0),0)</f>
        <v>0</v>
      </c>
      <c r="BK32" s="442"/>
      <c r="BL32" s="431">
        <f>IF(LEFT('non Forest LUC'!$D16,6)=LEFT(Matrix!$BK$24,6),IF(LEFT('non Forest LUC'!$F16,6)=LEFT(Matrix!BL$24,6),'non Forest LUC'!$F38,0),0)</f>
        <v>0</v>
      </c>
      <c r="BM32" s="431">
        <f>IF(LEFT('non Forest LUC'!$D16,6)=LEFT(Matrix!$BK$24,6),IF(LEFT('non Forest LUC'!$F16,6)=LEFT(Matrix!BM$24,6),'non Forest LUC'!$F38,0),0)</f>
        <v>0</v>
      </c>
      <c r="BN32" s="431">
        <f>IF(LEFT('non Forest LUC'!$D16,6)=LEFT(Matrix!$BK$24,6),IF(LEFT('non Forest LUC'!$F16,6)=LEFT(Matrix!BN$24,6),'non Forest LUC'!$F38,0),0)</f>
        <v>0</v>
      </c>
      <c r="BO32" s="431">
        <f>IF(LEFT('non Forest LUC'!$D16,6)=LEFT(Matrix!$BK$24,6),IF(LEFT('non Forest LUC'!$F16,6)=LEFT(Matrix!BO$24,6),'non Forest LUC'!$F38,0),0)</f>
        <v>0</v>
      </c>
      <c r="BP32" s="431">
        <f>IF(LEFT('non Forest LUC'!$D16,6)=LEFT(Matrix!$BK$24,6),IF(LEFT('non Forest LUC'!$F16,6)=LEFT(Matrix!BP$24,6),'non Forest LUC'!$F38,0),0)</f>
        <v>0</v>
      </c>
      <c r="BQ32" s="431">
        <f>IF(LEFT('non Forest LUC'!$D16,6)=LEFT(Matrix!$BK$24,6),IF(LEFT('non Forest LUC'!$F16,6)=LEFT(Matrix!BQ$24,6),'non Forest LUC'!$F38,0),0)</f>
        <v>0</v>
      </c>
      <c r="BR32" s="442"/>
      <c r="BS32" s="431">
        <f>IF(LEFT('non Forest LUC'!$D16,6)=LEFT(Matrix!$BR$24,6),IF(LEFT('non Forest LUC'!$F16,6)=LEFT(Matrix!BS$24,6),'non Forest LUC'!$F38,0),0)</f>
        <v>0</v>
      </c>
      <c r="BT32" s="431">
        <f>IF(LEFT('non Forest LUC'!$D16,6)=LEFT(Matrix!$BR$24,6),IF(LEFT('non Forest LUC'!$F16,6)=LEFT(Matrix!BT$24,6),'non Forest LUC'!$F38,0),0)</f>
        <v>0</v>
      </c>
      <c r="BU32" s="431">
        <f>IF(LEFT('non Forest LUC'!$D16,6)=LEFT(Matrix!$BR$24,6),IF(LEFT('non Forest LUC'!$F16,6)=LEFT(Matrix!BU$24,6),'non Forest LUC'!$F38,0),0)</f>
        <v>0</v>
      </c>
      <c r="BV32" s="431">
        <f>IF(LEFT('non Forest LUC'!$D16,6)=LEFT(Matrix!$BR$24,6),IF(LEFT('non Forest LUC'!$F16,6)=LEFT(Matrix!BV$24,6),'non Forest LUC'!$F38,0),0)</f>
        <v>0</v>
      </c>
      <c r="BW32" s="431">
        <f>IF(LEFT('non Forest LUC'!$D16,6)=LEFT(Matrix!$BR$24,6),IF(LEFT('non Forest LUC'!$F16,6)=LEFT(Matrix!BW$24,6),'non Forest LUC'!$F38,0),0)</f>
        <v>0</v>
      </c>
      <c r="BX32" s="431">
        <f>IF(LEFT('non Forest LUC'!$D16,6)=LEFT(Matrix!$BR$24,6),IF(LEFT('non Forest LUC'!$F16,6)=LEFT(Matrix!BX$24,6),'non Forest LUC'!$F38,0),0)</f>
        <v>0</v>
      </c>
      <c r="BY32" s="442"/>
      <c r="BZ32" s="431">
        <f>IF(LEFT('non Forest LUC'!$D16,6)=LEFT(Matrix!$BY$24,6),IF(LEFT('non Forest LUC'!$F16,6)=LEFT(Matrix!BZ$24,6),'non Forest LUC'!$F38,0),0)</f>
        <v>0</v>
      </c>
      <c r="CA32" s="431">
        <f>IF(LEFT('non Forest LUC'!$D16,6)=LEFT(Matrix!$BY$24,6),IF(LEFT('non Forest LUC'!$F16,6)=LEFT(Matrix!CA$24,6),'non Forest LUC'!$F38,0),0)</f>
        <v>0</v>
      </c>
      <c r="CB32" s="431">
        <f>IF(LEFT('non Forest LUC'!$D16,6)=LEFT(Matrix!$BY$24,6),IF(LEFT('non Forest LUC'!$F16,6)=LEFT(Matrix!CB$24,6),'non Forest LUC'!$F38,0),0)</f>
        <v>0</v>
      </c>
      <c r="CC32" s="431">
        <f>IF(LEFT('non Forest LUC'!$D16,6)=LEFT(Matrix!$BY$24,6),IF(LEFT('non Forest LUC'!$F16,6)=LEFT(Matrix!CC$24,6),'non Forest LUC'!$F38,0),0)</f>
        <v>0</v>
      </c>
      <c r="CD32" s="431">
        <f>IF(LEFT('non Forest LUC'!$D16,6)=LEFT(Matrix!$BY$24,6),IF(LEFT('non Forest LUC'!$F16,6)=LEFT(Matrix!CD$24,6),'non Forest LUC'!$F38,0),0)</f>
        <v>0</v>
      </c>
      <c r="CE32" s="431">
        <f>IF(LEFT('non Forest LUC'!$D16,6)=LEFT(Matrix!$BY$24,6),IF(LEFT('non Forest LUC'!$F16,6)=LEFT(Matrix!CE$24,6),'non Forest LUC'!$F38,0),0)</f>
        <v>0</v>
      </c>
      <c r="CF32" s="442"/>
      <c r="CG32" s="431">
        <f>IF(LEFT('non Forest LUC'!$D16,6)=LEFT(Matrix!$CF$24,6),IF(LEFT('non Forest LUC'!$F16,6)=LEFT(Matrix!CG$24,6),'non Forest LUC'!$F38,0),0)</f>
        <v>0</v>
      </c>
      <c r="CH32" s="431">
        <f>IF(LEFT('non Forest LUC'!$D16,6)=LEFT(Matrix!$CF$24,6),IF(LEFT('non Forest LUC'!$F16,6)=LEFT(Matrix!CH$24,6),'non Forest LUC'!$F38,0),0)</f>
        <v>0</v>
      </c>
      <c r="CI32" s="431">
        <f>IF(LEFT('non Forest LUC'!$D16,6)=LEFT(Matrix!$CF$24,6),IF(LEFT('non Forest LUC'!$F16,6)=LEFT(Matrix!CI$24,6),'non Forest LUC'!$F38,0),0)</f>
        <v>0</v>
      </c>
      <c r="CJ32" s="431">
        <f>IF(LEFT('non Forest LUC'!$D16,6)=LEFT(Matrix!$CF$24,6),IF(LEFT('non Forest LUC'!$F16,6)=LEFT(Matrix!CJ$24,6),'non Forest LUC'!$F38,0),0)</f>
        <v>0</v>
      </c>
      <c r="CK32" s="431">
        <f>IF(LEFT('non Forest LUC'!$D16,6)=LEFT(Matrix!$CF$24,6),IF(LEFT('non Forest LUC'!$F16,6)=LEFT(Matrix!CK$24,6),'non Forest LUC'!$F38,0),0)</f>
        <v>0</v>
      </c>
      <c r="CL32" s="431">
        <f>IF(LEFT('non Forest LUC'!$D16,6)=LEFT(Matrix!$CF$24,6),IF(LEFT('non Forest LUC'!$F16,6)=LEFT(Matrix!CL$24,6),'non Forest LUC'!$F38,0),0)</f>
        <v>0</v>
      </c>
    </row>
    <row r="33" spans="2:91" ht="13.8" thickBot="1">
      <c r="B33" s="491"/>
      <c r="C33" s="452"/>
      <c r="D33" s="492" t="s">
        <v>393</v>
      </c>
      <c r="E33" s="493">
        <f>AL35</f>
        <v>0</v>
      </c>
      <c r="F33" s="494">
        <f>BL38+CG38</f>
        <v>0</v>
      </c>
      <c r="G33" s="494">
        <f>BM38+CH38</f>
        <v>0</v>
      </c>
      <c r="H33" s="494">
        <f>BN38+CI38</f>
        <v>0</v>
      </c>
      <c r="I33" s="494">
        <f>BO38+CK38</f>
        <v>0</v>
      </c>
      <c r="J33" s="494">
        <f>BP38+CL38</f>
        <v>0</v>
      </c>
      <c r="K33" s="459">
        <f>MAX(SUM(E16:J16),SUM(E33:J33))-SUM(E33:J33)</f>
        <v>0</v>
      </c>
      <c r="L33" s="240"/>
      <c r="M33" s="465">
        <f t="shared" si="16"/>
        <v>0</v>
      </c>
      <c r="W33" s="437"/>
      <c r="X33" s="457">
        <f>IF(Deforestation!$I35=X$24,1,0)*Deforestation!$I50</f>
        <v>0</v>
      </c>
      <c r="Y33" s="457">
        <f>IF(Deforestation!$I35=Y$24,1,0)*Deforestation!$I50</f>
        <v>0</v>
      </c>
      <c r="Z33" s="457">
        <f>IF(Deforestation!$I35=Z$24,1,0)*Deforestation!$I50</f>
        <v>0</v>
      </c>
      <c r="AA33" s="457">
        <f>IF(Deforestation!$I35=AA$24,1,0)*Deforestation!$I50</f>
        <v>0</v>
      </c>
      <c r="AB33" s="457">
        <f>IF(Deforestation!$I35=AB$24,1,0)*Deforestation!$I50</f>
        <v>0</v>
      </c>
      <c r="AC33" s="457">
        <f>IF(Deforestation!$I35=AC$24,1,0)*Deforestation!$I50</f>
        <v>0</v>
      </c>
      <c r="AD33" s="457">
        <f>IF(Deforestation!$I35=AD$24,1,0)*Deforestation!$I50</f>
        <v>0</v>
      </c>
      <c r="AE33" s="457">
        <f>IF(Deforestation!$I35=AE$24,1,0)*Deforestation!$I50</f>
        <v>0</v>
      </c>
      <c r="AG33" s="439">
        <f>IF(AG$8='A-R'!$E35,'A-R'!$G50,0)</f>
        <v>0</v>
      </c>
      <c r="AH33" s="439">
        <f>IF(AH$8='A-R'!$E35,'A-R'!$G50,0)</f>
        <v>0</v>
      </c>
      <c r="AI33" s="439">
        <f>IF(AI$8='A-R'!$E35,'A-R'!$G50,0)</f>
        <v>0</v>
      </c>
      <c r="AJ33" s="439">
        <f>IF(AJ$8='A-R'!$E35,'A-R'!$G50,0)</f>
        <v>0</v>
      </c>
      <c r="AK33" s="439">
        <f>IF(AK$8='A-R'!$E35,'A-R'!$G50,0)</f>
        <v>0</v>
      </c>
      <c r="AL33" s="439">
        <f>IF(AL$8='A-R'!$E35,'A-R'!$G50,0)</f>
        <v>0</v>
      </c>
      <c r="AM33" s="439">
        <f>IF(AM$8='A-R'!$E35,'A-R'!$G50,0)</f>
        <v>0</v>
      </c>
      <c r="AN33" s="439">
        <f>IF(AN$8='A-R'!$E35,'A-R'!$G50,0)</f>
        <v>0</v>
      </c>
      <c r="AP33" s="442"/>
      <c r="AQ33" s="431">
        <f>IF(LEFT('non Forest LUC'!$D17,6)=LEFT(Matrix!$AP$24,6),IF(LEFT('non Forest LUC'!$F17,6)=LEFT(Matrix!AQ$24,6),'non Forest LUC'!$F39,0),0)</f>
        <v>0</v>
      </c>
      <c r="AR33" s="431">
        <f>IF(LEFT('non Forest LUC'!$D17,6)=LEFT(Matrix!$AP$24,6),IF(LEFT('non Forest LUC'!$F17,6)=LEFT(Matrix!AR$24,6),'non Forest LUC'!$F39,0),0)</f>
        <v>0</v>
      </c>
      <c r="AS33" s="431">
        <f>IF(LEFT('non Forest LUC'!$D17,6)=LEFT(Matrix!$AP$24,6),IF(LEFT('non Forest LUC'!$F17,6)=LEFT(Matrix!AS$24,6),'non Forest LUC'!$F39,0),0)</f>
        <v>0</v>
      </c>
      <c r="AT33" s="431">
        <f>IF(LEFT('non Forest LUC'!$D17,6)=LEFT(Matrix!$AP$24,6),IF(LEFT('non Forest LUC'!$F17,6)=LEFT(Matrix!AT$24,6),'non Forest LUC'!$F39,0),0)</f>
        <v>0</v>
      </c>
      <c r="AU33" s="431">
        <f>IF(LEFT('non Forest LUC'!$D17,6)=LEFT(Matrix!$AP$24,6),IF(LEFT('non Forest LUC'!$F17,6)=LEFT(Matrix!AU$24,6),'non Forest LUC'!$F39,0),0)</f>
        <v>0</v>
      </c>
      <c r="AV33" s="431">
        <f>IF(LEFT('non Forest LUC'!$D17,6)=LEFT(Matrix!$AP$24,6),IF(LEFT('non Forest LUC'!$F17,6)=LEFT(Matrix!AV$24,6),'non Forest LUC'!$F39,0),0)</f>
        <v>0</v>
      </c>
      <c r="AW33" s="442"/>
      <c r="AX33" s="431">
        <f>IF(LEFT('non Forest LUC'!$D17,6)=LEFT(Matrix!$AW$24,6),IF(LEFT('non Forest LUC'!$F17,6)=LEFT(Matrix!AX$24,6),'non Forest LUC'!$F39,0),0)</f>
        <v>0</v>
      </c>
      <c r="AY33" s="431">
        <f>IF(LEFT('non Forest LUC'!$D17,6)=LEFT(Matrix!$AW$24,6),IF(LEFT('non Forest LUC'!$F17,6)=LEFT(Matrix!AY$24,6),'non Forest LUC'!$F39,0),0)</f>
        <v>0</v>
      </c>
      <c r="AZ33" s="431">
        <f>IF(LEFT('non Forest LUC'!$D17,6)=LEFT(Matrix!$AW$24,6),IF(LEFT('non Forest LUC'!$F17,6)=LEFT(Matrix!AZ$24,6),'non Forest LUC'!$F39,0),0)</f>
        <v>0</v>
      </c>
      <c r="BA33" s="431">
        <f>IF(LEFT('non Forest LUC'!$D17,6)=LEFT(Matrix!$AW$24,6),IF(LEFT('non Forest LUC'!$F17,6)=LEFT(Matrix!BA$24,6),'non Forest LUC'!$F39,0),0)</f>
        <v>0</v>
      </c>
      <c r="BB33" s="431">
        <f>IF(LEFT('non Forest LUC'!$D17,6)=LEFT(Matrix!$AW$24,6),IF(LEFT('non Forest LUC'!$F17,6)=LEFT(Matrix!BB$24,6),'non Forest LUC'!$F39,0),0)</f>
        <v>0</v>
      </c>
      <c r="BC33" s="431">
        <f>IF(LEFT('non Forest LUC'!$D17,6)=LEFT(Matrix!$AW$24,6),IF(LEFT('non Forest LUC'!$F17,6)=LEFT(Matrix!BC$24,6),'non Forest LUC'!$F39,0),0)</f>
        <v>0</v>
      </c>
      <c r="BD33" s="442"/>
      <c r="BE33" s="431">
        <f>IF(LEFT('non Forest LUC'!$D17,6)=LEFT(Matrix!$BD$24,6),IF(LEFT('non Forest LUC'!$F17,6)=LEFT(Matrix!BE$24,6),'non Forest LUC'!$F39,0),0)</f>
        <v>0</v>
      </c>
      <c r="BF33" s="431">
        <f>IF(LEFT('non Forest LUC'!$D17,6)=LEFT(Matrix!$BD$24,6),IF(LEFT('non Forest LUC'!$F17,6)=LEFT(Matrix!BF$24,6),'non Forest LUC'!$F39,0),0)</f>
        <v>0</v>
      </c>
      <c r="BG33" s="431">
        <f>IF(LEFT('non Forest LUC'!$D17,6)=LEFT(Matrix!$BD$24,6),IF(LEFT('non Forest LUC'!$F17,6)=LEFT(Matrix!BG$24,6),'non Forest LUC'!$F39,0),0)</f>
        <v>0</v>
      </c>
      <c r="BH33" s="431">
        <f>IF(LEFT('non Forest LUC'!$D17,6)=LEFT(Matrix!$BD$24,6),IF(LEFT('non Forest LUC'!$F17,6)=LEFT(Matrix!BH$24,6),'non Forest LUC'!$F39,0),0)</f>
        <v>0</v>
      </c>
      <c r="BI33" s="431">
        <f>IF(LEFT('non Forest LUC'!$D17,6)=LEFT(Matrix!$BD$24,6),IF(LEFT('non Forest LUC'!$F17,6)=LEFT(Matrix!BI$24,6),'non Forest LUC'!$F39,0),0)</f>
        <v>0</v>
      </c>
      <c r="BJ33" s="431">
        <f>IF(LEFT('non Forest LUC'!$D17,6)=LEFT(Matrix!$BD$24,6),IF(LEFT('non Forest LUC'!$F17,6)=LEFT(Matrix!BJ$24,6),'non Forest LUC'!$F39,0),0)</f>
        <v>0</v>
      </c>
      <c r="BK33" s="442"/>
      <c r="BL33" s="431">
        <f>IF(LEFT('non Forest LUC'!$D17,6)=LEFT(Matrix!$BK$24,6),IF(LEFT('non Forest LUC'!$F17,6)=LEFT(Matrix!BL$24,6),'non Forest LUC'!$F39,0),0)</f>
        <v>0</v>
      </c>
      <c r="BM33" s="431">
        <f>IF(LEFT('non Forest LUC'!$D17,6)=LEFT(Matrix!$BK$24,6),IF(LEFT('non Forest LUC'!$F17,6)=LEFT(Matrix!BM$24,6),'non Forest LUC'!$F39,0),0)</f>
        <v>0</v>
      </c>
      <c r="BN33" s="431">
        <f>IF(LEFT('non Forest LUC'!$D17,6)=LEFT(Matrix!$BK$24,6),IF(LEFT('non Forest LUC'!$F17,6)=LEFT(Matrix!BN$24,6),'non Forest LUC'!$F39,0),0)</f>
        <v>0</v>
      </c>
      <c r="BO33" s="431">
        <f>IF(LEFT('non Forest LUC'!$D17,6)=LEFT(Matrix!$BK$24,6),IF(LEFT('non Forest LUC'!$F17,6)=LEFT(Matrix!BO$24,6),'non Forest LUC'!$F39,0),0)</f>
        <v>0</v>
      </c>
      <c r="BP33" s="431">
        <f>IF(LEFT('non Forest LUC'!$D17,6)=LEFT(Matrix!$BK$24,6),IF(LEFT('non Forest LUC'!$F17,6)=LEFT(Matrix!BP$24,6),'non Forest LUC'!$F39,0),0)</f>
        <v>0</v>
      </c>
      <c r="BQ33" s="431">
        <f>IF(LEFT('non Forest LUC'!$D17,6)=LEFT(Matrix!$BK$24,6),IF(LEFT('non Forest LUC'!$F17,6)=LEFT(Matrix!BQ$24,6),'non Forest LUC'!$F39,0),0)</f>
        <v>0</v>
      </c>
      <c r="BR33" s="442"/>
      <c r="BS33" s="431">
        <f>IF(LEFT('non Forest LUC'!$D17,6)=LEFT(Matrix!$BR$24,6),IF(LEFT('non Forest LUC'!$F17,6)=LEFT(Matrix!BS$24,6),'non Forest LUC'!$F39,0),0)</f>
        <v>0</v>
      </c>
      <c r="BT33" s="431">
        <f>IF(LEFT('non Forest LUC'!$D17,6)=LEFT(Matrix!$BR$24,6),IF(LEFT('non Forest LUC'!$F17,6)=LEFT(Matrix!BT$24,6),'non Forest LUC'!$F39,0),0)</f>
        <v>0</v>
      </c>
      <c r="BU33" s="431">
        <f>IF(LEFT('non Forest LUC'!$D17,6)=LEFT(Matrix!$BR$24,6),IF(LEFT('non Forest LUC'!$F17,6)=LEFT(Matrix!BU$24,6),'non Forest LUC'!$F39,0),0)</f>
        <v>0</v>
      </c>
      <c r="BV33" s="431">
        <f>IF(LEFT('non Forest LUC'!$D17,6)=LEFT(Matrix!$BR$24,6),IF(LEFT('non Forest LUC'!$F17,6)=LEFT(Matrix!BV$24,6),'non Forest LUC'!$F39,0),0)</f>
        <v>0</v>
      </c>
      <c r="BW33" s="431">
        <f>IF(LEFT('non Forest LUC'!$D17,6)=LEFT(Matrix!$BR$24,6),IF(LEFT('non Forest LUC'!$F17,6)=LEFT(Matrix!BW$24,6),'non Forest LUC'!$F39,0),0)</f>
        <v>0</v>
      </c>
      <c r="BX33" s="431">
        <f>IF(LEFT('non Forest LUC'!$D17,6)=LEFT(Matrix!$BR$24,6),IF(LEFT('non Forest LUC'!$F17,6)=LEFT(Matrix!BX$24,6),'non Forest LUC'!$F39,0),0)</f>
        <v>0</v>
      </c>
      <c r="BY33" s="442"/>
      <c r="BZ33" s="431">
        <f>IF(LEFT('non Forest LUC'!$D17,6)=LEFT(Matrix!$BY$24,6),IF(LEFT('non Forest LUC'!$F17,6)=LEFT(Matrix!BZ$24,6),'non Forest LUC'!$F39,0),0)</f>
        <v>0</v>
      </c>
      <c r="CA33" s="431">
        <f>IF(LEFT('non Forest LUC'!$D17,6)=LEFT(Matrix!$BY$24,6),IF(LEFT('non Forest LUC'!$F17,6)=LEFT(Matrix!CA$24,6),'non Forest LUC'!$F39,0),0)</f>
        <v>0</v>
      </c>
      <c r="CB33" s="431">
        <f>IF(LEFT('non Forest LUC'!$D17,6)=LEFT(Matrix!$BY$24,6),IF(LEFT('non Forest LUC'!$F17,6)=LEFT(Matrix!CB$24,6),'non Forest LUC'!$F39,0),0)</f>
        <v>0</v>
      </c>
      <c r="CC33" s="431">
        <f>IF(LEFT('non Forest LUC'!$D17,6)=LEFT(Matrix!$BY$24,6),IF(LEFT('non Forest LUC'!$F17,6)=LEFT(Matrix!CC$24,6),'non Forest LUC'!$F39,0),0)</f>
        <v>0</v>
      </c>
      <c r="CD33" s="431">
        <f>IF(LEFT('non Forest LUC'!$D17,6)=LEFT(Matrix!$BY$24,6),IF(LEFT('non Forest LUC'!$F17,6)=LEFT(Matrix!CD$24,6),'non Forest LUC'!$F39,0),0)</f>
        <v>0</v>
      </c>
      <c r="CE33" s="431">
        <f>IF(LEFT('non Forest LUC'!$D17,6)=LEFT(Matrix!$BY$24,6),IF(LEFT('non Forest LUC'!$F17,6)=LEFT(Matrix!CE$24,6),'non Forest LUC'!$F39,0),0)</f>
        <v>0</v>
      </c>
      <c r="CF33" s="442"/>
      <c r="CG33" s="431">
        <f>IF(LEFT('non Forest LUC'!$D17,6)=LEFT(Matrix!$CF$24,6),IF(LEFT('non Forest LUC'!$F17,6)=LEFT(Matrix!CG$24,6),'non Forest LUC'!$F39,0),0)</f>
        <v>0</v>
      </c>
      <c r="CH33" s="431">
        <f>IF(LEFT('non Forest LUC'!$D17,6)=LEFT(Matrix!$CF$24,6),IF(LEFT('non Forest LUC'!$F17,6)=LEFT(Matrix!CH$24,6),'non Forest LUC'!$F39,0),0)</f>
        <v>0</v>
      </c>
      <c r="CI33" s="431">
        <f>IF(LEFT('non Forest LUC'!$D17,6)=LEFT(Matrix!$CF$24,6),IF(LEFT('non Forest LUC'!$F17,6)=LEFT(Matrix!CI$24,6),'non Forest LUC'!$F39,0),0)</f>
        <v>0</v>
      </c>
      <c r="CJ33" s="431">
        <f>IF(LEFT('non Forest LUC'!$D17,6)=LEFT(Matrix!$CF$24,6),IF(LEFT('non Forest LUC'!$F17,6)=LEFT(Matrix!CJ$24,6),'non Forest LUC'!$F39,0),0)</f>
        <v>0</v>
      </c>
      <c r="CK33" s="431">
        <f>IF(LEFT('non Forest LUC'!$D17,6)=LEFT(Matrix!$CF$24,6),IF(LEFT('non Forest LUC'!$F17,6)=LEFT(Matrix!CK$24,6),'non Forest LUC'!$F39,0),0)</f>
        <v>0</v>
      </c>
      <c r="CL33" s="431">
        <f>IF(LEFT('non Forest LUC'!$D17,6)=LEFT(Matrix!$CF$24,6),IF(LEFT('non Forest LUC'!$F17,6)=LEFT(Matrix!CL$24,6),'non Forest LUC'!$F39,0),0)</f>
        <v>0</v>
      </c>
    </row>
    <row r="34" spans="2:91">
      <c r="M34" s="233"/>
      <c r="W34" s="437"/>
      <c r="X34" s="457">
        <f>IF(Deforestation!$I36=X$24,1,0)*Deforestation!$I51</f>
        <v>0</v>
      </c>
      <c r="Y34" s="457">
        <f>IF(Deforestation!$I36=Y$24,1,0)*Deforestation!$I51</f>
        <v>0</v>
      </c>
      <c r="Z34" s="457">
        <f>IF(Deforestation!$I36=Z$24,1,0)*Deforestation!$I51</f>
        <v>0</v>
      </c>
      <c r="AA34" s="457">
        <f>IF(Deforestation!$I36=AA$24,1,0)*Deforestation!$I51</f>
        <v>0</v>
      </c>
      <c r="AB34" s="457">
        <f>IF(Deforestation!$I36=AB$24,1,0)*Deforestation!$I51</f>
        <v>0</v>
      </c>
      <c r="AC34" s="457">
        <f>IF(Deforestation!$I36=AC$24,1,0)*Deforestation!$I51</f>
        <v>0</v>
      </c>
      <c r="AD34" s="457">
        <f>IF(Deforestation!$I36=AD$24,1,0)*Deforestation!$I51</f>
        <v>0</v>
      </c>
      <c r="AE34" s="457">
        <f>IF(Deforestation!$I36=AE$24,1,0)*Deforestation!$I51</f>
        <v>0</v>
      </c>
      <c r="AG34" s="439">
        <f>IF(AG$8='A-R'!$E36,'A-R'!$G51,0)</f>
        <v>0</v>
      </c>
      <c r="AH34" s="439">
        <f>IF(AH$8='A-R'!$E36,'A-R'!$G51,0)</f>
        <v>0</v>
      </c>
      <c r="AI34" s="439">
        <f>IF(AI$8='A-R'!$E36,'A-R'!$G51,0)</f>
        <v>0</v>
      </c>
      <c r="AJ34" s="439">
        <f>IF(AJ$8='A-R'!$E36,'A-R'!$G51,0)</f>
        <v>0</v>
      </c>
      <c r="AK34" s="439">
        <f>IF(AK$8='A-R'!$E36,'A-R'!$G51,0)</f>
        <v>0</v>
      </c>
      <c r="AL34" s="439">
        <f>IF(AL$8='A-R'!$E36,'A-R'!$G51,0)</f>
        <v>0</v>
      </c>
      <c r="AM34" s="439">
        <f>IF(AM$8='A-R'!$E36,'A-R'!$G51,0)</f>
        <v>0</v>
      </c>
      <c r="AN34" s="439">
        <f>IF(AN$8='A-R'!$E36,'A-R'!$G51,0)</f>
        <v>0</v>
      </c>
      <c r="AP34" s="442"/>
      <c r="AQ34" s="431">
        <f>IF(LEFT('non Forest LUC'!$D18,6)=LEFT(Matrix!$AP$24,6),IF(LEFT('non Forest LUC'!$F18,6)=LEFT(Matrix!AQ$24,6),'non Forest LUC'!$F40,0),0)</f>
        <v>0</v>
      </c>
      <c r="AR34" s="431">
        <f>IF(LEFT('non Forest LUC'!$D18,6)=LEFT(Matrix!$AP$24,6),IF(LEFT('non Forest LUC'!$F18,6)=LEFT(Matrix!AR$24,6),'non Forest LUC'!$F40,0),0)</f>
        <v>0</v>
      </c>
      <c r="AS34" s="431">
        <f>IF(LEFT('non Forest LUC'!$D18,6)=LEFT(Matrix!$AP$24,6),IF(LEFT('non Forest LUC'!$F18,6)=LEFT(Matrix!AS$24,6),'non Forest LUC'!$F40,0),0)</f>
        <v>0</v>
      </c>
      <c r="AT34" s="431">
        <f>IF(LEFT('non Forest LUC'!$D18,6)=LEFT(Matrix!$AP$24,6),IF(LEFT('non Forest LUC'!$F18,6)=LEFT(Matrix!AT$24,6),'non Forest LUC'!$F40,0),0)</f>
        <v>0</v>
      </c>
      <c r="AU34" s="431">
        <f>IF(LEFT('non Forest LUC'!$D18,6)=LEFT(Matrix!$AP$24,6),IF(LEFT('non Forest LUC'!$F18,6)=LEFT(Matrix!AU$24,6),'non Forest LUC'!$F40,0),0)</f>
        <v>0</v>
      </c>
      <c r="AV34" s="431">
        <f>IF(LEFT('non Forest LUC'!$D18,6)=LEFT(Matrix!$AP$24,6),IF(LEFT('non Forest LUC'!$F18,6)=LEFT(Matrix!AV$24,6),'non Forest LUC'!$F40,0),0)</f>
        <v>0</v>
      </c>
      <c r="AW34" s="442"/>
      <c r="AX34" s="431">
        <f>IF(LEFT('non Forest LUC'!$D18,6)=LEFT(Matrix!$AW$24,6),IF(LEFT('non Forest LUC'!$F18,6)=LEFT(Matrix!AX$24,6),'non Forest LUC'!$F40,0),0)</f>
        <v>0</v>
      </c>
      <c r="AY34" s="431">
        <f>IF(LEFT('non Forest LUC'!$D18,6)=LEFT(Matrix!$AW$24,6),IF(LEFT('non Forest LUC'!$F18,6)=LEFT(Matrix!AY$24,6),'non Forest LUC'!$F40,0),0)</f>
        <v>0</v>
      </c>
      <c r="AZ34" s="431">
        <f>IF(LEFT('non Forest LUC'!$D18,6)=LEFT(Matrix!$AW$24,6),IF(LEFT('non Forest LUC'!$F18,6)=LEFT(Matrix!AZ$24,6),'non Forest LUC'!$F40,0),0)</f>
        <v>0</v>
      </c>
      <c r="BA34" s="431">
        <f>IF(LEFT('non Forest LUC'!$D18,6)=LEFT(Matrix!$AW$24,6),IF(LEFT('non Forest LUC'!$F18,6)=LEFT(Matrix!BA$24,6),'non Forest LUC'!$F40,0),0)</f>
        <v>0</v>
      </c>
      <c r="BB34" s="431">
        <f>IF(LEFT('non Forest LUC'!$D18,6)=LEFT(Matrix!$AW$24,6),IF(LEFT('non Forest LUC'!$F18,6)=LEFT(Matrix!BB$24,6),'non Forest LUC'!$F40,0),0)</f>
        <v>0</v>
      </c>
      <c r="BC34" s="431">
        <f>IF(LEFT('non Forest LUC'!$D18,6)=LEFT(Matrix!$AW$24,6),IF(LEFT('non Forest LUC'!$F18,6)=LEFT(Matrix!BC$24,6),'non Forest LUC'!$F40,0),0)</f>
        <v>0</v>
      </c>
      <c r="BD34" s="442"/>
      <c r="BE34" s="431">
        <f>IF(LEFT('non Forest LUC'!$D18,6)=LEFT(Matrix!$BD$24,6),IF(LEFT('non Forest LUC'!$F18,6)=LEFT(Matrix!BE$24,6),'non Forest LUC'!$F40,0),0)</f>
        <v>0</v>
      </c>
      <c r="BF34" s="431">
        <f>IF(LEFT('non Forest LUC'!$D18,6)=LEFT(Matrix!$BD$24,6),IF(LEFT('non Forest LUC'!$F18,6)=LEFT(Matrix!BF$24,6),'non Forest LUC'!$F40,0),0)</f>
        <v>0</v>
      </c>
      <c r="BG34" s="431">
        <f>IF(LEFT('non Forest LUC'!$D18,6)=LEFT(Matrix!$BD$24,6),IF(LEFT('non Forest LUC'!$F18,6)=LEFT(Matrix!BG$24,6),'non Forest LUC'!$F40,0),0)</f>
        <v>0</v>
      </c>
      <c r="BH34" s="431">
        <f>IF(LEFT('non Forest LUC'!$D18,6)=LEFT(Matrix!$BD$24,6),IF(LEFT('non Forest LUC'!$F18,6)=LEFT(Matrix!BH$24,6),'non Forest LUC'!$F40,0),0)</f>
        <v>0</v>
      </c>
      <c r="BI34" s="431">
        <f>IF(LEFT('non Forest LUC'!$D18,6)=LEFT(Matrix!$BD$24,6),IF(LEFT('non Forest LUC'!$F18,6)=LEFT(Matrix!BI$24,6),'non Forest LUC'!$F40,0),0)</f>
        <v>0</v>
      </c>
      <c r="BJ34" s="431">
        <f>IF(LEFT('non Forest LUC'!$D18,6)=LEFT(Matrix!$BD$24,6),IF(LEFT('non Forest LUC'!$F18,6)=LEFT(Matrix!BJ$24,6),'non Forest LUC'!$F40,0),0)</f>
        <v>0</v>
      </c>
      <c r="BK34" s="442"/>
      <c r="BL34" s="431">
        <f>IF(LEFT('non Forest LUC'!$D18,6)=LEFT(Matrix!$BK$24,6),IF(LEFT('non Forest LUC'!$F18,6)=LEFT(Matrix!BL$24,6),'non Forest LUC'!$F40,0),0)</f>
        <v>0</v>
      </c>
      <c r="BM34" s="431">
        <f>IF(LEFT('non Forest LUC'!$D18,6)=LEFT(Matrix!$BK$24,6),IF(LEFT('non Forest LUC'!$F18,6)=LEFT(Matrix!BM$24,6),'non Forest LUC'!$F40,0),0)</f>
        <v>0</v>
      </c>
      <c r="BN34" s="431">
        <f>IF(LEFT('non Forest LUC'!$D18,6)=LEFT(Matrix!$BK$24,6),IF(LEFT('non Forest LUC'!$F18,6)=LEFT(Matrix!BN$24,6),'non Forest LUC'!$F40,0),0)</f>
        <v>0</v>
      </c>
      <c r="BO34" s="431">
        <f>IF(LEFT('non Forest LUC'!$D18,6)=LEFT(Matrix!$BK$24,6),IF(LEFT('non Forest LUC'!$F18,6)=LEFT(Matrix!BO$24,6),'non Forest LUC'!$F40,0),0)</f>
        <v>0</v>
      </c>
      <c r="BP34" s="431">
        <f>IF(LEFT('non Forest LUC'!$D18,6)=LEFT(Matrix!$BK$24,6),IF(LEFT('non Forest LUC'!$F18,6)=LEFT(Matrix!BP$24,6),'non Forest LUC'!$F40,0),0)</f>
        <v>0</v>
      </c>
      <c r="BQ34" s="431">
        <f>IF(LEFT('non Forest LUC'!$D18,6)=LEFT(Matrix!$BK$24,6),IF(LEFT('non Forest LUC'!$F18,6)=LEFT(Matrix!BQ$24,6),'non Forest LUC'!$F40,0),0)</f>
        <v>0</v>
      </c>
      <c r="BR34" s="442"/>
      <c r="BS34" s="431">
        <f>IF(LEFT('non Forest LUC'!$D18,6)=LEFT(Matrix!$BR$24,6),IF(LEFT('non Forest LUC'!$F18,6)=LEFT(Matrix!BS$24,6),'non Forest LUC'!$F40,0),0)</f>
        <v>0</v>
      </c>
      <c r="BT34" s="431">
        <f>IF(LEFT('non Forest LUC'!$D18,6)=LEFT(Matrix!$BR$24,6),IF(LEFT('non Forest LUC'!$F18,6)=LEFT(Matrix!BT$24,6),'non Forest LUC'!$F40,0),0)</f>
        <v>0</v>
      </c>
      <c r="BU34" s="431">
        <f>IF(LEFT('non Forest LUC'!$D18,6)=LEFT(Matrix!$BR$24,6),IF(LEFT('non Forest LUC'!$F18,6)=LEFT(Matrix!BU$24,6),'non Forest LUC'!$F40,0),0)</f>
        <v>0</v>
      </c>
      <c r="BV34" s="431">
        <f>IF(LEFT('non Forest LUC'!$D18,6)=LEFT(Matrix!$BR$24,6),IF(LEFT('non Forest LUC'!$F18,6)=LEFT(Matrix!BV$24,6),'non Forest LUC'!$F40,0),0)</f>
        <v>0</v>
      </c>
      <c r="BW34" s="431">
        <f>IF(LEFT('non Forest LUC'!$D18,6)=LEFT(Matrix!$BR$24,6),IF(LEFT('non Forest LUC'!$F18,6)=LEFT(Matrix!BW$24,6),'non Forest LUC'!$F40,0),0)</f>
        <v>0</v>
      </c>
      <c r="BX34" s="431">
        <f>IF(LEFT('non Forest LUC'!$D18,6)=LEFT(Matrix!$BR$24,6),IF(LEFT('non Forest LUC'!$F18,6)=LEFT(Matrix!BX$24,6),'non Forest LUC'!$F40,0),0)</f>
        <v>0</v>
      </c>
      <c r="BY34" s="442"/>
      <c r="BZ34" s="431">
        <f>IF(LEFT('non Forest LUC'!$D18,6)=LEFT(Matrix!$BY$24,6),IF(LEFT('non Forest LUC'!$F18,6)=LEFT(Matrix!BZ$24,6),'non Forest LUC'!$F40,0),0)</f>
        <v>0</v>
      </c>
      <c r="CA34" s="431">
        <f>IF(LEFT('non Forest LUC'!$D18,6)=LEFT(Matrix!$BY$24,6),IF(LEFT('non Forest LUC'!$F18,6)=LEFT(Matrix!CA$24,6),'non Forest LUC'!$F40,0),0)</f>
        <v>0</v>
      </c>
      <c r="CB34" s="431">
        <f>IF(LEFT('non Forest LUC'!$D18,6)=LEFT(Matrix!$BY$24,6),IF(LEFT('non Forest LUC'!$F18,6)=LEFT(Matrix!CB$24,6),'non Forest LUC'!$F40,0),0)</f>
        <v>0</v>
      </c>
      <c r="CC34" s="431">
        <f>IF(LEFT('non Forest LUC'!$D18,6)=LEFT(Matrix!$BY$24,6),IF(LEFT('non Forest LUC'!$F18,6)=LEFT(Matrix!CC$24,6),'non Forest LUC'!$F40,0),0)</f>
        <v>0</v>
      </c>
      <c r="CD34" s="431">
        <f>IF(LEFT('non Forest LUC'!$D18,6)=LEFT(Matrix!$BY$24,6),IF(LEFT('non Forest LUC'!$F18,6)=LEFT(Matrix!CD$24,6),'non Forest LUC'!$F40,0),0)</f>
        <v>0</v>
      </c>
      <c r="CE34" s="431">
        <f>IF(LEFT('non Forest LUC'!$D18,6)=LEFT(Matrix!$BY$24,6),IF(LEFT('non Forest LUC'!$F18,6)=LEFT(Matrix!CE$24,6),'non Forest LUC'!$F40,0),0)</f>
        <v>0</v>
      </c>
      <c r="CF34" s="442"/>
      <c r="CG34" s="431">
        <f>IF(LEFT('non Forest LUC'!$D18,6)=LEFT(Matrix!$CF$24,6),IF(LEFT('non Forest LUC'!$F18,6)=LEFT(Matrix!CG$24,6),'non Forest LUC'!$F40,0),0)</f>
        <v>0</v>
      </c>
      <c r="CH34" s="431">
        <f>IF(LEFT('non Forest LUC'!$D18,6)=LEFT(Matrix!$CF$24,6),IF(LEFT('non Forest LUC'!$F18,6)=LEFT(Matrix!CH$24,6),'non Forest LUC'!$F40,0),0)</f>
        <v>0</v>
      </c>
      <c r="CI34" s="431">
        <f>IF(LEFT('non Forest LUC'!$D18,6)=LEFT(Matrix!$CF$24,6),IF(LEFT('non Forest LUC'!$F18,6)=LEFT(Matrix!CI$24,6),'non Forest LUC'!$F40,0),0)</f>
        <v>0</v>
      </c>
      <c r="CJ34" s="431">
        <f>IF(LEFT('non Forest LUC'!$D18,6)=LEFT(Matrix!$CF$24,6),IF(LEFT('non Forest LUC'!$F18,6)=LEFT(Matrix!CJ$24,6),'non Forest LUC'!$F40,0),0)</f>
        <v>0</v>
      </c>
      <c r="CK34" s="431">
        <f>IF(LEFT('non Forest LUC'!$D18,6)=LEFT(Matrix!$CF$24,6),IF(LEFT('non Forest LUC'!$F18,6)=LEFT(Matrix!CK$24,6),'non Forest LUC'!$F40,0),0)</f>
        <v>0</v>
      </c>
      <c r="CL34" s="431">
        <f>IF(LEFT('non Forest LUC'!$D18,6)=LEFT(Matrix!$CF$24,6),IF(LEFT('non Forest LUC'!$F18,6)=LEFT(Matrix!CL$24,6),'non Forest LUC'!$F40,0),0)</f>
        <v>0</v>
      </c>
    </row>
    <row r="35" spans="2:91">
      <c r="D35" s="495" t="s">
        <v>1118</v>
      </c>
      <c r="E35" s="496">
        <f t="shared" ref="E35:J35" si="17">SUM(E27:E33)</f>
        <v>0</v>
      </c>
      <c r="F35" s="496">
        <f t="shared" si="17"/>
        <v>0</v>
      </c>
      <c r="G35" s="496">
        <f t="shared" si="17"/>
        <v>0</v>
      </c>
      <c r="H35" s="496">
        <f>SUM(H27:H33)</f>
        <v>0</v>
      </c>
      <c r="I35" s="496">
        <f t="shared" si="17"/>
        <v>0</v>
      </c>
      <c r="J35" s="496">
        <f t="shared" si="17"/>
        <v>0</v>
      </c>
      <c r="K35" s="496">
        <f>SUM(K27:K33)</f>
        <v>0</v>
      </c>
      <c r="M35" s="496">
        <f>SUM(M27:M33)</f>
        <v>0</v>
      </c>
      <c r="W35" s="497" t="s">
        <v>531</v>
      </c>
      <c r="X35" s="497">
        <f t="shared" ref="X35:AE35" si="18">SUM(X25:X34)</f>
        <v>0</v>
      </c>
      <c r="Y35" s="497">
        <f t="shared" si="18"/>
        <v>0</v>
      </c>
      <c r="Z35" s="497">
        <f t="shared" si="18"/>
        <v>0</v>
      </c>
      <c r="AA35" s="497">
        <f t="shared" si="18"/>
        <v>0</v>
      </c>
      <c r="AB35" s="497">
        <f t="shared" si="18"/>
        <v>0</v>
      </c>
      <c r="AC35" s="497">
        <f t="shared" si="18"/>
        <v>0</v>
      </c>
      <c r="AD35" s="497">
        <f t="shared" si="18"/>
        <v>0</v>
      </c>
      <c r="AE35" s="497">
        <f t="shared" si="18"/>
        <v>0</v>
      </c>
      <c r="AG35" s="1621">
        <f>SUM(AG25:AG34)</f>
        <v>0</v>
      </c>
      <c r="AH35" s="1621">
        <f t="shared" ref="AH35:AN35" si="19">SUM(AH25:AH34)</f>
        <v>0</v>
      </c>
      <c r="AI35" s="1621">
        <f t="shared" si="19"/>
        <v>0</v>
      </c>
      <c r="AJ35" s="1621">
        <f t="shared" si="19"/>
        <v>0</v>
      </c>
      <c r="AK35" s="1621">
        <f t="shared" si="19"/>
        <v>0</v>
      </c>
      <c r="AL35" s="1621">
        <f t="shared" si="19"/>
        <v>0</v>
      </c>
      <c r="AM35" s="1621">
        <f t="shared" si="19"/>
        <v>0</v>
      </c>
      <c r="AN35" s="1621">
        <f t="shared" si="19"/>
        <v>0</v>
      </c>
      <c r="AP35" s="442"/>
      <c r="AQ35" s="431">
        <f>IF(LEFT('non Forest LUC'!$D19,6)=LEFT(Matrix!$AP$24,6),IF(LEFT('non Forest LUC'!$F19,6)=LEFT(Matrix!AQ$24,6),'non Forest LUC'!$F41,0),0)</f>
        <v>0</v>
      </c>
      <c r="AR35" s="431">
        <f>IF(LEFT('non Forest LUC'!$D19,6)=LEFT(Matrix!$AP$24,6),IF(LEFT('non Forest LUC'!$F19,6)=LEFT(Matrix!AR$24,6),'non Forest LUC'!$F41,0),0)</f>
        <v>0</v>
      </c>
      <c r="AS35" s="431">
        <f>IF(LEFT('non Forest LUC'!$D19,6)=LEFT(Matrix!$AP$24,6),IF(LEFT('non Forest LUC'!$F19,6)=LEFT(Matrix!AS$24,6),'non Forest LUC'!$F41,0),0)</f>
        <v>0</v>
      </c>
      <c r="AT35" s="431">
        <f>IF(LEFT('non Forest LUC'!$D19,6)=LEFT(Matrix!$AP$24,6),IF(LEFT('non Forest LUC'!$F19,6)=LEFT(Matrix!AT$24,6),'non Forest LUC'!$F41,0),0)</f>
        <v>0</v>
      </c>
      <c r="AU35" s="431">
        <f>IF(LEFT('non Forest LUC'!$D19,6)=LEFT(Matrix!$AP$24,6),IF(LEFT('non Forest LUC'!$F19,6)=LEFT(Matrix!AU$24,6),'non Forest LUC'!$F41,0),0)</f>
        <v>0</v>
      </c>
      <c r="AV35" s="431">
        <f>IF(LEFT('non Forest LUC'!$D19,6)=LEFT(Matrix!$AP$24,6),IF(LEFT('non Forest LUC'!$F19,6)=LEFT(Matrix!AV$24,6),'non Forest LUC'!$F41,0),0)</f>
        <v>0</v>
      </c>
      <c r="AW35" s="442"/>
      <c r="AX35" s="431">
        <f>IF(LEFT('non Forest LUC'!$D19,6)=LEFT(Matrix!$AW$24,6),IF(LEFT('non Forest LUC'!$F19,6)=LEFT(Matrix!AX$24,6),'non Forest LUC'!$F41,0),0)</f>
        <v>0</v>
      </c>
      <c r="AY35" s="431">
        <f>IF(LEFT('non Forest LUC'!$D19,6)=LEFT(Matrix!$AW$24,6),IF(LEFT('non Forest LUC'!$F19,6)=LEFT(Matrix!AY$24,6),'non Forest LUC'!$F41,0),0)</f>
        <v>0</v>
      </c>
      <c r="AZ35" s="431">
        <f>IF(LEFT('non Forest LUC'!$D19,6)=LEFT(Matrix!$AW$24,6),IF(LEFT('non Forest LUC'!$F19,6)=LEFT(Matrix!AZ$24,6),'non Forest LUC'!$F41,0),0)</f>
        <v>0</v>
      </c>
      <c r="BA35" s="431">
        <f>IF(LEFT('non Forest LUC'!$D19,6)=LEFT(Matrix!$AW$24,6),IF(LEFT('non Forest LUC'!$F19,6)=LEFT(Matrix!BA$24,6),'non Forest LUC'!$F41,0),0)</f>
        <v>0</v>
      </c>
      <c r="BB35" s="431">
        <f>IF(LEFT('non Forest LUC'!$D19,6)=LEFT(Matrix!$AW$24,6),IF(LEFT('non Forest LUC'!$F19,6)=LEFT(Matrix!BB$24,6),'non Forest LUC'!$F41,0),0)</f>
        <v>0</v>
      </c>
      <c r="BC35" s="431">
        <f>IF(LEFT('non Forest LUC'!$D19,6)=LEFT(Matrix!$AW$24,6),IF(LEFT('non Forest LUC'!$F19,6)=LEFT(Matrix!BC$24,6),'non Forest LUC'!$F41,0),0)</f>
        <v>0</v>
      </c>
      <c r="BD35" s="442"/>
      <c r="BE35" s="431">
        <f>IF(LEFT('non Forest LUC'!$D19,6)=LEFT(Matrix!$BD$24,6),IF(LEFT('non Forest LUC'!$F19,6)=LEFT(Matrix!BE$24,6),'non Forest LUC'!$F41,0),0)</f>
        <v>0</v>
      </c>
      <c r="BF35" s="431">
        <f>IF(LEFT('non Forest LUC'!$D19,6)=LEFT(Matrix!$BD$24,6),IF(LEFT('non Forest LUC'!$F19,6)=LEFT(Matrix!BF$24,6),'non Forest LUC'!$F41,0),0)</f>
        <v>0</v>
      </c>
      <c r="BG35" s="431">
        <f>IF(LEFT('non Forest LUC'!$D19,6)=LEFT(Matrix!$BD$24,6),IF(LEFT('non Forest LUC'!$F19,6)=LEFT(Matrix!BG$24,6),'non Forest LUC'!$F41,0),0)</f>
        <v>0</v>
      </c>
      <c r="BH35" s="431">
        <f>IF(LEFT('non Forest LUC'!$D19,6)=LEFT(Matrix!$BD$24,6),IF(LEFT('non Forest LUC'!$F19,6)=LEFT(Matrix!BH$24,6),'non Forest LUC'!$F41,0),0)</f>
        <v>0</v>
      </c>
      <c r="BI35" s="431">
        <f>IF(LEFT('non Forest LUC'!$D19,6)=LEFT(Matrix!$BD$24,6),IF(LEFT('non Forest LUC'!$F19,6)=LEFT(Matrix!BI$24,6),'non Forest LUC'!$F41,0),0)</f>
        <v>0</v>
      </c>
      <c r="BJ35" s="431">
        <f>IF(LEFT('non Forest LUC'!$D19,6)=LEFT(Matrix!$BD$24,6),IF(LEFT('non Forest LUC'!$F19,6)=LEFT(Matrix!BJ$24,6),'non Forest LUC'!$F41,0),0)</f>
        <v>0</v>
      </c>
      <c r="BK35" s="442"/>
      <c r="BL35" s="431">
        <f>IF(LEFT('non Forest LUC'!$D19,6)=LEFT(Matrix!$BK$24,6),IF(LEFT('non Forest LUC'!$F19,6)=LEFT(Matrix!BL$24,6),'non Forest LUC'!$F41,0),0)</f>
        <v>0</v>
      </c>
      <c r="BM35" s="431">
        <f>IF(LEFT('non Forest LUC'!$D19,6)=LEFT(Matrix!$BK$24,6),IF(LEFT('non Forest LUC'!$F19,6)=LEFT(Matrix!BM$24,6),'non Forest LUC'!$F41,0),0)</f>
        <v>0</v>
      </c>
      <c r="BN35" s="431">
        <f>IF(LEFT('non Forest LUC'!$D19,6)=LEFT(Matrix!$BK$24,6),IF(LEFT('non Forest LUC'!$F19,6)=LEFT(Matrix!BN$24,6),'non Forest LUC'!$F41,0),0)</f>
        <v>0</v>
      </c>
      <c r="BO35" s="431">
        <f>IF(LEFT('non Forest LUC'!$D19,6)=LEFT(Matrix!$BK$24,6),IF(LEFT('non Forest LUC'!$F19,6)=LEFT(Matrix!BO$24,6),'non Forest LUC'!$F41,0),0)</f>
        <v>0</v>
      </c>
      <c r="BP35" s="431">
        <f>IF(LEFT('non Forest LUC'!$D19,6)=LEFT(Matrix!$BK$24,6),IF(LEFT('non Forest LUC'!$F19,6)=LEFT(Matrix!BP$24,6),'non Forest LUC'!$F41,0),0)</f>
        <v>0</v>
      </c>
      <c r="BQ35" s="431">
        <f>IF(LEFT('non Forest LUC'!$D19,6)=LEFT(Matrix!$BK$24,6),IF(LEFT('non Forest LUC'!$F19,6)=LEFT(Matrix!BQ$24,6),'non Forest LUC'!$F41,0),0)</f>
        <v>0</v>
      </c>
      <c r="BR35" s="442"/>
      <c r="BS35" s="431">
        <f>IF(LEFT('non Forest LUC'!$D19,6)=LEFT(Matrix!$BR$24,6),IF(LEFT('non Forest LUC'!$F19,6)=LEFT(Matrix!BS$24,6),'non Forest LUC'!$F41,0),0)</f>
        <v>0</v>
      </c>
      <c r="BT35" s="431">
        <f>IF(LEFT('non Forest LUC'!$D19,6)=LEFT(Matrix!$BR$24,6),IF(LEFT('non Forest LUC'!$F19,6)=LEFT(Matrix!BT$24,6),'non Forest LUC'!$F41,0),0)</f>
        <v>0</v>
      </c>
      <c r="BU35" s="431">
        <f>IF(LEFT('non Forest LUC'!$D19,6)=LEFT(Matrix!$BR$24,6),IF(LEFT('non Forest LUC'!$F19,6)=LEFT(Matrix!BU$24,6),'non Forest LUC'!$F41,0),0)</f>
        <v>0</v>
      </c>
      <c r="BV35" s="431">
        <f>IF(LEFT('non Forest LUC'!$D19,6)=LEFT(Matrix!$BR$24,6),IF(LEFT('non Forest LUC'!$F19,6)=LEFT(Matrix!BV$24,6),'non Forest LUC'!$F41,0),0)</f>
        <v>0</v>
      </c>
      <c r="BW35" s="431">
        <f>IF(LEFT('non Forest LUC'!$D19,6)=LEFT(Matrix!$BR$24,6),IF(LEFT('non Forest LUC'!$F19,6)=LEFT(Matrix!BW$24,6),'non Forest LUC'!$F41,0),0)</f>
        <v>0</v>
      </c>
      <c r="BX35" s="431">
        <f>IF(LEFT('non Forest LUC'!$D19,6)=LEFT(Matrix!$BR$24,6),IF(LEFT('non Forest LUC'!$F19,6)=LEFT(Matrix!BX$24,6),'non Forest LUC'!$F41,0),0)</f>
        <v>0</v>
      </c>
      <c r="BY35" s="442"/>
      <c r="BZ35" s="431">
        <f>IF(LEFT('non Forest LUC'!$D19,6)=LEFT(Matrix!$BY$24,6),IF(LEFT('non Forest LUC'!$F19,6)=LEFT(Matrix!BZ$24,6),'non Forest LUC'!$F41,0),0)</f>
        <v>0</v>
      </c>
      <c r="CA35" s="431">
        <f>IF(LEFT('non Forest LUC'!$D19,6)=LEFT(Matrix!$BY$24,6),IF(LEFT('non Forest LUC'!$F19,6)=LEFT(Matrix!CA$24,6),'non Forest LUC'!$F41,0),0)</f>
        <v>0</v>
      </c>
      <c r="CB35" s="431">
        <f>IF(LEFT('non Forest LUC'!$D19,6)=LEFT(Matrix!$BY$24,6),IF(LEFT('non Forest LUC'!$F19,6)=LEFT(Matrix!CB$24,6),'non Forest LUC'!$F41,0),0)</f>
        <v>0</v>
      </c>
      <c r="CC35" s="431">
        <f>IF(LEFT('non Forest LUC'!$D19,6)=LEFT(Matrix!$BY$24,6),IF(LEFT('non Forest LUC'!$F19,6)=LEFT(Matrix!CC$24,6),'non Forest LUC'!$F41,0),0)</f>
        <v>0</v>
      </c>
      <c r="CD35" s="431">
        <f>IF(LEFT('non Forest LUC'!$D19,6)=LEFT(Matrix!$BY$24,6),IF(LEFT('non Forest LUC'!$F19,6)=LEFT(Matrix!CD$24,6),'non Forest LUC'!$F41,0),0)</f>
        <v>0</v>
      </c>
      <c r="CE35" s="431">
        <f>IF(LEFT('non Forest LUC'!$D19,6)=LEFT(Matrix!$BY$24,6),IF(LEFT('non Forest LUC'!$F19,6)=LEFT(Matrix!CE$24,6),'non Forest LUC'!$F41,0),0)</f>
        <v>0</v>
      </c>
      <c r="CF35" s="442"/>
      <c r="CG35" s="431">
        <f>IF(LEFT('non Forest LUC'!$D19,6)=LEFT(Matrix!$CF$24,6),IF(LEFT('non Forest LUC'!$F19,6)=LEFT(Matrix!CG$24,6),'non Forest LUC'!$F41,0),0)</f>
        <v>0</v>
      </c>
      <c r="CH35" s="431">
        <f>IF(LEFT('non Forest LUC'!$D19,6)=LEFT(Matrix!$CF$24,6),IF(LEFT('non Forest LUC'!$F19,6)=LEFT(Matrix!CH$24,6),'non Forest LUC'!$F41,0),0)</f>
        <v>0</v>
      </c>
      <c r="CI35" s="431">
        <f>IF(LEFT('non Forest LUC'!$D19,6)=LEFT(Matrix!$CF$24,6),IF(LEFT('non Forest LUC'!$F19,6)=LEFT(Matrix!CI$24,6),'non Forest LUC'!$F41,0),0)</f>
        <v>0</v>
      </c>
      <c r="CJ35" s="431">
        <f>IF(LEFT('non Forest LUC'!$D19,6)=LEFT(Matrix!$CF$24,6),IF(LEFT('non Forest LUC'!$F19,6)=LEFT(Matrix!CJ$24,6),'non Forest LUC'!$F41,0),0)</f>
        <v>0</v>
      </c>
      <c r="CK35" s="431">
        <f>IF(LEFT('non Forest LUC'!$D19,6)=LEFT(Matrix!$CF$24,6),IF(LEFT('non Forest LUC'!$F19,6)=LEFT(Matrix!CK$24,6),'non Forest LUC'!$F41,0),0)</f>
        <v>0</v>
      </c>
      <c r="CL35" s="431">
        <f>IF(LEFT('non Forest LUC'!$D19,6)=LEFT(Matrix!$CF$24,6),IF(LEFT('non Forest LUC'!$F19,6)=LEFT(Matrix!CL$24,6),'non Forest LUC'!$F41,0),0)</f>
        <v>0</v>
      </c>
    </row>
    <row r="36" spans="2:91">
      <c r="AP36" s="442"/>
      <c r="AQ36" s="431">
        <f>IF(LEFT('non Forest LUC'!$D20,6)=LEFT(Matrix!$AP$24,6),IF(LEFT('non Forest LUC'!$F20,6)=LEFT(Matrix!AQ$24,6),'non Forest LUC'!$F42,0),0)</f>
        <v>0</v>
      </c>
      <c r="AR36" s="431">
        <f>IF(LEFT('non Forest LUC'!$D20,6)=LEFT(Matrix!$AP$24,6),IF(LEFT('non Forest LUC'!$F20,6)=LEFT(Matrix!AR$24,6),'non Forest LUC'!$F42,0),0)</f>
        <v>0</v>
      </c>
      <c r="AS36" s="431">
        <f>IF(LEFT('non Forest LUC'!$D20,6)=LEFT(Matrix!$AP$24,6),IF(LEFT('non Forest LUC'!$F20,6)=LEFT(Matrix!AS$24,6),'non Forest LUC'!$F42,0),0)</f>
        <v>0</v>
      </c>
      <c r="AT36" s="431">
        <f>IF(LEFT('non Forest LUC'!$D20,6)=LEFT(Matrix!$AP$24,6),IF(LEFT('non Forest LUC'!$F20,6)=LEFT(Matrix!AT$24,6),'non Forest LUC'!$F42,0),0)</f>
        <v>0</v>
      </c>
      <c r="AU36" s="431">
        <f>IF(LEFT('non Forest LUC'!$D20,6)=LEFT(Matrix!$AP$24,6),IF(LEFT('non Forest LUC'!$F20,6)=LEFT(Matrix!AU$24,6),'non Forest LUC'!$F42,0),0)</f>
        <v>0</v>
      </c>
      <c r="AV36" s="431">
        <f>IF(LEFT('non Forest LUC'!$D20,6)=LEFT(Matrix!$AP$24,6),IF(LEFT('non Forest LUC'!$F20,6)=LEFT(Matrix!AV$24,6),'non Forest LUC'!$F42,0),0)</f>
        <v>0</v>
      </c>
      <c r="AW36" s="442"/>
      <c r="AX36" s="431">
        <f>IF(LEFT('non Forest LUC'!$D20,6)=LEFT(Matrix!$AW$24,6),IF(LEFT('non Forest LUC'!$F20,6)=LEFT(Matrix!AX$24,6),'non Forest LUC'!$F42,0),0)</f>
        <v>0</v>
      </c>
      <c r="AY36" s="431">
        <f>IF(LEFT('non Forest LUC'!$D20,6)=LEFT(Matrix!$AW$24,6),IF(LEFT('non Forest LUC'!$F20,6)=LEFT(Matrix!AY$24,6),'non Forest LUC'!$F42,0),0)</f>
        <v>0</v>
      </c>
      <c r="AZ36" s="431">
        <f>IF(LEFT('non Forest LUC'!$D20,6)=LEFT(Matrix!$AW$24,6),IF(LEFT('non Forest LUC'!$F20,6)=LEFT(Matrix!AZ$24,6),'non Forest LUC'!$F42,0),0)</f>
        <v>0</v>
      </c>
      <c r="BA36" s="431">
        <f>IF(LEFT('non Forest LUC'!$D20,6)=LEFT(Matrix!$AW$24,6),IF(LEFT('non Forest LUC'!$F20,6)=LEFT(Matrix!BA$24,6),'non Forest LUC'!$F42,0),0)</f>
        <v>0</v>
      </c>
      <c r="BB36" s="431">
        <f>IF(LEFT('non Forest LUC'!$D20,6)=LEFT(Matrix!$AW$24,6),IF(LEFT('non Forest LUC'!$F20,6)=LEFT(Matrix!BB$24,6),'non Forest LUC'!$F42,0),0)</f>
        <v>0</v>
      </c>
      <c r="BC36" s="431">
        <f>IF(LEFT('non Forest LUC'!$D20,6)=LEFT(Matrix!$AW$24,6),IF(LEFT('non Forest LUC'!$F20,6)=LEFT(Matrix!BC$24,6),'non Forest LUC'!$F42,0),0)</f>
        <v>0</v>
      </c>
      <c r="BD36" s="442"/>
      <c r="BE36" s="431">
        <f>IF(LEFT('non Forest LUC'!$D20,6)=LEFT(Matrix!$BD$24,6),IF(LEFT('non Forest LUC'!$F20,6)=LEFT(Matrix!BE$24,6),'non Forest LUC'!$F42,0),0)</f>
        <v>0</v>
      </c>
      <c r="BF36" s="431">
        <f>IF(LEFT('non Forest LUC'!$D20,6)=LEFT(Matrix!$BD$24,6),IF(LEFT('non Forest LUC'!$F20,6)=LEFT(Matrix!BF$24,6),'non Forest LUC'!$F42,0),0)</f>
        <v>0</v>
      </c>
      <c r="BG36" s="431">
        <f>IF(LEFT('non Forest LUC'!$D20,6)=LEFT(Matrix!$BD$24,6),IF(LEFT('non Forest LUC'!$F20,6)=LEFT(Matrix!BG$24,6),'non Forest LUC'!$F42,0),0)</f>
        <v>0</v>
      </c>
      <c r="BH36" s="431">
        <f>IF(LEFT('non Forest LUC'!$D20,6)=LEFT(Matrix!$BD$24,6),IF(LEFT('non Forest LUC'!$F20,6)=LEFT(Matrix!BH$24,6),'non Forest LUC'!$F42,0),0)</f>
        <v>0</v>
      </c>
      <c r="BI36" s="431">
        <f>IF(LEFT('non Forest LUC'!$D20,6)=LEFT(Matrix!$BD$24,6),IF(LEFT('non Forest LUC'!$F20,6)=LEFT(Matrix!BI$24,6),'non Forest LUC'!$F42,0),0)</f>
        <v>0</v>
      </c>
      <c r="BJ36" s="431">
        <f>IF(LEFT('non Forest LUC'!$D20,6)=LEFT(Matrix!$BD$24,6),IF(LEFT('non Forest LUC'!$F20,6)=LEFT(Matrix!BJ$24,6),'non Forest LUC'!$F42,0),0)</f>
        <v>0</v>
      </c>
      <c r="BK36" s="442"/>
      <c r="BL36" s="431">
        <f>IF(LEFT('non Forest LUC'!$D20,6)=LEFT(Matrix!$BK$24,6),IF(LEFT('non Forest LUC'!$F20,6)=LEFT(Matrix!BL$24,6),'non Forest LUC'!$F42,0),0)</f>
        <v>0</v>
      </c>
      <c r="BM36" s="431">
        <f>IF(LEFT('non Forest LUC'!$D20,6)=LEFT(Matrix!$BK$24,6),IF(LEFT('non Forest LUC'!$F20,6)=LEFT(Matrix!BM$24,6),'non Forest LUC'!$F42,0),0)</f>
        <v>0</v>
      </c>
      <c r="BN36" s="431">
        <f>IF(LEFT('non Forest LUC'!$D20,6)=LEFT(Matrix!$BK$24,6),IF(LEFT('non Forest LUC'!$F20,6)=LEFT(Matrix!BN$24,6),'non Forest LUC'!$F42,0),0)</f>
        <v>0</v>
      </c>
      <c r="BO36" s="431">
        <f>IF(LEFT('non Forest LUC'!$D20,6)=LEFT(Matrix!$BK$24,6),IF(LEFT('non Forest LUC'!$F20,6)=LEFT(Matrix!BO$24,6),'non Forest LUC'!$F42,0),0)</f>
        <v>0</v>
      </c>
      <c r="BP36" s="431">
        <f>IF(LEFT('non Forest LUC'!$D20,6)=LEFT(Matrix!$BK$24,6),IF(LEFT('non Forest LUC'!$F20,6)=LEFT(Matrix!BP$24,6),'non Forest LUC'!$F42,0),0)</f>
        <v>0</v>
      </c>
      <c r="BQ36" s="431">
        <f>IF(LEFT('non Forest LUC'!$D20,6)=LEFT(Matrix!$BK$24,6),IF(LEFT('non Forest LUC'!$F20,6)=LEFT(Matrix!BQ$24,6),'non Forest LUC'!$F42,0),0)</f>
        <v>0</v>
      </c>
      <c r="BR36" s="442"/>
      <c r="BS36" s="431">
        <f>IF(LEFT('non Forest LUC'!$D20,6)=LEFT(Matrix!$BR$24,6),IF(LEFT('non Forest LUC'!$F20,6)=LEFT(Matrix!BS$24,6),'non Forest LUC'!$F42,0),0)</f>
        <v>0</v>
      </c>
      <c r="BT36" s="431">
        <f>IF(LEFT('non Forest LUC'!$D20,6)=LEFT(Matrix!$BR$24,6),IF(LEFT('non Forest LUC'!$F20,6)=LEFT(Matrix!BT$24,6),'non Forest LUC'!$F42,0),0)</f>
        <v>0</v>
      </c>
      <c r="BU36" s="431">
        <f>IF(LEFT('non Forest LUC'!$D20,6)=LEFT(Matrix!$BR$24,6),IF(LEFT('non Forest LUC'!$F20,6)=LEFT(Matrix!BU$24,6),'non Forest LUC'!$F42,0),0)</f>
        <v>0</v>
      </c>
      <c r="BV36" s="431">
        <f>IF(LEFT('non Forest LUC'!$D20,6)=LEFT(Matrix!$BR$24,6),IF(LEFT('non Forest LUC'!$F20,6)=LEFT(Matrix!BV$24,6),'non Forest LUC'!$F42,0),0)</f>
        <v>0</v>
      </c>
      <c r="BW36" s="431">
        <f>IF(LEFT('non Forest LUC'!$D20,6)=LEFT(Matrix!$BR$24,6),IF(LEFT('non Forest LUC'!$F20,6)=LEFT(Matrix!BW$24,6),'non Forest LUC'!$F42,0),0)</f>
        <v>0</v>
      </c>
      <c r="BX36" s="431">
        <f>IF(LEFT('non Forest LUC'!$D20,6)=LEFT(Matrix!$BR$24,6),IF(LEFT('non Forest LUC'!$F20,6)=LEFT(Matrix!BX$24,6),'non Forest LUC'!$F42,0),0)</f>
        <v>0</v>
      </c>
      <c r="BY36" s="442"/>
      <c r="BZ36" s="431">
        <f>IF(LEFT('non Forest LUC'!$D20,6)=LEFT(Matrix!$BY$24,6),IF(LEFT('non Forest LUC'!$F20,6)=LEFT(Matrix!BZ$24,6),'non Forest LUC'!$F42,0),0)</f>
        <v>0</v>
      </c>
      <c r="CA36" s="431">
        <f>IF(LEFT('non Forest LUC'!$D20,6)=LEFT(Matrix!$BY$24,6),IF(LEFT('non Forest LUC'!$F20,6)=LEFT(Matrix!CA$24,6),'non Forest LUC'!$F42,0),0)</f>
        <v>0</v>
      </c>
      <c r="CB36" s="431">
        <f>IF(LEFT('non Forest LUC'!$D20,6)=LEFT(Matrix!$BY$24,6),IF(LEFT('non Forest LUC'!$F20,6)=LEFT(Matrix!CB$24,6),'non Forest LUC'!$F42,0),0)</f>
        <v>0</v>
      </c>
      <c r="CC36" s="431">
        <f>IF(LEFT('non Forest LUC'!$D20,6)=LEFT(Matrix!$BY$24,6),IF(LEFT('non Forest LUC'!$F20,6)=LEFT(Matrix!CC$24,6),'non Forest LUC'!$F42,0),0)</f>
        <v>0</v>
      </c>
      <c r="CD36" s="431">
        <f>IF(LEFT('non Forest LUC'!$D20,6)=LEFT(Matrix!$BY$24,6),IF(LEFT('non Forest LUC'!$F20,6)=LEFT(Matrix!CD$24,6),'non Forest LUC'!$F42,0),0)</f>
        <v>0</v>
      </c>
      <c r="CE36" s="431">
        <f>IF(LEFT('non Forest LUC'!$D20,6)=LEFT(Matrix!$BY$24,6),IF(LEFT('non Forest LUC'!$F20,6)=LEFT(Matrix!CE$24,6),'non Forest LUC'!$F42,0),0)</f>
        <v>0</v>
      </c>
      <c r="CF36" s="442"/>
      <c r="CG36" s="431">
        <f>IF(LEFT('non Forest LUC'!$D20,6)=LEFT(Matrix!$CF$24,6),IF(LEFT('non Forest LUC'!$F20,6)=LEFT(Matrix!CG$24,6),'non Forest LUC'!$F42,0),0)</f>
        <v>0</v>
      </c>
      <c r="CH36" s="431">
        <f>IF(LEFT('non Forest LUC'!$D20,6)=LEFT(Matrix!$CF$24,6),IF(LEFT('non Forest LUC'!$F20,6)=LEFT(Matrix!CH$24,6),'non Forest LUC'!$F42,0),0)</f>
        <v>0</v>
      </c>
      <c r="CI36" s="431">
        <f>IF(LEFT('non Forest LUC'!$D20,6)=LEFT(Matrix!$CF$24,6),IF(LEFT('non Forest LUC'!$F20,6)=LEFT(Matrix!CI$24,6),'non Forest LUC'!$F42,0),0)</f>
        <v>0</v>
      </c>
      <c r="CJ36" s="431">
        <f>IF(LEFT('non Forest LUC'!$D20,6)=LEFT(Matrix!$CF$24,6),IF(LEFT('non Forest LUC'!$F20,6)=LEFT(Matrix!CJ$24,6),'non Forest LUC'!$F42,0),0)</f>
        <v>0</v>
      </c>
      <c r="CK36" s="431">
        <f>IF(LEFT('non Forest LUC'!$D20,6)=LEFT(Matrix!$CF$24,6),IF(LEFT('non Forest LUC'!$F20,6)=LEFT(Matrix!CK$24,6),'non Forest LUC'!$F42,0),0)</f>
        <v>0</v>
      </c>
      <c r="CL36" s="431">
        <f>IF(LEFT('non Forest LUC'!$D20,6)=LEFT(Matrix!$CF$24,6),IF(LEFT('non Forest LUC'!$F20,6)=LEFT(Matrix!CL$24,6),'non Forest LUC'!$F42,0),0)</f>
        <v>0</v>
      </c>
    </row>
    <row r="37" spans="2:91">
      <c r="J37" s="1619"/>
      <c r="K37" s="1620" t="s">
        <v>272</v>
      </c>
      <c r="M37" s="496">
        <f>'Organic Soils'!S45</f>
        <v>0</v>
      </c>
      <c r="AP37" s="498"/>
      <c r="AQ37" s="431">
        <f>IF(LEFT('non Forest LUC'!$D21,6)=LEFT(Matrix!$AP$24,6),IF(LEFT('non Forest LUC'!$F21,6)=LEFT(Matrix!AQ$24,6),'non Forest LUC'!$F43,0),0)</f>
        <v>0</v>
      </c>
      <c r="AR37" s="431">
        <f>IF(LEFT('non Forest LUC'!$D21,6)=LEFT(Matrix!$AP$24,6),IF(LEFT('non Forest LUC'!$F21,6)=LEFT(Matrix!AR$24,6),'non Forest LUC'!$F43,0),0)</f>
        <v>0</v>
      </c>
      <c r="AS37" s="431">
        <f>IF(LEFT('non Forest LUC'!$D21,6)=LEFT(Matrix!$AP$24,6),IF(LEFT('non Forest LUC'!$F21,6)=LEFT(Matrix!AS$24,6),'non Forest LUC'!$F43,0),0)</f>
        <v>0</v>
      </c>
      <c r="AT37" s="431">
        <f>IF(LEFT('non Forest LUC'!$D21,6)=LEFT(Matrix!$AP$24,6),IF(LEFT('non Forest LUC'!$F21,6)=LEFT(Matrix!AT$24,6),'non Forest LUC'!$F43,0),0)</f>
        <v>0</v>
      </c>
      <c r="AU37" s="431">
        <f>IF(LEFT('non Forest LUC'!$D21,6)=LEFT(Matrix!$AP$24,6),IF(LEFT('non Forest LUC'!$F21,6)=LEFT(Matrix!AU$24,6),'non Forest LUC'!$F43,0),0)</f>
        <v>0</v>
      </c>
      <c r="AV37" s="431">
        <f>IF(LEFT('non Forest LUC'!$D21,6)=LEFT(Matrix!$AP$24,6),IF(LEFT('non Forest LUC'!$F21,6)=LEFT(Matrix!AV$24,6),'non Forest LUC'!$F43,0),0)</f>
        <v>0</v>
      </c>
      <c r="AW37" s="442"/>
      <c r="AX37" s="431">
        <f>IF(LEFT('non Forest LUC'!$D21,6)=LEFT(Matrix!$AW$24,6),IF(LEFT('non Forest LUC'!$F21,6)=LEFT(Matrix!AX$24,6),'non Forest LUC'!$F43,0),0)</f>
        <v>0</v>
      </c>
      <c r="AY37" s="431">
        <f>IF(LEFT('non Forest LUC'!$D21,6)=LEFT(Matrix!$AW$24,6),IF(LEFT('non Forest LUC'!$F21,6)=LEFT(Matrix!AY$24,6),'non Forest LUC'!$F43,0),0)</f>
        <v>0</v>
      </c>
      <c r="AZ37" s="431">
        <f>IF(LEFT('non Forest LUC'!$D21,6)=LEFT(Matrix!$AW$24,6),IF(LEFT('non Forest LUC'!$F21,6)=LEFT(Matrix!AZ$24,6),'non Forest LUC'!$F43,0),0)</f>
        <v>0</v>
      </c>
      <c r="BA37" s="431">
        <f>IF(LEFT('non Forest LUC'!$D21,6)=LEFT(Matrix!$AW$24,6),IF(LEFT('non Forest LUC'!$F21,6)=LEFT(Matrix!BA$24,6),'non Forest LUC'!$F43,0),0)</f>
        <v>0</v>
      </c>
      <c r="BB37" s="431">
        <f>IF(LEFT('non Forest LUC'!$D21,6)=LEFT(Matrix!$AW$24,6),IF(LEFT('non Forest LUC'!$F21,6)=LEFT(Matrix!BB$24,6),'non Forest LUC'!$F43,0),0)</f>
        <v>0</v>
      </c>
      <c r="BC37" s="431">
        <f>IF(LEFT('non Forest LUC'!$D21,6)=LEFT(Matrix!$AW$24,6),IF(LEFT('non Forest LUC'!$F21,6)=LEFT(Matrix!BC$24,6),'non Forest LUC'!$F43,0),0)</f>
        <v>0</v>
      </c>
      <c r="BD37" s="442"/>
      <c r="BE37" s="431">
        <f>IF(LEFT('non Forest LUC'!$D21,6)=LEFT(Matrix!$BD$24,6),IF(LEFT('non Forest LUC'!$F21,6)=LEFT(Matrix!BE$24,6),'non Forest LUC'!$F43,0),0)</f>
        <v>0</v>
      </c>
      <c r="BF37" s="431">
        <f>IF(LEFT('non Forest LUC'!$D21,6)=LEFT(Matrix!$BD$24,6),IF(LEFT('non Forest LUC'!$F21,6)=LEFT(Matrix!BF$24,6),'non Forest LUC'!$F43,0),0)</f>
        <v>0</v>
      </c>
      <c r="BG37" s="431">
        <f>IF(LEFT('non Forest LUC'!$D21,6)=LEFT(Matrix!$BD$24,6),IF(LEFT('non Forest LUC'!$F21,6)=LEFT(Matrix!BG$24,6),'non Forest LUC'!$F43,0),0)</f>
        <v>0</v>
      </c>
      <c r="BH37" s="431">
        <f>IF(LEFT('non Forest LUC'!$D21,6)=LEFT(Matrix!$BD$24,6),IF(LEFT('non Forest LUC'!$F21,6)=LEFT(Matrix!BH$24,6),'non Forest LUC'!$F43,0),0)</f>
        <v>0</v>
      </c>
      <c r="BI37" s="431">
        <f>IF(LEFT('non Forest LUC'!$D21,6)=LEFT(Matrix!$BD$24,6),IF(LEFT('non Forest LUC'!$F21,6)=LEFT(Matrix!BI$24,6),'non Forest LUC'!$F43,0),0)</f>
        <v>0</v>
      </c>
      <c r="BJ37" s="431">
        <f>IF(LEFT('non Forest LUC'!$D21,6)=LEFT(Matrix!$BD$24,6),IF(LEFT('non Forest LUC'!$F21,6)=LEFT(Matrix!BJ$24,6),'non Forest LUC'!$F43,0),0)</f>
        <v>0</v>
      </c>
      <c r="BK37" s="442"/>
      <c r="BL37" s="431">
        <f>IF(LEFT('non Forest LUC'!$D21,6)=LEFT(Matrix!$BK$24,6),IF(LEFT('non Forest LUC'!$F21,6)=LEFT(Matrix!BL$24,6),'non Forest LUC'!$F43,0),0)</f>
        <v>0</v>
      </c>
      <c r="BM37" s="431">
        <f>IF(LEFT('non Forest LUC'!$D21,6)=LEFT(Matrix!$BK$24,6),IF(LEFT('non Forest LUC'!$F21,6)=LEFT(Matrix!BM$24,6),'non Forest LUC'!$F43,0),0)</f>
        <v>0</v>
      </c>
      <c r="BN37" s="431">
        <f>IF(LEFT('non Forest LUC'!$D21,6)=LEFT(Matrix!$BK$24,6),IF(LEFT('non Forest LUC'!$F21,6)=LEFT(Matrix!BN$24,6),'non Forest LUC'!$F43,0),0)</f>
        <v>0</v>
      </c>
      <c r="BO37" s="431">
        <f>IF(LEFT('non Forest LUC'!$D21,6)=LEFT(Matrix!$BK$24,6),IF(LEFT('non Forest LUC'!$F21,6)=LEFT(Matrix!BO$24,6),'non Forest LUC'!$F43,0),0)</f>
        <v>0</v>
      </c>
      <c r="BP37" s="431">
        <f>IF(LEFT('non Forest LUC'!$D21,6)=LEFT(Matrix!$BK$24,6),IF(LEFT('non Forest LUC'!$F21,6)=LEFT(Matrix!BP$24,6),'non Forest LUC'!$F43,0),0)</f>
        <v>0</v>
      </c>
      <c r="BQ37" s="431">
        <f>IF(LEFT('non Forest LUC'!$D21,6)=LEFT(Matrix!$BK$24,6),IF(LEFT('non Forest LUC'!$F21,6)=LEFT(Matrix!BQ$24,6),'non Forest LUC'!$F43,0),0)</f>
        <v>0</v>
      </c>
      <c r="BR37" s="442"/>
      <c r="BS37" s="431">
        <f>IF(LEFT('non Forest LUC'!$D21,6)=LEFT(Matrix!$BR$24,6),IF(LEFT('non Forest LUC'!$F21,6)=LEFT(Matrix!BS$24,6),'non Forest LUC'!$F43,0),0)</f>
        <v>0</v>
      </c>
      <c r="BT37" s="431">
        <f>IF(LEFT('non Forest LUC'!$D21,6)=LEFT(Matrix!$BR$24,6),IF(LEFT('non Forest LUC'!$F21,6)=LEFT(Matrix!BT$24,6),'non Forest LUC'!$F43,0),0)</f>
        <v>0</v>
      </c>
      <c r="BU37" s="431">
        <f>IF(LEFT('non Forest LUC'!$D21,6)=LEFT(Matrix!$BR$24,6),IF(LEFT('non Forest LUC'!$F21,6)=LEFT(Matrix!BU$24,6),'non Forest LUC'!$F43,0),0)</f>
        <v>0</v>
      </c>
      <c r="BV37" s="431">
        <f>IF(LEFT('non Forest LUC'!$D21,6)=LEFT(Matrix!$BR$24,6),IF(LEFT('non Forest LUC'!$F21,6)=LEFT(Matrix!BV$24,6),'non Forest LUC'!$F43,0),0)</f>
        <v>0</v>
      </c>
      <c r="BW37" s="431">
        <f>IF(LEFT('non Forest LUC'!$D21,6)=LEFT(Matrix!$BR$24,6),IF(LEFT('non Forest LUC'!$F21,6)=LEFT(Matrix!BW$24,6),'non Forest LUC'!$F43,0),0)</f>
        <v>0</v>
      </c>
      <c r="BX37" s="431">
        <f>IF(LEFT('non Forest LUC'!$D21,6)=LEFT(Matrix!$BR$24,6),IF(LEFT('non Forest LUC'!$F21,6)=LEFT(Matrix!BX$24,6),'non Forest LUC'!$F43,0),0)</f>
        <v>0</v>
      </c>
      <c r="BY37" s="442"/>
      <c r="BZ37" s="431">
        <f>IF(LEFT('non Forest LUC'!$D21,6)=LEFT(Matrix!$BY$24,6),IF(LEFT('non Forest LUC'!$F21,6)=LEFT(Matrix!BZ$24,6),'non Forest LUC'!$F43,0),0)</f>
        <v>0</v>
      </c>
      <c r="CA37" s="431">
        <f>IF(LEFT('non Forest LUC'!$D21,6)=LEFT(Matrix!$BY$24,6),IF(LEFT('non Forest LUC'!$F21,6)=LEFT(Matrix!CA$24,6),'non Forest LUC'!$F43,0),0)</f>
        <v>0</v>
      </c>
      <c r="CB37" s="431">
        <f>IF(LEFT('non Forest LUC'!$D21,6)=LEFT(Matrix!$BY$24,6),IF(LEFT('non Forest LUC'!$F21,6)=LEFT(Matrix!CB$24,6),'non Forest LUC'!$F43,0),0)</f>
        <v>0</v>
      </c>
      <c r="CC37" s="431">
        <f>IF(LEFT('non Forest LUC'!$D21,6)=LEFT(Matrix!$BY$24,6),IF(LEFT('non Forest LUC'!$F21,6)=LEFT(Matrix!CC$24,6),'non Forest LUC'!$F43,0),0)</f>
        <v>0</v>
      </c>
      <c r="CD37" s="431">
        <f>IF(LEFT('non Forest LUC'!$D21,6)=LEFT(Matrix!$BY$24,6),IF(LEFT('non Forest LUC'!$F21,6)=LEFT(Matrix!CD$24,6),'non Forest LUC'!$F43,0),0)</f>
        <v>0</v>
      </c>
      <c r="CE37" s="431">
        <f>IF(LEFT('non Forest LUC'!$D21,6)=LEFT(Matrix!$BY$24,6),IF(LEFT('non Forest LUC'!$F21,6)=LEFT(Matrix!CE$24,6),'non Forest LUC'!$F43,0),0)</f>
        <v>0</v>
      </c>
      <c r="CF37" s="442"/>
      <c r="CG37" s="431">
        <f>IF(LEFT('non Forest LUC'!$D21,6)=LEFT(Matrix!$CF$24,6),IF(LEFT('non Forest LUC'!$F21,6)=LEFT(Matrix!CG$24,6),'non Forest LUC'!$F43,0),0)</f>
        <v>0</v>
      </c>
      <c r="CH37" s="431">
        <f>IF(LEFT('non Forest LUC'!$D21,6)=LEFT(Matrix!$CF$24,6),IF(LEFT('non Forest LUC'!$F21,6)=LEFT(Matrix!CH$24,6),'non Forest LUC'!$F43,0),0)</f>
        <v>0</v>
      </c>
      <c r="CI37" s="431">
        <f>IF(LEFT('non Forest LUC'!$D21,6)=LEFT(Matrix!$CF$24,6),IF(LEFT('non Forest LUC'!$F21,6)=LEFT(Matrix!CI$24,6),'non Forest LUC'!$F43,0),0)</f>
        <v>0</v>
      </c>
      <c r="CJ37" s="431">
        <f>IF(LEFT('non Forest LUC'!$D21,6)=LEFT(Matrix!$CF$24,6),IF(LEFT('non Forest LUC'!$F21,6)=LEFT(Matrix!CJ$24,6),'non Forest LUC'!$F43,0),0)</f>
        <v>0</v>
      </c>
      <c r="CK37" s="431">
        <f>IF(LEFT('non Forest LUC'!$D21,6)=LEFT(Matrix!$CF$24,6),IF(LEFT('non Forest LUC'!$F21,6)=LEFT(Matrix!CK$24,6),'non Forest LUC'!$F43,0),0)</f>
        <v>0</v>
      </c>
      <c r="CL37" s="431">
        <f>IF(LEFT('non Forest LUC'!$D21,6)=LEFT(Matrix!$CF$24,6),IF(LEFT('non Forest LUC'!$F21,6)=LEFT(Matrix!CL$24,6),'non Forest LUC'!$F43,0),0)</f>
        <v>0</v>
      </c>
    </row>
    <row r="38" spans="2:91">
      <c r="B38" s="516" t="s">
        <v>1</v>
      </c>
      <c r="AP38" s="498" t="s">
        <v>1239</v>
      </c>
      <c r="AQ38" s="518">
        <f t="shared" ref="AQ38:AV38" si="20">SUM(AQ25:AQ37)</f>
        <v>0</v>
      </c>
      <c r="AR38" s="518">
        <f t="shared" si="20"/>
        <v>0</v>
      </c>
      <c r="AS38" s="518">
        <f t="shared" si="20"/>
        <v>0</v>
      </c>
      <c r="AT38" s="518">
        <f t="shared" si="20"/>
        <v>0</v>
      </c>
      <c r="AU38" s="518">
        <f t="shared" si="20"/>
        <v>0</v>
      </c>
      <c r="AV38" s="518">
        <f t="shared" si="20"/>
        <v>0</v>
      </c>
      <c r="AW38" s="442" t="s">
        <v>1239</v>
      </c>
      <c r="AX38" s="518">
        <f t="shared" ref="AX38:BC38" si="21">SUM(AX25:AX37)</f>
        <v>0</v>
      </c>
      <c r="AY38" s="518">
        <f t="shared" si="21"/>
        <v>0</v>
      </c>
      <c r="AZ38" s="518">
        <f t="shared" si="21"/>
        <v>0</v>
      </c>
      <c r="BA38" s="518">
        <f t="shared" si="21"/>
        <v>0</v>
      </c>
      <c r="BB38" s="518">
        <f t="shared" si="21"/>
        <v>0</v>
      </c>
      <c r="BC38" s="518">
        <f t="shared" si="21"/>
        <v>0</v>
      </c>
      <c r="BD38" s="442" t="s">
        <v>1239</v>
      </c>
      <c r="BE38" s="518">
        <f t="shared" ref="BE38:BJ38" si="22">SUM(BE25:BE37)</f>
        <v>0</v>
      </c>
      <c r="BF38" s="518">
        <f t="shared" si="22"/>
        <v>0</v>
      </c>
      <c r="BG38" s="518">
        <f t="shared" si="22"/>
        <v>0</v>
      </c>
      <c r="BH38" s="518">
        <f t="shared" si="22"/>
        <v>0</v>
      </c>
      <c r="BI38" s="518">
        <f t="shared" si="22"/>
        <v>0</v>
      </c>
      <c r="BJ38" s="518">
        <f t="shared" si="22"/>
        <v>0</v>
      </c>
      <c r="BK38" s="442" t="s">
        <v>1239</v>
      </c>
      <c r="BL38" s="518">
        <f t="shared" ref="BL38:BQ38" si="23">SUM(BL25:BL37)</f>
        <v>0</v>
      </c>
      <c r="BM38" s="518">
        <f t="shared" si="23"/>
        <v>0</v>
      </c>
      <c r="BN38" s="518">
        <f t="shared" si="23"/>
        <v>0</v>
      </c>
      <c r="BO38" s="518">
        <f t="shared" si="23"/>
        <v>0</v>
      </c>
      <c r="BP38" s="518">
        <f t="shared" si="23"/>
        <v>0</v>
      </c>
      <c r="BQ38" s="518">
        <f t="shared" si="23"/>
        <v>0</v>
      </c>
      <c r="BR38" s="442" t="s">
        <v>1239</v>
      </c>
      <c r="BS38" s="518">
        <f t="shared" ref="BS38:BX38" si="24">SUM(BS25:BS37)</f>
        <v>0</v>
      </c>
      <c r="BT38" s="518">
        <f t="shared" si="24"/>
        <v>0</v>
      </c>
      <c r="BU38" s="518">
        <f t="shared" si="24"/>
        <v>0</v>
      </c>
      <c r="BV38" s="518">
        <f t="shared" si="24"/>
        <v>0</v>
      </c>
      <c r="BW38" s="518">
        <f t="shared" si="24"/>
        <v>0</v>
      </c>
      <c r="BX38" s="518">
        <f t="shared" si="24"/>
        <v>0</v>
      </c>
      <c r="BY38" s="442" t="s">
        <v>1239</v>
      </c>
      <c r="BZ38" s="518">
        <f t="shared" ref="BZ38:CE38" si="25">SUM(BZ25:BZ37)</f>
        <v>0</v>
      </c>
      <c r="CA38" s="518">
        <f t="shared" si="25"/>
        <v>0</v>
      </c>
      <c r="CB38" s="518">
        <f t="shared" si="25"/>
        <v>0</v>
      </c>
      <c r="CC38" s="518">
        <f t="shared" si="25"/>
        <v>0</v>
      </c>
      <c r="CD38" s="518">
        <f t="shared" si="25"/>
        <v>0</v>
      </c>
      <c r="CE38" s="518">
        <f t="shared" si="25"/>
        <v>0</v>
      </c>
      <c r="CF38" s="442" t="s">
        <v>1239</v>
      </c>
      <c r="CG38" s="518">
        <f t="shared" ref="CG38:CL38" si="26">SUM(CG25:CG37)</f>
        <v>0</v>
      </c>
      <c r="CH38" s="518">
        <f t="shared" si="26"/>
        <v>0</v>
      </c>
      <c r="CI38" s="518">
        <f t="shared" si="26"/>
        <v>0</v>
      </c>
      <c r="CJ38" s="518">
        <f t="shared" si="26"/>
        <v>0</v>
      </c>
      <c r="CK38" s="518">
        <f t="shared" si="26"/>
        <v>0</v>
      </c>
      <c r="CL38" s="518">
        <f t="shared" si="26"/>
        <v>0</v>
      </c>
      <c r="CM38" s="233">
        <f>SUM(AQ38:CL38)</f>
        <v>0</v>
      </c>
    </row>
    <row r="39" spans="2:91">
      <c r="B39" s="517" t="s">
        <v>1247</v>
      </c>
      <c r="AP39" s="498"/>
      <c r="AQ39" s="518"/>
      <c r="AR39" s="518"/>
      <c r="AS39" s="518"/>
      <c r="AT39" s="518"/>
      <c r="AU39" s="518"/>
      <c r="AV39" s="518"/>
      <c r="AW39" s="498"/>
      <c r="AX39" s="518"/>
      <c r="AY39" s="518"/>
      <c r="AZ39" s="518"/>
      <c r="BA39" s="518"/>
      <c r="BB39" s="518"/>
      <c r="BC39" s="518"/>
      <c r="BD39" s="498"/>
      <c r="BE39" s="518"/>
      <c r="BF39" s="518"/>
      <c r="BG39" s="518"/>
      <c r="BH39" s="518"/>
      <c r="BI39" s="518"/>
      <c r="BJ39" s="518"/>
      <c r="BK39" s="498"/>
      <c r="BL39" s="518"/>
      <c r="BM39" s="518"/>
      <c r="BN39" s="518"/>
      <c r="BO39" s="518"/>
      <c r="BP39" s="518"/>
      <c r="BQ39" s="518"/>
      <c r="BR39" s="498"/>
      <c r="BS39" s="518"/>
      <c r="BT39" s="518"/>
      <c r="BU39" s="518"/>
      <c r="BV39" s="518"/>
      <c r="BW39" s="518"/>
      <c r="BX39" s="518"/>
      <c r="BY39" s="498"/>
      <c r="BZ39" s="518"/>
      <c r="CA39" s="518"/>
      <c r="CB39" s="518"/>
      <c r="CC39" s="518"/>
      <c r="CD39" s="518"/>
      <c r="CE39" s="518"/>
      <c r="CF39" s="498"/>
      <c r="CG39" s="518"/>
      <c r="CH39" s="518"/>
      <c r="CI39" s="518"/>
      <c r="CJ39" s="518"/>
      <c r="CK39" s="518"/>
      <c r="CL39" s="518"/>
    </row>
    <row r="40" spans="2:91">
      <c r="B40" s="517"/>
    </row>
    <row r="41" spans="2:91">
      <c r="B41" s="519"/>
      <c r="C41" s="233" t="s">
        <v>1265</v>
      </c>
    </row>
    <row r="42" spans="2:91">
      <c r="B42" s="520"/>
      <c r="C42" s="233" t="s">
        <v>1266</v>
      </c>
    </row>
    <row r="43" spans="2:91">
      <c r="B43" s="521"/>
      <c r="C43" s="233" t="s">
        <v>1267</v>
      </c>
    </row>
    <row r="44" spans="2:91">
      <c r="B44" s="522"/>
      <c r="C44" s="233" t="s">
        <v>1268</v>
      </c>
    </row>
    <row r="45" spans="2:91">
      <c r="B45" s="523"/>
      <c r="C45" s="233" t="s">
        <v>1269</v>
      </c>
    </row>
    <row r="46" spans="2:91">
      <c r="B46" s="524"/>
      <c r="C46" s="233" t="s">
        <v>1270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0"/>
    <pageSetUpPr fitToPage="1"/>
  </sheetPr>
  <dimension ref="A1:AX47"/>
  <sheetViews>
    <sheetView topLeftCell="AA1" zoomScale="70" zoomScaleNormal="70" workbookViewId="0">
      <selection activeCell="AS23" sqref="AS23"/>
    </sheetView>
  </sheetViews>
  <sheetFormatPr baseColWidth="10" defaultColWidth="11.44140625" defaultRowHeight="13.2"/>
  <cols>
    <col min="1" max="1" width="4.5546875" style="233" customWidth="1"/>
    <col min="2" max="2" width="21.88671875" style="233" customWidth="1"/>
    <col min="3" max="3" width="29.5546875" style="233" customWidth="1"/>
    <col min="4" max="6" width="10" style="233" customWidth="1"/>
    <col min="7" max="9" width="10.44140625" style="233" customWidth="1"/>
    <col min="10" max="10" width="15.44140625" style="233" customWidth="1"/>
    <col min="11" max="12" width="10.44140625" style="233" customWidth="1"/>
    <col min="13" max="16" width="10" style="233" customWidth="1"/>
    <col min="17" max="17" width="9.5546875" style="233" customWidth="1"/>
    <col min="18" max="19" width="10.33203125" style="233" customWidth="1"/>
    <col min="20" max="23" width="8" style="234" customWidth="1"/>
    <col min="24" max="24" width="11.33203125" style="234" customWidth="1"/>
    <col min="25" max="25" width="14" style="234" customWidth="1"/>
    <col min="26" max="26" width="12.6640625" style="234" customWidth="1"/>
    <col min="27" max="27" width="10.109375" style="234" customWidth="1"/>
    <col min="28" max="28" width="11" style="234" customWidth="1"/>
    <col min="29" max="29" width="11.44140625" style="234"/>
    <col min="30" max="30" width="11.44140625" style="233"/>
    <col min="31" max="31" width="11.44140625" style="663"/>
    <col min="32" max="32" width="11.44140625" style="1369"/>
    <col min="33" max="33" width="9.109375" style="1369" customWidth="1"/>
    <col min="34" max="36" width="11.44140625" style="1369"/>
    <col min="37" max="37" width="15.33203125" style="1369" customWidth="1"/>
    <col min="38" max="43" width="11.44140625" style="1369"/>
    <col min="44" max="47" width="11.44140625" style="1133"/>
    <col min="48" max="48" width="11.44140625" style="662"/>
    <col min="49" max="50" width="11.44140625" style="1133"/>
    <col min="51" max="16384" width="11.44140625" style="233"/>
  </cols>
  <sheetData>
    <row r="1" spans="1:50" s="1678" customFormat="1" ht="22.95" customHeight="1">
      <c r="T1" s="1682"/>
      <c r="U1" s="1682"/>
      <c r="V1" s="1682"/>
      <c r="W1" s="1682"/>
      <c r="X1" s="1682"/>
      <c r="Y1" s="1682"/>
      <c r="Z1" s="1682"/>
      <c r="AA1" s="1682"/>
      <c r="AB1" s="1682"/>
      <c r="AC1" s="1682"/>
      <c r="AE1" s="1710"/>
      <c r="AF1" s="1711"/>
      <c r="AG1" s="1711"/>
      <c r="AH1" s="1711"/>
      <c r="AI1" s="1711"/>
      <c r="AJ1" s="1711"/>
      <c r="AK1" s="1711"/>
      <c r="AL1" s="1711"/>
      <c r="AM1" s="1711"/>
      <c r="AN1" s="1711"/>
      <c r="AO1" s="1711"/>
      <c r="AP1" s="1711"/>
      <c r="AQ1" s="1711"/>
      <c r="AR1" s="1684"/>
      <c r="AS1" s="1684"/>
      <c r="AT1" s="1684"/>
      <c r="AU1" s="1684"/>
      <c r="AV1" s="1683"/>
      <c r="AW1" s="1684"/>
      <c r="AX1" s="1684"/>
    </row>
    <row r="2" spans="1:50" s="1678" customFormat="1" ht="22.95" customHeight="1">
      <c r="T2" s="1682"/>
      <c r="U2" s="1682"/>
      <c r="V2" s="1682"/>
      <c r="W2" s="1682"/>
      <c r="X2" s="1682"/>
      <c r="Y2" s="1682"/>
      <c r="Z2" s="1682"/>
      <c r="AA2" s="1682"/>
      <c r="AB2" s="1682"/>
      <c r="AC2" s="1682"/>
      <c r="AE2" s="1710"/>
      <c r="AF2" s="1711"/>
      <c r="AG2" s="1711"/>
      <c r="AH2" s="1711"/>
      <c r="AI2" s="1711"/>
      <c r="AJ2" s="1711"/>
      <c r="AK2" s="1711"/>
      <c r="AL2" s="1711"/>
      <c r="AM2" s="1711"/>
      <c r="AN2" s="1711"/>
      <c r="AO2" s="1711"/>
      <c r="AP2" s="1711"/>
      <c r="AQ2" s="1711"/>
      <c r="AR2" s="1684"/>
      <c r="AS2" s="1684"/>
      <c r="AT2" s="1684"/>
      <c r="AU2" s="1684"/>
      <c r="AV2" s="1683"/>
      <c r="AW2" s="1684"/>
      <c r="AX2" s="1684"/>
    </row>
    <row r="3" spans="1:50" s="1678" customFormat="1" ht="22.95" customHeight="1">
      <c r="T3" s="1682"/>
      <c r="U3" s="1682"/>
      <c r="V3" s="1682"/>
      <c r="W3" s="1682"/>
      <c r="X3" s="1682"/>
      <c r="Y3" s="1682"/>
      <c r="Z3" s="1682"/>
      <c r="AA3" s="1682"/>
      <c r="AB3" s="1682"/>
      <c r="AC3" s="1682"/>
      <c r="AE3" s="1710"/>
      <c r="AF3" s="1711"/>
      <c r="AG3" s="1711"/>
      <c r="AH3" s="1711"/>
      <c r="AI3" s="1711"/>
      <c r="AJ3" s="1711"/>
      <c r="AK3" s="1711"/>
      <c r="AL3" s="1711"/>
      <c r="AM3" s="1711"/>
      <c r="AN3" s="1711"/>
      <c r="AO3" s="1711"/>
      <c r="AP3" s="1711"/>
      <c r="AQ3" s="1711"/>
      <c r="AR3" s="1684"/>
      <c r="AS3" s="1684"/>
      <c r="AT3" s="1684"/>
      <c r="AU3" s="1684"/>
      <c r="AV3" s="1683"/>
      <c r="AW3" s="1684"/>
      <c r="AX3" s="1684"/>
    </row>
    <row r="4" spans="1:50" s="1678" customFormat="1" ht="22.95" customHeight="1">
      <c r="T4" s="1682"/>
      <c r="U4" s="1682"/>
      <c r="V4" s="1682"/>
      <c r="W4" s="1682"/>
      <c r="X4" s="1682"/>
      <c r="Y4" s="1682"/>
      <c r="Z4" s="1682"/>
      <c r="AA4" s="1682"/>
      <c r="AB4" s="1682"/>
      <c r="AC4" s="1682"/>
      <c r="AE4" s="1710"/>
      <c r="AF4" s="1711"/>
      <c r="AG4" s="1711"/>
      <c r="AH4" s="1711"/>
      <c r="AI4" s="1711"/>
      <c r="AJ4" s="1711"/>
      <c r="AK4" s="1711"/>
      <c r="AL4" s="1711"/>
      <c r="AM4" s="1711"/>
      <c r="AN4" s="1711"/>
      <c r="AO4" s="1711"/>
      <c r="AP4" s="1711"/>
      <c r="AQ4" s="1711"/>
      <c r="AR4" s="1684"/>
      <c r="AS4" s="1684"/>
      <c r="AT4" s="1684"/>
      <c r="AU4" s="1684"/>
      <c r="AV4" s="1683"/>
      <c r="AW4" s="1684"/>
      <c r="AX4" s="1684"/>
    </row>
    <row r="5" spans="1:50" s="1679" customFormat="1" ht="22.95" customHeight="1">
      <c r="A5" s="1679" t="s">
        <v>334</v>
      </c>
      <c r="D5" s="3179" t="s">
        <v>479</v>
      </c>
      <c r="E5" s="3179"/>
      <c r="F5" s="1712"/>
      <c r="G5" s="1712"/>
      <c r="H5" s="1712"/>
      <c r="I5" s="1712"/>
      <c r="J5" s="1712"/>
      <c r="K5" s="1712"/>
      <c r="L5" s="1712"/>
      <c r="M5" s="1712"/>
      <c r="N5" s="1712"/>
      <c r="O5" s="1712"/>
      <c r="P5" s="1712"/>
      <c r="Q5" s="1712"/>
      <c r="R5" s="1712"/>
      <c r="S5" s="1712"/>
      <c r="T5" s="1712"/>
      <c r="U5" s="1712"/>
      <c r="V5" s="1712"/>
      <c r="W5" s="1712"/>
      <c r="Y5" s="1712"/>
      <c r="AE5" s="1713"/>
      <c r="AF5" s="1714"/>
      <c r="AG5" s="1714"/>
      <c r="AH5" s="1714"/>
      <c r="AI5" s="1714"/>
      <c r="AJ5" s="1714"/>
      <c r="AK5" s="1714"/>
      <c r="AL5" s="1714"/>
      <c r="AM5" s="1714"/>
      <c r="AN5" s="1714"/>
      <c r="AO5" s="1714"/>
      <c r="AP5" s="1714"/>
      <c r="AQ5" s="1714"/>
      <c r="AR5" s="1715"/>
      <c r="AS5" s="1715"/>
      <c r="AT5" s="1715"/>
      <c r="AU5" s="1715"/>
      <c r="AV5" s="1713"/>
      <c r="AW5" s="1715"/>
      <c r="AX5" s="1715"/>
    </row>
    <row r="6" spans="1:50">
      <c r="Q6" s="234"/>
      <c r="R6" s="234"/>
      <c r="S6" s="234"/>
      <c r="AA6" s="233"/>
      <c r="AC6" s="233"/>
      <c r="AD6" s="234"/>
      <c r="AE6" s="2467"/>
      <c r="AF6" s="2473"/>
      <c r="AG6" s="2480" t="s">
        <v>208</v>
      </c>
      <c r="AH6" s="2473"/>
      <c r="AI6" s="2473"/>
      <c r="AJ6" s="2473"/>
      <c r="AK6" s="2886" t="s">
        <v>65</v>
      </c>
      <c r="AL6" s="2473"/>
      <c r="AM6" s="2473"/>
      <c r="AN6" s="2480"/>
      <c r="AO6" s="2480"/>
      <c r="AP6" s="2473"/>
      <c r="AQ6" s="2480"/>
      <c r="AR6" s="2460"/>
      <c r="AS6" s="2460"/>
      <c r="AT6" s="2460"/>
      <c r="AU6" s="2460"/>
    </row>
    <row r="7" spans="1:50">
      <c r="B7" s="625" t="s">
        <v>878</v>
      </c>
      <c r="C7" s="626"/>
      <c r="D7" s="626"/>
      <c r="E7" s="626"/>
      <c r="F7" s="626"/>
      <c r="G7" s="626"/>
      <c r="H7" s="626"/>
      <c r="I7" s="626"/>
      <c r="J7" s="626"/>
      <c r="K7" s="626"/>
      <c r="L7" s="626"/>
      <c r="M7" s="626"/>
      <c r="N7" s="626"/>
      <c r="O7" s="626"/>
      <c r="P7" s="626"/>
      <c r="Q7" s="626"/>
      <c r="R7" s="627"/>
      <c r="S7" s="627"/>
      <c r="T7" s="1329"/>
      <c r="U7" s="828"/>
      <c r="V7" s="828"/>
      <c r="Y7" s="1285" t="s">
        <v>879</v>
      </c>
      <c r="Z7" s="698"/>
      <c r="AA7" s="698"/>
      <c r="AB7" s="550" t="s">
        <v>683</v>
      </c>
      <c r="AC7" s="240"/>
      <c r="AE7" s="2460"/>
      <c r="AF7" s="2480"/>
      <c r="AG7" s="2886" t="s">
        <v>708</v>
      </c>
      <c r="AH7" s="2480"/>
      <c r="AI7" s="2480"/>
      <c r="AJ7" s="2473"/>
      <c r="AK7" s="2905" t="s">
        <v>55</v>
      </c>
      <c r="AL7" s="2468"/>
      <c r="AM7" s="2468"/>
      <c r="AN7" s="2468"/>
      <c r="AO7" s="2468"/>
      <c r="AP7" s="2468"/>
      <c r="AQ7" s="2480"/>
      <c r="AR7" s="2460"/>
      <c r="AS7" s="2460"/>
      <c r="AT7" s="2460"/>
      <c r="AU7" s="2460"/>
    </row>
    <row r="8" spans="1:50">
      <c r="B8" s="271" t="s">
        <v>890</v>
      </c>
      <c r="C8" s="703"/>
      <c r="D8" s="267"/>
      <c r="E8" s="267"/>
      <c r="F8" s="267"/>
      <c r="G8" s="271"/>
      <c r="H8" s="267"/>
      <c r="I8" s="267"/>
      <c r="J8" s="267"/>
      <c r="K8" s="267"/>
      <c r="L8" s="267"/>
      <c r="M8" s="3173" t="s">
        <v>1286</v>
      </c>
      <c r="N8" s="3107"/>
      <c r="O8" s="3107"/>
      <c r="P8" s="3107"/>
      <c r="Q8" s="3173" t="s">
        <v>207</v>
      </c>
      <c r="R8" s="3107"/>
      <c r="S8" s="3174"/>
      <c r="T8" s="3173" t="s">
        <v>206</v>
      </c>
      <c r="U8" s="3174"/>
      <c r="V8" s="2106"/>
      <c r="W8" s="234" t="s">
        <v>1335</v>
      </c>
      <c r="Y8" s="1330" t="s">
        <v>79</v>
      </c>
      <c r="Z8" s="267"/>
      <c r="AA8" s="267"/>
      <c r="AB8" s="559"/>
      <c r="AC8" s="240"/>
      <c r="AE8" s="2460"/>
      <c r="AF8" s="2480"/>
      <c r="AG8" s="2886"/>
      <c r="AH8" s="2480" t="s">
        <v>337</v>
      </c>
      <c r="AI8" s="2480"/>
      <c r="AJ8" s="2480" t="s">
        <v>50</v>
      </c>
      <c r="AK8" s="2480"/>
      <c r="AL8" s="2480"/>
      <c r="AM8" s="2468" t="s">
        <v>337</v>
      </c>
      <c r="AN8" s="2468"/>
      <c r="AO8" s="2468" t="s">
        <v>338</v>
      </c>
      <c r="AP8" s="2468"/>
      <c r="AQ8" s="2480"/>
      <c r="AR8" s="2460"/>
      <c r="AS8" s="2460"/>
      <c r="AT8" s="2460"/>
      <c r="AU8" s="2460"/>
    </row>
    <row r="9" spans="1:50">
      <c r="B9" s="271"/>
      <c r="C9" s="703"/>
      <c r="D9" s="596" t="s">
        <v>1166</v>
      </c>
      <c r="E9" s="267"/>
      <c r="F9" s="703"/>
      <c r="G9" s="3186" t="s">
        <v>202</v>
      </c>
      <c r="H9" s="3187"/>
      <c r="I9" s="3187"/>
      <c r="J9" s="3187"/>
      <c r="K9" s="3187"/>
      <c r="L9" s="3188"/>
      <c r="M9" s="3184" t="s">
        <v>692</v>
      </c>
      <c r="N9" s="3185"/>
      <c r="O9" s="3183" t="s">
        <v>898</v>
      </c>
      <c r="P9" s="3183"/>
      <c r="Q9" s="549" t="s">
        <v>896</v>
      </c>
      <c r="R9" s="547" t="s">
        <v>204</v>
      </c>
      <c r="S9" s="559" t="s">
        <v>203</v>
      </c>
      <c r="T9" s="549" t="s">
        <v>690</v>
      </c>
      <c r="U9" s="559" t="s">
        <v>691</v>
      </c>
      <c r="V9" s="2105" t="s">
        <v>345</v>
      </c>
      <c r="W9" s="234" t="s">
        <v>690</v>
      </c>
      <c r="X9" s="234" t="s">
        <v>691</v>
      </c>
      <c r="Y9" s="734" t="s">
        <v>892</v>
      </c>
      <c r="Z9" s="735"/>
      <c r="AA9" s="735"/>
      <c r="AB9" s="2654">
        <f>IF('4.Grassland'!G92="",'4.Grassland'!E92,'4.Grassland'!G92)</f>
        <v>0</v>
      </c>
      <c r="AC9" s="240"/>
      <c r="AE9" s="2460"/>
      <c r="AF9" s="2480"/>
      <c r="AG9" s="2480" t="s">
        <v>51</v>
      </c>
      <c r="AH9" s="2480" t="s">
        <v>691</v>
      </c>
      <c r="AI9" s="2480" t="s">
        <v>52</v>
      </c>
      <c r="AJ9" s="2480" t="s">
        <v>691</v>
      </c>
      <c r="AK9" s="2480"/>
      <c r="AL9" s="2480"/>
      <c r="AM9" s="2480" t="s">
        <v>51</v>
      </c>
      <c r="AN9" s="2480" t="s">
        <v>691</v>
      </c>
      <c r="AO9" s="2480" t="s">
        <v>52</v>
      </c>
      <c r="AP9" s="2480" t="s">
        <v>691</v>
      </c>
      <c r="AQ9" s="2480"/>
      <c r="AR9" s="2460"/>
      <c r="AS9" s="2460"/>
      <c r="AT9" s="2460"/>
      <c r="AU9" s="2460"/>
    </row>
    <row r="10" spans="1:50" ht="13.8" thickBot="1">
      <c r="B10" s="271" t="s">
        <v>344</v>
      </c>
      <c r="C10" s="703" t="s">
        <v>891</v>
      </c>
      <c r="D10" s="781"/>
      <c r="E10" s="267"/>
      <c r="F10" s="1331"/>
      <c r="G10" s="781" t="s">
        <v>689</v>
      </c>
      <c r="H10" s="267"/>
      <c r="I10" s="267"/>
      <c r="J10" s="781" t="s">
        <v>688</v>
      </c>
      <c r="K10" s="267"/>
      <c r="L10" s="267"/>
      <c r="M10" s="1332" t="s">
        <v>1277</v>
      </c>
      <c r="N10" s="1333" t="s">
        <v>138</v>
      </c>
      <c r="O10" s="1334" t="s">
        <v>1277</v>
      </c>
      <c r="P10" s="1334" t="s">
        <v>138</v>
      </c>
      <c r="Q10" s="544" t="s">
        <v>493</v>
      </c>
      <c r="R10" s="545" t="s">
        <v>493</v>
      </c>
      <c r="S10" s="548" t="s">
        <v>205</v>
      </c>
      <c r="T10" s="3108" t="s">
        <v>905</v>
      </c>
      <c r="U10" s="3175"/>
      <c r="V10" s="2106"/>
      <c r="Y10" s="734" t="s">
        <v>893</v>
      </c>
      <c r="Z10" s="735"/>
      <c r="AA10" s="735"/>
      <c r="AB10" s="2654">
        <f>IF('4.Grassland'!G93="",'4.Grassland'!E93,'4.Grassland'!G93)</f>
        <v>0</v>
      </c>
      <c r="AC10" s="240"/>
      <c r="AE10" s="2460"/>
      <c r="AF10" s="2480"/>
      <c r="AG10" s="2468">
        <f>IF($M11="yes",(MIN(D29,E29)*time_tot+ABS(E29-D29)*IF(E29&gt;D29,time2+time*(VLOOKUP(F29,List!$E$35:$F$37,2,)),time*(1-(VLOOKUP(F29,List!$E$35:$F$37,2,))))),0)*($Y$18*$Z$18*($AA$18*methane)/1000)/$N11</f>
        <v>0</v>
      </c>
      <c r="AH10" s="2468">
        <f>IF($O11="yes",(MIN(D29,G29)*time_tot+ABS(G29-D29)*IF(G29&gt;D29,time2+time*(VLOOKUP(H29,List!$E$35:$F$37,2,)),time*(1-(VLOOKUP(H29,List!$E$35:$F$37,2,))))),0)*($Y$18*$Z$18*($AA$18*methane)/1000)/$P11</f>
        <v>0</v>
      </c>
      <c r="AI10" s="2468">
        <f>IF($M11="yes",(MIN(D29,E29)*time_tot+ABS(E29-D29)*IF(E29&gt;D29,time2+time*(VLOOKUP(F29,List!$E$35:$F$37,2,)),time*(1-(VLOOKUP(F29,List!$E$35:$F$37,2,))))),0)*($Y$18*$Z$18*($AB$18*Nitrous)/1000)/$N11</f>
        <v>0</v>
      </c>
      <c r="AJ10" s="2468">
        <f>IF($O11="yes",(MIN(D29,G29)*time_tot+ABS(G29-D29)*IF(G29&gt;D29,time2+time*(VLOOKUP(H29,List!$E$35:$F$37,2,)),time*(1-(VLOOKUP(H29,List!$E$35:$F$37,2,))))),0)*($Y$18*$Z$18*($AB$18*Nitrous)/1000)/$P11</f>
        <v>0</v>
      </c>
      <c r="AK10" s="2480"/>
      <c r="AL10" s="2480"/>
      <c r="AM10" s="2468">
        <f>IF($M11="yes",(MIN(D29,E29)*time+ABS(E29-D29)*IF(E29&gt;D29,time*(VLOOKUP(F29,List!$E$35:$F$37,2,)),time*(1-(VLOOKUP(F29,List!$E$35:$F$37,2,))))),0)*($Y$18*$Z$18*($AA$18*methane)/1000)/$N11</f>
        <v>0</v>
      </c>
      <c r="AN10" s="2468">
        <f>IF($O11="yes",(MIN(D29,G29)*time+ABS(G29-D29)*IF(G29&gt;D29,time*(VLOOKUP(H29,List!$E$35:$F$37,2,)),time*(1-(VLOOKUP(H29,List!$E$35:$F$37,2,))))),0)*($Y$18*$Z$18*($AA$18*methane)/1000)/$P11</f>
        <v>0</v>
      </c>
      <c r="AO10" s="2468">
        <f>IF($M11="yes",(MIN(D29,E29)*time+ABS(E29-D29)*IF(E29&gt;D29,time*(VLOOKUP(F29,List!$E$35:$F$37,2,)),time*(1-(VLOOKUP(F29,List!$E$35:$F$37,2,))))),0)*($Y$18*$Z$18*($AB$18*Nitrous)/1000)/$N11</f>
        <v>0</v>
      </c>
      <c r="AP10" s="2468">
        <f>IF($O11="yes",(MIN(D29,G29)*time+ABS(G29-D29)*IF(G29&gt;D29,time*(VLOOKUP(H29,List!$E$35:$F$37,2,)),time*(1-(VLOOKUP(H29,List!$E$35:$F$37,2,))))),0)*($Y$18*$Z$18*($AB$18*Nitrous)/1000)/$P11</f>
        <v>0</v>
      </c>
      <c r="AQ10" s="2622" t="s">
        <v>25</v>
      </c>
      <c r="AR10" s="2469" t="s">
        <v>531</v>
      </c>
      <c r="AS10" s="2469" t="s">
        <v>37</v>
      </c>
      <c r="AT10" s="2469" t="s">
        <v>38</v>
      </c>
      <c r="AU10" s="2460"/>
    </row>
    <row r="11" spans="1:50" ht="13.8" thickBot="1">
      <c r="B11" s="740" t="s">
        <v>1162</v>
      </c>
      <c r="C11" s="1335" t="s">
        <v>1115</v>
      </c>
      <c r="D11" s="3180" t="str">
        <f>'4.Grassland'!D13</f>
        <v>Select state</v>
      </c>
      <c r="E11" s="3181"/>
      <c r="F11" s="3182"/>
      <c r="G11" s="3176" t="str">
        <f>'4.Grassland'!J13</f>
        <v>Select state</v>
      </c>
      <c r="H11" s="3177"/>
      <c r="I11" s="3178"/>
      <c r="J11" s="3176" t="str">
        <f>'4.Grassland'!N13</f>
        <v>Select state</v>
      </c>
      <c r="K11" s="3177"/>
      <c r="L11" s="3178"/>
      <c r="M11" s="1905" t="str">
        <f>'4.Grassland'!R13</f>
        <v>NO</v>
      </c>
      <c r="N11" s="1905">
        <f>'4.Grassland'!S13</f>
        <v>5</v>
      </c>
      <c r="O11" s="1905" t="str">
        <f>'4.Grassland'!T13</f>
        <v>NO</v>
      </c>
      <c r="P11" s="1905">
        <f>'4.Grassland'!U13</f>
        <v>5</v>
      </c>
      <c r="Q11" s="1336">
        <f t="shared" ref="Q11:Q24" si="0">VLOOKUP($D11,$Y$8:$AB$13,4,)</f>
        <v>0</v>
      </c>
      <c r="R11" s="1336">
        <f t="shared" ref="R11:R24" si="1">VLOOKUP($G11,$Y$8:$AB$13,4,)</f>
        <v>0</v>
      </c>
      <c r="S11" s="1336">
        <f t="shared" ref="S11:S24" si="2">VLOOKUP($J11,$Y$8:$AB$13,4,)</f>
        <v>0</v>
      </c>
      <c r="T11" s="1337">
        <f>44*(R11-Q11)/(20*12)</f>
        <v>0</v>
      </c>
      <c r="U11" s="1338">
        <f>44*(S11-Q11)/(20*12)</f>
        <v>0</v>
      </c>
      <c r="V11" s="2114">
        <f>'4.Grassland'!W13</f>
        <v>0</v>
      </c>
      <c r="W11" s="2115">
        <f>'4.Grassland'!X13</f>
        <v>0</v>
      </c>
      <c r="X11" s="2115">
        <f>'4.Grassland'!Y13</f>
        <v>0</v>
      </c>
      <c r="Y11" s="734" t="s">
        <v>894</v>
      </c>
      <c r="Z11" s="735"/>
      <c r="AA11" s="735"/>
      <c r="AB11" s="2654">
        <f>IF('4.Grassland'!G94="",'4.Grassland'!E94,'4.Grassland'!G94)</f>
        <v>0</v>
      </c>
      <c r="AC11" s="240"/>
      <c r="AD11" s="240"/>
      <c r="AE11" s="2480"/>
      <c r="AF11" s="2480"/>
      <c r="AG11" s="2468">
        <f>IF($M12="yes",(MIN(D30,E30)*time_tot+ABS(E30-D30)*IF(E30&gt;D30,time2+time*(VLOOKUP(F30,List!$E$35:$F$37,2,)),time*(1-(VLOOKUP(F30,List!$E$35:$F$37,2,))))),0)*($Y$18*$Z$18*($AA$18*methane)/1000)/$N12</f>
        <v>0</v>
      </c>
      <c r="AH11" s="2468">
        <f>IF($O12="yes",(MIN(D30,G30)*time_tot+ABS(G30-D30)*IF(G30&gt;D30,time2+time*(VLOOKUP(H30,List!$E$35:$F$37,2,)),time*(1-(VLOOKUP(H30,List!$E$35:$F$37,2,))))),0)*($Y$18*$Z$18*($AA$18*methane)/1000)/$P12</f>
        <v>0</v>
      </c>
      <c r="AI11" s="2468">
        <f>IF($M12="yes",(MIN(D30,E30)*time_tot+ABS(E30-D30)*IF(E30&gt;D30,time2+time*(VLOOKUP(F30,List!$E$35:$F$37,2,)),time*(1-(VLOOKUP(F30,List!$E$35:$F$37,2,))))),0)*($Y$18*$Z$18*($AB$18*Nitrous)/1000)/$N12</f>
        <v>0</v>
      </c>
      <c r="AJ11" s="2468">
        <f>IF($O12="yes",(MIN(D30,G30)*time_tot+ABS(G30-D30)*IF(G30&gt;D30,time2+time*(VLOOKUP(H30,List!$E$35:$F$37,2,)),time*(1-(VLOOKUP(H30,List!$E$35:$F$37,2,))))),0)*($Y$18*$Z$18*($AB$18*Nitrous)/1000)/$P12</f>
        <v>0</v>
      </c>
      <c r="AK11" s="2480"/>
      <c r="AL11" s="2480"/>
      <c r="AM11" s="2468">
        <f>IF($M12="yes",(MIN(D30,E30)*time+ABS(E30-D30)*IF(E30&gt;D30,time*(VLOOKUP(F30,List!$E$35:$F$37,2,)),time*(1-(VLOOKUP(F30,List!$E$35:$F$37,2,))))),0)*($Y$18*$Z$18*($AA$18*methane)/1000)/$N12</f>
        <v>0</v>
      </c>
      <c r="AN11" s="2468">
        <f>IF($O12="yes",(MIN(D30,G30)*time+ABS(G30-D30)*IF(G30&gt;D30,time*(VLOOKUP(H30,List!$E$35:$F$37,2,)),time*(1-(VLOOKUP(H30,List!$E$35:$F$37,2,))))),0)*($Y$18*$Z$18*($AA$18*methane)/1000)/$P12</f>
        <v>0</v>
      </c>
      <c r="AO11" s="2468">
        <f>IF($M12="yes",(MIN(D30,E30)*time+ABS(E30-D30)*IF(E30&gt;D30,time*(VLOOKUP(F30,List!$E$35:$F$37,2,)),time*(1-(VLOOKUP(F30,List!$E$35:$F$37,2,))))),0)*($Y$18*$Z$18*($AB$18*Nitrous)/1000)/$N12</f>
        <v>0</v>
      </c>
      <c r="AP11" s="2468">
        <f>IF($O12="yes",(MIN(D30,G30)*time+ABS(G30-D30)*IF(G30&gt;D30,time*(VLOOKUP(H30,List!$E$35:$F$37,2,)),time*(1-(VLOOKUP(H30,List!$E$35:$F$37,2,))))),0)*($Y$18*$Z$18*($AB$18*Nitrous)/1000)/$P12</f>
        <v>0</v>
      </c>
      <c r="AQ11" s="2622" t="s">
        <v>26</v>
      </c>
      <c r="AR11" s="2469">
        <v>0</v>
      </c>
      <c r="AS11" s="2469"/>
      <c r="AT11" s="2469"/>
      <c r="AU11" s="2460"/>
    </row>
    <row r="12" spans="1:50" ht="13.8" thickBot="1">
      <c r="B12" s="740" t="s">
        <v>1163</v>
      </c>
      <c r="C12" s="1335" t="s">
        <v>1168</v>
      </c>
      <c r="D12" s="3180" t="str">
        <f>'4.Grassland'!D14</f>
        <v>Select state</v>
      </c>
      <c r="E12" s="3181"/>
      <c r="F12" s="3182"/>
      <c r="G12" s="3176" t="str">
        <f>'4.Grassland'!J14</f>
        <v>Select state</v>
      </c>
      <c r="H12" s="3177"/>
      <c r="I12" s="3178"/>
      <c r="J12" s="3176" t="str">
        <f>'4.Grassland'!N14</f>
        <v>Select state</v>
      </c>
      <c r="K12" s="3177"/>
      <c r="L12" s="3178"/>
      <c r="M12" s="1905" t="str">
        <f>'4.Grassland'!R14</f>
        <v>NO</v>
      </c>
      <c r="N12" s="1905">
        <f>'4.Grassland'!S14</f>
        <v>5</v>
      </c>
      <c r="O12" s="1905" t="str">
        <f>'4.Grassland'!T14</f>
        <v>NO</v>
      </c>
      <c r="P12" s="1905">
        <f>'4.Grassland'!U14</f>
        <v>5</v>
      </c>
      <c r="Q12" s="1336">
        <f t="shared" si="0"/>
        <v>0</v>
      </c>
      <c r="R12" s="1336">
        <f t="shared" si="1"/>
        <v>0</v>
      </c>
      <c r="S12" s="1336">
        <f t="shared" si="2"/>
        <v>0</v>
      </c>
      <c r="T12" s="1339">
        <f>44*(R12-Q12)/(20*12)</f>
        <v>0</v>
      </c>
      <c r="U12" s="1340">
        <f t="shared" ref="U12:U24" si="3">44*(S12-Q12)/(20*12)</f>
        <v>0</v>
      </c>
      <c r="V12" s="2114">
        <f>'4.Grassland'!W14</f>
        <v>0</v>
      </c>
      <c r="W12" s="2115">
        <f>'4.Grassland'!X14</f>
        <v>0</v>
      </c>
      <c r="X12" s="2115">
        <f>'4.Grassland'!Y14</f>
        <v>0</v>
      </c>
      <c r="Y12" s="734" t="s">
        <v>895</v>
      </c>
      <c r="Z12" s="735"/>
      <c r="AA12" s="735"/>
      <c r="AB12" s="2654">
        <f>IF('4.Grassland'!G95="",'4.Grassland'!E95,'4.Grassland'!G95)</f>
        <v>0</v>
      </c>
      <c r="AC12" s="240"/>
      <c r="AD12" s="240"/>
      <c r="AE12" s="2480"/>
      <c r="AF12" s="2480"/>
      <c r="AG12" s="2468">
        <f>IF($M13="yes",(MIN(D31,E31)*time_tot+ABS(E31-D31)*IF(E31&gt;D31,time2+time*(VLOOKUP(F31,List!$E$35:$F$37,2,)),time*(1-(VLOOKUP(F31,List!$E$35:$F$37,2,))))),0)*($Y$18*$Z$18*($AA$18*methane)/1000)/$N13</f>
        <v>0</v>
      </c>
      <c r="AH12" s="2468">
        <f>IF($O13="yes",(MIN(D31,G31)*time_tot+ABS(G31-D31)*IF(G31&gt;D31,time2+time*(VLOOKUP(H31,List!$E$35:$F$37,2,)),time*(1-(VLOOKUP(H31,List!$E$35:$F$37,2,))))),0)*($Y$18*$Z$18*($AA$18*methane)/1000)/$P13</f>
        <v>0</v>
      </c>
      <c r="AI12" s="2468">
        <f>IF($M13="yes",(MIN(D31,E31)*time_tot+ABS(E31-D31)*IF(E31&gt;D31,time2+time*(VLOOKUP(F31,List!$E$35:$F$37,2,)),time*(1-(VLOOKUP(F31,List!$E$35:$F$37,2,))))),0)*($Y$18*$Z$18*($AB$18*Nitrous)/1000)/$N13</f>
        <v>0</v>
      </c>
      <c r="AJ12" s="2468">
        <f>IF($O13="yes",(MIN(D31,G31)*time_tot+ABS(G31-D31)*IF(G31&gt;D31,time2+time*(VLOOKUP(H31,List!$E$35:$F$37,2,)),time*(1-(VLOOKUP(H31,List!$E$35:$F$37,2,))))),0)*($Y$18*$Z$18*($AB$18*Nitrous)/1000)/$P13</f>
        <v>0</v>
      </c>
      <c r="AK12" s="2480"/>
      <c r="AL12" s="2480"/>
      <c r="AM12" s="2468">
        <f>IF($M13="yes",(MIN(D31,E31)*time+ABS(E31-D31)*IF(E31&gt;D31,time*(VLOOKUP(F31,List!$E$35:$F$37,2,)),time*(1-(VLOOKUP(F31,List!$E$35:$F$37,2,))))),0)*($Y$18*$Z$18*($AA$18*methane)/1000)/$N13</f>
        <v>0</v>
      </c>
      <c r="AN12" s="2468">
        <f>IF($O13="yes",(MIN(D31,G31)*time+ABS(G31-D31)*IF(G31&gt;D31,time*(VLOOKUP(H31,List!$E$35:$F$37,2,)),time*(1-(VLOOKUP(H31,List!$E$35:$F$37,2,))))),0)*($Y$18*$Z$18*($AA$18*methane)/1000)/$P13</f>
        <v>0</v>
      </c>
      <c r="AO12" s="2468">
        <f>IF($M13="yes",(MIN(D31,E31)*time+ABS(E31-D31)*IF(E31&gt;D31,time*(VLOOKUP(F31,List!$E$35:$F$37,2,)),time*(1-(VLOOKUP(F31,List!$E$35:$F$37,2,))))),0)*($Y$18*$Z$18*($AB$18*Nitrous)/1000)/$N13</f>
        <v>0</v>
      </c>
      <c r="AP12" s="2468">
        <f>IF($O13="yes",(MIN(D31,G31)*time+ABS(G31-D31)*IF(G31&gt;D31,time*(VLOOKUP(H31,List!$E$35:$F$37,2,)),time*(1-(VLOOKUP(H31,List!$E$35:$F$37,2,))))),0)*($Y$18*$Z$18*($AB$18*Nitrous)/1000)/$P13</f>
        <v>0</v>
      </c>
      <c r="AQ12" s="2622" t="s">
        <v>27</v>
      </c>
      <c r="AR12" s="2469">
        <f>SUM(J29:J42)-SUM(I29:I42)</f>
        <v>0</v>
      </c>
      <c r="AS12" s="2469">
        <f>SUM(AL29:AL42)-SUM(AK29:AK42)</f>
        <v>0</v>
      </c>
      <c r="AT12" s="2469">
        <f>AR12-AS12</f>
        <v>0</v>
      </c>
      <c r="AU12" s="2460"/>
    </row>
    <row r="13" spans="1:50" ht="13.8" thickBot="1">
      <c r="B13" s="740" t="s">
        <v>1258</v>
      </c>
      <c r="C13" s="1335" t="s">
        <v>1243</v>
      </c>
      <c r="D13" s="3180" t="str">
        <f>'4.Grassland'!D15</f>
        <v>Select state</v>
      </c>
      <c r="E13" s="3181"/>
      <c r="F13" s="3182"/>
      <c r="G13" s="3176" t="str">
        <f>'4.Grassland'!J15</f>
        <v>Select state</v>
      </c>
      <c r="H13" s="3177"/>
      <c r="I13" s="3178"/>
      <c r="J13" s="3176" t="str">
        <f>'4.Grassland'!N15</f>
        <v>Select state</v>
      </c>
      <c r="K13" s="3177"/>
      <c r="L13" s="3178"/>
      <c r="M13" s="1905" t="str">
        <f>'4.Grassland'!R15</f>
        <v>NO</v>
      </c>
      <c r="N13" s="1905">
        <f>'4.Grassland'!S15</f>
        <v>5</v>
      </c>
      <c r="O13" s="1905" t="str">
        <f>'4.Grassland'!T15</f>
        <v>NO</v>
      </c>
      <c r="P13" s="1905">
        <f>'4.Grassland'!U15</f>
        <v>5</v>
      </c>
      <c r="Q13" s="1336">
        <f t="shared" si="0"/>
        <v>0</v>
      </c>
      <c r="R13" s="1336">
        <f t="shared" si="1"/>
        <v>0</v>
      </c>
      <c r="S13" s="1336">
        <f t="shared" si="2"/>
        <v>0</v>
      </c>
      <c r="T13" s="1339">
        <f>44*(R13-Q13)/(20*12)</f>
        <v>0</v>
      </c>
      <c r="U13" s="1340">
        <f t="shared" si="3"/>
        <v>0</v>
      </c>
      <c r="V13" s="2114">
        <f>'4.Grassland'!W15</f>
        <v>0</v>
      </c>
      <c r="W13" s="2115">
        <f>'4.Grassland'!X15</f>
        <v>0</v>
      </c>
      <c r="X13" s="2115">
        <f>'4.Grassland'!Y15</f>
        <v>0</v>
      </c>
      <c r="Y13" s="827" t="s">
        <v>897</v>
      </c>
      <c r="Z13" s="785"/>
      <c r="AA13" s="785"/>
      <c r="AB13" s="2654">
        <f>IF('4.Grassland'!G96="",'4.Grassland'!E96,'4.Grassland'!G96)</f>
        <v>0</v>
      </c>
      <c r="AC13" s="240"/>
      <c r="AD13" s="240"/>
      <c r="AE13" s="2480"/>
      <c r="AF13" s="2480"/>
      <c r="AG13" s="2468">
        <f>IF($M14="yes",(MIN(D32,E32)*time_tot+ABS(E32-D32)*IF(E32&gt;D32,time2+time*(VLOOKUP(F32,List!$E$35:$F$37,2,)),time*(1-(VLOOKUP(F32,List!$E$35:$F$37,2,))))),0)*($Y$18*$Z$18*($AA$18*methane)/1000)/$N14</f>
        <v>0</v>
      </c>
      <c r="AH13" s="2468">
        <f>IF($O14="yes",(MIN(D32,G32)*time_tot+ABS(G32-D32)*IF(G32&gt;D32,time2+time*(VLOOKUP(H32,List!$E$35:$F$37,2,)),time*(1-(VLOOKUP(H32,List!$E$35:$F$37,2,))))),0)*($Y$18*$Z$18*($AA$18*methane)/1000)/$P14</f>
        <v>0</v>
      </c>
      <c r="AI13" s="2468">
        <f>IF($M14="yes",(MIN(D32,E32)*time_tot+ABS(E32-D32)*IF(E32&gt;D32,time2+time*(VLOOKUP(F32,List!$E$35:$F$37,2,)),time*(1-(VLOOKUP(F32,List!$E$35:$F$37,2,))))),0)*($Y$18*$Z$18*($AB$18*Nitrous)/1000)/$N14</f>
        <v>0</v>
      </c>
      <c r="AJ13" s="2468">
        <f>IF($O14="yes",(MIN(D32,G32)*time_tot+ABS(G32-D32)*IF(G32&gt;D32,time2+time*(VLOOKUP(H32,List!$E$35:$F$37,2,)),time*(1-(VLOOKUP(H32,List!$E$35:$F$37,2,))))),0)*($Y$18*$Z$18*($AB$18*Nitrous)/1000)/$P14</f>
        <v>0</v>
      </c>
      <c r="AK13" s="2480"/>
      <c r="AL13" s="2480"/>
      <c r="AM13" s="2468">
        <f>IF($M14="yes",(MIN(D32,E32)*time+ABS(E32-D32)*IF(E32&gt;D32,time*(VLOOKUP(F32,List!$E$35:$F$37,2,)),time*(1-(VLOOKUP(F32,List!$E$35:$F$37,2,))))),0)*($Y$18*$Z$18*($AA$18*methane)/1000)/$N14</f>
        <v>0</v>
      </c>
      <c r="AN13" s="2468">
        <f>IF($O14="yes",(MIN(D32,G32)*time+ABS(G32-D32)*IF(G32&gt;D32,time*(VLOOKUP(H32,List!$E$35:$F$37,2,)),time*(1-(VLOOKUP(H32,List!$E$35:$F$37,2,))))),0)*($Y$18*$Z$18*($AA$18*methane)/1000)/$P14</f>
        <v>0</v>
      </c>
      <c r="AO13" s="2468">
        <f>IF($M14="yes",(MIN(D32,E32)*time+ABS(E32-D32)*IF(E32&gt;D32,time*(VLOOKUP(F32,List!$E$35:$F$37,2,)),time*(1-(VLOOKUP(F32,List!$E$35:$F$37,2,))))),0)*($Y$18*$Z$18*($AB$18*Nitrous)/1000)/$N14</f>
        <v>0</v>
      </c>
      <c r="AP13" s="2468">
        <f>IF($O14="yes",(MIN(D32,G32)*time+ABS(G32-D32)*IF(G32&gt;D32,time*(VLOOKUP(H32,List!$E$35:$F$37,2,)),time*(1-(VLOOKUP(H32,List!$E$35:$F$37,2,))))),0)*($Y$18*$Z$18*($AB$18*Nitrous)/1000)/$P14</f>
        <v>0</v>
      </c>
      <c r="AQ13" s="2622" t="s">
        <v>337</v>
      </c>
      <c r="AR13" s="2469">
        <f>SUM(AH10:AH23)-SUM(AG10:AG23)</f>
        <v>0</v>
      </c>
      <c r="AS13" s="2469">
        <f>SUM(AN10:AN23)-SUM(AM10:AM23)</f>
        <v>0</v>
      </c>
      <c r="AT13" s="2469">
        <f>AR13-AS13</f>
        <v>0</v>
      </c>
      <c r="AU13" s="2460"/>
    </row>
    <row r="14" spans="1:50" ht="13.8" thickBot="1">
      <c r="B14" s="740" t="s">
        <v>1259</v>
      </c>
      <c r="C14" s="1335" t="s">
        <v>73</v>
      </c>
      <c r="D14" s="3180" t="str">
        <f>'4.Grassland'!D16</f>
        <v>Select state</v>
      </c>
      <c r="E14" s="3181"/>
      <c r="F14" s="3182"/>
      <c r="G14" s="3176" t="str">
        <f>'4.Grassland'!J16</f>
        <v>Select state</v>
      </c>
      <c r="H14" s="3177"/>
      <c r="I14" s="3178"/>
      <c r="J14" s="3176" t="str">
        <f>'4.Grassland'!N16</f>
        <v>Select state</v>
      </c>
      <c r="K14" s="3177"/>
      <c r="L14" s="3178"/>
      <c r="M14" s="1905" t="str">
        <f>'4.Grassland'!R16</f>
        <v>NO</v>
      </c>
      <c r="N14" s="1905">
        <f>'4.Grassland'!S16</f>
        <v>5</v>
      </c>
      <c r="O14" s="1905" t="str">
        <f>'4.Grassland'!T16</f>
        <v>NO</v>
      </c>
      <c r="P14" s="1905">
        <f>'4.Grassland'!U16</f>
        <v>5</v>
      </c>
      <c r="Q14" s="1336">
        <f t="shared" si="0"/>
        <v>0</v>
      </c>
      <c r="R14" s="1336">
        <f t="shared" si="1"/>
        <v>0</v>
      </c>
      <c r="S14" s="1336">
        <f t="shared" si="2"/>
        <v>0</v>
      </c>
      <c r="T14" s="1339">
        <f>44*(R14-Q14)/(20*12)</f>
        <v>0</v>
      </c>
      <c r="U14" s="1340">
        <f t="shared" si="3"/>
        <v>0</v>
      </c>
      <c r="V14" s="2114">
        <f>'4.Grassland'!W16</f>
        <v>0</v>
      </c>
      <c r="W14" s="2115">
        <f>'4.Grassland'!X16</f>
        <v>0</v>
      </c>
      <c r="X14" s="2115">
        <f>'4.Grassland'!Y16</f>
        <v>0</v>
      </c>
      <c r="Z14" s="233"/>
      <c r="AB14" s="233"/>
      <c r="AC14" s="240"/>
      <c r="AD14" s="242"/>
      <c r="AE14" s="2460"/>
      <c r="AF14" s="2480"/>
      <c r="AG14" s="2468">
        <f>IF($M15="yes",(MIN(D33,E33)*time_tot+ABS(E33-D33)*IF(E33&gt;D33,time2+time*(VLOOKUP(F33,List!$E$35:$F$37,2,)),time*(1-(VLOOKUP(F33,List!$E$35:$F$37,2,))))),0)*($Y$18*$Z$18*($AA$18*methane)/1000)/$N15</f>
        <v>0</v>
      </c>
      <c r="AH14" s="2468">
        <f>IF($O15="yes",(MIN(D33,G33)*time_tot+ABS(G33-D33)*IF(G33&gt;D33,time2+time*(VLOOKUP(H33,List!$E$35:$F$37,2,)),time*(1-(VLOOKUP(H33,List!$E$35:$F$37,2,))))),0)*($Y$18*$Z$18*($AA$18*methane)/1000)/$P15</f>
        <v>0</v>
      </c>
      <c r="AI14" s="2468">
        <f>IF($M15="yes",(MIN(D33,E33)*time_tot+ABS(E33-D33)*IF(E33&gt;D33,time2+time*(VLOOKUP(F33,List!$E$35:$F$37,2,)),time*(1-(VLOOKUP(F33,List!$E$35:$F$37,2,))))),0)*($Y$18*$Z$18*($AB$18*Nitrous)/1000)/$N15</f>
        <v>0</v>
      </c>
      <c r="AJ14" s="2468">
        <f>IF($O15="yes",(MIN(D33,G33)*time_tot+ABS(G33-D33)*IF(G33&gt;D33,time2+time*(VLOOKUP(H33,List!$E$35:$F$37,2,)),time*(1-(VLOOKUP(H33,List!$E$35:$F$37,2,))))),0)*($Y$18*$Z$18*($AB$18*Nitrous)/1000)/$P15</f>
        <v>0</v>
      </c>
      <c r="AK14" s="2480"/>
      <c r="AL14" s="2480"/>
      <c r="AM14" s="2468">
        <f>IF($M15="yes",(MIN(D33,E33)*time+ABS(E33-D33)*IF(E33&gt;D33,time*(VLOOKUP(F33,List!$E$35:$F$37,2,)),time*(1-(VLOOKUP(F33,List!$E$35:$F$37,2,))))),0)*($Y$18*$Z$18*($AA$18*methane)/1000)/$N15</f>
        <v>0</v>
      </c>
      <c r="AN14" s="2468">
        <f>IF($O15="yes",(MIN(D33,G33)*time+ABS(G33-D33)*IF(G33&gt;D33,time*(VLOOKUP(H33,List!$E$35:$F$37,2,)),time*(1-(VLOOKUP(H33,List!$E$35:$F$37,2,))))),0)*($Y$18*$Z$18*($AA$18*methane)/1000)/$P15</f>
        <v>0</v>
      </c>
      <c r="AO14" s="2468">
        <f>IF($M15="yes",(MIN(D33,E33)*time+ABS(E33-D33)*IF(E33&gt;D33,time*(VLOOKUP(F33,List!$E$35:$F$37,2,)),time*(1-(VLOOKUP(F33,List!$E$35:$F$37,2,))))),0)*($Y$18*$Z$18*($AB$18*Nitrous)/1000)/$N15</f>
        <v>0</v>
      </c>
      <c r="AP14" s="2468">
        <f>IF($O15="yes",(MIN(D33,G33)*time+ABS(G33-D33)*IF(G33&gt;D33,time*(VLOOKUP(H33,List!$E$35:$F$37,2,)),time*(1-(VLOOKUP(H33,List!$E$35:$F$37,2,))))),0)*($Y$18*$Z$18*($AB$18*Nitrous)/1000)/$P15</f>
        <v>0</v>
      </c>
      <c r="AQ14" s="2622" t="s">
        <v>338</v>
      </c>
      <c r="AR14" s="2469">
        <f>SUM(AJ10:AJ23)-SUM(AI10:AI23)</f>
        <v>0</v>
      </c>
      <c r="AS14" s="2469">
        <f>SUM(AP10:AP23)-SUM(AO10:AO23)</f>
        <v>0</v>
      </c>
      <c r="AT14" s="2469">
        <f>AR14-AS14</f>
        <v>0</v>
      </c>
      <c r="AU14" s="2460"/>
    </row>
    <row r="15" spans="1:50" ht="13.8" thickBot="1">
      <c r="B15" s="271" t="s">
        <v>880</v>
      </c>
      <c r="C15" s="766"/>
      <c r="D15" s="3176" t="str">
        <f>'4.Grassland'!D22</f>
        <v>Select state</v>
      </c>
      <c r="E15" s="3177"/>
      <c r="F15" s="3178"/>
      <c r="G15" s="3190" t="str">
        <f>'4.Grassland'!J22</f>
        <v>Select state</v>
      </c>
      <c r="H15" s="3190"/>
      <c r="I15" s="3191"/>
      <c r="J15" s="3189" t="str">
        <f>'4.Grassland'!N22</f>
        <v>Select state</v>
      </c>
      <c r="K15" s="3190"/>
      <c r="L15" s="3191"/>
      <c r="M15" s="1861" t="str">
        <f>'4.Grassland'!R22</f>
        <v>NO</v>
      </c>
      <c r="N15" s="1861">
        <f>'4.Grassland'!S22</f>
        <v>5</v>
      </c>
      <c r="O15" s="1861" t="str">
        <f>'4.Grassland'!T22</f>
        <v>NO</v>
      </c>
      <c r="P15" s="1861">
        <f>'4.Grassland'!U22</f>
        <v>5</v>
      </c>
      <c r="Q15" s="1336">
        <f t="shared" si="0"/>
        <v>0</v>
      </c>
      <c r="R15" s="1336">
        <f t="shared" si="1"/>
        <v>0</v>
      </c>
      <c r="S15" s="1336">
        <f t="shared" si="2"/>
        <v>0</v>
      </c>
      <c r="T15" s="1339">
        <f>44*(R15-Q15)/(20*12)</f>
        <v>0</v>
      </c>
      <c r="U15" s="1340">
        <f t="shared" si="3"/>
        <v>0</v>
      </c>
      <c r="V15" s="2114">
        <f>'4.Grassland'!W22</f>
        <v>0</v>
      </c>
      <c r="W15" s="2114">
        <f>'4.Grassland'!X22</f>
        <v>0</v>
      </c>
      <c r="X15" s="2114">
        <f>'4.Grassland'!Y22</f>
        <v>0</v>
      </c>
      <c r="Y15" s="584" t="s">
        <v>869</v>
      </c>
      <c r="Z15" s="733" t="s">
        <v>538</v>
      </c>
      <c r="AA15" s="546"/>
      <c r="AB15" s="550"/>
      <c r="AC15" s="562" t="s">
        <v>875</v>
      </c>
      <c r="AD15" s="242"/>
      <c r="AE15" s="2460"/>
      <c r="AF15" s="2480"/>
      <c r="AG15" s="2468">
        <f>IF($M16="yes",(MIN(D34,E34)*time_tot+ABS(E34-D34)*IF(E34&gt;D34,time2+time*(VLOOKUP(F34,List!$E$35:$F$37,2,)),time*(1-(VLOOKUP(F34,List!$E$35:$F$37,2,))))),0)*($Y$18*$Z$18*($AA$18*methane)/1000)/$N16</f>
        <v>0</v>
      </c>
      <c r="AH15" s="2468">
        <f>IF($O16="yes",(MIN(D34,G34)*time_tot+ABS(G34-D34)*IF(G34&gt;D34,time2+time*(VLOOKUP(H34,List!$E$35:$F$37,2,)),time*(1-(VLOOKUP(H34,List!$E$35:$F$37,2,))))),0)*($Y$18*$Z$18*($AA$18*methane)/1000)/$P16</f>
        <v>0</v>
      </c>
      <c r="AI15" s="2468">
        <f>IF($M16="yes",(MIN(D34,E34)*time_tot+ABS(E34-D34)*IF(E34&gt;D34,time2+time*(VLOOKUP(F34,List!$E$35:$F$37,2,)),time*(1-(VLOOKUP(F34,List!$E$35:$F$37,2,))))),0)*($Y$18*$Z$18*($AB$18*Nitrous)/1000)/$N16</f>
        <v>0</v>
      </c>
      <c r="AJ15" s="2468">
        <f>IF($O16="yes",(MIN(D34,G34)*time_tot+ABS(G34-D34)*IF(G34&gt;D34,time2+time*(VLOOKUP(H34,List!$E$35:$F$37,2,)),time*(1-(VLOOKUP(H34,List!$E$35:$F$37,2,))))),0)*($Y$18*$Z$18*($AB$18*Nitrous)/1000)/$P16</f>
        <v>0</v>
      </c>
      <c r="AK15" s="2480"/>
      <c r="AL15" s="2480"/>
      <c r="AM15" s="2468">
        <f>IF($M16="yes",(MIN(D34,E34)*time+ABS(E34-D34)*IF(E34&gt;D34,time*(VLOOKUP(F34,List!$E$35:$F$37,2,)),time*(1-(VLOOKUP(F34,List!$E$35:$F$37,2,))))),0)*($Y$18*$Z$18*($AA$18*methane)/1000)/$N16</f>
        <v>0</v>
      </c>
      <c r="AN15" s="2468">
        <f>IF($O16="yes",(MIN(D34,G34)*time+ABS(G34-D34)*IF(G34&gt;D34,time*(VLOOKUP(H34,List!$E$35:$F$37,2,)),time*(1-(VLOOKUP(H34,List!$E$35:$F$37,2,))))),0)*($Y$18*$Z$18*($AA$18*methane)/1000)/$P16</f>
        <v>0</v>
      </c>
      <c r="AO15" s="2468">
        <f>IF($M16="yes",(MIN(D34,E34)*time+ABS(E34-D34)*IF(E34&gt;D34,time*(VLOOKUP(F34,List!$E$35:$F$37,2,)),time*(1-(VLOOKUP(F34,List!$E$35:$F$37,2,))))),0)*($Y$18*$Z$18*($AB$18*Nitrous)/1000)/$N16</f>
        <v>0</v>
      </c>
      <c r="AP15" s="2468">
        <f>IF($O16="yes",(MIN(D34,G34)*time+ABS(G34-D34)*IF(G34&gt;D34,time*(VLOOKUP(H34,List!$E$35:$F$37,2,)),time*(1-(VLOOKUP(H34,List!$E$35:$F$37,2,))))),0)*($Y$18*$Z$18*($AB$18*Nitrous)/1000)/$P16</f>
        <v>0</v>
      </c>
      <c r="AQ15" s="2622"/>
      <c r="AR15" s="2469">
        <f>SUM(AR11:AR14)</f>
        <v>0</v>
      </c>
      <c r="AS15" s="2469">
        <f>SUM(AS11:AS14)</f>
        <v>0</v>
      </c>
      <c r="AT15" s="2469">
        <f>SUM(AT11:AT14)</f>
        <v>0</v>
      </c>
      <c r="AU15" s="2460"/>
    </row>
    <row r="16" spans="1:50" ht="13.8" thickBot="1">
      <c r="B16" s="271" t="s">
        <v>881</v>
      </c>
      <c r="C16" s="766"/>
      <c r="D16" s="3176" t="str">
        <f>'4.Grassland'!D23</f>
        <v>Select state</v>
      </c>
      <c r="E16" s="3177"/>
      <c r="F16" s="3178"/>
      <c r="G16" s="3190" t="str">
        <f>'4.Grassland'!J23</f>
        <v>Select state</v>
      </c>
      <c r="H16" s="3190"/>
      <c r="I16" s="3191"/>
      <c r="J16" s="3189" t="str">
        <f>'4.Grassland'!N23</f>
        <v>Select state</v>
      </c>
      <c r="K16" s="3190"/>
      <c r="L16" s="3191"/>
      <c r="M16" s="1861" t="str">
        <f>'4.Grassland'!R23</f>
        <v>NO</v>
      </c>
      <c r="N16" s="1861">
        <f>'4.Grassland'!S23</f>
        <v>5</v>
      </c>
      <c r="O16" s="1861" t="str">
        <f>'4.Grassland'!T23</f>
        <v>NO</v>
      </c>
      <c r="P16" s="1861">
        <f>'4.Grassland'!U23</f>
        <v>5</v>
      </c>
      <c r="Q16" s="1336">
        <f t="shared" si="0"/>
        <v>0</v>
      </c>
      <c r="R16" s="1336">
        <f t="shared" si="1"/>
        <v>0</v>
      </c>
      <c r="S16" s="1336">
        <f t="shared" si="2"/>
        <v>0</v>
      </c>
      <c r="T16" s="1339">
        <f t="shared" ref="T16:T24" si="4">44*(R16-Q16)/(20*12)</f>
        <v>0</v>
      </c>
      <c r="U16" s="1340">
        <f>44*(S16-Q16)/(20*12)</f>
        <v>0</v>
      </c>
      <c r="V16" s="2114">
        <f>'4.Grassland'!W23</f>
        <v>0</v>
      </c>
      <c r="W16" s="2114">
        <f>'4.Grassland'!X23</f>
        <v>0</v>
      </c>
      <c r="X16" s="2114">
        <f>'4.Grassland'!Y23</f>
        <v>0</v>
      </c>
      <c r="Y16" s="586" t="s">
        <v>870</v>
      </c>
      <c r="Z16" s="549" t="s">
        <v>537</v>
      </c>
      <c r="AA16" s="546" t="s">
        <v>337</v>
      </c>
      <c r="AB16" s="550" t="s">
        <v>338</v>
      </c>
      <c r="AC16" s="559" t="s">
        <v>876</v>
      </c>
      <c r="AD16" s="242"/>
      <c r="AE16" s="2460"/>
      <c r="AF16" s="2480"/>
      <c r="AG16" s="2468">
        <f>IF($M17="yes",(MIN(D35,E35)*time_tot+ABS(E35-D35)*IF(E35&gt;D35,time2+time*(VLOOKUP(F35,List!$E$35:$F$37,2,)),time*(1-(VLOOKUP(F35,List!$E$35:$F$37,2,))))),0)*($Y$18*$Z$18*($AA$18*methane)/1000)/$N17</f>
        <v>0</v>
      </c>
      <c r="AH16" s="2468">
        <f>IF($O17="yes",(MIN(D35,G35)*time_tot+ABS(G35-D35)*IF(G35&gt;D35,time2+time*(VLOOKUP(H35,List!$E$35:$F$37,2,)),time*(1-(VLOOKUP(H35,List!$E$35:$F$37,2,))))),0)*($Y$18*$Z$18*($AA$18*methane)/1000)/$P17</f>
        <v>0</v>
      </c>
      <c r="AI16" s="2468">
        <f>IF($M17="yes",(MIN(D35,E35)*time_tot+ABS(E35-D35)*IF(E35&gt;D35,time2+time*(VLOOKUP(F35,List!$E$35:$F$37,2,)),time*(1-(VLOOKUP(F35,List!$E$35:$F$37,2,))))),0)*($Y$18*$Z$18*($AB$18*Nitrous)/1000)/$N17</f>
        <v>0</v>
      </c>
      <c r="AJ16" s="2468">
        <f>IF($O17="yes",(MIN(D35,G35)*time_tot+ABS(G35-D35)*IF(G35&gt;D35,time2+time*(VLOOKUP(H35,List!$E$35:$F$37,2,)),time*(1-(VLOOKUP(H35,List!$E$35:$F$37,2,))))),0)*($Y$18*$Z$18*($AB$18*Nitrous)/1000)/$P17</f>
        <v>0</v>
      </c>
      <c r="AK16" s="2480"/>
      <c r="AL16" s="2480"/>
      <c r="AM16" s="2468">
        <f>IF($M17="yes",(MIN(D35,E35)*time+ABS(E35-D35)*IF(E35&gt;D35,time*(VLOOKUP(F35,List!$E$35:$F$37,2,)),time*(1-(VLOOKUP(F35,List!$E$35:$F$37,2,))))),0)*($Y$18*$Z$18*($AA$18*methane)/1000)/$N17</f>
        <v>0</v>
      </c>
      <c r="AN16" s="2468">
        <f>IF($O17="yes",(MIN(D35,G35)*time+ABS(G35-D35)*IF(G35&gt;D35,time*(VLOOKUP(H35,List!$E$35:$F$37,2,)),time*(1-(VLOOKUP(H35,List!$E$35:$F$37,2,))))),0)*($Y$18*$Z$18*($AA$18*methane)/1000)/$P17</f>
        <v>0</v>
      </c>
      <c r="AO16" s="2468">
        <f>IF($M17="yes",(MIN(D35,E35)*time+ABS(E35-D35)*IF(E35&gt;D35,time*(VLOOKUP(F35,List!$E$35:$F$37,2,)),time*(1-(VLOOKUP(F35,List!$E$35:$F$37,2,))))),0)*($Y$18*$Z$18*($AB$18*Nitrous)/1000)/$N17</f>
        <v>0</v>
      </c>
      <c r="AP16" s="2468">
        <f>IF($O17="yes",(MIN(D35,G35)*time+ABS(G35-D35)*IF(G35&gt;D35,time*(VLOOKUP(H35,List!$E$35:$F$37,2,)),time*(1-(VLOOKUP(H35,List!$E$35:$F$37,2,))))),0)*($Y$18*$Z$18*($AB$18*Nitrous)/1000)/$P17</f>
        <v>0</v>
      </c>
      <c r="AQ16" s="2480"/>
      <c r="AR16" s="2460"/>
      <c r="AS16" s="2460"/>
      <c r="AT16" s="2460"/>
      <c r="AU16" s="2460"/>
    </row>
    <row r="17" spans="2:47" ht="13.8" thickBot="1">
      <c r="B17" s="271" t="s">
        <v>882</v>
      </c>
      <c r="C17" s="766"/>
      <c r="D17" s="3176" t="str">
        <f>'4.Grassland'!D24</f>
        <v>Select state</v>
      </c>
      <c r="E17" s="3177"/>
      <c r="F17" s="3178"/>
      <c r="G17" s="3190" t="str">
        <f>'4.Grassland'!J24</f>
        <v>Select state</v>
      </c>
      <c r="H17" s="3190"/>
      <c r="I17" s="3191"/>
      <c r="J17" s="3189" t="str">
        <f>'4.Grassland'!N24</f>
        <v>Select state</v>
      </c>
      <c r="K17" s="3190"/>
      <c r="L17" s="3191"/>
      <c r="M17" s="1861" t="str">
        <f>'4.Grassland'!R24</f>
        <v>NO</v>
      </c>
      <c r="N17" s="1861">
        <f>'4.Grassland'!S24</f>
        <v>5</v>
      </c>
      <c r="O17" s="1861" t="str">
        <f>'4.Grassland'!T24</f>
        <v>NO</v>
      </c>
      <c r="P17" s="1861">
        <f>'4.Grassland'!U24</f>
        <v>5</v>
      </c>
      <c r="Q17" s="1336">
        <f t="shared" si="0"/>
        <v>0</v>
      </c>
      <c r="R17" s="1336">
        <f t="shared" si="1"/>
        <v>0</v>
      </c>
      <c r="S17" s="1336">
        <f t="shared" si="2"/>
        <v>0</v>
      </c>
      <c r="T17" s="1339">
        <f t="shared" si="4"/>
        <v>0</v>
      </c>
      <c r="U17" s="1340">
        <f t="shared" si="3"/>
        <v>0</v>
      </c>
      <c r="V17" s="2114">
        <f>'4.Grassland'!W24</f>
        <v>0</v>
      </c>
      <c r="W17" s="2114">
        <f>'4.Grassland'!X24</f>
        <v>0</v>
      </c>
      <c r="X17" s="2114">
        <f>'4.Grassland'!Y24</f>
        <v>0</v>
      </c>
      <c r="Y17" s="586" t="s">
        <v>874</v>
      </c>
      <c r="Z17" s="549" t="s">
        <v>539</v>
      </c>
      <c r="AA17" s="611" t="s">
        <v>540</v>
      </c>
      <c r="AB17" s="736"/>
      <c r="AC17" s="559" t="s">
        <v>877</v>
      </c>
      <c r="AD17" s="242"/>
      <c r="AE17" s="2460"/>
      <c r="AF17" s="2480"/>
      <c r="AG17" s="2468">
        <f>IF($M18="yes",(MIN(D36,E36)*time_tot+ABS(E36-D36)*IF(E36&gt;D36,time2+time*(VLOOKUP(F36,List!$E$35:$F$37,2,)),time*(1-(VLOOKUP(F36,List!$E$35:$F$37,2,))))),0)*($Y$18*$Z$18*($AA$18*methane)/1000)/$N18</f>
        <v>0</v>
      </c>
      <c r="AH17" s="2468">
        <f>IF($O18="yes",(MIN(D36,G36)*time_tot+ABS(G36-D36)*IF(G36&gt;D36,time2+time*(VLOOKUP(H36,List!$E$35:$F$37,2,)),time*(1-(VLOOKUP(H36,List!$E$35:$F$37,2,))))),0)*($Y$18*$Z$18*($AA$18*methane)/1000)/$P18</f>
        <v>0</v>
      </c>
      <c r="AI17" s="2468">
        <f>IF($M18="yes",(MIN(D36,E36)*time_tot+ABS(E36-D36)*IF(E36&gt;D36,time2+time*(VLOOKUP(F36,List!$E$35:$F$37,2,)),time*(1-(VLOOKUP(F36,List!$E$35:$F$37,2,))))),0)*($Y$18*$Z$18*($AB$18*Nitrous)/1000)/$N18</f>
        <v>0</v>
      </c>
      <c r="AJ17" s="2468">
        <f>IF($O18="yes",(MIN(D36,G36)*time_tot+ABS(G36-D36)*IF(G36&gt;D36,time2+time*(VLOOKUP(H36,List!$E$35:$F$37,2,)),time*(1-(VLOOKUP(H36,List!$E$35:$F$37,2,))))),0)*($Y$18*$Z$18*($AB$18*Nitrous)/1000)/$P18</f>
        <v>0</v>
      </c>
      <c r="AK17" s="2480"/>
      <c r="AL17" s="2480"/>
      <c r="AM17" s="2468">
        <f>IF($M18="yes",(MIN(D36,E36)*time+ABS(E36-D36)*IF(E36&gt;D36,time*(VLOOKUP(F36,List!$E$35:$F$37,2,)),time*(1-(VLOOKUP(F36,List!$E$35:$F$37,2,))))),0)*($Y$18*$Z$18*($AA$18*methane)/1000)/$N18</f>
        <v>0</v>
      </c>
      <c r="AN17" s="2468">
        <f>IF($O18="yes",(MIN(D36,G36)*time+ABS(G36-D36)*IF(G36&gt;D36,time*(VLOOKUP(H36,List!$E$35:$F$37,2,)),time*(1-(VLOOKUP(H36,List!$E$35:$F$37,2,))))),0)*($Y$18*$Z$18*($AA$18*methane)/1000)/$P18</f>
        <v>0</v>
      </c>
      <c r="AO17" s="2468">
        <f>IF($M18="yes",(MIN(D36,E36)*time+ABS(E36-D36)*IF(E36&gt;D36,time*(VLOOKUP(F36,List!$E$35:$F$37,2,)),time*(1-(VLOOKUP(F36,List!$E$35:$F$37,2,))))),0)*($Y$18*$Z$18*($AB$18*Nitrous)/1000)/$N18</f>
        <v>0</v>
      </c>
      <c r="AP17" s="2468">
        <f>IF($O18="yes",(MIN(D36,G36)*time+ABS(G36-D36)*IF(G36&gt;D36,time*(VLOOKUP(H36,List!$E$35:$F$37,2,)),time*(1-(VLOOKUP(H36,List!$E$35:$F$37,2,))))),0)*($Y$18*$Z$18*($AB$18*Nitrous)/1000)/$P18</f>
        <v>0</v>
      </c>
      <c r="AQ17" s="2480"/>
      <c r="AR17" s="2460"/>
      <c r="AS17" s="2460"/>
      <c r="AT17" s="2460"/>
      <c r="AU17" s="2460"/>
    </row>
    <row r="18" spans="2:47" ht="13.8" thickBot="1">
      <c r="B18" s="271" t="s">
        <v>883</v>
      </c>
      <c r="C18" s="766"/>
      <c r="D18" s="3176" t="str">
        <f>'4.Grassland'!D25</f>
        <v>Select state</v>
      </c>
      <c r="E18" s="3177"/>
      <c r="F18" s="3178"/>
      <c r="G18" s="3190" t="str">
        <f>'4.Grassland'!J25</f>
        <v>Select state</v>
      </c>
      <c r="H18" s="3190"/>
      <c r="I18" s="3191"/>
      <c r="J18" s="3189" t="str">
        <f>'4.Grassland'!N25</f>
        <v>Select state</v>
      </c>
      <c r="K18" s="3190"/>
      <c r="L18" s="3191"/>
      <c r="M18" s="1861" t="str">
        <f>'4.Grassland'!R25</f>
        <v>NO</v>
      </c>
      <c r="N18" s="1861">
        <f>'4.Grassland'!S25</f>
        <v>5</v>
      </c>
      <c r="O18" s="1861" t="str">
        <f>'4.Grassland'!T25</f>
        <v>NO</v>
      </c>
      <c r="P18" s="1861">
        <f>'4.Grassland'!U25</f>
        <v>5</v>
      </c>
      <c r="Q18" s="1336">
        <f t="shared" si="0"/>
        <v>0</v>
      </c>
      <c r="R18" s="1336">
        <f t="shared" si="1"/>
        <v>0</v>
      </c>
      <c r="S18" s="1336">
        <f t="shared" si="2"/>
        <v>0</v>
      </c>
      <c r="T18" s="1339">
        <f t="shared" si="4"/>
        <v>0</v>
      </c>
      <c r="U18" s="1340">
        <f t="shared" si="3"/>
        <v>0</v>
      </c>
      <c r="V18" s="2114">
        <f>'4.Grassland'!W25</f>
        <v>0</v>
      </c>
      <c r="W18" s="2114">
        <f>'4.Grassland'!X25</f>
        <v>0</v>
      </c>
      <c r="X18" s="2114">
        <f>'4.Grassland'!Y25</f>
        <v>0</v>
      </c>
      <c r="Y18" s="2655">
        <f>IF('4.Grassland'!O92="",'4.Grassland'!N92,'4.Grassland'!O92)</f>
        <v>0</v>
      </c>
      <c r="Z18" s="2656">
        <f>IF('4.Grassland'!O96="",'4.Grassland'!N96,'4.Grassland'!O96)</f>
        <v>0.77</v>
      </c>
      <c r="AA18" s="546">
        <v>2.2999999999999998</v>
      </c>
      <c r="AB18" s="550">
        <v>0.21</v>
      </c>
      <c r="AC18" s="1341">
        <f>$Y$18*$Z$18*($AA$18*methane+$AB$18*Nitrous)/1000</f>
        <v>0</v>
      </c>
      <c r="AD18" s="234"/>
      <c r="AE18" s="2467"/>
      <c r="AF18" s="2473"/>
      <c r="AG18" s="2468">
        <f>IF($M19="yes",(MIN(D37,E37)*time_tot+ABS(E37-D37)*IF(E37&gt;D37,time2+time*(VLOOKUP(F37,List!$E$35:$F$37,2,)),time*(1-(VLOOKUP(F37,List!$E$35:$F$37,2,))))),0)*($Y$18*$Z$18*($AA$18*methane)/1000)/$N19</f>
        <v>0</v>
      </c>
      <c r="AH18" s="2468">
        <f>IF($O19="yes",(MIN(D37,G37)*time_tot+ABS(G37-D37)*IF(G37&gt;D37,time2+time*(VLOOKUP(H37,List!$E$35:$F$37,2,)),time*(1-(VLOOKUP(H37,List!$E$35:$F$37,2,))))),0)*($Y$18*$Z$18*($AA$18*methane)/1000)/$P19</f>
        <v>0</v>
      </c>
      <c r="AI18" s="2468">
        <f>IF($M19="yes",(MIN(D37,E37)*time_tot+ABS(E37-D37)*IF(E37&gt;D37,time2+time*(VLOOKUP(F37,List!$E$35:$F$37,2,)),time*(1-(VLOOKUP(F37,List!$E$35:$F$37,2,))))),0)*($Y$18*$Z$18*($AB$18*Nitrous)/1000)/$N19</f>
        <v>0</v>
      </c>
      <c r="AJ18" s="2468">
        <f>IF($O19="yes",(MIN(D37,G37)*time_tot+ABS(G37-D37)*IF(G37&gt;D37,time2+time*(VLOOKUP(H37,List!$E$35:$F$37,2,)),time*(1-(VLOOKUP(H37,List!$E$35:$F$37,2,))))),0)*($Y$18*$Z$18*($AB$18*Nitrous)/1000)/$P19</f>
        <v>0</v>
      </c>
      <c r="AK18" s="2480"/>
      <c r="AL18" s="2480"/>
      <c r="AM18" s="2468">
        <f>IF($M19="yes",(MIN(D37,E37)*time+ABS(E37-D37)*IF(E37&gt;D37,time*(VLOOKUP(F37,List!$E$35:$F$37,2,)),time*(1-(VLOOKUP(F37,List!$E$35:$F$37,2,))))),0)*($Y$18*$Z$18*($AA$18*methane)/1000)/$N19</f>
        <v>0</v>
      </c>
      <c r="AN18" s="2468">
        <f>IF($O19="yes",(MIN(D37,G37)*time+ABS(G37-D37)*IF(G37&gt;D37,time*(VLOOKUP(H37,List!$E$35:$F$37,2,)),time*(1-(VLOOKUP(H37,List!$E$35:$F$37,2,))))),0)*($Y$18*$Z$18*($AA$18*methane)/1000)/$P19</f>
        <v>0</v>
      </c>
      <c r="AO18" s="2468">
        <f>IF($M19="yes",(MIN(D37,E37)*time+ABS(E37-D37)*IF(E37&gt;D37,time*(VLOOKUP(F37,List!$E$35:$F$37,2,)),time*(1-(VLOOKUP(F37,List!$E$35:$F$37,2,))))),0)*($Y$18*$Z$18*($AB$18*Nitrous)/1000)/$N19</f>
        <v>0</v>
      </c>
      <c r="AP18" s="2468">
        <f>IF($O19="yes",(MIN(D37,G37)*time+ABS(G37-D37)*IF(G37&gt;D37,time*(VLOOKUP(H37,List!$E$35:$F$37,2,)),time*(1-(VLOOKUP(H37,List!$E$35:$F$37,2,))))),0)*($Y$18*$Z$18*($AB$18*Nitrous)/1000)/$P19</f>
        <v>0</v>
      </c>
      <c r="AQ18" s="2622" t="s">
        <v>25</v>
      </c>
      <c r="AR18" s="2469" t="s">
        <v>690</v>
      </c>
      <c r="AS18" s="2460" t="s">
        <v>691</v>
      </c>
      <c r="AT18" s="2460"/>
      <c r="AU18" s="2460"/>
    </row>
    <row r="19" spans="2:47" ht="13.8" thickBot="1">
      <c r="B19" s="271" t="s">
        <v>884</v>
      </c>
      <c r="C19" s="766"/>
      <c r="D19" s="3176" t="str">
        <f>'4.Grassland'!D26</f>
        <v>Select state</v>
      </c>
      <c r="E19" s="3177"/>
      <c r="F19" s="3178"/>
      <c r="G19" s="3190" t="str">
        <f>'4.Grassland'!J26</f>
        <v>Select state</v>
      </c>
      <c r="H19" s="3190"/>
      <c r="I19" s="3191"/>
      <c r="J19" s="3189" t="str">
        <f>'4.Grassland'!N26</f>
        <v>Select state</v>
      </c>
      <c r="K19" s="3190"/>
      <c r="L19" s="3191"/>
      <c r="M19" s="1861" t="str">
        <f>'4.Grassland'!R26</f>
        <v>NO</v>
      </c>
      <c r="N19" s="1861">
        <f>'4.Grassland'!S26</f>
        <v>5</v>
      </c>
      <c r="O19" s="1861" t="str">
        <f>'4.Grassland'!T26</f>
        <v>NO</v>
      </c>
      <c r="P19" s="1861">
        <f>'4.Grassland'!U26</f>
        <v>5</v>
      </c>
      <c r="Q19" s="1336">
        <f t="shared" si="0"/>
        <v>0</v>
      </c>
      <c r="R19" s="1336">
        <f t="shared" si="1"/>
        <v>0</v>
      </c>
      <c r="S19" s="1336">
        <f t="shared" si="2"/>
        <v>0</v>
      </c>
      <c r="T19" s="1339">
        <f t="shared" si="4"/>
        <v>0</v>
      </c>
      <c r="U19" s="1340">
        <f t="shared" si="3"/>
        <v>0</v>
      </c>
      <c r="V19" s="2114">
        <f>'4.Grassland'!W26</f>
        <v>0</v>
      </c>
      <c r="W19" s="2114">
        <f>'4.Grassland'!X26</f>
        <v>0</v>
      </c>
      <c r="X19" s="2114">
        <f>'4.Grassland'!Y26</f>
        <v>0</v>
      </c>
      <c r="AD19" s="234"/>
      <c r="AE19" s="2467"/>
      <c r="AF19" s="2473"/>
      <c r="AG19" s="2468">
        <f>IF($M20="yes",(MIN(D38,E38)*time_tot+ABS(E38-D38)*IF(E38&gt;D38,time2+time*(VLOOKUP(F38,List!$E$35:$F$37,2,)),time*(1-(VLOOKUP(F38,List!$E$35:$F$37,2,))))),0)*($Y$18*$Z$18*($AA$18*methane)/1000)/$N20</f>
        <v>0</v>
      </c>
      <c r="AH19" s="2468">
        <f>IF($O20="yes",(MIN(D38,G38)*time_tot+ABS(G38-D38)*IF(G38&gt;D38,time2+time*(VLOOKUP(H38,List!$E$35:$F$37,2,)),time*(1-(VLOOKUP(H38,List!$E$35:$F$37,2,))))),0)*($Y$18*$Z$18*($AA$18*methane)/1000)/$P20</f>
        <v>0</v>
      </c>
      <c r="AI19" s="2468">
        <f>IF($M20="yes",(MIN(D38,E38)*time_tot+ABS(E38-D38)*IF(E38&gt;D38,time2+time*(VLOOKUP(F38,List!$E$35:$F$37,2,)),time*(1-(VLOOKUP(F38,List!$E$35:$F$37,2,))))),0)*($Y$18*$Z$18*($AB$18*Nitrous)/1000)/$N20</f>
        <v>0</v>
      </c>
      <c r="AJ19" s="2468">
        <f>IF($O20="yes",(MIN(D38,G38)*time_tot+ABS(G38-D38)*IF(G38&gt;D38,time2+time*(VLOOKUP(H38,List!$E$35:$F$37,2,)),time*(1-(VLOOKUP(H38,List!$E$35:$F$37,2,))))),0)*($Y$18*$Z$18*($AB$18*Nitrous)/1000)/$P20</f>
        <v>0</v>
      </c>
      <c r="AK19" s="2480"/>
      <c r="AL19" s="2480"/>
      <c r="AM19" s="2468">
        <f>IF($M20="yes",(MIN(D38,E38)*time+ABS(E38-D38)*IF(E38&gt;D38,time*(VLOOKUP(F38,List!$E$35:$F$37,2,)),time*(1-(VLOOKUP(F38,List!$E$35:$F$37,2,))))),0)*($Y$18*$Z$18*($AA$18*methane)/1000)/$N20</f>
        <v>0</v>
      </c>
      <c r="AN19" s="2468">
        <f>IF($O20="yes",(MIN(D38,G38)*time+ABS(G38-D38)*IF(G38&gt;D38,time*(VLOOKUP(H38,List!$E$35:$F$37,2,)),time*(1-(VLOOKUP(H38,List!$E$35:$F$37,2,))))),0)*($Y$18*$Z$18*($AA$18*methane)/1000)/$P20</f>
        <v>0</v>
      </c>
      <c r="AO19" s="2468">
        <f>IF($M20="yes",(MIN(D38,E38)*time+ABS(E38-D38)*IF(E38&gt;D38,time*(VLOOKUP(F38,List!$E$35:$F$37,2,)),time*(1-(VLOOKUP(F38,List!$E$35:$F$37,2,))))),0)*($Y$18*$Z$18*($AB$18*Nitrous)/1000)/$N20</f>
        <v>0</v>
      </c>
      <c r="AP19" s="2468">
        <f>IF($O20="yes",(MIN(D38,G38)*time+ABS(G38-D38)*IF(G38&gt;D38,time*(VLOOKUP(H38,List!$E$35:$F$37,2,)),time*(1-(VLOOKUP(H38,List!$E$35:$F$37,2,))))),0)*($Y$18*$Z$18*($AB$18*Nitrous)/1000)/$P20</f>
        <v>0</v>
      </c>
      <c r="AQ19" s="2622" t="s">
        <v>26</v>
      </c>
      <c r="AR19" s="2469">
        <v>0</v>
      </c>
      <c r="AS19" s="2460">
        <v>0</v>
      </c>
      <c r="AT19" s="2460"/>
      <c r="AU19" s="2460"/>
    </row>
    <row r="20" spans="2:47" ht="13.8" thickBot="1">
      <c r="B20" s="271" t="s">
        <v>885</v>
      </c>
      <c r="C20" s="766"/>
      <c r="D20" s="3176" t="str">
        <f>'4.Grassland'!D27</f>
        <v>Select state</v>
      </c>
      <c r="E20" s="3177"/>
      <c r="F20" s="3178"/>
      <c r="G20" s="3190" t="str">
        <f>'4.Grassland'!J27</f>
        <v>Select state</v>
      </c>
      <c r="H20" s="3190"/>
      <c r="I20" s="3191"/>
      <c r="J20" s="3189" t="str">
        <f>'4.Grassland'!N27</f>
        <v>Select state</v>
      </c>
      <c r="K20" s="3190"/>
      <c r="L20" s="3191"/>
      <c r="M20" s="1861" t="str">
        <f>'4.Grassland'!R27</f>
        <v>NO</v>
      </c>
      <c r="N20" s="1861">
        <f>'4.Grassland'!S27</f>
        <v>5</v>
      </c>
      <c r="O20" s="1861" t="str">
        <f>'4.Grassland'!T27</f>
        <v>NO</v>
      </c>
      <c r="P20" s="1861">
        <f>'4.Grassland'!U27</f>
        <v>5</v>
      </c>
      <c r="Q20" s="1336">
        <f t="shared" si="0"/>
        <v>0</v>
      </c>
      <c r="R20" s="1336">
        <f t="shared" si="1"/>
        <v>0</v>
      </c>
      <c r="S20" s="1336">
        <f t="shared" si="2"/>
        <v>0</v>
      </c>
      <c r="T20" s="1339">
        <f t="shared" si="4"/>
        <v>0</v>
      </c>
      <c r="U20" s="1340">
        <f t="shared" si="3"/>
        <v>0</v>
      </c>
      <c r="V20" s="2114">
        <f>'4.Grassland'!W27</f>
        <v>0</v>
      </c>
      <c r="W20" s="2114">
        <f>'4.Grassland'!X27</f>
        <v>0</v>
      </c>
      <c r="X20" s="2114">
        <f>'4.Grassland'!Y27</f>
        <v>0</v>
      </c>
      <c r="AD20" s="234"/>
      <c r="AE20" s="2467"/>
      <c r="AF20" s="2473"/>
      <c r="AG20" s="2468">
        <f>IF($M21="yes",(MIN(D39,E39)*time_tot+ABS(E39-D39)*IF(E39&gt;D39,time2+time*(VLOOKUP(F39,List!$E$35:$F$37,2,)),time*(1-(VLOOKUP(F39,List!$E$35:$F$37,2,))))),0)*($Y$18*$Z$18*($AA$18*methane)/1000)/$N21</f>
        <v>0</v>
      </c>
      <c r="AH20" s="2468">
        <f>IF($O21="yes",(MIN(D39,G39)*time_tot+ABS(G39-D39)*IF(G39&gt;D39,time2+time*(VLOOKUP(H39,List!$E$35:$F$37,2,)),time*(1-(VLOOKUP(H39,List!$E$35:$F$37,2,))))),0)*($Y$18*$Z$18*($AA$18*methane)/1000)/$P21</f>
        <v>0</v>
      </c>
      <c r="AI20" s="2468">
        <f>IF($M21="yes",(MIN(D39,E39)*time_tot+ABS(E39-D39)*IF(E39&gt;D39,time2+time*(VLOOKUP(F39,List!$E$35:$F$37,2,)),time*(1-(VLOOKUP(F39,List!$E$35:$F$37,2,))))),0)*($Y$18*$Z$18*($AB$18*Nitrous)/1000)/$N21</f>
        <v>0</v>
      </c>
      <c r="AJ20" s="2468">
        <f>IF($O21="yes",(MIN(D39,G39)*time_tot+ABS(G39-D39)*IF(G39&gt;D39,time2+time*(VLOOKUP(H39,List!$E$35:$F$37,2,)),time*(1-(VLOOKUP(H39,List!$E$35:$F$37,2,))))),0)*($Y$18*$Z$18*($AB$18*Nitrous)/1000)/$P21</f>
        <v>0</v>
      </c>
      <c r="AK20" s="2480"/>
      <c r="AL20" s="2480"/>
      <c r="AM20" s="2468">
        <f>IF($M21="yes",(MIN(D39,E39)*time+ABS(E39-D39)*IF(E39&gt;D39,time*(VLOOKUP(F39,List!$E$35:$F$37,2,)),time*(1-(VLOOKUP(F39,List!$E$35:$F$37,2,))))),0)*($Y$18*$Z$18*($AA$18*methane)/1000)/$N21</f>
        <v>0</v>
      </c>
      <c r="AN20" s="2468">
        <f>IF($O21="yes",(MIN(D39,G39)*time+ABS(G39-D39)*IF(G39&gt;D39,time*(VLOOKUP(H39,List!$E$35:$F$37,2,)),time*(1-(VLOOKUP(H39,List!$E$35:$F$37,2,))))),0)*($Y$18*$Z$18*($AA$18*methane)/1000)/$P21</f>
        <v>0</v>
      </c>
      <c r="AO20" s="2468">
        <f>IF($M21="yes",(MIN(D39,E39)*time+ABS(E39-D39)*IF(E39&gt;D39,time*(VLOOKUP(F39,List!$E$35:$F$37,2,)),time*(1-(VLOOKUP(F39,List!$E$35:$F$37,2,))))),0)*($Y$18*$Z$18*($AB$18*Nitrous)/1000)/$N21</f>
        <v>0</v>
      </c>
      <c r="AP20" s="2468">
        <f>IF($O21="yes",(MIN(D39,G39)*time+ABS(G39-D39)*IF(G39&gt;D39,time*(VLOOKUP(H39,List!$E$35:$F$37,2,)),time*(1-(VLOOKUP(H39,List!$E$35:$F$37,2,))))),0)*($Y$18*$Z$18*($AB$18*Nitrous)/1000)/$P21</f>
        <v>0</v>
      </c>
      <c r="AQ20" s="2622" t="s">
        <v>27</v>
      </c>
      <c r="AR20" s="2469">
        <f>SUM(I29:I42)</f>
        <v>0</v>
      </c>
      <c r="AS20" s="2469">
        <f>SUM(J29:J42)</f>
        <v>0</v>
      </c>
      <c r="AT20" s="2460"/>
      <c r="AU20" s="2460"/>
    </row>
    <row r="21" spans="2:47" ht="13.8" thickBot="1">
      <c r="B21" s="271" t="s">
        <v>886</v>
      </c>
      <c r="C21" s="766"/>
      <c r="D21" s="3176" t="str">
        <f>'4.Grassland'!D28</f>
        <v>Select state</v>
      </c>
      <c r="E21" s="3177"/>
      <c r="F21" s="3178"/>
      <c r="G21" s="3190" t="str">
        <f>'4.Grassland'!J28</f>
        <v>Select state</v>
      </c>
      <c r="H21" s="3190"/>
      <c r="I21" s="3191"/>
      <c r="J21" s="3189" t="str">
        <f>'4.Grassland'!N28</f>
        <v>Select state</v>
      </c>
      <c r="K21" s="3190"/>
      <c r="L21" s="3191"/>
      <c r="M21" s="1861" t="str">
        <f>'4.Grassland'!R28</f>
        <v>NO</v>
      </c>
      <c r="N21" s="1861">
        <f>'4.Grassland'!S28</f>
        <v>5</v>
      </c>
      <c r="O21" s="1861" t="str">
        <f>'4.Grassland'!T28</f>
        <v>NO</v>
      </c>
      <c r="P21" s="1861">
        <f>'4.Grassland'!U28</f>
        <v>5</v>
      </c>
      <c r="Q21" s="1336">
        <f t="shared" si="0"/>
        <v>0</v>
      </c>
      <c r="R21" s="1336">
        <f t="shared" si="1"/>
        <v>0</v>
      </c>
      <c r="S21" s="1336">
        <f t="shared" si="2"/>
        <v>0</v>
      </c>
      <c r="T21" s="1339">
        <f t="shared" si="4"/>
        <v>0</v>
      </c>
      <c r="U21" s="1340">
        <f t="shared" si="3"/>
        <v>0</v>
      </c>
      <c r="V21" s="2114">
        <f>'4.Grassland'!W28</f>
        <v>0</v>
      </c>
      <c r="W21" s="2114">
        <f>'4.Grassland'!X28</f>
        <v>0</v>
      </c>
      <c r="X21" s="2114">
        <f>'4.Grassland'!Y28</f>
        <v>0</v>
      </c>
      <c r="AD21" s="234"/>
      <c r="AE21" s="2467"/>
      <c r="AF21" s="2473"/>
      <c r="AG21" s="2468">
        <f>IF($M22="yes",(MIN(D40,E40)*time_tot+ABS(E40-D40)*IF(E40&gt;D40,time2+time*(VLOOKUP(F40,List!$E$35:$F$37,2,)),time*(1-(VLOOKUP(F40,List!$E$35:$F$37,2,))))),0)*($Y$18*$Z$18*($AA$18*methane)/1000)/$N22</f>
        <v>0</v>
      </c>
      <c r="AH21" s="2468">
        <f>IF($O22="yes",(MIN(D40,G40)*time_tot+ABS(G40-D40)*IF(G40&gt;D40,time2+time*(VLOOKUP(H40,List!$E$35:$F$37,2,)),time*(1-(VLOOKUP(H40,List!$E$35:$F$37,2,))))),0)*($Y$18*$Z$18*($AA$18*methane)/1000)/$P22</f>
        <v>0</v>
      </c>
      <c r="AI21" s="2468">
        <f>IF($M22="yes",(MIN(D40,E40)*time_tot+ABS(E40-D40)*IF(E40&gt;D40,time2+time*(VLOOKUP(F40,List!$E$35:$F$37,2,)),time*(1-(VLOOKUP(F40,List!$E$35:$F$37,2,))))),0)*($Y$18*$Z$18*($AB$18*Nitrous)/1000)/$N22</f>
        <v>0</v>
      </c>
      <c r="AJ21" s="2468">
        <f>IF($O22="yes",(MIN(D40,G40)*time_tot+ABS(G40-D40)*IF(G40&gt;D40,time2+time*(VLOOKUP(H40,List!$E$35:$F$37,2,)),time*(1-(VLOOKUP(H40,List!$E$35:$F$37,2,))))),0)*($Y$18*$Z$18*($AB$18*Nitrous)/1000)/$P22</f>
        <v>0</v>
      </c>
      <c r="AK21" s="2480"/>
      <c r="AL21" s="2480"/>
      <c r="AM21" s="2468">
        <f>IF($M22="yes",(MIN(D40,E40)*time+ABS(E40-D40)*IF(E40&gt;D40,time*(VLOOKUP(F40,List!$E$35:$F$37,2,)),time*(1-(VLOOKUP(F40,List!$E$35:$F$37,2,))))),0)*($Y$18*$Z$18*($AA$18*methane)/1000)/$N22</f>
        <v>0</v>
      </c>
      <c r="AN21" s="2468">
        <f>IF($O22="yes",(MIN(D40,G40)*time+ABS(G40-D40)*IF(G40&gt;D40,time*(VLOOKUP(H40,List!$E$35:$F$37,2,)),time*(1-(VLOOKUP(H40,List!$E$35:$F$37,2,))))),0)*($Y$18*$Z$18*($AA$18*methane)/1000)/$P22</f>
        <v>0</v>
      </c>
      <c r="AO21" s="2468">
        <f>IF($M22="yes",(MIN(D40,E40)*time+ABS(E40-D40)*IF(E40&gt;D40,time*(VLOOKUP(F40,List!$E$35:$F$37,2,)),time*(1-(VLOOKUP(F40,List!$E$35:$F$37,2,))))),0)*($Y$18*$Z$18*($AB$18*Nitrous)/1000)/$N22</f>
        <v>0</v>
      </c>
      <c r="AP21" s="2468">
        <f>IF($O22="yes",(MIN(D40,G40)*time+ABS(G40-D40)*IF(G40&gt;D40,time*(VLOOKUP(H40,List!$E$35:$F$37,2,)),time*(1-(VLOOKUP(H40,List!$E$35:$F$37,2,))))),0)*($Y$18*$Z$18*($AB$18*Nitrous)/1000)/$P22</f>
        <v>0</v>
      </c>
      <c r="AQ21" s="2622" t="s">
        <v>337</v>
      </c>
      <c r="AR21" s="2469">
        <f>SUM(AG10:AG23)</f>
        <v>0</v>
      </c>
      <c r="AS21" s="2469">
        <f>SUM(AH10:AH23)</f>
        <v>0</v>
      </c>
      <c r="AT21" s="2460"/>
      <c r="AU21" s="2460"/>
    </row>
    <row r="22" spans="2:47" ht="13.8" thickBot="1">
      <c r="B22" s="271" t="s">
        <v>887</v>
      </c>
      <c r="C22" s="766"/>
      <c r="D22" s="3176" t="str">
        <f>'4.Grassland'!D29</f>
        <v>Select state</v>
      </c>
      <c r="E22" s="3177"/>
      <c r="F22" s="3178"/>
      <c r="G22" s="3190" t="str">
        <f>'4.Grassland'!J29</f>
        <v>Select state</v>
      </c>
      <c r="H22" s="3190"/>
      <c r="I22" s="3191"/>
      <c r="J22" s="3189" t="str">
        <f>'4.Grassland'!N29</f>
        <v>Select state</v>
      </c>
      <c r="K22" s="3190"/>
      <c r="L22" s="3191"/>
      <c r="M22" s="1861" t="str">
        <f>'4.Grassland'!R29</f>
        <v>NO</v>
      </c>
      <c r="N22" s="1861">
        <f>'4.Grassland'!S29</f>
        <v>5</v>
      </c>
      <c r="O22" s="1861" t="str">
        <f>'4.Grassland'!T29</f>
        <v>NO</v>
      </c>
      <c r="P22" s="1861">
        <f>'4.Grassland'!U29</f>
        <v>5</v>
      </c>
      <c r="Q22" s="1336">
        <f t="shared" si="0"/>
        <v>0</v>
      </c>
      <c r="R22" s="1336">
        <f t="shared" si="1"/>
        <v>0</v>
      </c>
      <c r="S22" s="1336">
        <f t="shared" si="2"/>
        <v>0</v>
      </c>
      <c r="T22" s="1339">
        <f t="shared" si="4"/>
        <v>0</v>
      </c>
      <c r="U22" s="1340">
        <f t="shared" si="3"/>
        <v>0</v>
      </c>
      <c r="V22" s="2114">
        <f>'4.Grassland'!W29</f>
        <v>0</v>
      </c>
      <c r="W22" s="2114">
        <f>'4.Grassland'!X29</f>
        <v>0</v>
      </c>
      <c r="X22" s="2114">
        <f>'4.Grassland'!Y29</f>
        <v>0</v>
      </c>
      <c r="AD22" s="234"/>
      <c r="AE22" s="2467"/>
      <c r="AF22" s="2473"/>
      <c r="AG22" s="2468">
        <f>IF($M23="yes",(MIN(D41,E41)*time_tot+ABS(E41-D41)*IF(E41&gt;D41,time2+time*(VLOOKUP(F41,List!$E$35:$F$37,2,)),time*(1-(VLOOKUP(F41,List!$E$35:$F$37,2,))))),0)*($Y$18*$Z$18*($AA$18*methane)/1000)/$N23</f>
        <v>0</v>
      </c>
      <c r="AH22" s="2468">
        <f>IF($O23="yes",(MIN(D41,G41)*time_tot+ABS(G41-D41)*IF(G41&gt;D41,time2+time*(VLOOKUP(H41,List!$E$35:$F$37,2,)),time*(1-(VLOOKUP(H41,List!$E$35:$F$37,2,))))),0)*($Y$18*$Z$18*($AA$18*methane)/1000)/$P23</f>
        <v>0</v>
      </c>
      <c r="AI22" s="2468">
        <f>IF($M23="yes",(MIN(D41,E41)*time_tot+ABS(E41-D41)*IF(E41&gt;D41,time2+time*(VLOOKUP(F41,List!$E$35:$F$37,2,)),time*(1-(VLOOKUP(F41,List!$E$35:$F$37,2,))))),0)*($Y$18*$Z$18*($AB$18*Nitrous)/1000)/$N23</f>
        <v>0</v>
      </c>
      <c r="AJ22" s="2468">
        <f>IF($O23="yes",(MIN(D41,G41)*time_tot+ABS(G41-D41)*IF(G41&gt;D41,time2+time*(VLOOKUP(H41,List!$E$35:$F$37,2,)),time*(1-(VLOOKUP(H41,List!$E$35:$F$37,2,))))),0)*($Y$18*$Z$18*($AB$18*Nitrous)/1000)/$P23</f>
        <v>0</v>
      </c>
      <c r="AK22" s="2480"/>
      <c r="AL22" s="2480"/>
      <c r="AM22" s="2468">
        <f>IF($M23="yes",(MIN(D41,E41)*time+ABS(E41-D41)*IF(E41&gt;D41,time*(VLOOKUP(F41,List!$E$35:$F$37,2,)),time*(1-(VLOOKUP(F41,List!$E$35:$F$37,2,))))),0)*($Y$18*$Z$18*($AA$18*methane)/1000)/$N23</f>
        <v>0</v>
      </c>
      <c r="AN22" s="2468">
        <f>IF($O23="yes",(MIN(D41,G41)*time+ABS(G41-D41)*IF(G41&gt;D41,time*(VLOOKUP(H41,List!$E$35:$F$37,2,)),time*(1-(VLOOKUP(H41,List!$E$35:$F$37,2,))))),0)*($Y$18*$Z$18*($AA$18*methane)/1000)/$P23</f>
        <v>0</v>
      </c>
      <c r="AO22" s="2468">
        <f>IF($M23="yes",(MIN(D41,E41)*time+ABS(E41-D41)*IF(E41&gt;D41,time*(VLOOKUP(F41,List!$E$35:$F$37,2,)),time*(1-(VLOOKUP(F41,List!$E$35:$F$37,2,))))),0)*($Y$18*$Z$18*($AB$18*Nitrous)/1000)/$N23</f>
        <v>0</v>
      </c>
      <c r="AP22" s="2468">
        <f>IF($O23="yes",(MIN(D41,G41)*time+ABS(G41-D41)*IF(G41&gt;D41,time*(VLOOKUP(H41,List!$E$35:$F$37,2,)),time*(1-(VLOOKUP(H41,List!$E$35:$F$37,2,))))),0)*($Y$18*$Z$18*($AB$18*Nitrous)/1000)/$P23</f>
        <v>0</v>
      </c>
      <c r="AQ22" s="2622" t="s">
        <v>338</v>
      </c>
      <c r="AR22" s="2469">
        <f>SUM(AI10:AI23)</f>
        <v>0</v>
      </c>
      <c r="AS22" s="2469">
        <f>SUM(AJ10:AJ23)</f>
        <v>0</v>
      </c>
      <c r="AT22" s="2460"/>
      <c r="AU22" s="2460"/>
    </row>
    <row r="23" spans="2:47" ht="13.8" thickBot="1">
      <c r="B23" s="271" t="s">
        <v>888</v>
      </c>
      <c r="C23" s="766"/>
      <c r="D23" s="3176" t="str">
        <f>'4.Grassland'!D30</f>
        <v>Select state</v>
      </c>
      <c r="E23" s="3177"/>
      <c r="F23" s="3178"/>
      <c r="G23" s="3190" t="str">
        <f>'4.Grassland'!J30</f>
        <v>Select state</v>
      </c>
      <c r="H23" s="3190"/>
      <c r="I23" s="3191"/>
      <c r="J23" s="3189" t="str">
        <f>'4.Grassland'!N30</f>
        <v>Select state</v>
      </c>
      <c r="K23" s="3190"/>
      <c r="L23" s="3191"/>
      <c r="M23" s="1861" t="str">
        <f>'4.Grassland'!R30</f>
        <v>NO</v>
      </c>
      <c r="N23" s="1861">
        <f>'4.Grassland'!S30</f>
        <v>5</v>
      </c>
      <c r="O23" s="1861" t="str">
        <f>'4.Grassland'!T30</f>
        <v>NO</v>
      </c>
      <c r="P23" s="1861">
        <f>'4.Grassland'!U30</f>
        <v>5</v>
      </c>
      <c r="Q23" s="1336">
        <f t="shared" si="0"/>
        <v>0</v>
      </c>
      <c r="R23" s="1336">
        <f t="shared" si="1"/>
        <v>0</v>
      </c>
      <c r="S23" s="1336">
        <f t="shared" si="2"/>
        <v>0</v>
      </c>
      <c r="T23" s="1339">
        <f t="shared" si="4"/>
        <v>0</v>
      </c>
      <c r="U23" s="1340">
        <f t="shared" si="3"/>
        <v>0</v>
      </c>
      <c r="V23" s="2114">
        <f>'4.Grassland'!W30</f>
        <v>0</v>
      </c>
      <c r="W23" s="2114">
        <f>'4.Grassland'!X30</f>
        <v>0</v>
      </c>
      <c r="X23" s="2114">
        <f>'4.Grassland'!Y30</f>
        <v>0</v>
      </c>
      <c r="AD23" s="234"/>
      <c r="AE23" s="2467"/>
      <c r="AF23" s="2473"/>
      <c r="AG23" s="2468">
        <f>IF($M24="yes",(MIN(D42,E42)*time_tot+ABS(E42-D42)*IF(E42&gt;D42,time2+time*(VLOOKUP(F42,List!$E$35:$F$37,2,)),time*(1-(VLOOKUP(F42,List!$E$35:$F$37,2,))))),0)*($Y$18*$Z$18*($AA$18*methane)/1000)/$N24</f>
        <v>0</v>
      </c>
      <c r="AH23" s="2468">
        <f>IF($O24="yes",(MIN(D42,G42)*time_tot+ABS(G42-D42)*IF(G42&gt;D42,time2+time*(VLOOKUP(H42,List!$E$35:$F$37,2,)),time*(1-(VLOOKUP(H42,List!$E$35:$F$37,2,))))),0)*($Y$18*$Z$18*($AA$18*methane)/1000)/$P24</f>
        <v>0</v>
      </c>
      <c r="AI23" s="2468">
        <f>IF($M24="yes",(MIN(D42,E42)*time_tot+ABS(E42-D42)*IF(E42&gt;D42,time2+time*(VLOOKUP(F42,List!$E$35:$F$37,2,)),time*(1-(VLOOKUP(F42,List!$E$35:$F$37,2,))))),0)*($Y$18*$Z$18*($AB$18*Nitrous)/1000)/$N24</f>
        <v>0</v>
      </c>
      <c r="AJ23" s="2468">
        <f>IF($O24="yes",(MIN(D42,G42)*time_tot+ABS(G42-D42)*IF(G42&gt;D42,time2+time*(VLOOKUP(H42,List!$E$35:$F$37,2,)),time*(1-(VLOOKUP(H42,List!$E$35:$F$37,2,))))),0)*($Y$18*$Z$18*($AB$18*Nitrous)/1000)/$P24</f>
        <v>0</v>
      </c>
      <c r="AK23" s="2480"/>
      <c r="AL23" s="2480"/>
      <c r="AM23" s="2468">
        <f>IF($M24="yes",(MIN(D42,E42)*time+ABS(E42-D42)*IF(E42&gt;D42,time*(VLOOKUP(F42,List!$E$35:$F$37,2,)),time*(1-(VLOOKUP(F42,List!$E$35:$F$37,2,))))),0)*($Y$18*$Z$18*($AA$18*methane)/1000)/$N24</f>
        <v>0</v>
      </c>
      <c r="AN23" s="2468">
        <f>IF($O24="yes",(MIN(D42,G42)*time+ABS(G42-D42)*IF(G42&gt;D42,time*(VLOOKUP(H42,List!$E$35:$F$37,2,)),time*(1-(VLOOKUP(H42,List!$E$35:$F$37,2,))))),0)*($Y$18*$Z$18*($AA$18*methane)/1000)/$P24</f>
        <v>0</v>
      </c>
      <c r="AO23" s="2468">
        <f>IF($M24="yes",(MIN(D42,E42)*time+ABS(E42-D42)*IF(E42&gt;D42,time*(VLOOKUP(F42,List!$E$35:$F$37,2,)),time*(1-(VLOOKUP(F42,List!$E$35:$F$37,2,))))),0)*($Y$18*$Z$18*($AB$18*Nitrous)/1000)/$N24</f>
        <v>0</v>
      </c>
      <c r="AP23" s="2468">
        <f>IF($O24="yes",(MIN(D42,G42)*time+ABS(G42-D42)*IF(G42&gt;D42,time*(VLOOKUP(H42,List!$E$35:$F$37,2,)),time*(1-(VLOOKUP(H42,List!$E$35:$F$37,2,))))),0)*($Y$18*$Z$18*($AB$18*Nitrous)/1000)/$P24</f>
        <v>0</v>
      </c>
      <c r="AQ23" s="2622"/>
      <c r="AR23" s="2469">
        <f>SUM(AR19:AR22)</f>
        <v>0</v>
      </c>
      <c r="AS23" s="2469">
        <f>SUM(AS19:AS22)</f>
        <v>0</v>
      </c>
      <c r="AT23" s="2460"/>
      <c r="AU23" s="2460"/>
    </row>
    <row r="24" spans="2:47">
      <c r="B24" s="272" t="s">
        <v>889</v>
      </c>
      <c r="C24" s="767"/>
      <c r="D24" s="3176" t="str">
        <f>'4.Grassland'!D31</f>
        <v>Select state</v>
      </c>
      <c r="E24" s="3177"/>
      <c r="F24" s="3178"/>
      <c r="G24" s="3190" t="str">
        <f>'4.Grassland'!J31</f>
        <v>Select state</v>
      </c>
      <c r="H24" s="3190"/>
      <c r="I24" s="3191"/>
      <c r="J24" s="3189" t="str">
        <f>'4.Grassland'!N31</f>
        <v>Select state</v>
      </c>
      <c r="K24" s="3190"/>
      <c r="L24" s="3191"/>
      <c r="M24" s="1861" t="str">
        <f>'4.Grassland'!R31</f>
        <v>NO</v>
      </c>
      <c r="N24" s="1861">
        <f>'4.Grassland'!S31</f>
        <v>5</v>
      </c>
      <c r="O24" s="1861" t="str">
        <f>'4.Grassland'!T31</f>
        <v>NO</v>
      </c>
      <c r="P24" s="1861">
        <f>'4.Grassland'!U31</f>
        <v>5</v>
      </c>
      <c r="Q24" s="1342">
        <f t="shared" si="0"/>
        <v>0</v>
      </c>
      <c r="R24" s="1342">
        <f t="shared" si="1"/>
        <v>0</v>
      </c>
      <c r="S24" s="1342">
        <f t="shared" si="2"/>
        <v>0</v>
      </c>
      <c r="T24" s="1343">
        <f t="shared" si="4"/>
        <v>0</v>
      </c>
      <c r="U24" s="1344">
        <f t="shared" si="3"/>
        <v>0</v>
      </c>
      <c r="V24" s="2114">
        <f>'4.Grassland'!W31</f>
        <v>0</v>
      </c>
      <c r="W24" s="2114">
        <f>'4.Grassland'!X31</f>
        <v>0</v>
      </c>
      <c r="X24" s="2114">
        <f>'4.Grassland'!Y31</f>
        <v>0</v>
      </c>
      <c r="AD24" s="234"/>
      <c r="AE24" s="2467"/>
      <c r="AF24" s="2473"/>
      <c r="AG24" s="2473"/>
      <c r="AH24" s="2473"/>
      <c r="AI24" s="2473"/>
      <c r="AJ24" s="2473"/>
      <c r="AK24" s="2480"/>
      <c r="AL24" s="2480"/>
      <c r="AM24" s="2480"/>
      <c r="AN24" s="2480"/>
      <c r="AO24" s="2480"/>
      <c r="AP24" s="2480"/>
      <c r="AQ24" s="2480"/>
      <c r="AR24" s="2460"/>
      <c r="AS24" s="2460"/>
      <c r="AT24" s="2460"/>
      <c r="AU24" s="2460"/>
    </row>
    <row r="25" spans="2:47">
      <c r="M25" s="233" t="s">
        <v>1278</v>
      </c>
      <c r="T25" s="1294" t="s">
        <v>899</v>
      </c>
      <c r="AE25" s="2467"/>
      <c r="AF25" s="2480"/>
      <c r="AG25" s="2480" t="s">
        <v>209</v>
      </c>
      <c r="AH25" s="2480"/>
      <c r="AI25" s="2480"/>
      <c r="AJ25" s="2480"/>
      <c r="AK25" s="2886" t="s">
        <v>65</v>
      </c>
      <c r="AL25" s="2473"/>
      <c r="AM25" s="2480"/>
      <c r="AN25" s="2480"/>
      <c r="AO25" s="2480"/>
      <c r="AP25" s="2480"/>
      <c r="AQ25" s="2480"/>
      <c r="AR25" s="2460"/>
      <c r="AS25" s="2460"/>
      <c r="AT25" s="2460"/>
      <c r="AU25" s="2460"/>
    </row>
    <row r="26" spans="2:47">
      <c r="U26" s="2087" t="s">
        <v>1513</v>
      </c>
      <c r="V26" s="2083"/>
      <c r="W26" s="2089"/>
      <c r="AE26" s="2467"/>
      <c r="AF26" s="2480"/>
      <c r="AG26" s="2480" t="s">
        <v>210</v>
      </c>
      <c r="AH26" s="2480"/>
      <c r="AI26" s="2480"/>
      <c r="AJ26" s="2480"/>
      <c r="AK26" s="2905" t="s">
        <v>55</v>
      </c>
      <c r="AL26" s="2468"/>
      <c r="AM26" s="2480"/>
      <c r="AN26" s="2480"/>
      <c r="AO26" s="2480"/>
      <c r="AP26" s="2480"/>
      <c r="AQ26" s="2480"/>
      <c r="AR26" s="2460"/>
      <c r="AS26" s="2460"/>
      <c r="AT26" s="2460"/>
      <c r="AU26" s="2460"/>
    </row>
    <row r="27" spans="2:47">
      <c r="B27" s="1285" t="s">
        <v>344</v>
      </c>
      <c r="C27" s="1285"/>
      <c r="D27" s="1345" t="s">
        <v>345</v>
      </c>
      <c r="E27" s="1346" t="s">
        <v>692</v>
      </c>
      <c r="F27" s="1347"/>
      <c r="G27" s="1348" t="s">
        <v>688</v>
      </c>
      <c r="H27" s="1349"/>
      <c r="I27" s="269" t="s">
        <v>902</v>
      </c>
      <c r="J27" s="237"/>
      <c r="K27" s="269" t="s">
        <v>900</v>
      </c>
      <c r="L27" s="237"/>
      <c r="M27" s="716" t="s">
        <v>901</v>
      </c>
      <c r="N27" s="562"/>
      <c r="O27" s="550" t="s">
        <v>348</v>
      </c>
      <c r="Q27" s="1397" t="s">
        <v>1520</v>
      </c>
      <c r="R27" s="1926"/>
      <c r="S27" s="1926"/>
      <c r="U27" s="2086" t="s">
        <v>690</v>
      </c>
      <c r="V27" s="2088" t="s">
        <v>691</v>
      </c>
      <c r="W27" s="2081" t="s">
        <v>348</v>
      </c>
      <c r="AD27" s="2460"/>
      <c r="AE27" s="2479" t="s">
        <v>1591</v>
      </c>
      <c r="AF27" s="2480"/>
      <c r="AG27" s="2480"/>
      <c r="AH27" s="2480"/>
      <c r="AI27" s="2480"/>
      <c r="AJ27" s="2480"/>
      <c r="AK27" s="2468" t="s">
        <v>555</v>
      </c>
      <c r="AL27" s="2468"/>
      <c r="AM27" s="2480"/>
      <c r="AN27" s="2480"/>
      <c r="AO27" s="2480"/>
      <c r="AP27" s="2480"/>
      <c r="AQ27" s="2480"/>
      <c r="AR27" s="2460"/>
      <c r="AS27" s="2460"/>
      <c r="AT27" s="2460"/>
      <c r="AU27" s="2460"/>
    </row>
    <row r="28" spans="2:47">
      <c r="B28" s="269"/>
      <c r="C28" s="269"/>
      <c r="D28" s="1350" t="s">
        <v>352</v>
      </c>
      <c r="E28" s="1351" t="s">
        <v>346</v>
      </c>
      <c r="F28" s="1352" t="s">
        <v>353</v>
      </c>
      <c r="G28" s="1353" t="s">
        <v>346</v>
      </c>
      <c r="H28" s="1354" t="s">
        <v>353</v>
      </c>
      <c r="I28" s="271" t="s">
        <v>690</v>
      </c>
      <c r="J28" s="703" t="s">
        <v>691</v>
      </c>
      <c r="K28" s="271" t="s">
        <v>690</v>
      </c>
      <c r="L28" s="703" t="s">
        <v>691</v>
      </c>
      <c r="M28" s="272" t="s">
        <v>690</v>
      </c>
      <c r="N28" s="543" t="s">
        <v>691</v>
      </c>
      <c r="O28" s="1355" t="s">
        <v>875</v>
      </c>
      <c r="Q28" s="1428" t="s">
        <v>345</v>
      </c>
      <c r="R28" s="1396" t="s">
        <v>690</v>
      </c>
      <c r="S28" s="1397" t="s">
        <v>691</v>
      </c>
      <c r="U28" s="2090" t="s">
        <v>1461</v>
      </c>
      <c r="V28" s="2091" t="s">
        <v>1461</v>
      </c>
      <c r="W28" s="2080"/>
      <c r="AD28" s="2460"/>
      <c r="AE28" s="2467" t="s">
        <v>690</v>
      </c>
      <c r="AF28" s="2480" t="s">
        <v>691</v>
      </c>
      <c r="AG28" s="2480"/>
      <c r="AH28" s="2480"/>
      <c r="AI28" s="2480"/>
      <c r="AJ28" s="2480"/>
      <c r="AK28" s="2468" t="s">
        <v>690</v>
      </c>
      <c r="AL28" s="2468" t="s">
        <v>691</v>
      </c>
      <c r="AM28" s="2480"/>
      <c r="AN28" s="2480"/>
      <c r="AO28" s="2480"/>
      <c r="AP28" s="2480"/>
      <c r="AQ28" s="2480"/>
      <c r="AR28" s="2460"/>
      <c r="AS28" s="2460"/>
      <c r="AT28" s="2460"/>
      <c r="AU28" s="2460"/>
    </row>
    <row r="29" spans="2:47">
      <c r="B29" s="759" t="s">
        <v>1164</v>
      </c>
      <c r="C29" s="759" t="str">
        <f t="shared" ref="C29:C34" si="5">IF(C11="","",C11)</f>
        <v>from Deforestation</v>
      </c>
      <c r="D29" s="1356">
        <v>0</v>
      </c>
      <c r="E29" s="1357">
        <f>Matrix!I10</f>
        <v>0</v>
      </c>
      <c r="F29" s="1358" t="s">
        <v>356</v>
      </c>
      <c r="G29" s="1359">
        <f>Matrix!I27</f>
        <v>0</v>
      </c>
      <c r="H29" s="1379" t="s">
        <v>356</v>
      </c>
      <c r="I29" s="1390">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91">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1517">
        <f>IF($M11="yes",(MIN(D29,E29)*time_tot+ABS(E29-D29)*IF(E29&gt;D29,time2+time*(VLOOKUP(F29,List!$E$35:$F$37,2,)),time*(1-(VLOOKUP(F29,List!$E$35:$F$37,2,))))),0)*$AC$18/$N11</f>
        <v>0</v>
      </c>
      <c r="L29" s="1481">
        <f>IF($O11="yes",(MIN(D29,G29)*time_tot+ABS(G29-D29)*IF(G29&gt;D29,time2+time*(VLOOKUP(H29,List!$E$35:$F$37,2,)),time*(1-(VLOOKUP(H29,List!$E$35:$F$37,2,))))),0)*$AC$18/$P11</f>
        <v>0</v>
      </c>
      <c r="M29" s="1482">
        <f t="shared" ref="M29:M42" si="6">K29+I29</f>
        <v>0</v>
      </c>
      <c r="N29" s="1478">
        <f t="shared" ref="N29:N42" si="7">L29+J29</f>
        <v>0</v>
      </c>
      <c r="O29" s="1322">
        <f>N29-M29</f>
        <v>0</v>
      </c>
      <c r="Q29" s="2116">
        <f t="shared" ref="Q29:Q42" si="8">D29*V11</f>
        <v>0</v>
      </c>
      <c r="R29" s="2116">
        <f t="shared" ref="R29:R42" si="9">E29*W11</f>
        <v>0</v>
      </c>
      <c r="S29" s="2116">
        <f>G29*X11</f>
        <v>0</v>
      </c>
      <c r="U29" s="2093">
        <f>(time*((ABS(R29-Q29)*(IF(Q29&lt;=R29,VLOOKUP(F29,List!$E$35:$F$37,2,),1-VLOOKUP(F29,List!$E$35:$F$37,2,))))+MIN(R29,Q29))+(R29*time2))</f>
        <v>0</v>
      </c>
      <c r="V29" s="2093">
        <f>(time*((ABS(S29-Q29)*(IF(Q29&lt;=S29,VLOOKUP(H29,List!$E$35:$F$37,2,),1-VLOOKUP(H29,List!$E$35:$F$37,2,))))+MIN(S29,Q29))+(S29*time2))</f>
        <v>0</v>
      </c>
      <c r="W29" s="2084">
        <f>V29-U29</f>
        <v>0</v>
      </c>
      <c r="AD29" s="2460"/>
      <c r="AE29" s="2467">
        <f>IF(K29&gt;0,K29/$AC$18,0)</f>
        <v>0</v>
      </c>
      <c r="AF29" s="2467">
        <f>IF(L29&gt;0,L29/$AC$18,0)</f>
        <v>0</v>
      </c>
      <c r="AG29" s="2480"/>
      <c r="AH29" s="2480"/>
      <c r="AI29" s="2480"/>
      <c r="AJ29" s="2480"/>
      <c r="AK29" s="2468">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68">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80"/>
      <c r="AN29" s="2480"/>
      <c r="AO29" s="2480"/>
      <c r="AP29" s="2480"/>
      <c r="AQ29" s="2480"/>
      <c r="AR29" s="2460"/>
      <c r="AS29" s="2460"/>
      <c r="AT29" s="2460"/>
      <c r="AU29" s="2460"/>
    </row>
    <row r="30" spans="2:47">
      <c r="B30" s="762" t="s">
        <v>1165</v>
      </c>
      <c r="C30" s="762" t="str">
        <f t="shared" si="5"/>
        <v>converted to A/R</v>
      </c>
      <c r="D30" s="1356">
        <f>MAX(Matrix!E31,Matrix!E14)</f>
        <v>0</v>
      </c>
      <c r="E30" s="1357">
        <f>MAX(Matrix!E31,Matrix!E14)-Matrix!E14</f>
        <v>0</v>
      </c>
      <c r="F30" s="1358" t="s">
        <v>356</v>
      </c>
      <c r="G30" s="1359">
        <f>MAX(Matrix!E31,Matrix!E14)-Matrix!E31</f>
        <v>0</v>
      </c>
      <c r="H30" s="1379" t="s">
        <v>356</v>
      </c>
      <c r="I30" s="1470">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71">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1517">
        <f>IF($M12="yes",(MIN(D30,E30)*time_tot+ABS(E30-D30)*IF(E30&gt;D30,time2+time*(VLOOKUP(F30,List!$E$35:$F$37,2,)),time*(1-(VLOOKUP(F30,List!$E$35:$F$37,2,))))),0)*$AC$18/$N12</f>
        <v>0</v>
      </c>
      <c r="L30" s="1481">
        <f>IF($O12="yes",(MIN(D30,G30)*time_tot+ABS(G30-D30)*IF(G30&gt;D30,time2+time*(VLOOKUP(H30,List!$E$35:$F$37,2,)),time*(1-(VLOOKUP(H30,List!$E$35:$F$37,2,))))),0)*$AC$18/$P12</f>
        <v>0</v>
      </c>
      <c r="M30" s="1484">
        <f t="shared" si="6"/>
        <v>0</v>
      </c>
      <c r="N30" s="1481">
        <f t="shared" si="7"/>
        <v>0</v>
      </c>
      <c r="O30" s="1360">
        <f>N30-M30</f>
        <v>0</v>
      </c>
      <c r="Q30" s="2116">
        <f t="shared" si="8"/>
        <v>0</v>
      </c>
      <c r="R30" s="2116">
        <f t="shared" si="9"/>
        <v>0</v>
      </c>
      <c r="S30" s="2116">
        <f t="shared" ref="S30:S42" si="10">G30*X12</f>
        <v>0</v>
      </c>
      <c r="U30" s="2093">
        <f>(time*((ABS(R30-Q30)*(IF(Q30&lt;=R30,VLOOKUP(F30,List!$E$35:$F$37,2,),1-VLOOKUP(F30,List!$E$35:$F$37,2,))))+MIN(R30,Q30))+(R30*time2))</f>
        <v>0</v>
      </c>
      <c r="V30" s="2093">
        <f>(time*((ABS(S30-Q30)*(IF(Q30&lt;=S30,VLOOKUP(H30,List!$E$35:$F$37,2,),1-VLOOKUP(H30,List!$E$35:$F$37,2,))))+MIN(S30,Q30))+(S30*time2))</f>
        <v>0</v>
      </c>
      <c r="W30" s="2084">
        <f t="shared" ref="W30:W42" si="11">V30-U30</f>
        <v>0</v>
      </c>
      <c r="AD30" s="2460"/>
      <c r="AE30" s="2467">
        <f t="shared" ref="AE30:AE42" si="12">IF(K30&gt;0,K30/$AC$18,0)</f>
        <v>0</v>
      </c>
      <c r="AF30" s="2467">
        <f t="shared" ref="AF30:AF42" si="13">IF(L30&gt;0,L30/$AC$18,0)</f>
        <v>0</v>
      </c>
      <c r="AG30" s="2480"/>
      <c r="AH30" s="2480"/>
      <c r="AI30" s="2480"/>
      <c r="AJ30" s="2480"/>
      <c r="AK30" s="2468">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68">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80"/>
      <c r="AN30" s="2480"/>
      <c r="AO30" s="2480"/>
      <c r="AP30" s="2480"/>
      <c r="AQ30" s="2480"/>
      <c r="AR30" s="2460"/>
      <c r="AS30" s="2460"/>
      <c r="AT30" s="2460"/>
      <c r="AU30" s="2460"/>
    </row>
    <row r="31" spans="2:47">
      <c r="B31" s="762" t="s">
        <v>1260</v>
      </c>
      <c r="C31" s="762" t="str">
        <f t="shared" si="5"/>
        <v>From OLUC</v>
      </c>
      <c r="D31" s="1356">
        <v>0</v>
      </c>
      <c r="E31" s="1357">
        <f>Matrix!AT22+Matrix!BA22+Matrix!BH22+Matrix!BO22+Matrix!CD22+Matrix!CK22</f>
        <v>0</v>
      </c>
      <c r="F31" s="1358" t="s">
        <v>356</v>
      </c>
      <c r="G31" s="1359">
        <f>Matrix!CK38+Matrix!CD38+Matrix!BO38+Matrix!BH38+Matrix!BA38+Matrix!AT38</f>
        <v>0</v>
      </c>
      <c r="H31" s="1379" t="s">
        <v>356</v>
      </c>
      <c r="I31" s="1468">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69">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1517">
        <f>IF($M13="yes",(MIN(D31,E31)*time_tot+ABS(E31-D31)*IF(E31&gt;D31,time2+time*(VLOOKUP(F31,List!$E$35:$F$37,2,)),time*(1-(VLOOKUP(F31,List!$E$35:$F$37,2,))))),0)*$AC$18/$N13</f>
        <v>0</v>
      </c>
      <c r="L31" s="1481">
        <f>IF($O13="yes",(MIN(D31,G31)*time_tot+ABS(G31-D31)*IF(G31&gt;D31,time2+time*(VLOOKUP(H31,List!$E$35:$F$37,2,)),time*(1-(VLOOKUP(H31,List!$E$35:$F$37,2,))))),0)*$AC$18/$P13</f>
        <v>0</v>
      </c>
      <c r="M31" s="1484">
        <f t="shared" si="6"/>
        <v>0</v>
      </c>
      <c r="N31" s="1481">
        <f t="shared" si="7"/>
        <v>0</v>
      </c>
      <c r="O31" s="1360">
        <f>N31-M31</f>
        <v>0</v>
      </c>
      <c r="Q31" s="2116">
        <f t="shared" si="8"/>
        <v>0</v>
      </c>
      <c r="R31" s="2116">
        <f t="shared" si="9"/>
        <v>0</v>
      </c>
      <c r="S31" s="2116">
        <f t="shared" si="10"/>
        <v>0</v>
      </c>
      <c r="U31" s="2093">
        <f>(time*((ABS(R31-Q31)*(IF(Q31&lt;=R31,VLOOKUP(F31,List!$E$35:$F$37,2,),1-VLOOKUP(F31,List!$E$35:$F$37,2,))))+MIN(R31,Q31))+(R31*time2))</f>
        <v>0</v>
      </c>
      <c r="V31" s="2093">
        <f>(time*((ABS(S31-Q31)*(IF(Q31&lt;=S31,VLOOKUP(H31,List!$E$35:$F$37,2,),1-VLOOKUP(H31,List!$E$35:$F$37,2,))))+MIN(S31,Q31))+(S31*time2))</f>
        <v>0</v>
      </c>
      <c r="W31" s="2084">
        <f t="shared" si="11"/>
        <v>0</v>
      </c>
      <c r="AD31" s="2460"/>
      <c r="AE31" s="2467">
        <f t="shared" si="12"/>
        <v>0</v>
      </c>
      <c r="AF31" s="2467">
        <f t="shared" si="13"/>
        <v>0</v>
      </c>
      <c r="AG31" s="2480"/>
      <c r="AH31" s="2480"/>
      <c r="AI31" s="2480"/>
      <c r="AJ31" s="2480"/>
      <c r="AK31" s="2468">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68">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80"/>
      <c r="AN31" s="2480"/>
      <c r="AO31" s="2480"/>
      <c r="AP31" s="2480"/>
      <c r="AQ31" s="2480"/>
      <c r="AR31" s="2460"/>
      <c r="AS31" s="2460"/>
      <c r="AT31" s="2460"/>
      <c r="AU31" s="2460"/>
    </row>
    <row r="32" spans="2:47" ht="13.8" thickBot="1">
      <c r="B32" s="763" t="s">
        <v>1261</v>
      </c>
      <c r="C32" s="763" t="str">
        <f t="shared" si="5"/>
        <v>Grassland to OLUC</v>
      </c>
      <c r="D32" s="1370">
        <f>MAX(SUM(Matrix!BS22:BX22),SUM(Matrix!BS38:BX38))</f>
        <v>0</v>
      </c>
      <c r="E32" s="1357">
        <f>MAX(SUM(Matrix!BS22:BX22),SUM(Matrix!BS38:BX38))-SUM(Matrix!BS22:BX22)</f>
        <v>0</v>
      </c>
      <c r="F32" s="1361" t="s">
        <v>356</v>
      </c>
      <c r="G32" s="1362">
        <f>MAX(SUM(Matrix!BS22:BX22),SUM(Matrix!BS38:BX38))-SUM(Matrix!BS38:BX38)</f>
        <v>0</v>
      </c>
      <c r="H32" s="1513" t="s">
        <v>356</v>
      </c>
      <c r="I32" s="1390">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91">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1517">
        <f>IF($M14="yes",(MIN(D32,E32)*time_tot+ABS(E32-D32)*IF(E32&gt;D32,time2+time*(VLOOKUP(F32,List!$E$35:$F$37,2,)),time*(1-(VLOOKUP(F32,List!$E$35:$F$37,2,))))),0)*$AC$18/$N14</f>
        <v>0</v>
      </c>
      <c r="L32" s="1481">
        <f>IF($O14="yes",(MIN(D32,G32)*time_tot+ABS(G32-D32)*IF(G32&gt;D32,time2+time*(VLOOKUP(H32,List!$E$35:$F$37,2,)),time*(1-(VLOOKUP(H32,List!$E$35:$F$37,2,))))),0)*$AC$18/$P14</f>
        <v>0</v>
      </c>
      <c r="M32" s="1484">
        <f t="shared" si="6"/>
        <v>0</v>
      </c>
      <c r="N32" s="1481">
        <f t="shared" si="7"/>
        <v>0</v>
      </c>
      <c r="O32" s="1360">
        <f>N32-M32</f>
        <v>0</v>
      </c>
      <c r="Q32" s="2116">
        <f t="shared" si="8"/>
        <v>0</v>
      </c>
      <c r="R32" s="2116">
        <f t="shared" si="9"/>
        <v>0</v>
      </c>
      <c r="S32" s="2116">
        <f t="shared" si="10"/>
        <v>0</v>
      </c>
      <c r="U32" s="2093">
        <f>(time*((ABS(R32-Q32)*(IF(Q32&lt;=R32,VLOOKUP(F32,List!$E$35:$F$37,2,),1-VLOOKUP(F32,List!$E$35:$F$37,2,))))+MIN(R32,Q32))+(R32*time2))</f>
        <v>0</v>
      </c>
      <c r="V32" s="2093">
        <f>(time*((ABS(S32-Q32)*(IF(Q32&lt;=S32,VLOOKUP(H32,List!$E$35:$F$37,2,),1-VLOOKUP(H32,List!$E$35:$F$37,2,))))+MIN(S32,Q32))+(S32*time2))</f>
        <v>0</v>
      </c>
      <c r="W32" s="2084">
        <f t="shared" si="11"/>
        <v>0</v>
      </c>
      <c r="Y32" s="234" t="e">
        <f>K33/AC18</f>
        <v>#DIV/0!</v>
      </c>
      <c r="AD32" s="2460"/>
      <c r="AE32" s="2467">
        <f t="shared" si="12"/>
        <v>0</v>
      </c>
      <c r="AF32" s="2467">
        <f t="shared" si="13"/>
        <v>0</v>
      </c>
      <c r="AG32" s="2480"/>
      <c r="AH32" s="2480"/>
      <c r="AI32" s="2480"/>
      <c r="AJ32" s="2480"/>
      <c r="AK32" s="2468">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68">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80"/>
      <c r="AN32" s="2480"/>
      <c r="AO32" s="2480"/>
      <c r="AP32" s="2480"/>
      <c r="AQ32" s="2480"/>
      <c r="AR32" s="2460"/>
      <c r="AS32" s="2460"/>
      <c r="AT32" s="2460"/>
      <c r="AU32" s="2460"/>
    </row>
    <row r="33" spans="2:47" ht="13.8" thickBot="1">
      <c r="B33" s="764" t="s">
        <v>880</v>
      </c>
      <c r="C33" s="764" t="str">
        <f t="shared" si="5"/>
        <v/>
      </c>
      <c r="D33" s="2003">
        <f>'4.Grassland'!AA22</f>
        <v>0</v>
      </c>
      <c r="E33" s="1323">
        <f>D33</f>
        <v>0</v>
      </c>
      <c r="F33" s="2310" t="str">
        <f>VLOOKUP('4.Grassland'!AC22,List!$D$35:$E$37,2,)</f>
        <v>Linear</v>
      </c>
      <c r="G33" s="1321">
        <f>D33</f>
        <v>0</v>
      </c>
      <c r="H33" s="2310" t="str">
        <f>VLOOKUP('4.Grassland'!AE22,List!$D$35:$E$37,2,)</f>
        <v>Linear</v>
      </c>
      <c r="I33" s="1390">
        <f>-$T15*(IF(F33="immediate",IF(D33&gt;0,D33*MIN(20,time_tot),0),D33*IF(time_tot&gt;time+20,20,IF(time_tot&lt;20,(time*VLOOKUP(F33,List!$E$35:$F$37,2,))+(time_tot-time),((MIN(20,time)*VLOOKUP(F33,List!$E$35:$F$37,2,))+(time_tot-MIN(20,time))-IF(F33="exponential",time_tot-20+0.217*time*(EXP(4.606*(20-time_tot)/time)-1),((time_tot-20)^2)*(0.5/time)))))))</f>
        <v>0</v>
      </c>
      <c r="J33" s="1391">
        <f>-$U15*(IF(H33="immediate",IF(D33&gt;0,D33*MIN(20,time_tot),0),D33*IF(time_tot&gt;time+20,20,IF(time_tot&lt;20,(time*VLOOKUP(H33,List!$E$35:$F$37,2,))+(time_tot-time),((MIN(20,time)*VLOOKUP(H33,List!$E$35:$F$37,2,))+(time_tot-MIN(20,time))-IF(H33="exponential",time_tot-20+0.217*time*(EXP(4.606*(20-time_tot)/time)-1),((time_tot-20)^2)*(0.5/time)))))))</f>
        <v>0</v>
      </c>
      <c r="K33" s="1497">
        <f>IF($M15="yes",(MIN(D33,E33)*time_tot+ABS(E33-D33)*IF(E33&gt;D33,time2+time*(VLOOKUP(F33,List!$E$35:$F$37,2,)),time*(1-(VLOOKUP(F33,List!$E$35:$F$37,2,))))),0)*$AC$18/$N15</f>
        <v>0</v>
      </c>
      <c r="L33" s="1476">
        <f>IF($O15="yes",(MIN(D33,G33)*time_tot+ABS(G33-D33)*IF(G33&gt;D33,time2+time*(VLOOKUP(H33,List!$E$35:$F$37,2,)),time*(1-(VLOOKUP(H33,List!$E$35:$F$37,2,))))),0)*$AC$18/$P15</f>
        <v>0</v>
      </c>
      <c r="M33" s="1482">
        <f t="shared" si="6"/>
        <v>0</v>
      </c>
      <c r="N33" s="1478">
        <f t="shared" si="7"/>
        <v>0</v>
      </c>
      <c r="O33" s="1325">
        <f>N33-M33</f>
        <v>0</v>
      </c>
      <c r="Q33" s="2116">
        <f t="shared" si="8"/>
        <v>0</v>
      </c>
      <c r="R33" s="2116">
        <f t="shared" si="9"/>
        <v>0</v>
      </c>
      <c r="S33" s="2116">
        <f t="shared" si="10"/>
        <v>0</v>
      </c>
      <c r="U33" s="2093">
        <f>(time*((ABS(R33-Q33)*(IF(Q33&lt;=R33,VLOOKUP(F33,List!$E$35:$F$37,2,),1-VLOOKUP(F33,List!$E$35:$F$37,2,))))+MIN(R33,Q33))+(R33*time2))</f>
        <v>0</v>
      </c>
      <c r="V33" s="2093">
        <f>(time*((ABS(S33-Q33)*(IF(Q33&lt;=S33,VLOOKUP(H33,List!$E$35:$F$37,2,),1-VLOOKUP(H33,List!$E$35:$F$37,2,))))+MIN(S33,Q33))+(S33*time2))</f>
        <v>0</v>
      </c>
      <c r="W33" s="2084">
        <f t="shared" si="11"/>
        <v>0</v>
      </c>
      <c r="AD33" s="2460"/>
      <c r="AE33" s="2467">
        <f t="shared" si="12"/>
        <v>0</v>
      </c>
      <c r="AF33" s="2467">
        <f t="shared" si="13"/>
        <v>0</v>
      </c>
      <c r="AG33" s="2480"/>
      <c r="AH33" s="2480"/>
      <c r="AI33" s="2480"/>
      <c r="AJ33" s="2480"/>
      <c r="AK33" s="2468">
        <f>-$T15*(IF(F33="immediate",IF(D33&gt;0,D33*MIN(20,time),0),D33*IF(time&gt;time+20,20,IF(time&lt;20,(time*VLOOKUP(F33,List!$E$35:$F$37,2,))+(time-time),((MIN(20,time)*VLOOKUP(F33,List!$E$35:$F$37,2,))+(time-MIN(20,time))-IF(F33="exponential",time-20+0.217*time*(EXP(4.606*(20-time)/time)-1),((time-20)^2)*(0.5/time)))))))</f>
        <v>0</v>
      </c>
      <c r="AL33" s="2468">
        <f>-$U15*(IF(H33="immediate",IF(D33&gt;0,D33*MIN(20,time),0),D33*IF(time&gt;time+20,20,IF(time&lt;20,(time*VLOOKUP(H33,List!$E$35:$F$37,2,))+(time-time),((MIN(20,time)*VLOOKUP(H33,List!$E$35:$F$37,2,))+(time-MIN(20,time))-IF(H33="exponential",time-20+0.217*time*(EXP(4.606*(20-time)/time)-1),((time-20)^2)*(0.5/time)))))))</f>
        <v>0</v>
      </c>
      <c r="AM33" s="2480"/>
      <c r="AN33" s="2480"/>
      <c r="AO33" s="2480"/>
      <c r="AP33" s="2480"/>
      <c r="AQ33" s="2480"/>
      <c r="AR33" s="2460"/>
      <c r="AS33" s="2460"/>
      <c r="AT33" s="2460"/>
      <c r="AU33" s="2460"/>
    </row>
    <row r="34" spans="2:47" ht="13.8" thickBot="1">
      <c r="B34" s="764" t="s">
        <v>881</v>
      </c>
      <c r="C34" s="764" t="str">
        <f t="shared" si="5"/>
        <v/>
      </c>
      <c r="D34" s="2003">
        <f>'4.Grassland'!AA23</f>
        <v>0</v>
      </c>
      <c r="E34" s="1323">
        <f>D34</f>
        <v>0</v>
      </c>
      <c r="F34" s="2310" t="str">
        <f>VLOOKUP('4.Grassland'!AC23,List!$D$35:$E$37,2,)</f>
        <v>Linear</v>
      </c>
      <c r="G34" s="1556">
        <f>D34</f>
        <v>0</v>
      </c>
      <c r="H34" s="2310" t="str">
        <f>VLOOKUP('4.Grassland'!AE23,List!$D$35:$E$37,2,)</f>
        <v>Linear</v>
      </c>
      <c r="I34" s="1468">
        <f>-$T16*(IF(F34="immediate",IF(D34&gt;0,D34*MIN(20,time_tot),0),D34*IF(time_tot&gt;time+20,20,IF(time_tot&lt;20,(time*VLOOKUP(F34,List!$E$35:$F$37,2,))+(time_tot-time),((MIN(20,time)*VLOOKUP(F34,List!$E$35:$F$37,2,))+(time_tot-MIN(20,time))-IF(F34="exponential",time_tot-20+0.217*time*(EXP(4.606*(20-time_tot)/time)-1),((time_tot-20)^2)*(0.5/time)))))))</f>
        <v>0</v>
      </c>
      <c r="J34" s="1469">
        <f>-$U16*(IF(H34="immediate",IF(D34&gt;0,D34*MIN(20,time_tot),0),D34*IF(time_tot&gt;time+20,20,IF(time_tot&lt;20,(time*VLOOKUP(H34,List!$E$35:$F$37,2,))+(time_tot-time),((MIN(20,time)*VLOOKUP(H34,List!$E$35:$F$37,2,))+(time_tot-MIN(20,time))-IF(H34="exponential",time_tot-20+0.217*time*(EXP(4.606*(20-time_tot)/time)-1),((time_tot-20)^2)*(0.5/time)))))))</f>
        <v>0</v>
      </c>
      <c r="K34" s="1482">
        <f>IF($M16="yes",(MIN(D34,E34)*time_tot+ABS(E34-D34)*IF(E34&gt;D34,time2+time*(VLOOKUP(F34,List!$E$35:$F$37,2,)),time*(1-(VLOOKUP(F34,List!$E$35:$F$37,2,))))),0)*$AC$18/$N16</f>
        <v>0</v>
      </c>
      <c r="L34" s="1478">
        <f>IF($O16="yes",(MIN(D34,G34)*time_tot+ABS(G34-D34)*IF(G34&gt;D34,time2+time*(VLOOKUP(H34,List!$E$35:$F$37,2,)),time*(1-(VLOOKUP(H34,List!$E$35:$F$37,2,))))),0)*$AC$18/$P16</f>
        <v>0</v>
      </c>
      <c r="M34" s="1482">
        <f t="shared" si="6"/>
        <v>0</v>
      </c>
      <c r="N34" s="1478">
        <f t="shared" si="7"/>
        <v>0</v>
      </c>
      <c r="O34" s="1325">
        <f t="shared" ref="O34:O42" si="14">N34-M34</f>
        <v>0</v>
      </c>
      <c r="Q34" s="2116">
        <f t="shared" si="8"/>
        <v>0</v>
      </c>
      <c r="R34" s="2116">
        <f t="shared" si="9"/>
        <v>0</v>
      </c>
      <c r="S34" s="2116">
        <f t="shared" si="10"/>
        <v>0</v>
      </c>
      <c r="U34" s="2093">
        <f>(time*((ABS(R34-Q34)*(IF(Q34&lt;=R34,VLOOKUP(F34,List!$E$35:$F$37,2,),1-VLOOKUP(F34,List!$E$35:$F$37,2,))))+MIN(R34,Q34))+(R34*time2))</f>
        <v>0</v>
      </c>
      <c r="V34" s="2093">
        <f>(time*((ABS(S34-Q34)*(IF(Q34&lt;=S34,VLOOKUP(H34,List!$E$35:$F$37,2,),1-VLOOKUP(H34,List!$E$35:$F$37,2,))))+MIN(S34,Q34))+(S34*time2))</f>
        <v>0</v>
      </c>
      <c r="W34" s="2084">
        <f t="shared" si="11"/>
        <v>0</v>
      </c>
      <c r="AD34" s="2460"/>
      <c r="AE34" s="2467">
        <f t="shared" si="12"/>
        <v>0</v>
      </c>
      <c r="AF34" s="2467">
        <f t="shared" si="13"/>
        <v>0</v>
      </c>
      <c r="AG34" s="2480"/>
      <c r="AH34" s="2480"/>
      <c r="AI34" s="2480"/>
      <c r="AJ34" s="2480"/>
      <c r="AK34" s="2468">
        <f>-$T16*(IF(F34="immediate",IF(D34&gt;0,D34*MIN(20,time),0),D34*IF(time&gt;time+20,20,IF(time&lt;20,(time*VLOOKUP(F34,List!$E$35:$F$37,2,))+(time-time),((MIN(20,time)*VLOOKUP(F34,List!$E$35:$F$37,2,))+(time-MIN(20,time))-IF(F34="exponential",time-20+0.217*time*(EXP(4.606*(20-time)/time)-1),((time-20)^2)*(0.5/time)))))))</f>
        <v>0</v>
      </c>
      <c r="AL34" s="2468">
        <f>-$U16*(IF(H34="immediate",IF(D34&gt;0,D34*MIN(20,time),0),D34*IF(time&gt;time+20,20,IF(time&lt;20,(time*VLOOKUP(H34,List!$E$35:$F$37,2,))+(time-time),((MIN(20,time)*VLOOKUP(H34,List!$E$35:$F$37,2,))+(time-MIN(20,time))-IF(H34="exponential",time-20+0.217*time*(EXP(4.606*(20-time)/time)-1),((time-20)^2)*(0.5/time)))))))</f>
        <v>0</v>
      </c>
      <c r="AM34" s="2480"/>
      <c r="AN34" s="2480"/>
      <c r="AO34" s="2480"/>
      <c r="AP34" s="2480"/>
      <c r="AQ34" s="2480"/>
      <c r="AR34" s="2460"/>
      <c r="AS34" s="2460"/>
      <c r="AT34" s="2460"/>
      <c r="AU34" s="2460"/>
    </row>
    <row r="35" spans="2:47" ht="13.8" thickBot="1">
      <c r="B35" s="764" t="s">
        <v>882</v>
      </c>
      <c r="C35" s="764" t="str">
        <f>IF(C17="","",C17)</f>
        <v/>
      </c>
      <c r="D35" s="2003">
        <f>'4.Grassland'!AA24</f>
        <v>0</v>
      </c>
      <c r="E35" s="1323">
        <f t="shared" ref="E35:E41" si="15">D35</f>
        <v>0</v>
      </c>
      <c r="F35" s="2310" t="str">
        <f>VLOOKUP('4.Grassland'!AC24,List!$D$35:$E$37,2,)</f>
        <v>Linear</v>
      </c>
      <c r="G35" s="1556">
        <f t="shared" ref="G35:G41" si="16">D35</f>
        <v>0</v>
      </c>
      <c r="H35" s="2310" t="str">
        <f>VLOOKUP('4.Grassland'!AE24,List!$D$35:$E$37,2,)</f>
        <v>Linear</v>
      </c>
      <c r="I35" s="1468">
        <f>-$T17*(IF(F35="immediate",IF(D35&gt;0,D35*MIN(20,time_tot),0),D35*IF(time_tot&gt;time+20,20,IF(time_tot&lt;20,(time*VLOOKUP(F35,List!$E$35:$F$37,2,))+(time_tot-time),((MIN(20,time)*VLOOKUP(F35,List!$E$35:$F$37,2,))+(time_tot-MIN(20,time))-IF(F35="exponential",time_tot-20+0.217*time*(EXP(4.606*(20-time_tot)/time)-1),((time_tot-20)^2)*(0.5/time)))))))</f>
        <v>0</v>
      </c>
      <c r="J35" s="1469">
        <f>-$U17*(IF(H35="immediate",IF(D35&gt;0,D35*MIN(20,time_tot),0),D35*IF(time_tot&gt;time+20,20,IF(time_tot&lt;20,(time*VLOOKUP(H35,List!$E$35:$F$37,2,))+(time_tot-time),((MIN(20,time)*VLOOKUP(H35,List!$E$35:$F$37,2,))+(time_tot-MIN(20,time))-IF(H35="exponential",time_tot-20+0.217*time*(EXP(4.606*(20-time_tot)/time)-1),((time_tot-20)^2)*(0.5/time)))))))</f>
        <v>0</v>
      </c>
      <c r="K35" s="1482">
        <f>IF($M17="yes",(MIN(D35,E35)*time_tot+ABS(E35-D35)*IF(E35&gt;D35,time2+time*(VLOOKUP(F35,List!$E$35:$F$37,2,)),time*(1-(VLOOKUP(F35,List!$E$35:$F$37,2,))))),0)*$AC$18/$N17</f>
        <v>0</v>
      </c>
      <c r="L35" s="1478">
        <f>IF($O17="yes",(MIN(D35,G35)*time_tot+ABS(G35-D35)*IF(G35&gt;D35,time2+time*(VLOOKUP(H35,List!$E$35:$F$37,2,)),time*(1-(VLOOKUP(H35,List!$E$35:$F$37,2,))))),0)*$AC$18/$P17</f>
        <v>0</v>
      </c>
      <c r="M35" s="1482">
        <f t="shared" si="6"/>
        <v>0</v>
      </c>
      <c r="N35" s="1478">
        <f t="shared" si="7"/>
        <v>0</v>
      </c>
      <c r="O35" s="1325">
        <f t="shared" si="14"/>
        <v>0</v>
      </c>
      <c r="Q35" s="2116">
        <f t="shared" si="8"/>
        <v>0</v>
      </c>
      <c r="R35" s="2116">
        <f t="shared" si="9"/>
        <v>0</v>
      </c>
      <c r="S35" s="2116">
        <f t="shared" si="10"/>
        <v>0</v>
      </c>
      <c r="U35" s="2093">
        <f>(time*((ABS(R35-Q35)*(IF(Q35&lt;=R35,VLOOKUP(F35,List!$E$35:$F$37,2,),1-VLOOKUP(F35,List!$E$35:$F$37,2,))))+MIN(R35,Q35))+(R35*time2))</f>
        <v>0</v>
      </c>
      <c r="V35" s="2093">
        <f>(time*((ABS(S35-Q35)*(IF(Q35&lt;=S35,VLOOKUP(H35,List!$E$35:$F$37,2,),1-VLOOKUP(H35,List!$E$35:$F$37,2,))))+MIN(S35,Q35))+(S35*time2))</f>
        <v>0</v>
      </c>
      <c r="W35" s="2084">
        <f t="shared" si="11"/>
        <v>0</v>
      </c>
      <c r="AD35" s="2460"/>
      <c r="AE35" s="2467">
        <f t="shared" si="12"/>
        <v>0</v>
      </c>
      <c r="AF35" s="2467">
        <f t="shared" si="13"/>
        <v>0</v>
      </c>
      <c r="AG35" s="2480"/>
      <c r="AH35" s="2480"/>
      <c r="AI35" s="2480"/>
      <c r="AJ35" s="2480"/>
      <c r="AK35" s="2468">
        <f>-$T17*(IF(F35="immediate",IF(D35&gt;0,D35*MIN(20,time),0),D35*IF(time&gt;time+20,20,IF(time&lt;20,(time*VLOOKUP(F35,List!$E$35:$F$37,2,))+(time-time),((MIN(20,time)*VLOOKUP(F35,List!$E$35:$F$37,2,))+(time-MIN(20,time))-IF(F35="exponential",time-20+0.217*time*(EXP(4.606*(20-time)/time)-1),((time-20)^2)*(0.5/time)))))))</f>
        <v>0</v>
      </c>
      <c r="AL35" s="2468">
        <f>-$U17*(IF(H35="immediate",IF(D35&gt;0,D35*MIN(20,time),0),D35*IF(time&gt;time+20,20,IF(time&lt;20,(time*VLOOKUP(H35,List!$E$35:$F$37,2,))+(time-time),((MIN(20,time)*VLOOKUP(H35,List!$E$35:$F$37,2,))+(time-MIN(20,time))-IF(H35="exponential",time-20+0.217*time*(EXP(4.606*(20-time)/time)-1),((time-20)^2)*(0.5/time)))))))</f>
        <v>0</v>
      </c>
      <c r="AM35" s="2480"/>
      <c r="AN35" s="2480"/>
      <c r="AO35" s="2480"/>
      <c r="AP35" s="2480"/>
      <c r="AQ35" s="2480"/>
      <c r="AR35" s="2460"/>
      <c r="AS35" s="2460"/>
      <c r="AT35" s="2460"/>
      <c r="AU35" s="2460"/>
    </row>
    <row r="36" spans="2:47" ht="13.8" thickBot="1">
      <c r="B36" s="764" t="s">
        <v>883</v>
      </c>
      <c r="C36" s="764" t="str">
        <f t="shared" ref="C36:C43" si="17">IF(C18="","",C18)</f>
        <v/>
      </c>
      <c r="D36" s="2003">
        <f>'4.Grassland'!AA25</f>
        <v>0</v>
      </c>
      <c r="E36" s="1323">
        <f t="shared" si="15"/>
        <v>0</v>
      </c>
      <c r="F36" s="2310" t="str">
        <f>VLOOKUP('4.Grassland'!AC25,List!$D$35:$E$37,2,)</f>
        <v>Linear</v>
      </c>
      <c r="G36" s="1556">
        <f t="shared" si="16"/>
        <v>0</v>
      </c>
      <c r="H36" s="2310" t="str">
        <f>VLOOKUP('4.Grassland'!AE25,List!$D$35:$E$37,2,)</f>
        <v>Linear</v>
      </c>
      <c r="I36" s="1468">
        <f>-$T18*(IF(F36="immediate",IF(D36&gt;0,D36*MIN(20,time_tot),0),D36*IF(time_tot&gt;time+20,20,IF(time_tot&lt;20,(time*VLOOKUP(F36,List!$E$35:$F$37,2,))+(time_tot-time),((MIN(20,time)*VLOOKUP(F36,List!$E$35:$F$37,2,))+(time_tot-MIN(20,time))-IF(F36="exponential",time_tot-20+0.217*time*(EXP(4.606*(20-time_tot)/time)-1),((time_tot-20)^2)*(0.5/time)))))))</f>
        <v>0</v>
      </c>
      <c r="J36" s="1469">
        <f>-$U18*(IF(H36="immediate",IF(D36&gt;0,D36*MIN(20,time_tot),0),D36*IF(time_tot&gt;time+20,20,IF(time_tot&lt;20,(time*VLOOKUP(H36,List!$E$35:$F$37,2,))+(time_tot-time),((MIN(20,time)*VLOOKUP(H36,List!$E$35:$F$37,2,))+(time_tot-MIN(20,time))-IF(H36="exponential",time_tot-20+0.217*time*(EXP(4.606*(20-time_tot)/time)-1),((time_tot-20)^2)*(0.5/time)))))))</f>
        <v>0</v>
      </c>
      <c r="K36" s="1482">
        <f>IF($M18="yes",(MIN(D36,E36)*time_tot+ABS(E36-D36)*IF(E36&gt;D36,time2+time*(VLOOKUP(F36,List!$E$35:$F$37,2,)),time*(1-(VLOOKUP(F36,List!$E$35:$F$37,2,))))),0)*$AC$18/$N18</f>
        <v>0</v>
      </c>
      <c r="L36" s="1478">
        <f>IF($O18="yes",(MIN(D36,G36)*time_tot+ABS(G36-D36)*IF(G36&gt;D36,time2+time*(VLOOKUP(H36,List!$E$35:$F$37,2,)),time*(1-(VLOOKUP(H36,List!$E$35:$F$37,2,))))),0)*$AC$18/$P18</f>
        <v>0</v>
      </c>
      <c r="M36" s="1482">
        <f t="shared" si="6"/>
        <v>0</v>
      </c>
      <c r="N36" s="1478">
        <f t="shared" si="7"/>
        <v>0</v>
      </c>
      <c r="O36" s="1325">
        <f t="shared" si="14"/>
        <v>0</v>
      </c>
      <c r="Q36" s="2116">
        <f t="shared" si="8"/>
        <v>0</v>
      </c>
      <c r="R36" s="2116">
        <f t="shared" si="9"/>
        <v>0</v>
      </c>
      <c r="S36" s="2116">
        <f t="shared" si="10"/>
        <v>0</v>
      </c>
      <c r="U36" s="2093">
        <f>(time*((ABS(R36-Q36)*(IF(Q36&lt;=R36,VLOOKUP(F36,List!$E$35:$F$37,2,),1-VLOOKUP(F36,List!$E$35:$F$37,2,))))+MIN(R36,Q36))+(R36*time2))</f>
        <v>0</v>
      </c>
      <c r="V36" s="2093">
        <f>(time*((ABS(S36-Q36)*(IF(Q36&lt;=S36,VLOOKUP(H36,List!$E$35:$F$37,2,),1-VLOOKUP(H36,List!$E$35:$F$37,2,))))+MIN(S36,Q36))+(S36*time2))</f>
        <v>0</v>
      </c>
      <c r="W36" s="2084">
        <f t="shared" si="11"/>
        <v>0</v>
      </c>
      <c r="AD36" s="2460"/>
      <c r="AE36" s="2467">
        <f t="shared" si="12"/>
        <v>0</v>
      </c>
      <c r="AF36" s="2467">
        <f t="shared" si="13"/>
        <v>0</v>
      </c>
      <c r="AG36" s="2480"/>
      <c r="AH36" s="2480"/>
      <c r="AI36" s="2480"/>
      <c r="AJ36" s="2480"/>
      <c r="AK36" s="2468">
        <f>-$T18*(IF(F36="immediate",IF(D36&gt;0,D36*MIN(20,time),0),D36*IF(time&gt;time+20,20,IF(time&lt;20,(time*VLOOKUP(F36,List!$E$35:$F$37,2,))+(time-time),((MIN(20,time)*VLOOKUP(F36,List!$E$35:$F$37,2,))+(time-MIN(20,time))-IF(F36="exponential",time-20+0.217*time*(EXP(4.606*(20-time)/time)-1),((time-20)^2)*(0.5/time)))))))</f>
        <v>0</v>
      </c>
      <c r="AL36" s="2468">
        <f>-$U18*(IF(H36="immediate",IF(D36&gt;0,D36*MIN(20,time),0),D36*IF(time&gt;time+20,20,IF(time&lt;20,(time*VLOOKUP(H36,List!$E$35:$F$37,2,))+(time-time),((MIN(20,time)*VLOOKUP(H36,List!$E$35:$F$37,2,))+(time-MIN(20,time))-IF(H36="exponential",time-20+0.217*time*(EXP(4.606*(20-time)/time)-1),((time-20)^2)*(0.5/time)))))))</f>
        <v>0</v>
      </c>
      <c r="AM36" s="2480"/>
      <c r="AN36" s="2480"/>
      <c r="AO36" s="2480"/>
      <c r="AP36" s="2480"/>
      <c r="AQ36" s="2480"/>
      <c r="AR36" s="2460"/>
      <c r="AS36" s="2460"/>
      <c r="AT36" s="2460"/>
      <c r="AU36" s="2460"/>
    </row>
    <row r="37" spans="2:47" ht="13.8" thickBot="1">
      <c r="B37" s="764" t="s">
        <v>884</v>
      </c>
      <c r="C37" s="764" t="str">
        <f t="shared" si="17"/>
        <v/>
      </c>
      <c r="D37" s="2003">
        <f>'4.Grassland'!AA26</f>
        <v>0</v>
      </c>
      <c r="E37" s="1323">
        <f t="shared" si="15"/>
        <v>0</v>
      </c>
      <c r="F37" s="2310" t="str">
        <f>VLOOKUP('4.Grassland'!AC26,List!$D$35:$E$37,2,)</f>
        <v>Linear</v>
      </c>
      <c r="G37" s="1556">
        <f t="shared" si="16"/>
        <v>0</v>
      </c>
      <c r="H37" s="2310" t="str">
        <f>VLOOKUP('4.Grassland'!AE26,List!$D$35:$E$37,2,)</f>
        <v>Linear</v>
      </c>
      <c r="I37" s="1468">
        <f>-$T19*(IF(F37="immediate",IF(D37&gt;0,D37*MIN(20,time_tot),0),D37*IF(time_tot&gt;time+20,20,IF(time_tot&lt;20,(time*VLOOKUP(F37,List!$E$35:$F$37,2,))+(time_tot-time),((MIN(20,time)*VLOOKUP(F37,List!$E$35:$F$37,2,))+(time_tot-MIN(20,time))-IF(F37="exponential",time_tot-20+0.217*time*(EXP(4.606*(20-time_tot)/time)-1),((time_tot-20)^2)*(0.5/time)))))))</f>
        <v>0</v>
      </c>
      <c r="J37" s="1469">
        <f>-$U19*(IF(H37="immediate",IF(D37&gt;0,D37*MIN(20,time_tot),0),D37*IF(time_tot&gt;time+20,20,IF(time_tot&lt;20,(time*VLOOKUP(H37,List!$E$35:$F$37,2,))+(time_tot-time),((MIN(20,time)*VLOOKUP(H37,List!$E$35:$F$37,2,))+(time_tot-MIN(20,time))-IF(H37="exponential",time_tot-20+0.217*time*(EXP(4.606*(20-time_tot)/time)-1),((time_tot-20)^2)*(0.5/time)))))))</f>
        <v>0</v>
      </c>
      <c r="K37" s="1482">
        <f>IF($M19="yes",(MIN(D37,E37)*time_tot+ABS(E37-D37)*IF(E37&gt;D37,time2+time*(VLOOKUP(F37,List!$E$35:$F$37,2,)),time*(1-(VLOOKUP(F37,List!$E$35:$F$37,2,))))),0)*$AC$18/$N19</f>
        <v>0</v>
      </c>
      <c r="L37" s="1478">
        <f>IF($O19="yes",(MIN(D37,G37)*time_tot+ABS(G37-D37)*IF(G37&gt;D37,time2+time*(VLOOKUP(H37,List!$E$35:$F$37,2,)),time*(1-(VLOOKUP(H37,List!$E$35:$F$37,2,))))),0)*$AC$18/$P19</f>
        <v>0</v>
      </c>
      <c r="M37" s="1482">
        <f t="shared" si="6"/>
        <v>0</v>
      </c>
      <c r="N37" s="1478">
        <f t="shared" si="7"/>
        <v>0</v>
      </c>
      <c r="O37" s="1325">
        <f t="shared" si="14"/>
        <v>0</v>
      </c>
      <c r="Q37" s="2116">
        <f t="shared" si="8"/>
        <v>0</v>
      </c>
      <c r="R37" s="2116">
        <f t="shared" si="9"/>
        <v>0</v>
      </c>
      <c r="S37" s="2116">
        <f t="shared" si="10"/>
        <v>0</v>
      </c>
      <c r="U37" s="2093">
        <f>(time*((ABS(R37-Q37)*(IF(Q37&lt;=R37,VLOOKUP(F37,List!$E$35:$F$37,2,),1-VLOOKUP(F37,List!$E$35:$F$37,2,))))+MIN(R37,Q37))+(R37*time2))</f>
        <v>0</v>
      </c>
      <c r="V37" s="2093">
        <f>(time*((ABS(S37-Q37)*(IF(Q37&lt;=S37,VLOOKUP(H37,List!$E$35:$F$37,2,),1-VLOOKUP(H37,List!$E$35:$F$37,2,))))+MIN(S37,Q37))+(S37*time2))</f>
        <v>0</v>
      </c>
      <c r="W37" s="2084">
        <f t="shared" si="11"/>
        <v>0</v>
      </c>
      <c r="AD37" s="2460"/>
      <c r="AE37" s="2467">
        <f t="shared" si="12"/>
        <v>0</v>
      </c>
      <c r="AF37" s="2467">
        <f t="shared" si="13"/>
        <v>0</v>
      </c>
      <c r="AG37" s="2480"/>
      <c r="AH37" s="2480"/>
      <c r="AI37" s="2480"/>
      <c r="AJ37" s="2480"/>
      <c r="AK37" s="2468">
        <f>-$T19*(IF(F37="immediate",IF(D37&gt;0,D37*MIN(20,time),0),D37*IF(time&gt;time+20,20,IF(time&lt;20,(time*VLOOKUP(F37,List!$E$35:$F$37,2,))+(time-time),((MIN(20,time)*VLOOKUP(F37,List!$E$35:$F$37,2,))+(time-MIN(20,time))-IF(F37="exponential",time-20+0.217*time*(EXP(4.606*(20-time)/time)-1),((time-20)^2)*(0.5/time)))))))</f>
        <v>0</v>
      </c>
      <c r="AL37" s="2468">
        <f>-$U19*(IF(H37="immediate",IF(D37&gt;0,D37*MIN(20,time),0),D37*IF(time&gt;time+20,20,IF(time&lt;20,(time*VLOOKUP(H37,List!$E$35:$F$37,2,))+(time-time),((MIN(20,time)*VLOOKUP(H37,List!$E$35:$F$37,2,))+(time-MIN(20,time))-IF(H37="exponential",time-20+0.217*time*(EXP(4.606*(20-time)/time)-1),((time-20)^2)*(0.5/time)))))))</f>
        <v>0</v>
      </c>
      <c r="AM37" s="2480"/>
      <c r="AN37" s="2480"/>
      <c r="AO37" s="2480"/>
      <c r="AP37" s="2480"/>
      <c r="AQ37" s="2480"/>
      <c r="AR37" s="2460"/>
      <c r="AS37" s="2460"/>
      <c r="AT37" s="2460"/>
      <c r="AU37" s="2460"/>
    </row>
    <row r="38" spans="2:47" ht="13.8" thickBot="1">
      <c r="B38" s="764" t="s">
        <v>885</v>
      </c>
      <c r="C38" s="764" t="str">
        <f t="shared" si="17"/>
        <v/>
      </c>
      <c r="D38" s="2003">
        <f>'4.Grassland'!AA27</f>
        <v>0</v>
      </c>
      <c r="E38" s="1323">
        <f t="shared" si="15"/>
        <v>0</v>
      </c>
      <c r="F38" s="2310" t="str">
        <f>VLOOKUP('4.Grassland'!AC27,List!$D$35:$E$37,2,)</f>
        <v>Linear</v>
      </c>
      <c r="G38" s="1556">
        <f t="shared" si="16"/>
        <v>0</v>
      </c>
      <c r="H38" s="2310" t="str">
        <f>VLOOKUP('4.Grassland'!AE27,List!$D$35:$E$37,2,)</f>
        <v>Linear</v>
      </c>
      <c r="I38" s="1468">
        <f>-$T20*(IF(F38="immediate",IF(D38&gt;0,D38*MIN(20,time_tot),0),D38*IF(time_tot&gt;time+20,20,IF(time_tot&lt;20,(time*VLOOKUP(F38,List!$E$35:$F$37,2,))+(time_tot-time),((MIN(20,time)*VLOOKUP(F38,List!$E$35:$F$37,2,))+(time_tot-MIN(20,time))-IF(F38="exponential",time_tot-20+0.217*time*(EXP(4.606*(20-time_tot)/time)-1),((time_tot-20)^2)*(0.5/time)))))))</f>
        <v>0</v>
      </c>
      <c r="J38" s="1469">
        <f>-$U20*(IF(H38="immediate",IF(D38&gt;0,D38*MIN(20,time_tot),0),D38*IF(time_tot&gt;time+20,20,IF(time_tot&lt;20,(time*VLOOKUP(H38,List!$E$35:$F$37,2,))+(time_tot-time),((MIN(20,time)*VLOOKUP(H38,List!$E$35:$F$37,2,))+(time_tot-MIN(20,time))-IF(H38="exponential",time_tot-20+0.217*time*(EXP(4.606*(20-time_tot)/time)-1),((time_tot-20)^2)*(0.5/time)))))))</f>
        <v>0</v>
      </c>
      <c r="K38" s="1482">
        <f>IF($M20="yes",(MIN(D38,E38)*time_tot+ABS(E38-D38)*IF(E38&gt;D38,time2+time*(VLOOKUP(F38,List!$E$35:$F$37,2,)),time*(1-(VLOOKUP(F38,List!$E$35:$F$37,2,))))),0)*$AC$18/$N20</f>
        <v>0</v>
      </c>
      <c r="L38" s="1478">
        <f>IF($O20="yes",(MIN(D38,G38)*time_tot+ABS(G38-D38)*IF(G38&gt;D38,time2+time*(VLOOKUP(H38,List!$E$35:$F$37,2,)),time*(1-(VLOOKUP(H38,List!$E$35:$F$37,2,))))),0)*$AC$18/$P20</f>
        <v>0</v>
      </c>
      <c r="M38" s="1482">
        <f t="shared" si="6"/>
        <v>0</v>
      </c>
      <c r="N38" s="1478">
        <f t="shared" si="7"/>
        <v>0</v>
      </c>
      <c r="O38" s="1325">
        <f t="shared" si="14"/>
        <v>0</v>
      </c>
      <c r="Q38" s="2116">
        <f t="shared" si="8"/>
        <v>0</v>
      </c>
      <c r="R38" s="2116">
        <f t="shared" si="9"/>
        <v>0</v>
      </c>
      <c r="S38" s="2116">
        <f t="shared" si="10"/>
        <v>0</v>
      </c>
      <c r="U38" s="2093">
        <f>(time*((ABS(R38-Q38)*(IF(Q38&lt;=R38,VLOOKUP(F38,List!$E$35:$F$37,2,),1-VLOOKUP(F38,List!$E$35:$F$37,2,))))+MIN(R38,Q38))+(R38*time2))</f>
        <v>0</v>
      </c>
      <c r="V38" s="2093">
        <f>(time*((ABS(S38-Q38)*(IF(Q38&lt;=S38,VLOOKUP(H38,List!$E$35:$F$37,2,),1-VLOOKUP(H38,List!$E$35:$F$37,2,))))+MIN(S38,Q38))+(S38*time2))</f>
        <v>0</v>
      </c>
      <c r="W38" s="2084">
        <f t="shared" si="11"/>
        <v>0</v>
      </c>
      <c r="AD38" s="2460"/>
      <c r="AE38" s="2467">
        <f t="shared" si="12"/>
        <v>0</v>
      </c>
      <c r="AF38" s="2467">
        <f t="shared" si="13"/>
        <v>0</v>
      </c>
      <c r="AG38" s="2480"/>
      <c r="AH38" s="2480"/>
      <c r="AI38" s="2480"/>
      <c r="AJ38" s="2480"/>
      <c r="AK38" s="2468">
        <f>-$T20*(IF(F38="immediate",IF(D38&gt;0,D38*MIN(20,time),0),D38*IF(time&gt;time+20,20,IF(time&lt;20,(time*VLOOKUP(F38,List!$E$35:$F$37,2,))+(time-time),((MIN(20,time)*VLOOKUP(F38,List!$E$35:$F$37,2,))+(time-MIN(20,time))-IF(F38="exponential",time-20+0.217*time*(EXP(4.606*(20-time)/time)-1),((time-20)^2)*(0.5/time)))))))</f>
        <v>0</v>
      </c>
      <c r="AL38" s="2468">
        <f>-$U20*(IF(H38="immediate",IF(D38&gt;0,D38*MIN(20,time),0),D38*IF(time&gt;time+20,20,IF(time&lt;20,(time*VLOOKUP(H38,List!$E$35:$F$37,2,))+(time-time),((MIN(20,time)*VLOOKUP(H38,List!$E$35:$F$37,2,))+(time-MIN(20,time))-IF(H38="exponential",time-20+0.217*time*(EXP(4.606*(20-time)/time)-1),((time-20)^2)*(0.5/time)))))))</f>
        <v>0</v>
      </c>
      <c r="AM38" s="2480"/>
      <c r="AN38" s="2480"/>
      <c r="AO38" s="2480"/>
      <c r="AP38" s="2480"/>
      <c r="AQ38" s="2480"/>
      <c r="AR38" s="2460"/>
      <c r="AS38" s="2460"/>
      <c r="AT38" s="2460"/>
      <c r="AU38" s="2460"/>
    </row>
    <row r="39" spans="2:47" ht="13.8" thickBot="1">
      <c r="B39" s="764" t="s">
        <v>886</v>
      </c>
      <c r="C39" s="764" t="str">
        <f t="shared" si="17"/>
        <v/>
      </c>
      <c r="D39" s="2003">
        <f>'4.Grassland'!AA28</f>
        <v>0</v>
      </c>
      <c r="E39" s="1323">
        <f t="shared" si="15"/>
        <v>0</v>
      </c>
      <c r="F39" s="2310" t="str">
        <f>VLOOKUP('4.Grassland'!AC28,List!$D$35:$E$37,2,)</f>
        <v>Linear</v>
      </c>
      <c r="G39" s="1556">
        <f t="shared" si="16"/>
        <v>0</v>
      </c>
      <c r="H39" s="2310" t="str">
        <f>VLOOKUP('4.Grassland'!AE28,List!$D$35:$E$37,2,)</f>
        <v>Linear</v>
      </c>
      <c r="I39" s="1468">
        <f>-$T21*(IF(F39="immediate",IF(D39&gt;0,D39*MIN(20,time_tot),0),D39*IF(time_tot&gt;time+20,20,IF(time_tot&lt;20,(time*VLOOKUP(F39,List!$E$35:$F$37,2,))+(time_tot-time),((MIN(20,time)*VLOOKUP(F39,List!$E$35:$F$37,2,))+(time_tot-MIN(20,time))-IF(F39="exponential",time_tot-20+0.217*time*(EXP(4.606*(20-time_tot)/time)-1),((time_tot-20)^2)*(0.5/time)))))))</f>
        <v>0</v>
      </c>
      <c r="J39" s="1469">
        <f>-$U21*(IF(H39="immediate",IF(D39&gt;0,D39*MIN(20,time_tot),0),D39*IF(time_tot&gt;time+20,20,IF(time_tot&lt;20,(time*VLOOKUP(H39,List!$E$35:$F$37,2,))+(time_tot-time),((MIN(20,time)*VLOOKUP(H39,List!$E$35:$F$37,2,))+(time_tot-MIN(20,time))-IF(H39="exponential",time_tot-20+0.217*time*(EXP(4.606*(20-time_tot)/time)-1),((time_tot-20)^2)*(0.5/time)))))))</f>
        <v>0</v>
      </c>
      <c r="K39" s="1482">
        <f>IF($M21="yes",(MIN(D39,E39)*time_tot+ABS(E39-D39)*IF(E39&gt;D39,time2+time*(VLOOKUP(F39,List!$E$35:$F$37,2,)),time*(1-(VLOOKUP(F39,List!$E$35:$F$37,2,))))),0)*$AC$18/$N21</f>
        <v>0</v>
      </c>
      <c r="L39" s="1478">
        <f>IF($O21="yes",(MIN(D39,G39)*time_tot+ABS(G39-D39)*IF(G39&gt;D39,time2+time*(VLOOKUP(H39,List!$E$35:$F$37,2,)),time*(1-(VLOOKUP(H39,List!$E$35:$F$37,2,))))),0)*$AC$18/$P21</f>
        <v>0</v>
      </c>
      <c r="M39" s="1482">
        <f t="shared" si="6"/>
        <v>0</v>
      </c>
      <c r="N39" s="1478">
        <f t="shared" si="7"/>
        <v>0</v>
      </c>
      <c r="O39" s="1325">
        <f t="shared" si="14"/>
        <v>0</v>
      </c>
      <c r="Q39" s="2116">
        <f t="shared" si="8"/>
        <v>0</v>
      </c>
      <c r="R39" s="2116">
        <f t="shared" si="9"/>
        <v>0</v>
      </c>
      <c r="S39" s="2116">
        <f t="shared" si="10"/>
        <v>0</v>
      </c>
      <c r="U39" s="2093">
        <f>(time*((ABS(R39-Q39)*(IF(Q39&lt;=R39,VLOOKUP(F39,List!$E$35:$F$37,2,),1-VLOOKUP(F39,List!$E$35:$F$37,2,))))+MIN(R39,Q39))+(R39*time2))</f>
        <v>0</v>
      </c>
      <c r="V39" s="2093">
        <f>(time*((ABS(S39-Q39)*(IF(Q39&lt;=S39,VLOOKUP(H39,List!$E$35:$F$37,2,),1-VLOOKUP(H39,List!$E$35:$F$37,2,))))+MIN(S39,Q39))+(S39*time2))</f>
        <v>0</v>
      </c>
      <c r="W39" s="2084">
        <f t="shared" si="11"/>
        <v>0</v>
      </c>
      <c r="AD39" s="2460"/>
      <c r="AE39" s="2467">
        <f t="shared" si="12"/>
        <v>0</v>
      </c>
      <c r="AF39" s="2467">
        <f t="shared" si="13"/>
        <v>0</v>
      </c>
      <c r="AG39" s="2480"/>
      <c r="AH39" s="2480"/>
      <c r="AI39" s="2480"/>
      <c r="AJ39" s="2480"/>
      <c r="AK39" s="2468">
        <f>-$T21*(IF(F39="immediate",IF(D39&gt;0,D39*MIN(20,time),0),D39*IF(time&gt;time+20,20,IF(time&lt;20,(time*VLOOKUP(F39,List!$E$35:$F$37,2,))+(time-time),((MIN(20,time)*VLOOKUP(F39,List!$E$35:$F$37,2,))+(time-MIN(20,time))-IF(F39="exponential",time-20+0.217*time*(EXP(4.606*(20-time)/time)-1),((time-20)^2)*(0.5/time)))))))</f>
        <v>0</v>
      </c>
      <c r="AL39" s="2468">
        <f>-$U21*(IF(H39="immediate",IF(D39&gt;0,D39*MIN(20,time),0),D39*IF(time&gt;time+20,20,IF(time&lt;20,(time*VLOOKUP(H39,List!$E$35:$F$37,2,))+(time-time),((MIN(20,time)*VLOOKUP(H39,List!$E$35:$F$37,2,))+(time-MIN(20,time))-IF(H39="exponential",time-20+0.217*time*(EXP(4.606*(20-time)/time)-1),((time-20)^2)*(0.5/time)))))))</f>
        <v>0</v>
      </c>
      <c r="AM39" s="2480"/>
      <c r="AN39" s="2480"/>
      <c r="AO39" s="2480"/>
      <c r="AP39" s="2480"/>
      <c r="AQ39" s="2480"/>
      <c r="AR39" s="2460"/>
      <c r="AS39" s="2460"/>
      <c r="AT39" s="2460"/>
      <c r="AU39" s="2460"/>
    </row>
    <row r="40" spans="2:47" ht="13.8" thickBot="1">
      <c r="B40" s="764" t="s">
        <v>887</v>
      </c>
      <c r="C40" s="764" t="str">
        <f t="shared" si="17"/>
        <v/>
      </c>
      <c r="D40" s="2003">
        <f>'4.Grassland'!AA29</f>
        <v>0</v>
      </c>
      <c r="E40" s="1323">
        <f t="shared" si="15"/>
        <v>0</v>
      </c>
      <c r="F40" s="2310" t="str">
        <f>VLOOKUP('4.Grassland'!AC29,List!$D$35:$E$37,2,)</f>
        <v>Linear</v>
      </c>
      <c r="G40" s="1556">
        <f t="shared" si="16"/>
        <v>0</v>
      </c>
      <c r="H40" s="2310" t="str">
        <f>VLOOKUP('4.Grassland'!AE29,List!$D$35:$E$37,2,)</f>
        <v>Linear</v>
      </c>
      <c r="I40" s="1468">
        <f>-$T22*(IF(F40="immediate",IF(D40&gt;0,D40*MIN(20,time_tot),0),D40*IF(time_tot&gt;time+20,20,IF(time_tot&lt;20,(time*VLOOKUP(F40,List!$E$35:$F$37,2,))+(time_tot-time),((MIN(20,time)*VLOOKUP(F40,List!$E$35:$F$37,2,))+(time_tot-MIN(20,time))-IF(F40="exponential",time_tot-20+0.217*time*(EXP(4.606*(20-time_tot)/time)-1),((time_tot-20)^2)*(0.5/time)))))))</f>
        <v>0</v>
      </c>
      <c r="J40" s="1469">
        <f>-$U22*(IF(H40="immediate",IF(D40&gt;0,D40*MIN(20,time_tot),0),D40*IF(time_tot&gt;time+20,20,IF(time_tot&lt;20,(time*VLOOKUP(H40,List!$E$35:$F$37,2,))+(time_tot-time),((MIN(20,time)*VLOOKUP(H40,List!$E$35:$F$37,2,))+(time_tot-MIN(20,time))-IF(H40="exponential",time_tot-20+0.217*time*(EXP(4.606*(20-time_tot)/time)-1),((time_tot-20)^2)*(0.5/time)))))))</f>
        <v>0</v>
      </c>
      <c r="K40" s="1482">
        <f>IF($M22="yes",(MIN(D40,E40)*time_tot+ABS(E40-D40)*IF(E40&gt;D40,time2+time*(VLOOKUP(F40,List!$E$35:$F$37,2,)),time*(1-(VLOOKUP(F40,List!$E$35:$F$37,2,))))),0)*$AC$18/$N22</f>
        <v>0</v>
      </c>
      <c r="L40" s="1478">
        <f>IF($O22="yes",(MIN(D40,G40)*time_tot+ABS(G40-D40)*IF(G40&gt;D40,time2+time*(VLOOKUP(H40,List!$E$35:$F$37,2,)),time*(1-(VLOOKUP(H40,List!$E$35:$F$37,2,))))),0)*$AC$18/$P22</f>
        <v>0</v>
      </c>
      <c r="M40" s="1482">
        <f t="shared" si="6"/>
        <v>0</v>
      </c>
      <c r="N40" s="1478">
        <f t="shared" si="7"/>
        <v>0</v>
      </c>
      <c r="O40" s="1325">
        <f t="shared" si="14"/>
        <v>0</v>
      </c>
      <c r="Q40" s="2116">
        <f t="shared" si="8"/>
        <v>0</v>
      </c>
      <c r="R40" s="2116">
        <f t="shared" si="9"/>
        <v>0</v>
      </c>
      <c r="S40" s="2116">
        <f t="shared" si="10"/>
        <v>0</v>
      </c>
      <c r="U40" s="2093">
        <f>(time*((ABS(R40-Q40)*(IF(Q40&lt;=R40,VLOOKUP(F40,List!$E$35:$F$37,2,),1-VLOOKUP(F40,List!$E$35:$F$37,2,))))+MIN(R40,Q40))+(R40*time2))</f>
        <v>0</v>
      </c>
      <c r="V40" s="2093">
        <f>(time*((ABS(S40-Q40)*(IF(Q40&lt;=S40,VLOOKUP(H40,List!$E$35:$F$37,2,),1-VLOOKUP(H40,List!$E$35:$F$37,2,))))+MIN(S40,Q40))+(S40*time2))</f>
        <v>0</v>
      </c>
      <c r="W40" s="2084">
        <f t="shared" si="11"/>
        <v>0</v>
      </c>
      <c r="AD40" s="2460"/>
      <c r="AE40" s="2467">
        <f t="shared" si="12"/>
        <v>0</v>
      </c>
      <c r="AF40" s="2467">
        <f t="shared" si="13"/>
        <v>0</v>
      </c>
      <c r="AG40" s="2480"/>
      <c r="AH40" s="2480"/>
      <c r="AI40" s="2480"/>
      <c r="AJ40" s="2480"/>
      <c r="AK40" s="2468">
        <f>-$T22*(IF(F40="immediate",IF(D40&gt;0,D40*MIN(20,time),0),D40*IF(time&gt;time+20,20,IF(time&lt;20,(time*VLOOKUP(F40,List!$E$35:$F$37,2,))+(time-time),((MIN(20,time)*VLOOKUP(F40,List!$E$35:$F$37,2,))+(time-MIN(20,time))-IF(F40="exponential",time-20+0.217*time*(EXP(4.606*(20-time)/time)-1),((time-20)^2)*(0.5/time)))))))</f>
        <v>0</v>
      </c>
      <c r="AL40" s="2468">
        <f>-$U22*(IF(H40="immediate",IF(D40&gt;0,D40*MIN(20,time),0),D40*IF(time&gt;time+20,20,IF(time&lt;20,(time*VLOOKUP(H40,List!$E$35:$F$37,2,))+(time-time),((MIN(20,time)*VLOOKUP(H40,List!$E$35:$F$37,2,))+(time-MIN(20,time))-IF(H40="exponential",time-20+0.217*time*(EXP(4.606*(20-time)/time)-1),((time-20)^2)*(0.5/time)))))))</f>
        <v>0</v>
      </c>
      <c r="AM40" s="2480"/>
      <c r="AN40" s="2480"/>
      <c r="AO40" s="2480"/>
      <c r="AP40" s="2480"/>
      <c r="AQ40" s="2480"/>
      <c r="AR40" s="2460"/>
      <c r="AS40" s="2460"/>
      <c r="AT40" s="2460"/>
      <c r="AU40" s="2460"/>
    </row>
    <row r="41" spans="2:47" ht="13.8" thickBot="1">
      <c r="B41" s="764" t="s">
        <v>888</v>
      </c>
      <c r="C41" s="764" t="str">
        <f t="shared" si="17"/>
        <v/>
      </c>
      <c r="D41" s="2003">
        <f>'4.Grassland'!AA30</f>
        <v>0</v>
      </c>
      <c r="E41" s="1323">
        <f t="shared" si="15"/>
        <v>0</v>
      </c>
      <c r="F41" s="2310" t="str">
        <f>VLOOKUP('4.Grassland'!AC30,List!$D$35:$E$37,2,)</f>
        <v>Linear</v>
      </c>
      <c r="G41" s="1556">
        <f t="shared" si="16"/>
        <v>0</v>
      </c>
      <c r="H41" s="2310" t="str">
        <f>VLOOKUP('4.Grassland'!AE30,List!$D$35:$E$37,2,)</f>
        <v>Linear</v>
      </c>
      <c r="I41" s="1468">
        <f>-$T23*(IF(F41="immediate",IF(D41&gt;0,D41*MIN(20,time_tot),0),D41*IF(time_tot&gt;time+20,20,IF(time_tot&lt;20,(time*VLOOKUP(F41,List!$E$35:$F$37,2,))+(time_tot-time),((MIN(20,time)*VLOOKUP(F41,List!$E$35:$F$37,2,))+(time_tot-MIN(20,time))-IF(F41="exponential",time_tot-20+0.217*time*(EXP(4.606*(20-time_tot)/time)-1),((time_tot-20)^2)*(0.5/time)))))))</f>
        <v>0</v>
      </c>
      <c r="J41" s="1469">
        <f>-$U23*(IF(H41="immediate",IF(D41&gt;0,D41*MIN(20,time_tot),0),D41*IF(time_tot&gt;time+20,20,IF(time_tot&lt;20,(time*VLOOKUP(H41,List!$E$35:$F$37,2,))+(time_tot-time),((MIN(20,time)*VLOOKUP(H41,List!$E$35:$F$37,2,))+(time_tot-MIN(20,time))-IF(H41="exponential",time_tot-20+0.217*time*(EXP(4.606*(20-time_tot)/time)-1),((time_tot-20)^2)*(0.5/time)))))))</f>
        <v>0</v>
      </c>
      <c r="K41" s="1482">
        <f>IF($M23="yes",(MIN(D41,E41)*time_tot+ABS(E41-D41)*IF(E41&gt;D41,time2+time*(VLOOKUP(F41,List!$E$35:$F$37,2,)),time*(1-(VLOOKUP(F41,List!$E$35:$F$37,2,))))),0)*$AC$18/$N23</f>
        <v>0</v>
      </c>
      <c r="L41" s="1478">
        <f>IF($O23="yes",(MIN(D41,G41)*time_tot+ABS(G41-D41)*IF(G41&gt;D41,time2+time*(VLOOKUP(H41,List!$E$35:$F$37,2,)),time*(1-(VLOOKUP(H41,List!$E$35:$F$37,2,))))),0)*$AC$18/$P23</f>
        <v>0</v>
      </c>
      <c r="M41" s="1482">
        <f t="shared" si="6"/>
        <v>0</v>
      </c>
      <c r="N41" s="1478">
        <f t="shared" si="7"/>
        <v>0</v>
      </c>
      <c r="O41" s="1325">
        <f t="shared" si="14"/>
        <v>0</v>
      </c>
      <c r="Q41" s="2116">
        <f t="shared" si="8"/>
        <v>0</v>
      </c>
      <c r="R41" s="2116">
        <f t="shared" si="9"/>
        <v>0</v>
      </c>
      <c r="S41" s="2116">
        <f t="shared" si="10"/>
        <v>0</v>
      </c>
      <c r="U41" s="2093">
        <f>(time*((ABS(R41-Q41)*(IF(Q41&lt;=R41,VLOOKUP(F41,List!$E$35:$F$37,2,),1-VLOOKUP(F41,List!$E$35:$F$37,2,))))+MIN(R41,Q41))+(R41*time2))</f>
        <v>0</v>
      </c>
      <c r="V41" s="2093">
        <f>(time*((ABS(S41-Q41)*(IF(Q41&lt;=S41,VLOOKUP(H41,List!$E$35:$F$37,2,),1-VLOOKUP(H41,List!$E$35:$F$37,2,))))+MIN(S41,Q41))+(S41*time2))</f>
        <v>0</v>
      </c>
      <c r="W41" s="2084">
        <f t="shared" si="11"/>
        <v>0</v>
      </c>
      <c r="AD41" s="2460"/>
      <c r="AE41" s="2467">
        <f t="shared" si="12"/>
        <v>0</v>
      </c>
      <c r="AF41" s="2467">
        <f t="shared" si="13"/>
        <v>0</v>
      </c>
      <c r="AG41" s="2480"/>
      <c r="AH41" s="2480"/>
      <c r="AI41" s="2480"/>
      <c r="AJ41" s="2480"/>
      <c r="AK41" s="2468">
        <f>-$T23*(IF(F41="immediate",IF(D41&gt;0,D41*MIN(20,time),0),D41*IF(time&gt;time+20,20,IF(time&lt;20,(time*VLOOKUP(F41,List!$E$35:$F$37,2,))+(time-time),((MIN(20,time)*VLOOKUP(F41,List!$E$35:$F$37,2,))+(time-MIN(20,time))-IF(F41="exponential",time-20+0.217*time*(EXP(4.606*(20-time)/time)-1),((time-20)^2)*(0.5/time)))))))</f>
        <v>0</v>
      </c>
      <c r="AL41" s="2468">
        <f>-$U23*(IF(H41="immediate",IF(D41&gt;0,D41*MIN(20,time),0),D41*IF(time&gt;time+20,20,IF(time&lt;20,(time*VLOOKUP(H41,List!$E$35:$F$37,2,))+(time-time),((MIN(20,time)*VLOOKUP(H41,List!$E$35:$F$37,2,))+(time-MIN(20,time))-IF(H41="exponential",time-20+0.217*time*(EXP(4.606*(20-time)/time)-1),((time-20)^2)*(0.5/time)))))))</f>
        <v>0</v>
      </c>
      <c r="AM41" s="2480"/>
      <c r="AN41" s="2480"/>
      <c r="AO41" s="2480"/>
      <c r="AP41" s="2480"/>
      <c r="AQ41" s="2480"/>
      <c r="AR41" s="2460"/>
      <c r="AS41" s="2460"/>
      <c r="AT41" s="2460"/>
      <c r="AU41" s="2460"/>
    </row>
    <row r="42" spans="2:47">
      <c r="B42" s="1364" t="s">
        <v>889</v>
      </c>
      <c r="C42" s="1364" t="str">
        <f t="shared" si="17"/>
        <v/>
      </c>
      <c r="D42" s="2003">
        <f>'4.Grassland'!AA31</f>
        <v>0</v>
      </c>
      <c r="E42" s="1326">
        <f>D42</f>
        <v>0</v>
      </c>
      <c r="F42" s="2310" t="str">
        <f>VLOOKUP('4.Grassland'!AC31,List!$D$35:$E$37,2,)</f>
        <v>Linear</v>
      </c>
      <c r="G42" s="1557">
        <f>D42</f>
        <v>0</v>
      </c>
      <c r="H42" s="2310" t="str">
        <f>VLOOKUP('4.Grassland'!AE31,List!$D$35:$E$37,2,)</f>
        <v>Linear</v>
      </c>
      <c r="I42" s="1392">
        <f>-$T24*(IF(F42="immediate",IF(D42&gt;0,D42*MIN(20,time_tot),0),D42*IF(time_tot&gt;time+20,20,IF(time_tot&lt;20,(time*VLOOKUP(F42,List!$E$35:$F$37,2,))+(time_tot-time),((MIN(20,time)*VLOOKUP(F42,List!$E$35:$F$37,2,))+(time_tot-MIN(20,time))-IF(F42="exponential",time_tot-20+0.217*time*(EXP(4.606*(20-time_tot)/time)-1),((time_tot-20)^2)*(0.5/time)))))))</f>
        <v>0</v>
      </c>
      <c r="J42" s="1393">
        <f>-$U24*(IF(H42="immediate",IF(D42&gt;0,D42*MIN(20,time_tot),0),D42*IF(time_tot&gt;time+20,20,IF(time_tot&lt;20,(time*VLOOKUP(H42,List!$E$35:$F$37,2,))+(time_tot-time),((MIN(20,time)*VLOOKUP(H42,List!$E$35:$F$37,2,))+(time_tot-MIN(20,time))-IF(H42="exponential",time_tot-20+0.217*time*(EXP(4.606*(20-time_tot)/time)-1),((time_tot-20)^2)*(0.5/time)))))))</f>
        <v>0</v>
      </c>
      <c r="K42" s="1483">
        <f>IF($M24="yes",(MIN(D42,E42)*time_tot+ABS(E42-D42)*IF(E42&gt;D42,time2+time*(VLOOKUP(F42,List!$E$35:$F$37,2,)),time*(1-(VLOOKUP(F42,List!$E$35:$F$37,2,))))),0)*$AC$18/$N24</f>
        <v>0</v>
      </c>
      <c r="L42" s="1480">
        <f>IF($O24="yes",(MIN(D42,G42)*time_tot+ABS(G42-D42)*IF(G42&gt;D42,time2+time*(VLOOKUP(H42,List!$E$35:$F$37,2,)),time*(1-(VLOOKUP(H42,List!$E$35:$F$37,2,))))),0)*$AC$18/$P24</f>
        <v>0</v>
      </c>
      <c r="M42" s="1483">
        <f t="shared" si="6"/>
        <v>0</v>
      </c>
      <c r="N42" s="1480">
        <f t="shared" si="7"/>
        <v>0</v>
      </c>
      <c r="O42" s="1328">
        <f t="shared" si="14"/>
        <v>0</v>
      </c>
      <c r="Q42" s="2116">
        <f t="shared" si="8"/>
        <v>0</v>
      </c>
      <c r="R42" s="2116">
        <f t="shared" si="9"/>
        <v>0</v>
      </c>
      <c r="S42" s="2116">
        <f t="shared" si="10"/>
        <v>0</v>
      </c>
      <c r="U42" s="2093">
        <f>(time*((ABS(R42-Q42)*(IF(Q42&lt;=R42,VLOOKUP(F42,List!$E$35:$F$37,2,),1-VLOOKUP(F42,List!$E$35:$F$37,2,))))+MIN(R42,Q42))+(R42*time2))</f>
        <v>0</v>
      </c>
      <c r="V42" s="2093">
        <f>(time*((ABS(S42-Q42)*(IF(Q42&lt;=S42,VLOOKUP(H42,List!$E$35:$F$37,2,),1-VLOOKUP(H42,List!$E$35:$F$37,2,))))+MIN(S42,Q42))+(S42*time2))</f>
        <v>0</v>
      </c>
      <c r="W42" s="2084">
        <f t="shared" si="11"/>
        <v>0</v>
      </c>
      <c r="AD42" s="2460"/>
      <c r="AE42" s="2467">
        <f t="shared" si="12"/>
        <v>0</v>
      </c>
      <c r="AF42" s="2467">
        <f t="shared" si="13"/>
        <v>0</v>
      </c>
      <c r="AG42" s="2480"/>
      <c r="AH42" s="2480"/>
      <c r="AI42" s="2480"/>
      <c r="AJ42" s="2480"/>
      <c r="AK42" s="2468">
        <f>-$T24*(IF(F42="immediate",IF(D42&gt;0,D42*MIN(20,time),0),D42*IF(time&gt;time+20,20,IF(time&lt;20,(time*VLOOKUP(F42,List!$E$35:$F$37,2,))+(time-time),((MIN(20,time)*VLOOKUP(F42,List!$E$35:$F$37,2,))+(time-MIN(20,time))-IF(F42="exponential",time-20+0.217*time*(EXP(4.606*(20-time)/time)-1),((time-20)^2)*(0.5/time)))))))</f>
        <v>0</v>
      </c>
      <c r="AL42" s="2468">
        <f>-$U24*(IF(H42="immediate",IF(D42&gt;0,D42*MIN(20,time),0),D42*IF(time&gt;time+20,20,IF(time&lt;20,(time*VLOOKUP(H42,List!$E$35:$F$37,2,))+(time-time),((MIN(20,time)*VLOOKUP(H42,List!$E$35:$F$37,2,))+(time-MIN(20,time))-IF(H42="exponential",time-20+0.217*time*(EXP(4.606*(20-time)/time)-1),((time-20)^2)*(0.5/time)))))))</f>
        <v>0</v>
      </c>
      <c r="AM42" s="2480"/>
      <c r="AN42" s="2480"/>
      <c r="AO42" s="2480"/>
      <c r="AP42" s="2480"/>
      <c r="AQ42" s="2480"/>
      <c r="AR42" s="2460"/>
      <c r="AS42" s="2460"/>
      <c r="AT42" s="2460"/>
      <c r="AU42" s="2460"/>
    </row>
    <row r="43" spans="2:47" ht="13.8" thickBot="1">
      <c r="B43" s="765" t="s">
        <v>1120</v>
      </c>
      <c r="C43" s="765" t="str">
        <f t="shared" si="17"/>
        <v/>
      </c>
      <c r="D43" s="1558">
        <f>SUM(D33:D42)</f>
        <v>0</v>
      </c>
      <c r="E43" s="1558">
        <f>SUM(E33:E42)</f>
        <v>0</v>
      </c>
      <c r="F43" s="915"/>
      <c r="G43" s="1558">
        <f>SUM(G33:G42)</f>
        <v>0</v>
      </c>
      <c r="H43" s="295"/>
      <c r="L43" s="234"/>
      <c r="M43" s="234"/>
      <c r="N43" s="234"/>
      <c r="O43" s="234"/>
      <c r="T43" s="748"/>
      <c r="U43" s="2078"/>
      <c r="V43" s="2078"/>
      <c r="W43" s="2078"/>
      <c r="AD43" s="2460"/>
      <c r="AE43" s="2460"/>
      <c r="AF43" s="2480"/>
      <c r="AG43" s="2480"/>
      <c r="AH43" s="2480"/>
      <c r="AI43" s="2480"/>
      <c r="AJ43" s="2480"/>
      <c r="AK43" s="2480"/>
      <c r="AL43" s="2480"/>
      <c r="AM43" s="2480"/>
      <c r="AN43" s="2480"/>
      <c r="AO43" s="2480"/>
      <c r="AP43" s="2480"/>
      <c r="AQ43" s="2480"/>
      <c r="AR43" s="2460"/>
      <c r="AS43" s="2460"/>
      <c r="AT43" s="2460"/>
      <c r="AU43" s="2460"/>
    </row>
    <row r="44" spans="2:47" ht="13.8" thickBot="1">
      <c r="K44" s="1365" t="s">
        <v>903</v>
      </c>
      <c r="L44" s="659"/>
      <c r="M44" s="1366">
        <f>SUM(M29:M42)</f>
        <v>0</v>
      </c>
      <c r="N44" s="1367">
        <f>SUM(N29:N42)</f>
        <v>0</v>
      </c>
      <c r="O44" s="918">
        <f>SUM(O29:O42)</f>
        <v>0</v>
      </c>
      <c r="U44" s="2092">
        <f>SUM(U29:U42)</f>
        <v>0</v>
      </c>
      <c r="V44" s="2092">
        <f>SUM(V29:V42)</f>
        <v>0</v>
      </c>
      <c r="W44" s="2092">
        <f>SUM(W29:W42)</f>
        <v>0</v>
      </c>
      <c r="X44" s="233"/>
      <c r="Z44" s="1368"/>
      <c r="AA44" s="233"/>
      <c r="AB44" s="233"/>
      <c r="AC44" s="233"/>
      <c r="AD44" s="2460" t="s">
        <v>531</v>
      </c>
      <c r="AE44" s="2460">
        <f>SUM(AE29:AE42)</f>
        <v>0</v>
      </c>
      <c r="AF44" s="2460">
        <f>SUM(AF29:AF42)</f>
        <v>0</v>
      </c>
    </row>
    <row r="45" spans="2:47">
      <c r="T45" s="233"/>
      <c r="U45" s="233"/>
      <c r="V45" s="233"/>
      <c r="W45" s="233"/>
      <c r="X45" s="233"/>
      <c r="Z45" s="748"/>
      <c r="AA45" s="233"/>
      <c r="AB45" s="233"/>
      <c r="AC45" s="233"/>
      <c r="AD45" s="234"/>
      <c r="AE45" s="662"/>
      <c r="AF45" s="1639"/>
    </row>
    <row r="46" spans="2:47">
      <c r="Y46" s="233"/>
    </row>
    <row r="47" spans="2:47">
      <c r="Z47" s="1284"/>
    </row>
  </sheetData>
  <sheetProtection formatCells="0" formatColumns="0" formatRows="0"/>
  <mergeCells count="50">
    <mergeCell ref="D23:F23"/>
    <mergeCell ref="D24:F24"/>
    <mergeCell ref="D14:F14"/>
    <mergeCell ref="D20:F20"/>
    <mergeCell ref="D21:F21"/>
    <mergeCell ref="D22:F22"/>
    <mergeCell ref="D19:F19"/>
    <mergeCell ref="D15:F15"/>
    <mergeCell ref="D16:F16"/>
    <mergeCell ref="D17:F17"/>
    <mergeCell ref="D18:F18"/>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G15:I15"/>
    <mergeCell ref="G13:I13"/>
    <mergeCell ref="G14:I14"/>
    <mergeCell ref="G16:I16"/>
    <mergeCell ref="G11:I11"/>
    <mergeCell ref="G12:I12"/>
    <mergeCell ref="J15:L15"/>
    <mergeCell ref="J16:L16"/>
    <mergeCell ref="J17:L17"/>
    <mergeCell ref="J18:L18"/>
    <mergeCell ref="J12:L12"/>
    <mergeCell ref="T8:U8"/>
    <mergeCell ref="T10:U10"/>
    <mergeCell ref="J13:L13"/>
    <mergeCell ref="J14:L14"/>
    <mergeCell ref="D5:E5"/>
    <mergeCell ref="D11:F11"/>
    <mergeCell ref="D12:F12"/>
    <mergeCell ref="D13:F13"/>
    <mergeCell ref="M8:P8"/>
    <mergeCell ref="J11:L11"/>
    <mergeCell ref="O9:P9"/>
    <mergeCell ref="M9:N9"/>
    <mergeCell ref="Q8:S8"/>
    <mergeCell ref="G9:L9"/>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N405"/>
  <sheetViews>
    <sheetView zoomScale="90" zoomScaleNormal="90" workbookViewId="0">
      <pane ySplit="5" topLeftCell="A6" activePane="bottomLeft" state="frozen"/>
      <selection activeCell="J14" sqref="J14"/>
      <selection pane="bottomLeft" activeCell="A5" sqref="A5"/>
    </sheetView>
  </sheetViews>
  <sheetFormatPr baseColWidth="10" defaultColWidth="14.109375" defaultRowHeight="13.2"/>
  <cols>
    <col min="1" max="1" width="4.6640625" style="232" customWidth="1"/>
    <col min="2" max="2" width="11.109375" style="232" customWidth="1"/>
    <col min="3" max="3" width="13" style="232" customWidth="1"/>
    <col min="4" max="4" width="9.6640625" style="232" customWidth="1"/>
    <col min="5" max="5" width="9" style="232" customWidth="1"/>
    <col min="6" max="6" width="2.88671875" style="232" customWidth="1"/>
    <col min="7" max="7" width="8.33203125" style="232" customWidth="1"/>
    <col min="8" max="8" width="2.88671875" style="232" customWidth="1"/>
    <col min="9" max="9" width="1" style="232" customWidth="1"/>
    <col min="10" max="12" width="8.33203125" style="232" customWidth="1"/>
    <col min="13" max="13" width="1" style="232" customWidth="1"/>
    <col min="14" max="16" width="8.33203125" style="232" customWidth="1"/>
    <col min="17" max="17" width="1.33203125" style="244" customWidth="1"/>
    <col min="18" max="18" width="8.33203125" style="244" customWidth="1"/>
    <col min="19" max="19" width="4.6640625" style="232" customWidth="1"/>
    <col min="20" max="20" width="8" style="232" customWidth="1"/>
    <col min="21" max="21" width="6" style="244" customWidth="1"/>
    <col min="22" max="22" width="0.6640625" style="244" customWidth="1"/>
    <col min="23" max="23" width="6.6640625" style="244" customWidth="1"/>
    <col min="24" max="24" width="6.44140625" style="244" customWidth="1"/>
    <col min="25" max="25" width="6.6640625" style="244" customWidth="1"/>
    <col min="26" max="26" width="2.6640625" style="244" customWidth="1"/>
    <col min="27" max="28" width="6.6640625" style="244" customWidth="1"/>
    <col min="29" max="29" width="2.109375" style="244" customWidth="1"/>
    <col min="30" max="30" width="6.6640625" style="244" customWidth="1"/>
    <col min="31" max="31" width="2.88671875" style="244" customWidth="1"/>
    <col min="32" max="33" width="9.33203125" style="244" customWidth="1"/>
    <col min="34" max="34" width="9.33203125" style="232" customWidth="1"/>
    <col min="35" max="35" width="10.6640625" style="232" customWidth="1"/>
    <col min="36" max="36" width="30" style="232" customWidth="1"/>
    <col min="37" max="37" width="2.6640625" style="232" customWidth="1"/>
    <col min="38" max="38" width="28.44140625" style="232" customWidth="1"/>
    <col min="39" max="39" width="2.6640625" style="232" customWidth="1"/>
    <col min="40" max="40" width="27.33203125" style="232" customWidth="1"/>
    <col min="41" max="16384" width="14.109375" style="232"/>
  </cols>
  <sheetData>
    <row r="1" spans="1:40" s="2290" customFormat="1" ht="22.95" customHeight="1">
      <c r="Q1" s="2291"/>
      <c r="R1" s="2291"/>
      <c r="U1" s="2291"/>
      <c r="V1" s="2291"/>
      <c r="W1" s="2291"/>
      <c r="X1" s="2294"/>
      <c r="Y1" s="2291"/>
      <c r="AA1" s="2291"/>
      <c r="AB1" s="2291"/>
      <c r="AC1" s="2291"/>
      <c r="AD1" s="2291"/>
      <c r="AE1" s="2291"/>
      <c r="AF1" s="2291"/>
      <c r="AG1" s="2291"/>
    </row>
    <row r="2" spans="1:40" s="2290" customFormat="1" ht="22.95" customHeight="1">
      <c r="Q2" s="2291"/>
      <c r="R2" s="2291"/>
      <c r="U2" s="2291"/>
      <c r="V2" s="2291"/>
      <c r="W2" s="2291"/>
      <c r="X2" s="2295"/>
      <c r="Y2" s="2291"/>
      <c r="Z2" s="2291"/>
      <c r="AA2" s="2291"/>
      <c r="AB2" s="2291"/>
      <c r="AC2" s="2291"/>
      <c r="AD2" s="2291"/>
      <c r="AE2" s="2291"/>
      <c r="AF2" s="2291"/>
      <c r="AG2" s="2291"/>
    </row>
    <row r="3" spans="1:40" s="2290" customFormat="1" ht="22.95" customHeight="1">
      <c r="Q3" s="2291"/>
      <c r="R3" s="2291"/>
      <c r="U3" s="2291"/>
      <c r="V3" s="2291"/>
      <c r="W3" s="2291"/>
      <c r="X3" s="2291"/>
      <c r="Y3" s="2291"/>
      <c r="Z3" s="2291"/>
      <c r="AA3" s="2291"/>
      <c r="AB3" s="2291"/>
      <c r="AC3" s="2291"/>
      <c r="AD3" s="2291"/>
      <c r="AE3" s="2291"/>
      <c r="AF3" s="2291"/>
      <c r="AG3" s="2291"/>
    </row>
    <row r="4" spans="1:40" s="2290" customFormat="1" ht="22.95" customHeight="1">
      <c r="Q4" s="2291"/>
      <c r="R4" s="2291"/>
      <c r="U4" s="2291"/>
      <c r="V4" s="2291"/>
      <c r="W4" s="2291"/>
      <c r="X4" s="2291"/>
      <c r="Y4" s="2291"/>
      <c r="Z4" s="2291"/>
      <c r="AA4" s="2291"/>
      <c r="AB4" s="2291"/>
      <c r="AC4" s="2291"/>
      <c r="AD4" s="2291"/>
      <c r="AE4" s="2291"/>
      <c r="AF4" s="2291"/>
      <c r="AG4" s="2291"/>
    </row>
    <row r="5" spans="1:40" s="2292" customFormat="1" ht="22.95" customHeight="1">
      <c r="A5" s="2783" t="str">
        <f>HLOOKUP(select,translations!$B$436:$H$450,2,)</f>
        <v xml:space="preserve"> </v>
      </c>
      <c r="Q5" s="2293"/>
      <c r="R5" s="2293"/>
      <c r="U5" s="2293"/>
      <c r="V5" s="2293"/>
      <c r="W5" s="2293"/>
      <c r="X5" s="2293"/>
      <c r="Y5" s="2293"/>
      <c r="Z5" s="2293"/>
      <c r="AA5" s="2293"/>
      <c r="AB5" s="2293"/>
      <c r="AC5" s="2293"/>
      <c r="AD5" s="2293"/>
      <c r="AE5" s="2293"/>
      <c r="AF5" s="2293"/>
      <c r="AG5" s="2293"/>
    </row>
    <row r="6" spans="1:40" s="1749" customFormat="1">
      <c r="B6" s="1845"/>
      <c r="U6" s="1751"/>
      <c r="V6" s="1751"/>
      <c r="W6" s="1751"/>
      <c r="X6" s="1751"/>
      <c r="Y6" s="1751"/>
      <c r="Z6" s="1751"/>
      <c r="AA6" s="1751"/>
      <c r="AB6" s="1751"/>
      <c r="AC6" s="1751"/>
      <c r="AD6" s="1751"/>
      <c r="AE6" s="1751"/>
      <c r="AF6" s="1751"/>
      <c r="AG6" s="1751"/>
    </row>
    <row r="7" spans="1:40" s="1749" customFormat="1" ht="15.6">
      <c r="B7" s="2590" t="str">
        <f>HLOOKUP(select,translations!$A$145:$H$201,2,)</f>
        <v>4.1. Grassland systems</v>
      </c>
      <c r="C7" s="2591"/>
      <c r="D7" s="2591"/>
      <c r="E7" s="2591"/>
      <c r="F7" s="2591"/>
      <c r="G7" s="2591"/>
      <c r="H7" s="2591"/>
      <c r="I7" s="2591"/>
      <c r="J7" s="2591"/>
      <c r="K7" s="2591"/>
      <c r="L7" s="2591"/>
      <c r="M7" s="2591"/>
      <c r="N7" s="2591"/>
      <c r="O7" s="2591"/>
      <c r="P7" s="2591"/>
      <c r="Q7" s="2591"/>
      <c r="R7" s="2591"/>
      <c r="S7" s="2591"/>
      <c r="T7" s="2591"/>
      <c r="U7" s="2591"/>
      <c r="V7" s="2591"/>
      <c r="W7" s="2591"/>
      <c r="X7" s="2591"/>
      <c r="Y7" s="2591"/>
      <c r="Z7" s="2591"/>
      <c r="AA7" s="2591"/>
      <c r="AB7" s="2591"/>
      <c r="AC7" s="2591"/>
      <c r="AD7" s="2591"/>
      <c r="AE7" s="2591"/>
      <c r="AF7" s="2591"/>
      <c r="AG7" s="2592"/>
      <c r="AH7" s="2592"/>
    </row>
    <row r="8" spans="1:40" s="1749" customFormat="1">
      <c r="B8" s="1753"/>
      <c r="AE8" s="1793"/>
      <c r="AF8" s="1793"/>
      <c r="AG8" s="1793"/>
    </row>
    <row r="9" spans="1:40" s="1749" customFormat="1">
      <c r="B9" s="1853" t="str">
        <f>HLOOKUP(select,translations!$A$145:$H$201,3,)</f>
        <v>4.1.1. Grassland systems from other LU or converted to other LU (please fill step 2.LUC previously)</v>
      </c>
      <c r="C9" s="1854"/>
      <c r="D9" s="1854"/>
      <c r="E9" s="1854"/>
      <c r="F9" s="1854"/>
      <c r="G9" s="1854"/>
      <c r="H9" s="1854"/>
      <c r="I9" s="1854"/>
      <c r="J9" s="1854"/>
      <c r="K9" s="1854"/>
      <c r="L9" s="1854"/>
      <c r="M9" s="1854"/>
      <c r="N9" s="1854"/>
      <c r="O9" s="1854"/>
      <c r="P9" s="1854"/>
      <c r="Q9" s="1854"/>
      <c r="R9" s="1854"/>
      <c r="S9" s="1854"/>
      <c r="T9" s="1854"/>
      <c r="U9" s="1855"/>
      <c r="V9" s="1855"/>
      <c r="W9" s="1855"/>
      <c r="X9" s="1855"/>
      <c r="Y9" s="1855"/>
      <c r="Z9" s="1855"/>
      <c r="AA9" s="1855"/>
      <c r="AB9" s="1855"/>
      <c r="AC9" s="1855"/>
      <c r="AD9" s="1855"/>
      <c r="AE9" s="1855"/>
      <c r="AF9" s="1855"/>
      <c r="AG9" s="1855"/>
      <c r="AH9" s="1855"/>
      <c r="AJ9" s="1740" t="str">
        <f>'2.LUC'!V9</f>
        <v xml:space="preserve"> </v>
      </c>
      <c r="AK9" s="1740"/>
      <c r="AL9" s="1740"/>
      <c r="AM9" s="1740"/>
      <c r="AN9" s="1740"/>
    </row>
    <row r="10" spans="1:40" s="1738" customFormat="1">
      <c r="B10" s="2688" t="str">
        <f>'3.Cropland'!B11</f>
        <v>Description</v>
      </c>
      <c r="C10" s="2688"/>
      <c r="D10" s="2713" t="str">
        <f>HLOOKUP(select,translations!$A$145:$H$201,5,)</f>
        <v>Initial State</v>
      </c>
      <c r="E10" s="2688"/>
      <c r="F10" s="2689"/>
      <c r="G10" s="2689"/>
      <c r="H10" s="2689"/>
      <c r="I10" s="2689"/>
      <c r="J10" s="2690" t="str">
        <f>HLOOKUP(select,translations!$A$145:$H$201,16,)</f>
        <v>Final state of the grassland</v>
      </c>
      <c r="K10" s="2691"/>
      <c r="L10" s="2691"/>
      <c r="M10" s="2691"/>
      <c r="N10" s="2692"/>
      <c r="O10" s="2693"/>
      <c r="P10" s="2693"/>
      <c r="Q10" s="2694"/>
      <c r="R10" s="2714" t="str">
        <f>HLOOKUP(select,translations!$A$145:$H$201,6,)</f>
        <v>Fire use to manage?</v>
      </c>
      <c r="S10" s="2696"/>
      <c r="T10" s="2696"/>
      <c r="U10" s="2696"/>
      <c r="V10" s="2697"/>
      <c r="W10" s="2695" t="str">
        <f>'3.Cropland'!N11</f>
        <v>Yield</v>
      </c>
      <c r="X10" s="2698"/>
      <c r="Y10" s="2699"/>
      <c r="Z10" s="2700"/>
      <c r="AA10" s="2701" t="str">
        <f>'3.Cropland'!O11</f>
        <v>Area (ha)</v>
      </c>
      <c r="AB10" s="2701"/>
      <c r="AC10" s="2701"/>
      <c r="AD10" s="2701"/>
      <c r="AE10" s="2701"/>
      <c r="AF10" s="3198" t="str">
        <f>HLOOKUP(select,translations!$A$145:$H$201,7,)</f>
        <v>Total Emissions</v>
      </c>
      <c r="AG10" s="3198"/>
      <c r="AH10" s="2702" t="str">
        <f>'3.Cropland'!Y11</f>
        <v>Balance</v>
      </c>
      <c r="AJ10" s="1987" t="str">
        <f>IF(Nlang=1,"",D10)</f>
        <v/>
      </c>
      <c r="AK10" s="1987"/>
      <c r="AL10" s="1987" t="str">
        <f>IF(Nlang=1,"",J10)</f>
        <v/>
      </c>
      <c r="AM10" s="1987"/>
      <c r="AN10" s="1987"/>
    </row>
    <row r="11" spans="1:40" s="1738" customFormat="1">
      <c r="B11" s="2688"/>
      <c r="C11" s="2689"/>
      <c r="D11" s="2689"/>
      <c r="E11" s="2689"/>
      <c r="F11" s="2689"/>
      <c r="G11" s="2689"/>
      <c r="H11" s="2689"/>
      <c r="I11" s="2689"/>
      <c r="J11" s="2718" t="str">
        <f>HLOOKUP(select,translations!$A$145:$H$201,10,)</f>
        <v>Without project</v>
      </c>
      <c r="K11" s="2704"/>
      <c r="L11" s="2704"/>
      <c r="M11" s="2704"/>
      <c r="N11" s="2703" t="str">
        <f>HLOOKUP(select,translations!$A$145:$H$201,11,)</f>
        <v>With project</v>
      </c>
      <c r="O11" s="2705"/>
      <c r="P11" s="2705"/>
      <c r="Q11" s="2694"/>
      <c r="R11" s="2706"/>
      <c r="S11" s="3043" t="str">
        <f>CONCATENATE((HLOOKUP(select,translations!$A$145:$H$201,9,))," (",X11,")")</f>
        <v>Periodicity (Without)</v>
      </c>
      <c r="T11" s="2702"/>
      <c r="U11" s="3043" t="str">
        <f>CONCATENATE((HLOOKUP(select,translations!$A$145:$H$201,9,))," (",Y11,")")</f>
        <v>Periodicity (With)</v>
      </c>
      <c r="V11" s="2697"/>
      <c r="W11" s="2707" t="str">
        <f>'3.Cropland'!O12</f>
        <v>Start</v>
      </c>
      <c r="X11" s="2705" t="str">
        <f>'3.Cropland'!P12</f>
        <v>Without</v>
      </c>
      <c r="Y11" s="2705" t="str">
        <f>'3.Cropland'!S12</f>
        <v>With</v>
      </c>
      <c r="Z11" s="2700"/>
      <c r="AA11" s="2708" t="str">
        <f>W11</f>
        <v>Start</v>
      </c>
      <c r="AB11" s="2716" t="str">
        <f>X11</f>
        <v>Without</v>
      </c>
      <c r="AC11" s="2710"/>
      <c r="AD11" s="2711" t="str">
        <f>Y11</f>
        <v>With</v>
      </c>
      <c r="AE11" s="2709"/>
      <c r="AF11" s="3197" t="str">
        <f>HLOOKUP(select,translations!$A$145:$H$201,17,)</f>
        <v>(tCO2-eq)</v>
      </c>
      <c r="AG11" s="3197"/>
      <c r="AH11" s="2700"/>
      <c r="AJ11" s="1987"/>
      <c r="AK11" s="1987"/>
      <c r="AL11" s="1987" t="str">
        <f>IF(Nlang=1,"",J11)</f>
        <v/>
      </c>
      <c r="AM11" s="1987"/>
      <c r="AN11" s="1987" t="str">
        <f>IF(Nlang=1,"",N11)</f>
        <v/>
      </c>
    </row>
    <row r="12" spans="1:40" s="1738" customFormat="1">
      <c r="B12" s="2689"/>
      <c r="C12" s="2689"/>
      <c r="D12" s="2689"/>
      <c r="E12" s="2689"/>
      <c r="F12" s="2689"/>
      <c r="G12" s="2689"/>
      <c r="H12" s="2689"/>
      <c r="I12" s="2689"/>
      <c r="J12" s="2704"/>
      <c r="K12" s="2704"/>
      <c r="L12" s="2704"/>
      <c r="M12" s="2704"/>
      <c r="N12" s="2712"/>
      <c r="O12" s="2705"/>
      <c r="P12" s="2705"/>
      <c r="Q12" s="3045"/>
      <c r="R12" s="3046" t="str">
        <f>'2.LUC'!K44</f>
        <v>(y/n)</v>
      </c>
      <c r="S12" s="3046" t="str">
        <f>HLOOKUP(select,translations!$A$145:$H$201,8,)</f>
        <v>(year)</v>
      </c>
      <c r="T12" s="3046" t="str">
        <f>R12</f>
        <v>(y/n)</v>
      </c>
      <c r="U12" s="2705" t="str">
        <f>S12</f>
        <v>(year)</v>
      </c>
      <c r="V12" s="2697"/>
      <c r="W12" s="3200" t="str">
        <f>'3.Cropland'!N12</f>
        <v>(t/ha/yr)</v>
      </c>
      <c r="X12" s="3200"/>
      <c r="Y12" s="3200"/>
      <c r="Z12" s="2700"/>
      <c r="AA12" s="2700"/>
      <c r="AB12" s="2697"/>
      <c r="AC12" s="2697"/>
      <c r="AD12" s="2697"/>
      <c r="AE12" s="2697"/>
      <c r="AF12" s="2711" t="str">
        <f>AB11</f>
        <v>Without</v>
      </c>
      <c r="AG12" s="2711" t="str">
        <f>AD11</f>
        <v>With</v>
      </c>
      <c r="AH12" s="2700"/>
    </row>
    <row r="13" spans="1:40" s="1738" customFormat="1">
      <c r="B13" s="2137" t="str">
        <f>HLOOKUP(select,translations!$A$145:$H$201,12,)</f>
        <v>Grassland after Deforestation</v>
      </c>
      <c r="C13" s="2133"/>
      <c r="D13" s="3193" t="s">
        <v>79</v>
      </c>
      <c r="E13" s="3193"/>
      <c r="F13" s="3193"/>
      <c r="G13" s="3193"/>
      <c r="H13" s="3193"/>
      <c r="I13" s="2133"/>
      <c r="J13" s="3193" t="s">
        <v>79</v>
      </c>
      <c r="K13" s="3193"/>
      <c r="L13" s="3193"/>
      <c r="M13" s="2131"/>
      <c r="N13" s="3193" t="s">
        <v>79</v>
      </c>
      <c r="O13" s="3193"/>
      <c r="P13" s="3193"/>
      <c r="Q13" s="1916"/>
      <c r="R13" s="2125" t="s">
        <v>359</v>
      </c>
      <c r="S13" s="2122">
        <v>5</v>
      </c>
      <c r="T13" s="2125" t="s">
        <v>359</v>
      </c>
      <c r="U13" s="2122">
        <v>5</v>
      </c>
      <c r="V13" s="1860"/>
      <c r="W13" s="2378"/>
      <c r="X13" s="2379"/>
      <c r="Y13" s="2379"/>
      <c r="Z13" s="1792"/>
      <c r="AA13" s="1792">
        <f>Grass!D29</f>
        <v>0</v>
      </c>
      <c r="AB13" s="1860">
        <f>Grass!E29</f>
        <v>0</v>
      </c>
      <c r="AC13" s="1860"/>
      <c r="AD13" s="1860">
        <f>Grass!G29</f>
        <v>0</v>
      </c>
      <c r="AE13" s="1860"/>
      <c r="AF13" s="1860">
        <f>Grass!M29</f>
        <v>0</v>
      </c>
      <c r="AG13" s="1860">
        <f>Grass!N29</f>
        <v>0</v>
      </c>
      <c r="AH13" s="1860">
        <f>Grass!O29</f>
        <v>0</v>
      </c>
      <c r="AJ13" s="2724" t="str">
        <f>IF(Nlang=1,"",VLOOKUP(D13,'Name translation'!$A$121:$H$126,Nlang+1,))</f>
        <v/>
      </c>
      <c r="AK13" s="2005"/>
      <c r="AL13" s="2724" t="str">
        <f>IF(Nlang=1,"",VLOOKUP(J13,'Name translation'!$A$121:$H$126,Nlang+1,))</f>
        <v/>
      </c>
      <c r="AM13" s="2005"/>
      <c r="AN13" s="2724" t="str">
        <f>IF(Nlang=1,"",VLOOKUP(N13,'Name translation'!$A$121:$H$126,Nlang+1,))</f>
        <v/>
      </c>
    </row>
    <row r="14" spans="1:40" s="1738" customFormat="1">
      <c r="B14" s="2137" t="str">
        <f>HLOOKUP(select,translations!$A$145:$H$201,13,)</f>
        <v>Converted to A/R</v>
      </c>
      <c r="C14" s="2133"/>
      <c r="D14" s="3193" t="s">
        <v>79</v>
      </c>
      <c r="E14" s="3193"/>
      <c r="F14" s="3193"/>
      <c r="G14" s="3193"/>
      <c r="H14" s="3193"/>
      <c r="I14" s="2133"/>
      <c r="J14" s="3193" t="s">
        <v>79</v>
      </c>
      <c r="K14" s="3193"/>
      <c r="L14" s="3193"/>
      <c r="M14" s="2131"/>
      <c r="N14" s="3193" t="s">
        <v>79</v>
      </c>
      <c r="O14" s="3193"/>
      <c r="P14" s="3193"/>
      <c r="Q14" s="1916"/>
      <c r="R14" s="2125" t="s">
        <v>359</v>
      </c>
      <c r="S14" s="2122">
        <v>5</v>
      </c>
      <c r="T14" s="2125" t="s">
        <v>359</v>
      </c>
      <c r="U14" s="2122">
        <v>5</v>
      </c>
      <c r="V14" s="1860"/>
      <c r="W14" s="2378"/>
      <c r="X14" s="2379"/>
      <c r="Y14" s="2379"/>
      <c r="Z14" s="1792"/>
      <c r="AA14" s="1792">
        <f>Grass!D30</f>
        <v>0</v>
      </c>
      <c r="AB14" s="1860">
        <f>Grass!E30</f>
        <v>0</v>
      </c>
      <c r="AC14" s="1860"/>
      <c r="AD14" s="1860">
        <f>Grass!G30</f>
        <v>0</v>
      </c>
      <c r="AE14" s="1860"/>
      <c r="AF14" s="1860">
        <f>Grass!M30</f>
        <v>0</v>
      </c>
      <c r="AG14" s="1860">
        <f>Grass!N30</f>
        <v>0</v>
      </c>
      <c r="AH14" s="1860">
        <f>Grass!O30</f>
        <v>0</v>
      </c>
      <c r="AJ14" s="2724" t="str">
        <f>IF(Nlang=1,"",VLOOKUP(D14,'Name translation'!$A$121:$H$126,Nlang+1,))</f>
        <v/>
      </c>
      <c r="AL14" s="2724" t="str">
        <f>IF(Nlang=1,"",VLOOKUP(J14,'Name translation'!$A$121:$H$126,Nlang+1,))</f>
        <v/>
      </c>
      <c r="AN14" s="2724" t="str">
        <f>IF(Nlang=1,"",VLOOKUP(N14,'Name translation'!$A$121:$H$126,Nlang+1,))</f>
        <v/>
      </c>
    </row>
    <row r="15" spans="1:40" s="1738" customFormat="1">
      <c r="B15" s="2137" t="str">
        <f>HLOOKUP(select,translations!$A$145:$H$201,14,)</f>
        <v>Grassland after non-forest LU</v>
      </c>
      <c r="C15" s="2133"/>
      <c r="D15" s="3193" t="s">
        <v>79</v>
      </c>
      <c r="E15" s="3193"/>
      <c r="F15" s="3193"/>
      <c r="G15" s="3193"/>
      <c r="H15" s="3193"/>
      <c r="I15" s="2133"/>
      <c r="J15" s="3193" t="s">
        <v>79</v>
      </c>
      <c r="K15" s="3193"/>
      <c r="L15" s="3193"/>
      <c r="M15" s="2131"/>
      <c r="N15" s="3193" t="s">
        <v>79</v>
      </c>
      <c r="O15" s="3193"/>
      <c r="P15" s="3193"/>
      <c r="Q15" s="1916"/>
      <c r="R15" s="2125" t="s">
        <v>359</v>
      </c>
      <c r="S15" s="2122">
        <v>5</v>
      </c>
      <c r="T15" s="2125" t="s">
        <v>359</v>
      </c>
      <c r="U15" s="2122">
        <v>5</v>
      </c>
      <c r="V15" s="1860"/>
      <c r="W15" s="2378"/>
      <c r="X15" s="2379"/>
      <c r="Y15" s="2379"/>
      <c r="Z15" s="1792"/>
      <c r="AA15" s="1792">
        <f>Grass!D31</f>
        <v>0</v>
      </c>
      <c r="AB15" s="1860">
        <f>Grass!E31</f>
        <v>0</v>
      </c>
      <c r="AC15" s="1860"/>
      <c r="AD15" s="1860">
        <f>Grass!G31</f>
        <v>0</v>
      </c>
      <c r="AE15" s="1860"/>
      <c r="AF15" s="1860">
        <f>Grass!M31</f>
        <v>0</v>
      </c>
      <c r="AG15" s="1860">
        <f>Grass!N31</f>
        <v>0</v>
      </c>
      <c r="AH15" s="1860">
        <f>Grass!O31</f>
        <v>0</v>
      </c>
      <c r="AJ15" s="2724" t="str">
        <f>IF(Nlang=1,"",VLOOKUP(D15,'Name translation'!$A$121:$H$126,Nlang+1,))</f>
        <v/>
      </c>
      <c r="AL15" s="2724" t="str">
        <f>IF(Nlang=1,"",VLOOKUP(J15,'Name translation'!$A$121:$H$126,Nlang+1,))</f>
        <v/>
      </c>
      <c r="AN15" s="2724" t="str">
        <f>IF(Nlang=1,"",VLOOKUP(N15,'Name translation'!$A$121:$H$126,Nlang+1,))</f>
        <v/>
      </c>
    </row>
    <row r="16" spans="1:40" s="1738" customFormat="1">
      <c r="B16" s="2137" t="str">
        <f>HLOOKUP(select,translations!$A$145:$H$201,15,)</f>
        <v>Converted to OLUC</v>
      </c>
      <c r="C16" s="2133"/>
      <c r="D16" s="3193" t="s">
        <v>79</v>
      </c>
      <c r="E16" s="3193"/>
      <c r="F16" s="3193"/>
      <c r="G16" s="3193"/>
      <c r="H16" s="3193"/>
      <c r="I16" s="2133"/>
      <c r="J16" s="3193" t="s">
        <v>79</v>
      </c>
      <c r="K16" s="3193"/>
      <c r="L16" s="3193"/>
      <c r="M16" s="2131"/>
      <c r="N16" s="3193" t="s">
        <v>79</v>
      </c>
      <c r="O16" s="3193"/>
      <c r="P16" s="3193"/>
      <c r="Q16" s="1916"/>
      <c r="R16" s="2125" t="s">
        <v>359</v>
      </c>
      <c r="S16" s="2122">
        <v>5</v>
      </c>
      <c r="T16" s="2125" t="s">
        <v>359</v>
      </c>
      <c r="U16" s="2122">
        <v>5</v>
      </c>
      <c r="V16" s="1860"/>
      <c r="W16" s="2378"/>
      <c r="X16" s="2379"/>
      <c r="Y16" s="2379"/>
      <c r="Z16" s="1792"/>
      <c r="AA16" s="1792">
        <f>Grass!D32</f>
        <v>0</v>
      </c>
      <c r="AB16" s="1860">
        <f>Grass!E32</f>
        <v>0</v>
      </c>
      <c r="AC16" s="1860"/>
      <c r="AD16" s="1860">
        <f>Grass!G32</f>
        <v>0</v>
      </c>
      <c r="AE16" s="1860"/>
      <c r="AF16" s="1860">
        <f>Grass!M32</f>
        <v>0</v>
      </c>
      <c r="AG16" s="1860">
        <f>Grass!N32</f>
        <v>0</v>
      </c>
      <c r="AH16" s="1860">
        <f>Grass!O32</f>
        <v>0</v>
      </c>
      <c r="AJ16" s="2724" t="str">
        <f>IF(Nlang=1,"",VLOOKUP(D16,'Name translation'!$A$121:$H$126,Nlang+1,))</f>
        <v/>
      </c>
      <c r="AL16" s="2724" t="str">
        <f>IF(Nlang=1,"",VLOOKUP(J16,'Name translation'!$A$121:$H$126,Nlang+1,))</f>
        <v/>
      </c>
      <c r="AN16" s="2724" t="str">
        <f>IF(Nlang=1,"",VLOOKUP(N16,'Name translation'!$A$121:$H$126,Nlang+1,))</f>
        <v/>
      </c>
    </row>
    <row r="17" spans="2:40" s="1738" customFormat="1">
      <c r="Q17" s="1743"/>
      <c r="R17" s="1743"/>
      <c r="U17" s="1743"/>
      <c r="V17" s="1743"/>
      <c r="W17" s="1743"/>
      <c r="X17" s="1743"/>
      <c r="Y17" s="1743"/>
      <c r="Z17" s="1743"/>
      <c r="AA17" s="2042"/>
      <c r="AB17" s="2042"/>
      <c r="AC17" s="2042"/>
      <c r="AD17" s="1743"/>
      <c r="AE17" s="1743"/>
      <c r="AF17" s="1743"/>
      <c r="AG17" s="1743"/>
    </row>
    <row r="18" spans="2:40" s="1738" customFormat="1">
      <c r="B18" s="1853" t="str">
        <f>HLOOKUP(select,translations!$A$145:$H$201,4,)</f>
        <v>4.1.2. Grassland systems remaining grassland systems (total area must remain contant)</v>
      </c>
      <c r="C18" s="1854"/>
      <c r="D18" s="1854"/>
      <c r="E18" s="1854"/>
      <c r="F18" s="1854"/>
      <c r="G18" s="1854"/>
      <c r="H18" s="1854"/>
      <c r="I18" s="1854"/>
      <c r="J18" s="1854"/>
      <c r="K18" s="1854"/>
      <c r="L18" s="1854"/>
      <c r="M18" s="1854"/>
      <c r="N18" s="1854"/>
      <c r="O18" s="1854"/>
      <c r="P18" s="1854"/>
      <c r="Q18" s="1854"/>
      <c r="R18" s="1854"/>
      <c r="S18" s="1854"/>
      <c r="T18" s="1854"/>
      <c r="U18" s="1855"/>
      <c r="V18" s="1855"/>
      <c r="W18" s="1855"/>
      <c r="X18" s="1855"/>
      <c r="Y18" s="1855"/>
      <c r="Z18" s="1855"/>
      <c r="AA18" s="1855"/>
      <c r="AB18" s="1855"/>
      <c r="AC18" s="1855"/>
      <c r="AD18" s="1855"/>
      <c r="AE18" s="1855"/>
      <c r="AF18" s="1855"/>
      <c r="AG18" s="1855"/>
      <c r="AH18" s="1855"/>
    </row>
    <row r="19" spans="2:40" s="1738" customFormat="1">
      <c r="B19" s="1826" t="str">
        <f>'3.Cropland'!B20</f>
        <v>Fill with your description</v>
      </c>
      <c r="C19" s="2131"/>
      <c r="D19" s="2718" t="str">
        <f>D10</f>
        <v>Initial State</v>
      </c>
      <c r="E19" s="2689"/>
      <c r="F19" s="2689"/>
      <c r="G19" s="2689"/>
      <c r="H19" s="2689"/>
      <c r="I19" s="2689"/>
      <c r="J19" s="2690" t="str">
        <f>J10</f>
        <v>Final state of the grassland</v>
      </c>
      <c r="K19" s="2691"/>
      <c r="L19" s="2691"/>
      <c r="M19" s="2691"/>
      <c r="N19" s="2692"/>
      <c r="O19" s="2693"/>
      <c r="P19" s="2693"/>
      <c r="Q19" s="2694"/>
      <c r="R19" s="2695" t="str">
        <f>R10</f>
        <v>Fire use to manage?</v>
      </c>
      <c r="S19" s="2696"/>
      <c r="T19" s="2696"/>
      <c r="U19" s="2696"/>
      <c r="V19" s="1860"/>
      <c r="W19" s="2725" t="str">
        <f>W10</f>
        <v>Yield</v>
      </c>
      <c r="X19" s="2113"/>
      <c r="Y19" s="1920"/>
      <c r="Z19" s="1799"/>
      <c r="AA19" s="1766" t="str">
        <f>AA10</f>
        <v>Area (ha)</v>
      </c>
      <c r="AB19" s="1766"/>
      <c r="AC19" s="1766"/>
      <c r="AD19" s="1766"/>
      <c r="AE19" s="1766"/>
      <c r="AF19" s="3127" t="str">
        <f>AF10</f>
        <v>Total Emissions</v>
      </c>
      <c r="AG19" s="3127"/>
      <c r="AH19" s="2124" t="str">
        <f>AH10</f>
        <v>Balance</v>
      </c>
    </row>
    <row r="20" spans="2:40" s="1738" customFormat="1">
      <c r="B20" s="1826"/>
      <c r="C20" s="2131"/>
      <c r="D20" s="2689"/>
      <c r="E20" s="2689"/>
      <c r="F20" s="2689"/>
      <c r="G20" s="2689"/>
      <c r="H20" s="2689"/>
      <c r="I20" s="2689"/>
      <c r="J20" s="2703" t="str">
        <f>J11</f>
        <v>Without project</v>
      </c>
      <c r="K20" s="2704"/>
      <c r="L20" s="2704"/>
      <c r="M20" s="2704"/>
      <c r="N20" s="2703" t="str">
        <f>N11</f>
        <v>With project</v>
      </c>
      <c r="O20" s="2705"/>
      <c r="P20" s="2705"/>
      <c r="Q20" s="2694"/>
      <c r="R20" s="2689"/>
      <c r="S20" s="3043" t="str">
        <f>S11</f>
        <v>Periodicity (Without)</v>
      </c>
      <c r="T20" s="3044"/>
      <c r="U20" s="3043" t="str">
        <f>U11</f>
        <v>Periodicity (With)</v>
      </c>
      <c r="V20" s="1860"/>
      <c r="W20" s="1919" t="str">
        <f>W11</f>
        <v>Start</v>
      </c>
      <c r="X20" s="1917" t="str">
        <f>X11</f>
        <v>Without</v>
      </c>
      <c r="Y20" s="1917" t="str">
        <f>Y11</f>
        <v>With</v>
      </c>
      <c r="Z20" s="1799"/>
      <c r="AA20" s="1831" t="str">
        <f>AA11</f>
        <v>Start</v>
      </c>
      <c r="AB20" s="2717" t="str">
        <f>AB11</f>
        <v>Without</v>
      </c>
      <c r="AC20" s="2296"/>
      <c r="AD20" s="2686" t="str">
        <f>AD11</f>
        <v>With</v>
      </c>
      <c r="AE20" s="1902"/>
      <c r="AF20" s="3133" t="str">
        <f>AF11</f>
        <v>(tCO2-eq)</v>
      </c>
      <c r="AG20" s="3133"/>
      <c r="AH20" s="1789"/>
    </row>
    <row r="21" spans="2:40" s="1738" customFormat="1">
      <c r="B21" s="2133"/>
      <c r="C21" s="2133"/>
      <c r="D21" s="2689"/>
      <c r="E21" s="2689"/>
      <c r="F21" s="2689"/>
      <c r="G21" s="2689"/>
      <c r="H21" s="2689"/>
      <c r="I21" s="2689"/>
      <c r="J21" s="2704"/>
      <c r="K21" s="2704"/>
      <c r="L21" s="2704"/>
      <c r="M21" s="2704"/>
      <c r="N21" s="2712"/>
      <c r="O21" s="2705"/>
      <c r="P21" s="2705"/>
      <c r="Q21" s="2694"/>
      <c r="R21" s="3046" t="str">
        <f>R12</f>
        <v>(y/n)</v>
      </c>
      <c r="S21" s="3046" t="str">
        <f>S12</f>
        <v>(year)</v>
      </c>
      <c r="T21" s="3046" t="str">
        <f>T12</f>
        <v>(y/n)</v>
      </c>
      <c r="U21" s="3036" t="str">
        <f>U12</f>
        <v>(year)</v>
      </c>
      <c r="V21" s="1860"/>
      <c r="W21" s="3201" t="str">
        <f>W12</f>
        <v>(t/ha/yr)</v>
      </c>
      <c r="X21" s="3201"/>
      <c r="Y21" s="3201"/>
      <c r="Z21" s="1799"/>
      <c r="AA21" s="1860"/>
      <c r="AB21" s="1860"/>
      <c r="AC21" s="2284" t="s">
        <v>93</v>
      </c>
      <c r="AD21" s="1860"/>
      <c r="AE21" s="2284" t="s">
        <v>93</v>
      </c>
      <c r="AF21" s="2686" t="str">
        <f>AB20</f>
        <v>Without</v>
      </c>
      <c r="AG21" s="2686" t="str">
        <f>AD20</f>
        <v>With</v>
      </c>
      <c r="AH21" s="1789"/>
    </row>
    <row r="22" spans="2:40" s="1738" customFormat="1">
      <c r="B22" s="3199"/>
      <c r="C22" s="3135"/>
      <c r="D22" s="3193" t="s">
        <v>79</v>
      </c>
      <c r="E22" s="3193"/>
      <c r="F22" s="3193"/>
      <c r="G22" s="3193"/>
      <c r="H22" s="3193"/>
      <c r="I22" s="2133"/>
      <c r="J22" s="3193" t="s">
        <v>79</v>
      </c>
      <c r="K22" s="3193"/>
      <c r="L22" s="3193"/>
      <c r="M22" s="2131"/>
      <c r="N22" s="3193" t="s">
        <v>79</v>
      </c>
      <c r="O22" s="3193"/>
      <c r="P22" s="3193"/>
      <c r="Q22" s="1916"/>
      <c r="R22" s="2957" t="s">
        <v>359</v>
      </c>
      <c r="S22" s="2122">
        <v>5</v>
      </c>
      <c r="T22" s="2957" t="s">
        <v>359</v>
      </c>
      <c r="U22" s="2122">
        <v>5</v>
      </c>
      <c r="V22" s="1860"/>
      <c r="W22" s="2379"/>
      <c r="X22" s="2379"/>
      <c r="Y22" s="2379"/>
      <c r="Z22" s="1799"/>
      <c r="AA22" s="2376">
        <v>0</v>
      </c>
      <c r="AB22" s="1860">
        <f>AA22</f>
        <v>0</v>
      </c>
      <c r="AC22" s="2164" t="s">
        <v>1525</v>
      </c>
      <c r="AD22" s="1860">
        <f>AB22</f>
        <v>0</v>
      </c>
      <c r="AE22" s="2164" t="s">
        <v>1525</v>
      </c>
      <c r="AF22" s="1860">
        <f>Grass!M33</f>
        <v>0</v>
      </c>
      <c r="AG22" s="1860">
        <f>Grass!N33</f>
        <v>0</v>
      </c>
      <c r="AH22" s="1860">
        <f>Grass!O33</f>
        <v>0</v>
      </c>
      <c r="AJ22" s="2724" t="str">
        <f>IF(Nlang=1,"",VLOOKUP(D22,'Name translation'!$A$121:$H$126,Nlang+1,))</f>
        <v/>
      </c>
      <c r="AL22" s="2724" t="str">
        <f>IF(Nlang=1,"",VLOOKUP(J22,'Name translation'!$A$121:$H$126,Nlang+1,))</f>
        <v/>
      </c>
      <c r="AN22" s="2724" t="str">
        <f>IF(Nlang=1,"",VLOOKUP(N22,'Name translation'!$A$121:$H$126,Nlang+1,))</f>
        <v/>
      </c>
    </row>
    <row r="23" spans="2:40" s="1738" customFormat="1">
      <c r="B23" s="3199"/>
      <c r="C23" s="3135"/>
      <c r="D23" s="3193" t="s">
        <v>79</v>
      </c>
      <c r="E23" s="3193"/>
      <c r="F23" s="3193"/>
      <c r="G23" s="3193"/>
      <c r="H23" s="3193"/>
      <c r="I23" s="2133"/>
      <c r="J23" s="3193" t="s">
        <v>79</v>
      </c>
      <c r="K23" s="3193"/>
      <c r="L23" s="3193"/>
      <c r="M23" s="2131"/>
      <c r="N23" s="3193" t="s">
        <v>79</v>
      </c>
      <c r="O23" s="3193"/>
      <c r="P23" s="3193"/>
      <c r="Q23" s="1916"/>
      <c r="R23" s="2125" t="s">
        <v>359</v>
      </c>
      <c r="S23" s="2122">
        <v>5</v>
      </c>
      <c r="T23" s="2125" t="s">
        <v>359</v>
      </c>
      <c r="U23" s="2122">
        <v>5</v>
      </c>
      <c r="V23" s="2126"/>
      <c r="W23" s="2379"/>
      <c r="X23" s="2379"/>
      <c r="Y23" s="2379"/>
      <c r="Z23" s="1799"/>
      <c r="AA23" s="2138">
        <v>0</v>
      </c>
      <c r="AB23" s="1860">
        <f t="shared" ref="AB23:AB31" si="0">AA23</f>
        <v>0</v>
      </c>
      <c r="AC23" s="2164" t="s">
        <v>1525</v>
      </c>
      <c r="AD23" s="1860">
        <f t="shared" ref="AD23:AD31" si="1">AB23</f>
        <v>0</v>
      </c>
      <c r="AE23" s="2164" t="s">
        <v>1525</v>
      </c>
      <c r="AF23" s="1860">
        <f>Grass!M34</f>
        <v>0</v>
      </c>
      <c r="AG23" s="1860">
        <f>Grass!N34</f>
        <v>0</v>
      </c>
      <c r="AH23" s="1860">
        <f>Grass!O34</f>
        <v>0</v>
      </c>
      <c r="AJ23" s="2724" t="str">
        <f>IF(Nlang=1,"",VLOOKUP(D23,'Name translation'!$A$121:$H$126,Nlang+1,))</f>
        <v/>
      </c>
      <c r="AL23" s="2724" t="str">
        <f>IF(Nlang=1,"",VLOOKUP(J23,'Name translation'!$A$121:$H$126,Nlang+1,))</f>
        <v/>
      </c>
      <c r="AN23" s="2724" t="str">
        <f>IF(Nlang=1,"",VLOOKUP(N23,'Name translation'!$A$121:$H$126,Nlang+1,))</f>
        <v/>
      </c>
    </row>
    <row r="24" spans="2:40" s="1738" customFormat="1">
      <c r="B24" s="3199"/>
      <c r="C24" s="3135"/>
      <c r="D24" s="3193" t="s">
        <v>79</v>
      </c>
      <c r="E24" s="3193"/>
      <c r="F24" s="3193"/>
      <c r="G24" s="3193"/>
      <c r="H24" s="3193"/>
      <c r="I24" s="2133"/>
      <c r="J24" s="3193" t="s">
        <v>79</v>
      </c>
      <c r="K24" s="3193"/>
      <c r="L24" s="3193"/>
      <c r="M24" s="2131"/>
      <c r="N24" s="3193" t="s">
        <v>79</v>
      </c>
      <c r="O24" s="3193"/>
      <c r="P24" s="3193"/>
      <c r="Q24" s="1916"/>
      <c r="R24" s="2125" t="s">
        <v>359</v>
      </c>
      <c r="S24" s="2122">
        <v>5</v>
      </c>
      <c r="T24" s="2125" t="s">
        <v>359</v>
      </c>
      <c r="U24" s="2122">
        <v>5</v>
      </c>
      <c r="V24" s="2126"/>
      <c r="W24" s="2379"/>
      <c r="X24" s="2379"/>
      <c r="Y24" s="2379"/>
      <c r="Z24" s="1799"/>
      <c r="AA24" s="2138">
        <v>0</v>
      </c>
      <c r="AB24" s="1860">
        <f t="shared" si="0"/>
        <v>0</v>
      </c>
      <c r="AC24" s="2164" t="s">
        <v>1525</v>
      </c>
      <c r="AD24" s="1860">
        <f t="shared" si="1"/>
        <v>0</v>
      </c>
      <c r="AE24" s="2164" t="s">
        <v>1525</v>
      </c>
      <c r="AF24" s="1860">
        <f>Grass!M35</f>
        <v>0</v>
      </c>
      <c r="AG24" s="1860">
        <f>Grass!N35</f>
        <v>0</v>
      </c>
      <c r="AH24" s="1860">
        <f>Grass!O35</f>
        <v>0</v>
      </c>
      <c r="AJ24" s="2724" t="str">
        <f>IF(Nlang=1,"",VLOOKUP(D24,'Name translation'!$A$121:$H$126,Nlang+1,))</f>
        <v/>
      </c>
      <c r="AL24" s="2724" t="str">
        <f>IF(Nlang=1,"",VLOOKUP(J24,'Name translation'!$A$121:$H$126,Nlang+1,))</f>
        <v/>
      </c>
      <c r="AN24" s="2724" t="str">
        <f>IF(Nlang=1,"",VLOOKUP(N24,'Name translation'!$A$121:$H$126,Nlang+1,))</f>
        <v/>
      </c>
    </row>
    <row r="25" spans="2:40" s="1738" customFormat="1">
      <c r="B25" s="3135"/>
      <c r="C25" s="3135"/>
      <c r="D25" s="3193" t="s">
        <v>79</v>
      </c>
      <c r="E25" s="3193"/>
      <c r="F25" s="3193"/>
      <c r="G25" s="3193"/>
      <c r="H25" s="3193"/>
      <c r="I25" s="2133"/>
      <c r="J25" s="3193" t="s">
        <v>79</v>
      </c>
      <c r="K25" s="3193"/>
      <c r="L25" s="3193"/>
      <c r="M25" s="2131"/>
      <c r="N25" s="3193" t="s">
        <v>79</v>
      </c>
      <c r="O25" s="3193"/>
      <c r="P25" s="3193"/>
      <c r="Q25" s="1916"/>
      <c r="R25" s="2125" t="s">
        <v>359</v>
      </c>
      <c r="S25" s="2122">
        <v>5</v>
      </c>
      <c r="T25" s="2125" t="s">
        <v>359</v>
      </c>
      <c r="U25" s="2122">
        <v>5</v>
      </c>
      <c r="V25" s="2126"/>
      <c r="W25" s="2379"/>
      <c r="X25" s="2379"/>
      <c r="Y25" s="2379"/>
      <c r="Z25" s="1799"/>
      <c r="AA25" s="2138">
        <v>0</v>
      </c>
      <c r="AB25" s="1860">
        <f t="shared" si="0"/>
        <v>0</v>
      </c>
      <c r="AC25" s="2164" t="s">
        <v>1525</v>
      </c>
      <c r="AD25" s="1860">
        <f t="shared" si="1"/>
        <v>0</v>
      </c>
      <c r="AE25" s="2164" t="s">
        <v>1525</v>
      </c>
      <c r="AF25" s="1860">
        <f>Grass!M36</f>
        <v>0</v>
      </c>
      <c r="AG25" s="1860">
        <f>Grass!N36</f>
        <v>0</v>
      </c>
      <c r="AH25" s="1860">
        <f>Grass!O36</f>
        <v>0</v>
      </c>
      <c r="AJ25" s="2724" t="str">
        <f>IF(Nlang=1,"",VLOOKUP(D25,'Name translation'!$A$121:$H$126,Nlang+1,))</f>
        <v/>
      </c>
      <c r="AL25" s="2724" t="str">
        <f>IF(Nlang=1,"",VLOOKUP(J25,'Name translation'!$A$121:$H$126,Nlang+1,))</f>
        <v/>
      </c>
      <c r="AN25" s="2724" t="str">
        <f>IF(Nlang=1,"",VLOOKUP(N25,'Name translation'!$A$121:$H$126,Nlang+1,))</f>
        <v/>
      </c>
    </row>
    <row r="26" spans="2:40" s="1738" customFormat="1">
      <c r="B26" s="3135"/>
      <c r="C26" s="3135"/>
      <c r="D26" s="3193" t="s">
        <v>79</v>
      </c>
      <c r="E26" s="3193"/>
      <c r="F26" s="3193"/>
      <c r="G26" s="3193"/>
      <c r="H26" s="3193"/>
      <c r="I26" s="2133"/>
      <c r="J26" s="3193" t="s">
        <v>79</v>
      </c>
      <c r="K26" s="3193"/>
      <c r="L26" s="3193"/>
      <c r="M26" s="2131"/>
      <c r="N26" s="3193" t="s">
        <v>79</v>
      </c>
      <c r="O26" s="3193"/>
      <c r="P26" s="3193"/>
      <c r="Q26" s="1916"/>
      <c r="R26" s="2125" t="s">
        <v>359</v>
      </c>
      <c r="S26" s="2122">
        <v>5</v>
      </c>
      <c r="T26" s="2125" t="s">
        <v>359</v>
      </c>
      <c r="U26" s="2122">
        <v>5</v>
      </c>
      <c r="V26" s="2126"/>
      <c r="W26" s="2379"/>
      <c r="X26" s="2379"/>
      <c r="Y26" s="2379"/>
      <c r="Z26" s="1799"/>
      <c r="AA26" s="2138">
        <v>0</v>
      </c>
      <c r="AB26" s="1860">
        <f t="shared" si="0"/>
        <v>0</v>
      </c>
      <c r="AC26" s="2164" t="s">
        <v>1525</v>
      </c>
      <c r="AD26" s="1860">
        <f t="shared" si="1"/>
        <v>0</v>
      </c>
      <c r="AE26" s="2164" t="s">
        <v>1525</v>
      </c>
      <c r="AF26" s="1860">
        <f>Grass!M37</f>
        <v>0</v>
      </c>
      <c r="AG26" s="1860">
        <f>Grass!N37</f>
        <v>0</v>
      </c>
      <c r="AH26" s="1860">
        <f>Grass!O37</f>
        <v>0</v>
      </c>
      <c r="AJ26" s="2724" t="str">
        <f>IF(Nlang=1,"",VLOOKUP(D26,'Name translation'!$A$121:$H$126,Nlang+1,))</f>
        <v/>
      </c>
      <c r="AL26" s="2724" t="str">
        <f>IF(Nlang=1,"",VLOOKUP(J26,'Name translation'!$A$121:$H$126,Nlang+1,))</f>
        <v/>
      </c>
      <c r="AN26" s="2724" t="str">
        <f>IF(Nlang=1,"",VLOOKUP(N26,'Name translation'!$A$121:$H$126,Nlang+1,))</f>
        <v/>
      </c>
    </row>
    <row r="27" spans="2:40" s="1738" customFormat="1">
      <c r="B27" s="3135"/>
      <c r="C27" s="3135"/>
      <c r="D27" s="3193" t="s">
        <v>79</v>
      </c>
      <c r="E27" s="3193"/>
      <c r="F27" s="3193"/>
      <c r="G27" s="3193"/>
      <c r="H27" s="3193"/>
      <c r="I27" s="2133"/>
      <c r="J27" s="3193" t="s">
        <v>79</v>
      </c>
      <c r="K27" s="3193"/>
      <c r="L27" s="3193"/>
      <c r="M27" s="2131"/>
      <c r="N27" s="3193" t="s">
        <v>79</v>
      </c>
      <c r="O27" s="3193"/>
      <c r="P27" s="3193"/>
      <c r="Q27" s="1916"/>
      <c r="R27" s="2125" t="s">
        <v>359</v>
      </c>
      <c r="S27" s="2122">
        <v>5</v>
      </c>
      <c r="T27" s="2125" t="s">
        <v>359</v>
      </c>
      <c r="U27" s="2122">
        <v>5</v>
      </c>
      <c r="V27" s="2126"/>
      <c r="W27" s="2379"/>
      <c r="X27" s="2379"/>
      <c r="Y27" s="2379"/>
      <c r="Z27" s="1799"/>
      <c r="AA27" s="2138">
        <v>0</v>
      </c>
      <c r="AB27" s="1860">
        <f t="shared" si="0"/>
        <v>0</v>
      </c>
      <c r="AC27" s="2164" t="s">
        <v>1525</v>
      </c>
      <c r="AD27" s="1860">
        <f t="shared" si="1"/>
        <v>0</v>
      </c>
      <c r="AE27" s="2164" t="s">
        <v>1525</v>
      </c>
      <c r="AF27" s="1860">
        <f>Grass!M38</f>
        <v>0</v>
      </c>
      <c r="AG27" s="1860">
        <f>Grass!N38</f>
        <v>0</v>
      </c>
      <c r="AH27" s="1860">
        <f>Grass!O38</f>
        <v>0</v>
      </c>
      <c r="AJ27" s="2724" t="str">
        <f>IF(Nlang=1,"",VLOOKUP(D27,'Name translation'!$A$121:$H$126,Nlang+1,))</f>
        <v/>
      </c>
      <c r="AL27" s="2724" t="str">
        <f>IF(Nlang=1,"",VLOOKUP(J27,'Name translation'!$A$121:$H$126,Nlang+1,))</f>
        <v/>
      </c>
      <c r="AN27" s="2724" t="str">
        <f>IF(Nlang=1,"",VLOOKUP(N27,'Name translation'!$A$121:$H$126,Nlang+1,))</f>
        <v/>
      </c>
    </row>
    <row r="28" spans="2:40" s="1738" customFormat="1">
      <c r="B28" s="3135"/>
      <c r="C28" s="3135"/>
      <c r="D28" s="3193" t="s">
        <v>79</v>
      </c>
      <c r="E28" s="3193"/>
      <c r="F28" s="3193"/>
      <c r="G28" s="3193"/>
      <c r="H28" s="3193"/>
      <c r="I28" s="2133"/>
      <c r="J28" s="3193" t="s">
        <v>79</v>
      </c>
      <c r="K28" s="3193"/>
      <c r="L28" s="3193"/>
      <c r="M28" s="2131"/>
      <c r="N28" s="3193" t="s">
        <v>79</v>
      </c>
      <c r="O28" s="3193"/>
      <c r="P28" s="3193"/>
      <c r="Q28" s="1916"/>
      <c r="R28" s="2125" t="s">
        <v>359</v>
      </c>
      <c r="S28" s="2122">
        <v>5</v>
      </c>
      <c r="T28" s="2125" t="s">
        <v>359</v>
      </c>
      <c r="U28" s="2122">
        <v>5</v>
      </c>
      <c r="V28" s="2126"/>
      <c r="W28" s="2379"/>
      <c r="X28" s="2379"/>
      <c r="Y28" s="2379"/>
      <c r="Z28" s="1799"/>
      <c r="AA28" s="2138">
        <v>0</v>
      </c>
      <c r="AB28" s="1860">
        <f t="shared" si="0"/>
        <v>0</v>
      </c>
      <c r="AC28" s="2164" t="s">
        <v>1525</v>
      </c>
      <c r="AD28" s="1860">
        <f t="shared" si="1"/>
        <v>0</v>
      </c>
      <c r="AE28" s="2164" t="s">
        <v>1525</v>
      </c>
      <c r="AF28" s="1860">
        <f>Grass!M39</f>
        <v>0</v>
      </c>
      <c r="AG28" s="1860">
        <f>Grass!N39</f>
        <v>0</v>
      </c>
      <c r="AH28" s="1860">
        <f>Grass!O39</f>
        <v>0</v>
      </c>
      <c r="AJ28" s="2724" t="str">
        <f>IF(Nlang=1,"",VLOOKUP(D28,'Name translation'!$A$121:$H$126,Nlang+1,))</f>
        <v/>
      </c>
      <c r="AL28" s="2724" t="str">
        <f>IF(Nlang=1,"",VLOOKUP(J28,'Name translation'!$A$121:$H$126,Nlang+1,))</f>
        <v/>
      </c>
      <c r="AN28" s="2724" t="str">
        <f>IF(Nlang=1,"",VLOOKUP(N28,'Name translation'!$A$121:$H$126,Nlang+1,))</f>
        <v/>
      </c>
    </row>
    <row r="29" spans="2:40" s="1738" customFormat="1">
      <c r="B29" s="3135"/>
      <c r="C29" s="3135"/>
      <c r="D29" s="3193" t="s">
        <v>79</v>
      </c>
      <c r="E29" s="3193"/>
      <c r="F29" s="3193"/>
      <c r="G29" s="3193"/>
      <c r="H29" s="3193"/>
      <c r="I29" s="2133"/>
      <c r="J29" s="3193" t="s">
        <v>79</v>
      </c>
      <c r="K29" s="3193"/>
      <c r="L29" s="3193"/>
      <c r="M29" s="2131"/>
      <c r="N29" s="3193" t="s">
        <v>79</v>
      </c>
      <c r="O29" s="3193"/>
      <c r="P29" s="3193"/>
      <c r="Q29" s="1916"/>
      <c r="R29" s="2125" t="s">
        <v>359</v>
      </c>
      <c r="S29" s="2122">
        <v>5</v>
      </c>
      <c r="T29" s="2125" t="s">
        <v>359</v>
      </c>
      <c r="U29" s="2122">
        <v>5</v>
      </c>
      <c r="V29" s="2126"/>
      <c r="W29" s="2379"/>
      <c r="X29" s="2379"/>
      <c r="Y29" s="2379"/>
      <c r="Z29" s="1799"/>
      <c r="AA29" s="2138">
        <v>0</v>
      </c>
      <c r="AB29" s="1860">
        <f t="shared" si="0"/>
        <v>0</v>
      </c>
      <c r="AC29" s="2164" t="s">
        <v>1525</v>
      </c>
      <c r="AD29" s="1860">
        <f t="shared" si="1"/>
        <v>0</v>
      </c>
      <c r="AE29" s="2164" t="s">
        <v>1525</v>
      </c>
      <c r="AF29" s="1860">
        <f>Grass!M40</f>
        <v>0</v>
      </c>
      <c r="AG29" s="1860">
        <f>Grass!N40</f>
        <v>0</v>
      </c>
      <c r="AH29" s="1860">
        <f>Grass!O40</f>
        <v>0</v>
      </c>
      <c r="AJ29" s="2724" t="str">
        <f>IF(Nlang=1,"",VLOOKUP(D29,'Name translation'!$A$121:$H$126,Nlang+1,))</f>
        <v/>
      </c>
      <c r="AL29" s="2724" t="str">
        <f>IF(Nlang=1,"",VLOOKUP(J29,'Name translation'!$A$121:$H$126,Nlang+1,))</f>
        <v/>
      </c>
      <c r="AN29" s="2724" t="str">
        <f>IF(Nlang=1,"",VLOOKUP(N29,'Name translation'!$A$121:$H$126,Nlang+1,))</f>
        <v/>
      </c>
    </row>
    <row r="30" spans="2:40" s="1738" customFormat="1">
      <c r="B30" s="3135"/>
      <c r="C30" s="3135"/>
      <c r="D30" s="3193" t="s">
        <v>79</v>
      </c>
      <c r="E30" s="3193"/>
      <c r="F30" s="3193"/>
      <c r="G30" s="3193"/>
      <c r="H30" s="3193"/>
      <c r="I30" s="2133"/>
      <c r="J30" s="3193" t="s">
        <v>79</v>
      </c>
      <c r="K30" s="3193"/>
      <c r="L30" s="3193"/>
      <c r="M30" s="2131"/>
      <c r="N30" s="3193" t="s">
        <v>79</v>
      </c>
      <c r="O30" s="3193"/>
      <c r="P30" s="3193"/>
      <c r="Q30" s="1916"/>
      <c r="R30" s="2125" t="s">
        <v>359</v>
      </c>
      <c r="S30" s="2122">
        <v>5</v>
      </c>
      <c r="T30" s="2125" t="s">
        <v>359</v>
      </c>
      <c r="U30" s="2122">
        <v>5</v>
      </c>
      <c r="V30" s="2126"/>
      <c r="W30" s="2379"/>
      <c r="X30" s="2379"/>
      <c r="Y30" s="2379"/>
      <c r="Z30" s="1799"/>
      <c r="AA30" s="2138">
        <v>0</v>
      </c>
      <c r="AB30" s="1860">
        <f t="shared" si="0"/>
        <v>0</v>
      </c>
      <c r="AC30" s="2164" t="s">
        <v>1525</v>
      </c>
      <c r="AD30" s="1860">
        <f t="shared" si="1"/>
        <v>0</v>
      </c>
      <c r="AE30" s="2164" t="s">
        <v>1525</v>
      </c>
      <c r="AF30" s="1860">
        <f>Grass!M41</f>
        <v>0</v>
      </c>
      <c r="AG30" s="1860">
        <f>Grass!N41</f>
        <v>0</v>
      </c>
      <c r="AH30" s="1860">
        <f>Grass!O41</f>
        <v>0</v>
      </c>
      <c r="AJ30" s="2724" t="str">
        <f>IF(Nlang=1,"",VLOOKUP(D30,'Name translation'!$A$121:$H$126,Nlang+1,))</f>
        <v/>
      </c>
      <c r="AL30" s="2724" t="str">
        <f>IF(Nlang=1,"",VLOOKUP(J30,'Name translation'!$A$121:$H$126,Nlang+1,))</f>
        <v/>
      </c>
      <c r="AN30" s="2724" t="str">
        <f>IF(Nlang=1,"",VLOOKUP(N30,'Name translation'!$A$121:$H$126,Nlang+1,))</f>
        <v/>
      </c>
    </row>
    <row r="31" spans="2:40" s="1738" customFormat="1">
      <c r="B31" s="3135"/>
      <c r="C31" s="3135"/>
      <c r="D31" s="3193" t="s">
        <v>79</v>
      </c>
      <c r="E31" s="3193"/>
      <c r="F31" s="3193"/>
      <c r="G31" s="3193"/>
      <c r="H31" s="3193"/>
      <c r="I31" s="2133"/>
      <c r="J31" s="3193" t="s">
        <v>79</v>
      </c>
      <c r="K31" s="3193"/>
      <c r="L31" s="3193"/>
      <c r="M31" s="2131"/>
      <c r="N31" s="3193" t="s">
        <v>79</v>
      </c>
      <c r="O31" s="3193"/>
      <c r="P31" s="3193"/>
      <c r="Q31" s="1916"/>
      <c r="R31" s="2125" t="s">
        <v>359</v>
      </c>
      <c r="S31" s="2122">
        <v>5</v>
      </c>
      <c r="T31" s="2125" t="s">
        <v>359</v>
      </c>
      <c r="U31" s="2122">
        <v>5</v>
      </c>
      <c r="V31" s="2126"/>
      <c r="W31" s="2379"/>
      <c r="X31" s="2379"/>
      <c r="Y31" s="2379"/>
      <c r="Z31" s="1799"/>
      <c r="AA31" s="2138">
        <v>0</v>
      </c>
      <c r="AB31" s="1860">
        <f t="shared" si="0"/>
        <v>0</v>
      </c>
      <c r="AC31" s="2164" t="s">
        <v>1525</v>
      </c>
      <c r="AD31" s="1860">
        <f t="shared" si="1"/>
        <v>0</v>
      </c>
      <c r="AE31" s="2164" t="s">
        <v>1525</v>
      </c>
      <c r="AF31" s="1860">
        <f>Grass!M42</f>
        <v>0</v>
      </c>
      <c r="AG31" s="1860">
        <f>Grass!N42</f>
        <v>0</v>
      </c>
      <c r="AH31" s="1860">
        <f>Grass!O42</f>
        <v>0</v>
      </c>
      <c r="AJ31" s="2724" t="str">
        <f>IF(Nlang=1,"",VLOOKUP(D31,'Name translation'!$A$121:$H$126,Nlang+1,))</f>
        <v/>
      </c>
      <c r="AL31" s="2724" t="str">
        <f>IF(Nlang=1,"",VLOOKUP(J31,'Name translation'!$A$121:$H$126,Nlang+1,))</f>
        <v/>
      </c>
      <c r="AN31" s="2724" t="str">
        <f>IF(Nlang=1,"",VLOOKUP(N31,'Name translation'!$A$121:$H$126,Nlang+1,))</f>
        <v/>
      </c>
    </row>
    <row r="32" spans="2:40" s="1738" customFormat="1">
      <c r="B32" s="1799"/>
      <c r="C32" s="1799"/>
      <c r="D32" s="1799"/>
      <c r="E32" s="1799"/>
      <c r="F32" s="1799"/>
      <c r="G32" s="1799"/>
      <c r="H32" s="1799"/>
      <c r="I32" s="1799"/>
      <c r="J32" s="1799"/>
      <c r="K32" s="1799"/>
      <c r="L32" s="1799"/>
      <c r="M32" s="1799"/>
      <c r="N32" s="1799"/>
      <c r="O32" s="2129"/>
      <c r="P32" s="2126"/>
      <c r="Q32" s="1916"/>
      <c r="R32" s="1916"/>
      <c r="S32" s="1916"/>
      <c r="T32" s="2126"/>
      <c r="U32" s="1864"/>
      <c r="V32" s="1864"/>
      <c r="W32" s="1864"/>
      <c r="X32" s="1864"/>
      <c r="Y32" s="1864"/>
      <c r="Z32" s="1864"/>
      <c r="AA32" s="1864"/>
      <c r="AB32" s="1864"/>
      <c r="AC32" s="1864"/>
      <c r="AD32" s="1864"/>
      <c r="AE32" s="2126"/>
      <c r="AF32" s="2126"/>
      <c r="AG32" s="2126"/>
      <c r="AH32" s="1860"/>
    </row>
    <row r="33" spans="2:34" s="1738" customFormat="1">
      <c r="O33" s="2190" t="str">
        <f>'3.Cropland'!I33</f>
        <v>* Note concerning dynamics of change : "D" corresponds to default/linear, "I" to immediate and "E" to exponential (Please refer to the guidelines)</v>
      </c>
      <c r="P33" s="2188"/>
      <c r="Q33" s="2188"/>
      <c r="R33" s="2188"/>
      <c r="S33" s="2188"/>
      <c r="T33" s="2188"/>
      <c r="U33" s="2188"/>
      <c r="V33" s="2188"/>
      <c r="W33" s="2188"/>
      <c r="X33" s="2188"/>
      <c r="Y33" s="2188"/>
      <c r="Z33" s="2189"/>
      <c r="AA33" s="2189"/>
      <c r="AB33" s="2188"/>
      <c r="AC33" s="2226"/>
      <c r="AD33" s="2226"/>
      <c r="AE33" s="2226"/>
      <c r="AF33" s="2226"/>
      <c r="AG33" s="2226"/>
      <c r="AH33" s="2306"/>
    </row>
    <row r="34" spans="2:34" s="1738" customFormat="1"/>
    <row r="35" spans="2:34" s="1738" customFormat="1">
      <c r="Z35" s="1679" t="str">
        <f>HLOOKUP(select,translations!$A$145:$H$201,18,)</f>
        <v>Total Grassland Systems</v>
      </c>
      <c r="AA35" s="1729"/>
      <c r="AB35" s="1729"/>
      <c r="AC35" s="1729"/>
      <c r="AD35" s="1730"/>
      <c r="AE35" s="2229"/>
      <c r="AF35" s="2229">
        <f>Grass!M44</f>
        <v>0</v>
      </c>
      <c r="AG35" s="2229">
        <f>Grass!N44</f>
        <v>0</v>
      </c>
      <c r="AH35" s="2229">
        <f>Grass!O44</f>
        <v>0</v>
      </c>
    </row>
    <row r="36" spans="2:34" s="1738" customFormat="1"/>
    <row r="37" spans="2:34" s="1738" customFormat="1"/>
    <row r="38" spans="2:34" s="1738" customFormat="1"/>
    <row r="39" spans="2:34" s="1738" customFormat="1">
      <c r="Q39" s="1743"/>
      <c r="R39" s="1743"/>
      <c r="U39" s="1743"/>
      <c r="V39" s="1743"/>
      <c r="W39" s="1743"/>
      <c r="X39" s="1743"/>
      <c r="Y39" s="1743"/>
      <c r="Z39" s="1743"/>
      <c r="AA39" s="1743"/>
      <c r="AB39" s="1743"/>
      <c r="AC39" s="1743"/>
      <c r="AD39" s="1743"/>
      <c r="AE39" s="1743"/>
      <c r="AF39" s="1743"/>
      <c r="AG39" s="1743"/>
    </row>
    <row r="40" spans="2:34" s="1749" customFormat="1" ht="15.6">
      <c r="B40" s="2588" t="str">
        <f>HLOOKUP(select,translations!$A$145:$H$201,19,)</f>
        <v>4.2. Livestock (and manure management)</v>
      </c>
      <c r="C40" s="2593"/>
      <c r="D40" s="2593"/>
      <c r="E40" s="2593"/>
      <c r="F40" s="2593"/>
      <c r="G40" s="2593"/>
      <c r="H40" s="2593"/>
      <c r="I40" s="2593"/>
      <c r="J40" s="2593"/>
      <c r="K40" s="2593"/>
      <c r="L40" s="2593"/>
      <c r="M40" s="2593"/>
      <c r="N40" s="2593"/>
      <c r="O40" s="2593"/>
      <c r="P40" s="2593"/>
      <c r="Q40" s="2593"/>
      <c r="R40" s="2593"/>
      <c r="S40" s="2593"/>
      <c r="T40" s="2593"/>
      <c r="U40" s="2593"/>
      <c r="V40" s="2593"/>
      <c r="W40" s="2593"/>
      <c r="X40" s="2593"/>
      <c r="Y40" s="2593"/>
      <c r="Z40" s="2593"/>
      <c r="AA40" s="2593"/>
      <c r="AB40" s="2593"/>
      <c r="AC40" s="2593"/>
      <c r="AD40" s="2593"/>
      <c r="AE40" s="2593"/>
      <c r="AF40" s="2593"/>
      <c r="AG40" s="2594"/>
      <c r="AH40" s="2594"/>
    </row>
    <row r="41" spans="2:34" s="1738" customFormat="1">
      <c r="Q41" s="1743"/>
      <c r="R41" s="1743"/>
      <c r="U41" s="1743"/>
      <c r="V41" s="1743"/>
      <c r="W41" s="1743"/>
      <c r="X41" s="1743"/>
      <c r="Y41" s="1743"/>
      <c r="Z41" s="1743"/>
      <c r="AA41" s="1743"/>
      <c r="AB41" s="1743"/>
      <c r="AC41" s="1743"/>
      <c r="AD41" s="1743"/>
      <c r="AE41" s="1743"/>
      <c r="AF41" s="1743"/>
      <c r="AG41" s="1743"/>
      <c r="AH41" s="1743"/>
    </row>
    <row r="42" spans="2:34" s="1987" customFormat="1">
      <c r="B42" s="2330" t="str">
        <f>HLOOKUP(select,translations!$A$145:$H$201,20,)</f>
        <v>Livestock categories</v>
      </c>
      <c r="C42" s="2194"/>
      <c r="D42" s="2194" t="str">
        <f>HLOOKUP(select,translations!$A$145:$H$201,21,)</f>
        <v>Head number (mean per year)</v>
      </c>
      <c r="E42" s="2194"/>
      <c r="F42" s="2194"/>
      <c r="G42" s="2194"/>
      <c r="H42" s="2194"/>
      <c r="I42" s="2194"/>
      <c r="J42" s="3073" t="str">
        <f>HLOOKUP(select,translations!$A$145:$H$201,22,)</f>
        <v>Technical mitigation option (%)</v>
      </c>
      <c r="K42" s="3073"/>
      <c r="L42" s="3073"/>
      <c r="M42" s="3073"/>
      <c r="N42" s="3073"/>
      <c r="O42" s="3073"/>
      <c r="P42" s="3073"/>
      <c r="Q42" s="3073"/>
      <c r="R42" s="3073"/>
      <c r="S42" s="3073"/>
      <c r="T42" s="3073"/>
      <c r="U42" s="2098"/>
      <c r="V42" s="2098"/>
      <c r="W42" s="2098" t="str">
        <f>HLOOKUP(select,translations!$A$145:$H$201,23,)</f>
        <v xml:space="preserve">Production  (meat, milk, etc) </v>
      </c>
      <c r="X42" s="2098"/>
      <c r="Y42" s="2098"/>
      <c r="Z42" s="2098"/>
      <c r="AA42" s="2098"/>
      <c r="AB42" s="2098"/>
      <c r="AC42" s="2098"/>
      <c r="AD42" s="2098"/>
      <c r="AE42" s="2340"/>
      <c r="AF42" s="3129" t="str">
        <f>AF19</f>
        <v>Total Emissions</v>
      </c>
      <c r="AG42" s="3129"/>
      <c r="AH42" s="2196" t="str">
        <f>AH19</f>
        <v>Balance</v>
      </c>
    </row>
    <row r="43" spans="2:34" s="1987" customFormat="1" ht="20.399999999999999" customHeight="1">
      <c r="B43" s="2330"/>
      <c r="C43" s="2194"/>
      <c r="D43" s="2332" t="str">
        <f>AA20</f>
        <v>Start</v>
      </c>
      <c r="E43" s="3207" t="str">
        <f>J20</f>
        <v>Without project</v>
      </c>
      <c r="F43" s="2342"/>
      <c r="G43" s="3207" t="str">
        <f>N20</f>
        <v>With project</v>
      </c>
      <c r="H43" s="2342"/>
      <c r="I43" s="2194"/>
      <c r="J43" s="3194" t="str">
        <f>HLOOKUP(select,translations!$A$145:$H$201,24,)</f>
        <v>Feeding practices*</v>
      </c>
      <c r="K43" s="3194"/>
      <c r="L43" s="3194"/>
      <c r="M43" s="2343"/>
      <c r="N43" s="3194" t="str">
        <f>HLOOKUP(select,translations!$A$145:$H$201,25,)</f>
        <v>Specific Agents*</v>
      </c>
      <c r="O43" s="3194"/>
      <c r="P43" s="3194"/>
      <c r="Q43" s="2343"/>
      <c r="R43" s="3196" t="str">
        <f>HLOOKUP(select,translations!$A$145:$H$201,26,)</f>
        <v>Breeding*</v>
      </c>
      <c r="S43" s="3196"/>
      <c r="T43" s="3196"/>
      <c r="U43" s="2340"/>
      <c r="V43" s="2340"/>
      <c r="W43" s="2722" t="str">
        <f>HLOOKUP(select,translations!$A$145:$H$201,27,)</f>
        <v>in tonnes of product per year</v>
      </c>
      <c r="X43" s="2344"/>
      <c r="Y43" s="2344"/>
      <c r="Z43" s="2344"/>
      <c r="AA43" s="2345"/>
      <c r="AB43" s="2345"/>
      <c r="AC43" s="2345"/>
      <c r="AD43" s="2346"/>
      <c r="AE43" s="2340"/>
      <c r="AF43" s="3139" t="str">
        <f>AF20</f>
        <v>(tCO2-eq)</v>
      </c>
      <c r="AG43" s="3139"/>
      <c r="AH43" s="2336"/>
    </row>
    <row r="44" spans="2:34" s="1738" customFormat="1">
      <c r="B44" s="2332"/>
      <c r="C44" s="2332"/>
      <c r="D44" s="2332"/>
      <c r="E44" s="3207"/>
      <c r="F44" s="2200" t="s">
        <v>93</v>
      </c>
      <c r="G44" s="3207"/>
      <c r="H44" s="2200" t="s">
        <v>93</v>
      </c>
      <c r="I44" s="2332"/>
      <c r="J44" s="2332" t="str">
        <f>W44</f>
        <v>Start</v>
      </c>
      <c r="K44" s="2720" t="str">
        <f>X44</f>
        <v>Without</v>
      </c>
      <c r="L44" s="2721" t="str">
        <f>Y44</f>
        <v>With</v>
      </c>
      <c r="M44" s="2348"/>
      <c r="N44" s="2332" t="str">
        <f>J44</f>
        <v>Start</v>
      </c>
      <c r="O44" s="2720" t="str">
        <f>K44</f>
        <v>Without</v>
      </c>
      <c r="P44" s="2721" t="str">
        <f>L44</f>
        <v>With</v>
      </c>
      <c r="Q44" s="2343"/>
      <c r="R44" s="2332" t="str">
        <f>J44</f>
        <v>Start</v>
      </c>
      <c r="S44" s="2720" t="str">
        <f>K44</f>
        <v>Without</v>
      </c>
      <c r="T44" s="2721" t="str">
        <f>L44</f>
        <v>With</v>
      </c>
      <c r="U44" s="2349"/>
      <c r="V44" s="2340"/>
      <c r="W44" s="2349" t="str">
        <f>AA20</f>
        <v>Start</v>
      </c>
      <c r="X44" s="2352" t="str">
        <f>AB20</f>
        <v>Without</v>
      </c>
      <c r="Y44" s="2352" t="str">
        <f>AD20</f>
        <v>With</v>
      </c>
      <c r="Z44" s="2350"/>
      <c r="AA44" s="2350"/>
      <c r="AB44" s="2350"/>
      <c r="AC44" s="2350"/>
      <c r="AD44" s="2349"/>
      <c r="AE44" s="2351"/>
      <c r="AF44" s="2719" t="str">
        <f>AF21</f>
        <v>Without</v>
      </c>
      <c r="AG44" s="2719" t="str">
        <f>AG21</f>
        <v>With</v>
      </c>
      <c r="AH44" s="2336"/>
    </row>
    <row r="45" spans="2:34" s="1738" customFormat="1">
      <c r="B45" s="2334" t="str">
        <f>HLOOKUP(select,translations!$A$145:$H$201,28,)</f>
        <v>Dairy cattle</v>
      </c>
      <c r="C45" s="2193"/>
      <c r="D45" s="2138">
        <v>0</v>
      </c>
      <c r="E45" s="2138">
        <v>0</v>
      </c>
      <c r="F45" s="2164" t="s">
        <v>1525</v>
      </c>
      <c r="G45" s="2138">
        <v>0</v>
      </c>
      <c r="H45" s="2164" t="s">
        <v>1525</v>
      </c>
      <c r="I45" s="2332"/>
      <c r="J45" s="1989">
        <v>0</v>
      </c>
      <c r="K45" s="1989">
        <v>0</v>
      </c>
      <c r="L45" s="1989">
        <v>0</v>
      </c>
      <c r="M45" s="2348"/>
      <c r="N45" s="1989">
        <v>0</v>
      </c>
      <c r="O45" s="1989">
        <v>0</v>
      </c>
      <c r="P45" s="1989">
        <v>0</v>
      </c>
      <c r="Q45" s="2343"/>
      <c r="R45" s="1989">
        <v>0</v>
      </c>
      <c r="S45" s="1989">
        <v>0</v>
      </c>
      <c r="T45" s="1989">
        <v>0</v>
      </c>
      <c r="U45" s="2352"/>
      <c r="V45" s="2340"/>
      <c r="W45" s="2380"/>
      <c r="X45" s="2380"/>
      <c r="Y45" s="2381"/>
      <c r="Z45" s="2350"/>
      <c r="AA45" s="2352"/>
      <c r="AB45" s="2352"/>
      <c r="AC45" s="2352"/>
      <c r="AD45" s="2352"/>
      <c r="AE45" s="2195"/>
      <c r="AF45" s="2353">
        <f>Livestock!Q12+Livestock!Q40+Livestock!Q57+Livestock!Q58+SUM(Livestock!Q84:Q87)</f>
        <v>0</v>
      </c>
      <c r="AG45" s="2353">
        <f>Livestock!R12+Livestock!R40+Livestock!R57+Livestock!R58+SUM(Livestock!R84:R87)</f>
        <v>0</v>
      </c>
      <c r="AH45" s="2353">
        <f>AG45-AF45</f>
        <v>0</v>
      </c>
    </row>
    <row r="46" spans="2:34" s="1738" customFormat="1">
      <c r="B46" s="2334" t="str">
        <f>HLOOKUP(select,translations!$A$145:$H$201,29,)</f>
        <v>Other cattle</v>
      </c>
      <c r="C46" s="2193"/>
      <c r="D46" s="2138">
        <v>0</v>
      </c>
      <c r="E46" s="2138">
        <v>0</v>
      </c>
      <c r="F46" s="2164" t="s">
        <v>1525</v>
      </c>
      <c r="G46" s="2138">
        <v>0</v>
      </c>
      <c r="H46" s="2164" t="s">
        <v>1525</v>
      </c>
      <c r="I46" s="2332"/>
      <c r="J46" s="1989">
        <v>0</v>
      </c>
      <c r="K46" s="1989">
        <v>0</v>
      </c>
      <c r="L46" s="1989">
        <v>0</v>
      </c>
      <c r="M46" s="2348"/>
      <c r="N46" s="1989">
        <v>0</v>
      </c>
      <c r="O46" s="1989">
        <v>0</v>
      </c>
      <c r="P46" s="1989">
        <v>0</v>
      </c>
      <c r="Q46" s="2343"/>
      <c r="R46" s="1989">
        <v>0</v>
      </c>
      <c r="S46" s="1989">
        <v>0</v>
      </c>
      <c r="T46" s="1989">
        <v>0</v>
      </c>
      <c r="U46" s="2352"/>
      <c r="V46" s="2340"/>
      <c r="W46" s="2380"/>
      <c r="X46" s="2380"/>
      <c r="Y46" s="2381"/>
      <c r="Z46" s="2350"/>
      <c r="AA46" s="2352"/>
      <c r="AB46" s="2352"/>
      <c r="AC46" s="2352"/>
      <c r="AD46" s="2352"/>
      <c r="AE46" s="2195"/>
      <c r="AF46" s="2353">
        <f>Livestock!Q13+Livestock!Q41+Livestock!Q59+Livestock!Q60+SUM(Livestock!Q88:Q91)</f>
        <v>0</v>
      </c>
      <c r="AG46" s="2353">
        <f>Livestock!R13+Livestock!R41+Livestock!R59+Livestock!R60+SUM(Livestock!R88:R91)</f>
        <v>0</v>
      </c>
      <c r="AH46" s="2353">
        <f t="shared" ref="AH46:AH53" si="2">AG46-AF46</f>
        <v>0</v>
      </c>
    </row>
    <row r="47" spans="2:34" s="1738" customFormat="1">
      <c r="B47" s="2334" t="str">
        <f>HLOOKUP(select,translations!$A$145:$H$201,30,)</f>
        <v>Buffalo</v>
      </c>
      <c r="C47" s="2193"/>
      <c r="D47" s="2138">
        <v>0</v>
      </c>
      <c r="E47" s="2138">
        <v>0</v>
      </c>
      <c r="F47" s="2164" t="s">
        <v>1525</v>
      </c>
      <c r="G47" s="2138">
        <v>0</v>
      </c>
      <c r="H47" s="2164" t="s">
        <v>1525</v>
      </c>
      <c r="I47" s="2332"/>
      <c r="J47" s="1989">
        <v>0</v>
      </c>
      <c r="K47" s="1989">
        <v>0</v>
      </c>
      <c r="L47" s="1989">
        <v>0</v>
      </c>
      <c r="M47" s="2348"/>
      <c r="N47" s="1989">
        <v>0</v>
      </c>
      <c r="O47" s="1989">
        <v>0</v>
      </c>
      <c r="P47" s="1989">
        <v>0</v>
      </c>
      <c r="Q47" s="2343"/>
      <c r="R47" s="1989">
        <v>0</v>
      </c>
      <c r="S47" s="1989">
        <v>0</v>
      </c>
      <c r="T47" s="1989">
        <v>0</v>
      </c>
      <c r="U47" s="2352"/>
      <c r="V47" s="2340"/>
      <c r="W47" s="2380"/>
      <c r="X47" s="2380"/>
      <c r="Y47" s="2381"/>
      <c r="Z47" s="2350"/>
      <c r="AA47" s="2352"/>
      <c r="AB47" s="2352"/>
      <c r="AC47" s="2352"/>
      <c r="AD47" s="2352"/>
      <c r="AE47" s="2195"/>
      <c r="AF47" s="2353">
        <f>Livestock!Q14+Livestock!Q42+Livestock!Q61+Livestock!Q62+SUM(Livestock!Q92:Q95)</f>
        <v>0</v>
      </c>
      <c r="AG47" s="2353">
        <f>Livestock!R14+Livestock!R42+Livestock!R61+Livestock!R62+SUM(Livestock!R92:R95)</f>
        <v>0</v>
      </c>
      <c r="AH47" s="2353">
        <f t="shared" si="2"/>
        <v>0</v>
      </c>
    </row>
    <row r="48" spans="2:34" s="1738" customFormat="1">
      <c r="B48" s="2334" t="str">
        <f>HLOOKUP(select,translations!$A$145:$H$201,31,)</f>
        <v>Sheep</v>
      </c>
      <c r="C48" s="2193"/>
      <c r="D48" s="2138">
        <v>0</v>
      </c>
      <c r="E48" s="2138">
        <v>0</v>
      </c>
      <c r="F48" s="2164" t="s">
        <v>1525</v>
      </c>
      <c r="G48" s="2138">
        <v>0</v>
      </c>
      <c r="H48" s="2164" t="s">
        <v>1525</v>
      </c>
      <c r="I48" s="2332"/>
      <c r="J48" s="1989">
        <v>0</v>
      </c>
      <c r="K48" s="1989">
        <v>0</v>
      </c>
      <c r="L48" s="1989">
        <v>0</v>
      </c>
      <c r="M48" s="2348"/>
      <c r="N48" s="1989">
        <v>0</v>
      </c>
      <c r="O48" s="1989">
        <v>0</v>
      </c>
      <c r="P48" s="1989">
        <v>0</v>
      </c>
      <c r="Q48" s="2343"/>
      <c r="R48" s="1989">
        <v>0</v>
      </c>
      <c r="S48" s="1989">
        <v>0</v>
      </c>
      <c r="T48" s="1989">
        <v>0</v>
      </c>
      <c r="U48" s="2352"/>
      <c r="V48" s="2340"/>
      <c r="W48" s="2380"/>
      <c r="X48" s="2380"/>
      <c r="Y48" s="2381"/>
      <c r="Z48" s="2350"/>
      <c r="AA48" s="2352"/>
      <c r="AB48" s="2352"/>
      <c r="AC48" s="2352"/>
      <c r="AD48" s="2352"/>
      <c r="AE48" s="2195"/>
      <c r="AF48" s="2353">
        <f>Livestock!Q43+Livestock!Q63+Livestock!Q64+Livestock!Q15+SUM(Livestock!Q96:Q99)</f>
        <v>0</v>
      </c>
      <c r="AG48" s="2353">
        <f>Livestock!R43+Livestock!R63+Livestock!R64+Livestock!R15+SUM(Livestock!R96:R99)</f>
        <v>0</v>
      </c>
      <c r="AH48" s="2353">
        <f t="shared" si="2"/>
        <v>0</v>
      </c>
    </row>
    <row r="49" spans="2:34" s="1738" customFormat="1">
      <c r="B49" s="2334" t="str">
        <f>HLOOKUP(select,translations!$A$145:$H$201,32,)</f>
        <v>Swine (Market)</v>
      </c>
      <c r="C49" s="2193"/>
      <c r="D49" s="2138">
        <v>0</v>
      </c>
      <c r="E49" s="2138">
        <v>0</v>
      </c>
      <c r="F49" s="2164" t="s">
        <v>1525</v>
      </c>
      <c r="G49" s="2138">
        <v>0</v>
      </c>
      <c r="H49" s="2164" t="s">
        <v>1525</v>
      </c>
      <c r="I49" s="2332"/>
      <c r="J49" s="3202" t="str">
        <f>HLOOKUP(select,translations!$A$145:$H$201,34,)</f>
        <v>Feeding practices: e.g. more concentrates, adding certain oils or oilseeds to the diet, improving pasture quality,…</v>
      </c>
      <c r="K49" s="3202"/>
      <c r="L49" s="3202"/>
      <c r="M49" s="2338"/>
      <c r="N49" s="3203" t="str">
        <f>HLOOKUP(select,translations!$A$145:$H$201,35,)</f>
        <v>Specific agents: specific agents and dietary additives to reduces CH4 emisisons (Ionophores, vaccines, bST…)</v>
      </c>
      <c r="O49" s="3203"/>
      <c r="P49" s="3203"/>
      <c r="Q49" s="2343"/>
      <c r="R49" s="3202" t="str">
        <f>HLOOKUP(select,translations!$A$145:$H$201,36,)</f>
        <v>Breeding: increasing productivity through breeding and better management practices (reduction in the number of replacement heifers)</v>
      </c>
      <c r="S49" s="3202"/>
      <c r="T49" s="3202"/>
      <c r="U49" s="2352"/>
      <c r="V49" s="2340"/>
      <c r="W49" s="2380"/>
      <c r="X49" s="2380"/>
      <c r="Y49" s="2381"/>
      <c r="Z49" s="2350"/>
      <c r="AA49" s="2349"/>
      <c r="AB49" s="2349"/>
      <c r="AC49" s="2349"/>
      <c r="AD49" s="2349"/>
      <c r="AE49" s="2195"/>
      <c r="AF49" s="2353">
        <f>Livestock!Q16+Livestock!Q44+Livestock!Q66+Livestock!Q65</f>
        <v>0</v>
      </c>
      <c r="AG49" s="2353">
        <f>Livestock!R16+Livestock!R44+Livestock!R66+Livestock!R65</f>
        <v>0</v>
      </c>
      <c r="AH49" s="2353">
        <f t="shared" si="2"/>
        <v>0</v>
      </c>
    </row>
    <row r="50" spans="2:34" s="1738" customFormat="1" ht="13.2" customHeight="1">
      <c r="B50" s="2334" t="str">
        <f>HLOOKUP(select,translations!$A$145:$H$201,33,)</f>
        <v>Swine (Breeding)</v>
      </c>
      <c r="C50" s="2193"/>
      <c r="D50" s="2138">
        <v>0</v>
      </c>
      <c r="E50" s="2138">
        <v>0</v>
      </c>
      <c r="F50" s="2164" t="s">
        <v>1525</v>
      </c>
      <c r="G50" s="2138">
        <v>0</v>
      </c>
      <c r="H50" s="2164" t="s">
        <v>1525</v>
      </c>
      <c r="I50" s="2332"/>
      <c r="J50" s="3202"/>
      <c r="K50" s="3202"/>
      <c r="L50" s="3202"/>
      <c r="M50" s="2338"/>
      <c r="N50" s="3203"/>
      <c r="O50" s="3203"/>
      <c r="P50" s="3203"/>
      <c r="Q50" s="2343"/>
      <c r="R50" s="3202"/>
      <c r="S50" s="3202"/>
      <c r="T50" s="3202"/>
      <c r="U50" s="2352"/>
      <c r="V50" s="2340"/>
      <c r="W50" s="2380"/>
      <c r="X50" s="2380"/>
      <c r="Y50" s="2381"/>
      <c r="Z50" s="2350"/>
      <c r="AA50" s="2349"/>
      <c r="AB50" s="2349"/>
      <c r="AC50" s="2349"/>
      <c r="AD50" s="2349"/>
      <c r="AE50" s="2195"/>
      <c r="AF50" s="2353">
        <f>Livestock!Q17+Livestock!Q45+Livestock!Q67+Livestock!Q68</f>
        <v>0</v>
      </c>
      <c r="AG50" s="2353">
        <f>Livestock!R17+Livestock!R45+Livestock!R67+Livestock!R68</f>
        <v>0</v>
      </c>
      <c r="AH50" s="2353">
        <f t="shared" si="2"/>
        <v>0</v>
      </c>
    </row>
    <row r="51" spans="2:34" s="1738" customFormat="1">
      <c r="B51" s="3206" t="s">
        <v>4</v>
      </c>
      <c r="C51" s="3206"/>
      <c r="D51" s="2138">
        <v>0</v>
      </c>
      <c r="E51" s="2138">
        <v>0</v>
      </c>
      <c r="F51" s="2164" t="s">
        <v>1525</v>
      </c>
      <c r="G51" s="2138">
        <v>0</v>
      </c>
      <c r="H51" s="2164" t="s">
        <v>1525</v>
      </c>
      <c r="I51" s="2332"/>
      <c r="J51" s="3202"/>
      <c r="K51" s="3202"/>
      <c r="L51" s="3202"/>
      <c r="M51" s="2338"/>
      <c r="N51" s="3203"/>
      <c r="O51" s="3203"/>
      <c r="P51" s="3203"/>
      <c r="Q51" s="2343"/>
      <c r="R51" s="3202"/>
      <c r="S51" s="3202"/>
      <c r="T51" s="3202"/>
      <c r="U51" s="2352"/>
      <c r="V51" s="2340"/>
      <c r="W51" s="2380"/>
      <c r="X51" s="2380"/>
      <c r="Y51" s="2381"/>
      <c r="Z51" s="2350"/>
      <c r="AA51" s="2349"/>
      <c r="AB51" s="2349"/>
      <c r="AC51" s="2349"/>
      <c r="AD51" s="2349"/>
      <c r="AE51" s="2195"/>
      <c r="AF51" s="2353">
        <f>Livestock!Q18+Livestock!Q46+Livestock!Q69</f>
        <v>0</v>
      </c>
      <c r="AG51" s="2353">
        <f>Livestock!R18+Livestock!R46+Livestock!R69</f>
        <v>0</v>
      </c>
      <c r="AH51" s="2353">
        <f t="shared" si="2"/>
        <v>0</v>
      </c>
    </row>
    <row r="52" spans="2:34" s="1738" customFormat="1">
      <c r="B52" s="3206" t="s">
        <v>424</v>
      </c>
      <c r="C52" s="3206"/>
      <c r="D52" s="2138">
        <v>0</v>
      </c>
      <c r="E52" s="2138">
        <v>0</v>
      </c>
      <c r="F52" s="2164" t="s">
        <v>1525</v>
      </c>
      <c r="G52" s="2138">
        <v>0</v>
      </c>
      <c r="H52" s="2164" t="s">
        <v>1525</v>
      </c>
      <c r="I52" s="2332"/>
      <c r="J52" s="3202"/>
      <c r="K52" s="3202"/>
      <c r="L52" s="3202"/>
      <c r="M52" s="2338"/>
      <c r="N52" s="3203"/>
      <c r="O52" s="3203"/>
      <c r="P52" s="3203"/>
      <c r="Q52" s="2343"/>
      <c r="R52" s="3202"/>
      <c r="S52" s="3202"/>
      <c r="T52" s="3202"/>
      <c r="U52" s="2352"/>
      <c r="V52" s="2340"/>
      <c r="W52" s="2380"/>
      <c r="X52" s="2380"/>
      <c r="Y52" s="2381"/>
      <c r="Z52" s="2350"/>
      <c r="AA52" s="2349"/>
      <c r="AB52" s="2349"/>
      <c r="AC52" s="2349"/>
      <c r="AD52" s="2349"/>
      <c r="AE52" s="2195"/>
      <c r="AF52" s="2353">
        <f>Livestock!Q19+Livestock!Q47+Livestock!Q70</f>
        <v>0</v>
      </c>
      <c r="AG52" s="2353">
        <f>Livestock!R19+Livestock!R47+Livestock!R70</f>
        <v>0</v>
      </c>
      <c r="AH52" s="2353">
        <f t="shared" si="2"/>
        <v>0</v>
      </c>
    </row>
    <row r="53" spans="2:34" s="1738" customFormat="1">
      <c r="B53" s="3206" t="s">
        <v>422</v>
      </c>
      <c r="C53" s="3206"/>
      <c r="D53" s="2138">
        <v>0</v>
      </c>
      <c r="E53" s="2138">
        <v>0</v>
      </c>
      <c r="F53" s="2164" t="s">
        <v>1525</v>
      </c>
      <c r="G53" s="2138">
        <v>0</v>
      </c>
      <c r="H53" s="2164" t="s">
        <v>1525</v>
      </c>
      <c r="I53" s="2332"/>
      <c r="J53" s="3202"/>
      <c r="K53" s="3202"/>
      <c r="L53" s="3202"/>
      <c r="M53" s="2338"/>
      <c r="N53" s="3203"/>
      <c r="O53" s="3203"/>
      <c r="P53" s="3203"/>
      <c r="Q53" s="2343"/>
      <c r="R53" s="3202"/>
      <c r="S53" s="3202"/>
      <c r="T53" s="3202"/>
      <c r="U53" s="2352"/>
      <c r="V53" s="2340"/>
      <c r="W53" s="2380"/>
      <c r="X53" s="2380"/>
      <c r="Y53" s="2381"/>
      <c r="Z53" s="2350"/>
      <c r="AA53" s="2349"/>
      <c r="AB53" s="2349"/>
      <c r="AC53" s="2349"/>
      <c r="AD53" s="2349"/>
      <c r="AE53" s="2195"/>
      <c r="AF53" s="2353">
        <f>Livestock!Q20+Livestock!Q48+Livestock!Q71</f>
        <v>0</v>
      </c>
      <c r="AG53" s="2353">
        <f>Livestock!R20+Livestock!R48+Livestock!R71</f>
        <v>0</v>
      </c>
      <c r="AH53" s="2353">
        <f t="shared" si="2"/>
        <v>0</v>
      </c>
    </row>
    <row r="54" spans="2:34" s="1738" customFormat="1">
      <c r="Q54" s="1743"/>
      <c r="R54" s="1743"/>
      <c r="U54" s="1743"/>
      <c r="V54" s="1743"/>
      <c r="W54" s="1743"/>
      <c r="X54" s="1743"/>
      <c r="Y54" s="1743"/>
      <c r="Z54" s="1743"/>
      <c r="AA54" s="1743"/>
      <c r="AB54" s="1743"/>
      <c r="AC54" s="1743"/>
      <c r="AD54" s="1743"/>
      <c r="AE54" s="1743"/>
      <c r="AF54" s="1743"/>
      <c r="AG54" s="1743"/>
      <c r="AH54" s="1743"/>
    </row>
    <row r="55" spans="2:34" s="1738" customFormat="1">
      <c r="D55" s="1987"/>
      <c r="E55" s="1987" t="str">
        <f>'2.LUC'!V42</f>
        <v xml:space="preserve"> </v>
      </c>
      <c r="Q55" s="1743"/>
      <c r="R55" s="1743"/>
      <c r="U55" s="1743"/>
      <c r="V55" s="1743"/>
      <c r="W55" s="1743"/>
      <c r="X55" s="1743"/>
      <c r="Y55" s="1743"/>
      <c r="Z55" s="2723" t="str">
        <f>HLOOKUP(select,translations!$A$145:$H$201,37,)</f>
        <v>Total Livestock</v>
      </c>
      <c r="AA55" s="1899"/>
      <c r="AB55" s="1899"/>
      <c r="AC55" s="1899"/>
      <c r="AD55" s="1904"/>
      <c r="AE55" s="1900"/>
      <c r="AF55" s="1900">
        <f>SUM(AF45:AF53)</f>
        <v>0</v>
      </c>
      <c r="AG55" s="1900">
        <f>SUM(AG45:AG53)</f>
        <v>0</v>
      </c>
      <c r="AH55" s="1900">
        <f>SUM(AH45:AH53)</f>
        <v>0</v>
      </c>
    </row>
    <row r="56" spans="2:34" s="1738" customFormat="1">
      <c r="D56" s="2724"/>
      <c r="E56" s="2658" t="str">
        <f>IF(Nlang=1,"",CONCATENATE(B51," = ",))</f>
        <v/>
      </c>
      <c r="F56" s="2724" t="str">
        <f>IF(Nlang=1,"",VLOOKUP(B51,'Name translation'!$A$113:$H$120,Nlang+1,))</f>
        <v/>
      </c>
      <c r="G56" s="2724"/>
      <c r="H56" s="2724"/>
      <c r="I56" s="2724"/>
      <c r="Q56" s="1743"/>
      <c r="R56" s="1743"/>
      <c r="U56" s="1743"/>
      <c r="V56" s="1743"/>
      <c r="W56" s="1743"/>
      <c r="X56" s="1743"/>
      <c r="Y56" s="1743"/>
      <c r="Z56" s="1743"/>
      <c r="AA56" s="1743"/>
      <c r="AB56" s="1743"/>
      <c r="AC56" s="1743"/>
      <c r="AD56" s="1743"/>
      <c r="AE56" s="1743"/>
      <c r="AF56" s="1743"/>
      <c r="AG56" s="1743"/>
    </row>
    <row r="57" spans="2:34" s="1738" customFormat="1">
      <c r="D57" s="2724"/>
      <c r="E57" s="2658" t="str">
        <f>IF(Nlang=1,"",CONCATENATE(B52," = ",))</f>
        <v/>
      </c>
      <c r="F57" s="2724" t="str">
        <f>IF(Nlang=1,"",VLOOKUP(B52,'Name translation'!$A$113:$H$120,Nlang+1,))</f>
        <v/>
      </c>
      <c r="G57" s="2724"/>
      <c r="H57" s="2724"/>
      <c r="I57" s="2724"/>
      <c r="Q57" s="1743"/>
      <c r="R57" s="1743"/>
      <c r="U57" s="1743"/>
      <c r="V57" s="1743"/>
      <c r="W57" s="1743"/>
      <c r="X57" s="1743"/>
      <c r="Y57" s="1743"/>
      <c r="Z57" s="1743"/>
      <c r="AA57" s="1743"/>
      <c r="AB57" s="1743"/>
      <c r="AC57" s="1743"/>
      <c r="AD57" s="1743"/>
      <c r="AE57" s="1743"/>
      <c r="AF57" s="1743"/>
      <c r="AG57" s="1743"/>
    </row>
    <row r="58" spans="2:34" s="1738" customFormat="1">
      <c r="D58" s="2724"/>
      <c r="E58" s="2658" t="str">
        <f>IF(Nlang=1,"",CONCATENATE(B53," = ",))</f>
        <v/>
      </c>
      <c r="F58" s="2724" t="str">
        <f>IF(Nlang=1,"",VLOOKUP(B53,'Name translation'!$A$113:$H$120,Nlang+1,))</f>
        <v/>
      </c>
      <c r="G58" s="2724"/>
      <c r="H58" s="2724"/>
      <c r="I58" s="2724"/>
      <c r="Q58" s="1743"/>
      <c r="R58" s="1743"/>
      <c r="U58" s="1743"/>
      <c r="V58" s="1743"/>
      <c r="W58" s="1743"/>
      <c r="X58" s="1743"/>
      <c r="Y58" s="1743"/>
      <c r="Z58" s="1743"/>
      <c r="AA58" s="1743"/>
      <c r="AB58" s="1743"/>
      <c r="AC58" s="1743"/>
      <c r="AD58" s="1743"/>
      <c r="AE58" s="1743"/>
      <c r="AF58" s="1743"/>
      <c r="AG58" s="1743"/>
    </row>
    <row r="59" spans="2:34" s="1738" customFormat="1">
      <c r="Q59" s="1743"/>
      <c r="R59" s="1743"/>
      <c r="U59" s="1743"/>
      <c r="V59" s="1743"/>
      <c r="W59" s="1743"/>
      <c r="X59" s="1743"/>
      <c r="Y59" s="1743"/>
      <c r="Z59" s="1743"/>
      <c r="AA59" s="1743"/>
      <c r="AB59" s="1743"/>
      <c r="AC59" s="1743"/>
      <c r="AD59" s="1743"/>
      <c r="AE59" s="1743"/>
      <c r="AF59" s="1743"/>
      <c r="AG59" s="1743"/>
    </row>
    <row r="60" spans="2:34" s="1738" customFormat="1">
      <c r="Q60" s="1743"/>
      <c r="R60" s="1743"/>
      <c r="U60" s="1743"/>
      <c r="V60" s="1743"/>
      <c r="W60" s="1743"/>
      <c r="X60" s="1743"/>
      <c r="Y60" s="1743"/>
      <c r="Z60" s="1743"/>
      <c r="AA60" s="1743"/>
      <c r="AB60" s="1743"/>
      <c r="AC60" s="1743"/>
      <c r="AD60" s="1743"/>
      <c r="AE60" s="1743"/>
      <c r="AF60" s="1743"/>
      <c r="AG60" s="1743"/>
    </row>
    <row r="61" spans="2:34" s="1738" customFormat="1">
      <c r="Q61" s="1743"/>
      <c r="R61" s="1743"/>
      <c r="U61" s="1743"/>
      <c r="V61" s="1743"/>
      <c r="W61" s="1743"/>
      <c r="X61" s="1743"/>
      <c r="Y61" s="1743"/>
      <c r="Z61" s="1743"/>
      <c r="AA61" s="1743"/>
      <c r="AB61" s="1743"/>
      <c r="AC61" s="1743"/>
      <c r="AD61" s="1743"/>
      <c r="AE61" s="1743"/>
      <c r="AF61" s="1743"/>
      <c r="AG61" s="1743"/>
    </row>
    <row r="62" spans="2:34" s="1738" customFormat="1">
      <c r="Q62" s="1743"/>
      <c r="R62" s="1743"/>
      <c r="U62" s="1743"/>
      <c r="V62" s="1743"/>
      <c r="W62" s="1743"/>
      <c r="X62" s="1743"/>
      <c r="Y62" s="1743"/>
      <c r="Z62" s="1743"/>
      <c r="AA62" s="1743"/>
      <c r="AB62" s="1743"/>
      <c r="AC62" s="1743"/>
      <c r="AD62" s="1743"/>
      <c r="AE62" s="1743"/>
      <c r="AF62" s="1743"/>
      <c r="AG62" s="1743"/>
    </row>
    <row r="63" spans="2:34" s="1738" customFormat="1">
      <c r="Q63" s="1743"/>
      <c r="R63" s="1743"/>
      <c r="U63" s="1743"/>
      <c r="V63" s="1743"/>
      <c r="W63" s="1743"/>
      <c r="X63" s="1743"/>
      <c r="Y63" s="1743"/>
      <c r="Z63" s="1743"/>
      <c r="AA63" s="1743"/>
      <c r="AB63" s="1743"/>
      <c r="AC63" s="1743"/>
      <c r="AD63" s="1743"/>
      <c r="AE63" s="1743"/>
      <c r="AF63" s="1743"/>
      <c r="AG63" s="1743"/>
    </row>
    <row r="64" spans="2:34" s="1738" customFormat="1">
      <c r="Q64" s="1743"/>
      <c r="R64" s="1743"/>
      <c r="U64" s="1743"/>
      <c r="V64" s="1743"/>
      <c r="W64" s="1743"/>
      <c r="X64" s="1743"/>
      <c r="Y64" s="1743"/>
      <c r="Z64" s="1743"/>
      <c r="AA64" s="1743"/>
      <c r="AB64" s="1743"/>
      <c r="AC64" s="1743"/>
      <c r="AD64" s="1743"/>
      <c r="AE64" s="1743"/>
      <c r="AF64" s="1743"/>
      <c r="AG64" s="1743"/>
    </row>
    <row r="65" spans="17:33" s="1738" customFormat="1">
      <c r="Q65" s="1743"/>
      <c r="R65" s="1743"/>
      <c r="U65" s="1743"/>
      <c r="V65" s="1743"/>
      <c r="W65" s="1743"/>
      <c r="X65" s="1743"/>
      <c r="Y65" s="1743"/>
      <c r="Z65" s="1743"/>
      <c r="AA65" s="1743"/>
      <c r="AB65" s="1743"/>
      <c r="AC65" s="1743"/>
      <c r="AD65" s="1743"/>
      <c r="AE65" s="1743"/>
      <c r="AF65" s="1743"/>
      <c r="AG65" s="1743"/>
    </row>
    <row r="66" spans="17:33" s="1738" customFormat="1">
      <c r="Q66" s="1743"/>
      <c r="R66" s="1743"/>
      <c r="U66" s="1743"/>
      <c r="V66" s="1743"/>
      <c r="W66" s="1743"/>
      <c r="X66" s="1743"/>
      <c r="Y66" s="1743"/>
      <c r="Z66" s="1743"/>
      <c r="AA66" s="1743"/>
      <c r="AB66" s="1743"/>
      <c r="AC66" s="1743"/>
      <c r="AD66" s="1743"/>
      <c r="AE66" s="1743"/>
      <c r="AF66" s="1743"/>
      <c r="AG66" s="1743"/>
    </row>
    <row r="67" spans="17:33" s="1738" customFormat="1">
      <c r="Q67" s="1743"/>
      <c r="R67" s="1743"/>
      <c r="U67" s="1743"/>
      <c r="V67" s="1743"/>
      <c r="W67" s="1743"/>
      <c r="X67" s="1743"/>
      <c r="Y67" s="1743"/>
      <c r="Z67" s="1743"/>
      <c r="AA67" s="1743"/>
      <c r="AB67" s="1743"/>
      <c r="AC67" s="1743"/>
      <c r="AD67" s="1743"/>
      <c r="AE67" s="1743"/>
      <c r="AF67" s="1743"/>
      <c r="AG67" s="1743"/>
    </row>
    <row r="68" spans="17:33" s="1738" customFormat="1">
      <c r="Q68" s="1743"/>
      <c r="R68" s="1743"/>
      <c r="U68" s="1743"/>
      <c r="V68" s="1743"/>
      <c r="W68" s="1743"/>
      <c r="X68" s="1743"/>
      <c r="Y68" s="1743"/>
      <c r="Z68" s="1743"/>
      <c r="AA68" s="1743"/>
      <c r="AB68" s="1743"/>
      <c r="AC68" s="1743"/>
      <c r="AD68" s="1743"/>
      <c r="AE68" s="1743"/>
      <c r="AF68" s="1743"/>
      <c r="AG68" s="1743"/>
    </row>
    <row r="69" spans="17:33" s="1738" customFormat="1">
      <c r="Q69" s="1743"/>
      <c r="R69" s="1743"/>
      <c r="U69" s="1743"/>
      <c r="V69" s="1743"/>
      <c r="W69" s="1743"/>
      <c r="X69" s="1743"/>
      <c r="Y69" s="1743"/>
      <c r="Z69" s="1743"/>
      <c r="AA69" s="1743"/>
      <c r="AB69" s="1743"/>
      <c r="AC69" s="1743"/>
      <c r="AD69" s="1743"/>
      <c r="AE69" s="1743"/>
      <c r="AF69" s="1743"/>
      <c r="AG69" s="1743"/>
    </row>
    <row r="70" spans="17:33" s="1738" customFormat="1">
      <c r="Q70" s="1743"/>
      <c r="R70" s="1743"/>
      <c r="U70" s="1743"/>
      <c r="V70" s="1743"/>
      <c r="W70" s="1743"/>
      <c r="X70" s="1743"/>
      <c r="Y70" s="1743"/>
      <c r="Z70" s="1743"/>
      <c r="AA70" s="1743"/>
      <c r="AB70" s="1743"/>
      <c r="AC70" s="1743"/>
      <c r="AD70" s="1743"/>
      <c r="AE70" s="1743"/>
      <c r="AF70" s="1743"/>
      <c r="AG70" s="1743"/>
    </row>
    <row r="71" spans="17:33" s="1738" customFormat="1">
      <c r="Q71" s="1743"/>
      <c r="R71" s="1743"/>
      <c r="U71" s="1743"/>
      <c r="V71" s="1743"/>
      <c r="W71" s="1743"/>
      <c r="X71" s="1743"/>
      <c r="Y71" s="1743"/>
      <c r="Z71" s="1743"/>
      <c r="AA71" s="1743"/>
      <c r="AB71" s="1743"/>
      <c r="AC71" s="1743"/>
      <c r="AD71" s="1743"/>
      <c r="AE71" s="1743"/>
      <c r="AF71" s="1743"/>
      <c r="AG71" s="1743"/>
    </row>
    <row r="72" spans="17:33" s="1738" customFormat="1">
      <c r="Q72" s="1743"/>
      <c r="R72" s="1743"/>
      <c r="U72" s="1743"/>
      <c r="V72" s="1743"/>
      <c r="W72" s="1743"/>
      <c r="X72" s="1743"/>
      <c r="Y72" s="1743"/>
      <c r="Z72" s="1743"/>
      <c r="AA72" s="1743"/>
      <c r="AB72" s="1743"/>
      <c r="AC72" s="1743"/>
      <c r="AD72" s="1743"/>
      <c r="AE72" s="1743"/>
      <c r="AF72" s="1743"/>
      <c r="AG72" s="1743"/>
    </row>
    <row r="73" spans="17:33" s="1738" customFormat="1">
      <c r="Q73" s="1743"/>
      <c r="R73" s="1743"/>
      <c r="U73" s="1743"/>
      <c r="V73" s="1743"/>
      <c r="W73" s="1743"/>
      <c r="X73" s="1743"/>
      <c r="Y73" s="1743"/>
      <c r="Z73" s="1743"/>
      <c r="AA73" s="1743"/>
      <c r="AB73" s="1743"/>
      <c r="AC73" s="1743"/>
      <c r="AD73" s="1743"/>
      <c r="AE73" s="1743"/>
      <c r="AF73" s="1743"/>
      <c r="AG73" s="1743"/>
    </row>
    <row r="74" spans="17:33" s="1738" customFormat="1">
      <c r="Q74" s="1743"/>
      <c r="R74" s="1743"/>
      <c r="U74" s="1743"/>
      <c r="V74" s="1743"/>
      <c r="W74" s="1743"/>
      <c r="X74" s="1743"/>
      <c r="Y74" s="1743"/>
      <c r="Z74" s="1743"/>
      <c r="AA74" s="1743"/>
      <c r="AB74" s="1743"/>
      <c r="AC74" s="1743"/>
      <c r="AD74" s="1743"/>
      <c r="AE74" s="1743"/>
      <c r="AF74" s="1743"/>
      <c r="AG74" s="1743"/>
    </row>
    <row r="75" spans="17:33" s="1738" customFormat="1">
      <c r="Q75" s="1743"/>
      <c r="R75" s="1743"/>
      <c r="U75" s="1743"/>
      <c r="V75" s="1743"/>
      <c r="W75" s="1743"/>
      <c r="X75" s="1743"/>
      <c r="Y75" s="1743"/>
      <c r="Z75" s="1743"/>
      <c r="AA75" s="1743"/>
      <c r="AB75" s="1743"/>
      <c r="AC75" s="1743"/>
      <c r="AD75" s="1743"/>
      <c r="AE75" s="1743"/>
      <c r="AF75" s="1743"/>
      <c r="AG75" s="1743"/>
    </row>
    <row r="76" spans="17:33" s="1738" customFormat="1">
      <c r="Q76" s="1743"/>
      <c r="R76" s="1743"/>
      <c r="U76" s="1743"/>
      <c r="V76" s="1743"/>
      <c r="W76" s="1743"/>
      <c r="X76" s="1743"/>
      <c r="Y76" s="1743"/>
      <c r="Z76" s="1743"/>
      <c r="AA76" s="1743"/>
      <c r="AB76" s="1743"/>
      <c r="AC76" s="1743"/>
      <c r="AD76" s="1743"/>
      <c r="AE76" s="1743"/>
      <c r="AF76" s="1743"/>
      <c r="AG76" s="1743"/>
    </row>
    <row r="77" spans="17:33" s="1738" customFormat="1">
      <c r="Q77" s="1743"/>
      <c r="R77" s="1743"/>
      <c r="U77" s="1743"/>
      <c r="V77" s="1743"/>
      <c r="W77" s="1743"/>
      <c r="X77" s="1743"/>
      <c r="Y77" s="1743"/>
      <c r="Z77" s="1743"/>
      <c r="AA77" s="1743"/>
      <c r="AB77" s="1743"/>
      <c r="AC77" s="1743"/>
      <c r="AD77" s="1743"/>
      <c r="AE77" s="1743"/>
      <c r="AF77" s="1743"/>
      <c r="AG77" s="1743"/>
    </row>
    <row r="78" spans="17:33" s="1738" customFormat="1">
      <c r="Q78" s="1743"/>
      <c r="R78" s="1743"/>
      <c r="U78" s="1743"/>
      <c r="V78" s="1743"/>
      <c r="W78" s="1743"/>
      <c r="X78" s="1743"/>
      <c r="Y78" s="1743"/>
      <c r="Z78" s="1743"/>
      <c r="AA78" s="1743"/>
      <c r="AB78" s="1743"/>
      <c r="AC78" s="1743"/>
      <c r="AD78" s="1743"/>
      <c r="AE78" s="1743"/>
      <c r="AF78" s="1743"/>
      <c r="AG78" s="1743"/>
    </row>
    <row r="79" spans="17:33" s="1738" customFormat="1">
      <c r="Q79" s="1743"/>
      <c r="R79" s="1743"/>
      <c r="U79" s="1743"/>
      <c r="V79" s="1743"/>
      <c r="W79" s="1743"/>
      <c r="X79" s="1743"/>
      <c r="Y79" s="1743"/>
      <c r="Z79" s="1743"/>
      <c r="AA79" s="1743"/>
      <c r="AB79" s="1743"/>
      <c r="AC79" s="1743"/>
      <c r="AD79" s="1743"/>
      <c r="AE79" s="1743"/>
      <c r="AF79" s="1743"/>
      <c r="AG79" s="1743"/>
    </row>
    <row r="80" spans="17:33" s="1738" customFormat="1">
      <c r="Q80" s="1743"/>
      <c r="R80" s="1743"/>
      <c r="U80" s="1743"/>
      <c r="V80" s="1743"/>
      <c r="W80" s="1743"/>
      <c r="X80" s="1743"/>
      <c r="Y80" s="1743"/>
      <c r="Z80" s="1743"/>
      <c r="AA80" s="1743"/>
      <c r="AB80" s="1743"/>
      <c r="AC80" s="1743"/>
      <c r="AD80" s="1743"/>
      <c r="AE80" s="1743"/>
      <c r="AF80" s="1743"/>
      <c r="AG80" s="1743"/>
    </row>
    <row r="81" spans="2:33" s="1738" customFormat="1">
      <c r="Q81" s="1743"/>
      <c r="R81" s="1743"/>
      <c r="U81" s="1743"/>
      <c r="V81" s="1743"/>
      <c r="W81" s="1743"/>
      <c r="X81" s="1743"/>
      <c r="Y81" s="1743"/>
      <c r="Z81" s="1743"/>
      <c r="AA81" s="1743"/>
      <c r="AB81" s="1743"/>
      <c r="AC81" s="1743"/>
      <c r="AD81" s="1743"/>
      <c r="AE81" s="1743"/>
      <c r="AF81" s="1743"/>
      <c r="AG81" s="1743"/>
    </row>
    <row r="82" spans="2:33" s="1738" customFormat="1" ht="15.6">
      <c r="B82" s="2590" t="str">
        <f>B7</f>
        <v>4.1. Grassland systems</v>
      </c>
      <c r="C82" s="2649"/>
      <c r="D82" s="2649"/>
      <c r="E82" s="2649"/>
      <c r="F82" s="2649"/>
      <c r="G82" s="2649"/>
      <c r="H82" s="2649"/>
      <c r="I82" s="2649"/>
      <c r="J82" s="2649"/>
      <c r="K82" s="2649"/>
      <c r="L82" s="2649"/>
      <c r="M82" s="2649"/>
      <c r="N82" s="2649"/>
      <c r="O82" s="2649"/>
      <c r="P82" s="2649"/>
      <c r="Q82" s="2649"/>
      <c r="R82" s="2649"/>
      <c r="S82" s="2649"/>
      <c r="T82" s="2649"/>
      <c r="U82" s="1743"/>
      <c r="V82" s="1743"/>
      <c r="W82" s="1743"/>
      <c r="X82" s="1743"/>
      <c r="Y82" s="1743"/>
      <c r="Z82" s="1743"/>
      <c r="AA82" s="1743"/>
      <c r="AB82" s="1743"/>
      <c r="AC82" s="1743"/>
      <c r="AD82" s="1743"/>
      <c r="AE82" s="1743"/>
      <c r="AF82" s="1743"/>
      <c r="AG82" s="1743"/>
    </row>
    <row r="83" spans="2:33" s="1738" customFormat="1">
      <c r="Q83" s="1743"/>
      <c r="R83" s="1743"/>
      <c r="U83" s="1743"/>
      <c r="V83" s="1743"/>
      <c r="W83" s="1743"/>
      <c r="X83" s="1743"/>
      <c r="Y83" s="1743"/>
      <c r="Z83" s="1743"/>
      <c r="AA83" s="1743"/>
      <c r="AB83" s="1743"/>
      <c r="AC83" s="1743"/>
      <c r="AD83" s="1743"/>
      <c r="AE83" s="1743"/>
      <c r="AF83" s="1743"/>
      <c r="AG83" s="1743"/>
    </row>
    <row r="84" spans="2:33" s="1738" customFormat="1">
      <c r="B84" s="1854"/>
      <c r="C84" s="1854"/>
      <c r="D84" s="1854"/>
      <c r="E84" s="1854"/>
      <c r="F84" s="1854"/>
      <c r="G84" s="1854"/>
      <c r="H84" s="1854"/>
      <c r="I84" s="1854"/>
      <c r="J84" s="1854"/>
      <c r="K84" s="1854"/>
      <c r="L84" s="1854"/>
      <c r="M84" s="1854"/>
      <c r="N84" s="1854"/>
      <c r="O84" s="1854"/>
      <c r="P84" s="1854"/>
      <c r="Q84" s="1854"/>
      <c r="R84" s="1854"/>
      <c r="S84" s="1854"/>
      <c r="T84" s="1854"/>
      <c r="U84" s="1743"/>
      <c r="V84" s="1743"/>
      <c r="W84" s="1743"/>
      <c r="X84" s="1743"/>
      <c r="Y84" s="1743"/>
      <c r="Z84" s="1743"/>
      <c r="AA84" s="1743"/>
      <c r="AB84" s="1743"/>
      <c r="AC84" s="1743"/>
      <c r="AD84" s="1743"/>
      <c r="AE84" s="1743"/>
      <c r="AF84" s="1743"/>
      <c r="AG84" s="1743"/>
    </row>
    <row r="85" spans="2:33" s="1738" customFormat="1">
      <c r="B85" s="1854"/>
      <c r="C85" s="1854"/>
      <c r="D85" s="1854"/>
      <c r="E85" s="1854"/>
      <c r="F85" s="1854"/>
      <c r="G85" s="1854"/>
      <c r="H85" s="1854"/>
      <c r="I85" s="1854"/>
      <c r="J85" s="1854"/>
      <c r="K85" s="1854"/>
      <c r="L85" s="1854"/>
      <c r="M85" s="1854"/>
      <c r="N85" s="1854"/>
      <c r="O85" s="1854"/>
      <c r="P85" s="1854"/>
      <c r="Q85" s="1854"/>
      <c r="R85" s="1854"/>
      <c r="S85" s="1854"/>
      <c r="T85" s="1854"/>
      <c r="U85" s="1743"/>
      <c r="V85" s="1743"/>
      <c r="W85" s="1743"/>
      <c r="X85" s="1743"/>
      <c r="Y85" s="1743"/>
      <c r="Z85" s="1743"/>
      <c r="AA85" s="1743"/>
      <c r="AB85" s="1743"/>
      <c r="AC85" s="1743"/>
      <c r="AD85" s="1743"/>
      <c r="AE85" s="1743"/>
      <c r="AF85" s="1743"/>
      <c r="AG85" s="1743"/>
    </row>
    <row r="86" spans="2:33" s="1738" customFormat="1">
      <c r="B86" s="1854"/>
      <c r="C86" s="1854"/>
      <c r="D86" s="1854"/>
      <c r="E86" s="1854"/>
      <c r="F86" s="1854"/>
      <c r="G86" s="1854"/>
      <c r="H86" s="1854"/>
      <c r="I86" s="1854"/>
      <c r="J86" s="1854"/>
      <c r="K86" s="1854"/>
      <c r="L86" s="1854"/>
      <c r="M86" s="1854"/>
      <c r="N86" s="1854"/>
      <c r="O86" s="1854"/>
      <c r="P86" s="1854"/>
      <c r="Q86" s="1854"/>
      <c r="R86" s="1854"/>
      <c r="S86" s="1854"/>
      <c r="T86" s="1854"/>
      <c r="U86" s="1743"/>
      <c r="V86" s="1743"/>
      <c r="W86" s="1743"/>
      <c r="X86" s="1743"/>
      <c r="Y86" s="1743"/>
      <c r="Z86" s="1743"/>
      <c r="AA86" s="1743"/>
      <c r="AB86" s="1743"/>
      <c r="AC86" s="1743"/>
      <c r="AD86" s="1743"/>
      <c r="AE86" s="1743"/>
      <c r="AF86" s="1743"/>
      <c r="AG86" s="1743"/>
    </row>
    <row r="87" spans="2:33" s="1738" customFormat="1">
      <c r="B87" s="2652" t="str">
        <f>'3.Cropland'!B122</f>
        <v>Use this part only if you want to refine the analysis with Tier 2 coefficients.</v>
      </c>
      <c r="C87" s="1854"/>
      <c r="D87" s="1854"/>
      <c r="E87" s="1854"/>
      <c r="F87" s="1854"/>
      <c r="G87" s="1854"/>
      <c r="H87" s="1854"/>
      <c r="I87" s="1854"/>
      <c r="J87" s="1854"/>
      <c r="K87" s="1854"/>
      <c r="L87" s="1854"/>
      <c r="M87" s="1854"/>
      <c r="N87" s="1854"/>
      <c r="O87" s="1854"/>
      <c r="P87" s="1854"/>
      <c r="Q87" s="1854"/>
      <c r="R87" s="1854"/>
      <c r="S87" s="1854"/>
      <c r="T87" s="1854"/>
      <c r="U87" s="1743"/>
      <c r="V87" s="1743"/>
      <c r="W87" s="1743"/>
      <c r="X87" s="1743"/>
      <c r="Y87" s="1743"/>
      <c r="Z87" s="1743"/>
      <c r="AA87" s="1743"/>
      <c r="AB87" s="1743"/>
      <c r="AC87" s="1743"/>
      <c r="AD87" s="1743"/>
      <c r="AE87" s="1743"/>
      <c r="AF87" s="1743"/>
      <c r="AG87" s="1743"/>
    </row>
    <row r="88" spans="2:33" s="1738" customFormat="1">
      <c r="B88" s="1854" t="str">
        <f>'3.Cropland'!B123</f>
        <v>(default values are provided for your information only, while EX-ACT will use Tier 2 values automatically wherever specified)</v>
      </c>
      <c r="C88" s="1854"/>
      <c r="D88" s="1854"/>
      <c r="E88" s="1854"/>
      <c r="F88" s="1854"/>
      <c r="G88" s="1854"/>
      <c r="H88" s="1854"/>
      <c r="I88" s="1854"/>
      <c r="J88" s="1854"/>
      <c r="K88" s="1854"/>
      <c r="L88" s="1854"/>
      <c r="M88" s="1854"/>
      <c r="N88" s="1854"/>
      <c r="O88" s="1854"/>
      <c r="P88" s="1854"/>
      <c r="Q88" s="1854"/>
      <c r="R88" s="1854"/>
      <c r="S88" s="1854"/>
      <c r="T88" s="1854"/>
      <c r="U88" s="1743"/>
      <c r="V88" s="1743"/>
      <c r="W88" s="1743"/>
      <c r="X88" s="1743"/>
      <c r="Y88" s="1743"/>
      <c r="Z88" s="1743"/>
      <c r="AA88" s="1743"/>
      <c r="AB88" s="1743"/>
      <c r="AC88" s="1743"/>
      <c r="AD88" s="1743"/>
      <c r="AE88" s="1743"/>
      <c r="AF88" s="1743"/>
      <c r="AG88" s="1743"/>
    </row>
    <row r="89" spans="2:33" s="1738" customFormat="1">
      <c r="U89" s="1743"/>
      <c r="V89" s="1743"/>
      <c r="W89" s="1743"/>
      <c r="X89" s="1743"/>
      <c r="Y89" s="1743"/>
      <c r="Z89" s="1743"/>
      <c r="AA89" s="1743"/>
      <c r="AB89" s="1743"/>
      <c r="AC89" s="1743"/>
      <c r="AD89" s="1743"/>
      <c r="AE89" s="1743"/>
      <c r="AF89" s="1743"/>
      <c r="AG89" s="1743"/>
    </row>
    <row r="90" spans="2:33" s="1738" customFormat="1">
      <c r="B90" s="2652" t="str">
        <f>HLOOKUP(select,translations!$A$145:$H$201,38,)</f>
        <v>Corresponding soil C stocks</v>
      </c>
      <c r="C90" s="1854"/>
      <c r="D90" s="1854"/>
      <c r="E90" s="3195" t="str">
        <f>HLOOKUP(select,translations!$A$145:$H$201,45,)</f>
        <v>(tC/ha)</v>
      </c>
      <c r="F90" s="3195"/>
      <c r="G90" s="3195"/>
      <c r="H90" s="1854"/>
      <c r="K90" s="2652" t="str">
        <f>'2.LUC'!E96</f>
        <v>Above-ground</v>
      </c>
      <c r="L90" s="1854"/>
      <c r="M90" s="1854"/>
      <c r="N90" s="2983" t="str">
        <f>'3.Cropland'!I127</f>
        <v>(t Dry Matter per ha)</v>
      </c>
      <c r="O90" s="2983"/>
      <c r="P90" s="1854"/>
      <c r="Q90" s="1854"/>
      <c r="R90" s="1854"/>
      <c r="S90" s="1854"/>
      <c r="T90" s="1854"/>
      <c r="U90" s="1743"/>
      <c r="V90" s="1743"/>
      <c r="W90" s="1743"/>
      <c r="X90" s="1743"/>
      <c r="Y90" s="1743"/>
      <c r="Z90" s="1743"/>
      <c r="AA90" s="1743"/>
      <c r="AB90" s="1743"/>
      <c r="AC90" s="1743"/>
      <c r="AD90" s="1743"/>
      <c r="AE90" s="1743"/>
      <c r="AF90" s="1743"/>
      <c r="AG90" s="1743"/>
    </row>
    <row r="91" spans="2:33" s="1738" customFormat="1">
      <c r="B91" s="1854"/>
      <c r="C91" s="1854"/>
      <c r="D91" s="1854"/>
      <c r="E91" s="1855" t="str">
        <f>'3.Cropland'!E128</f>
        <v>Default</v>
      </c>
      <c r="F91" s="1854"/>
      <c r="G91" s="1855" t="str">
        <f>'3.Cropland'!F128</f>
        <v>Tier 2</v>
      </c>
      <c r="H91" s="1854"/>
      <c r="K91" s="2650"/>
      <c r="L91" s="1854"/>
      <c r="M91" s="1854"/>
      <c r="N91" s="1855" t="str">
        <f>E91</f>
        <v>Default</v>
      </c>
      <c r="O91" s="2954" t="str">
        <f>G91</f>
        <v>Tier 2</v>
      </c>
      <c r="P91" s="1854"/>
      <c r="Q91" s="1854"/>
      <c r="R91" s="1854"/>
      <c r="S91" s="1854"/>
      <c r="T91" s="1854"/>
      <c r="U91" s="1743"/>
      <c r="V91" s="1743"/>
      <c r="W91" s="1743"/>
      <c r="X91" s="1743"/>
      <c r="Y91" s="1743"/>
      <c r="Z91" s="1743"/>
      <c r="AA91" s="1743"/>
      <c r="AB91" s="1743"/>
      <c r="AC91" s="1743"/>
      <c r="AD91" s="1743"/>
      <c r="AE91" s="1743"/>
      <c r="AF91" s="1743"/>
      <c r="AG91" s="1743"/>
    </row>
    <row r="92" spans="2:33" s="1738" customFormat="1">
      <c r="B92" s="2954" t="str">
        <f>HLOOKUP(select,translations!$A$145:$H$201,39,)</f>
        <v>Non degraded</v>
      </c>
      <c r="C92" s="1854"/>
      <c r="D92" s="1854"/>
      <c r="E92" s="2651">
        <f>VLOOKUP(clim_full,' IPCC'!$A$569:$I$581,1+MATCH(soil,soil_type,),)</f>
        <v>0</v>
      </c>
      <c r="F92" s="1854"/>
      <c r="G92" s="2638"/>
      <c r="H92" s="1854"/>
      <c r="K92" s="1854"/>
      <c r="L92" s="1854"/>
      <c r="M92" s="1854"/>
      <c r="N92" s="1855">
        <f>VLOOKUP(clim_full,' IPCC'!A648:B659,2,)</f>
        <v>0</v>
      </c>
      <c r="O92" s="2638"/>
      <c r="P92" s="1854"/>
      <c r="Q92" s="1854"/>
      <c r="R92" s="1854"/>
      <c r="S92" s="1854"/>
      <c r="T92" s="1854"/>
      <c r="U92" s="1743"/>
      <c r="V92" s="1743"/>
      <c r="W92" s="1743"/>
      <c r="X92" s="1743"/>
      <c r="Y92" s="1743"/>
      <c r="Z92" s="1743"/>
      <c r="AA92" s="1743"/>
      <c r="AB92" s="1743"/>
      <c r="AC92" s="1743"/>
      <c r="AD92" s="1743"/>
      <c r="AE92" s="1743"/>
      <c r="AF92" s="1743"/>
      <c r="AG92" s="1743"/>
    </row>
    <row r="93" spans="2:33" s="1738" customFormat="1">
      <c r="B93" s="2954" t="str">
        <f>HLOOKUP(select,translations!$A$145:$H$201,40,)</f>
        <v>Severely Degraded</v>
      </c>
      <c r="C93" s="1854"/>
      <c r="D93" s="1854"/>
      <c r="E93" s="2651">
        <f>VLOOKUP(clim_full,' IPCC'!$A$569:$I$581,1+MATCH(soil,soil_type,),)*0.7</f>
        <v>0</v>
      </c>
      <c r="F93" s="1854"/>
      <c r="G93" s="2638"/>
      <c r="H93" s="1854"/>
      <c r="U93" s="1743"/>
      <c r="V93" s="1743"/>
      <c r="W93" s="1743"/>
      <c r="X93" s="1743"/>
      <c r="Y93" s="1743"/>
      <c r="Z93" s="1743"/>
      <c r="AA93" s="1743"/>
      <c r="AB93" s="1743"/>
      <c r="AC93" s="1743"/>
      <c r="AD93" s="1743"/>
      <c r="AE93" s="1743"/>
      <c r="AF93" s="1743"/>
      <c r="AG93" s="1743"/>
    </row>
    <row r="94" spans="2:33" s="1738" customFormat="1">
      <c r="B94" s="2954" t="str">
        <f>HLOOKUP(select,translations!$A$145:$H$201,41,)</f>
        <v>Moderately Degraded</v>
      </c>
      <c r="C94" s="1854"/>
      <c r="D94" s="1854"/>
      <c r="E94" s="2651">
        <f>VLOOKUP(clim_full,' IPCC'!$A$569:$I$581,1+MATCH(soil,soil_type,),)*VLOOKUP(clim_full,' IPCC'!$A$633:$D$644,4,)</f>
        <v>0</v>
      </c>
      <c r="F94" s="1854"/>
      <c r="G94" s="2638"/>
      <c r="H94" s="1854"/>
      <c r="K94" s="2652" t="str">
        <f>HLOOKUP(select,translations!$A$145:$H$201,44,)</f>
        <v>Combustion</v>
      </c>
      <c r="L94" s="1855"/>
      <c r="M94" s="1854"/>
      <c r="N94" s="3195" t="s">
        <v>96</v>
      </c>
      <c r="O94" s="3195"/>
      <c r="P94" s="1854"/>
      <c r="Q94" s="1854"/>
      <c r="R94" s="1854"/>
      <c r="S94" s="1854"/>
      <c r="T94" s="1854"/>
      <c r="U94" s="1743"/>
      <c r="V94" s="1743"/>
      <c r="W94" s="1743"/>
      <c r="X94" s="1743"/>
      <c r="Y94" s="1743"/>
      <c r="Z94" s="1743"/>
      <c r="AA94" s="1743"/>
      <c r="AB94" s="1743"/>
      <c r="AC94" s="1743"/>
      <c r="AD94" s="1743"/>
      <c r="AE94" s="1743"/>
      <c r="AF94" s="1743"/>
      <c r="AG94" s="1743"/>
    </row>
    <row r="95" spans="2:33" s="1738" customFormat="1">
      <c r="B95" s="2954" t="str">
        <f>HLOOKUP(select,translations!$A$145:$H$201,42,)</f>
        <v>Improved without inputs management</v>
      </c>
      <c r="C95" s="1854"/>
      <c r="D95" s="1854"/>
      <c r="E95" s="2651">
        <f>VLOOKUP(clim_full,' IPCC'!$A$569:$I$581,1+MATCH(soil,soil_type,),)*VLOOKUP(clim_full,' IPCC'!$A$633:$E$644,5,)</f>
        <v>0</v>
      </c>
      <c r="F95" s="1854"/>
      <c r="G95" s="2638"/>
      <c r="H95" s="1854"/>
      <c r="K95" s="3205" t="str">
        <f>HLOOKUP(select,translations!$A$145:$H$201,45,)</f>
        <v>(tC/ha)</v>
      </c>
      <c r="L95" s="3205"/>
      <c r="M95" s="1855"/>
      <c r="N95" s="1855" t="str">
        <f>N91</f>
        <v>Default</v>
      </c>
      <c r="O95" s="2954" t="str">
        <f>O91</f>
        <v>Tier 2</v>
      </c>
      <c r="P95" s="1854"/>
      <c r="Q95" s="1854"/>
      <c r="R95" s="1854"/>
      <c r="S95" s="1854"/>
      <c r="T95" s="1854"/>
      <c r="U95" s="1743"/>
      <c r="V95" s="1743"/>
      <c r="W95" s="1743"/>
      <c r="X95" s="1743"/>
      <c r="Y95" s="1743"/>
      <c r="Z95" s="1743"/>
      <c r="AA95" s="1743"/>
      <c r="AB95" s="1743"/>
      <c r="AC95" s="1743"/>
      <c r="AD95" s="1743"/>
      <c r="AE95" s="1743"/>
      <c r="AF95" s="1743"/>
      <c r="AG95" s="1743"/>
    </row>
    <row r="96" spans="2:33" s="1738" customFormat="1">
      <c r="B96" s="2954" t="str">
        <f>HLOOKUP(select,translations!$A$145:$H$201,43,)</f>
        <v>Improved with inputs improvement</v>
      </c>
      <c r="C96" s="1854"/>
      <c r="D96" s="1854"/>
      <c r="E96" s="2651">
        <f>E95*1.11</f>
        <v>0</v>
      </c>
      <c r="F96" s="1854"/>
      <c r="G96" s="2638"/>
      <c r="H96" s="1854"/>
      <c r="K96" s="3205"/>
      <c r="L96" s="3205"/>
      <c r="M96" s="1855"/>
      <c r="N96" s="2653">
        <v>0.77</v>
      </c>
      <c r="O96" s="2319"/>
      <c r="P96" s="1854"/>
      <c r="Q96" s="1854"/>
      <c r="R96" s="1854"/>
      <c r="S96" s="1854"/>
      <c r="T96" s="1854"/>
      <c r="U96" s="1743"/>
      <c r="V96" s="1743"/>
      <c r="W96" s="1743"/>
      <c r="X96" s="1743"/>
      <c r="Y96" s="1743"/>
      <c r="Z96" s="1743"/>
      <c r="AA96" s="1743"/>
      <c r="AB96" s="1743"/>
      <c r="AC96" s="1743"/>
      <c r="AD96" s="1743"/>
      <c r="AE96" s="1743"/>
      <c r="AF96" s="1743"/>
      <c r="AG96" s="1743"/>
    </row>
    <row r="97" spans="17:33" s="1738" customFormat="1">
      <c r="Q97" s="1743"/>
      <c r="R97" s="1743"/>
      <c r="U97" s="1743"/>
      <c r="V97" s="1743"/>
      <c r="W97" s="1743"/>
      <c r="X97" s="1743"/>
      <c r="Y97" s="1743"/>
      <c r="Z97" s="1743"/>
      <c r="AA97" s="1743"/>
      <c r="AB97" s="1743"/>
      <c r="AC97" s="1743"/>
      <c r="AD97" s="1743"/>
      <c r="AE97" s="1743"/>
      <c r="AF97" s="1743"/>
      <c r="AG97" s="1743"/>
    </row>
    <row r="98" spans="17:33" s="1738" customFormat="1">
      <c r="Q98" s="1743"/>
      <c r="R98" s="1743"/>
      <c r="U98" s="1743"/>
      <c r="V98" s="1743"/>
      <c r="W98" s="1743"/>
      <c r="X98" s="1743"/>
      <c r="Y98" s="1743"/>
      <c r="Z98" s="1743"/>
      <c r="AA98" s="1743"/>
      <c r="AB98" s="1743"/>
      <c r="AC98" s="1743"/>
      <c r="AD98" s="1743"/>
      <c r="AE98" s="1743"/>
      <c r="AF98" s="1743"/>
      <c r="AG98" s="1743"/>
    </row>
    <row r="99" spans="17:33" s="1738" customFormat="1">
      <c r="Q99" s="1743"/>
      <c r="R99" s="1743"/>
      <c r="U99" s="1743"/>
      <c r="V99" s="1743"/>
      <c r="W99" s="1743"/>
      <c r="X99" s="1743"/>
      <c r="Y99" s="1743"/>
      <c r="Z99" s="1743"/>
      <c r="AA99" s="1743"/>
      <c r="AB99" s="1743"/>
      <c r="AC99" s="1743"/>
      <c r="AD99" s="1743"/>
      <c r="AE99" s="1743"/>
      <c r="AF99" s="1743"/>
      <c r="AG99" s="1743"/>
    </row>
    <row r="100" spans="17:33" s="1738" customFormat="1">
      <c r="Q100" s="1743"/>
      <c r="R100" s="1743"/>
      <c r="U100" s="1743"/>
      <c r="V100" s="1743"/>
      <c r="W100" s="1743"/>
      <c r="X100" s="1743"/>
      <c r="Y100" s="1743"/>
      <c r="Z100" s="1743"/>
      <c r="AA100" s="1743"/>
      <c r="AB100" s="1743"/>
      <c r="AC100" s="1743"/>
      <c r="AD100" s="1743"/>
      <c r="AE100" s="1743"/>
      <c r="AF100" s="1743"/>
      <c r="AG100" s="1743"/>
    </row>
    <row r="101" spans="17:33" s="1738" customFormat="1">
      <c r="Q101" s="1743"/>
      <c r="R101" s="1743"/>
      <c r="U101" s="1743"/>
      <c r="V101" s="1743"/>
      <c r="W101" s="1743"/>
      <c r="X101" s="1743"/>
      <c r="Y101" s="1743"/>
      <c r="Z101" s="1743"/>
      <c r="AA101" s="1743"/>
      <c r="AB101" s="1743"/>
      <c r="AC101" s="1743"/>
      <c r="AD101" s="1743"/>
      <c r="AE101" s="1743"/>
      <c r="AF101" s="1743"/>
      <c r="AG101" s="1743"/>
    </row>
    <row r="102" spans="17:33" s="1738" customFormat="1">
      <c r="Q102" s="1743"/>
      <c r="R102" s="1743"/>
      <c r="U102" s="1743"/>
      <c r="V102" s="1743"/>
      <c r="W102" s="1743"/>
      <c r="X102" s="1743"/>
      <c r="Y102" s="1743"/>
      <c r="Z102" s="1743"/>
      <c r="AA102" s="1743"/>
      <c r="AB102" s="1743"/>
      <c r="AC102" s="1743"/>
      <c r="AD102" s="1743"/>
      <c r="AE102" s="1743"/>
      <c r="AF102" s="1743"/>
      <c r="AG102" s="1743"/>
    </row>
    <row r="103" spans="17:33" s="1738" customFormat="1">
      <c r="Q103" s="1743"/>
      <c r="R103" s="1743"/>
      <c r="U103" s="1743"/>
      <c r="V103" s="1743"/>
      <c r="W103" s="1743"/>
      <c r="X103" s="1743"/>
      <c r="Y103" s="1743"/>
      <c r="Z103" s="1743"/>
      <c r="AA103" s="1743"/>
      <c r="AB103" s="1743"/>
      <c r="AC103" s="1743"/>
      <c r="AD103" s="1743"/>
      <c r="AE103" s="1743"/>
      <c r="AF103" s="1743"/>
      <c r="AG103" s="1743"/>
    </row>
    <row r="104" spans="17:33" s="1738" customFormat="1">
      <c r="Q104" s="1743"/>
      <c r="R104" s="1743"/>
      <c r="U104" s="1743"/>
      <c r="V104" s="1743"/>
      <c r="W104" s="1743"/>
      <c r="X104" s="1743"/>
      <c r="Y104" s="1743"/>
      <c r="Z104" s="1743"/>
      <c r="AA104" s="1743"/>
      <c r="AB104" s="1743"/>
      <c r="AC104" s="1743"/>
      <c r="AD104" s="1743"/>
      <c r="AE104" s="1743"/>
      <c r="AF104" s="1743"/>
      <c r="AG104" s="1743"/>
    </row>
    <row r="105" spans="17:33" s="1738" customFormat="1">
      <c r="Q105" s="1743"/>
      <c r="R105" s="1743"/>
      <c r="U105" s="1743"/>
      <c r="V105" s="1743"/>
      <c r="W105" s="1743"/>
      <c r="X105" s="1743"/>
      <c r="Y105" s="1743"/>
      <c r="Z105" s="1743"/>
      <c r="AA105" s="1743"/>
      <c r="AB105" s="1743"/>
      <c r="AC105" s="1743"/>
      <c r="AD105" s="1743"/>
      <c r="AE105" s="1743"/>
      <c r="AF105" s="1743"/>
      <c r="AG105" s="1743"/>
    </row>
    <row r="106" spans="17:33" s="1738" customFormat="1">
      <c r="Q106" s="1743"/>
      <c r="R106" s="1743"/>
      <c r="U106" s="1743"/>
      <c r="V106" s="1743"/>
      <c r="W106" s="1743"/>
      <c r="X106" s="1743"/>
      <c r="Y106" s="1743"/>
      <c r="Z106" s="1743"/>
      <c r="AA106" s="1743"/>
      <c r="AB106" s="1743"/>
      <c r="AC106" s="1743"/>
      <c r="AD106" s="1743"/>
      <c r="AE106" s="1743"/>
      <c r="AF106" s="1743"/>
      <c r="AG106" s="1743"/>
    </row>
    <row r="107" spans="17:33" s="1738" customFormat="1">
      <c r="Q107" s="1743"/>
      <c r="R107" s="1743"/>
      <c r="U107" s="1743"/>
      <c r="V107" s="1743"/>
      <c r="W107" s="1743"/>
      <c r="X107" s="1743"/>
      <c r="Y107" s="1743"/>
      <c r="Z107" s="1743"/>
      <c r="AA107" s="1743"/>
      <c r="AB107" s="1743"/>
      <c r="AC107" s="1743"/>
      <c r="AD107" s="1743"/>
      <c r="AE107" s="1743"/>
      <c r="AF107" s="1743"/>
      <c r="AG107" s="1743"/>
    </row>
    <row r="108" spans="17:33" s="1738" customFormat="1">
      <c r="Q108" s="1743"/>
      <c r="R108" s="1743"/>
      <c r="U108" s="1743"/>
      <c r="V108" s="1743"/>
      <c r="W108" s="1743"/>
      <c r="X108" s="1743"/>
      <c r="Y108" s="1743"/>
      <c r="Z108" s="1743"/>
      <c r="AA108" s="1743"/>
      <c r="AB108" s="1743"/>
      <c r="AC108" s="1743"/>
      <c r="AD108" s="1743"/>
      <c r="AE108" s="1743"/>
      <c r="AF108" s="1743"/>
      <c r="AG108" s="1743"/>
    </row>
    <row r="109" spans="17:33" s="1738" customFormat="1">
      <c r="Q109" s="1743"/>
      <c r="R109" s="1743"/>
      <c r="U109" s="1743"/>
      <c r="V109" s="1743"/>
      <c r="W109" s="1743"/>
      <c r="X109" s="1743"/>
      <c r="Y109" s="1743"/>
      <c r="Z109" s="1743"/>
      <c r="AA109" s="1743"/>
      <c r="AB109" s="1743"/>
      <c r="AC109" s="1743"/>
      <c r="AD109" s="1743"/>
      <c r="AE109" s="1743"/>
      <c r="AF109" s="1743"/>
      <c r="AG109" s="1743"/>
    </row>
    <row r="110" spans="17:33" s="1738" customFormat="1">
      <c r="Q110" s="1743"/>
      <c r="R110" s="1743"/>
      <c r="U110" s="1743"/>
      <c r="V110" s="1743"/>
      <c r="W110" s="1743"/>
      <c r="X110" s="1743"/>
      <c r="Y110" s="1743"/>
      <c r="Z110" s="1743"/>
      <c r="AA110" s="1743"/>
      <c r="AB110" s="1743"/>
      <c r="AC110" s="1743"/>
      <c r="AD110" s="1743"/>
      <c r="AE110" s="1743"/>
      <c r="AF110" s="1743"/>
      <c r="AG110" s="1743"/>
    </row>
    <row r="111" spans="17:33" s="1738" customFormat="1">
      <c r="Q111" s="1743"/>
      <c r="R111" s="1743"/>
      <c r="U111" s="1743"/>
      <c r="V111" s="1743"/>
      <c r="W111" s="1743"/>
      <c r="X111" s="1743"/>
      <c r="Y111" s="1743"/>
      <c r="Z111" s="1743"/>
      <c r="AA111" s="1743"/>
      <c r="AB111" s="1743"/>
      <c r="AC111" s="1743"/>
      <c r="AD111" s="1743"/>
      <c r="AE111" s="1743"/>
      <c r="AF111" s="1743"/>
      <c r="AG111" s="1743"/>
    </row>
    <row r="112" spans="17:33" s="1738" customFormat="1">
      <c r="Q112" s="1743"/>
      <c r="R112" s="1743"/>
      <c r="U112" s="1743"/>
      <c r="V112" s="1743"/>
      <c r="W112" s="1743"/>
      <c r="X112" s="1743"/>
      <c r="Y112" s="1743"/>
      <c r="Z112" s="1743"/>
      <c r="AA112" s="1743"/>
      <c r="AB112" s="1743"/>
      <c r="AC112" s="1743"/>
      <c r="AD112" s="1743"/>
      <c r="AE112" s="1743"/>
      <c r="AF112" s="1743"/>
      <c r="AG112" s="1743"/>
    </row>
    <row r="113" spans="2:33" s="1738" customFormat="1" ht="15.6">
      <c r="B113" s="2588" t="str">
        <f>B40</f>
        <v>4.2. Livestock (and manure management)</v>
      </c>
      <c r="C113" s="2588"/>
      <c r="D113" s="2593"/>
      <c r="E113" s="2593"/>
      <c r="F113" s="2593"/>
      <c r="G113" s="2593"/>
      <c r="H113" s="2593"/>
      <c r="I113" s="2593"/>
      <c r="J113" s="2593"/>
      <c r="K113" s="2593"/>
      <c r="L113" s="2593"/>
      <c r="M113" s="2593"/>
      <c r="N113" s="2593"/>
      <c r="O113" s="2593"/>
      <c r="P113" s="2593"/>
      <c r="Q113" s="2593"/>
      <c r="R113" s="2593"/>
      <c r="S113" s="2593"/>
      <c r="T113" s="2593"/>
      <c r="U113" s="2593"/>
      <c r="V113" s="1743"/>
      <c r="W113" s="1743"/>
      <c r="X113" s="1743"/>
      <c r="Y113" s="1743"/>
      <c r="Z113" s="1743"/>
      <c r="AA113" s="1743"/>
      <c r="AB113" s="1743"/>
      <c r="AC113" s="1743"/>
      <c r="AD113" s="1743"/>
      <c r="AE113" s="1743"/>
      <c r="AF113" s="1743"/>
      <c r="AG113" s="1743"/>
    </row>
    <row r="114" spans="2:33" s="1738" customFormat="1">
      <c r="U114" s="1743"/>
      <c r="V114" s="1743"/>
      <c r="W114" s="1743"/>
      <c r="X114" s="1743"/>
      <c r="Y114" s="1743"/>
      <c r="Z114" s="1743"/>
      <c r="AA114" s="1743"/>
      <c r="AB114" s="1743"/>
      <c r="AC114" s="1743"/>
      <c r="AD114" s="1743"/>
      <c r="AE114" s="1743"/>
      <c r="AF114" s="1743"/>
      <c r="AG114" s="1743"/>
    </row>
    <row r="115" spans="2:33" s="1738" customFormat="1">
      <c r="B115" s="2193"/>
      <c r="C115" s="2193"/>
      <c r="D115" s="2194"/>
      <c r="E115" s="2193"/>
      <c r="F115" s="2193"/>
      <c r="G115" s="2193"/>
      <c r="H115" s="2193"/>
      <c r="I115" s="2193"/>
      <c r="J115" s="2193"/>
      <c r="K115" s="2193"/>
      <c r="L115" s="2193"/>
      <c r="M115" s="2193"/>
      <c r="N115" s="2193"/>
      <c r="O115" s="2193"/>
      <c r="P115" s="2193"/>
      <c r="Q115" s="2193"/>
      <c r="R115" s="2193"/>
      <c r="S115" s="2193"/>
      <c r="T115" s="2193"/>
      <c r="U115" s="2193"/>
      <c r="V115" s="1743"/>
      <c r="W115" s="1743"/>
      <c r="X115" s="1743"/>
      <c r="Y115" s="1743"/>
      <c r="Z115" s="1743"/>
      <c r="AA115" s="1743"/>
      <c r="AB115" s="1743"/>
      <c r="AC115" s="1743"/>
      <c r="AD115" s="1743"/>
      <c r="AE115" s="1743"/>
      <c r="AF115" s="1743"/>
      <c r="AG115" s="1743"/>
    </row>
    <row r="116" spans="2:33" s="1738" customFormat="1">
      <c r="B116" s="2193"/>
      <c r="C116" s="2193"/>
      <c r="D116" s="2193"/>
      <c r="E116" s="2193"/>
      <c r="F116" s="2193"/>
      <c r="G116" s="2193"/>
      <c r="H116" s="2193"/>
      <c r="I116" s="2193"/>
      <c r="J116" s="2193"/>
      <c r="K116" s="2193"/>
      <c r="L116" s="2193"/>
      <c r="M116" s="2193"/>
      <c r="N116" s="2193"/>
      <c r="O116" s="2193"/>
      <c r="P116" s="2193"/>
      <c r="Q116" s="2193"/>
      <c r="R116" s="2193"/>
      <c r="S116" s="2193"/>
      <c r="T116" s="2193"/>
      <c r="U116" s="2193"/>
      <c r="V116" s="1743"/>
      <c r="W116" s="1743"/>
      <c r="X116" s="1743"/>
      <c r="Y116" s="1743"/>
      <c r="Z116" s="1743"/>
      <c r="AA116" s="1743"/>
      <c r="AB116" s="1743"/>
      <c r="AC116" s="1743"/>
      <c r="AD116" s="1743"/>
      <c r="AE116" s="1743"/>
      <c r="AF116" s="1743"/>
      <c r="AG116" s="1743"/>
    </row>
    <row r="117" spans="2:33" s="1738" customFormat="1">
      <c r="B117" s="2193"/>
      <c r="C117" s="2193"/>
      <c r="D117" s="2193"/>
      <c r="E117" s="2193"/>
      <c r="F117" s="2193"/>
      <c r="G117" s="2193"/>
      <c r="H117" s="2193"/>
      <c r="I117" s="2193"/>
      <c r="J117" s="2193"/>
      <c r="K117" s="2193"/>
      <c r="L117" s="2193"/>
      <c r="M117" s="2193"/>
      <c r="N117" s="2193"/>
      <c r="O117" s="2193"/>
      <c r="P117" s="2193"/>
      <c r="Q117" s="2193"/>
      <c r="R117" s="2193"/>
      <c r="S117" s="2193"/>
      <c r="T117" s="2193"/>
      <c r="U117" s="2193"/>
      <c r="V117" s="1743"/>
      <c r="W117" s="1743"/>
      <c r="X117" s="1743"/>
      <c r="Y117" s="1743"/>
      <c r="Z117" s="1743"/>
      <c r="AA117" s="1743"/>
      <c r="AB117" s="1743"/>
      <c r="AC117" s="1743"/>
      <c r="AD117" s="1743"/>
      <c r="AE117" s="1743"/>
      <c r="AF117" s="1743"/>
      <c r="AG117" s="1743"/>
    </row>
    <row r="118" spans="2:33" s="1738" customFormat="1">
      <c r="B118" s="2198" t="str">
        <f>B87</f>
        <v>Use this part only if you want to refine the analysis with Tier 2 coefficients.</v>
      </c>
      <c r="C118" s="2177"/>
      <c r="D118" s="2168"/>
      <c r="E118" s="2178"/>
      <c r="F118" s="2178"/>
      <c r="G118" s="2168"/>
      <c r="H118" s="2168"/>
      <c r="I118" s="2168"/>
      <c r="J118" s="2168"/>
      <c r="K118" s="2193"/>
      <c r="L118" s="2193"/>
      <c r="M118" s="2193"/>
      <c r="N118" s="2193"/>
      <c r="O118" s="2193"/>
      <c r="P118" s="2193"/>
      <c r="Q118" s="2193"/>
      <c r="R118" s="2193"/>
      <c r="S118" s="2193"/>
      <c r="T118" s="2193"/>
      <c r="U118" s="2193"/>
      <c r="V118" s="1743"/>
      <c r="W118" s="1743"/>
      <c r="X118" s="1743"/>
      <c r="Y118" s="1743"/>
      <c r="Z118" s="1743"/>
      <c r="AA118" s="1743"/>
      <c r="AB118" s="1743"/>
      <c r="AC118" s="1743"/>
      <c r="AD118" s="1743"/>
      <c r="AE118" s="1743"/>
      <c r="AF118" s="1743"/>
      <c r="AG118" s="1743"/>
    </row>
    <row r="119" spans="2:33" s="1738" customFormat="1">
      <c r="B119" s="2866" t="str">
        <f>B88</f>
        <v>(default values are provided for your information only, while EX-ACT will use Tier 2 values automatically wherever specified)</v>
      </c>
      <c r="C119" s="2177"/>
      <c r="D119" s="2168"/>
      <c r="E119" s="2168"/>
      <c r="F119" s="2168"/>
      <c r="G119" s="2168"/>
      <c r="H119" s="2168"/>
      <c r="I119" s="2168"/>
      <c r="J119" s="2168"/>
      <c r="K119" s="2193"/>
      <c r="L119" s="2193"/>
      <c r="M119" s="2193"/>
      <c r="N119" s="2193"/>
      <c r="O119" s="2193"/>
      <c r="P119" s="2193"/>
      <c r="Q119" s="2193"/>
      <c r="R119" s="2193"/>
      <c r="S119" s="2193"/>
      <c r="T119" s="2193"/>
      <c r="U119" s="2193"/>
      <c r="V119" s="1743"/>
      <c r="W119" s="1743"/>
      <c r="X119" s="1743"/>
      <c r="Y119" s="1743"/>
      <c r="Z119" s="1743"/>
      <c r="AA119" s="1743"/>
      <c r="AB119" s="1743"/>
      <c r="AC119" s="1743"/>
      <c r="AD119" s="1743"/>
      <c r="AE119" s="1743"/>
      <c r="AF119" s="1743"/>
      <c r="AG119" s="1743"/>
    </row>
    <row r="120" spans="2:33" s="1738" customFormat="1">
      <c r="B120" s="1743"/>
      <c r="C120" s="1743"/>
      <c r="D120" s="1743"/>
      <c r="E120" s="1743"/>
      <c r="F120" s="1743"/>
      <c r="G120" s="1743"/>
      <c r="H120" s="1743"/>
      <c r="I120" s="1743"/>
      <c r="J120" s="1743"/>
      <c r="K120" s="1743"/>
      <c r="L120" s="1743"/>
      <c r="M120" s="1743"/>
      <c r="N120" s="1743"/>
      <c r="O120" s="1743"/>
      <c r="P120" s="1743"/>
      <c r="Q120" s="1743"/>
      <c r="R120" s="1743"/>
      <c r="U120" s="1743"/>
      <c r="V120" s="1743"/>
      <c r="W120" s="1743"/>
      <c r="X120" s="1743"/>
      <c r="Y120" s="1743"/>
      <c r="Z120" s="1743"/>
      <c r="AA120" s="1743"/>
      <c r="AB120" s="1743"/>
      <c r="AC120" s="1743"/>
      <c r="AD120" s="1743"/>
      <c r="AE120" s="1743"/>
      <c r="AF120" s="1743"/>
      <c r="AG120" s="1743"/>
    </row>
    <row r="121" spans="2:33" s="1738" customFormat="1">
      <c r="B121" s="2867" t="str">
        <f>HLOOKUP(select,translations!$A$145:$H$201,47,)</f>
        <v>Mean annual temperature (MAT) of the region (in °C)</v>
      </c>
      <c r="C121" s="2194"/>
      <c r="D121" s="2194"/>
      <c r="E121" s="2194"/>
      <c r="F121" s="2194"/>
      <c r="G121" s="2194"/>
      <c r="H121" s="2210" t="str">
        <f>HLOOKUP(select,translations!$A$145:$H$201,49,)</f>
        <v>Region "type"</v>
      </c>
      <c r="I121" s="2196"/>
      <c r="J121" s="2195"/>
      <c r="K121" s="2336"/>
      <c r="L121" s="2336"/>
      <c r="M121" s="2336"/>
      <c r="N121" s="2210" t="str">
        <f>HLOOKUP(select,translations!$A$145:$H$201,51,)</f>
        <v>Emission factors for N2O from manure</v>
      </c>
      <c r="O121" s="2196"/>
      <c r="P121" s="2196"/>
      <c r="Q121" s="2196"/>
      <c r="R121" s="2196"/>
      <c r="S121" s="2196"/>
      <c r="T121" s="2196"/>
      <c r="U121" s="2196"/>
      <c r="V121" s="1743"/>
      <c r="W121" s="1743"/>
      <c r="X121" s="1743"/>
      <c r="Y121" s="1743"/>
      <c r="Z121" s="1743"/>
      <c r="AA121" s="1743"/>
      <c r="AB121" s="1743"/>
      <c r="AC121" s="1743"/>
      <c r="AD121" s="1743"/>
      <c r="AE121" s="1743"/>
      <c r="AF121" s="1743"/>
      <c r="AG121" s="1743"/>
    </row>
    <row r="122" spans="2:33" s="1738" customFormat="1">
      <c r="B122" s="2334" t="str">
        <f>HLOOKUP(select,translations!$A$145:$H$201,48,)</f>
        <v>(temperature affect emissions from manure management)</v>
      </c>
      <c r="C122" s="2193"/>
      <c r="D122" s="2193"/>
      <c r="E122" s="2193"/>
      <c r="F122" s="2193"/>
      <c r="G122" s="2193"/>
      <c r="H122" s="2337" t="str">
        <f>HLOOKUP(select,translations!$A$145:$H$201,50,)</f>
        <v>(please select if possible)</v>
      </c>
      <c r="I122" s="2336"/>
      <c r="J122" s="2195"/>
      <c r="K122" s="2336"/>
      <c r="L122" s="2336"/>
      <c r="M122" s="2336"/>
      <c r="N122" s="2337" t="str">
        <f>HLOOKUP(select,translations!$A$145:$H$201,52,)</f>
        <v>(kg N-N2O/kg N)</v>
      </c>
      <c r="O122" s="2336"/>
      <c r="P122" s="2336"/>
      <c r="Q122" s="2336"/>
      <c r="R122" s="2337" t="str">
        <f>B123</f>
        <v>Default</v>
      </c>
      <c r="S122" s="2336"/>
      <c r="T122" s="2200" t="str">
        <f>C123</f>
        <v>Tier 2</v>
      </c>
      <c r="U122" s="2336"/>
      <c r="V122" s="1743"/>
      <c r="W122" s="1743"/>
      <c r="X122" s="1743"/>
      <c r="Y122" s="1743"/>
      <c r="Z122" s="1743"/>
      <c r="AA122" s="1743"/>
      <c r="AB122" s="1743"/>
      <c r="AC122" s="1743"/>
      <c r="AD122" s="1743"/>
      <c r="AE122" s="1743"/>
      <c r="AF122" s="1743"/>
      <c r="AG122" s="1743"/>
    </row>
    <row r="123" spans="2:33" s="1738" customFormat="1">
      <c r="B123" s="2331" t="str">
        <f>E91</f>
        <v>Default</v>
      </c>
      <c r="C123" s="2338" t="str">
        <f>G91</f>
        <v>Tier 2</v>
      </c>
      <c r="D123" s="2193"/>
      <c r="E123" s="2331"/>
      <c r="F123" s="2193"/>
      <c r="G123" s="2193"/>
      <c r="H123" s="3204" t="s">
        <v>6</v>
      </c>
      <c r="I123" s="3204"/>
      <c r="J123" s="3204"/>
      <c r="K123" s="3204"/>
      <c r="L123" s="2336"/>
      <c r="M123" s="2336"/>
      <c r="N123" s="2337" t="str">
        <f>HLOOKUP(select,translations!$A$145:$H$201,53,)</f>
        <v>Pasture, range and paddock</v>
      </c>
      <c r="O123" s="2336"/>
      <c r="P123" s="2336"/>
      <c r="Q123" s="2336"/>
      <c r="R123" s="2336">
        <f>Livestock!C57</f>
        <v>0.02</v>
      </c>
      <c r="S123" s="2336"/>
      <c r="T123" s="2370"/>
      <c r="U123" s="2336"/>
      <c r="V123" s="1743"/>
      <c r="W123" s="1743"/>
      <c r="X123" s="1743"/>
      <c r="Y123" s="1743"/>
      <c r="Z123" s="1743"/>
      <c r="AA123" s="1743"/>
      <c r="AB123" s="1743"/>
      <c r="AC123" s="1743"/>
      <c r="AD123" s="1743"/>
      <c r="AE123" s="1743"/>
      <c r="AF123" s="1743"/>
      <c r="AG123" s="1743"/>
    </row>
    <row r="124" spans="2:33" s="1738" customFormat="1">
      <c r="B124" s="2195">
        <f>Livestock!M26</f>
        <v>0</v>
      </c>
      <c r="C124" s="2283"/>
      <c r="D124" s="2339" t="str">
        <f>IF(C124="","",Livestock!H26)</f>
        <v/>
      </c>
      <c r="E124" s="2339"/>
      <c r="F124" s="2339"/>
      <c r="G124" s="2339"/>
      <c r="H124" s="2336"/>
      <c r="I124" s="2336"/>
      <c r="J124" s="2195"/>
      <c r="K124" s="2336"/>
      <c r="L124" s="2336"/>
      <c r="M124" s="2336"/>
      <c r="N124" s="2337" t="str">
        <f>HLOOKUP(select,translations!$A$145:$H$201,54,)</f>
        <v>Other</v>
      </c>
      <c r="O124" s="2336"/>
      <c r="P124" s="2336"/>
      <c r="Q124" s="2336"/>
      <c r="R124" s="2336">
        <f>Livestock!C58</f>
        <v>0.01</v>
      </c>
      <c r="S124" s="2336"/>
      <c r="T124" s="2370"/>
      <c r="U124" s="2336"/>
      <c r="V124" s="1743"/>
      <c r="W124" s="1743"/>
      <c r="X124" s="1743"/>
      <c r="Y124" s="1743"/>
      <c r="Z124" s="1743"/>
      <c r="AA124" s="1743"/>
      <c r="AB124" s="1743"/>
      <c r="AC124" s="1743"/>
      <c r="AD124" s="1743"/>
      <c r="AE124" s="1743"/>
      <c r="AF124" s="1743"/>
      <c r="AG124" s="1743"/>
    </row>
    <row r="125" spans="2:33" s="1738" customFormat="1">
      <c r="V125" s="1743"/>
      <c r="W125" s="1743"/>
      <c r="X125" s="1743"/>
      <c r="Y125" s="1743"/>
      <c r="Z125" s="1743"/>
      <c r="AA125" s="1743"/>
      <c r="AB125" s="1743"/>
      <c r="AC125" s="1743"/>
      <c r="AD125" s="1743"/>
      <c r="AE125" s="1743"/>
      <c r="AF125" s="1743"/>
      <c r="AG125" s="1743"/>
    </row>
    <row r="126" spans="2:33" s="1738" customFormat="1" ht="13.2" customHeight="1">
      <c r="B126" s="2868" t="str">
        <f>B42</f>
        <v>Livestock categories</v>
      </c>
      <c r="C126" s="2194"/>
      <c r="D126" s="2194" t="str">
        <f>HLOOKUP(select,translations!$A$145:$H$201,55,)</f>
        <v>Enteric fermentation</v>
      </c>
      <c r="E126" s="2194"/>
      <c r="F126" s="2193"/>
      <c r="G126" s="2999"/>
      <c r="H126" s="2999"/>
      <c r="I126" s="2999"/>
      <c r="J126" s="3007"/>
      <c r="K126" s="3192" t="str">
        <f>HLOOKUP(select,translations!$A$145:$H$201,57,)</f>
        <v xml:space="preserve">% correspondings to pasture, range and paddock systems </v>
      </c>
      <c r="L126" s="3192"/>
      <c r="M126" s="3192"/>
      <c r="N126" s="3192"/>
      <c r="P126" s="2194" t="str">
        <f>HLOOKUP(select,translations!$A$145:$H$202,58,)</f>
        <v>Methane from manure management</v>
      </c>
      <c r="Q126" s="2193"/>
      <c r="R126" s="2193"/>
      <c r="S126" s="2193"/>
      <c r="T126" s="2193"/>
      <c r="U126" s="2193"/>
      <c r="W126" s="1743"/>
      <c r="X126" s="1743"/>
      <c r="Y126" s="1743"/>
      <c r="Z126" s="1743"/>
      <c r="AA126" s="1743"/>
      <c r="AB126" s="1743"/>
      <c r="AC126" s="1743"/>
      <c r="AD126" s="1743"/>
      <c r="AE126" s="1743"/>
      <c r="AF126" s="1743"/>
      <c r="AG126" s="1743"/>
    </row>
    <row r="127" spans="2:33" s="1738" customFormat="1" ht="13.2" customHeight="1">
      <c r="B127" s="2193"/>
      <c r="C127" s="2193"/>
      <c r="D127" s="2194" t="str">
        <f>HLOOKUP(select,translations!$A$145:$H$201,56,)</f>
        <v>(kg CH4 per head/yr)</v>
      </c>
      <c r="E127" s="2193"/>
      <c r="F127" s="2999"/>
      <c r="G127" s="2999"/>
      <c r="H127" s="2999"/>
      <c r="I127" s="2999"/>
      <c r="J127" s="3007"/>
      <c r="K127" s="3192"/>
      <c r="L127" s="3192"/>
      <c r="M127" s="3192"/>
      <c r="N127" s="3192"/>
      <c r="P127" s="2193" t="str">
        <f>D127</f>
        <v>(kg CH4 per head/yr)</v>
      </c>
      <c r="Q127" s="2193"/>
      <c r="R127" s="2193"/>
      <c r="S127" s="2992"/>
      <c r="T127" s="2992"/>
      <c r="U127" s="2992"/>
      <c r="W127" s="1743"/>
      <c r="X127" s="1743"/>
      <c r="Y127" s="1743"/>
      <c r="Z127" s="1743"/>
      <c r="AA127" s="1743"/>
      <c r="AB127" s="1743"/>
      <c r="AC127" s="1743"/>
      <c r="AD127" s="1743"/>
      <c r="AE127" s="1743"/>
      <c r="AF127" s="1743"/>
      <c r="AG127" s="1743"/>
    </row>
    <row r="128" spans="2:33" s="1738" customFormat="1">
      <c r="B128" s="2193"/>
      <c r="C128" s="2193"/>
      <c r="D128" s="2193"/>
      <c r="E128" s="3005"/>
      <c r="F128" s="3006" t="str">
        <f>C123</f>
        <v>Tier 2</v>
      </c>
      <c r="G128" s="3005"/>
      <c r="H128" s="2193"/>
      <c r="I128" s="2193"/>
      <c r="J128" s="2193"/>
      <c r="K128" s="2193"/>
      <c r="L128" s="3003"/>
      <c r="M128" s="3002" t="str">
        <f>C123</f>
        <v>Tier 2</v>
      </c>
      <c r="N128" s="3003"/>
      <c r="P128" s="2193"/>
      <c r="Q128" s="2992"/>
      <c r="R128" s="3001"/>
      <c r="S128" s="3002" t="str">
        <f>T122</f>
        <v>Tier 2</v>
      </c>
      <c r="T128" s="3003"/>
      <c r="U128" s="2992"/>
      <c r="W128" s="1743"/>
      <c r="X128" s="1743"/>
      <c r="Y128" s="1743"/>
      <c r="Z128" s="1743"/>
      <c r="AA128" s="1743"/>
      <c r="AB128" s="1743"/>
      <c r="AC128" s="1743"/>
      <c r="AD128" s="1743"/>
      <c r="AE128" s="1743"/>
      <c r="AF128" s="1743"/>
      <c r="AG128" s="1743"/>
    </row>
    <row r="129" spans="2:33" s="1738" customFormat="1">
      <c r="B129" s="2332"/>
      <c r="C129" s="2332"/>
      <c r="D129" s="2388" t="str">
        <f>B123</f>
        <v>Default</v>
      </c>
      <c r="E129" s="2353" t="str">
        <f>R129</f>
        <v>Without</v>
      </c>
      <c r="F129" s="2992"/>
      <c r="G129" s="3004" t="str">
        <f>T129</f>
        <v>With</v>
      </c>
      <c r="H129" s="2999"/>
      <c r="I129" s="2999"/>
      <c r="J129" s="2193"/>
      <c r="K129" s="2388" t="str">
        <f>B123</f>
        <v>Default</v>
      </c>
      <c r="L129" s="2353" t="str">
        <f>E129</f>
        <v>Without</v>
      </c>
      <c r="M129" s="2992"/>
      <c r="N129" s="2353" t="str">
        <f>G129</f>
        <v>With</v>
      </c>
      <c r="P129" s="2354" t="str">
        <f>K129</f>
        <v>Default</v>
      </c>
      <c r="Q129" s="2992"/>
      <c r="R129" s="2353" t="str">
        <f>K44</f>
        <v>Without</v>
      </c>
      <c r="S129" s="2992"/>
      <c r="T129" s="2353" t="str">
        <f>L44</f>
        <v>With</v>
      </c>
      <c r="U129" s="2992"/>
      <c r="W129" s="1743"/>
      <c r="X129" s="1743"/>
      <c r="Y129" s="1743"/>
      <c r="Z129" s="1743"/>
      <c r="AA129" s="1743"/>
      <c r="AB129" s="1743"/>
      <c r="AC129" s="1743"/>
      <c r="AD129" s="1743"/>
      <c r="AE129" s="1743"/>
      <c r="AF129" s="1743"/>
      <c r="AG129" s="1743"/>
    </row>
    <row r="130" spans="2:33" s="1738" customFormat="1">
      <c r="B130" s="2334" t="str">
        <f>B45</f>
        <v>Dairy cattle</v>
      </c>
      <c r="C130" s="2193"/>
      <c r="D130" s="2195">
        <f>Livestock!C12</f>
        <v>0</v>
      </c>
      <c r="E130" s="3000"/>
      <c r="F130" s="2992"/>
      <c r="G130" s="3008"/>
      <c r="H130" s="2999"/>
      <c r="I130" s="2999"/>
      <c r="J130" s="2193"/>
      <c r="K130" s="2333">
        <f>Livestock!C32</f>
        <v>0</v>
      </c>
      <c r="L130" s="2319"/>
      <c r="M130" s="2992"/>
      <c r="N130" s="3011"/>
      <c r="P130" s="2992">
        <f>Livestock!C40</f>
        <v>0</v>
      </c>
      <c r="Q130" s="2992"/>
      <c r="R130" s="2991"/>
      <c r="S130" s="2195"/>
      <c r="T130" s="2226"/>
      <c r="U130" s="2992"/>
      <c r="W130" s="1743"/>
      <c r="X130" s="1743"/>
      <c r="Y130" s="1743"/>
      <c r="Z130" s="1743"/>
      <c r="AA130" s="1743"/>
      <c r="AB130" s="1743"/>
      <c r="AC130" s="1743"/>
      <c r="AD130" s="1743"/>
      <c r="AE130" s="1743"/>
      <c r="AF130" s="1743"/>
      <c r="AG130" s="1743"/>
    </row>
    <row r="131" spans="2:33" s="1738" customFormat="1">
      <c r="B131" s="2334" t="str">
        <f t="shared" ref="B131:B135" si="3">B46</f>
        <v>Other cattle</v>
      </c>
      <c r="C131" s="2193"/>
      <c r="D131" s="2195">
        <f>Livestock!C13</f>
        <v>0</v>
      </c>
      <c r="E131" s="3000"/>
      <c r="F131" s="2992"/>
      <c r="G131" s="3008"/>
      <c r="H131" s="2999"/>
      <c r="I131" s="2999"/>
      <c r="J131" s="2193"/>
      <c r="K131" s="2333">
        <f>Livestock!C33</f>
        <v>0</v>
      </c>
      <c r="L131" s="2319"/>
      <c r="M131" s="2992"/>
      <c r="N131" s="3011"/>
      <c r="P131" s="2992">
        <f>Livestock!C41</f>
        <v>0</v>
      </c>
      <c r="Q131" s="2992"/>
      <c r="R131" s="2991"/>
      <c r="S131" s="2195"/>
      <c r="T131" s="2226"/>
      <c r="U131" s="2992"/>
      <c r="W131" s="1743"/>
      <c r="X131" s="1743"/>
      <c r="Y131" s="1743"/>
      <c r="Z131" s="1743"/>
      <c r="AA131" s="1743"/>
      <c r="AB131" s="1743"/>
      <c r="AC131" s="1743"/>
      <c r="AD131" s="1743"/>
      <c r="AE131" s="1743"/>
      <c r="AF131" s="1743"/>
      <c r="AG131" s="1743"/>
    </row>
    <row r="132" spans="2:33" s="1738" customFormat="1">
      <c r="B132" s="2334" t="str">
        <f t="shared" si="3"/>
        <v>Buffalo</v>
      </c>
      <c r="C132" s="2193"/>
      <c r="D132" s="2195">
        <f>Livestock!C14</f>
        <v>55</v>
      </c>
      <c r="E132" s="3000"/>
      <c r="F132" s="2992"/>
      <c r="G132" s="3008"/>
      <c r="H132" s="2999"/>
      <c r="I132" s="2999"/>
      <c r="J132" s="2193"/>
      <c r="K132" s="2333">
        <f>Livestock!C34</f>
        <v>0</v>
      </c>
      <c r="L132" s="2319"/>
      <c r="M132" s="2992"/>
      <c r="N132" s="3011"/>
      <c r="P132" s="2992">
        <f>Livestock!C42</f>
        <v>0</v>
      </c>
      <c r="Q132" s="2992"/>
      <c r="R132" s="2991"/>
      <c r="S132" s="2195"/>
      <c r="T132" s="2226"/>
      <c r="U132" s="2992"/>
      <c r="V132" s="1743"/>
      <c r="W132" s="1743"/>
      <c r="X132" s="1743"/>
      <c r="Y132" s="1743"/>
      <c r="Z132" s="1743"/>
      <c r="AA132" s="1743"/>
      <c r="AB132" s="1743"/>
      <c r="AC132" s="1743"/>
      <c r="AD132" s="1743"/>
      <c r="AE132" s="1743"/>
      <c r="AF132" s="1743"/>
      <c r="AG132" s="1743"/>
    </row>
    <row r="133" spans="2:33" s="1738" customFormat="1">
      <c r="B133" s="2334" t="str">
        <f t="shared" si="3"/>
        <v>Sheep</v>
      </c>
      <c r="C133" s="2193"/>
      <c r="D133" s="2195">
        <f>Livestock!C15</f>
        <v>5</v>
      </c>
      <c r="E133" s="3000"/>
      <c r="F133" s="2992"/>
      <c r="G133" s="3008"/>
      <c r="H133" s="2999"/>
      <c r="I133" s="2999"/>
      <c r="J133" s="2193"/>
      <c r="K133" s="2333">
        <f>Livestock!H32</f>
        <v>1</v>
      </c>
      <c r="L133" s="2319"/>
      <c r="M133" s="2992"/>
      <c r="N133" s="3011"/>
      <c r="P133" s="2992">
        <f>Livestock!C43</f>
        <v>0.1</v>
      </c>
      <c r="Q133" s="2992"/>
      <c r="R133" s="2991"/>
      <c r="S133" s="2195"/>
      <c r="T133" s="2226"/>
      <c r="U133" s="2992"/>
      <c r="V133" s="1743"/>
      <c r="W133" s="1743"/>
      <c r="X133" s="1743"/>
      <c r="Y133" s="1743"/>
      <c r="Z133" s="1743"/>
      <c r="AA133" s="1743"/>
      <c r="AB133" s="1743"/>
      <c r="AC133" s="1743"/>
      <c r="AD133" s="1743"/>
      <c r="AE133" s="1743"/>
      <c r="AF133" s="1743"/>
      <c r="AG133" s="1743"/>
    </row>
    <row r="134" spans="2:33" s="1738" customFormat="1">
      <c r="B134" s="2334" t="str">
        <f t="shared" si="3"/>
        <v>Swine (Market)</v>
      </c>
      <c r="C134" s="2193"/>
      <c r="D134" s="2195">
        <f>Livestock!C16</f>
        <v>1.5</v>
      </c>
      <c r="E134" s="3000"/>
      <c r="F134" s="2992"/>
      <c r="G134" s="3008"/>
      <c r="H134" s="2999"/>
      <c r="I134" s="2999"/>
      <c r="J134" s="2193"/>
      <c r="K134" s="2333">
        <f>Livestock!H33</f>
        <v>0</v>
      </c>
      <c r="L134" s="2319"/>
      <c r="M134" s="2992"/>
      <c r="N134" s="3011"/>
      <c r="P134" s="2992">
        <f>Livestock!C44</f>
        <v>0</v>
      </c>
      <c r="Q134" s="2992"/>
      <c r="R134" s="2991"/>
      <c r="S134" s="2195"/>
      <c r="T134" s="2226"/>
      <c r="U134" s="2992"/>
      <c r="V134" s="1743"/>
      <c r="W134" s="1743"/>
      <c r="X134" s="1743"/>
      <c r="Y134" s="1743"/>
      <c r="Z134" s="1743"/>
      <c r="AA134" s="1743"/>
      <c r="AB134" s="1743"/>
      <c r="AC134" s="1743"/>
      <c r="AD134" s="1743"/>
      <c r="AE134" s="1743"/>
      <c r="AF134" s="1743"/>
      <c r="AG134" s="1743"/>
    </row>
    <row r="135" spans="2:33" s="1738" customFormat="1">
      <c r="B135" s="2334" t="str">
        <f t="shared" si="3"/>
        <v>Swine (Breeding)</v>
      </c>
      <c r="C135" s="2193"/>
      <c r="D135" s="2195">
        <f>Livestock!C17</f>
        <v>1.5</v>
      </c>
      <c r="E135" s="3000"/>
      <c r="F135" s="2992"/>
      <c r="G135" s="3008"/>
      <c r="H135" s="2999"/>
      <c r="I135" s="2999"/>
      <c r="J135" s="2193"/>
      <c r="K135" s="2333">
        <f>Livestock!H34</f>
        <v>0</v>
      </c>
      <c r="L135" s="2319"/>
      <c r="M135" s="2992"/>
      <c r="N135" s="3011"/>
      <c r="P135" s="2992">
        <f>Livestock!C45</f>
        <v>0</v>
      </c>
      <c r="Q135" s="2992"/>
      <c r="R135" s="2991"/>
      <c r="S135" s="2195"/>
      <c r="T135" s="2226"/>
      <c r="U135" s="2992"/>
      <c r="V135" s="1743"/>
      <c r="W135" s="1743"/>
      <c r="X135" s="1743"/>
      <c r="Y135" s="1743"/>
      <c r="Z135" s="1743"/>
      <c r="AA135" s="1743"/>
      <c r="AB135" s="1743"/>
      <c r="AC135" s="1743"/>
      <c r="AD135" s="1743"/>
      <c r="AE135" s="1743"/>
      <c r="AF135" s="1743"/>
      <c r="AG135" s="1743"/>
    </row>
    <row r="136" spans="2:33" s="1738" customFormat="1">
      <c r="B136" s="2334" t="str">
        <f>IF(F56="",B51,F56)</f>
        <v>Please select</v>
      </c>
      <c r="C136" s="2335"/>
      <c r="D136" s="2195">
        <f>Livestock!C18</f>
        <v>0</v>
      </c>
      <c r="E136" s="3000"/>
      <c r="F136" s="2992"/>
      <c r="G136" s="3008"/>
      <c r="H136" s="2999"/>
      <c r="I136" s="2999"/>
      <c r="J136" s="2193"/>
      <c r="K136" s="2333">
        <v>1</v>
      </c>
      <c r="L136" s="2319"/>
      <c r="M136" s="2992"/>
      <c r="N136" s="3011"/>
      <c r="P136" s="2992">
        <f>Livestock!C46</f>
        <v>0</v>
      </c>
      <c r="Q136" s="2992"/>
      <c r="R136" s="2991"/>
      <c r="S136" s="2195"/>
      <c r="T136" s="2226"/>
      <c r="U136" s="2992"/>
      <c r="V136" s="1743"/>
      <c r="W136" s="1743"/>
      <c r="X136" s="1743"/>
      <c r="Y136" s="1743"/>
      <c r="Z136" s="1743"/>
      <c r="AA136" s="1743"/>
      <c r="AB136" s="1743"/>
      <c r="AC136" s="1743"/>
      <c r="AD136" s="1743"/>
      <c r="AE136" s="1743"/>
      <c r="AF136" s="1743"/>
      <c r="AG136" s="1743"/>
    </row>
    <row r="137" spans="2:33" s="1738" customFormat="1">
      <c r="B137" s="2334" t="str">
        <f t="shared" ref="B137:B138" si="4">IF(F57="",B52,F57)</f>
        <v>Horses</v>
      </c>
      <c r="C137" s="2335"/>
      <c r="D137" s="2195">
        <f>Livestock!C19</f>
        <v>18</v>
      </c>
      <c r="E137" s="3000"/>
      <c r="F137" s="2992"/>
      <c r="G137" s="3008"/>
      <c r="H137" s="2999"/>
      <c r="I137" s="2999"/>
      <c r="J137" s="2193"/>
      <c r="K137" s="2333">
        <v>1</v>
      </c>
      <c r="L137" s="2319"/>
      <c r="M137" s="2992"/>
      <c r="N137" s="3011"/>
      <c r="P137" s="2992">
        <f>Livestock!C47</f>
        <v>1.0900000000000001</v>
      </c>
      <c r="Q137" s="2992"/>
      <c r="R137" s="2991"/>
      <c r="S137" s="2195"/>
      <c r="T137" s="2226"/>
      <c r="U137" s="2992"/>
      <c r="V137" s="1743"/>
      <c r="W137" s="1743"/>
      <c r="X137" s="1743"/>
      <c r="Y137" s="1743"/>
      <c r="Z137" s="1743"/>
      <c r="AA137" s="1743"/>
      <c r="AB137" s="1743"/>
      <c r="AC137" s="1743"/>
      <c r="AD137" s="1743"/>
      <c r="AE137" s="1743"/>
      <c r="AF137" s="1743"/>
      <c r="AG137" s="1743"/>
    </row>
    <row r="138" spans="2:33" s="1738" customFormat="1">
      <c r="B138" s="2334" t="str">
        <f t="shared" si="4"/>
        <v>Goats</v>
      </c>
      <c r="C138" s="2335"/>
      <c r="D138" s="2195">
        <f>Livestock!C20</f>
        <v>5</v>
      </c>
      <c r="E138" s="3000"/>
      <c r="F138" s="2992"/>
      <c r="G138" s="3008"/>
      <c r="H138" s="2999"/>
      <c r="I138" s="2999"/>
      <c r="J138" s="2193"/>
      <c r="K138" s="2333">
        <v>1</v>
      </c>
      <c r="L138" s="2319"/>
      <c r="M138" s="2992"/>
      <c r="N138" s="3011"/>
      <c r="P138" s="2992">
        <f>Livestock!C48</f>
        <v>0.11</v>
      </c>
      <c r="Q138" s="2992"/>
      <c r="R138" s="2991"/>
      <c r="S138" s="2195"/>
      <c r="T138" s="2226"/>
      <c r="U138" s="2992"/>
      <c r="V138" s="1743"/>
      <c r="W138" s="1743"/>
      <c r="X138" s="1743"/>
      <c r="Y138" s="1743"/>
      <c r="Z138" s="1743"/>
      <c r="AA138" s="1743"/>
      <c r="AB138" s="1743"/>
      <c r="AC138" s="1743"/>
      <c r="AD138" s="1743"/>
      <c r="AE138" s="1743"/>
      <c r="AF138" s="1743"/>
      <c r="AG138" s="1743"/>
    </row>
    <row r="139" spans="2:33" s="1738" customFormat="1">
      <c r="Q139" s="1743"/>
      <c r="R139" s="1743"/>
      <c r="U139" s="1743"/>
      <c r="V139" s="1743"/>
      <c r="W139" s="1743"/>
      <c r="X139" s="1743"/>
      <c r="Y139" s="1743"/>
      <c r="Z139" s="1743"/>
      <c r="AA139" s="1743"/>
      <c r="AB139" s="1743"/>
      <c r="AC139" s="1743"/>
      <c r="AD139" s="1743"/>
      <c r="AE139" s="1743"/>
      <c r="AF139" s="1743"/>
      <c r="AG139" s="1743"/>
    </row>
    <row r="140" spans="2:33" s="1738" customFormat="1">
      <c r="Q140" s="1743"/>
      <c r="R140" s="1743"/>
      <c r="U140" s="1743"/>
      <c r="V140" s="1743"/>
      <c r="W140" s="1743"/>
      <c r="X140" s="1743"/>
      <c r="Y140" s="1743"/>
      <c r="Z140" s="1743"/>
      <c r="AA140" s="1743"/>
      <c r="AB140" s="1743"/>
      <c r="AC140" s="1743"/>
      <c r="AD140" s="1743"/>
      <c r="AE140" s="1743"/>
      <c r="AF140" s="1743"/>
      <c r="AG140" s="1743"/>
    </row>
    <row r="141" spans="2:33" s="1738" customFormat="1">
      <c r="Q141" s="1743"/>
      <c r="R141" s="1743"/>
      <c r="U141" s="1743"/>
      <c r="V141" s="1743"/>
      <c r="W141" s="1743"/>
      <c r="X141" s="1743"/>
      <c r="Y141" s="1743"/>
      <c r="Z141" s="1743"/>
      <c r="AA141" s="1743"/>
      <c r="AB141" s="1743"/>
      <c r="AC141" s="1743"/>
      <c r="AD141" s="1743"/>
      <c r="AE141" s="1743"/>
      <c r="AF141" s="1743"/>
      <c r="AG141" s="1743"/>
    </row>
    <row r="142" spans="2:33" s="1738" customFormat="1">
      <c r="Q142" s="1743"/>
      <c r="R142" s="1743"/>
      <c r="U142" s="1743"/>
      <c r="V142" s="1743"/>
      <c r="W142" s="1743"/>
      <c r="X142" s="1743"/>
      <c r="Y142" s="1743"/>
      <c r="Z142" s="1743"/>
      <c r="AA142" s="1743"/>
      <c r="AB142" s="1743"/>
      <c r="AC142" s="1743"/>
      <c r="AD142" s="1743"/>
      <c r="AE142" s="1743"/>
      <c r="AF142" s="1743"/>
      <c r="AG142" s="1743"/>
    </row>
    <row r="143" spans="2:33" s="1738" customFormat="1">
      <c r="Q143" s="1743"/>
      <c r="R143" s="1743"/>
      <c r="U143" s="1743"/>
      <c r="V143" s="1743"/>
      <c r="W143" s="1743"/>
      <c r="X143" s="1743"/>
      <c r="Y143" s="1743"/>
      <c r="Z143" s="1743"/>
      <c r="AA143" s="1743"/>
      <c r="AB143" s="1743"/>
      <c r="AC143" s="1743"/>
      <c r="AD143" s="1743"/>
      <c r="AE143" s="1743"/>
      <c r="AF143" s="1743"/>
      <c r="AG143" s="1743"/>
    </row>
    <row r="144" spans="2:33" s="1738" customFormat="1">
      <c r="Q144" s="1743"/>
      <c r="R144" s="1743"/>
      <c r="U144" s="1743"/>
      <c r="V144" s="1743"/>
      <c r="W144" s="1743"/>
      <c r="X144" s="1743"/>
      <c r="Y144" s="1743"/>
      <c r="Z144" s="1743"/>
      <c r="AA144" s="1743"/>
      <c r="AB144" s="1743"/>
      <c r="AC144" s="1743"/>
      <c r="AD144" s="1743"/>
      <c r="AE144" s="1743"/>
      <c r="AF144" s="1743"/>
      <c r="AG144" s="1743"/>
    </row>
    <row r="145" spans="17:33" s="1738" customFormat="1">
      <c r="Q145" s="1743"/>
      <c r="R145" s="1743"/>
      <c r="U145" s="1743"/>
      <c r="V145" s="1743"/>
      <c r="W145" s="1743"/>
      <c r="X145" s="1743"/>
      <c r="Y145" s="1743"/>
      <c r="Z145" s="1743"/>
      <c r="AA145" s="1743"/>
      <c r="AB145" s="1743"/>
      <c r="AC145" s="1743"/>
      <c r="AD145" s="1743"/>
      <c r="AE145" s="1743"/>
      <c r="AF145" s="1743"/>
      <c r="AG145" s="1743"/>
    </row>
    <row r="146" spans="17:33" s="1738" customFormat="1">
      <c r="Q146" s="1743"/>
      <c r="R146" s="1743"/>
      <c r="U146" s="1743"/>
      <c r="V146" s="1743"/>
      <c r="W146" s="1743"/>
      <c r="X146" s="1743"/>
      <c r="Y146" s="1743"/>
      <c r="Z146" s="1743"/>
      <c r="AA146" s="1743"/>
      <c r="AB146" s="1743"/>
      <c r="AC146" s="1743"/>
      <c r="AD146" s="1743"/>
      <c r="AE146" s="1743"/>
      <c r="AF146" s="1743"/>
      <c r="AG146" s="1743"/>
    </row>
    <row r="147" spans="17:33" s="1738" customFormat="1">
      <c r="Q147" s="1743"/>
      <c r="R147" s="1743"/>
      <c r="U147" s="1743"/>
      <c r="V147" s="1743"/>
      <c r="W147" s="1743"/>
      <c r="X147" s="1743"/>
      <c r="Y147" s="1743"/>
      <c r="Z147" s="1743"/>
      <c r="AA147" s="1743"/>
      <c r="AB147" s="1743"/>
      <c r="AC147" s="1743"/>
      <c r="AD147" s="1743"/>
      <c r="AE147" s="1743"/>
      <c r="AF147" s="1743"/>
      <c r="AG147" s="1743"/>
    </row>
    <row r="148" spans="17:33" s="1738" customFormat="1">
      <c r="Q148" s="1743"/>
      <c r="R148" s="1743"/>
      <c r="U148" s="1743"/>
      <c r="V148" s="1743"/>
      <c r="W148" s="1743"/>
      <c r="X148" s="1743"/>
      <c r="Y148" s="1743"/>
      <c r="Z148" s="1743"/>
      <c r="AA148" s="1743"/>
      <c r="AB148" s="1743"/>
      <c r="AC148" s="1743"/>
      <c r="AD148" s="1743"/>
      <c r="AE148" s="1743"/>
      <c r="AF148" s="1743"/>
      <c r="AG148" s="1743"/>
    </row>
    <row r="149" spans="17:33" s="1738" customFormat="1">
      <c r="Q149" s="1743"/>
      <c r="R149" s="1743"/>
      <c r="U149" s="1743"/>
      <c r="V149" s="1743"/>
      <c r="W149" s="1743"/>
      <c r="X149" s="1743"/>
      <c r="Y149" s="1743"/>
      <c r="Z149" s="1743"/>
      <c r="AA149" s="1743"/>
      <c r="AB149" s="1743"/>
      <c r="AC149" s="1743"/>
      <c r="AD149" s="1743"/>
      <c r="AE149" s="1743"/>
      <c r="AF149" s="1743"/>
      <c r="AG149" s="1743"/>
    </row>
    <row r="150" spans="17:33" s="1738" customFormat="1">
      <c r="Q150" s="1743"/>
      <c r="R150" s="1743"/>
      <c r="U150" s="1743"/>
      <c r="V150" s="1743"/>
      <c r="W150" s="1743"/>
      <c r="X150" s="1743"/>
      <c r="Y150" s="1743"/>
      <c r="Z150" s="1743"/>
      <c r="AA150" s="1743"/>
      <c r="AB150" s="1743"/>
      <c r="AC150" s="1743"/>
      <c r="AD150" s="1743"/>
      <c r="AE150" s="1743"/>
      <c r="AF150" s="1743"/>
      <c r="AG150" s="1743"/>
    </row>
    <row r="151" spans="17:33" s="1738" customFormat="1">
      <c r="Q151" s="1743"/>
      <c r="R151" s="1743"/>
      <c r="U151" s="1743"/>
      <c r="V151" s="1743"/>
      <c r="W151" s="1743"/>
      <c r="X151" s="1743"/>
      <c r="Y151" s="1743"/>
      <c r="Z151" s="1743"/>
      <c r="AA151" s="1743"/>
      <c r="AB151" s="1743"/>
      <c r="AC151" s="1743"/>
      <c r="AD151" s="1743"/>
      <c r="AE151" s="1743"/>
      <c r="AF151" s="1743"/>
      <c r="AG151" s="1743"/>
    </row>
    <row r="152" spans="17:33" s="1738" customFormat="1">
      <c r="Q152" s="1743"/>
      <c r="R152" s="1743"/>
      <c r="U152" s="1743"/>
      <c r="V152" s="1743"/>
      <c r="W152" s="1743"/>
      <c r="X152" s="1743"/>
      <c r="Y152" s="1743"/>
      <c r="Z152" s="1743"/>
      <c r="AA152" s="1743"/>
      <c r="AB152" s="1743"/>
      <c r="AC152" s="1743"/>
      <c r="AD152" s="1743"/>
      <c r="AE152" s="1743"/>
      <c r="AF152" s="1743"/>
      <c r="AG152" s="1743"/>
    </row>
    <row r="153" spans="17:33" s="1738" customFormat="1">
      <c r="Q153" s="1743"/>
      <c r="R153" s="1743"/>
      <c r="U153" s="1743"/>
      <c r="V153" s="1743"/>
      <c r="W153" s="1743"/>
      <c r="X153" s="1743"/>
      <c r="Y153" s="1743"/>
      <c r="Z153" s="1743"/>
      <c r="AA153" s="1743"/>
      <c r="AB153" s="1743"/>
      <c r="AC153" s="1743"/>
      <c r="AD153" s="1743"/>
      <c r="AE153" s="1743"/>
      <c r="AF153" s="1743"/>
      <c r="AG153" s="1743"/>
    </row>
    <row r="154" spans="17:33" s="1738" customFormat="1">
      <c r="Q154" s="1743"/>
      <c r="R154" s="1743"/>
      <c r="U154" s="1743"/>
      <c r="V154" s="1743"/>
      <c r="W154" s="1743"/>
      <c r="X154" s="1743"/>
      <c r="Y154" s="1743"/>
      <c r="Z154" s="1743"/>
      <c r="AA154" s="1743"/>
      <c r="AB154" s="1743"/>
      <c r="AC154" s="1743"/>
      <c r="AD154" s="1743"/>
      <c r="AE154" s="1743"/>
      <c r="AF154" s="1743"/>
      <c r="AG154" s="1743"/>
    </row>
    <row r="155" spans="17:33" s="1738" customFormat="1">
      <c r="Q155" s="1743"/>
      <c r="R155" s="1743"/>
      <c r="U155" s="1743"/>
      <c r="V155" s="1743"/>
      <c r="W155" s="1743"/>
      <c r="X155" s="1743"/>
      <c r="Y155" s="1743"/>
      <c r="Z155" s="1743"/>
      <c r="AA155" s="1743"/>
      <c r="AB155" s="1743"/>
      <c r="AC155" s="1743"/>
      <c r="AD155" s="1743"/>
      <c r="AE155" s="1743"/>
      <c r="AF155" s="1743"/>
      <c r="AG155" s="1743"/>
    </row>
    <row r="156" spans="17:33" s="1738" customFormat="1">
      <c r="Q156" s="1743"/>
      <c r="R156" s="1743"/>
      <c r="U156" s="1743"/>
      <c r="V156" s="1743"/>
      <c r="W156" s="1743"/>
      <c r="X156" s="1743"/>
      <c r="Y156" s="1743"/>
      <c r="Z156" s="1743"/>
      <c r="AA156" s="1743"/>
      <c r="AB156" s="1743"/>
      <c r="AC156" s="1743"/>
      <c r="AD156" s="1743"/>
      <c r="AE156" s="1743"/>
      <c r="AF156" s="1743"/>
      <c r="AG156" s="1743"/>
    </row>
    <row r="157" spans="17:33" s="1738" customFormat="1">
      <c r="Q157" s="1743"/>
      <c r="R157" s="1743"/>
      <c r="U157" s="1743"/>
      <c r="V157" s="1743"/>
      <c r="W157" s="1743"/>
      <c r="X157" s="1743"/>
      <c r="Y157" s="1743"/>
      <c r="Z157" s="1743"/>
      <c r="AA157" s="1743"/>
      <c r="AB157" s="1743"/>
      <c r="AC157" s="1743"/>
      <c r="AD157" s="1743"/>
      <c r="AE157" s="1743"/>
      <c r="AF157" s="1743"/>
      <c r="AG157" s="1743"/>
    </row>
    <row r="158" spans="17:33" s="1738" customFormat="1">
      <c r="Q158" s="1743"/>
      <c r="R158" s="1743"/>
      <c r="U158" s="1743"/>
      <c r="V158" s="1743"/>
      <c r="W158" s="1743"/>
      <c r="X158" s="1743"/>
      <c r="Y158" s="1743"/>
      <c r="Z158" s="1743"/>
      <c r="AA158" s="1743"/>
      <c r="AB158" s="1743"/>
      <c r="AC158" s="1743"/>
      <c r="AD158" s="1743"/>
      <c r="AE158" s="1743"/>
      <c r="AF158" s="1743"/>
      <c r="AG158" s="1743"/>
    </row>
    <row r="159" spans="17:33" s="1738" customFormat="1">
      <c r="Q159" s="1743"/>
      <c r="R159" s="1743"/>
      <c r="U159" s="1743"/>
      <c r="V159" s="1743"/>
      <c r="W159" s="1743"/>
      <c r="X159" s="1743"/>
      <c r="Y159" s="1743"/>
      <c r="Z159" s="1743"/>
      <c r="AA159" s="1743"/>
      <c r="AB159" s="1743"/>
      <c r="AC159" s="1743"/>
      <c r="AD159" s="1743"/>
      <c r="AE159" s="1743"/>
      <c r="AF159" s="1743"/>
      <c r="AG159" s="1743"/>
    </row>
    <row r="160" spans="17:33" s="1738" customFormat="1">
      <c r="Q160" s="1743"/>
      <c r="R160" s="1743"/>
      <c r="U160" s="1743"/>
      <c r="V160" s="1743"/>
      <c r="W160" s="1743"/>
      <c r="X160" s="1743"/>
      <c r="Y160" s="1743"/>
      <c r="Z160" s="1743"/>
      <c r="AA160" s="1743"/>
      <c r="AB160" s="1743"/>
      <c r="AC160" s="1743"/>
      <c r="AD160" s="1743"/>
      <c r="AE160" s="1743"/>
      <c r="AF160" s="1743"/>
      <c r="AG160" s="1743"/>
    </row>
    <row r="161" spans="17:33" s="1738" customFormat="1">
      <c r="Q161" s="1743"/>
      <c r="R161" s="1743"/>
      <c r="U161" s="1743"/>
      <c r="V161" s="1743"/>
      <c r="W161" s="1743"/>
      <c r="X161" s="1743"/>
      <c r="Y161" s="1743"/>
      <c r="Z161" s="1743"/>
      <c r="AA161" s="1743"/>
      <c r="AB161" s="1743"/>
      <c r="AC161" s="1743"/>
      <c r="AD161" s="1743"/>
      <c r="AE161" s="1743"/>
      <c r="AF161" s="1743"/>
      <c r="AG161" s="1743"/>
    </row>
    <row r="162" spans="17:33" s="1738" customFormat="1">
      <c r="Q162" s="1743"/>
      <c r="R162" s="1743"/>
      <c r="U162" s="1743"/>
      <c r="V162" s="1743"/>
      <c r="W162" s="1743"/>
      <c r="X162" s="1743"/>
      <c r="Y162" s="1743"/>
      <c r="Z162" s="1743"/>
      <c r="AA162" s="1743"/>
      <c r="AB162" s="1743"/>
      <c r="AC162" s="1743"/>
      <c r="AD162" s="1743"/>
      <c r="AE162" s="1743"/>
      <c r="AF162" s="1743"/>
      <c r="AG162" s="1743"/>
    </row>
    <row r="163" spans="17:33" s="1738" customFormat="1">
      <c r="Q163" s="1743"/>
      <c r="R163" s="1743"/>
      <c r="U163" s="1743"/>
      <c r="V163" s="1743"/>
      <c r="W163" s="1743"/>
      <c r="X163" s="1743"/>
      <c r="Y163" s="1743"/>
      <c r="Z163" s="1743"/>
      <c r="AA163" s="1743"/>
      <c r="AB163" s="1743"/>
      <c r="AC163" s="1743"/>
      <c r="AD163" s="1743"/>
      <c r="AE163" s="1743"/>
      <c r="AF163" s="1743"/>
      <c r="AG163" s="1743"/>
    </row>
    <row r="164" spans="17:33" s="1738" customFormat="1">
      <c r="Q164" s="1743"/>
      <c r="R164" s="1743"/>
      <c r="U164" s="1743"/>
      <c r="V164" s="1743"/>
      <c r="W164" s="1743"/>
      <c r="X164" s="1743"/>
      <c r="Y164" s="1743"/>
      <c r="Z164" s="1743"/>
      <c r="AA164" s="1743"/>
      <c r="AB164" s="1743"/>
      <c r="AC164" s="1743"/>
      <c r="AD164" s="1743"/>
      <c r="AE164" s="1743"/>
      <c r="AF164" s="1743"/>
      <c r="AG164" s="1743"/>
    </row>
    <row r="165" spans="17:33" s="1738" customFormat="1">
      <c r="Q165" s="1743"/>
      <c r="R165" s="1743"/>
      <c r="U165" s="1743"/>
      <c r="V165" s="1743"/>
      <c r="W165" s="1743"/>
      <c r="X165" s="1743"/>
      <c r="Y165" s="1743"/>
      <c r="Z165" s="1743"/>
      <c r="AA165" s="1743"/>
      <c r="AB165" s="1743"/>
      <c r="AC165" s="1743"/>
      <c r="AD165" s="1743"/>
      <c r="AE165" s="1743"/>
      <c r="AF165" s="1743"/>
      <c r="AG165" s="1743"/>
    </row>
    <row r="166" spans="17:33" s="1738" customFormat="1">
      <c r="Q166" s="1743"/>
      <c r="R166" s="1743"/>
      <c r="U166" s="1743"/>
      <c r="V166" s="1743"/>
      <c r="W166" s="1743"/>
      <c r="X166" s="1743"/>
      <c r="Y166" s="1743"/>
      <c r="Z166" s="1743"/>
      <c r="AA166" s="1743"/>
      <c r="AB166" s="1743"/>
      <c r="AC166" s="1743"/>
      <c r="AD166" s="1743"/>
      <c r="AE166" s="1743"/>
      <c r="AF166" s="1743"/>
      <c r="AG166" s="1743"/>
    </row>
    <row r="167" spans="17:33" s="1738" customFormat="1">
      <c r="Q167" s="1743"/>
      <c r="R167" s="1743"/>
      <c r="U167" s="1743"/>
      <c r="V167" s="1743"/>
      <c r="W167" s="1743"/>
      <c r="X167" s="1743"/>
      <c r="Y167" s="1743"/>
      <c r="Z167" s="1743"/>
      <c r="AA167" s="1743"/>
      <c r="AB167" s="1743"/>
      <c r="AC167" s="1743"/>
      <c r="AD167" s="1743"/>
      <c r="AE167" s="1743"/>
      <c r="AF167" s="1743"/>
      <c r="AG167" s="1743"/>
    </row>
    <row r="168" spans="17:33" s="1738" customFormat="1">
      <c r="Q168" s="1743"/>
      <c r="R168" s="1743"/>
      <c r="U168" s="1743"/>
      <c r="V168" s="1743"/>
      <c r="W168" s="1743"/>
      <c r="X168" s="1743"/>
      <c r="Y168" s="1743"/>
      <c r="Z168" s="1743"/>
      <c r="AA168" s="1743"/>
      <c r="AB168" s="1743"/>
      <c r="AC168" s="1743"/>
      <c r="AD168" s="1743"/>
      <c r="AE168" s="1743"/>
      <c r="AF168" s="1743"/>
      <c r="AG168" s="1743"/>
    </row>
    <row r="169" spans="17:33" s="1738" customFormat="1">
      <c r="Q169" s="1743"/>
      <c r="R169" s="1743"/>
      <c r="U169" s="1743"/>
      <c r="V169" s="1743"/>
      <c r="W169" s="1743"/>
      <c r="X169" s="1743"/>
      <c r="Y169" s="1743"/>
      <c r="Z169" s="1743"/>
      <c r="AA169" s="1743"/>
      <c r="AB169" s="1743"/>
      <c r="AC169" s="1743"/>
      <c r="AD169" s="1743"/>
      <c r="AE169" s="1743"/>
      <c r="AF169" s="1743"/>
      <c r="AG169" s="1743"/>
    </row>
    <row r="170" spans="17:33" s="1738" customFormat="1">
      <c r="Q170" s="1743"/>
      <c r="R170" s="1743"/>
      <c r="U170" s="1743"/>
      <c r="V170" s="1743"/>
      <c r="W170" s="1743"/>
      <c r="X170" s="1743"/>
      <c r="Y170" s="1743"/>
      <c r="Z170" s="1743"/>
      <c r="AA170" s="1743"/>
      <c r="AB170" s="1743"/>
      <c r="AC170" s="1743"/>
      <c r="AD170" s="1743"/>
      <c r="AE170" s="1743"/>
      <c r="AF170" s="1743"/>
      <c r="AG170" s="1743"/>
    </row>
    <row r="171" spans="17:33" s="1738" customFormat="1">
      <c r="Q171" s="1743"/>
      <c r="R171" s="1743"/>
      <c r="U171" s="1743"/>
      <c r="V171" s="1743"/>
      <c r="W171" s="1743"/>
      <c r="X171" s="1743"/>
      <c r="Y171" s="1743"/>
      <c r="Z171" s="1743"/>
      <c r="AA171" s="1743"/>
      <c r="AB171" s="1743"/>
      <c r="AC171" s="1743"/>
      <c r="AD171" s="1743"/>
      <c r="AE171" s="1743"/>
      <c r="AF171" s="1743"/>
      <c r="AG171" s="1743"/>
    </row>
    <row r="172" spans="17:33" s="1738" customFormat="1">
      <c r="Q172" s="1743"/>
      <c r="R172" s="1743"/>
      <c r="U172" s="1743"/>
      <c r="V172" s="1743"/>
      <c r="W172" s="1743"/>
      <c r="X172" s="1743"/>
      <c r="Y172" s="1743"/>
      <c r="Z172" s="1743"/>
      <c r="AA172" s="1743"/>
      <c r="AB172" s="1743"/>
      <c r="AC172" s="1743"/>
      <c r="AD172" s="1743"/>
      <c r="AE172" s="1743"/>
      <c r="AF172" s="1743"/>
      <c r="AG172" s="1743"/>
    </row>
    <row r="173" spans="17:33" s="1738" customFormat="1">
      <c r="Q173" s="1743"/>
      <c r="R173" s="1743"/>
      <c r="U173" s="1743"/>
      <c r="V173" s="1743"/>
      <c r="W173" s="1743"/>
      <c r="X173" s="1743"/>
      <c r="Y173" s="1743"/>
      <c r="Z173" s="1743"/>
      <c r="AA173" s="1743"/>
      <c r="AB173" s="1743"/>
      <c r="AC173" s="1743"/>
      <c r="AD173" s="1743"/>
      <c r="AE173" s="1743"/>
      <c r="AF173" s="1743"/>
      <c r="AG173" s="1743"/>
    </row>
    <row r="174" spans="17:33" s="1738" customFormat="1">
      <c r="Q174" s="1743"/>
      <c r="R174" s="1743"/>
      <c r="U174" s="1743"/>
      <c r="V174" s="1743"/>
      <c r="W174" s="1743"/>
      <c r="X174" s="1743"/>
      <c r="Y174" s="1743"/>
      <c r="Z174" s="1743"/>
      <c r="AA174" s="1743"/>
      <c r="AB174" s="1743"/>
      <c r="AC174" s="1743"/>
      <c r="AD174" s="1743"/>
      <c r="AE174" s="1743"/>
      <c r="AF174" s="1743"/>
      <c r="AG174" s="1743"/>
    </row>
    <row r="175" spans="17:33" s="1738" customFormat="1">
      <c r="Q175" s="1743"/>
      <c r="R175" s="1743"/>
      <c r="U175" s="1743"/>
      <c r="V175" s="1743"/>
      <c r="W175" s="1743"/>
      <c r="X175" s="1743"/>
      <c r="Y175" s="1743"/>
      <c r="Z175" s="1743"/>
      <c r="AA175" s="1743"/>
      <c r="AB175" s="1743"/>
      <c r="AC175" s="1743"/>
      <c r="AD175" s="1743"/>
      <c r="AE175" s="1743"/>
      <c r="AF175" s="1743"/>
      <c r="AG175" s="1743"/>
    </row>
    <row r="176" spans="17:33" s="1738" customFormat="1">
      <c r="Q176" s="1743"/>
      <c r="R176" s="1743"/>
      <c r="U176" s="1743"/>
      <c r="V176" s="1743"/>
      <c r="W176" s="1743"/>
      <c r="X176" s="1743"/>
      <c r="Y176" s="1743"/>
      <c r="Z176" s="1743"/>
      <c r="AA176" s="1743"/>
      <c r="AB176" s="1743"/>
      <c r="AC176" s="1743"/>
      <c r="AD176" s="1743"/>
      <c r="AE176" s="1743"/>
      <c r="AF176" s="1743"/>
      <c r="AG176" s="1743"/>
    </row>
    <row r="177" spans="17:33" s="1738" customFormat="1">
      <c r="Q177" s="1743"/>
      <c r="R177" s="1743"/>
      <c r="U177" s="1743"/>
      <c r="V177" s="1743"/>
      <c r="W177" s="1743"/>
      <c r="X177" s="1743"/>
      <c r="Y177" s="1743"/>
      <c r="Z177" s="1743"/>
      <c r="AA177" s="1743"/>
      <c r="AB177" s="1743"/>
      <c r="AC177" s="1743"/>
      <c r="AD177" s="1743"/>
      <c r="AE177" s="1743"/>
      <c r="AF177" s="1743"/>
      <c r="AG177" s="1743"/>
    </row>
    <row r="178" spans="17:33" s="1738" customFormat="1">
      <c r="Q178" s="1743"/>
      <c r="R178" s="1743"/>
      <c r="U178" s="1743"/>
      <c r="V178" s="1743"/>
      <c r="W178" s="1743"/>
      <c r="X178" s="1743"/>
      <c r="Y178" s="1743"/>
      <c r="Z178" s="1743"/>
      <c r="AA178" s="1743"/>
      <c r="AB178" s="1743"/>
      <c r="AC178" s="1743"/>
      <c r="AD178" s="1743"/>
      <c r="AE178" s="1743"/>
      <c r="AF178" s="1743"/>
      <c r="AG178" s="1743"/>
    </row>
    <row r="179" spans="17:33" s="1738" customFormat="1">
      <c r="Q179" s="1743"/>
      <c r="R179" s="1743"/>
      <c r="U179" s="1743"/>
      <c r="V179" s="1743"/>
      <c r="W179" s="1743"/>
      <c r="X179" s="1743"/>
      <c r="Y179" s="1743"/>
      <c r="Z179" s="1743"/>
      <c r="AA179" s="1743"/>
      <c r="AB179" s="1743"/>
      <c r="AC179" s="1743"/>
      <c r="AD179" s="1743"/>
      <c r="AE179" s="1743"/>
      <c r="AF179" s="1743"/>
      <c r="AG179" s="1743"/>
    </row>
    <row r="180" spans="17:33" s="1738" customFormat="1">
      <c r="Q180" s="1743"/>
      <c r="R180" s="1743"/>
      <c r="U180" s="1743"/>
      <c r="V180" s="1743"/>
      <c r="W180" s="1743"/>
      <c r="X180" s="1743"/>
      <c r="Y180" s="1743"/>
      <c r="Z180" s="1743"/>
      <c r="AA180" s="1743"/>
      <c r="AB180" s="1743"/>
      <c r="AC180" s="1743"/>
      <c r="AD180" s="1743"/>
      <c r="AE180" s="1743"/>
      <c r="AF180" s="1743"/>
      <c r="AG180" s="1743"/>
    </row>
    <row r="181" spans="17:33" s="1738" customFormat="1">
      <c r="Q181" s="1743"/>
      <c r="R181" s="1743"/>
      <c r="U181" s="1743"/>
      <c r="V181" s="1743"/>
      <c r="W181" s="1743"/>
      <c r="X181" s="1743"/>
      <c r="Y181" s="1743"/>
      <c r="Z181" s="1743"/>
      <c r="AA181" s="1743"/>
      <c r="AB181" s="1743"/>
      <c r="AC181" s="1743"/>
      <c r="AD181" s="1743"/>
      <c r="AE181" s="1743"/>
      <c r="AF181" s="1743"/>
      <c r="AG181" s="1743"/>
    </row>
    <row r="182" spans="17:33" s="1738" customFormat="1">
      <c r="Q182" s="1743"/>
      <c r="R182" s="1743"/>
      <c r="U182" s="1743"/>
      <c r="V182" s="1743"/>
      <c r="W182" s="1743"/>
      <c r="X182" s="1743"/>
      <c r="Y182" s="1743"/>
      <c r="Z182" s="1743"/>
      <c r="AA182" s="1743"/>
      <c r="AB182" s="1743"/>
      <c r="AC182" s="1743"/>
      <c r="AD182" s="1743"/>
      <c r="AE182" s="1743"/>
      <c r="AF182" s="1743"/>
      <c r="AG182" s="1743"/>
    </row>
    <row r="183" spans="17:33" s="1738" customFormat="1">
      <c r="Q183" s="1743"/>
      <c r="R183" s="1743"/>
      <c r="U183" s="1743"/>
      <c r="V183" s="1743"/>
      <c r="W183" s="1743"/>
      <c r="X183" s="1743"/>
      <c r="Y183" s="1743"/>
      <c r="Z183" s="1743"/>
      <c r="AA183" s="1743"/>
      <c r="AB183" s="1743"/>
      <c r="AC183" s="1743"/>
      <c r="AD183" s="1743"/>
      <c r="AE183" s="1743"/>
      <c r="AF183" s="1743"/>
      <c r="AG183" s="1743"/>
    </row>
    <row r="184" spans="17:33" s="1738" customFormat="1">
      <c r="Q184" s="1743"/>
      <c r="R184" s="1743"/>
      <c r="U184" s="1743"/>
      <c r="V184" s="1743"/>
      <c r="W184" s="1743"/>
      <c r="X184" s="1743"/>
      <c r="Y184" s="1743"/>
      <c r="Z184" s="1743"/>
      <c r="AA184" s="1743"/>
      <c r="AB184" s="1743"/>
      <c r="AC184" s="1743"/>
      <c r="AD184" s="1743"/>
      <c r="AE184" s="1743"/>
      <c r="AF184" s="1743"/>
      <c r="AG184" s="1743"/>
    </row>
    <row r="185" spans="17:33" s="1738" customFormat="1">
      <c r="Q185" s="1743"/>
      <c r="R185" s="1743"/>
      <c r="U185" s="1743"/>
      <c r="V185" s="1743"/>
      <c r="W185" s="1743"/>
      <c r="X185" s="1743"/>
      <c r="Y185" s="1743"/>
      <c r="Z185" s="1743"/>
      <c r="AA185" s="1743"/>
      <c r="AB185" s="1743"/>
      <c r="AC185" s="1743"/>
      <c r="AD185" s="1743"/>
      <c r="AE185" s="1743"/>
      <c r="AF185" s="1743"/>
      <c r="AG185" s="1743"/>
    </row>
    <row r="186" spans="17:33" s="1738" customFormat="1">
      <c r="Q186" s="1743"/>
      <c r="R186" s="1743"/>
      <c r="U186" s="1743"/>
      <c r="V186" s="1743"/>
      <c r="W186" s="1743"/>
      <c r="X186" s="1743"/>
      <c r="Y186" s="1743"/>
      <c r="Z186" s="1743"/>
      <c r="AA186" s="1743"/>
      <c r="AB186" s="1743"/>
      <c r="AC186" s="1743"/>
      <c r="AD186" s="1743"/>
      <c r="AE186" s="1743"/>
      <c r="AF186" s="1743"/>
      <c r="AG186" s="1743"/>
    </row>
    <row r="187" spans="17:33" s="1738" customFormat="1">
      <c r="Q187" s="1743"/>
      <c r="R187" s="1743"/>
      <c r="U187" s="1743"/>
      <c r="V187" s="1743"/>
      <c r="W187" s="1743"/>
      <c r="X187" s="1743"/>
      <c r="Y187" s="1743"/>
      <c r="Z187" s="1743"/>
      <c r="AA187" s="1743"/>
      <c r="AB187" s="1743"/>
      <c r="AC187" s="1743"/>
      <c r="AD187" s="1743"/>
      <c r="AE187" s="1743"/>
      <c r="AF187" s="1743"/>
      <c r="AG187" s="1743"/>
    </row>
    <row r="188" spans="17:33" s="1738" customFormat="1">
      <c r="Q188" s="1743"/>
      <c r="R188" s="1743"/>
      <c r="U188" s="1743"/>
      <c r="V188" s="1743"/>
      <c r="W188" s="1743"/>
      <c r="X188" s="1743"/>
      <c r="Y188" s="1743"/>
      <c r="Z188" s="1743"/>
      <c r="AA188" s="1743"/>
      <c r="AB188" s="1743"/>
      <c r="AC188" s="1743"/>
      <c r="AD188" s="1743"/>
      <c r="AE188" s="1743"/>
      <c r="AF188" s="1743"/>
      <c r="AG188" s="1743"/>
    </row>
    <row r="189" spans="17:33" s="1738" customFormat="1">
      <c r="Q189" s="1743"/>
      <c r="R189" s="1743"/>
      <c r="U189" s="1743"/>
      <c r="V189" s="1743"/>
      <c r="W189" s="1743"/>
      <c r="X189" s="1743"/>
      <c r="Y189" s="1743"/>
      <c r="Z189" s="1743"/>
      <c r="AA189" s="1743"/>
      <c r="AB189" s="1743"/>
      <c r="AC189" s="1743"/>
      <c r="AD189" s="1743"/>
      <c r="AE189" s="1743"/>
      <c r="AF189" s="1743"/>
      <c r="AG189" s="1743"/>
    </row>
    <row r="190" spans="17:33" s="1738" customFormat="1">
      <c r="Q190" s="1743"/>
      <c r="R190" s="1743"/>
      <c r="U190" s="1743"/>
      <c r="V190" s="1743"/>
      <c r="W190" s="1743"/>
      <c r="X190" s="1743"/>
      <c r="Y190" s="1743"/>
      <c r="Z190" s="1743"/>
      <c r="AA190" s="1743"/>
      <c r="AB190" s="1743"/>
      <c r="AC190" s="1743"/>
      <c r="AD190" s="1743"/>
      <c r="AE190" s="1743"/>
      <c r="AF190" s="1743"/>
      <c r="AG190" s="1743"/>
    </row>
    <row r="191" spans="17:33" s="1738" customFormat="1">
      <c r="Q191" s="1743"/>
      <c r="R191" s="1743"/>
      <c r="U191" s="1743"/>
      <c r="V191" s="1743"/>
      <c r="W191" s="1743"/>
      <c r="X191" s="1743"/>
      <c r="Y191" s="1743"/>
      <c r="Z191" s="1743"/>
      <c r="AA191" s="1743"/>
      <c r="AB191" s="1743"/>
      <c r="AC191" s="1743"/>
      <c r="AD191" s="1743"/>
      <c r="AE191" s="1743"/>
      <c r="AF191" s="1743"/>
      <c r="AG191" s="1743"/>
    </row>
    <row r="192" spans="17:33" s="1738" customFormat="1">
      <c r="Q192" s="1743"/>
      <c r="R192" s="1743"/>
      <c r="U192" s="1743"/>
      <c r="V192" s="1743"/>
      <c r="W192" s="1743"/>
      <c r="X192" s="1743"/>
      <c r="Y192" s="1743"/>
      <c r="Z192" s="1743"/>
      <c r="AA192" s="1743"/>
      <c r="AB192" s="1743"/>
      <c r="AC192" s="1743"/>
      <c r="AD192" s="1743"/>
      <c r="AE192" s="1743"/>
      <c r="AF192" s="1743"/>
      <c r="AG192" s="1743"/>
    </row>
    <row r="193" spans="17:33" s="1738" customFormat="1">
      <c r="Q193" s="1743"/>
      <c r="R193" s="1743"/>
      <c r="U193" s="1743"/>
      <c r="V193" s="1743"/>
      <c r="W193" s="1743"/>
      <c r="X193" s="1743"/>
      <c r="Y193" s="1743"/>
      <c r="Z193" s="1743"/>
      <c r="AA193" s="1743"/>
      <c r="AB193" s="1743"/>
      <c r="AC193" s="1743"/>
      <c r="AD193" s="1743"/>
      <c r="AE193" s="1743"/>
      <c r="AF193" s="1743"/>
      <c r="AG193" s="1743"/>
    </row>
    <row r="194" spans="17:33" s="1738" customFormat="1">
      <c r="Q194" s="1743"/>
      <c r="R194" s="1743"/>
      <c r="U194" s="1743"/>
      <c r="V194" s="1743"/>
      <c r="W194" s="1743"/>
      <c r="X194" s="1743"/>
      <c r="Y194" s="1743"/>
      <c r="Z194" s="1743"/>
      <c r="AA194" s="1743"/>
      <c r="AB194" s="1743"/>
      <c r="AC194" s="1743"/>
      <c r="AD194" s="1743"/>
      <c r="AE194" s="1743"/>
      <c r="AF194" s="1743"/>
      <c r="AG194" s="1743"/>
    </row>
    <row r="195" spans="17:33" s="1738" customFormat="1">
      <c r="Q195" s="1743"/>
      <c r="R195" s="1743"/>
      <c r="U195" s="1743"/>
      <c r="V195" s="1743"/>
      <c r="W195" s="1743"/>
      <c r="X195" s="1743"/>
      <c r="Y195" s="1743"/>
      <c r="Z195" s="1743"/>
      <c r="AA195" s="1743"/>
      <c r="AB195" s="1743"/>
      <c r="AC195" s="1743"/>
      <c r="AD195" s="1743"/>
      <c r="AE195" s="1743"/>
      <c r="AF195" s="1743"/>
      <c r="AG195" s="1743"/>
    </row>
    <row r="196" spans="17:33" s="1738" customFormat="1">
      <c r="Q196" s="1743"/>
      <c r="R196" s="1743"/>
      <c r="U196" s="1743"/>
      <c r="V196" s="1743"/>
      <c r="W196" s="1743"/>
      <c r="X196" s="1743"/>
      <c r="Y196" s="1743"/>
      <c r="Z196" s="1743"/>
      <c r="AA196" s="1743"/>
      <c r="AB196" s="1743"/>
      <c r="AC196" s="1743"/>
      <c r="AD196" s="1743"/>
      <c r="AE196" s="1743"/>
      <c r="AF196" s="1743"/>
      <c r="AG196" s="1743"/>
    </row>
    <row r="197" spans="17:33" s="1738" customFormat="1">
      <c r="Q197" s="1743"/>
      <c r="R197" s="1743"/>
      <c r="U197" s="1743"/>
      <c r="V197" s="1743"/>
      <c r="W197" s="1743"/>
      <c r="X197" s="1743"/>
      <c r="Y197" s="1743"/>
      <c r="Z197" s="1743"/>
      <c r="AA197" s="1743"/>
      <c r="AB197" s="1743"/>
      <c r="AC197" s="1743"/>
      <c r="AD197" s="1743"/>
      <c r="AE197" s="1743"/>
      <c r="AF197" s="1743"/>
      <c r="AG197" s="1743"/>
    </row>
    <row r="198" spans="17:33" s="1738" customFormat="1">
      <c r="Q198" s="1743"/>
      <c r="R198" s="1743"/>
      <c r="U198" s="1743"/>
      <c r="V198" s="1743"/>
      <c r="W198" s="1743"/>
      <c r="X198" s="1743"/>
      <c r="Y198" s="1743"/>
      <c r="Z198" s="1743"/>
      <c r="AA198" s="1743"/>
      <c r="AB198" s="1743"/>
      <c r="AC198" s="1743"/>
      <c r="AD198" s="1743"/>
      <c r="AE198" s="1743"/>
      <c r="AF198" s="1743"/>
      <c r="AG198" s="1743"/>
    </row>
    <row r="199" spans="17:33" s="1738" customFormat="1">
      <c r="Q199" s="1743"/>
      <c r="R199" s="1743"/>
      <c r="U199" s="1743"/>
      <c r="V199" s="1743"/>
      <c r="W199" s="1743"/>
      <c r="X199" s="1743"/>
      <c r="Y199" s="1743"/>
      <c r="Z199" s="1743"/>
      <c r="AA199" s="1743"/>
      <c r="AB199" s="1743"/>
      <c r="AC199" s="1743"/>
      <c r="AD199" s="1743"/>
      <c r="AE199" s="1743"/>
      <c r="AF199" s="1743"/>
      <c r="AG199" s="1743"/>
    </row>
    <row r="200" spans="17:33" s="1738" customFormat="1">
      <c r="Q200" s="1743"/>
      <c r="R200" s="1743"/>
      <c r="U200" s="1743"/>
      <c r="V200" s="1743"/>
      <c r="W200" s="1743"/>
      <c r="X200" s="1743"/>
      <c r="Y200" s="1743"/>
      <c r="Z200" s="1743"/>
      <c r="AA200" s="1743"/>
      <c r="AB200" s="1743"/>
      <c r="AC200" s="1743"/>
      <c r="AD200" s="1743"/>
      <c r="AE200" s="1743"/>
      <c r="AF200" s="1743"/>
      <c r="AG200" s="1743"/>
    </row>
    <row r="201" spans="17:33" s="1738" customFormat="1">
      <c r="Q201" s="1743"/>
      <c r="R201" s="1743"/>
      <c r="U201" s="1743"/>
      <c r="V201" s="1743"/>
      <c r="W201" s="1743"/>
      <c r="X201" s="1743"/>
      <c r="Y201" s="1743"/>
      <c r="Z201" s="1743"/>
      <c r="AA201" s="1743"/>
      <c r="AB201" s="1743"/>
      <c r="AC201" s="1743"/>
      <c r="AD201" s="1743"/>
      <c r="AE201" s="1743"/>
      <c r="AF201" s="1743"/>
      <c r="AG201" s="1743"/>
    </row>
    <row r="202" spans="17:33" s="1738" customFormat="1">
      <c r="Q202" s="1743"/>
      <c r="R202" s="1743"/>
      <c r="U202" s="1743"/>
      <c r="V202" s="1743"/>
      <c r="W202" s="1743"/>
      <c r="X202" s="1743"/>
      <c r="Y202" s="1743"/>
      <c r="Z202" s="1743"/>
      <c r="AA202" s="1743"/>
      <c r="AB202" s="1743"/>
      <c r="AC202" s="1743"/>
      <c r="AD202" s="1743"/>
      <c r="AE202" s="1743"/>
      <c r="AF202" s="1743"/>
      <c r="AG202" s="1743"/>
    </row>
    <row r="203" spans="17:33" s="1738" customFormat="1">
      <c r="Q203" s="1743"/>
      <c r="R203" s="1743"/>
      <c r="U203" s="1743"/>
      <c r="V203" s="1743"/>
      <c r="W203" s="1743"/>
      <c r="X203" s="1743"/>
      <c r="Y203" s="1743"/>
      <c r="Z203" s="1743"/>
      <c r="AA203" s="1743"/>
      <c r="AB203" s="1743"/>
      <c r="AC203" s="1743"/>
      <c r="AD203" s="1743"/>
      <c r="AE203" s="1743"/>
      <c r="AF203" s="1743"/>
      <c r="AG203" s="1743"/>
    </row>
    <row r="204" spans="17:33" s="1738" customFormat="1">
      <c r="Q204" s="1743"/>
      <c r="R204" s="1743"/>
      <c r="U204" s="1743"/>
      <c r="V204" s="1743"/>
      <c r="W204" s="1743"/>
      <c r="X204" s="1743"/>
      <c r="Y204" s="1743"/>
      <c r="Z204" s="1743"/>
      <c r="AA204" s="1743"/>
      <c r="AB204" s="1743"/>
      <c r="AC204" s="1743"/>
      <c r="AD204" s="1743"/>
      <c r="AE204" s="1743"/>
      <c r="AF204" s="1743"/>
      <c r="AG204" s="1743"/>
    </row>
    <row r="205" spans="17:33" s="1738" customFormat="1">
      <c r="Q205" s="1743"/>
      <c r="R205" s="1743"/>
      <c r="U205" s="1743"/>
      <c r="V205" s="1743"/>
      <c r="W205" s="1743"/>
      <c r="X205" s="1743"/>
      <c r="Y205" s="1743"/>
      <c r="Z205" s="1743"/>
      <c r="AA205" s="1743"/>
      <c r="AB205" s="1743"/>
      <c r="AC205" s="1743"/>
      <c r="AD205" s="1743"/>
      <c r="AE205" s="1743"/>
      <c r="AF205" s="1743"/>
      <c r="AG205" s="1743"/>
    </row>
    <row r="206" spans="17:33" s="1738" customFormat="1">
      <c r="Q206" s="1743"/>
      <c r="R206" s="1743"/>
      <c r="U206" s="1743"/>
      <c r="V206" s="1743"/>
      <c r="W206" s="1743"/>
      <c r="X206" s="1743"/>
      <c r="Y206" s="1743"/>
      <c r="Z206" s="1743"/>
      <c r="AA206" s="1743"/>
      <c r="AB206" s="1743"/>
      <c r="AC206" s="1743"/>
      <c r="AD206" s="1743"/>
      <c r="AE206" s="1743"/>
      <c r="AF206" s="1743"/>
      <c r="AG206" s="1743"/>
    </row>
    <row r="207" spans="17:33" s="1738" customFormat="1">
      <c r="Q207" s="1743"/>
      <c r="R207" s="1743"/>
      <c r="U207" s="1743"/>
      <c r="V207" s="1743"/>
      <c r="W207" s="1743"/>
      <c r="X207" s="1743"/>
      <c r="Y207" s="1743"/>
      <c r="Z207" s="1743"/>
      <c r="AA207" s="1743"/>
      <c r="AB207" s="1743"/>
      <c r="AC207" s="1743"/>
      <c r="AD207" s="1743"/>
      <c r="AE207" s="1743"/>
      <c r="AF207" s="1743"/>
      <c r="AG207" s="1743"/>
    </row>
    <row r="208" spans="17:33" s="1738" customFormat="1">
      <c r="Q208" s="1743"/>
      <c r="R208" s="1743"/>
      <c r="U208" s="1743"/>
      <c r="V208" s="1743"/>
      <c r="W208" s="1743"/>
      <c r="X208" s="1743"/>
      <c r="Y208" s="1743"/>
      <c r="Z208" s="1743"/>
      <c r="AA208" s="1743"/>
      <c r="AB208" s="1743"/>
      <c r="AC208" s="1743"/>
      <c r="AD208" s="1743"/>
      <c r="AE208" s="1743"/>
      <c r="AF208" s="1743"/>
      <c r="AG208" s="1743"/>
    </row>
    <row r="209" spans="17:33" s="1738" customFormat="1">
      <c r="Q209" s="1743"/>
      <c r="R209" s="1743"/>
      <c r="U209" s="1743"/>
      <c r="V209" s="1743"/>
      <c r="W209" s="1743"/>
      <c r="X209" s="1743"/>
      <c r="Y209" s="1743"/>
      <c r="Z209" s="1743"/>
      <c r="AA209" s="1743"/>
      <c r="AB209" s="1743"/>
      <c r="AC209" s="1743"/>
      <c r="AD209" s="1743"/>
      <c r="AE209" s="1743"/>
      <c r="AF209" s="1743"/>
      <c r="AG209" s="1743"/>
    </row>
    <row r="210" spans="17:33" s="1738" customFormat="1">
      <c r="Q210" s="1743"/>
      <c r="R210" s="1743"/>
      <c r="U210" s="1743"/>
      <c r="V210" s="1743"/>
      <c r="W210" s="1743"/>
      <c r="X210" s="1743"/>
      <c r="Y210" s="1743"/>
      <c r="Z210" s="1743"/>
      <c r="AA210" s="1743"/>
      <c r="AB210" s="1743"/>
      <c r="AC210" s="1743"/>
      <c r="AD210" s="1743"/>
      <c r="AE210" s="1743"/>
      <c r="AF210" s="1743"/>
      <c r="AG210" s="1743"/>
    </row>
    <row r="211" spans="17:33" s="1738" customFormat="1">
      <c r="Q211" s="1743"/>
      <c r="R211" s="1743"/>
      <c r="U211" s="1743"/>
      <c r="V211" s="1743"/>
      <c r="W211" s="1743"/>
      <c r="X211" s="1743"/>
      <c r="Y211" s="1743"/>
      <c r="Z211" s="1743"/>
      <c r="AA211" s="1743"/>
      <c r="AB211" s="1743"/>
      <c r="AC211" s="1743"/>
      <c r="AD211" s="1743"/>
      <c r="AE211" s="1743"/>
      <c r="AF211" s="1743"/>
      <c r="AG211" s="1743"/>
    </row>
    <row r="212" spans="17:33" s="1738" customFormat="1">
      <c r="Q212" s="1743"/>
      <c r="R212" s="1743"/>
      <c r="U212" s="1743"/>
      <c r="V212" s="1743"/>
      <c r="W212" s="1743"/>
      <c r="X212" s="1743"/>
      <c r="Y212" s="1743"/>
      <c r="Z212" s="1743"/>
      <c r="AA212" s="1743"/>
      <c r="AB212" s="1743"/>
      <c r="AC212" s="1743"/>
      <c r="AD212" s="1743"/>
      <c r="AE212" s="1743"/>
      <c r="AF212" s="1743"/>
      <c r="AG212" s="1743"/>
    </row>
    <row r="213" spans="17:33" s="1738" customFormat="1">
      <c r="Q213" s="1743"/>
      <c r="R213" s="1743"/>
      <c r="U213" s="1743"/>
      <c r="V213" s="1743"/>
      <c r="W213" s="1743"/>
      <c r="X213" s="1743"/>
      <c r="Y213" s="1743"/>
      <c r="Z213" s="1743"/>
      <c r="AA213" s="1743"/>
      <c r="AB213" s="1743"/>
      <c r="AC213" s="1743"/>
      <c r="AD213" s="1743"/>
      <c r="AE213" s="1743"/>
      <c r="AF213" s="1743"/>
      <c r="AG213" s="1743"/>
    </row>
    <row r="214" spans="17:33" s="1738" customFormat="1">
      <c r="Q214" s="1743"/>
      <c r="R214" s="1743"/>
      <c r="U214" s="1743"/>
      <c r="V214" s="1743"/>
      <c r="W214" s="1743"/>
      <c r="X214" s="1743"/>
      <c r="Y214" s="1743"/>
      <c r="Z214" s="1743"/>
      <c r="AA214" s="1743"/>
      <c r="AB214" s="1743"/>
      <c r="AC214" s="1743"/>
      <c r="AD214" s="1743"/>
      <c r="AE214" s="1743"/>
      <c r="AF214" s="1743"/>
      <c r="AG214" s="1743"/>
    </row>
    <row r="215" spans="17:33" s="1738" customFormat="1">
      <c r="Q215" s="1743"/>
      <c r="R215" s="1743"/>
      <c r="U215" s="1743"/>
      <c r="V215" s="1743"/>
      <c r="W215" s="1743"/>
      <c r="X215" s="1743"/>
      <c r="Y215" s="1743"/>
      <c r="Z215" s="1743"/>
      <c r="AA215" s="1743"/>
      <c r="AB215" s="1743"/>
      <c r="AC215" s="1743"/>
      <c r="AD215" s="1743"/>
      <c r="AE215" s="1743"/>
      <c r="AF215" s="1743"/>
      <c r="AG215" s="1743"/>
    </row>
    <row r="216" spans="17:33" s="1738" customFormat="1">
      <c r="Q216" s="1743"/>
      <c r="R216" s="1743"/>
      <c r="U216" s="1743"/>
      <c r="V216" s="1743"/>
      <c r="W216" s="1743"/>
      <c r="X216" s="1743"/>
      <c r="Y216" s="1743"/>
      <c r="Z216" s="1743"/>
      <c r="AA216" s="1743"/>
      <c r="AB216" s="1743"/>
      <c r="AC216" s="1743"/>
      <c r="AD216" s="1743"/>
      <c r="AE216" s="1743"/>
      <c r="AF216" s="1743"/>
      <c r="AG216" s="1743"/>
    </row>
    <row r="217" spans="17:33" s="1738" customFormat="1">
      <c r="Q217" s="1743"/>
      <c r="R217" s="1743"/>
      <c r="U217" s="1743"/>
      <c r="V217" s="1743"/>
      <c r="W217" s="1743"/>
      <c r="X217" s="1743"/>
      <c r="Y217" s="1743"/>
      <c r="Z217" s="1743"/>
      <c r="AA217" s="1743"/>
      <c r="AB217" s="1743"/>
      <c r="AC217" s="1743"/>
      <c r="AD217" s="1743"/>
      <c r="AE217" s="1743"/>
      <c r="AF217" s="1743"/>
      <c r="AG217" s="1743"/>
    </row>
    <row r="218" spans="17:33" s="1738" customFormat="1">
      <c r="Q218" s="1743"/>
      <c r="R218" s="1743"/>
      <c r="U218" s="1743"/>
      <c r="V218" s="1743"/>
      <c r="W218" s="1743"/>
      <c r="X218" s="1743"/>
      <c r="Y218" s="1743"/>
      <c r="Z218" s="1743"/>
      <c r="AA218" s="1743"/>
      <c r="AB218" s="1743"/>
      <c r="AC218" s="1743"/>
      <c r="AD218" s="1743"/>
      <c r="AE218" s="1743"/>
      <c r="AF218" s="1743"/>
      <c r="AG218" s="1743"/>
    </row>
    <row r="219" spans="17:33" s="1738" customFormat="1">
      <c r="Q219" s="1743"/>
      <c r="R219" s="1743"/>
      <c r="U219" s="1743"/>
      <c r="V219" s="1743"/>
      <c r="W219" s="1743"/>
      <c r="X219" s="1743"/>
      <c r="Y219" s="1743"/>
      <c r="Z219" s="1743"/>
      <c r="AA219" s="1743"/>
      <c r="AB219" s="1743"/>
      <c r="AC219" s="1743"/>
      <c r="AD219" s="1743"/>
      <c r="AE219" s="1743"/>
      <c r="AF219" s="1743"/>
      <c r="AG219" s="1743"/>
    </row>
    <row r="220" spans="17:33" s="1738" customFormat="1">
      <c r="Q220" s="1743"/>
      <c r="R220" s="1743"/>
      <c r="U220" s="1743"/>
      <c r="V220" s="1743"/>
      <c r="W220" s="1743"/>
      <c r="X220" s="1743"/>
      <c r="Y220" s="1743"/>
      <c r="Z220" s="1743"/>
      <c r="AA220" s="1743"/>
      <c r="AB220" s="1743"/>
      <c r="AC220" s="1743"/>
      <c r="AD220" s="1743"/>
      <c r="AE220" s="1743"/>
      <c r="AF220" s="1743"/>
      <c r="AG220" s="1743"/>
    </row>
    <row r="221" spans="17:33" s="1738" customFormat="1">
      <c r="Q221" s="1743"/>
      <c r="R221" s="1743"/>
      <c r="U221" s="1743"/>
      <c r="V221" s="1743"/>
      <c r="W221" s="1743"/>
      <c r="X221" s="1743"/>
      <c r="Y221" s="1743"/>
      <c r="Z221" s="1743"/>
      <c r="AA221" s="1743"/>
      <c r="AB221" s="1743"/>
      <c r="AC221" s="1743"/>
      <c r="AD221" s="1743"/>
      <c r="AE221" s="1743"/>
      <c r="AF221" s="1743"/>
      <c r="AG221" s="1743"/>
    </row>
    <row r="222" spans="17:33" s="1738" customFormat="1">
      <c r="Q222" s="1743"/>
      <c r="R222" s="1743"/>
      <c r="U222" s="1743"/>
      <c r="V222" s="1743"/>
      <c r="W222" s="1743"/>
      <c r="X222" s="1743"/>
      <c r="Y222" s="1743"/>
      <c r="Z222" s="1743"/>
      <c r="AA222" s="1743"/>
      <c r="AB222" s="1743"/>
      <c r="AC222" s="1743"/>
      <c r="AD222" s="1743"/>
      <c r="AE222" s="1743"/>
      <c r="AF222" s="1743"/>
      <c r="AG222" s="1743"/>
    </row>
    <row r="223" spans="17:33" s="1738" customFormat="1">
      <c r="Q223" s="1743"/>
      <c r="R223" s="1743"/>
      <c r="U223" s="1743"/>
      <c r="V223" s="1743"/>
      <c r="W223" s="1743"/>
      <c r="X223" s="1743"/>
      <c r="Y223" s="1743"/>
      <c r="Z223" s="1743"/>
      <c r="AA223" s="1743"/>
      <c r="AB223" s="1743"/>
      <c r="AC223" s="1743"/>
      <c r="AD223" s="1743"/>
      <c r="AE223" s="1743"/>
      <c r="AF223" s="1743"/>
      <c r="AG223" s="1743"/>
    </row>
    <row r="224" spans="17:33" s="1738" customFormat="1">
      <c r="Q224" s="1743"/>
      <c r="R224" s="1743"/>
      <c r="U224" s="1743"/>
      <c r="V224" s="1743"/>
      <c r="W224" s="1743"/>
      <c r="X224" s="1743"/>
      <c r="Y224" s="1743"/>
      <c r="Z224" s="1743"/>
      <c r="AA224" s="1743"/>
      <c r="AB224" s="1743"/>
      <c r="AC224" s="1743"/>
      <c r="AD224" s="1743"/>
      <c r="AE224" s="1743"/>
      <c r="AF224" s="1743"/>
      <c r="AG224" s="1743"/>
    </row>
    <row r="225" spans="17:33" s="1738" customFormat="1">
      <c r="Q225" s="1743"/>
      <c r="R225" s="1743"/>
      <c r="U225" s="1743"/>
      <c r="V225" s="1743"/>
      <c r="W225" s="1743"/>
      <c r="X225" s="1743"/>
      <c r="Y225" s="1743"/>
      <c r="Z225" s="1743"/>
      <c r="AA225" s="1743"/>
      <c r="AB225" s="1743"/>
      <c r="AC225" s="1743"/>
      <c r="AD225" s="1743"/>
      <c r="AE225" s="1743"/>
      <c r="AF225" s="1743"/>
      <c r="AG225" s="1743"/>
    </row>
    <row r="226" spans="17:33" s="1738" customFormat="1">
      <c r="Q226" s="1743"/>
      <c r="R226" s="1743"/>
      <c r="U226" s="1743"/>
      <c r="V226" s="1743"/>
      <c r="W226" s="1743"/>
      <c r="X226" s="1743"/>
      <c r="Y226" s="1743"/>
      <c r="Z226" s="1743"/>
      <c r="AA226" s="1743"/>
      <c r="AB226" s="1743"/>
      <c r="AC226" s="1743"/>
      <c r="AD226" s="1743"/>
      <c r="AE226" s="1743"/>
      <c r="AF226" s="1743"/>
      <c r="AG226" s="1743"/>
    </row>
    <row r="227" spans="17:33" s="1738" customFormat="1">
      <c r="Q227" s="1743"/>
      <c r="R227" s="1743"/>
      <c r="U227" s="1743"/>
      <c r="V227" s="1743"/>
      <c r="W227" s="1743"/>
      <c r="X227" s="1743"/>
      <c r="Y227" s="1743"/>
      <c r="Z227" s="1743"/>
      <c r="AA227" s="1743"/>
      <c r="AB227" s="1743"/>
      <c r="AC227" s="1743"/>
      <c r="AD227" s="1743"/>
      <c r="AE227" s="1743"/>
      <c r="AF227" s="1743"/>
      <c r="AG227" s="1743"/>
    </row>
    <row r="228" spans="17:33" s="1738" customFormat="1">
      <c r="Q228" s="1743"/>
      <c r="R228" s="1743"/>
      <c r="U228" s="1743"/>
      <c r="V228" s="1743"/>
      <c r="W228" s="1743"/>
      <c r="X228" s="1743"/>
      <c r="Y228" s="1743"/>
      <c r="Z228" s="1743"/>
      <c r="AA228" s="1743"/>
      <c r="AB228" s="1743"/>
      <c r="AC228" s="1743"/>
      <c r="AD228" s="1743"/>
      <c r="AE228" s="1743"/>
      <c r="AF228" s="1743"/>
      <c r="AG228" s="1743"/>
    </row>
    <row r="229" spans="17:33" s="1738" customFormat="1">
      <c r="Q229" s="1743"/>
      <c r="R229" s="1743"/>
      <c r="U229" s="1743"/>
      <c r="V229" s="1743"/>
      <c r="W229" s="1743"/>
      <c r="X229" s="1743"/>
      <c r="Y229" s="1743"/>
      <c r="Z229" s="1743"/>
      <c r="AA229" s="1743"/>
      <c r="AB229" s="1743"/>
      <c r="AC229" s="1743"/>
      <c r="AD229" s="1743"/>
      <c r="AE229" s="1743"/>
      <c r="AF229" s="1743"/>
      <c r="AG229" s="1743"/>
    </row>
    <row r="230" spans="17:33" s="1738" customFormat="1">
      <c r="Q230" s="1743"/>
      <c r="R230" s="1743"/>
      <c r="U230" s="1743"/>
      <c r="V230" s="1743"/>
      <c r="W230" s="1743"/>
      <c r="X230" s="1743"/>
      <c r="Y230" s="1743"/>
      <c r="Z230" s="1743"/>
      <c r="AA230" s="1743"/>
      <c r="AB230" s="1743"/>
      <c r="AC230" s="1743"/>
      <c r="AD230" s="1743"/>
      <c r="AE230" s="1743"/>
      <c r="AF230" s="1743"/>
      <c r="AG230" s="1743"/>
    </row>
    <row r="231" spans="17:33" s="1738" customFormat="1">
      <c r="Q231" s="1743"/>
      <c r="R231" s="1743"/>
      <c r="U231" s="1743"/>
      <c r="V231" s="1743"/>
      <c r="W231" s="1743"/>
      <c r="X231" s="1743"/>
      <c r="Y231" s="1743"/>
      <c r="Z231" s="1743"/>
      <c r="AA231" s="1743"/>
      <c r="AB231" s="1743"/>
      <c r="AC231" s="1743"/>
      <c r="AD231" s="1743"/>
      <c r="AE231" s="1743"/>
      <c r="AF231" s="1743"/>
      <c r="AG231" s="1743"/>
    </row>
    <row r="232" spans="17:33" s="1738" customFormat="1">
      <c r="Q232" s="1743"/>
      <c r="R232" s="1743"/>
      <c r="U232" s="1743"/>
      <c r="V232" s="1743"/>
      <c r="W232" s="1743"/>
      <c r="X232" s="1743"/>
      <c r="Y232" s="1743"/>
      <c r="Z232" s="1743"/>
      <c r="AA232" s="1743"/>
      <c r="AB232" s="1743"/>
      <c r="AC232" s="1743"/>
      <c r="AD232" s="1743"/>
      <c r="AE232" s="1743"/>
      <c r="AF232" s="1743"/>
      <c r="AG232" s="1743"/>
    </row>
    <row r="233" spans="17:33" s="1738" customFormat="1">
      <c r="Q233" s="1743"/>
      <c r="R233" s="1743"/>
      <c r="U233" s="1743"/>
      <c r="V233" s="1743"/>
      <c r="W233" s="1743"/>
      <c r="X233" s="1743"/>
      <c r="Y233" s="1743"/>
      <c r="Z233" s="1743"/>
      <c r="AA233" s="1743"/>
      <c r="AB233" s="1743"/>
      <c r="AC233" s="1743"/>
      <c r="AD233" s="1743"/>
      <c r="AE233" s="1743"/>
      <c r="AF233" s="1743"/>
      <c r="AG233" s="1743"/>
    </row>
    <row r="234" spans="17:33" s="1738" customFormat="1">
      <c r="Q234" s="1743"/>
      <c r="R234" s="1743"/>
      <c r="U234" s="1743"/>
      <c r="V234" s="1743"/>
      <c r="W234" s="1743"/>
      <c r="X234" s="1743"/>
      <c r="Y234" s="1743"/>
      <c r="Z234" s="1743"/>
      <c r="AA234" s="1743"/>
      <c r="AB234" s="1743"/>
      <c r="AC234" s="1743"/>
      <c r="AD234" s="1743"/>
      <c r="AE234" s="1743"/>
      <c r="AF234" s="1743"/>
      <c r="AG234" s="1743"/>
    </row>
    <row r="235" spans="17:33" s="1738" customFormat="1">
      <c r="Q235" s="1743"/>
      <c r="R235" s="1743"/>
      <c r="U235" s="1743"/>
      <c r="V235" s="1743"/>
      <c r="W235" s="1743"/>
      <c r="X235" s="1743"/>
      <c r="Y235" s="1743"/>
      <c r="Z235" s="1743"/>
      <c r="AA235" s="1743"/>
      <c r="AB235" s="1743"/>
      <c r="AC235" s="1743"/>
      <c r="AD235" s="1743"/>
      <c r="AE235" s="1743"/>
      <c r="AF235" s="1743"/>
      <c r="AG235" s="1743"/>
    </row>
    <row r="236" spans="17:33" s="1738" customFormat="1">
      <c r="Q236" s="1743"/>
      <c r="R236" s="1743"/>
      <c r="U236" s="1743"/>
      <c r="V236" s="1743"/>
      <c r="W236" s="1743"/>
      <c r="X236" s="1743"/>
      <c r="Y236" s="1743"/>
      <c r="Z236" s="1743"/>
      <c r="AA236" s="1743"/>
      <c r="AB236" s="1743"/>
      <c r="AC236" s="1743"/>
      <c r="AD236" s="1743"/>
      <c r="AE236" s="1743"/>
      <c r="AF236" s="1743"/>
      <c r="AG236" s="1743"/>
    </row>
    <row r="237" spans="17:33" s="1738" customFormat="1">
      <c r="Q237" s="1743"/>
      <c r="R237" s="1743"/>
      <c r="U237" s="1743"/>
      <c r="V237" s="1743"/>
      <c r="W237" s="1743"/>
      <c r="X237" s="1743"/>
      <c r="Y237" s="1743"/>
      <c r="Z237" s="1743"/>
      <c r="AA237" s="1743"/>
      <c r="AB237" s="1743"/>
      <c r="AC237" s="1743"/>
      <c r="AD237" s="1743"/>
      <c r="AE237" s="1743"/>
      <c r="AF237" s="1743"/>
      <c r="AG237" s="1743"/>
    </row>
    <row r="238" spans="17:33" s="1738" customFormat="1">
      <c r="Q238" s="1743"/>
      <c r="R238" s="1743"/>
      <c r="U238" s="1743"/>
      <c r="V238" s="1743"/>
      <c r="W238" s="1743"/>
      <c r="X238" s="1743"/>
      <c r="Y238" s="1743"/>
      <c r="Z238" s="1743"/>
      <c r="AA238" s="1743"/>
      <c r="AB238" s="1743"/>
      <c r="AC238" s="1743"/>
      <c r="AD238" s="1743"/>
      <c r="AE238" s="1743"/>
      <c r="AF238" s="1743"/>
      <c r="AG238" s="1743"/>
    </row>
    <row r="239" spans="17:33" s="1738" customFormat="1">
      <c r="Q239" s="1743"/>
      <c r="R239" s="1743"/>
      <c r="U239" s="1743"/>
      <c r="V239" s="1743"/>
      <c r="W239" s="1743"/>
      <c r="X239" s="1743"/>
      <c r="Y239" s="1743"/>
      <c r="Z239" s="1743"/>
      <c r="AA239" s="1743"/>
      <c r="AB239" s="1743"/>
      <c r="AC239" s="1743"/>
      <c r="AD239" s="1743"/>
      <c r="AE239" s="1743"/>
      <c r="AF239" s="1743"/>
      <c r="AG239" s="1743"/>
    </row>
    <row r="240" spans="17:33" s="1738" customFormat="1">
      <c r="Q240" s="1743"/>
      <c r="R240" s="1743"/>
      <c r="U240" s="1743"/>
      <c r="V240" s="1743"/>
      <c r="W240" s="1743"/>
      <c r="X240" s="1743"/>
      <c r="Y240" s="1743"/>
      <c r="Z240" s="1743"/>
      <c r="AA240" s="1743"/>
      <c r="AB240" s="1743"/>
      <c r="AC240" s="1743"/>
      <c r="AD240" s="1743"/>
      <c r="AE240" s="1743"/>
      <c r="AF240" s="1743"/>
      <c r="AG240" s="1743"/>
    </row>
    <row r="241" spans="17:33" s="1738" customFormat="1">
      <c r="Q241" s="1743"/>
      <c r="R241" s="1743"/>
      <c r="U241" s="1743"/>
      <c r="V241" s="1743"/>
      <c r="W241" s="1743"/>
      <c r="X241" s="1743"/>
      <c r="Y241" s="1743"/>
      <c r="Z241" s="1743"/>
      <c r="AA241" s="1743"/>
      <c r="AB241" s="1743"/>
      <c r="AC241" s="1743"/>
      <c r="AD241" s="1743"/>
      <c r="AE241" s="1743"/>
      <c r="AF241" s="1743"/>
      <c r="AG241" s="1743"/>
    </row>
    <row r="242" spans="17:33" s="1738" customFormat="1">
      <c r="Q242" s="1743"/>
      <c r="R242" s="1743"/>
      <c r="U242" s="1743"/>
      <c r="V242" s="1743"/>
      <c r="W242" s="1743"/>
      <c r="X242" s="1743"/>
      <c r="Y242" s="1743"/>
      <c r="Z242" s="1743"/>
      <c r="AA242" s="1743"/>
      <c r="AB242" s="1743"/>
      <c r="AC242" s="1743"/>
      <c r="AD242" s="1743"/>
      <c r="AE242" s="1743"/>
      <c r="AF242" s="1743"/>
      <c r="AG242" s="1743"/>
    </row>
    <row r="243" spans="17:33" s="1738" customFormat="1">
      <c r="Q243" s="1743"/>
      <c r="R243" s="1743"/>
      <c r="U243" s="1743"/>
      <c r="V243" s="1743"/>
      <c r="W243" s="1743"/>
      <c r="X243" s="1743"/>
      <c r="Y243" s="1743"/>
      <c r="Z243" s="1743"/>
      <c r="AA243" s="1743"/>
      <c r="AB243" s="1743"/>
      <c r="AC243" s="1743"/>
      <c r="AD243" s="1743"/>
      <c r="AE243" s="1743"/>
      <c r="AF243" s="1743"/>
      <c r="AG243" s="1743"/>
    </row>
    <row r="244" spans="17:33" s="1738" customFormat="1">
      <c r="Q244" s="1743"/>
      <c r="R244" s="1743"/>
      <c r="U244" s="1743"/>
      <c r="V244" s="1743"/>
      <c r="W244" s="1743"/>
      <c r="X244" s="1743"/>
      <c r="Y244" s="1743"/>
      <c r="Z244" s="1743"/>
      <c r="AA244" s="1743"/>
      <c r="AB244" s="1743"/>
      <c r="AC244" s="1743"/>
      <c r="AD244" s="1743"/>
      <c r="AE244" s="1743"/>
      <c r="AF244" s="1743"/>
      <c r="AG244" s="1743"/>
    </row>
    <row r="245" spans="17:33" s="1738" customFormat="1">
      <c r="Q245" s="1743"/>
      <c r="R245" s="1743"/>
      <c r="U245" s="1743"/>
      <c r="V245" s="1743"/>
      <c r="W245" s="1743"/>
      <c r="X245" s="1743"/>
      <c r="Y245" s="1743"/>
      <c r="Z245" s="1743"/>
      <c r="AA245" s="1743"/>
      <c r="AB245" s="1743"/>
      <c r="AC245" s="1743"/>
      <c r="AD245" s="1743"/>
      <c r="AE245" s="1743"/>
      <c r="AF245" s="1743"/>
      <c r="AG245" s="1743"/>
    </row>
    <row r="246" spans="17:33" s="1738" customFormat="1">
      <c r="Q246" s="1743"/>
      <c r="R246" s="1743"/>
      <c r="U246" s="1743"/>
      <c r="V246" s="1743"/>
      <c r="W246" s="1743"/>
      <c r="X246" s="1743"/>
      <c r="Y246" s="1743"/>
      <c r="Z246" s="1743"/>
      <c r="AA246" s="1743"/>
      <c r="AB246" s="1743"/>
      <c r="AC246" s="1743"/>
      <c r="AD246" s="1743"/>
      <c r="AE246" s="1743"/>
      <c r="AF246" s="1743"/>
      <c r="AG246" s="1743"/>
    </row>
    <row r="247" spans="17:33" s="1738" customFormat="1">
      <c r="Q247" s="1743"/>
      <c r="R247" s="1743"/>
      <c r="U247" s="1743"/>
      <c r="V247" s="1743"/>
      <c r="W247" s="1743"/>
      <c r="X247" s="1743"/>
      <c r="Y247" s="1743"/>
      <c r="Z247" s="1743"/>
      <c r="AA247" s="1743"/>
      <c r="AB247" s="1743"/>
      <c r="AC247" s="1743"/>
      <c r="AD247" s="1743"/>
      <c r="AE247" s="1743"/>
      <c r="AF247" s="1743"/>
      <c r="AG247" s="1743"/>
    </row>
    <row r="248" spans="17:33" s="1738" customFormat="1">
      <c r="Q248" s="1743"/>
      <c r="R248" s="1743"/>
      <c r="U248" s="1743"/>
      <c r="V248" s="1743"/>
      <c r="W248" s="1743"/>
      <c r="X248" s="1743"/>
      <c r="Y248" s="1743"/>
      <c r="Z248" s="1743"/>
      <c r="AA248" s="1743"/>
      <c r="AB248" s="1743"/>
      <c r="AC248" s="1743"/>
      <c r="AD248" s="1743"/>
      <c r="AE248" s="1743"/>
      <c r="AF248" s="1743"/>
      <c r="AG248" s="1743"/>
    </row>
    <row r="249" spans="17:33" s="1738" customFormat="1">
      <c r="Q249" s="1743"/>
      <c r="R249" s="1743"/>
      <c r="U249" s="1743"/>
      <c r="V249" s="1743"/>
      <c r="W249" s="1743"/>
      <c r="X249" s="1743"/>
      <c r="Y249" s="1743"/>
      <c r="Z249" s="1743"/>
      <c r="AA249" s="1743"/>
      <c r="AB249" s="1743"/>
      <c r="AC249" s="1743"/>
      <c r="AD249" s="1743"/>
      <c r="AE249" s="1743"/>
      <c r="AF249" s="1743"/>
      <c r="AG249" s="1743"/>
    </row>
    <row r="250" spans="17:33" s="1738" customFormat="1">
      <c r="Q250" s="1743"/>
      <c r="R250" s="1743"/>
      <c r="U250" s="1743"/>
      <c r="V250" s="1743"/>
      <c r="W250" s="1743"/>
      <c r="X250" s="1743"/>
      <c r="Y250" s="1743"/>
      <c r="Z250" s="1743"/>
      <c r="AA250" s="1743"/>
      <c r="AB250" s="1743"/>
      <c r="AC250" s="1743"/>
      <c r="AD250" s="1743"/>
      <c r="AE250" s="1743"/>
      <c r="AF250" s="1743"/>
      <c r="AG250" s="1743"/>
    </row>
    <row r="251" spans="17:33" s="1738" customFormat="1">
      <c r="Q251" s="1743"/>
      <c r="R251" s="1743"/>
      <c r="U251" s="1743"/>
      <c r="V251" s="1743"/>
      <c r="W251" s="1743"/>
      <c r="X251" s="1743"/>
      <c r="Y251" s="1743"/>
      <c r="Z251" s="1743"/>
      <c r="AA251" s="1743"/>
      <c r="AB251" s="1743"/>
      <c r="AC251" s="1743"/>
      <c r="AD251" s="1743"/>
      <c r="AE251" s="1743"/>
      <c r="AF251" s="1743"/>
      <c r="AG251" s="1743"/>
    </row>
    <row r="252" spans="17:33" s="1738" customFormat="1">
      <c r="Q252" s="1743"/>
      <c r="R252" s="1743"/>
      <c r="U252" s="1743"/>
      <c r="V252" s="1743"/>
      <c r="W252" s="1743"/>
      <c r="X252" s="1743"/>
      <c r="Y252" s="1743"/>
      <c r="Z252" s="1743"/>
      <c r="AA252" s="1743"/>
      <c r="AB252" s="1743"/>
      <c r="AC252" s="1743"/>
      <c r="AD252" s="1743"/>
      <c r="AE252" s="1743"/>
      <c r="AF252" s="1743"/>
      <c r="AG252" s="1743"/>
    </row>
    <row r="253" spans="17:33" s="1738" customFormat="1">
      <c r="Q253" s="1743"/>
      <c r="R253" s="1743"/>
      <c r="U253" s="1743"/>
      <c r="V253" s="1743"/>
      <c r="W253" s="1743"/>
      <c r="X253" s="1743"/>
      <c r="Y253" s="1743"/>
      <c r="Z253" s="1743"/>
      <c r="AA253" s="1743"/>
      <c r="AB253" s="1743"/>
      <c r="AC253" s="1743"/>
      <c r="AD253" s="1743"/>
      <c r="AE253" s="1743"/>
      <c r="AF253" s="1743"/>
      <c r="AG253" s="1743"/>
    </row>
    <row r="254" spans="17:33" s="1738" customFormat="1">
      <c r="Q254" s="1743"/>
      <c r="R254" s="1743"/>
      <c r="U254" s="1743"/>
      <c r="V254" s="1743"/>
      <c r="W254" s="1743"/>
      <c r="X254" s="1743"/>
      <c r="Y254" s="1743"/>
      <c r="Z254" s="1743"/>
      <c r="AA254" s="1743"/>
      <c r="AB254" s="1743"/>
      <c r="AC254" s="1743"/>
      <c r="AD254" s="1743"/>
      <c r="AE254" s="1743"/>
      <c r="AF254" s="1743"/>
      <c r="AG254" s="1743"/>
    </row>
    <row r="255" spans="17:33" s="1738" customFormat="1">
      <c r="Q255" s="1743"/>
      <c r="R255" s="1743"/>
      <c r="U255" s="1743"/>
      <c r="V255" s="1743"/>
      <c r="W255" s="1743"/>
      <c r="X255" s="1743"/>
      <c r="Y255" s="1743"/>
      <c r="Z255" s="1743"/>
      <c r="AA255" s="1743"/>
      <c r="AB255" s="1743"/>
      <c r="AC255" s="1743"/>
      <c r="AD255" s="1743"/>
      <c r="AE255" s="1743"/>
      <c r="AF255" s="1743"/>
      <c r="AG255" s="1743"/>
    </row>
    <row r="256" spans="17:33" s="1738" customFormat="1">
      <c r="Q256" s="1743"/>
      <c r="R256" s="1743"/>
      <c r="U256" s="1743"/>
      <c r="V256" s="1743"/>
      <c r="W256" s="1743"/>
      <c r="X256" s="1743"/>
      <c r="Y256" s="1743"/>
      <c r="Z256" s="1743"/>
      <c r="AA256" s="1743"/>
      <c r="AB256" s="1743"/>
      <c r="AC256" s="1743"/>
      <c r="AD256" s="1743"/>
      <c r="AE256" s="1743"/>
      <c r="AF256" s="1743"/>
      <c r="AG256" s="1743"/>
    </row>
    <row r="257" spans="17:33" s="1738" customFormat="1">
      <c r="Q257" s="1743"/>
      <c r="R257" s="1743"/>
      <c r="U257" s="1743"/>
      <c r="V257" s="1743"/>
      <c r="W257" s="1743"/>
      <c r="X257" s="1743"/>
      <c r="Y257" s="1743"/>
      <c r="Z257" s="1743"/>
      <c r="AA257" s="1743"/>
      <c r="AB257" s="1743"/>
      <c r="AC257" s="1743"/>
      <c r="AD257" s="1743"/>
      <c r="AE257" s="1743"/>
      <c r="AF257" s="1743"/>
      <c r="AG257" s="1743"/>
    </row>
    <row r="258" spans="17:33" s="1738" customFormat="1">
      <c r="Q258" s="1743"/>
      <c r="R258" s="1743"/>
      <c r="U258" s="1743"/>
      <c r="V258" s="1743"/>
      <c r="W258" s="1743"/>
      <c r="X258" s="1743"/>
      <c r="Y258" s="1743"/>
      <c r="Z258" s="1743"/>
      <c r="AA258" s="1743"/>
      <c r="AB258" s="1743"/>
      <c r="AC258" s="1743"/>
      <c r="AD258" s="1743"/>
      <c r="AE258" s="1743"/>
      <c r="AF258" s="1743"/>
      <c r="AG258" s="1743"/>
    </row>
    <row r="259" spans="17:33" s="1738" customFormat="1">
      <c r="Q259" s="1743"/>
      <c r="R259" s="1743"/>
      <c r="U259" s="1743"/>
      <c r="V259" s="1743"/>
      <c r="W259" s="1743"/>
      <c r="X259" s="1743"/>
      <c r="Y259" s="1743"/>
      <c r="Z259" s="1743"/>
      <c r="AA259" s="1743"/>
      <c r="AB259" s="1743"/>
      <c r="AC259" s="1743"/>
      <c r="AD259" s="1743"/>
      <c r="AE259" s="1743"/>
      <c r="AF259" s="1743"/>
      <c r="AG259" s="1743"/>
    </row>
    <row r="260" spans="17:33" s="1738" customFormat="1">
      <c r="Q260" s="1743"/>
      <c r="R260" s="1743"/>
      <c r="U260" s="1743"/>
      <c r="V260" s="1743"/>
      <c r="W260" s="1743"/>
      <c r="X260" s="1743"/>
      <c r="Y260" s="1743"/>
      <c r="Z260" s="1743"/>
      <c r="AA260" s="1743"/>
      <c r="AB260" s="1743"/>
      <c r="AC260" s="1743"/>
      <c r="AD260" s="1743"/>
      <c r="AE260" s="1743"/>
      <c r="AF260" s="1743"/>
      <c r="AG260" s="1743"/>
    </row>
    <row r="261" spans="17:33" s="1738" customFormat="1">
      <c r="Q261" s="1743"/>
      <c r="R261" s="1743"/>
      <c r="U261" s="1743"/>
      <c r="V261" s="1743"/>
      <c r="W261" s="1743"/>
      <c r="X261" s="1743"/>
      <c r="Y261" s="1743"/>
      <c r="Z261" s="1743"/>
      <c r="AA261" s="1743"/>
      <c r="AB261" s="1743"/>
      <c r="AC261" s="1743"/>
      <c r="AD261" s="1743"/>
      <c r="AE261" s="1743"/>
      <c r="AF261" s="1743"/>
      <c r="AG261" s="1743"/>
    </row>
    <row r="262" spans="17:33" s="1738" customFormat="1">
      <c r="Q262" s="1743"/>
      <c r="R262" s="1743"/>
      <c r="U262" s="1743"/>
      <c r="V262" s="1743"/>
      <c r="W262" s="1743"/>
      <c r="X262" s="1743"/>
      <c r="Y262" s="1743"/>
      <c r="Z262" s="1743"/>
      <c r="AA262" s="1743"/>
      <c r="AB262" s="1743"/>
      <c r="AC262" s="1743"/>
      <c r="AD262" s="1743"/>
      <c r="AE262" s="1743"/>
      <c r="AF262" s="1743"/>
      <c r="AG262" s="1743"/>
    </row>
    <row r="263" spans="17:33" s="1738" customFormat="1">
      <c r="Q263" s="1743"/>
      <c r="R263" s="1743"/>
      <c r="U263" s="1743"/>
      <c r="V263" s="1743"/>
      <c r="W263" s="1743"/>
      <c r="X263" s="1743"/>
      <c r="Y263" s="1743"/>
      <c r="Z263" s="1743"/>
      <c r="AA263" s="1743"/>
      <c r="AB263" s="1743"/>
      <c r="AC263" s="1743"/>
      <c r="AD263" s="1743"/>
      <c r="AE263" s="1743"/>
      <c r="AF263" s="1743"/>
      <c r="AG263" s="1743"/>
    </row>
    <row r="264" spans="17:33" s="1738" customFormat="1">
      <c r="Q264" s="1743"/>
      <c r="R264" s="1743"/>
      <c r="U264" s="1743"/>
      <c r="V264" s="1743"/>
      <c r="W264" s="1743"/>
      <c r="X264" s="1743"/>
      <c r="Y264" s="1743"/>
      <c r="Z264" s="1743"/>
      <c r="AA264" s="1743"/>
      <c r="AB264" s="1743"/>
      <c r="AC264" s="1743"/>
      <c r="AD264" s="1743"/>
      <c r="AE264" s="1743"/>
      <c r="AF264" s="1743"/>
      <c r="AG264" s="1743"/>
    </row>
    <row r="265" spans="17:33" s="1738" customFormat="1">
      <c r="Q265" s="1743"/>
      <c r="R265" s="1743"/>
      <c r="U265" s="1743"/>
      <c r="V265" s="1743"/>
      <c r="W265" s="1743"/>
      <c r="X265" s="1743"/>
      <c r="Y265" s="1743"/>
      <c r="Z265" s="1743"/>
      <c r="AA265" s="1743"/>
      <c r="AB265" s="1743"/>
      <c r="AC265" s="1743"/>
      <c r="AD265" s="1743"/>
      <c r="AE265" s="1743"/>
      <c r="AF265" s="1743"/>
      <c r="AG265" s="1743"/>
    </row>
    <row r="266" spans="17:33" s="1738" customFormat="1">
      <c r="Q266" s="1743"/>
      <c r="R266" s="1743"/>
      <c r="U266" s="1743"/>
      <c r="V266" s="1743"/>
      <c r="W266" s="1743"/>
      <c r="X266" s="1743"/>
      <c r="Y266" s="1743"/>
      <c r="Z266" s="1743"/>
      <c r="AA266" s="1743"/>
      <c r="AB266" s="1743"/>
      <c r="AC266" s="1743"/>
      <c r="AD266" s="1743"/>
      <c r="AE266" s="1743"/>
      <c r="AF266" s="1743"/>
      <c r="AG266" s="1743"/>
    </row>
    <row r="267" spans="17:33" s="1738" customFormat="1">
      <c r="Q267" s="1743"/>
      <c r="R267" s="1743"/>
      <c r="U267" s="1743"/>
      <c r="V267" s="1743"/>
      <c r="W267" s="1743"/>
      <c r="X267" s="1743"/>
      <c r="Y267" s="1743"/>
      <c r="Z267" s="1743"/>
      <c r="AA267" s="1743"/>
      <c r="AB267" s="1743"/>
      <c r="AC267" s="1743"/>
      <c r="AD267" s="1743"/>
      <c r="AE267" s="1743"/>
      <c r="AF267" s="1743"/>
      <c r="AG267" s="1743"/>
    </row>
    <row r="268" spans="17:33" s="1738" customFormat="1">
      <c r="Q268" s="1743"/>
      <c r="R268" s="1743"/>
      <c r="U268" s="1743"/>
      <c r="V268" s="1743"/>
      <c r="W268" s="1743"/>
      <c r="X268" s="1743"/>
      <c r="Y268" s="1743"/>
      <c r="Z268" s="1743"/>
      <c r="AA268" s="1743"/>
      <c r="AB268" s="1743"/>
      <c r="AC268" s="1743"/>
      <c r="AD268" s="1743"/>
      <c r="AE268" s="1743"/>
      <c r="AF268" s="1743"/>
      <c r="AG268" s="1743"/>
    </row>
    <row r="269" spans="17:33" s="1738" customFormat="1">
      <c r="Q269" s="1743"/>
      <c r="R269" s="1743"/>
      <c r="U269" s="1743"/>
      <c r="V269" s="1743"/>
      <c r="W269" s="1743"/>
      <c r="X269" s="1743"/>
      <c r="Y269" s="1743"/>
      <c r="Z269" s="1743"/>
      <c r="AA269" s="1743"/>
      <c r="AB269" s="1743"/>
      <c r="AC269" s="1743"/>
      <c r="AD269" s="1743"/>
      <c r="AE269" s="1743"/>
      <c r="AF269" s="1743"/>
      <c r="AG269" s="1743"/>
    </row>
    <row r="270" spans="17:33" s="1738" customFormat="1">
      <c r="Q270" s="1743"/>
      <c r="R270" s="1743"/>
      <c r="U270" s="1743"/>
      <c r="V270" s="1743"/>
      <c r="W270" s="1743"/>
      <c r="X270" s="1743"/>
      <c r="Y270" s="1743"/>
      <c r="Z270" s="1743"/>
      <c r="AA270" s="1743"/>
      <c r="AB270" s="1743"/>
      <c r="AC270" s="1743"/>
      <c r="AD270" s="1743"/>
      <c r="AE270" s="1743"/>
      <c r="AF270" s="1743"/>
      <c r="AG270" s="1743"/>
    </row>
    <row r="271" spans="17:33" s="1738" customFormat="1">
      <c r="Q271" s="1743"/>
      <c r="R271" s="1743"/>
      <c r="U271" s="1743"/>
      <c r="V271" s="1743"/>
      <c r="W271" s="1743"/>
      <c r="X271" s="1743"/>
      <c r="Y271" s="1743"/>
      <c r="Z271" s="1743"/>
      <c r="AA271" s="1743"/>
      <c r="AB271" s="1743"/>
      <c r="AC271" s="1743"/>
      <c r="AD271" s="1743"/>
      <c r="AE271" s="1743"/>
      <c r="AF271" s="1743"/>
      <c r="AG271" s="1743"/>
    </row>
    <row r="272" spans="17:33" s="1738" customFormat="1">
      <c r="Q272" s="1743"/>
      <c r="R272" s="1743"/>
      <c r="U272" s="1743"/>
      <c r="V272" s="1743"/>
      <c r="W272" s="1743"/>
      <c r="X272" s="1743"/>
      <c r="Y272" s="1743"/>
      <c r="Z272" s="1743"/>
      <c r="AA272" s="1743"/>
      <c r="AB272" s="1743"/>
      <c r="AC272" s="1743"/>
      <c r="AD272" s="1743"/>
      <c r="AE272" s="1743"/>
      <c r="AF272" s="1743"/>
      <c r="AG272" s="1743"/>
    </row>
    <row r="273" spans="17:33" s="1738" customFormat="1">
      <c r="Q273" s="1743"/>
      <c r="R273" s="1743"/>
      <c r="U273" s="1743"/>
      <c r="V273" s="1743"/>
      <c r="W273" s="1743"/>
      <c r="X273" s="1743"/>
      <c r="Y273" s="1743"/>
      <c r="Z273" s="1743"/>
      <c r="AA273" s="1743"/>
      <c r="AB273" s="1743"/>
      <c r="AC273" s="1743"/>
      <c r="AD273" s="1743"/>
      <c r="AE273" s="1743"/>
      <c r="AF273" s="1743"/>
      <c r="AG273" s="1743"/>
    </row>
    <row r="274" spans="17:33" s="1738" customFormat="1">
      <c r="Q274" s="1743"/>
      <c r="R274" s="1743"/>
      <c r="U274" s="1743"/>
      <c r="V274" s="1743"/>
      <c r="W274" s="1743"/>
      <c r="X274" s="1743"/>
      <c r="Y274" s="1743"/>
      <c r="Z274" s="1743"/>
      <c r="AA274" s="1743"/>
      <c r="AB274" s="1743"/>
      <c r="AC274" s="1743"/>
      <c r="AD274" s="1743"/>
      <c r="AE274" s="1743"/>
      <c r="AF274" s="1743"/>
      <c r="AG274" s="1743"/>
    </row>
    <row r="275" spans="17:33" s="1738" customFormat="1">
      <c r="Q275" s="1743"/>
      <c r="R275" s="1743"/>
      <c r="U275" s="1743"/>
      <c r="V275" s="1743"/>
      <c r="W275" s="1743"/>
      <c r="X275" s="1743"/>
      <c r="Y275" s="1743"/>
      <c r="Z275" s="1743"/>
      <c r="AA275" s="1743"/>
      <c r="AB275" s="1743"/>
      <c r="AC275" s="1743"/>
      <c r="AD275" s="1743"/>
      <c r="AE275" s="1743"/>
      <c r="AF275" s="1743"/>
      <c r="AG275" s="1743"/>
    </row>
    <row r="276" spans="17:33" s="1738" customFormat="1">
      <c r="Q276" s="1743"/>
      <c r="R276" s="1743"/>
      <c r="U276" s="1743"/>
      <c r="V276" s="1743"/>
      <c r="W276" s="1743"/>
      <c r="X276" s="1743"/>
      <c r="Y276" s="1743"/>
      <c r="Z276" s="1743"/>
      <c r="AA276" s="1743"/>
      <c r="AB276" s="1743"/>
      <c r="AC276" s="1743"/>
      <c r="AD276" s="1743"/>
      <c r="AE276" s="1743"/>
      <c r="AF276" s="1743"/>
      <c r="AG276" s="1743"/>
    </row>
    <row r="277" spans="17:33" s="1738" customFormat="1">
      <c r="Q277" s="1743"/>
      <c r="R277" s="1743"/>
      <c r="U277" s="1743"/>
      <c r="V277" s="1743"/>
      <c r="W277" s="1743"/>
      <c r="X277" s="1743"/>
      <c r="Y277" s="1743"/>
      <c r="Z277" s="1743"/>
      <c r="AA277" s="1743"/>
      <c r="AB277" s="1743"/>
      <c r="AC277" s="1743"/>
      <c r="AD277" s="1743"/>
      <c r="AE277" s="1743"/>
      <c r="AF277" s="1743"/>
      <c r="AG277" s="1743"/>
    </row>
    <row r="278" spans="17:33" s="1738" customFormat="1">
      <c r="Q278" s="1743"/>
      <c r="R278" s="1743"/>
      <c r="U278" s="1743"/>
      <c r="V278" s="1743"/>
      <c r="W278" s="1743"/>
      <c r="X278" s="1743"/>
      <c r="Y278" s="1743"/>
      <c r="Z278" s="1743"/>
      <c r="AA278" s="1743"/>
      <c r="AB278" s="1743"/>
      <c r="AC278" s="1743"/>
      <c r="AD278" s="1743"/>
      <c r="AE278" s="1743"/>
      <c r="AF278" s="1743"/>
      <c r="AG278" s="1743"/>
    </row>
    <row r="279" spans="17:33" s="1738" customFormat="1">
      <c r="Q279" s="1743"/>
      <c r="R279" s="1743"/>
      <c r="U279" s="1743"/>
      <c r="V279" s="1743"/>
      <c r="W279" s="1743"/>
      <c r="X279" s="1743"/>
      <c r="Y279" s="1743"/>
      <c r="Z279" s="1743"/>
      <c r="AA279" s="1743"/>
      <c r="AB279" s="1743"/>
      <c r="AC279" s="1743"/>
      <c r="AD279" s="1743"/>
      <c r="AE279" s="1743"/>
      <c r="AF279" s="1743"/>
      <c r="AG279" s="1743"/>
    </row>
    <row r="280" spans="17:33" s="1738" customFormat="1">
      <c r="Q280" s="1743"/>
      <c r="R280" s="1743"/>
      <c r="U280" s="1743"/>
      <c r="V280" s="1743"/>
      <c r="W280" s="1743"/>
      <c r="X280" s="1743"/>
      <c r="Y280" s="1743"/>
      <c r="Z280" s="1743"/>
      <c r="AA280" s="1743"/>
      <c r="AB280" s="1743"/>
      <c r="AC280" s="1743"/>
      <c r="AD280" s="1743"/>
      <c r="AE280" s="1743"/>
      <c r="AF280" s="1743"/>
      <c r="AG280" s="1743"/>
    </row>
    <row r="281" spans="17:33" s="1738" customFormat="1">
      <c r="Q281" s="1743"/>
      <c r="R281" s="1743"/>
      <c r="U281" s="1743"/>
      <c r="V281" s="1743"/>
      <c r="W281" s="1743"/>
      <c r="X281" s="1743"/>
      <c r="Y281" s="1743"/>
      <c r="Z281" s="1743"/>
      <c r="AA281" s="1743"/>
      <c r="AB281" s="1743"/>
      <c r="AC281" s="1743"/>
      <c r="AD281" s="1743"/>
      <c r="AE281" s="1743"/>
      <c r="AF281" s="1743"/>
      <c r="AG281" s="1743"/>
    </row>
    <row r="282" spans="17:33" s="1738" customFormat="1">
      <c r="Q282" s="1743"/>
      <c r="R282" s="1743"/>
      <c r="U282" s="1743"/>
      <c r="V282" s="1743"/>
      <c r="W282" s="1743"/>
      <c r="X282" s="1743"/>
      <c r="Y282" s="1743"/>
      <c r="Z282" s="1743"/>
      <c r="AA282" s="1743"/>
      <c r="AB282" s="1743"/>
      <c r="AC282" s="1743"/>
      <c r="AD282" s="1743"/>
      <c r="AE282" s="1743"/>
      <c r="AF282" s="1743"/>
      <c r="AG282" s="1743"/>
    </row>
    <row r="283" spans="17:33" s="1738" customFormat="1">
      <c r="Q283" s="1743"/>
      <c r="R283" s="1743"/>
      <c r="U283" s="1743"/>
      <c r="V283" s="1743"/>
      <c r="W283" s="1743"/>
      <c r="X283" s="1743"/>
      <c r="Y283" s="1743"/>
      <c r="Z283" s="1743"/>
      <c r="AA283" s="1743"/>
      <c r="AB283" s="1743"/>
      <c r="AC283" s="1743"/>
      <c r="AD283" s="1743"/>
      <c r="AE283" s="1743"/>
      <c r="AF283" s="1743"/>
      <c r="AG283" s="1743"/>
    </row>
    <row r="284" spans="17:33" s="1738" customFormat="1">
      <c r="Q284" s="1743"/>
      <c r="R284" s="1743"/>
      <c r="U284" s="1743"/>
      <c r="V284" s="1743"/>
      <c r="W284" s="1743"/>
      <c r="X284" s="1743"/>
      <c r="Y284" s="1743"/>
      <c r="Z284" s="1743"/>
      <c r="AA284" s="1743"/>
      <c r="AB284" s="1743"/>
      <c r="AC284" s="1743"/>
      <c r="AD284" s="1743"/>
      <c r="AE284" s="1743"/>
      <c r="AF284" s="1743"/>
      <c r="AG284" s="1743"/>
    </row>
    <row r="285" spans="17:33" s="1738" customFormat="1">
      <c r="Q285" s="1743"/>
      <c r="R285" s="1743"/>
      <c r="U285" s="1743"/>
      <c r="V285" s="1743"/>
      <c r="W285" s="1743"/>
      <c r="X285" s="1743"/>
      <c r="Y285" s="1743"/>
      <c r="Z285" s="1743"/>
      <c r="AA285" s="1743"/>
      <c r="AB285" s="1743"/>
      <c r="AC285" s="1743"/>
      <c r="AD285" s="1743"/>
      <c r="AE285" s="1743"/>
      <c r="AF285" s="1743"/>
      <c r="AG285" s="1743"/>
    </row>
    <row r="286" spans="17:33" s="1738" customFormat="1">
      <c r="Q286" s="1743"/>
      <c r="R286" s="1743"/>
      <c r="U286" s="1743"/>
      <c r="V286" s="1743"/>
      <c r="W286" s="1743"/>
      <c r="X286" s="1743"/>
      <c r="Y286" s="1743"/>
      <c r="Z286" s="1743"/>
      <c r="AA286" s="1743"/>
      <c r="AB286" s="1743"/>
      <c r="AC286" s="1743"/>
      <c r="AD286" s="1743"/>
      <c r="AE286" s="1743"/>
      <c r="AF286" s="1743"/>
      <c r="AG286" s="1743"/>
    </row>
    <row r="287" spans="17:33" s="1738" customFormat="1">
      <c r="Q287" s="1743"/>
      <c r="R287" s="1743"/>
      <c r="U287" s="1743"/>
      <c r="V287" s="1743"/>
      <c r="W287" s="1743"/>
      <c r="X287" s="1743"/>
      <c r="Y287" s="1743"/>
      <c r="Z287" s="1743"/>
      <c r="AA287" s="1743"/>
      <c r="AB287" s="1743"/>
      <c r="AC287" s="1743"/>
      <c r="AD287" s="1743"/>
      <c r="AE287" s="1743"/>
      <c r="AF287" s="1743"/>
      <c r="AG287" s="1743"/>
    </row>
    <row r="288" spans="17:33" s="1738" customFormat="1">
      <c r="Q288" s="1743"/>
      <c r="R288" s="1743"/>
      <c r="U288" s="1743"/>
      <c r="V288" s="1743"/>
      <c r="W288" s="1743"/>
      <c r="X288" s="1743"/>
      <c r="Y288" s="1743"/>
      <c r="Z288" s="1743"/>
      <c r="AA288" s="1743"/>
      <c r="AB288" s="1743"/>
      <c r="AC288" s="1743"/>
      <c r="AD288" s="1743"/>
      <c r="AE288" s="1743"/>
      <c r="AF288" s="1743"/>
      <c r="AG288" s="1743"/>
    </row>
    <row r="289" spans="17:33" s="1738" customFormat="1">
      <c r="Q289" s="1743"/>
      <c r="R289" s="1743"/>
      <c r="U289" s="1743"/>
      <c r="V289" s="1743"/>
      <c r="W289" s="1743"/>
      <c r="X289" s="1743"/>
      <c r="Y289" s="1743"/>
      <c r="Z289" s="1743"/>
      <c r="AA289" s="1743"/>
      <c r="AB289" s="1743"/>
      <c r="AC289" s="1743"/>
      <c r="AD289" s="1743"/>
      <c r="AE289" s="1743"/>
      <c r="AF289" s="1743"/>
      <c r="AG289" s="1743"/>
    </row>
    <row r="290" spans="17:33" s="1738" customFormat="1">
      <c r="Q290" s="1743"/>
      <c r="R290" s="1743"/>
      <c r="U290" s="1743"/>
      <c r="V290" s="1743"/>
      <c r="W290" s="1743"/>
      <c r="X290" s="1743"/>
      <c r="Y290" s="1743"/>
      <c r="Z290" s="1743"/>
      <c r="AA290" s="1743"/>
      <c r="AB290" s="1743"/>
      <c r="AC290" s="1743"/>
      <c r="AD290" s="1743"/>
      <c r="AE290" s="1743"/>
      <c r="AF290" s="1743"/>
      <c r="AG290" s="1743"/>
    </row>
    <row r="291" spans="17:33" s="1738" customFormat="1">
      <c r="Q291" s="1743"/>
      <c r="R291" s="1743"/>
      <c r="U291" s="1743"/>
      <c r="V291" s="1743"/>
      <c r="W291" s="1743"/>
      <c r="X291" s="1743"/>
      <c r="Y291" s="1743"/>
      <c r="Z291" s="1743"/>
      <c r="AA291" s="1743"/>
      <c r="AB291" s="1743"/>
      <c r="AC291" s="1743"/>
      <c r="AD291" s="1743"/>
      <c r="AE291" s="1743"/>
      <c r="AF291" s="1743"/>
      <c r="AG291" s="1743"/>
    </row>
    <row r="292" spans="17:33" s="1738" customFormat="1">
      <c r="Q292" s="1743"/>
      <c r="R292" s="1743"/>
      <c r="U292" s="1743"/>
      <c r="V292" s="1743"/>
      <c r="W292" s="1743"/>
      <c r="X292" s="1743"/>
      <c r="Y292" s="1743"/>
      <c r="Z292" s="1743"/>
      <c r="AA292" s="1743"/>
      <c r="AB292" s="1743"/>
      <c r="AC292" s="1743"/>
      <c r="AD292" s="1743"/>
      <c r="AE292" s="1743"/>
      <c r="AF292" s="1743"/>
      <c r="AG292" s="1743"/>
    </row>
    <row r="293" spans="17:33" s="1738" customFormat="1">
      <c r="Q293" s="1743"/>
      <c r="R293" s="1743"/>
      <c r="U293" s="1743"/>
      <c r="V293" s="1743"/>
      <c r="W293" s="1743"/>
      <c r="X293" s="1743"/>
      <c r="Y293" s="1743"/>
      <c r="Z293" s="1743"/>
      <c r="AA293" s="1743"/>
      <c r="AB293" s="1743"/>
      <c r="AC293" s="1743"/>
      <c r="AD293" s="1743"/>
      <c r="AE293" s="1743"/>
      <c r="AF293" s="1743"/>
      <c r="AG293" s="1743"/>
    </row>
    <row r="294" spans="17:33" s="1738" customFormat="1">
      <c r="Q294" s="1743"/>
      <c r="R294" s="1743"/>
      <c r="U294" s="1743"/>
      <c r="V294" s="1743"/>
      <c r="W294" s="1743"/>
      <c r="X294" s="1743"/>
      <c r="Y294" s="1743"/>
      <c r="Z294" s="1743"/>
      <c r="AA294" s="1743"/>
      <c r="AB294" s="1743"/>
      <c r="AC294" s="1743"/>
      <c r="AD294" s="1743"/>
      <c r="AE294" s="1743"/>
      <c r="AF294" s="1743"/>
      <c r="AG294" s="1743"/>
    </row>
    <row r="295" spans="17:33" s="1738" customFormat="1">
      <c r="Q295" s="1743"/>
      <c r="R295" s="1743"/>
      <c r="U295" s="1743"/>
      <c r="V295" s="1743"/>
      <c r="W295" s="1743"/>
      <c r="X295" s="1743"/>
      <c r="Y295" s="1743"/>
      <c r="Z295" s="1743"/>
      <c r="AA295" s="1743"/>
      <c r="AB295" s="1743"/>
      <c r="AC295" s="1743"/>
      <c r="AD295" s="1743"/>
      <c r="AE295" s="1743"/>
      <c r="AF295" s="1743"/>
      <c r="AG295" s="1743"/>
    </row>
    <row r="296" spans="17:33" s="1738" customFormat="1">
      <c r="Q296" s="1743"/>
      <c r="R296" s="1743"/>
      <c r="U296" s="1743"/>
      <c r="V296" s="1743"/>
      <c r="W296" s="1743"/>
      <c r="X296" s="1743"/>
      <c r="Y296" s="1743"/>
      <c r="Z296" s="1743"/>
      <c r="AA296" s="1743"/>
      <c r="AB296" s="1743"/>
      <c r="AC296" s="1743"/>
      <c r="AD296" s="1743"/>
      <c r="AE296" s="1743"/>
      <c r="AF296" s="1743"/>
      <c r="AG296" s="1743"/>
    </row>
    <row r="297" spans="17:33" s="1738" customFormat="1">
      <c r="Q297" s="1743"/>
      <c r="R297" s="1743"/>
      <c r="U297" s="1743"/>
      <c r="V297" s="1743"/>
      <c r="W297" s="1743"/>
      <c r="X297" s="1743"/>
      <c r="Y297" s="1743"/>
      <c r="Z297" s="1743"/>
      <c r="AA297" s="1743"/>
      <c r="AB297" s="1743"/>
      <c r="AC297" s="1743"/>
      <c r="AD297" s="1743"/>
      <c r="AE297" s="1743"/>
      <c r="AF297" s="1743"/>
      <c r="AG297" s="1743"/>
    </row>
    <row r="298" spans="17:33" s="1738" customFormat="1">
      <c r="Q298" s="1743"/>
      <c r="R298" s="1743"/>
      <c r="U298" s="1743"/>
      <c r="V298" s="1743"/>
      <c r="W298" s="1743"/>
      <c r="X298" s="1743"/>
      <c r="Y298" s="1743"/>
      <c r="Z298" s="1743"/>
      <c r="AA298" s="1743"/>
      <c r="AB298" s="1743"/>
      <c r="AC298" s="1743"/>
      <c r="AD298" s="1743"/>
      <c r="AE298" s="1743"/>
      <c r="AF298" s="1743"/>
      <c r="AG298" s="1743"/>
    </row>
    <row r="299" spans="17:33" s="1738" customFormat="1">
      <c r="Q299" s="1743"/>
      <c r="R299" s="1743"/>
      <c r="U299" s="1743"/>
      <c r="V299" s="1743"/>
      <c r="W299" s="1743"/>
      <c r="X299" s="1743"/>
      <c r="Y299" s="1743"/>
      <c r="Z299" s="1743"/>
      <c r="AA299" s="1743"/>
      <c r="AB299" s="1743"/>
      <c r="AC299" s="1743"/>
      <c r="AD299" s="1743"/>
      <c r="AE299" s="1743"/>
      <c r="AF299" s="1743"/>
      <c r="AG299" s="1743"/>
    </row>
    <row r="300" spans="17:33" s="1738" customFormat="1">
      <c r="Q300" s="1743"/>
      <c r="R300" s="1743"/>
      <c r="U300" s="1743"/>
      <c r="V300" s="1743"/>
      <c r="W300" s="1743"/>
      <c r="X300" s="1743"/>
      <c r="Y300" s="1743"/>
      <c r="Z300" s="1743"/>
      <c r="AA300" s="1743"/>
      <c r="AB300" s="1743"/>
      <c r="AC300" s="1743"/>
      <c r="AD300" s="1743"/>
      <c r="AE300" s="1743"/>
      <c r="AF300" s="1743"/>
      <c r="AG300" s="1743"/>
    </row>
    <row r="301" spans="17:33" s="1738" customFormat="1">
      <c r="Q301" s="1743"/>
      <c r="R301" s="1743"/>
      <c r="U301" s="1743"/>
      <c r="V301" s="1743"/>
      <c r="W301" s="1743"/>
      <c r="X301" s="1743"/>
      <c r="Y301" s="1743"/>
      <c r="Z301" s="1743"/>
      <c r="AA301" s="1743"/>
      <c r="AB301" s="1743"/>
      <c r="AC301" s="1743"/>
      <c r="AD301" s="1743"/>
      <c r="AE301" s="1743"/>
      <c r="AF301" s="1743"/>
      <c r="AG301" s="1743"/>
    </row>
    <row r="302" spans="17:33" s="1738" customFormat="1">
      <c r="Q302" s="1743"/>
      <c r="R302" s="1743"/>
      <c r="U302" s="1743"/>
      <c r="V302" s="1743"/>
      <c r="W302" s="1743"/>
      <c r="X302" s="1743"/>
      <c r="Y302" s="1743"/>
      <c r="Z302" s="1743"/>
      <c r="AA302" s="1743"/>
      <c r="AB302" s="1743"/>
      <c r="AC302" s="1743"/>
      <c r="AD302" s="1743"/>
      <c r="AE302" s="1743"/>
      <c r="AF302" s="1743"/>
      <c r="AG302" s="1743"/>
    </row>
    <row r="303" spans="17:33" s="1738" customFormat="1">
      <c r="Q303" s="1743"/>
      <c r="R303" s="1743"/>
      <c r="U303" s="1743"/>
      <c r="V303" s="1743"/>
      <c r="W303" s="1743"/>
      <c r="X303" s="1743"/>
      <c r="Y303" s="1743"/>
      <c r="Z303" s="1743"/>
      <c r="AA303" s="1743"/>
      <c r="AB303" s="1743"/>
      <c r="AC303" s="1743"/>
      <c r="AD303" s="1743"/>
      <c r="AE303" s="1743"/>
      <c r="AF303" s="1743"/>
      <c r="AG303" s="1743"/>
    </row>
    <row r="304" spans="17:33" s="1738" customFormat="1">
      <c r="Q304" s="1743"/>
      <c r="R304" s="1743"/>
      <c r="U304" s="1743"/>
      <c r="V304" s="1743"/>
      <c r="W304" s="1743"/>
      <c r="X304" s="1743"/>
      <c r="Y304" s="1743"/>
      <c r="Z304" s="1743"/>
      <c r="AA304" s="1743"/>
      <c r="AB304" s="1743"/>
      <c r="AC304" s="1743"/>
      <c r="AD304" s="1743"/>
      <c r="AE304" s="1743"/>
      <c r="AF304" s="1743"/>
      <c r="AG304" s="1743"/>
    </row>
    <row r="305" spans="17:33" s="1738" customFormat="1">
      <c r="Q305" s="1743"/>
      <c r="R305" s="1743"/>
      <c r="U305" s="1743"/>
      <c r="V305" s="1743"/>
      <c r="W305" s="1743"/>
      <c r="X305" s="1743"/>
      <c r="Y305" s="1743"/>
      <c r="Z305" s="1743"/>
      <c r="AA305" s="1743"/>
      <c r="AB305" s="1743"/>
      <c r="AC305" s="1743"/>
      <c r="AD305" s="1743"/>
      <c r="AE305" s="1743"/>
      <c r="AF305" s="1743"/>
      <c r="AG305" s="1743"/>
    </row>
    <row r="306" spans="17:33" s="1738" customFormat="1">
      <c r="Q306" s="1743"/>
      <c r="R306" s="1743"/>
      <c r="U306" s="1743"/>
      <c r="V306" s="1743"/>
      <c r="W306" s="1743"/>
      <c r="X306" s="1743"/>
      <c r="Y306" s="1743"/>
      <c r="Z306" s="1743"/>
      <c r="AA306" s="1743"/>
      <c r="AB306" s="1743"/>
      <c r="AC306" s="1743"/>
      <c r="AD306" s="1743"/>
      <c r="AE306" s="1743"/>
      <c r="AF306" s="1743"/>
      <c r="AG306" s="1743"/>
    </row>
    <row r="307" spans="17:33" s="1738" customFormat="1">
      <c r="Q307" s="1743"/>
      <c r="R307" s="1743"/>
      <c r="U307" s="1743"/>
      <c r="V307" s="1743"/>
      <c r="W307" s="1743"/>
      <c r="X307" s="1743"/>
      <c r="Y307" s="1743"/>
      <c r="Z307" s="1743"/>
      <c r="AA307" s="1743"/>
      <c r="AB307" s="1743"/>
      <c r="AC307" s="1743"/>
      <c r="AD307" s="1743"/>
      <c r="AE307" s="1743"/>
      <c r="AF307" s="1743"/>
      <c r="AG307" s="1743"/>
    </row>
    <row r="308" spans="17:33" s="1738" customFormat="1">
      <c r="Q308" s="1743"/>
      <c r="R308" s="1743"/>
      <c r="U308" s="1743"/>
      <c r="V308" s="1743"/>
      <c r="W308" s="1743"/>
      <c r="X308" s="1743"/>
      <c r="Y308" s="1743"/>
      <c r="Z308" s="1743"/>
      <c r="AA308" s="1743"/>
      <c r="AB308" s="1743"/>
      <c r="AC308" s="1743"/>
      <c r="AD308" s="1743"/>
      <c r="AE308" s="1743"/>
      <c r="AF308" s="1743"/>
      <c r="AG308" s="1743"/>
    </row>
    <row r="309" spans="17:33" s="1738" customFormat="1">
      <c r="Q309" s="1743"/>
      <c r="R309" s="1743"/>
      <c r="U309" s="1743"/>
      <c r="V309" s="1743"/>
      <c r="W309" s="1743"/>
      <c r="X309" s="1743"/>
      <c r="Y309" s="1743"/>
      <c r="Z309" s="1743"/>
      <c r="AA309" s="1743"/>
      <c r="AB309" s="1743"/>
      <c r="AC309" s="1743"/>
      <c r="AD309" s="1743"/>
      <c r="AE309" s="1743"/>
      <c r="AF309" s="1743"/>
      <c r="AG309" s="1743"/>
    </row>
    <row r="310" spans="17:33" s="1738" customFormat="1">
      <c r="Q310" s="1743"/>
      <c r="R310" s="1743"/>
      <c r="U310" s="1743"/>
      <c r="V310" s="1743"/>
      <c r="W310" s="1743"/>
      <c r="X310" s="1743"/>
      <c r="Y310" s="1743"/>
      <c r="Z310" s="1743"/>
      <c r="AA310" s="1743"/>
      <c r="AB310" s="1743"/>
      <c r="AC310" s="1743"/>
      <c r="AD310" s="1743"/>
      <c r="AE310" s="1743"/>
      <c r="AF310" s="1743"/>
      <c r="AG310" s="1743"/>
    </row>
    <row r="311" spans="17:33" s="1738" customFormat="1">
      <c r="Q311" s="1743"/>
      <c r="R311" s="1743"/>
      <c r="U311" s="1743"/>
      <c r="V311" s="1743"/>
      <c r="W311" s="1743"/>
      <c r="X311" s="1743"/>
      <c r="Y311" s="1743"/>
      <c r="Z311" s="1743"/>
      <c r="AA311" s="1743"/>
      <c r="AB311" s="1743"/>
      <c r="AC311" s="1743"/>
      <c r="AD311" s="1743"/>
      <c r="AE311" s="1743"/>
      <c r="AF311" s="1743"/>
      <c r="AG311" s="1743"/>
    </row>
    <row r="312" spans="17:33" s="1738" customFormat="1">
      <c r="Q312" s="1743"/>
      <c r="R312" s="1743"/>
      <c r="U312" s="1743"/>
      <c r="V312" s="1743"/>
      <c r="W312" s="1743"/>
      <c r="X312" s="1743"/>
      <c r="Y312" s="1743"/>
      <c r="Z312" s="1743"/>
      <c r="AA312" s="1743"/>
      <c r="AB312" s="1743"/>
      <c r="AC312" s="1743"/>
      <c r="AD312" s="1743"/>
      <c r="AE312" s="1743"/>
      <c r="AF312" s="1743"/>
      <c r="AG312" s="1743"/>
    </row>
    <row r="313" spans="17:33" s="1738" customFormat="1">
      <c r="Q313" s="1743"/>
      <c r="R313" s="1743"/>
      <c r="U313" s="1743"/>
      <c r="V313" s="1743"/>
      <c r="W313" s="1743"/>
      <c r="X313" s="1743"/>
      <c r="Y313" s="1743"/>
      <c r="Z313" s="1743"/>
      <c r="AA313" s="1743"/>
      <c r="AB313" s="1743"/>
      <c r="AC313" s="1743"/>
      <c r="AD313" s="1743"/>
      <c r="AE313" s="1743"/>
      <c r="AF313" s="1743"/>
      <c r="AG313" s="1743"/>
    </row>
    <row r="314" spans="17:33" s="1738" customFormat="1">
      <c r="Q314" s="1743"/>
      <c r="R314" s="1743"/>
      <c r="U314" s="1743"/>
      <c r="V314" s="1743"/>
      <c r="W314" s="1743"/>
      <c r="X314" s="1743"/>
      <c r="Y314" s="1743"/>
      <c r="Z314" s="1743"/>
      <c r="AA314" s="1743"/>
      <c r="AB314" s="1743"/>
      <c r="AC314" s="1743"/>
      <c r="AD314" s="1743"/>
      <c r="AE314" s="1743"/>
      <c r="AF314" s="1743"/>
      <c r="AG314" s="1743"/>
    </row>
    <row r="315" spans="17:33" s="1738" customFormat="1">
      <c r="Q315" s="1743"/>
      <c r="R315" s="1743"/>
      <c r="U315" s="1743"/>
      <c r="V315" s="1743"/>
      <c r="W315" s="1743"/>
      <c r="X315" s="1743"/>
      <c r="Y315" s="1743"/>
      <c r="Z315" s="1743"/>
      <c r="AA315" s="1743"/>
      <c r="AB315" s="1743"/>
      <c r="AC315" s="1743"/>
      <c r="AD315" s="1743"/>
      <c r="AE315" s="1743"/>
      <c r="AF315" s="1743"/>
      <c r="AG315" s="1743"/>
    </row>
    <row r="316" spans="17:33" s="1738" customFormat="1">
      <c r="Q316" s="1743"/>
      <c r="R316" s="1743"/>
      <c r="U316" s="1743"/>
      <c r="V316" s="1743"/>
      <c r="W316" s="1743"/>
      <c r="X316" s="1743"/>
      <c r="Y316" s="1743"/>
      <c r="Z316" s="1743"/>
      <c r="AA316" s="1743"/>
      <c r="AB316" s="1743"/>
      <c r="AC316" s="1743"/>
      <c r="AD316" s="1743"/>
      <c r="AE316" s="1743"/>
      <c r="AF316" s="1743"/>
      <c r="AG316" s="1743"/>
    </row>
    <row r="317" spans="17:33" s="1738" customFormat="1">
      <c r="Q317" s="1743"/>
      <c r="R317" s="1743"/>
      <c r="U317" s="1743"/>
      <c r="V317" s="1743"/>
      <c r="W317" s="1743"/>
      <c r="X317" s="1743"/>
      <c r="Y317" s="1743"/>
      <c r="Z317" s="1743"/>
      <c r="AA317" s="1743"/>
      <c r="AB317" s="1743"/>
      <c r="AC317" s="1743"/>
      <c r="AD317" s="1743"/>
      <c r="AE317" s="1743"/>
      <c r="AF317" s="1743"/>
      <c r="AG317" s="1743"/>
    </row>
    <row r="318" spans="17:33" s="1738" customFormat="1">
      <c r="Q318" s="1743"/>
      <c r="R318" s="1743"/>
      <c r="U318" s="1743"/>
      <c r="V318" s="1743"/>
      <c r="W318" s="1743"/>
      <c r="X318" s="1743"/>
      <c r="Y318" s="1743"/>
      <c r="Z318" s="1743"/>
      <c r="AA318" s="1743"/>
      <c r="AB318" s="1743"/>
      <c r="AC318" s="1743"/>
      <c r="AD318" s="1743"/>
      <c r="AE318" s="1743"/>
      <c r="AF318" s="1743"/>
      <c r="AG318" s="1743"/>
    </row>
    <row r="319" spans="17:33" s="1738" customFormat="1">
      <c r="Q319" s="1743"/>
      <c r="R319" s="1743"/>
      <c r="U319" s="1743"/>
      <c r="V319" s="1743"/>
      <c r="W319" s="1743"/>
      <c r="X319" s="1743"/>
      <c r="Y319" s="1743"/>
      <c r="Z319" s="1743"/>
      <c r="AA319" s="1743"/>
      <c r="AB319" s="1743"/>
      <c r="AC319" s="1743"/>
      <c r="AD319" s="1743"/>
      <c r="AE319" s="1743"/>
      <c r="AF319" s="1743"/>
      <c r="AG319" s="1743"/>
    </row>
    <row r="320" spans="17:33" s="1738" customFormat="1">
      <c r="Q320" s="1743"/>
      <c r="R320" s="1743"/>
      <c r="U320" s="1743"/>
      <c r="V320" s="1743"/>
      <c r="W320" s="1743"/>
      <c r="X320" s="1743"/>
      <c r="Y320" s="1743"/>
      <c r="Z320" s="1743"/>
      <c r="AA320" s="1743"/>
      <c r="AB320" s="1743"/>
      <c r="AC320" s="1743"/>
      <c r="AD320" s="1743"/>
      <c r="AE320" s="1743"/>
      <c r="AF320" s="1743"/>
      <c r="AG320" s="1743"/>
    </row>
    <row r="321" spans="17:33" s="1738" customFormat="1">
      <c r="Q321" s="1743"/>
      <c r="R321" s="1743"/>
      <c r="U321" s="1743"/>
      <c r="V321" s="1743"/>
      <c r="W321" s="1743"/>
      <c r="X321" s="1743"/>
      <c r="Y321" s="1743"/>
      <c r="Z321" s="1743"/>
      <c r="AA321" s="1743"/>
      <c r="AB321" s="1743"/>
      <c r="AC321" s="1743"/>
      <c r="AD321" s="1743"/>
      <c r="AE321" s="1743"/>
      <c r="AF321" s="1743"/>
      <c r="AG321" s="1743"/>
    </row>
    <row r="322" spans="17:33" s="1738" customFormat="1">
      <c r="Q322" s="1743"/>
      <c r="R322" s="1743"/>
      <c r="U322" s="1743"/>
      <c r="V322" s="1743"/>
      <c r="W322" s="1743"/>
      <c r="X322" s="1743"/>
      <c r="Y322" s="1743"/>
      <c r="Z322" s="1743"/>
      <c r="AA322" s="1743"/>
      <c r="AB322" s="1743"/>
      <c r="AC322" s="1743"/>
      <c r="AD322" s="1743"/>
      <c r="AE322" s="1743"/>
      <c r="AF322" s="1743"/>
      <c r="AG322" s="1743"/>
    </row>
    <row r="323" spans="17:33" s="1738" customFormat="1">
      <c r="Q323" s="1743"/>
      <c r="R323" s="1743"/>
      <c r="U323" s="1743"/>
      <c r="V323" s="1743"/>
      <c r="W323" s="1743"/>
      <c r="X323" s="1743"/>
      <c r="Y323" s="1743"/>
      <c r="Z323" s="1743"/>
      <c r="AA323" s="1743"/>
      <c r="AB323" s="1743"/>
      <c r="AC323" s="1743"/>
      <c r="AD323" s="1743"/>
      <c r="AE323" s="1743"/>
      <c r="AF323" s="1743"/>
      <c r="AG323" s="1743"/>
    </row>
    <row r="324" spans="17:33" s="1738" customFormat="1">
      <c r="Q324" s="1743"/>
      <c r="R324" s="1743"/>
      <c r="U324" s="1743"/>
      <c r="V324" s="1743"/>
      <c r="W324" s="1743"/>
      <c r="X324" s="1743"/>
      <c r="Y324" s="1743"/>
      <c r="Z324" s="1743"/>
      <c r="AA324" s="1743"/>
      <c r="AB324" s="1743"/>
      <c r="AC324" s="1743"/>
      <c r="AD324" s="1743"/>
      <c r="AE324" s="1743"/>
      <c r="AF324" s="1743"/>
      <c r="AG324" s="1743"/>
    </row>
    <row r="325" spans="17:33" s="1738" customFormat="1">
      <c r="Q325" s="1743"/>
      <c r="R325" s="1743"/>
      <c r="U325" s="1743"/>
      <c r="V325" s="1743"/>
      <c r="W325" s="1743"/>
      <c r="X325" s="1743"/>
      <c r="Y325" s="1743"/>
      <c r="Z325" s="1743"/>
      <c r="AA325" s="1743"/>
      <c r="AB325" s="1743"/>
      <c r="AC325" s="1743"/>
      <c r="AD325" s="1743"/>
      <c r="AE325" s="1743"/>
      <c r="AF325" s="1743"/>
      <c r="AG325" s="1743"/>
    </row>
    <row r="326" spans="17:33" s="1738" customFormat="1">
      <c r="Q326" s="1743"/>
      <c r="R326" s="1743"/>
      <c r="U326" s="1743"/>
      <c r="V326" s="1743"/>
      <c r="W326" s="1743"/>
      <c r="X326" s="1743"/>
      <c r="Y326" s="1743"/>
      <c r="Z326" s="1743"/>
      <c r="AA326" s="1743"/>
      <c r="AB326" s="1743"/>
      <c r="AC326" s="1743"/>
      <c r="AD326" s="1743"/>
      <c r="AE326" s="1743"/>
      <c r="AF326" s="1743"/>
      <c r="AG326" s="1743"/>
    </row>
    <row r="327" spans="17:33" s="1738" customFormat="1">
      <c r="Q327" s="1743"/>
      <c r="R327" s="1743"/>
      <c r="U327" s="1743"/>
      <c r="V327" s="1743"/>
      <c r="W327" s="1743"/>
      <c r="X327" s="1743"/>
      <c r="Y327" s="1743"/>
      <c r="Z327" s="1743"/>
      <c r="AA327" s="1743"/>
      <c r="AB327" s="1743"/>
      <c r="AC327" s="1743"/>
      <c r="AD327" s="1743"/>
      <c r="AE327" s="1743"/>
      <c r="AF327" s="1743"/>
      <c r="AG327" s="1743"/>
    </row>
    <row r="328" spans="17:33" s="1738" customFormat="1">
      <c r="Q328" s="1743"/>
      <c r="R328" s="1743"/>
      <c r="U328" s="1743"/>
      <c r="V328" s="1743"/>
      <c r="W328" s="1743"/>
      <c r="X328" s="1743"/>
      <c r="Y328" s="1743"/>
      <c r="Z328" s="1743"/>
      <c r="AA328" s="1743"/>
      <c r="AB328" s="1743"/>
      <c r="AC328" s="1743"/>
      <c r="AD328" s="1743"/>
      <c r="AE328" s="1743"/>
      <c r="AF328" s="1743"/>
      <c r="AG328" s="1743"/>
    </row>
    <row r="329" spans="17:33" s="1738" customFormat="1">
      <c r="Q329" s="1743"/>
      <c r="R329" s="1743"/>
      <c r="U329" s="1743"/>
      <c r="V329" s="1743"/>
      <c r="W329" s="1743"/>
      <c r="X329" s="1743"/>
      <c r="Y329" s="1743"/>
      <c r="Z329" s="1743"/>
      <c r="AA329" s="1743"/>
      <c r="AB329" s="1743"/>
      <c r="AC329" s="1743"/>
      <c r="AD329" s="1743"/>
      <c r="AE329" s="1743"/>
      <c r="AF329" s="1743"/>
      <c r="AG329" s="1743"/>
    </row>
    <row r="330" spans="17:33" s="1738" customFormat="1">
      <c r="Q330" s="1743"/>
      <c r="R330" s="1743"/>
      <c r="U330" s="1743"/>
      <c r="V330" s="1743"/>
      <c r="W330" s="1743"/>
      <c r="X330" s="1743"/>
      <c r="Y330" s="1743"/>
      <c r="Z330" s="1743"/>
      <c r="AA330" s="1743"/>
      <c r="AB330" s="1743"/>
      <c r="AC330" s="1743"/>
      <c r="AD330" s="1743"/>
      <c r="AE330" s="1743"/>
      <c r="AF330" s="1743"/>
      <c r="AG330" s="1743"/>
    </row>
    <row r="331" spans="17:33" s="1738" customFormat="1">
      <c r="Q331" s="1743"/>
      <c r="R331" s="1743"/>
      <c r="U331" s="1743"/>
      <c r="V331" s="1743"/>
      <c r="W331" s="1743"/>
      <c r="X331" s="1743"/>
      <c r="Y331" s="1743"/>
      <c r="Z331" s="1743"/>
      <c r="AA331" s="1743"/>
      <c r="AB331" s="1743"/>
      <c r="AC331" s="1743"/>
      <c r="AD331" s="1743"/>
      <c r="AE331" s="1743"/>
      <c r="AF331" s="1743"/>
      <c r="AG331" s="1743"/>
    </row>
    <row r="332" spans="17:33" s="1738" customFormat="1">
      <c r="Q332" s="1743"/>
      <c r="R332" s="1743"/>
      <c r="U332" s="1743"/>
      <c r="V332" s="1743"/>
      <c r="W332" s="1743"/>
      <c r="X332" s="1743"/>
      <c r="Y332" s="1743"/>
      <c r="Z332" s="1743"/>
      <c r="AA332" s="1743"/>
      <c r="AB332" s="1743"/>
      <c r="AC332" s="1743"/>
      <c r="AD332" s="1743"/>
      <c r="AE332" s="1743"/>
      <c r="AF332" s="1743"/>
      <c r="AG332" s="1743"/>
    </row>
    <row r="333" spans="17:33" s="1738" customFormat="1">
      <c r="Q333" s="1743"/>
      <c r="R333" s="1743"/>
      <c r="U333" s="1743"/>
      <c r="V333" s="1743"/>
      <c r="W333" s="1743"/>
      <c r="X333" s="1743"/>
      <c r="Y333" s="1743"/>
      <c r="Z333" s="1743"/>
      <c r="AA333" s="1743"/>
      <c r="AB333" s="1743"/>
      <c r="AC333" s="1743"/>
      <c r="AD333" s="1743"/>
      <c r="AE333" s="1743"/>
      <c r="AF333" s="1743"/>
      <c r="AG333" s="1743"/>
    </row>
    <row r="334" spans="17:33" s="1738" customFormat="1">
      <c r="Q334" s="1743"/>
      <c r="R334" s="1743"/>
      <c r="U334" s="1743"/>
      <c r="V334" s="1743"/>
      <c r="W334" s="1743"/>
      <c r="X334" s="1743"/>
      <c r="Y334" s="1743"/>
      <c r="Z334" s="1743"/>
      <c r="AA334" s="1743"/>
      <c r="AB334" s="1743"/>
      <c r="AC334" s="1743"/>
      <c r="AD334" s="1743"/>
      <c r="AE334" s="1743"/>
      <c r="AF334" s="1743"/>
      <c r="AG334" s="1743"/>
    </row>
    <row r="335" spans="17:33" s="1738" customFormat="1">
      <c r="Q335" s="1743"/>
      <c r="R335" s="1743"/>
      <c r="U335" s="1743"/>
      <c r="V335" s="1743"/>
      <c r="W335" s="1743"/>
      <c r="X335" s="1743"/>
      <c r="Y335" s="1743"/>
      <c r="Z335" s="1743"/>
      <c r="AA335" s="1743"/>
      <c r="AB335" s="1743"/>
      <c r="AC335" s="1743"/>
      <c r="AD335" s="1743"/>
      <c r="AE335" s="1743"/>
      <c r="AF335" s="1743"/>
      <c r="AG335" s="1743"/>
    </row>
    <row r="336" spans="17:33" s="1738" customFormat="1">
      <c r="Q336" s="1743"/>
      <c r="R336" s="1743"/>
      <c r="U336" s="1743"/>
      <c r="V336" s="1743"/>
      <c r="W336" s="1743"/>
      <c r="X336" s="1743"/>
      <c r="Y336" s="1743"/>
      <c r="Z336" s="1743"/>
      <c r="AA336" s="1743"/>
      <c r="AB336" s="1743"/>
      <c r="AC336" s="1743"/>
      <c r="AD336" s="1743"/>
      <c r="AE336" s="1743"/>
      <c r="AF336" s="1743"/>
      <c r="AG336" s="1743"/>
    </row>
    <row r="337" spans="17:33" s="1738" customFormat="1">
      <c r="Q337" s="1743"/>
      <c r="R337" s="1743"/>
      <c r="U337" s="1743"/>
      <c r="V337" s="1743"/>
      <c r="W337" s="1743"/>
      <c r="X337" s="1743"/>
      <c r="Y337" s="1743"/>
      <c r="Z337" s="1743"/>
      <c r="AA337" s="1743"/>
      <c r="AB337" s="1743"/>
      <c r="AC337" s="1743"/>
      <c r="AD337" s="1743"/>
      <c r="AE337" s="1743"/>
      <c r="AF337" s="1743"/>
      <c r="AG337" s="1743"/>
    </row>
    <row r="338" spans="17:33" s="1738" customFormat="1">
      <c r="Q338" s="1743"/>
      <c r="R338" s="1743"/>
      <c r="U338" s="1743"/>
      <c r="V338" s="1743"/>
      <c r="W338" s="1743"/>
      <c r="X338" s="1743"/>
      <c r="Y338" s="1743"/>
      <c r="Z338" s="1743"/>
      <c r="AA338" s="1743"/>
      <c r="AB338" s="1743"/>
      <c r="AC338" s="1743"/>
      <c r="AD338" s="1743"/>
      <c r="AE338" s="1743"/>
      <c r="AF338" s="1743"/>
      <c r="AG338" s="1743"/>
    </row>
    <row r="339" spans="17:33" s="1738" customFormat="1">
      <c r="Q339" s="1743"/>
      <c r="R339" s="1743"/>
      <c r="U339" s="1743"/>
      <c r="V339" s="1743"/>
      <c r="W339" s="1743"/>
      <c r="X339" s="1743"/>
      <c r="Y339" s="1743"/>
      <c r="Z339" s="1743"/>
      <c r="AA339" s="1743"/>
      <c r="AB339" s="1743"/>
      <c r="AC339" s="1743"/>
      <c r="AD339" s="1743"/>
      <c r="AE339" s="1743"/>
      <c r="AF339" s="1743"/>
      <c r="AG339" s="1743"/>
    </row>
    <row r="340" spans="17:33" s="1738" customFormat="1">
      <c r="Q340" s="1743"/>
      <c r="R340" s="1743"/>
      <c r="U340" s="1743"/>
      <c r="V340" s="1743"/>
      <c r="W340" s="1743"/>
      <c r="X340" s="1743"/>
      <c r="Y340" s="1743"/>
      <c r="Z340" s="1743"/>
      <c r="AA340" s="1743"/>
      <c r="AB340" s="1743"/>
      <c r="AC340" s="1743"/>
      <c r="AD340" s="1743"/>
      <c r="AE340" s="1743"/>
      <c r="AF340" s="1743"/>
      <c r="AG340" s="1743"/>
    </row>
    <row r="341" spans="17:33" s="1738" customFormat="1">
      <c r="Q341" s="1743"/>
      <c r="R341" s="1743"/>
      <c r="U341" s="1743"/>
      <c r="V341" s="1743"/>
      <c r="W341" s="1743"/>
      <c r="X341" s="1743"/>
      <c r="Y341" s="1743"/>
      <c r="Z341" s="1743"/>
      <c r="AA341" s="1743"/>
      <c r="AB341" s="1743"/>
      <c r="AC341" s="1743"/>
      <c r="AD341" s="1743"/>
      <c r="AE341" s="1743"/>
      <c r="AF341" s="1743"/>
      <c r="AG341" s="1743"/>
    </row>
    <row r="342" spans="17:33" s="1738" customFormat="1">
      <c r="Q342" s="1743"/>
      <c r="R342" s="1743"/>
      <c r="U342" s="1743"/>
      <c r="V342" s="1743"/>
      <c r="W342" s="1743"/>
      <c r="X342" s="1743"/>
      <c r="Y342" s="1743"/>
      <c r="Z342" s="1743"/>
      <c r="AA342" s="1743"/>
      <c r="AB342" s="1743"/>
      <c r="AC342" s="1743"/>
      <c r="AD342" s="1743"/>
      <c r="AE342" s="1743"/>
      <c r="AF342" s="1743"/>
      <c r="AG342" s="1743"/>
    </row>
    <row r="343" spans="17:33" s="1738" customFormat="1">
      <c r="Q343" s="1743"/>
      <c r="R343" s="1743"/>
      <c r="U343" s="1743"/>
      <c r="V343" s="1743"/>
      <c r="W343" s="1743"/>
      <c r="X343" s="1743"/>
      <c r="Y343" s="1743"/>
      <c r="Z343" s="1743"/>
      <c r="AA343" s="1743"/>
      <c r="AB343" s="1743"/>
      <c r="AC343" s="1743"/>
      <c r="AD343" s="1743"/>
      <c r="AE343" s="1743"/>
      <c r="AF343" s="1743"/>
      <c r="AG343" s="1743"/>
    </row>
    <row r="344" spans="17:33" s="1738" customFormat="1">
      <c r="Q344" s="1743"/>
      <c r="R344" s="1743"/>
      <c r="U344" s="1743"/>
      <c r="V344" s="1743"/>
      <c r="W344" s="1743"/>
      <c r="X344" s="1743"/>
      <c r="Y344" s="1743"/>
      <c r="Z344" s="1743"/>
      <c r="AA344" s="1743"/>
      <c r="AB344" s="1743"/>
      <c r="AC344" s="1743"/>
      <c r="AD344" s="1743"/>
      <c r="AE344" s="1743"/>
      <c r="AF344" s="1743"/>
      <c r="AG344" s="1743"/>
    </row>
    <row r="345" spans="17:33" s="1738" customFormat="1">
      <c r="Q345" s="1743"/>
      <c r="R345" s="1743"/>
      <c r="U345" s="1743"/>
      <c r="V345" s="1743"/>
      <c r="W345" s="1743"/>
      <c r="X345" s="1743"/>
      <c r="Y345" s="1743"/>
      <c r="Z345" s="1743"/>
      <c r="AA345" s="1743"/>
      <c r="AB345" s="1743"/>
      <c r="AC345" s="1743"/>
      <c r="AD345" s="1743"/>
      <c r="AE345" s="1743"/>
      <c r="AF345" s="1743"/>
      <c r="AG345" s="1743"/>
    </row>
    <row r="346" spans="17:33" s="1738" customFormat="1">
      <c r="Q346" s="1743"/>
      <c r="R346" s="1743"/>
      <c r="U346" s="1743"/>
      <c r="V346" s="1743"/>
      <c r="W346" s="1743"/>
      <c r="X346" s="1743"/>
      <c r="Y346" s="1743"/>
      <c r="Z346" s="1743"/>
      <c r="AA346" s="1743"/>
      <c r="AB346" s="1743"/>
      <c r="AC346" s="1743"/>
      <c r="AD346" s="1743"/>
      <c r="AE346" s="1743"/>
      <c r="AF346" s="1743"/>
      <c r="AG346" s="1743"/>
    </row>
    <row r="347" spans="17:33" s="1738" customFormat="1">
      <c r="Q347" s="1743"/>
      <c r="R347" s="1743"/>
      <c r="U347" s="1743"/>
      <c r="V347" s="1743"/>
      <c r="W347" s="1743"/>
      <c r="X347" s="1743"/>
      <c r="Y347" s="1743"/>
      <c r="Z347" s="1743"/>
      <c r="AA347" s="1743"/>
      <c r="AB347" s="1743"/>
      <c r="AC347" s="1743"/>
      <c r="AD347" s="1743"/>
      <c r="AE347" s="1743"/>
      <c r="AF347" s="1743"/>
      <c r="AG347" s="1743"/>
    </row>
    <row r="348" spans="17:33" s="1738" customFormat="1">
      <c r="Q348" s="1743"/>
      <c r="R348" s="1743"/>
      <c r="U348" s="1743"/>
      <c r="V348" s="1743"/>
      <c r="W348" s="1743"/>
      <c r="X348" s="1743"/>
      <c r="Y348" s="1743"/>
      <c r="Z348" s="1743"/>
      <c r="AA348" s="1743"/>
      <c r="AB348" s="1743"/>
      <c r="AC348" s="1743"/>
      <c r="AD348" s="1743"/>
      <c r="AE348" s="1743"/>
      <c r="AF348" s="1743"/>
      <c r="AG348" s="1743"/>
    </row>
    <row r="349" spans="17:33" s="1738" customFormat="1">
      <c r="Q349" s="1743"/>
      <c r="R349" s="1743"/>
      <c r="U349" s="1743"/>
      <c r="V349" s="1743"/>
      <c r="W349" s="1743"/>
      <c r="X349" s="1743"/>
      <c r="Y349" s="1743"/>
      <c r="Z349" s="1743"/>
      <c r="AA349" s="1743"/>
      <c r="AB349" s="1743"/>
      <c r="AC349" s="1743"/>
      <c r="AD349" s="1743"/>
      <c r="AE349" s="1743"/>
      <c r="AF349" s="1743"/>
      <c r="AG349" s="1743"/>
    </row>
    <row r="350" spans="17:33" s="1738" customFormat="1">
      <c r="Q350" s="1743"/>
      <c r="R350" s="1743"/>
      <c r="U350" s="1743"/>
      <c r="V350" s="1743"/>
      <c r="W350" s="1743"/>
      <c r="X350" s="1743"/>
      <c r="Y350" s="1743"/>
      <c r="Z350" s="1743"/>
      <c r="AA350" s="1743"/>
      <c r="AB350" s="1743"/>
      <c r="AC350" s="1743"/>
      <c r="AD350" s="1743"/>
      <c r="AE350" s="1743"/>
      <c r="AF350" s="1743"/>
      <c r="AG350" s="1743"/>
    </row>
    <row r="351" spans="17:33" s="1738" customFormat="1">
      <c r="Q351" s="1743"/>
      <c r="R351" s="1743"/>
      <c r="U351" s="1743"/>
      <c r="V351" s="1743"/>
      <c r="W351" s="1743"/>
      <c r="X351" s="1743"/>
      <c r="Y351" s="1743"/>
      <c r="Z351" s="1743"/>
      <c r="AA351" s="1743"/>
      <c r="AB351" s="1743"/>
      <c r="AC351" s="1743"/>
      <c r="AD351" s="1743"/>
      <c r="AE351" s="1743"/>
      <c r="AF351" s="1743"/>
      <c r="AG351" s="1743"/>
    </row>
    <row r="352" spans="17:33" s="1738" customFormat="1">
      <c r="Q352" s="1743"/>
      <c r="R352" s="1743"/>
      <c r="U352" s="1743"/>
      <c r="V352" s="1743"/>
      <c r="W352" s="1743"/>
      <c r="X352" s="1743"/>
      <c r="Y352" s="1743"/>
      <c r="Z352" s="1743"/>
      <c r="AA352" s="1743"/>
      <c r="AB352" s="1743"/>
      <c r="AC352" s="1743"/>
      <c r="AD352" s="1743"/>
      <c r="AE352" s="1743"/>
      <c r="AF352" s="1743"/>
      <c r="AG352" s="1743"/>
    </row>
    <row r="353" spans="17:33" s="1738" customFormat="1">
      <c r="Q353" s="1743"/>
      <c r="R353" s="1743"/>
      <c r="U353" s="1743"/>
      <c r="V353" s="1743"/>
      <c r="W353" s="1743"/>
      <c r="X353" s="1743"/>
      <c r="Y353" s="1743"/>
      <c r="Z353" s="1743"/>
      <c r="AA353" s="1743"/>
      <c r="AB353" s="1743"/>
      <c r="AC353" s="1743"/>
      <c r="AD353" s="1743"/>
      <c r="AE353" s="1743"/>
      <c r="AF353" s="1743"/>
      <c r="AG353" s="1743"/>
    </row>
    <row r="354" spans="17:33" s="1738" customFormat="1">
      <c r="Q354" s="1743"/>
      <c r="R354" s="1743"/>
      <c r="U354" s="1743"/>
      <c r="V354" s="1743"/>
      <c r="W354" s="1743"/>
      <c r="X354" s="1743"/>
      <c r="Y354" s="1743"/>
      <c r="Z354" s="1743"/>
      <c r="AA354" s="1743"/>
      <c r="AB354" s="1743"/>
      <c r="AC354" s="1743"/>
      <c r="AD354" s="1743"/>
      <c r="AE354" s="1743"/>
      <c r="AF354" s="1743"/>
      <c r="AG354" s="1743"/>
    </row>
    <row r="355" spans="17:33" s="1738" customFormat="1">
      <c r="Q355" s="1743"/>
      <c r="R355" s="1743"/>
      <c r="U355" s="1743"/>
      <c r="V355" s="1743"/>
      <c r="W355" s="1743"/>
      <c r="X355" s="1743"/>
      <c r="Y355" s="1743"/>
      <c r="Z355" s="1743"/>
      <c r="AA355" s="1743"/>
      <c r="AB355" s="1743"/>
      <c r="AC355" s="1743"/>
      <c r="AD355" s="1743"/>
      <c r="AE355" s="1743"/>
      <c r="AF355" s="1743"/>
      <c r="AG355" s="1743"/>
    </row>
    <row r="356" spans="17:33" s="1738" customFormat="1">
      <c r="Q356" s="1743"/>
      <c r="R356" s="1743"/>
      <c r="U356" s="1743"/>
      <c r="V356" s="1743"/>
      <c r="W356" s="1743"/>
      <c r="X356" s="1743"/>
      <c r="Y356" s="1743"/>
      <c r="Z356" s="1743"/>
      <c r="AA356" s="1743"/>
      <c r="AB356" s="1743"/>
      <c r="AC356" s="1743"/>
      <c r="AD356" s="1743"/>
      <c r="AE356" s="1743"/>
      <c r="AF356" s="1743"/>
      <c r="AG356" s="1743"/>
    </row>
    <row r="357" spans="17:33" s="1738" customFormat="1">
      <c r="Q357" s="1743"/>
      <c r="R357" s="1743"/>
      <c r="U357" s="1743"/>
      <c r="V357" s="1743"/>
      <c r="W357" s="1743"/>
      <c r="X357" s="1743"/>
      <c r="Y357" s="1743"/>
      <c r="Z357" s="1743"/>
      <c r="AA357" s="1743"/>
      <c r="AB357" s="1743"/>
      <c r="AC357" s="1743"/>
      <c r="AD357" s="1743"/>
      <c r="AE357" s="1743"/>
      <c r="AF357" s="1743"/>
      <c r="AG357" s="1743"/>
    </row>
    <row r="358" spans="17:33" s="1738" customFormat="1">
      <c r="Q358" s="1743"/>
      <c r="R358" s="1743"/>
      <c r="U358" s="1743"/>
      <c r="V358" s="1743"/>
      <c r="W358" s="1743"/>
      <c r="X358" s="1743"/>
      <c r="Y358" s="1743"/>
      <c r="Z358" s="1743"/>
      <c r="AA358" s="1743"/>
      <c r="AB358" s="1743"/>
      <c r="AC358" s="1743"/>
      <c r="AD358" s="1743"/>
      <c r="AE358" s="1743"/>
      <c r="AF358" s="1743"/>
      <c r="AG358" s="1743"/>
    </row>
    <row r="359" spans="17:33" s="1738" customFormat="1">
      <c r="Q359" s="1743"/>
      <c r="R359" s="1743"/>
      <c r="U359" s="1743"/>
      <c r="V359" s="1743"/>
      <c r="W359" s="1743"/>
      <c r="X359" s="1743"/>
      <c r="Y359" s="1743"/>
      <c r="Z359" s="1743"/>
      <c r="AA359" s="1743"/>
      <c r="AB359" s="1743"/>
      <c r="AC359" s="1743"/>
      <c r="AD359" s="1743"/>
      <c r="AE359" s="1743"/>
      <c r="AF359" s="1743"/>
      <c r="AG359" s="1743"/>
    </row>
    <row r="360" spans="17:33" s="1738" customFormat="1">
      <c r="Q360" s="1743"/>
      <c r="R360" s="1743"/>
      <c r="U360" s="1743"/>
      <c r="V360" s="1743"/>
      <c r="W360" s="1743"/>
      <c r="X360" s="1743"/>
      <c r="Y360" s="1743"/>
      <c r="Z360" s="1743"/>
      <c r="AA360" s="1743"/>
      <c r="AB360" s="1743"/>
      <c r="AC360" s="1743"/>
      <c r="AD360" s="1743"/>
      <c r="AE360" s="1743"/>
      <c r="AF360" s="1743"/>
      <c r="AG360" s="1743"/>
    </row>
    <row r="361" spans="17:33" s="1738" customFormat="1">
      <c r="Q361" s="1743"/>
      <c r="R361" s="1743"/>
      <c r="U361" s="1743"/>
      <c r="V361" s="1743"/>
      <c r="W361" s="1743"/>
      <c r="X361" s="1743"/>
      <c r="Y361" s="1743"/>
      <c r="Z361" s="1743"/>
      <c r="AA361" s="1743"/>
      <c r="AB361" s="1743"/>
      <c r="AC361" s="1743"/>
      <c r="AD361" s="1743"/>
      <c r="AE361" s="1743"/>
      <c r="AF361" s="1743"/>
      <c r="AG361" s="1743"/>
    </row>
    <row r="362" spans="17:33" s="1738" customFormat="1">
      <c r="Q362" s="1743"/>
      <c r="R362" s="1743"/>
      <c r="U362" s="1743"/>
      <c r="V362" s="1743"/>
      <c r="W362" s="1743"/>
      <c r="X362" s="1743"/>
      <c r="Y362" s="1743"/>
      <c r="Z362" s="1743"/>
      <c r="AA362" s="1743"/>
      <c r="AB362" s="1743"/>
      <c r="AC362" s="1743"/>
      <c r="AD362" s="1743"/>
      <c r="AE362" s="1743"/>
      <c r="AF362" s="1743"/>
      <c r="AG362" s="1743"/>
    </row>
    <row r="363" spans="17:33" s="1738" customFormat="1">
      <c r="Q363" s="1743"/>
      <c r="R363" s="1743"/>
      <c r="U363" s="1743"/>
      <c r="V363" s="1743"/>
      <c r="W363" s="1743"/>
      <c r="X363" s="1743"/>
      <c r="Y363" s="1743"/>
      <c r="Z363" s="1743"/>
      <c r="AA363" s="1743"/>
      <c r="AB363" s="1743"/>
      <c r="AC363" s="1743"/>
      <c r="AD363" s="1743"/>
      <c r="AE363" s="1743"/>
      <c r="AF363" s="1743"/>
      <c r="AG363" s="1743"/>
    </row>
    <row r="364" spans="17:33" s="1738" customFormat="1">
      <c r="Q364" s="1743"/>
      <c r="R364" s="1743"/>
      <c r="U364" s="1743"/>
      <c r="V364" s="1743"/>
      <c r="W364" s="1743"/>
      <c r="X364" s="1743"/>
      <c r="Y364" s="1743"/>
      <c r="Z364" s="1743"/>
      <c r="AA364" s="1743"/>
      <c r="AB364" s="1743"/>
      <c r="AC364" s="1743"/>
      <c r="AD364" s="1743"/>
      <c r="AE364" s="1743"/>
      <c r="AF364" s="1743"/>
      <c r="AG364" s="1743"/>
    </row>
    <row r="365" spans="17:33" s="1738" customFormat="1">
      <c r="Q365" s="1743"/>
      <c r="R365" s="1743"/>
      <c r="U365" s="1743"/>
      <c r="V365" s="1743"/>
      <c r="W365" s="1743"/>
      <c r="X365" s="1743"/>
      <c r="Y365" s="1743"/>
      <c r="Z365" s="1743"/>
      <c r="AA365" s="1743"/>
      <c r="AB365" s="1743"/>
      <c r="AC365" s="1743"/>
      <c r="AD365" s="1743"/>
      <c r="AE365" s="1743"/>
      <c r="AF365" s="1743"/>
      <c r="AG365" s="1743"/>
    </row>
    <row r="366" spans="17:33" s="1738" customFormat="1">
      <c r="Q366" s="1743"/>
      <c r="R366" s="1743"/>
      <c r="U366" s="1743"/>
      <c r="V366" s="1743"/>
      <c r="W366" s="1743"/>
      <c r="X366" s="1743"/>
      <c r="Y366" s="1743"/>
      <c r="Z366" s="1743"/>
      <c r="AA366" s="1743"/>
      <c r="AB366" s="1743"/>
      <c r="AC366" s="1743"/>
      <c r="AD366" s="1743"/>
      <c r="AE366" s="1743"/>
      <c r="AF366" s="1743"/>
      <c r="AG366" s="1743"/>
    </row>
    <row r="367" spans="17:33" s="1738" customFormat="1">
      <c r="Q367" s="1743"/>
      <c r="R367" s="1743"/>
      <c r="U367" s="1743"/>
      <c r="V367" s="1743"/>
      <c r="W367" s="1743"/>
      <c r="X367" s="1743"/>
      <c r="Y367" s="1743"/>
      <c r="Z367" s="1743"/>
      <c r="AA367" s="1743"/>
      <c r="AB367" s="1743"/>
      <c r="AC367" s="1743"/>
      <c r="AD367" s="1743"/>
      <c r="AE367" s="1743"/>
      <c r="AF367" s="1743"/>
      <c r="AG367" s="1743"/>
    </row>
    <row r="368" spans="17:33" s="1738" customFormat="1">
      <c r="Q368" s="1743"/>
      <c r="R368" s="1743"/>
      <c r="U368" s="1743"/>
      <c r="V368" s="1743"/>
      <c r="W368" s="1743"/>
      <c r="X368" s="1743"/>
      <c r="Y368" s="1743"/>
      <c r="Z368" s="1743"/>
      <c r="AA368" s="1743"/>
      <c r="AB368" s="1743"/>
      <c r="AC368" s="1743"/>
      <c r="AD368" s="1743"/>
      <c r="AE368" s="1743"/>
      <c r="AF368" s="1743"/>
      <c r="AG368" s="1743"/>
    </row>
    <row r="369" spans="17:33" s="1738" customFormat="1">
      <c r="Q369" s="1743"/>
      <c r="R369" s="1743"/>
      <c r="U369" s="1743"/>
      <c r="V369" s="1743"/>
      <c r="W369" s="1743"/>
      <c r="X369" s="1743"/>
      <c r="Y369" s="1743"/>
      <c r="Z369" s="1743"/>
      <c r="AA369" s="1743"/>
      <c r="AB369" s="1743"/>
      <c r="AC369" s="1743"/>
      <c r="AD369" s="1743"/>
      <c r="AE369" s="1743"/>
      <c r="AF369" s="1743"/>
      <c r="AG369" s="1743"/>
    </row>
    <row r="370" spans="17:33" s="1738" customFormat="1">
      <c r="Q370" s="1743"/>
      <c r="R370" s="1743"/>
      <c r="U370" s="1743"/>
      <c r="V370" s="1743"/>
      <c r="W370" s="1743"/>
      <c r="X370" s="1743"/>
      <c r="Y370" s="1743"/>
      <c r="Z370" s="1743"/>
      <c r="AA370" s="1743"/>
      <c r="AB370" s="1743"/>
      <c r="AC370" s="1743"/>
      <c r="AD370" s="1743"/>
      <c r="AE370" s="1743"/>
      <c r="AF370" s="1743"/>
      <c r="AG370" s="1743"/>
    </row>
    <row r="371" spans="17:33" s="1738" customFormat="1">
      <c r="Q371" s="1743"/>
      <c r="R371" s="1743"/>
      <c r="U371" s="1743"/>
      <c r="V371" s="1743"/>
      <c r="W371" s="1743"/>
      <c r="X371" s="1743"/>
      <c r="Y371" s="1743"/>
      <c r="Z371" s="1743"/>
      <c r="AA371" s="1743"/>
      <c r="AB371" s="1743"/>
      <c r="AC371" s="1743"/>
      <c r="AD371" s="1743"/>
      <c r="AE371" s="1743"/>
      <c r="AF371" s="1743"/>
      <c r="AG371" s="1743"/>
    </row>
    <row r="372" spans="17:33" s="1738" customFormat="1">
      <c r="Q372" s="1743"/>
      <c r="R372" s="1743"/>
      <c r="U372" s="1743"/>
      <c r="V372" s="1743"/>
      <c r="W372" s="1743"/>
      <c r="X372" s="1743"/>
      <c r="Y372" s="1743"/>
      <c r="Z372" s="1743"/>
      <c r="AA372" s="1743"/>
      <c r="AB372" s="1743"/>
      <c r="AC372" s="1743"/>
      <c r="AD372" s="1743"/>
      <c r="AE372" s="1743"/>
      <c r="AF372" s="1743"/>
      <c r="AG372" s="1743"/>
    </row>
    <row r="373" spans="17:33" s="1738" customFormat="1">
      <c r="Q373" s="1743"/>
      <c r="R373" s="1743"/>
      <c r="U373" s="1743"/>
      <c r="V373" s="1743"/>
      <c r="W373" s="1743"/>
      <c r="X373" s="1743"/>
      <c r="Y373" s="1743"/>
      <c r="Z373" s="1743"/>
      <c r="AA373" s="1743"/>
      <c r="AB373" s="1743"/>
      <c r="AC373" s="1743"/>
      <c r="AD373" s="1743"/>
      <c r="AE373" s="1743"/>
      <c r="AF373" s="1743"/>
      <c r="AG373" s="1743"/>
    </row>
    <row r="374" spans="17:33" s="1738" customFormat="1">
      <c r="Q374" s="1743"/>
      <c r="R374" s="1743"/>
      <c r="U374" s="1743"/>
      <c r="V374" s="1743"/>
      <c r="W374" s="1743"/>
      <c r="X374" s="1743"/>
      <c r="Y374" s="1743"/>
      <c r="Z374" s="1743"/>
      <c r="AA374" s="1743"/>
      <c r="AB374" s="1743"/>
      <c r="AC374" s="1743"/>
      <c r="AD374" s="1743"/>
      <c r="AE374" s="1743"/>
      <c r="AF374" s="1743"/>
      <c r="AG374" s="1743"/>
    </row>
    <row r="375" spans="17:33" s="1738" customFormat="1">
      <c r="Q375" s="1743"/>
      <c r="R375" s="1743"/>
      <c r="U375" s="1743"/>
      <c r="V375" s="1743"/>
      <c r="W375" s="1743"/>
      <c r="X375" s="1743"/>
      <c r="Y375" s="1743"/>
      <c r="Z375" s="1743"/>
      <c r="AA375" s="1743"/>
      <c r="AB375" s="1743"/>
      <c r="AC375" s="1743"/>
      <c r="AD375" s="1743"/>
      <c r="AE375" s="1743"/>
      <c r="AF375" s="1743"/>
      <c r="AG375" s="1743"/>
    </row>
    <row r="376" spans="17:33" s="1738" customFormat="1">
      <c r="Q376" s="1743"/>
      <c r="R376" s="1743"/>
      <c r="U376" s="1743"/>
      <c r="V376" s="1743"/>
      <c r="W376" s="1743"/>
      <c r="X376" s="1743"/>
      <c r="Y376" s="1743"/>
      <c r="Z376" s="1743"/>
      <c r="AA376" s="1743"/>
      <c r="AB376" s="1743"/>
      <c r="AC376" s="1743"/>
      <c r="AD376" s="1743"/>
      <c r="AE376" s="1743"/>
      <c r="AF376" s="1743"/>
      <c r="AG376" s="1743"/>
    </row>
    <row r="377" spans="17:33" s="1738" customFormat="1">
      <c r="Q377" s="1743"/>
      <c r="R377" s="1743"/>
      <c r="U377" s="1743"/>
      <c r="V377" s="1743"/>
      <c r="W377" s="1743"/>
      <c r="X377" s="1743"/>
      <c r="Y377" s="1743"/>
      <c r="Z377" s="1743"/>
      <c r="AA377" s="1743"/>
      <c r="AB377" s="1743"/>
      <c r="AC377" s="1743"/>
      <c r="AD377" s="1743"/>
      <c r="AE377" s="1743"/>
      <c r="AF377" s="1743"/>
      <c r="AG377" s="1743"/>
    </row>
    <row r="378" spans="17:33" s="1738" customFormat="1">
      <c r="Q378" s="1743"/>
      <c r="R378" s="1743"/>
      <c r="U378" s="1743"/>
      <c r="V378" s="1743"/>
      <c r="W378" s="1743"/>
      <c r="X378" s="1743"/>
      <c r="Y378" s="1743"/>
      <c r="Z378" s="1743"/>
      <c r="AA378" s="1743"/>
      <c r="AB378" s="1743"/>
      <c r="AC378" s="1743"/>
      <c r="AD378" s="1743"/>
      <c r="AE378" s="1743"/>
      <c r="AF378" s="1743"/>
      <c r="AG378" s="1743"/>
    </row>
    <row r="379" spans="17:33" s="1738" customFormat="1">
      <c r="Q379" s="1743"/>
      <c r="R379" s="1743"/>
      <c r="U379" s="1743"/>
      <c r="V379" s="1743"/>
      <c r="W379" s="1743"/>
      <c r="X379" s="1743"/>
      <c r="Y379" s="1743"/>
      <c r="Z379" s="1743"/>
      <c r="AA379" s="1743"/>
      <c r="AB379" s="1743"/>
      <c r="AC379" s="1743"/>
      <c r="AD379" s="1743"/>
      <c r="AE379" s="1743"/>
      <c r="AF379" s="1743"/>
      <c r="AG379" s="1743"/>
    </row>
    <row r="380" spans="17:33" s="1738" customFormat="1">
      <c r="Q380" s="1743"/>
      <c r="R380" s="1743"/>
      <c r="U380" s="1743"/>
      <c r="V380" s="1743"/>
      <c r="W380" s="1743"/>
      <c r="X380" s="1743"/>
      <c r="Y380" s="1743"/>
      <c r="Z380" s="1743"/>
      <c r="AA380" s="1743"/>
      <c r="AB380" s="1743"/>
      <c r="AC380" s="1743"/>
      <c r="AD380" s="1743"/>
      <c r="AE380" s="1743"/>
      <c r="AF380" s="1743"/>
      <c r="AG380" s="1743"/>
    </row>
    <row r="381" spans="17:33" s="1738" customFormat="1">
      <c r="Q381" s="1743"/>
      <c r="R381" s="1743"/>
      <c r="U381" s="1743"/>
      <c r="V381" s="1743"/>
      <c r="W381" s="1743"/>
      <c r="X381" s="1743"/>
      <c r="Y381" s="1743"/>
      <c r="Z381" s="1743"/>
      <c r="AA381" s="1743"/>
      <c r="AB381" s="1743"/>
      <c r="AC381" s="1743"/>
      <c r="AD381" s="1743"/>
      <c r="AE381" s="1743"/>
      <c r="AF381" s="1743"/>
      <c r="AG381" s="1743"/>
    </row>
    <row r="382" spans="17:33" s="1738" customFormat="1">
      <c r="Q382" s="1743"/>
      <c r="R382" s="1743"/>
      <c r="U382" s="1743"/>
      <c r="V382" s="1743"/>
      <c r="W382" s="1743"/>
      <c r="X382" s="1743"/>
      <c r="Y382" s="1743"/>
      <c r="Z382" s="1743"/>
      <c r="AA382" s="1743"/>
      <c r="AB382" s="1743"/>
      <c r="AC382" s="1743"/>
      <c r="AD382" s="1743"/>
      <c r="AE382" s="1743"/>
      <c r="AF382" s="1743"/>
      <c r="AG382" s="1743"/>
    </row>
    <row r="383" spans="17:33" s="1738" customFormat="1">
      <c r="Q383" s="1743"/>
      <c r="R383" s="1743"/>
      <c r="U383" s="1743"/>
      <c r="V383" s="1743"/>
      <c r="W383" s="1743"/>
      <c r="X383" s="1743"/>
      <c r="Y383" s="1743"/>
      <c r="Z383" s="1743"/>
      <c r="AA383" s="1743"/>
      <c r="AB383" s="1743"/>
      <c r="AC383" s="1743"/>
      <c r="AD383" s="1743"/>
      <c r="AE383" s="1743"/>
      <c r="AF383" s="1743"/>
      <c r="AG383" s="1743"/>
    </row>
    <row r="384" spans="17:33" s="1738" customFormat="1">
      <c r="Q384" s="1743"/>
      <c r="R384" s="1743"/>
      <c r="U384" s="1743"/>
      <c r="V384" s="1743"/>
      <c r="W384" s="1743"/>
      <c r="X384" s="1743"/>
      <c r="Y384" s="1743"/>
      <c r="Z384" s="1743"/>
      <c r="AA384" s="1743"/>
      <c r="AB384" s="1743"/>
      <c r="AC384" s="1743"/>
      <c r="AD384" s="1743"/>
      <c r="AE384" s="1743"/>
      <c r="AF384" s="1743"/>
      <c r="AG384" s="1743"/>
    </row>
    <row r="385" spans="17:33" s="1738" customFormat="1">
      <c r="Q385" s="1743"/>
      <c r="R385" s="1743"/>
      <c r="U385" s="1743"/>
      <c r="V385" s="1743"/>
      <c r="W385" s="1743"/>
      <c r="X385" s="1743"/>
      <c r="Y385" s="1743"/>
      <c r="Z385" s="1743"/>
      <c r="AA385" s="1743"/>
      <c r="AB385" s="1743"/>
      <c r="AC385" s="1743"/>
      <c r="AD385" s="1743"/>
      <c r="AE385" s="1743"/>
      <c r="AF385" s="1743"/>
      <c r="AG385" s="1743"/>
    </row>
    <row r="386" spans="17:33" s="1738" customFormat="1">
      <c r="Q386" s="1743"/>
      <c r="R386" s="1743"/>
      <c r="U386" s="1743"/>
      <c r="V386" s="1743"/>
      <c r="W386" s="1743"/>
      <c r="X386" s="1743"/>
      <c r="Y386" s="1743"/>
      <c r="Z386" s="1743"/>
      <c r="AA386" s="1743"/>
      <c r="AB386" s="1743"/>
      <c r="AC386" s="1743"/>
      <c r="AD386" s="1743"/>
      <c r="AE386" s="1743"/>
      <c r="AF386" s="1743"/>
      <c r="AG386" s="1743"/>
    </row>
    <row r="387" spans="17:33" s="1738" customFormat="1">
      <c r="Q387" s="1743"/>
      <c r="R387" s="1743"/>
      <c r="U387" s="1743"/>
      <c r="V387" s="1743"/>
      <c r="W387" s="1743"/>
      <c r="X387" s="1743"/>
      <c r="Y387" s="1743"/>
      <c r="Z387" s="1743"/>
      <c r="AA387" s="1743"/>
      <c r="AB387" s="1743"/>
      <c r="AC387" s="1743"/>
      <c r="AD387" s="1743"/>
      <c r="AE387" s="1743"/>
      <c r="AF387" s="1743"/>
      <c r="AG387" s="1743"/>
    </row>
    <row r="388" spans="17:33" s="1738" customFormat="1">
      <c r="Q388" s="1743"/>
      <c r="R388" s="1743"/>
      <c r="U388" s="1743"/>
      <c r="V388" s="1743"/>
      <c r="W388" s="1743"/>
      <c r="X388" s="1743"/>
      <c r="Y388" s="1743"/>
      <c r="Z388" s="1743"/>
      <c r="AA388" s="1743"/>
      <c r="AB388" s="1743"/>
      <c r="AC388" s="1743"/>
      <c r="AD388" s="1743"/>
      <c r="AE388" s="1743"/>
      <c r="AF388" s="1743"/>
      <c r="AG388" s="1743"/>
    </row>
    <row r="389" spans="17:33" s="1738" customFormat="1">
      <c r="Q389" s="1743"/>
      <c r="R389" s="1743"/>
      <c r="U389" s="1743"/>
      <c r="V389" s="1743"/>
      <c r="W389" s="1743"/>
      <c r="X389" s="1743"/>
      <c r="Y389" s="1743"/>
      <c r="Z389" s="1743"/>
      <c r="AA389" s="1743"/>
      <c r="AB389" s="1743"/>
      <c r="AC389" s="1743"/>
      <c r="AD389" s="1743"/>
      <c r="AE389" s="1743"/>
      <c r="AF389" s="1743"/>
      <c r="AG389" s="1743"/>
    </row>
    <row r="390" spans="17:33" s="1738" customFormat="1">
      <c r="Q390" s="1743"/>
      <c r="R390" s="1743"/>
      <c r="U390" s="1743"/>
      <c r="V390" s="1743"/>
      <c r="W390" s="1743"/>
      <c r="X390" s="1743"/>
      <c r="Y390" s="1743"/>
      <c r="Z390" s="1743"/>
      <c r="AA390" s="1743"/>
      <c r="AB390" s="1743"/>
      <c r="AC390" s="1743"/>
      <c r="AD390" s="1743"/>
      <c r="AE390" s="1743"/>
      <c r="AF390" s="1743"/>
      <c r="AG390" s="1743"/>
    </row>
    <row r="391" spans="17:33" s="1738" customFormat="1">
      <c r="Q391" s="1743"/>
      <c r="R391" s="1743"/>
      <c r="U391" s="1743"/>
      <c r="V391" s="1743"/>
      <c r="W391" s="1743"/>
      <c r="X391" s="1743"/>
      <c r="Y391" s="1743"/>
      <c r="Z391" s="1743"/>
      <c r="AA391" s="1743"/>
      <c r="AB391" s="1743"/>
      <c r="AC391" s="1743"/>
      <c r="AD391" s="1743"/>
      <c r="AE391" s="1743"/>
      <c r="AF391" s="1743"/>
      <c r="AG391" s="1743"/>
    </row>
    <row r="392" spans="17:33" s="1738" customFormat="1">
      <c r="Q392" s="1743"/>
      <c r="R392" s="1743"/>
      <c r="U392" s="1743"/>
      <c r="V392" s="1743"/>
      <c r="W392" s="1743"/>
      <c r="X392" s="1743"/>
      <c r="Y392" s="1743"/>
      <c r="Z392" s="1743"/>
      <c r="AA392" s="1743"/>
      <c r="AB392" s="1743"/>
      <c r="AC392" s="1743"/>
      <c r="AD392" s="1743"/>
      <c r="AE392" s="1743"/>
      <c r="AF392" s="1743"/>
      <c r="AG392" s="1743"/>
    </row>
    <row r="393" spans="17:33" s="1738" customFormat="1">
      <c r="Q393" s="1743"/>
      <c r="R393" s="1743"/>
      <c r="U393" s="1743"/>
      <c r="V393" s="1743"/>
      <c r="W393" s="1743"/>
      <c r="X393" s="1743"/>
      <c r="Y393" s="1743"/>
      <c r="Z393" s="1743"/>
      <c r="AA393" s="1743"/>
      <c r="AB393" s="1743"/>
      <c r="AC393" s="1743"/>
      <c r="AD393" s="1743"/>
      <c r="AE393" s="1743"/>
      <c r="AF393" s="1743"/>
      <c r="AG393" s="1743"/>
    </row>
    <row r="394" spans="17:33" s="1738" customFormat="1">
      <c r="Q394" s="1743"/>
      <c r="R394" s="1743"/>
      <c r="U394" s="1743"/>
      <c r="V394" s="1743"/>
      <c r="W394" s="1743"/>
      <c r="X394" s="1743"/>
      <c r="Y394" s="1743"/>
      <c r="Z394" s="1743"/>
      <c r="AA394" s="1743"/>
      <c r="AB394" s="1743"/>
      <c r="AC394" s="1743"/>
      <c r="AD394" s="1743"/>
      <c r="AE394" s="1743"/>
      <c r="AF394" s="1743"/>
      <c r="AG394" s="1743"/>
    </row>
    <row r="395" spans="17:33" s="1738" customFormat="1">
      <c r="Q395" s="1743"/>
      <c r="R395" s="1743"/>
      <c r="U395" s="1743"/>
      <c r="V395" s="1743"/>
      <c r="W395" s="1743"/>
      <c r="X395" s="1743"/>
      <c r="Y395" s="1743"/>
      <c r="Z395" s="1743"/>
      <c r="AA395" s="1743"/>
      <c r="AB395" s="1743"/>
      <c r="AC395" s="1743"/>
      <c r="AD395" s="1743"/>
      <c r="AE395" s="1743"/>
      <c r="AF395" s="1743"/>
      <c r="AG395" s="1743"/>
    </row>
    <row r="396" spans="17:33" s="1738" customFormat="1">
      <c r="Q396" s="1743"/>
      <c r="R396" s="1743"/>
      <c r="U396" s="1743"/>
      <c r="V396" s="1743"/>
      <c r="W396" s="1743"/>
      <c r="X396" s="1743"/>
      <c r="Y396" s="1743"/>
      <c r="Z396" s="1743"/>
      <c r="AA396" s="1743"/>
      <c r="AB396" s="1743"/>
      <c r="AC396" s="1743"/>
      <c r="AD396" s="1743"/>
      <c r="AE396" s="1743"/>
      <c r="AF396" s="1743"/>
      <c r="AG396" s="1743"/>
    </row>
    <row r="397" spans="17:33" s="1738" customFormat="1">
      <c r="Q397" s="1743"/>
      <c r="R397" s="1743"/>
      <c r="U397" s="1743"/>
      <c r="V397" s="1743"/>
      <c r="W397" s="1743"/>
      <c r="X397" s="1743"/>
      <c r="Y397" s="1743"/>
      <c r="Z397" s="1743"/>
      <c r="AA397" s="1743"/>
      <c r="AB397" s="1743"/>
      <c r="AC397" s="1743"/>
      <c r="AD397" s="1743"/>
      <c r="AE397" s="1743"/>
      <c r="AF397" s="1743"/>
      <c r="AG397" s="1743"/>
    </row>
    <row r="398" spans="17:33" s="1738" customFormat="1">
      <c r="Q398" s="1743"/>
      <c r="R398" s="1743"/>
      <c r="U398" s="1743"/>
      <c r="V398" s="1743"/>
      <c r="W398" s="1743"/>
      <c r="X398" s="1743"/>
      <c r="Y398" s="1743"/>
      <c r="Z398" s="1743"/>
      <c r="AA398" s="1743"/>
      <c r="AB398" s="1743"/>
      <c r="AC398" s="1743"/>
      <c r="AD398" s="1743"/>
      <c r="AE398" s="1743"/>
      <c r="AF398" s="1743"/>
      <c r="AG398" s="1743"/>
    </row>
    <row r="399" spans="17:33" s="1738" customFormat="1">
      <c r="Q399" s="1743"/>
      <c r="R399" s="1743"/>
      <c r="U399" s="1743"/>
      <c r="V399" s="1743"/>
      <c r="W399" s="1743"/>
      <c r="X399" s="1743"/>
      <c r="Y399" s="1743"/>
      <c r="Z399" s="1743"/>
      <c r="AA399" s="1743"/>
      <c r="AB399" s="1743"/>
      <c r="AC399" s="1743"/>
      <c r="AD399" s="1743"/>
      <c r="AE399" s="1743"/>
      <c r="AF399" s="1743"/>
      <c r="AG399" s="1743"/>
    </row>
    <row r="400" spans="17:33" s="1738" customFormat="1">
      <c r="Q400" s="1743"/>
      <c r="R400" s="1743"/>
      <c r="U400" s="1743"/>
      <c r="V400" s="1743"/>
      <c r="W400" s="1743"/>
      <c r="X400" s="1743"/>
      <c r="Y400" s="1743"/>
      <c r="Z400" s="1743"/>
      <c r="AA400" s="1743"/>
      <c r="AB400" s="1743"/>
      <c r="AC400" s="1743"/>
      <c r="AD400" s="1743"/>
      <c r="AE400" s="1743"/>
      <c r="AF400" s="1743"/>
      <c r="AG400" s="1743"/>
    </row>
    <row r="401" spans="2:33" s="1738" customFormat="1">
      <c r="Q401" s="1743"/>
      <c r="R401" s="1743"/>
      <c r="U401" s="1743"/>
      <c r="V401" s="1743"/>
      <c r="W401" s="1743"/>
      <c r="X401" s="1743"/>
      <c r="Y401" s="1743"/>
      <c r="Z401" s="1743"/>
      <c r="AA401" s="1743"/>
      <c r="AB401" s="1743"/>
      <c r="AC401" s="1743"/>
      <c r="AD401" s="1743"/>
      <c r="AE401" s="1743"/>
      <c r="AF401" s="1743"/>
      <c r="AG401" s="1743"/>
    </row>
    <row r="402" spans="2:33" s="1738" customFormat="1">
      <c r="Q402" s="1743"/>
      <c r="R402" s="1743"/>
      <c r="U402" s="1743"/>
      <c r="V402" s="1743"/>
      <c r="W402" s="1743"/>
      <c r="X402" s="1743"/>
      <c r="Y402" s="1743"/>
      <c r="Z402" s="1743"/>
      <c r="AA402" s="1743"/>
      <c r="AB402" s="1743"/>
      <c r="AC402" s="1743"/>
      <c r="AD402" s="1743"/>
      <c r="AE402" s="1743"/>
      <c r="AF402" s="1743"/>
      <c r="AG402" s="1743"/>
    </row>
    <row r="403" spans="2:33" s="1738" customFormat="1">
      <c r="Q403" s="1743"/>
      <c r="R403" s="1743"/>
      <c r="U403" s="1743"/>
      <c r="V403" s="1743"/>
      <c r="W403" s="1743"/>
      <c r="X403" s="1743"/>
      <c r="Y403" s="1743"/>
      <c r="Z403" s="1743"/>
      <c r="AA403" s="1743"/>
      <c r="AB403" s="1743"/>
      <c r="AC403" s="1743"/>
      <c r="AD403" s="1743"/>
      <c r="AE403" s="1743"/>
      <c r="AF403" s="1743"/>
      <c r="AG403" s="1743"/>
    </row>
    <row r="404" spans="2:33" s="1738" customFormat="1">
      <c r="B404" s="232"/>
      <c r="Q404" s="1743"/>
      <c r="R404" s="1743"/>
      <c r="U404" s="1743"/>
      <c r="V404" s="1743"/>
      <c r="W404" s="1743"/>
      <c r="X404" s="1743"/>
      <c r="Y404" s="1743"/>
      <c r="Z404" s="1743"/>
      <c r="AA404" s="1743"/>
      <c r="AB404" s="1743"/>
      <c r="AC404" s="1743"/>
      <c r="AD404" s="1743"/>
      <c r="AE404" s="1743"/>
      <c r="AF404" s="1743"/>
      <c r="AG404" s="1743"/>
    </row>
    <row r="405" spans="2:33" s="1738" customFormat="1">
      <c r="B405" s="232"/>
      <c r="Q405" s="1743"/>
      <c r="R405" s="1743"/>
      <c r="U405" s="1743"/>
      <c r="V405" s="1743"/>
      <c r="W405" s="1743"/>
      <c r="X405" s="1743"/>
      <c r="Y405" s="1743"/>
      <c r="Z405" s="1743"/>
      <c r="AA405" s="1743"/>
      <c r="AB405" s="1743"/>
      <c r="AC405" s="1743"/>
      <c r="AD405" s="1743"/>
      <c r="AE405" s="1743"/>
      <c r="AF405" s="1743"/>
      <c r="AG405" s="1743"/>
    </row>
  </sheetData>
  <sheetProtection password="E8A2" sheet="1" objects="1" scenarios="1" formatCells="0" formatColumns="0" formatRows="0"/>
  <protectedRanges>
    <protectedRange sqref="H123:I123" name="Plage2" securityDescriptor="O:WDG:WDD:(A;;CC;;;WD)"/>
  </protectedRanges>
  <mergeCells count="77">
    <mergeCell ref="B29:C29"/>
    <mergeCell ref="B30:C30"/>
    <mergeCell ref="B31:C31"/>
    <mergeCell ref="B53:C53"/>
    <mergeCell ref="D30:H30"/>
    <mergeCell ref="D31:H31"/>
    <mergeCell ref="B51:C51"/>
    <mergeCell ref="B52:C52"/>
    <mergeCell ref="E43:E44"/>
    <mergeCell ref="G43:G44"/>
    <mergeCell ref="R49:T53"/>
    <mergeCell ref="N49:P53"/>
    <mergeCell ref="E90:G90"/>
    <mergeCell ref="J49:L53"/>
    <mergeCell ref="H123:K123"/>
    <mergeCell ref="K95:L96"/>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K126:N127"/>
    <mergeCell ref="D28:H28"/>
    <mergeCell ref="D29:H29"/>
    <mergeCell ref="D26:H26"/>
    <mergeCell ref="D14:H14"/>
    <mergeCell ref="D15:H15"/>
    <mergeCell ref="D16:H16"/>
    <mergeCell ref="D22:H22"/>
    <mergeCell ref="D23:H23"/>
    <mergeCell ref="N43:P43"/>
    <mergeCell ref="N94:O94"/>
    <mergeCell ref="J43:L43"/>
    <mergeCell ref="J29:L29"/>
  </mergeCells>
  <conditionalFormatting sqref="D56:I58">
    <cfRule type="expression" dxfId="19" priority="8">
      <formula>Nlang&gt;1</formula>
    </cfRule>
  </conditionalFormatting>
  <conditionalFormatting sqref="AJ13">
    <cfRule type="expression" dxfId="18" priority="7">
      <formula>Nlang&gt;1</formula>
    </cfRule>
  </conditionalFormatting>
  <conditionalFormatting sqref="AJ14:AJ16">
    <cfRule type="expression" dxfId="17" priority="6">
      <formula>Nlang&gt;1</formula>
    </cfRule>
  </conditionalFormatting>
  <conditionalFormatting sqref="AL13:AL16">
    <cfRule type="expression" dxfId="16" priority="5">
      <formula>Nlang&gt;1</formula>
    </cfRule>
  </conditionalFormatting>
  <conditionalFormatting sqref="AN13:AN16">
    <cfRule type="expression" dxfId="15" priority="4">
      <formula>Nlang&gt;1</formula>
    </cfRule>
  </conditionalFormatting>
  <conditionalFormatting sqref="AJ22:AJ31">
    <cfRule type="expression" dxfId="14" priority="3">
      <formula>Nlang&gt;1</formula>
    </cfRule>
  </conditionalFormatting>
  <conditionalFormatting sqref="AL22:AL31">
    <cfRule type="expression" dxfId="13" priority="2">
      <formula>Nlang&gt;1</formula>
    </cfRule>
  </conditionalFormatting>
  <conditionalFormatting sqref="AN22:AN31">
    <cfRule type="expression" dxfId="12"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2"/>
    <pageSetUpPr fitToPage="1"/>
  </sheetPr>
  <dimension ref="A1:BB71"/>
  <sheetViews>
    <sheetView zoomScale="60" zoomScaleNormal="60" workbookViewId="0">
      <selection activeCell="AC47" sqref="AC47"/>
    </sheetView>
  </sheetViews>
  <sheetFormatPr baseColWidth="10" defaultColWidth="11.44140625" defaultRowHeight="13.2"/>
  <cols>
    <col min="1" max="1" width="17.109375" style="233" customWidth="1"/>
    <col min="2" max="2" width="11.109375" style="233" customWidth="1"/>
    <col min="3" max="3" width="12.6640625" style="233" customWidth="1"/>
    <col min="4" max="4" width="14.6640625" style="233" customWidth="1"/>
    <col min="5" max="5" width="11.44140625" style="233"/>
    <col min="6" max="6" width="10.6640625" style="233" customWidth="1"/>
    <col min="7" max="7" width="13.88671875" style="233" customWidth="1"/>
    <col min="8" max="8" width="13.33203125" style="233" customWidth="1"/>
    <col min="9" max="9" width="11.5546875" style="234" customWidth="1"/>
    <col min="10" max="10" width="14.44140625" style="234" customWidth="1"/>
    <col min="11" max="11" width="10" style="233" customWidth="1"/>
    <col min="12" max="12" width="12" style="233" customWidth="1"/>
    <col min="13" max="13" width="9.44140625" style="233" customWidth="1"/>
    <col min="14" max="14" width="11" style="233" customWidth="1"/>
    <col min="15" max="15" width="9.44140625" style="234" customWidth="1"/>
    <col min="16" max="16" width="11.88671875" style="233" customWidth="1"/>
    <col min="17" max="17" width="9.44140625" style="234" customWidth="1"/>
    <col min="18" max="18" width="10.5546875" style="234" customWidth="1"/>
    <col min="19" max="19" width="12.5546875" style="234" customWidth="1"/>
    <col min="20" max="20" width="12.5546875" style="233" customWidth="1"/>
    <col min="21" max="21" width="9.33203125" style="233" customWidth="1"/>
    <col min="22" max="22" width="10.44140625" style="234" customWidth="1"/>
    <col min="23" max="24" width="9.33203125" style="234" customWidth="1"/>
    <col min="25" max="25" width="8" style="234" customWidth="1"/>
    <col min="26" max="26" width="9.109375" style="233" customWidth="1"/>
    <col min="27" max="30" width="9.109375" style="748" customWidth="1"/>
    <col min="31" max="31" width="9.109375" style="1089" customWidth="1"/>
    <col min="32" max="48" width="11.44140625" style="2460"/>
    <col min="49" max="16384" width="11.44140625" style="233"/>
  </cols>
  <sheetData>
    <row r="1" spans="1:48" s="1678" customFormat="1" ht="22.95" customHeight="1">
      <c r="I1" s="1682"/>
      <c r="J1" s="1682"/>
      <c r="O1" s="1682"/>
      <c r="Q1" s="1682"/>
      <c r="R1" s="1682"/>
      <c r="S1" s="1682"/>
      <c r="V1" s="1682"/>
      <c r="W1" s="1682"/>
      <c r="X1" s="1682"/>
      <c r="Y1" s="1682"/>
      <c r="AA1" s="1726"/>
      <c r="AB1" s="1726"/>
      <c r="AC1" s="1726"/>
      <c r="AD1" s="1726"/>
      <c r="AE1" s="1725"/>
      <c r="AF1" s="2458"/>
      <c r="AG1" s="2458"/>
      <c r="AH1" s="2458"/>
      <c r="AI1" s="2458"/>
      <c r="AJ1" s="2458"/>
      <c r="AK1" s="2458"/>
      <c r="AL1" s="2458"/>
      <c r="AM1" s="2458"/>
      <c r="AN1" s="2458"/>
      <c r="AO1" s="2458"/>
      <c r="AP1" s="2458"/>
      <c r="AQ1" s="2458"/>
      <c r="AR1" s="2458"/>
      <c r="AS1" s="2458"/>
      <c r="AT1" s="2458"/>
      <c r="AU1" s="2458"/>
      <c r="AV1" s="2458"/>
    </row>
    <row r="2" spans="1:48" s="1678" customFormat="1" ht="22.95" customHeight="1">
      <c r="I2" s="1682"/>
      <c r="J2" s="1682"/>
      <c r="O2" s="1682"/>
      <c r="Q2" s="1682"/>
      <c r="R2" s="1682"/>
      <c r="S2" s="1682"/>
      <c r="V2" s="1682"/>
      <c r="W2" s="1682"/>
      <c r="X2" s="1682"/>
      <c r="Y2" s="1682"/>
      <c r="AA2" s="1726"/>
      <c r="AB2" s="1726"/>
      <c r="AC2" s="1726"/>
      <c r="AD2" s="1726"/>
      <c r="AE2" s="1725"/>
      <c r="AF2" s="2458"/>
      <c r="AG2" s="2458"/>
      <c r="AH2" s="2458"/>
      <c r="AI2" s="2458"/>
      <c r="AJ2" s="2458"/>
      <c r="AK2" s="2458"/>
      <c r="AL2" s="2458"/>
      <c r="AM2" s="2458"/>
      <c r="AN2" s="2458"/>
      <c r="AO2" s="2458"/>
      <c r="AP2" s="2458"/>
      <c r="AQ2" s="2458"/>
      <c r="AR2" s="2458"/>
      <c r="AS2" s="2458"/>
      <c r="AT2" s="2458"/>
      <c r="AU2" s="2458"/>
      <c r="AV2" s="2458"/>
    </row>
    <row r="3" spans="1:48" s="1678" customFormat="1" ht="22.95" customHeight="1">
      <c r="I3" s="1682"/>
      <c r="J3" s="1682"/>
      <c r="O3" s="1682"/>
      <c r="Q3" s="1682"/>
      <c r="R3" s="1682"/>
      <c r="S3" s="1682"/>
      <c r="V3" s="1682"/>
      <c r="W3" s="1682"/>
      <c r="X3" s="1682"/>
      <c r="Y3" s="1682"/>
      <c r="AA3" s="1726"/>
      <c r="AB3" s="1726"/>
      <c r="AC3" s="1726"/>
      <c r="AD3" s="1726"/>
      <c r="AE3" s="1725"/>
      <c r="AF3" s="2458"/>
      <c r="AG3" s="2458"/>
      <c r="AH3" s="2458"/>
      <c r="AI3" s="2458"/>
      <c r="AJ3" s="2458"/>
      <c r="AK3" s="2458"/>
      <c r="AL3" s="2458"/>
      <c r="AM3" s="2458"/>
      <c r="AN3" s="2458"/>
      <c r="AO3" s="2458"/>
      <c r="AP3" s="2458"/>
      <c r="AQ3" s="2458"/>
      <c r="AR3" s="2458"/>
      <c r="AS3" s="2458"/>
      <c r="AT3" s="2458"/>
      <c r="AU3" s="2458"/>
      <c r="AV3" s="2458"/>
    </row>
    <row r="4" spans="1:48" s="1678" customFormat="1" ht="22.95" customHeight="1">
      <c r="I4" s="1682"/>
      <c r="J4" s="1682"/>
      <c r="O4" s="1682"/>
      <c r="Q4" s="1682"/>
      <c r="R4" s="1682"/>
      <c r="S4" s="1682"/>
      <c r="V4" s="1682"/>
      <c r="W4" s="1682"/>
      <c r="X4" s="1682"/>
      <c r="Y4" s="1682"/>
      <c r="AA4" s="1726"/>
      <c r="AB4" s="1726"/>
      <c r="AC4" s="1726"/>
      <c r="AD4" s="1726"/>
      <c r="AE4" s="1725"/>
      <c r="AF4" s="2458"/>
      <c r="AG4" s="2458"/>
      <c r="AH4" s="2458"/>
      <c r="AI4" s="2458"/>
      <c r="AJ4" s="2458"/>
      <c r="AK4" s="2458"/>
      <c r="AL4" s="2458"/>
      <c r="AM4" s="2458"/>
      <c r="AN4" s="2458"/>
      <c r="AO4" s="2458"/>
      <c r="AP4" s="2458"/>
      <c r="AQ4" s="2458"/>
      <c r="AR4" s="2458"/>
      <c r="AS4" s="2458"/>
      <c r="AT4" s="2458"/>
      <c r="AU4" s="2458"/>
      <c r="AV4" s="2458"/>
    </row>
    <row r="5" spans="1:48" s="1678" customFormat="1" ht="22.95" customHeight="1">
      <c r="A5" s="1679" t="s">
        <v>192</v>
      </c>
      <c r="B5" s="1679"/>
      <c r="F5" s="3179" t="s">
        <v>479</v>
      </c>
      <c r="G5" s="3179"/>
      <c r="I5" s="1682"/>
      <c r="J5" s="1682"/>
      <c r="O5" s="1682"/>
      <c r="Q5" s="1682"/>
      <c r="R5" s="1682"/>
      <c r="S5" s="1682"/>
      <c r="V5" s="1682"/>
      <c r="W5" s="1682"/>
      <c r="X5" s="1682"/>
      <c r="Y5" s="1682"/>
      <c r="AA5" s="1726"/>
      <c r="AB5" s="1726"/>
      <c r="AC5" s="1726"/>
      <c r="AD5" s="1726"/>
      <c r="AE5" s="1725"/>
      <c r="AF5" s="2458"/>
      <c r="AG5" s="2458"/>
      <c r="AH5" s="2458"/>
      <c r="AI5" s="2458"/>
      <c r="AJ5" s="2458"/>
      <c r="AK5" s="2458"/>
      <c r="AL5" s="2458"/>
      <c r="AM5" s="2458"/>
      <c r="AN5" s="2458"/>
      <c r="AO5" s="2458"/>
      <c r="AP5" s="2458"/>
      <c r="AQ5" s="2458"/>
      <c r="AR5" s="2458"/>
      <c r="AS5" s="2458"/>
      <c r="AT5" s="2458"/>
      <c r="AU5" s="2458"/>
      <c r="AV5" s="2458"/>
    </row>
    <row r="6" spans="1:48">
      <c r="A6" s="239"/>
      <c r="B6" s="239"/>
      <c r="F6" s="25"/>
      <c r="AH6" s="2467"/>
      <c r="AI6" s="2467"/>
    </row>
    <row r="7" spans="1:48">
      <c r="A7" s="239"/>
      <c r="B7" s="236" t="s">
        <v>562</v>
      </c>
      <c r="C7" s="270"/>
      <c r="D7" s="270"/>
      <c r="E7" s="270"/>
      <c r="F7" s="270"/>
      <c r="G7" s="237"/>
      <c r="I7" s="3104" t="s">
        <v>191</v>
      </c>
      <c r="J7" s="3106"/>
      <c r="K7" s="3106"/>
      <c r="L7" s="3106"/>
      <c r="M7" s="3106"/>
      <c r="N7" s="3106"/>
      <c r="O7" s="3106"/>
      <c r="P7" s="3106"/>
      <c r="Q7" s="3106"/>
      <c r="R7" s="3106"/>
      <c r="S7" s="3105"/>
      <c r="T7" s="590" t="s">
        <v>550</v>
      </c>
      <c r="V7" s="539" t="s">
        <v>538</v>
      </c>
      <c r="W7" s="540"/>
      <c r="X7" s="541"/>
      <c r="AH7" s="2467"/>
      <c r="AI7" s="2467"/>
    </row>
    <row r="8" spans="1:48">
      <c r="B8" s="542" t="s">
        <v>563</v>
      </c>
      <c r="C8" s="273"/>
      <c r="D8" s="273"/>
      <c r="E8" s="273"/>
      <c r="F8" s="273"/>
      <c r="G8" s="543"/>
      <c r="I8" s="3108" t="s">
        <v>492</v>
      </c>
      <c r="J8" s="3109"/>
      <c r="K8" s="267"/>
      <c r="L8" s="3107" t="s">
        <v>507</v>
      </c>
      <c r="M8" s="3107"/>
      <c r="N8" s="267"/>
      <c r="O8" s="545" t="s">
        <v>508</v>
      </c>
      <c r="P8" s="267"/>
      <c r="Q8" s="545" t="s">
        <v>509</v>
      </c>
      <c r="R8" s="547"/>
      <c r="S8" s="548" t="s">
        <v>510</v>
      </c>
      <c r="T8" s="599" t="s">
        <v>189</v>
      </c>
      <c r="V8" s="549" t="s">
        <v>537</v>
      </c>
      <c r="W8" s="546" t="s">
        <v>337</v>
      </c>
      <c r="X8" s="550" t="s">
        <v>338</v>
      </c>
      <c r="AF8" s="2468"/>
      <c r="AG8" s="2468"/>
      <c r="AH8" s="2468"/>
      <c r="AI8" s="2468"/>
    </row>
    <row r="9" spans="1:48">
      <c r="B9" s="272"/>
      <c r="C9" s="273"/>
      <c r="D9" s="551" t="s">
        <v>489</v>
      </c>
      <c r="E9" s="552"/>
      <c r="F9" s="1314" t="s">
        <v>1067</v>
      </c>
      <c r="G9" s="553"/>
      <c r="I9" s="544" t="s">
        <v>505</v>
      </c>
      <c r="J9" s="545" t="s">
        <v>506</v>
      </c>
      <c r="K9" s="273"/>
      <c r="L9" s="545" t="s">
        <v>505</v>
      </c>
      <c r="M9" s="545" t="s">
        <v>506</v>
      </c>
      <c r="N9" s="273"/>
      <c r="O9" s="545" t="s">
        <v>506</v>
      </c>
      <c r="P9" s="273"/>
      <c r="Q9" s="545" t="s">
        <v>524</v>
      </c>
      <c r="R9" s="545"/>
      <c r="S9" s="548" t="s">
        <v>524</v>
      </c>
      <c r="T9" s="1288" t="s">
        <v>524</v>
      </c>
      <c r="V9" s="549" t="s">
        <v>539</v>
      </c>
      <c r="W9" s="97" t="s">
        <v>42</v>
      </c>
      <c r="X9" s="555"/>
      <c r="AF9" s="2468"/>
      <c r="AG9" s="2468"/>
      <c r="AH9" s="2468"/>
      <c r="AI9" s="2468"/>
    </row>
    <row r="10" spans="1:48" ht="12.75" customHeight="1">
      <c r="A10" s="1764" t="s">
        <v>1301</v>
      </c>
      <c r="B10" s="3112" t="s">
        <v>504</v>
      </c>
      <c r="C10" s="556" t="s">
        <v>397</v>
      </c>
      <c r="D10" s="557" t="str">
        <f>HLOOKUP(climate,' IPCC'!$B$7:$G$11,2,FALSE)</f>
        <v>Please specify the climate</v>
      </c>
      <c r="E10" s="528"/>
      <c r="F10" s="528"/>
      <c r="G10" s="529"/>
      <c r="I10" s="549">
        <f>VLOOKUP(region,' IPCC'!$A$14:$G$26,1+MATCH(forest1,' IPCC'!$B$14:$G$14,),)</f>
        <v>0</v>
      </c>
      <c r="J10" s="2174">
        <f>IF('5. Degradation'!H134="",'5. Degradation'!F134,'5. Degradation'!H134)</f>
        <v>0</v>
      </c>
      <c r="K10" s="267"/>
      <c r="L10" s="558">
        <f>IF(I10&gt;0,I10*VLOOKUP(forest1,' IPCC'!$A$89:$F$103,IF(I10&lt;20,2,IF(I10&lt;50,3,IF(I10&lt;75,4,IF(I10&lt;125,5,6)))),),)</f>
        <v>0</v>
      </c>
      <c r="M10" s="2175">
        <f>IF('5. Degradation'!L134="",'5. Degradation'!J134,'5. Degradation'!L134)</f>
        <v>0</v>
      </c>
      <c r="N10" s="267"/>
      <c r="O10" s="2174">
        <f>IF('5. Degradation'!P134="",'5. Degradation'!N134,'5. Degradation'!P134)</f>
        <v>0</v>
      </c>
      <c r="P10" s="267"/>
      <c r="Q10" s="2174">
        <f>IF('5. Degradation'!R134="",'5. Degradation'!Q134,'5. Degradation'!R134)</f>
        <v>0</v>
      </c>
      <c r="R10" s="547"/>
      <c r="S10" s="2176">
        <f>IF('5. Degradation'!U134="",'5. Degradation'!T134,'5. Degradation'!U134)</f>
        <v>0</v>
      </c>
      <c r="T10" s="1289">
        <f>J10+M10+O10+Q10</f>
        <v>0</v>
      </c>
      <c r="V10" s="560">
        <f>IF(forest1&lt;&gt;"",VLOOKUP(forest1,' IPCC'!$A$107:$E$122,2,),0)</f>
        <v>0</v>
      </c>
      <c r="W10" s="561">
        <f>IF(forest1&lt;&gt;"",VLOOKUP(forest1,' IPCC'!$A$107:$E$122,4,),0)</f>
        <v>0</v>
      </c>
      <c r="X10" s="562">
        <f>IF(forest1&lt;&gt;"",VLOOKUP(forest1,' IPCC'!$A$107:$E$122,5,),0)</f>
        <v>0</v>
      </c>
      <c r="AF10" s="2468"/>
      <c r="AG10" s="2468"/>
      <c r="AH10" s="2468"/>
      <c r="AI10" s="2468"/>
    </row>
    <row r="11" spans="1:48">
      <c r="A11" s="1764" t="s">
        <v>1302</v>
      </c>
      <c r="B11" s="3113"/>
      <c r="C11" s="563" t="s">
        <v>403</v>
      </c>
      <c r="D11" s="557" t="str">
        <f>HLOOKUP(climate,' IPCC'!$B$7:$G$11,3,FALSE)</f>
        <v>Please specify the climate</v>
      </c>
      <c r="E11" s="528"/>
      <c r="F11" s="528"/>
      <c r="G11" s="529"/>
      <c r="I11" s="549">
        <f>VLOOKUP(region,' IPCC'!$A$30:$G$41,1+MATCH(forest2,' IPCC'!$B$29:$G$29,),)</f>
        <v>0</v>
      </c>
      <c r="J11" s="2174">
        <f>IF('5. Degradation'!H135="",'5. Degradation'!F135,'5. Degradation'!H135)</f>
        <v>0</v>
      </c>
      <c r="K11" s="267"/>
      <c r="L11" s="558">
        <f>IF(I11&gt;0,I11*VLOOKUP(forest2,' IPCC'!$A$89:$F$103,IF(I11&lt;20,2,IF(I11&lt;50,3,IF(I11&lt;75,4,IF(I11&lt;125,5,6)))),),)</f>
        <v>0</v>
      </c>
      <c r="M11" s="2175">
        <f>IF('5. Degradation'!L135="",'5. Degradation'!J135,'5. Degradation'!L135)</f>
        <v>0</v>
      </c>
      <c r="N11" s="267"/>
      <c r="O11" s="2174">
        <f>IF('5. Degradation'!P135="",'5. Degradation'!N135,'5. Degradation'!P135)</f>
        <v>0</v>
      </c>
      <c r="P11" s="267"/>
      <c r="Q11" s="2174">
        <f>IF('5. Degradation'!R135="",'5. Degradation'!Q135,'5. Degradation'!R135)</f>
        <v>0</v>
      </c>
      <c r="R11" s="547"/>
      <c r="S11" s="2176">
        <f>IF('5. Degradation'!U135="",'5. Degradation'!T135,'5. Degradation'!U135)</f>
        <v>0</v>
      </c>
      <c r="T11" s="1290">
        <f t="shared" ref="T11:T22" si="0">J11+M11+O11+Q11</f>
        <v>0</v>
      </c>
      <c r="V11" s="549">
        <f>IF(forest2&lt;&gt;"",VLOOKUP(forest2,' IPCC'!$A$107:$E$122,2,),0)</f>
        <v>0</v>
      </c>
      <c r="W11" s="547">
        <f>IF(forest2&lt;&gt;"",VLOOKUP(forest2,' IPCC'!$A$107:$E$122,4,),0)</f>
        <v>0</v>
      </c>
      <c r="X11" s="559">
        <f>IF(forest2&lt;&gt;"",VLOOKUP(forest2,' IPCC'!$A$107:$E$122,5,),0)</f>
        <v>0</v>
      </c>
      <c r="AF11" s="2468"/>
      <c r="AG11" s="2468"/>
      <c r="AH11" s="2468"/>
      <c r="AI11" s="2468"/>
    </row>
    <row r="12" spans="1:48">
      <c r="A12" s="1764" t="s">
        <v>1303</v>
      </c>
      <c r="B12" s="3113"/>
      <c r="C12" s="563" t="s">
        <v>408</v>
      </c>
      <c r="D12" s="557" t="str">
        <f>HLOOKUP(climate,' IPCC'!$B$7:$G$11,4,FALSE)</f>
        <v>Please specify the climate</v>
      </c>
      <c r="E12" s="528"/>
      <c r="F12" s="528"/>
      <c r="G12" s="529"/>
      <c r="I12" s="549">
        <f>VLOOKUP(region,' IPCC'!$A$45:$H$56,1+MATCH(forest3,' IPCC'!$B$44:$H$44,),)</f>
        <v>0</v>
      </c>
      <c r="J12" s="2174">
        <f>IF('5. Degradation'!H136="",'5. Degradation'!F136,'5. Degradation'!H136)</f>
        <v>0</v>
      </c>
      <c r="K12" s="267"/>
      <c r="L12" s="558">
        <f>IF(I12&gt;0,I12*VLOOKUP(forest3,' IPCC'!$A$89:$F$103,IF(I12&lt;20,2,IF(I12&lt;50,3,IF(I12&lt;75,4,IF(I12&lt;125,5,6)))),),)</f>
        <v>0</v>
      </c>
      <c r="M12" s="2175">
        <f>IF('5. Degradation'!L136="",'5. Degradation'!J136,'5. Degradation'!L136)</f>
        <v>0</v>
      </c>
      <c r="N12" s="267"/>
      <c r="O12" s="2174">
        <f>IF('5. Degradation'!P136="",'5. Degradation'!N136,'5. Degradation'!P136)</f>
        <v>0</v>
      </c>
      <c r="P12" s="267"/>
      <c r="Q12" s="2174">
        <f>IF('5. Degradation'!R136="",'5. Degradation'!Q136,'5. Degradation'!R136)</f>
        <v>0</v>
      </c>
      <c r="R12" s="547"/>
      <c r="S12" s="2176">
        <f>IF('5. Degradation'!U136="",'5. Degradation'!T136,'5. Degradation'!U136)</f>
        <v>0</v>
      </c>
      <c r="T12" s="1290">
        <f t="shared" si="0"/>
        <v>0</v>
      </c>
      <c r="V12" s="549">
        <f>IF(forest3&lt;&gt;"",VLOOKUP(forest3,' IPCC'!$A$107:$E$122,2,),0)</f>
        <v>0</v>
      </c>
      <c r="W12" s="547">
        <f>IF(forest3&lt;&gt;"",VLOOKUP(forest3,' IPCC'!$A$107:$E$122,4,),0)</f>
        <v>0</v>
      </c>
      <c r="X12" s="559">
        <f>IF(forest3&lt;&gt;"",VLOOKUP(forest3,' IPCC'!$A$107:$E$122,5,),0)</f>
        <v>0</v>
      </c>
      <c r="AF12" s="2468"/>
      <c r="AG12" s="2468"/>
      <c r="AH12" s="2468"/>
      <c r="AI12" s="2468"/>
    </row>
    <row r="13" spans="1:48">
      <c r="A13" s="1764" t="s">
        <v>1304</v>
      </c>
      <c r="B13" s="3114"/>
      <c r="C13" s="564" t="s">
        <v>413</v>
      </c>
      <c r="D13" s="557" t="str">
        <f>HLOOKUP(climate,' IPCC'!$B$7:$G$11,5,)</f>
        <v>Please specify the climate</v>
      </c>
      <c r="E13" s="528"/>
      <c r="F13" s="528"/>
      <c r="G13" s="529"/>
      <c r="I13" s="549">
        <f>VLOOKUP(region,' IPCC'!$A$60:$H$71,1+MATCH(forest4,' IPCC'!$B$59:$H$59,),)</f>
        <v>0</v>
      </c>
      <c r="J13" s="2174">
        <f>IF('5. Degradation'!H137="",'5. Degradation'!F137,'5. Degradation'!H137)</f>
        <v>0</v>
      </c>
      <c r="K13" s="267"/>
      <c r="L13" s="558">
        <f>IF(I13&gt;0,I13*VLOOKUP(forest4,' IPCC'!$A$89:$F$103,IF(I13&lt;20,2,IF(I13&lt;50,3,IF(I13&lt;75,4,IF(I13&lt;125,5,6)))),),)</f>
        <v>0</v>
      </c>
      <c r="M13" s="2175">
        <f>IF('5. Degradation'!L137="",'5. Degradation'!J137,'5. Degradation'!L137)</f>
        <v>0</v>
      </c>
      <c r="N13" s="267"/>
      <c r="O13" s="2174">
        <f>IF('5. Degradation'!P137="",'5. Degradation'!N137,'5. Degradation'!P137)</f>
        <v>0</v>
      </c>
      <c r="P13" s="267"/>
      <c r="Q13" s="2174">
        <f>IF('5. Degradation'!R137="",'5. Degradation'!Q137,'5. Degradation'!R137)</f>
        <v>0</v>
      </c>
      <c r="R13" s="547"/>
      <c r="S13" s="2176">
        <f>IF('5. Degradation'!U137="",'5. Degradation'!T137,'5. Degradation'!U137)</f>
        <v>0</v>
      </c>
      <c r="T13" s="1290">
        <f t="shared" si="0"/>
        <v>0</v>
      </c>
      <c r="V13" s="549">
        <f>IF(forest4&lt;&gt;"",VLOOKUP(forest4,' IPCC'!$A$107:$E$122,2,),0)</f>
        <v>0</v>
      </c>
      <c r="W13" s="547">
        <f>IF(forest4&lt;&gt;"",VLOOKUP(forest4,' IPCC'!$A$107:$E$122,4,),0)</f>
        <v>0</v>
      </c>
      <c r="X13" s="559">
        <f>IF(forest4&lt;&gt;"",VLOOKUP(forest4,' IPCC'!$A$107:$E$122,5,),0)</f>
        <v>0</v>
      </c>
      <c r="AF13" s="2468"/>
      <c r="AG13" s="2468"/>
      <c r="AH13" s="2468"/>
      <c r="AI13" s="2468"/>
    </row>
    <row r="14" spans="1:48">
      <c r="A14" s="1764" t="s">
        <v>1305</v>
      </c>
      <c r="B14" s="3115" t="s">
        <v>392</v>
      </c>
      <c r="C14" s="556" t="s">
        <v>500</v>
      </c>
      <c r="D14" s="565" t="str">
        <f>HLOOKUP(climate,' IPCC'!$B$7:$G$11,2,FALSE)</f>
        <v>Please specify the climate</v>
      </c>
      <c r="E14" s="566"/>
      <c r="F14" s="566"/>
      <c r="G14" s="567"/>
      <c r="I14" s="549">
        <f>VLOOKUP(region,' IPCC'!$H$14:$N$26,1+MATCH(plantation1,' IPCC'!$I$14:$N$14,),)</f>
        <v>0</v>
      </c>
      <c r="J14" s="2174">
        <f>IF('5. Degradation'!H138="",'5. Degradation'!F138,'5. Degradation'!H138)</f>
        <v>0</v>
      </c>
      <c r="K14" s="267"/>
      <c r="L14" s="558">
        <f>IF(I14&gt;0,I14*VLOOKUP(plantation1,' IPCC'!$A$89:$F$103,IF(I14&lt;20,2,IF(I14&lt;50,3,IF(I14&lt;75,4,IF(I14&lt;125,5,6)))),),)</f>
        <v>0</v>
      </c>
      <c r="M14" s="2175">
        <f>IF('5. Degradation'!L138="",'5. Degradation'!J138,'5. Degradation'!L138)</f>
        <v>0</v>
      </c>
      <c r="N14" s="267"/>
      <c r="O14" s="2174">
        <f>IF('5. Degradation'!P138="",'5. Degradation'!N138,'5. Degradation'!P138)</f>
        <v>0</v>
      </c>
      <c r="P14" s="267"/>
      <c r="Q14" s="2174">
        <f>IF('5. Degradation'!R138="",'5. Degradation'!Q138,'5. Degradation'!R138)</f>
        <v>0</v>
      </c>
      <c r="R14" s="547"/>
      <c r="S14" s="2176">
        <f>IF('5. Degradation'!U138="",'5. Degradation'!T138,'5. Degradation'!U138)</f>
        <v>0</v>
      </c>
      <c r="T14" s="1290">
        <f t="shared" si="0"/>
        <v>0</v>
      </c>
      <c r="V14" s="549">
        <f>IF(plantation1&lt;&gt;"",VLOOKUP(plantation1,' IPCC'!$A$107:$E$122,2,),0)</f>
        <v>0</v>
      </c>
      <c r="W14" s="547">
        <f>IF(plantation1&lt;&gt;"",VLOOKUP(plantation1,' IPCC'!$A$107:$E$122,4,),0)</f>
        <v>0</v>
      </c>
      <c r="X14" s="559">
        <f>IF(plantation1&lt;&gt;"",VLOOKUP(plantation1,' IPCC'!$A$107:$E$122,5,),0)</f>
        <v>0</v>
      </c>
      <c r="AF14" s="2468"/>
      <c r="AG14" s="2468"/>
      <c r="AH14" s="2468"/>
      <c r="AI14" s="2468"/>
    </row>
    <row r="15" spans="1:48">
      <c r="A15" s="1764" t="s">
        <v>1306</v>
      </c>
      <c r="B15" s="3116"/>
      <c r="C15" s="563" t="s">
        <v>501</v>
      </c>
      <c r="D15" s="557" t="str">
        <f>HLOOKUP(climate,' IPCC'!$B$7:$G$11,3,FALSE)</f>
        <v>Please specify the climate</v>
      </c>
      <c r="E15" s="528"/>
      <c r="F15" s="528"/>
      <c r="G15" s="529"/>
      <c r="I15" s="549">
        <f>VLOOKUP(region,' IPCC'!$H$30:$N$41,1+MATCH(plantation2,' IPCC'!$I$29:$N$29,),)</f>
        <v>0</v>
      </c>
      <c r="J15" s="2174">
        <f>IF('5. Degradation'!H139="",'5. Degradation'!F139,'5. Degradation'!H139)</f>
        <v>0</v>
      </c>
      <c r="K15" s="267"/>
      <c r="L15" s="558">
        <f>IF(I15&gt;0,I15*VLOOKUP(plantation2,' IPCC'!$A$89:$F$103,IF(I15&lt;20,2,IF(I15&lt;50,3,IF(I15&lt;75,4,IF(I15&lt;125,5,6)))),),)</f>
        <v>0</v>
      </c>
      <c r="M15" s="2175">
        <f>IF('5. Degradation'!L139="",'5. Degradation'!J139,'5. Degradation'!L139)</f>
        <v>0</v>
      </c>
      <c r="N15" s="267"/>
      <c r="O15" s="2174">
        <f>IF('5. Degradation'!P139="",'5. Degradation'!N139,'5. Degradation'!P139)</f>
        <v>0</v>
      </c>
      <c r="P15" s="267"/>
      <c r="Q15" s="2174">
        <f>IF('5. Degradation'!R139="",'5. Degradation'!Q139,'5. Degradation'!R139)</f>
        <v>0</v>
      </c>
      <c r="R15" s="547"/>
      <c r="S15" s="2176">
        <f>IF('5. Degradation'!U139="",'5. Degradation'!T139,'5. Degradation'!U139)</f>
        <v>0</v>
      </c>
      <c r="T15" s="1290">
        <f t="shared" si="0"/>
        <v>0</v>
      </c>
      <c r="V15" s="549">
        <f>IF(plantation2&lt;&gt;"",VLOOKUP(plantation2,' IPCC'!$A$107:$E$122,2,),0)</f>
        <v>0</v>
      </c>
      <c r="W15" s="547">
        <f>IF(plantation2&lt;&gt;"",VLOOKUP(plantation2,' IPCC'!$A$107:$E$122,4,),0)</f>
        <v>0</v>
      </c>
      <c r="X15" s="559">
        <f>IF(plantation2&lt;&gt;"",VLOOKUP(plantation2,' IPCC'!$A$107:$E$122,5,),0)</f>
        <v>0</v>
      </c>
      <c r="AF15" s="2468"/>
      <c r="AG15" s="2468"/>
      <c r="AH15" s="2468"/>
      <c r="AI15" s="2468"/>
    </row>
    <row r="16" spans="1:48">
      <c r="A16" s="1764" t="s">
        <v>1307</v>
      </c>
      <c r="B16" s="3116"/>
      <c r="C16" s="563" t="s">
        <v>502</v>
      </c>
      <c r="D16" s="557" t="str">
        <f>HLOOKUP(climate,' IPCC'!$B$7:$G$11,4,FALSE)</f>
        <v>Please specify the climate</v>
      </c>
      <c r="E16" s="528"/>
      <c r="F16" s="528"/>
      <c r="G16" s="529"/>
      <c r="I16" s="549">
        <f>VLOOKUP(region,' IPCC'!$H$44:$N$56,1+MATCH(plantation3,' IPCC'!$I$44:$N$44,),)</f>
        <v>0</v>
      </c>
      <c r="J16" s="2174">
        <f>IF('5. Degradation'!H140="",'5. Degradation'!F140,'5. Degradation'!H140)</f>
        <v>0</v>
      </c>
      <c r="K16" s="267"/>
      <c r="L16" s="558">
        <f>IF(I16&gt;0,I16*VLOOKUP(plantation3,' IPCC'!$A$89:$F$103,IF(I16&lt;20,2,IF(I16&lt;50,3,IF(I16&lt;75,4,IF(I16&lt;125,5,6)))),),)</f>
        <v>0</v>
      </c>
      <c r="M16" s="2175">
        <f>IF('5. Degradation'!L140="",'5. Degradation'!J140,'5. Degradation'!L140)</f>
        <v>0</v>
      </c>
      <c r="N16" s="267"/>
      <c r="O16" s="2174">
        <f>IF('5. Degradation'!P140="",'5. Degradation'!N140,'5. Degradation'!P140)</f>
        <v>0</v>
      </c>
      <c r="P16" s="267"/>
      <c r="Q16" s="2174">
        <f>IF('5. Degradation'!R140="",'5. Degradation'!Q140,'5. Degradation'!R140)</f>
        <v>0</v>
      </c>
      <c r="R16" s="547"/>
      <c r="S16" s="2176">
        <f>IF('5. Degradation'!U140="",'5. Degradation'!T140,'5. Degradation'!U140)</f>
        <v>0</v>
      </c>
      <c r="T16" s="1290">
        <f t="shared" si="0"/>
        <v>0</v>
      </c>
      <c r="V16" s="549">
        <f>IF(plantation3&lt;&gt;"",VLOOKUP(plantation3,' IPCC'!$A$107:$E$122,2,),0)</f>
        <v>0</v>
      </c>
      <c r="W16" s="547">
        <f>IF(plantation3&lt;&gt;"",VLOOKUP(plantation3,' IPCC'!$A$107:$E$122,4,),0)</f>
        <v>0</v>
      </c>
      <c r="X16" s="559">
        <f>IF(plantation3&lt;&gt;"",VLOOKUP(plantation3,' IPCC'!$A$107:$E$122,5,),0)</f>
        <v>0</v>
      </c>
      <c r="AF16" s="2468"/>
      <c r="AG16" s="2468"/>
      <c r="AH16" s="2468"/>
      <c r="AI16" s="2468"/>
    </row>
    <row r="17" spans="1:48">
      <c r="A17" s="1764" t="s">
        <v>1308</v>
      </c>
      <c r="B17" s="3117"/>
      <c r="C17" s="564" t="s">
        <v>503</v>
      </c>
      <c r="D17" s="568" t="str">
        <f>HLOOKUP(climate,' IPCC'!$B$7:$G$11,5,FALSE)</f>
        <v>Please specify the climate</v>
      </c>
      <c r="E17" s="569"/>
      <c r="F17" s="569"/>
      <c r="G17" s="530"/>
      <c r="I17" s="544">
        <f>VLOOKUP(region,' IPCC'!$H$60:$N$71,1+MATCH(plantation4,' IPCC'!$I$59:$N$59,),)</f>
        <v>0</v>
      </c>
      <c r="J17" s="2174">
        <f>IF('5. Degradation'!H141="",'5. Degradation'!F141,'5. Degradation'!H141)</f>
        <v>0</v>
      </c>
      <c r="K17" s="273"/>
      <c r="L17" s="570">
        <f>IF(I17&gt;0,I17*VLOOKUP(plantation4,' IPCC'!$A$89:$F$103,IF(I17&lt;20,2,IF(I17&lt;50,3,IF(I17&lt;75,4,IF(I17&lt;125,5,6)))),),)</f>
        <v>0</v>
      </c>
      <c r="M17" s="2175">
        <f>IF('5. Degradation'!L141="",'5. Degradation'!J141,'5. Degradation'!L141)</f>
        <v>0</v>
      </c>
      <c r="N17" s="273"/>
      <c r="O17" s="2174">
        <f>IF('5. Degradation'!P141="",'5. Degradation'!N141,'5. Degradation'!P141)</f>
        <v>0</v>
      </c>
      <c r="P17" s="273"/>
      <c r="Q17" s="2174">
        <f>IF('5. Degradation'!R141="",'5. Degradation'!Q141,'5. Degradation'!R141)</f>
        <v>0</v>
      </c>
      <c r="R17" s="545"/>
      <c r="S17" s="2176">
        <f>IF('5. Degradation'!U141="",'5. Degradation'!T141,'5. Degradation'!U141)</f>
        <v>0</v>
      </c>
      <c r="T17" s="1291">
        <f t="shared" si="0"/>
        <v>0</v>
      </c>
      <c r="V17" s="544">
        <f>IF(plantation4&lt;&gt;"",VLOOKUP(plantation4,' IPCC'!$A$107:$E$122,2,),0)</f>
        <v>0</v>
      </c>
      <c r="W17" s="545">
        <f>IF(plantation4&lt;&gt;"",VLOOKUP(plantation4,' IPCC'!$A$107:$E$122,4,),0)</f>
        <v>0</v>
      </c>
      <c r="X17" s="548">
        <f>IF(plantation4&lt;&gt;"",VLOOKUP(plantation4,' IPCC'!$A$107:$E$122,5,),0)</f>
        <v>0</v>
      </c>
      <c r="AF17" s="2468"/>
      <c r="AG17" s="2468"/>
      <c r="AH17" s="2468"/>
      <c r="AI17" s="2468"/>
    </row>
    <row r="18" spans="1:48" ht="13.8" thickBot="1">
      <c r="B18" s="571"/>
      <c r="D18" s="572"/>
      <c r="E18" s="240"/>
      <c r="F18" s="240"/>
      <c r="G18" s="240"/>
      <c r="I18" s="242"/>
      <c r="J18" s="242"/>
      <c r="K18" s="240"/>
      <c r="L18" s="573"/>
      <c r="M18" s="573"/>
      <c r="N18" s="240"/>
      <c r="O18" s="242"/>
      <c r="P18" s="240"/>
      <c r="Q18" s="242"/>
      <c r="R18" s="242"/>
      <c r="S18" s="242"/>
      <c r="T18" s="1284"/>
      <c r="V18" s="242"/>
      <c r="W18" s="242"/>
      <c r="X18" s="242"/>
      <c r="AF18" s="2469"/>
      <c r="AG18" s="2469"/>
      <c r="AH18" s="2470"/>
      <c r="AI18" s="2470"/>
    </row>
    <row r="19" spans="1:48">
      <c r="B19" s="574" t="s">
        <v>1177</v>
      </c>
      <c r="D19" s="572"/>
      <c r="E19" s="240"/>
      <c r="F19" s="1315" t="s">
        <v>1294</v>
      </c>
      <c r="G19" s="1316"/>
      <c r="H19" s="270"/>
      <c r="I19" s="666">
        <v>0</v>
      </c>
      <c r="J19" s="575">
        <f>0.47*I19</f>
        <v>0</v>
      </c>
      <c r="K19" s="576"/>
      <c r="L19" s="925">
        <v>0</v>
      </c>
      <c r="M19" s="1278">
        <f>0.47*L19</f>
        <v>0</v>
      </c>
      <c r="N19" s="576"/>
      <c r="O19" s="666">
        <v>0</v>
      </c>
      <c r="P19" s="576"/>
      <c r="Q19" s="666">
        <v>0</v>
      </c>
      <c r="R19" s="575"/>
      <c r="S19" s="666">
        <v>0</v>
      </c>
      <c r="T19" s="1287">
        <f t="shared" si="0"/>
        <v>0</v>
      </c>
      <c r="V19" s="688">
        <f>V10</f>
        <v>0</v>
      </c>
      <c r="W19" s="671">
        <f>W10</f>
        <v>0</v>
      </c>
      <c r="X19" s="672">
        <f>X10</f>
        <v>0</v>
      </c>
      <c r="AF19" s="2469"/>
      <c r="AG19" s="2469"/>
      <c r="AH19" s="2469"/>
      <c r="AI19" s="2469"/>
    </row>
    <row r="20" spans="1:48">
      <c r="D20" s="572"/>
      <c r="E20" s="240"/>
      <c r="F20" s="1317" t="s">
        <v>10</v>
      </c>
      <c r="G20" s="1031"/>
      <c r="H20" s="267"/>
      <c r="I20" s="667">
        <v>0</v>
      </c>
      <c r="J20" s="578">
        <f>0.47*I20</f>
        <v>0</v>
      </c>
      <c r="K20" s="579"/>
      <c r="L20" s="926">
        <v>0</v>
      </c>
      <c r="M20" s="1279">
        <f>0.47*L20</f>
        <v>0</v>
      </c>
      <c r="N20" s="579"/>
      <c r="O20" s="667">
        <v>0</v>
      </c>
      <c r="P20" s="579"/>
      <c r="Q20" s="667">
        <v>0</v>
      </c>
      <c r="R20" s="578"/>
      <c r="S20" s="667">
        <v>0</v>
      </c>
      <c r="T20" s="1287">
        <f t="shared" si="0"/>
        <v>0</v>
      </c>
      <c r="V20" s="689">
        <f>V19</f>
        <v>0</v>
      </c>
      <c r="W20" s="675">
        <f t="shared" ref="W20:X22" si="1">W19</f>
        <v>0</v>
      </c>
      <c r="X20" s="676">
        <f t="shared" si="1"/>
        <v>0</v>
      </c>
      <c r="AF20" s="2469"/>
      <c r="AG20" s="2469"/>
      <c r="AH20" s="2469"/>
      <c r="AI20" s="2469"/>
    </row>
    <row r="21" spans="1:48">
      <c r="B21" s="571"/>
      <c r="C21" s="241"/>
      <c r="D21" s="572"/>
      <c r="E21" s="240"/>
      <c r="F21" s="1317" t="s">
        <v>11</v>
      </c>
      <c r="G21" s="1031"/>
      <c r="H21" s="267"/>
      <c r="I21" s="667">
        <v>0</v>
      </c>
      <c r="J21" s="578">
        <f>0.47*I21</f>
        <v>0</v>
      </c>
      <c r="K21" s="579"/>
      <c r="L21" s="926">
        <v>0</v>
      </c>
      <c r="M21" s="1279">
        <f>0.47*L21</f>
        <v>0</v>
      </c>
      <c r="N21" s="579"/>
      <c r="O21" s="667">
        <v>0</v>
      </c>
      <c r="P21" s="579"/>
      <c r="Q21" s="667">
        <v>0</v>
      </c>
      <c r="R21" s="578"/>
      <c r="S21" s="667">
        <v>0</v>
      </c>
      <c r="T21" s="1287">
        <f t="shared" si="0"/>
        <v>0</v>
      </c>
      <c r="V21" s="689">
        <f>V20</f>
        <v>0</v>
      </c>
      <c r="W21" s="675">
        <f t="shared" si="1"/>
        <v>0</v>
      </c>
      <c r="X21" s="676">
        <f t="shared" si="1"/>
        <v>0</v>
      </c>
      <c r="AF21" s="2469"/>
      <c r="AG21" s="2469"/>
      <c r="AH21" s="2469"/>
      <c r="AI21" s="2469"/>
    </row>
    <row r="22" spans="1:48" ht="13.8" thickBot="1">
      <c r="B22" s="571"/>
      <c r="C22" s="241"/>
      <c r="D22" s="572"/>
      <c r="E22" s="240"/>
      <c r="F22" s="1318" t="s">
        <v>12</v>
      </c>
      <c r="G22" s="1319"/>
      <c r="H22" s="273"/>
      <c r="I22" s="668">
        <v>0</v>
      </c>
      <c r="J22" s="581">
        <f>0.47*I22</f>
        <v>0</v>
      </c>
      <c r="K22" s="582"/>
      <c r="L22" s="927">
        <v>0</v>
      </c>
      <c r="M22" s="1280">
        <f>0.47*L22</f>
        <v>0</v>
      </c>
      <c r="N22" s="582"/>
      <c r="O22" s="668">
        <v>0</v>
      </c>
      <c r="P22" s="582"/>
      <c r="Q22" s="668">
        <v>0</v>
      </c>
      <c r="R22" s="581"/>
      <c r="S22" s="668">
        <v>0</v>
      </c>
      <c r="T22" s="1287">
        <f t="shared" si="0"/>
        <v>0</v>
      </c>
      <c r="V22" s="690">
        <f>V21</f>
        <v>0</v>
      </c>
      <c r="W22" s="679">
        <f t="shared" si="1"/>
        <v>0</v>
      </c>
      <c r="X22" s="680">
        <f t="shared" si="1"/>
        <v>0</v>
      </c>
      <c r="AF22" s="2469"/>
      <c r="AG22" s="2469" t="s">
        <v>28</v>
      </c>
      <c r="AH22" s="2469"/>
      <c r="AI22" s="2469"/>
    </row>
    <row r="23" spans="1:48">
      <c r="C23" s="241"/>
      <c r="D23" s="572"/>
      <c r="E23" s="240"/>
      <c r="F23" s="240"/>
      <c r="G23" s="240"/>
      <c r="I23" s="242"/>
      <c r="K23" s="240"/>
      <c r="L23" s="240"/>
      <c r="M23" s="240"/>
      <c r="N23" s="240"/>
      <c r="O23" s="242"/>
      <c r="P23" s="240"/>
      <c r="Q23" s="242"/>
      <c r="R23" s="242"/>
      <c r="S23" s="242"/>
      <c r="Z23" s="1646" t="s">
        <v>175</v>
      </c>
      <c r="AA23" s="1647"/>
      <c r="AB23" s="1647"/>
      <c r="AC23" s="1647"/>
      <c r="AD23" s="1647"/>
      <c r="AE23" s="1648"/>
      <c r="AF23" s="2469" t="s">
        <v>25</v>
      </c>
      <c r="AG23" s="2469" t="s">
        <v>531</v>
      </c>
      <c r="AH23" s="2469" t="s">
        <v>37</v>
      </c>
      <c r="AI23" s="2469" t="s">
        <v>38</v>
      </c>
    </row>
    <row r="24" spans="1:48">
      <c r="B24" s="269" t="s">
        <v>195</v>
      </c>
      <c r="C24" s="235" t="s">
        <v>196</v>
      </c>
      <c r="D24" s="555"/>
      <c r="E24" s="3208" t="s">
        <v>188</v>
      </c>
      <c r="F24" s="3209"/>
      <c r="G24" s="1372" t="s">
        <v>197</v>
      </c>
      <c r="H24" s="1640"/>
      <c r="I24" s="1640"/>
      <c r="J24" s="1640"/>
      <c r="K24" s="1373"/>
      <c r="L24" s="1649" t="s">
        <v>198</v>
      </c>
      <c r="M24" s="1374"/>
      <c r="N24" s="1374"/>
      <c r="O24" s="1374"/>
      <c r="P24" s="1645"/>
      <c r="Q24" s="3173" t="s">
        <v>550</v>
      </c>
      <c r="R24" s="3107"/>
      <c r="S24" s="3174"/>
      <c r="T24" s="3173" t="s">
        <v>200</v>
      </c>
      <c r="U24" s="3107"/>
      <c r="V24" s="3174"/>
      <c r="W24" s="3173" t="s">
        <v>199</v>
      </c>
      <c r="X24" s="3174"/>
      <c r="Y24" s="233"/>
      <c r="Z24" s="585" t="s">
        <v>176</v>
      </c>
      <c r="AA24" s="554"/>
      <c r="AB24" s="555"/>
      <c r="AC24" s="554" t="s">
        <v>177</v>
      </c>
      <c r="AD24" s="554"/>
      <c r="AE24" s="555"/>
      <c r="AF24" s="2469" t="s">
        <v>26</v>
      </c>
      <c r="AG24" s="2469">
        <f>SUM(I43:I52)-SUM(H43:H52)</f>
        <v>0</v>
      </c>
      <c r="AH24" s="2469">
        <f>IF(time=0,0,AG24)</f>
        <v>0</v>
      </c>
      <c r="AI24" s="2469">
        <f>AG24-AH24</f>
        <v>0</v>
      </c>
      <c r="AL24" s="2467" t="s">
        <v>180</v>
      </c>
      <c r="AM24" s="2467"/>
      <c r="AN24" s="2467"/>
      <c r="AO24" s="2467"/>
    </row>
    <row r="25" spans="1:48">
      <c r="B25" s="271" t="s">
        <v>667</v>
      </c>
      <c r="C25" s="716"/>
      <c r="D25" s="587"/>
      <c r="E25" s="823" t="s">
        <v>169</v>
      </c>
      <c r="F25" s="825"/>
      <c r="G25" s="1650" t="s">
        <v>169</v>
      </c>
      <c r="H25" s="1651"/>
      <c r="I25" s="594" t="s">
        <v>559</v>
      </c>
      <c r="J25" s="737"/>
      <c r="K25" s="703"/>
      <c r="L25" s="1286" t="s">
        <v>169</v>
      </c>
      <c r="M25" s="825"/>
      <c r="N25" s="731" t="s">
        <v>559</v>
      </c>
      <c r="O25" s="732"/>
      <c r="P25" s="237"/>
      <c r="Q25" s="599" t="s">
        <v>190</v>
      </c>
      <c r="R25" s="599" t="s">
        <v>690</v>
      </c>
      <c r="S25" s="590" t="s">
        <v>691</v>
      </c>
      <c r="T25" s="599" t="s">
        <v>190</v>
      </c>
      <c r="U25" s="599" t="s">
        <v>690</v>
      </c>
      <c r="V25" s="590" t="s">
        <v>691</v>
      </c>
      <c r="W25" s="559" t="s">
        <v>690</v>
      </c>
      <c r="X25" s="559" t="s">
        <v>691</v>
      </c>
      <c r="Y25" s="622"/>
      <c r="Z25" s="594" t="s">
        <v>337</v>
      </c>
      <c r="AA25" s="547" t="s">
        <v>338</v>
      </c>
      <c r="AB25" s="559" t="s">
        <v>531</v>
      </c>
      <c r="AC25" s="594" t="s">
        <v>337</v>
      </c>
      <c r="AD25" s="547" t="s">
        <v>338</v>
      </c>
      <c r="AE25" s="559" t="s">
        <v>531</v>
      </c>
      <c r="AF25" s="2469" t="s">
        <v>27</v>
      </c>
      <c r="AG25" s="2469">
        <f>SUM(M43:M52)-SUM(L43:L52)</f>
        <v>0</v>
      </c>
      <c r="AH25" s="2469">
        <f>SUM(AI42:AI51)-SUM(AH42:AH51)</f>
        <v>0</v>
      </c>
      <c r="AI25" s="2469">
        <f>AG25-AH25</f>
        <v>0</v>
      </c>
      <c r="AL25" s="2467" t="s">
        <v>690</v>
      </c>
      <c r="AM25" s="2467"/>
      <c r="AN25" s="2467" t="s">
        <v>691</v>
      </c>
      <c r="AO25" s="2467"/>
    </row>
    <row r="26" spans="1:48" ht="13.8" thickBot="1">
      <c r="B26" s="272"/>
      <c r="C26" s="542"/>
      <c r="D26" s="1300"/>
      <c r="E26" s="729" t="s">
        <v>170</v>
      </c>
      <c r="F26" s="550" t="s">
        <v>96</v>
      </c>
      <c r="G26" s="728" t="s">
        <v>170</v>
      </c>
      <c r="H26" s="562" t="s">
        <v>96</v>
      </c>
      <c r="I26" s="734"/>
      <c r="J26" s="785" t="s">
        <v>173</v>
      </c>
      <c r="K26" s="543" t="s">
        <v>174</v>
      </c>
      <c r="L26" s="728" t="s">
        <v>170</v>
      </c>
      <c r="M26" s="562" t="s">
        <v>96</v>
      </c>
      <c r="N26" s="734"/>
      <c r="O26" s="785" t="s">
        <v>173</v>
      </c>
      <c r="P26" s="543" t="s">
        <v>174</v>
      </c>
      <c r="Q26" s="599" t="s">
        <v>524</v>
      </c>
      <c r="R26" s="599" t="s">
        <v>524</v>
      </c>
      <c r="S26" s="599" t="s">
        <v>524</v>
      </c>
      <c r="T26" s="599" t="s">
        <v>524</v>
      </c>
      <c r="U26" s="599" t="s">
        <v>524</v>
      </c>
      <c r="V26" s="599" t="s">
        <v>524</v>
      </c>
      <c r="W26" s="559" t="s">
        <v>556</v>
      </c>
      <c r="X26" s="559" t="s">
        <v>556</v>
      </c>
      <c r="Y26" s="233"/>
      <c r="Z26" s="549" t="s">
        <v>552</v>
      </c>
      <c r="AA26" s="737" t="s">
        <v>552</v>
      </c>
      <c r="AB26" s="559" t="s">
        <v>553</v>
      </c>
      <c r="AC26" s="549" t="s">
        <v>552</v>
      </c>
      <c r="AD26" s="737" t="s">
        <v>552</v>
      </c>
      <c r="AE26" s="559" t="s">
        <v>553</v>
      </c>
      <c r="AF26" s="2469" t="s">
        <v>178</v>
      </c>
      <c r="AG26" s="2469">
        <f>AO37-AM37</f>
        <v>0</v>
      </c>
      <c r="AH26" s="2469">
        <f>AG26-AI26</f>
        <v>0</v>
      </c>
      <c r="AI26" s="2469">
        <f>AO52-AL52</f>
        <v>0</v>
      </c>
      <c r="AL26" s="2467" t="s">
        <v>179</v>
      </c>
      <c r="AM26" s="2467" t="s">
        <v>181</v>
      </c>
      <c r="AN26" s="2467" t="s">
        <v>179</v>
      </c>
      <c r="AO26" s="2467" t="s">
        <v>181</v>
      </c>
    </row>
    <row r="27" spans="1:48" s="605" customFormat="1" ht="13.8" thickBot="1">
      <c r="B27" s="600" t="s">
        <v>145</v>
      </c>
      <c r="C27" s="3210" t="str">
        <f>IF('5. Degradation'!B13="",List!$A$50,VLOOKUP('5. Degradation'!B13,$A$10:$C$17,3))</f>
        <v>Plantation4</v>
      </c>
      <c r="D27" s="3211"/>
      <c r="E27" s="2045" t="str">
        <f>'5. Degradation'!F13</f>
        <v>Select level</v>
      </c>
      <c r="F27" s="1283">
        <f>IF(E27="",0,VLOOKUP(E27,List!$C$51:$D$57,2,))</f>
        <v>0</v>
      </c>
      <c r="G27" s="2045" t="str">
        <f>'5. Degradation'!H13</f>
        <v>Select level</v>
      </c>
      <c r="H27" s="747">
        <f>IF(G27="",0,VLOOKUP(G27,List!$C$51:$D$57,2,))</f>
        <v>0</v>
      </c>
      <c r="I27" s="2046" t="str">
        <f>'5. Degradation'!L13</f>
        <v>NO</v>
      </c>
      <c r="J27" s="2047">
        <f>IF('5. Degradation'!M13=0,10000,'5. Degradation'!M13)</f>
        <v>10000</v>
      </c>
      <c r="K27" s="2047">
        <f>'5. Degradation'!N13*100</f>
        <v>0</v>
      </c>
      <c r="L27" s="2045" t="str">
        <f>'5. Degradation'!J13</f>
        <v>Select level</v>
      </c>
      <c r="M27" s="456">
        <f>IF(L27="",0,VLOOKUP(L27,List!$C$51:$D$57,2,))</f>
        <v>0</v>
      </c>
      <c r="N27" s="2046" t="str">
        <f>'5. Degradation'!P13</f>
        <v>NO</v>
      </c>
      <c r="O27" s="2047">
        <f>IF('5. Degradation'!Q13=0,10000,'5. Degradation'!Q13)</f>
        <v>10000</v>
      </c>
      <c r="P27" s="2047">
        <f>'5. Degradation'!R13*100</f>
        <v>0</v>
      </c>
      <c r="Q27" s="604">
        <f>IF(C27=List!$A$50,0,VLOOKUP($C27,$C$10:$X$17,18,)*((100-F27)/100))</f>
        <v>0</v>
      </c>
      <c r="R27" s="602">
        <f>IF(C27=List!$A$50,0,VLOOKUP($C27,$C$10:$X$17,18,)*((100-H27)/100))</f>
        <v>0</v>
      </c>
      <c r="S27" s="1389">
        <f>IF(C27=List!$A$50,0,VLOOKUP($C27,$C$10:$X$17,18,)*((100-M27)/100))</f>
        <v>0</v>
      </c>
      <c r="T27" s="604">
        <f>IF(C27=List!$A$50,0,((100-F27/2)/100)*VLOOKUP($C27,$C$10:$X$17,17,))</f>
        <v>0</v>
      </c>
      <c r="U27" s="602">
        <f>IF(C27=List!$A$50,0,((100-H27/2)/100)*VLOOKUP($C27,$C$10:$X$17,17,))</f>
        <v>0</v>
      </c>
      <c r="V27" s="1389">
        <f>IF(C27=List!$A$50,0,((100-M27/2)/100)*VLOOKUP($C27,$C$10:$X$17,17,))</f>
        <v>0</v>
      </c>
      <c r="W27" s="602">
        <f>-((T27-U27)/20)*44/12</f>
        <v>0</v>
      </c>
      <c r="X27" s="1389">
        <f>-((T27-V27)/20)*44/12</f>
        <v>0</v>
      </c>
      <c r="Y27" s="622"/>
      <c r="Z27" s="604">
        <f>IF(time=0,AK42/IF(C43=0,1,C43),IF(C27=List!$A$50,0,IF(I27="NO",0,1)*IF(J27&lt;=time_tot,((R27*(time_tot)/J27)+(IF(J27&lt;=time/2,(time/J27)/2,(time-J27)/time)*ABS(Q27-R27)*VLOOKUP(E43,List!$E$35:$F$37,2,)))+IF(Q27&gt;R27,0,(R27-Q27)*(time_tot-time)/J27),0)*(K27/100)*VLOOKUP($C27,$C$10:$X$17,20,)*VLOOKUP($C27,$C$10:$X$17,21,)))</f>
        <v>0</v>
      </c>
      <c r="AA27" s="602">
        <f>IF(time=0,AL42/IF(C43=0,1,C43),IF(C27=List!$A$50,0,IF(I27="NO",0,1)*IF(J27&lt;=time_tot,((R27*(time_tot)/J27)+(IF(J27&lt;=time/2,(time/J27)/2,(time-J27)/time)*ABS(Q27-R27)*VLOOKUP(E43,List!$E$35:$F$37,2,)))+IF(Q27&gt;R27,0,(R27-Q27)*(time_tot-time)/J27),0)*(K27/100)*VLOOKUP($C27,$C$10:$X$17,20,)*VLOOKUP($C27,$C$10:$X$17,22,)))</f>
        <v>0</v>
      </c>
      <c r="AB27" s="1624">
        <f>(Z27*methane+AA27*Nitrous)/1000</f>
        <v>0</v>
      </c>
      <c r="AC27" s="604">
        <f>IF(time=0,AN42/IF(C43=0,1,C43),IF(C27=List!$A$50,0,IF(N27="NO",0,1)*IF(O27&lt;=time_tot,((S27*(time_tot)/O27)+(IF(O27&lt;=time/2,(time/O27)/2,(time-O27)/time)*ABS(Q27-S27)*VLOOKUP(G43,List!$E$35:$F$37,2,)))+IF(Q27&gt;S27,0,(S27-Q27)*(time_tot-time)/O27),0)*(P27/100)*VLOOKUP($C27,$C$10:$X$17,20,)*VLOOKUP($C27,$C$10:$X$17,21,)))</f>
        <v>0</v>
      </c>
      <c r="AD27" s="602">
        <f>IF(time=0,AO42/IF(C43=0,1,C43),IF(C27=List!$A$50,0,IF(N27="NO",0,1)*IF(O27&lt;=time_tot,((S27*(time_tot)/O27)+(IF(O27&lt;=time/2,(time/O27)/2,(time-O27)/time)*ABS(Q27-S27)*VLOOKUP(G43,List!$E$35:$F$37,2,)))+IF(Q27&gt;S27,0,(S27-Q27)*(time_tot-time)/O27),0)*(P27/100)*VLOOKUP($C27,$C$10:$X$17,20,)*VLOOKUP($C27,$C$10:$X$17,22,)))</f>
        <v>0</v>
      </c>
      <c r="AE27" s="603">
        <f>(AC27*methane+AD27*Nitrous)/1000</f>
        <v>0</v>
      </c>
      <c r="AF27" s="2469" t="s">
        <v>179</v>
      </c>
      <c r="AG27" s="2469">
        <f>AN37-AL37</f>
        <v>0</v>
      </c>
      <c r="AH27" s="2469">
        <f>AG27-AI27</f>
        <v>0</v>
      </c>
      <c r="AI27" s="2469">
        <f>AN52-AK52</f>
        <v>0</v>
      </c>
      <c r="AJ27" s="2460"/>
      <c r="AK27" s="2460"/>
      <c r="AL27" s="2470">
        <f t="shared" ref="AL27:AL36" si="2">C43*Z27*methane/1000</f>
        <v>0</v>
      </c>
      <c r="AM27" s="2470">
        <f t="shared" ref="AM27:AM36" si="3">C43*Nitrous*AA27/1000</f>
        <v>0</v>
      </c>
      <c r="AN27" s="2470">
        <f t="shared" ref="AN27:AN36" si="4">C43*AC27*methane/1000</f>
        <v>0</v>
      </c>
      <c r="AO27" s="2470">
        <f t="shared" ref="AO27:AO36" si="5">C43*Nitrous*AD27/1000</f>
        <v>0</v>
      </c>
      <c r="AP27" s="2460"/>
      <c r="AQ27" s="2460"/>
      <c r="AR27" s="2460"/>
      <c r="AS27" s="2460"/>
      <c r="AT27" s="2460"/>
      <c r="AU27" s="2460"/>
      <c r="AV27" s="2460"/>
    </row>
    <row r="28" spans="1:48" s="605" customFormat="1" ht="13.8" thickBot="1">
      <c r="B28" s="606" t="s">
        <v>146</v>
      </c>
      <c r="C28" s="3210" t="str">
        <f>IF('5. Degradation'!B14="",List!$A$50,VLOOKUP('5. Degradation'!B14,$A$10:$C$17,3))</f>
        <v>Plantation4</v>
      </c>
      <c r="D28" s="3211"/>
      <c r="E28" s="2045" t="str">
        <f>'5. Degradation'!F14</f>
        <v>Select level</v>
      </c>
      <c r="F28" s="456">
        <f>IF(E28="",0,VLOOKUP(E28,List!$C$51:$D$57,2,))</f>
        <v>0</v>
      </c>
      <c r="G28" s="2045" t="str">
        <f>'5. Degradation'!H14</f>
        <v>Select level</v>
      </c>
      <c r="H28" s="747">
        <f>IF(G28="",0,VLOOKUP(G28,List!$C$51:$D$57,2,))</f>
        <v>0</v>
      </c>
      <c r="I28" s="2046" t="str">
        <f>'5. Degradation'!L14</f>
        <v>NO</v>
      </c>
      <c r="J28" s="2047">
        <f>IF('5. Degradation'!M14=0,10000,'5. Degradation'!M14)</f>
        <v>10000</v>
      </c>
      <c r="K28" s="2047">
        <f>'5. Degradation'!N14*100</f>
        <v>0</v>
      </c>
      <c r="L28" s="2045" t="str">
        <f>'5. Degradation'!J14</f>
        <v>Select level</v>
      </c>
      <c r="M28" s="456">
        <f>IF(L28="",0,VLOOKUP(L28,List!$C$51:$D$57,2,))</f>
        <v>0</v>
      </c>
      <c r="N28" s="2046" t="str">
        <f>'5. Degradation'!P14</f>
        <v>NO</v>
      </c>
      <c r="O28" s="2047">
        <f>IF('5. Degradation'!Q14=0,10000,'5. Degradation'!Q14)</f>
        <v>10000</v>
      </c>
      <c r="P28" s="2047">
        <f>'5. Degradation'!R14*100</f>
        <v>0</v>
      </c>
      <c r="Q28" s="609">
        <f>IF(C28=List!$A$50,0,VLOOKUP($C28,$C$10:$X$17,18,)*((100-F28)/100))</f>
        <v>0</v>
      </c>
      <c r="R28" s="601">
        <f>IF(C28=List!$A$50,0,VLOOKUP($C28,$C$10:$X$17,18,)*((100-H28)/100))</f>
        <v>0</v>
      </c>
      <c r="S28" s="1380">
        <f>IF(C28=List!$A$50,0,VLOOKUP($C28,$C$10:$X$17,18,)*((100-M28)/100))</f>
        <v>0</v>
      </c>
      <c r="T28" s="609">
        <f>IF(C28=List!$A$50,0,((100-F28/2)/100)*VLOOKUP($C28,$C$10:$X$17,17,))</f>
        <v>0</v>
      </c>
      <c r="U28" s="601">
        <f>IF(C28=List!$A$50,0,((100-H28/2)/100)*VLOOKUP($C28,$C$10:$X$17,17,))</f>
        <v>0</v>
      </c>
      <c r="V28" s="1380">
        <f>IF(C28=List!$A$50,0,((100-M28/2)/100)*VLOOKUP($C28,$C$10:$X$17,17,))</f>
        <v>0</v>
      </c>
      <c r="W28" s="601">
        <f t="shared" ref="W28:W36" si="6">-((T28-U28)/20)*44/12</f>
        <v>0</v>
      </c>
      <c r="X28" s="1380">
        <f t="shared" ref="X28:X36" si="7">-((T28-V28)/20)*44/12</f>
        <v>0</v>
      </c>
      <c r="Y28" s="233"/>
      <c r="Z28" s="609">
        <f>IF(time=0,AK43/IF(C44=0,1,C44),IF(C28=List!$A$50,0,IF(I28="NO",0,1)*IF(J28&lt;=time_tot,((R28*(time_tot)/J28)+(IF(J28&lt;=time/2,(time/J28)/2,(time-J28)/time)*ABS(Q28-R28)*VLOOKUP(E44,List!$E$35:$F$37,2,)))+IF(Q28&gt;R28,0,(R28-Q28)*(time_tot-time)/J28),0)*(K28/100)*VLOOKUP($C28,$C$10:$X$17,20,)*VLOOKUP($C28,$C$10:$X$17,21,)))</f>
        <v>0</v>
      </c>
      <c r="AA28" s="601">
        <f>IF(time=0,AL43/IF(C44=0,1,C44),IF(C28=List!$A$50,0,IF(I28="NO",0,1)*IF(J28&lt;=time_tot,((R28*(time_tot)/J28)+(IF(J28&lt;=time/2,(time/J28)/2,(time-J28)/time)*ABS(Q28-R28)*VLOOKUP(E44,List!$E$35:$F$37,2,)))+IF(Q28&gt;R28,0,(R28-Q28)*(time_tot-time)/J28),0)*(K28/100)*VLOOKUP($C28,$C$10:$X$17,20,)*VLOOKUP($C28,$C$10:$X$17,22,)))</f>
        <v>0</v>
      </c>
      <c r="AB28" s="1625">
        <f t="shared" ref="AB28:AB36" si="8">(Z28*methane+AA28*Nitrous)/1000</f>
        <v>0</v>
      </c>
      <c r="AC28" s="609">
        <f>IF(time=0,AN43/IF(C44=0,1,C44),IF(C28=List!$A$50,0,IF(N28="NO",0,1)*IF(O28&lt;=time_tot,((S28*(time_tot)/O28)+(IF(O28&lt;=time/2,(time/O28)/2,(time-O28)/time)*ABS(Q28-S28)*VLOOKUP(G44,List!$E$35:$F$37,2,)))+IF(Q28&gt;S28,0,(S28-Q28)*(time_tot-time)/O28),0)*(P28/100)*VLOOKUP($C28,$C$10:$X$17,20,)*VLOOKUP($C28,$C$10:$X$17,21,)))</f>
        <v>0</v>
      </c>
      <c r="AD28" s="601">
        <f>IF(time=0,AO43/IF(C44=0,1,C44),IF(C28=List!$A$50,0,IF(N28="NO",0,1)*IF(O28&lt;=time_tot,((S28*(time_tot)/O28)+(IF(O28&lt;=time/2,(time/O28)/2,(time-O28)/time)*ABS(Q28-S28)*VLOOKUP(G44,List!$E$35:$F$37,2,)))+IF(Q28&gt;S28,0,(S28-Q28)*(time_tot-time)/O28),0)*(P28/100)*VLOOKUP($C28,$C$10:$X$17,20,)*VLOOKUP($C28,$C$10:$X$17,22,)))</f>
        <v>0</v>
      </c>
      <c r="AE28" s="608">
        <f t="shared" ref="AE28:AE36" si="9">(AC28*methane+AD28*Nitrous)/1000</f>
        <v>0</v>
      </c>
      <c r="AF28" s="2469"/>
      <c r="AG28" s="2469">
        <f>SUM(AG24:AG27)</f>
        <v>0</v>
      </c>
      <c r="AH28" s="2469">
        <f>SUM(AH24:AH27)</f>
        <v>0</v>
      </c>
      <c r="AI28" s="2469">
        <f>SUM(AI24:AI27)</f>
        <v>0</v>
      </c>
      <c r="AJ28" s="2460"/>
      <c r="AK28" s="2460"/>
      <c r="AL28" s="2470">
        <f t="shared" si="2"/>
        <v>0</v>
      </c>
      <c r="AM28" s="2470">
        <f t="shared" si="3"/>
        <v>0</v>
      </c>
      <c r="AN28" s="2470">
        <f t="shared" si="4"/>
        <v>0</v>
      </c>
      <c r="AO28" s="2470">
        <f t="shared" si="5"/>
        <v>0</v>
      </c>
      <c r="AP28" s="2460"/>
      <c r="AQ28" s="2460"/>
      <c r="AR28" s="2460"/>
      <c r="AS28" s="2460"/>
      <c r="AT28" s="2460"/>
      <c r="AU28" s="2460"/>
      <c r="AV28" s="2460"/>
    </row>
    <row r="29" spans="1:48" s="605" customFormat="1" ht="13.8" thickBot="1">
      <c r="B29" s="606" t="s">
        <v>147</v>
      </c>
      <c r="C29" s="3210" t="str">
        <f>IF('5. Degradation'!B15="",List!$A$50,VLOOKUP('5. Degradation'!B15,$A$10:$C$17,3))</f>
        <v>Plantation4</v>
      </c>
      <c r="D29" s="3211"/>
      <c r="E29" s="2045" t="str">
        <f>'5. Degradation'!F15</f>
        <v>Select level</v>
      </c>
      <c r="F29" s="456">
        <f>IF(E29="",0,VLOOKUP(E29,List!$C$51:$D$57,2,))</f>
        <v>0</v>
      </c>
      <c r="G29" s="2045" t="str">
        <f>'5. Degradation'!H15</f>
        <v>Select level</v>
      </c>
      <c r="H29" s="747">
        <f>IF(G29="",0,VLOOKUP(G29,List!$C$51:$D$57,2,))</f>
        <v>0</v>
      </c>
      <c r="I29" s="2046" t="str">
        <f>'5. Degradation'!L15</f>
        <v>NO</v>
      </c>
      <c r="J29" s="2047">
        <f>IF('5. Degradation'!M15=0,10000,'5. Degradation'!M15)</f>
        <v>10000</v>
      </c>
      <c r="K29" s="2047">
        <f>'5. Degradation'!N15*100</f>
        <v>0</v>
      </c>
      <c r="L29" s="2045" t="str">
        <f>'5. Degradation'!J15</f>
        <v>Select level</v>
      </c>
      <c r="M29" s="456">
        <f>IF(L29="",0,VLOOKUP(L29,List!$C$51:$D$57,2,))</f>
        <v>0</v>
      </c>
      <c r="N29" s="2046" t="str">
        <f>'5. Degradation'!P15</f>
        <v>NO</v>
      </c>
      <c r="O29" s="2047">
        <f>IF('5. Degradation'!Q15=0,10000,'5. Degradation'!Q15)</f>
        <v>10000</v>
      </c>
      <c r="P29" s="2047">
        <f>'5. Degradation'!R15*100</f>
        <v>0</v>
      </c>
      <c r="Q29" s="609">
        <f>IF(C29=List!$A$50,0,VLOOKUP($C29,$C$10:$X$17,18,)*((100-F29)/100))</f>
        <v>0</v>
      </c>
      <c r="R29" s="601">
        <f>IF(C29=List!$A$50,0,VLOOKUP($C29,$C$10:$X$17,18,)*((100-H29)/100))</f>
        <v>0</v>
      </c>
      <c r="S29" s="1380">
        <f>IF(C29=List!$A$50,0,VLOOKUP($C29,$C$10:$X$17,18,)*((100-M29)/100))</f>
        <v>0</v>
      </c>
      <c r="T29" s="609">
        <f>IF(C29=List!$A$50,0,((100-F29/2)/100)*VLOOKUP($C29,$C$10:$X$17,17,))</f>
        <v>0</v>
      </c>
      <c r="U29" s="601">
        <f>IF(C29=List!$A$50,0,((100-H29/2)/100)*VLOOKUP($C29,$C$10:$X$17,17,))</f>
        <v>0</v>
      </c>
      <c r="V29" s="1380">
        <f>IF(C29=List!$A$50,0,((100-M29/2)/100)*VLOOKUP($C29,$C$10:$X$17,17,))</f>
        <v>0</v>
      </c>
      <c r="W29" s="601">
        <f t="shared" si="6"/>
        <v>0</v>
      </c>
      <c r="X29" s="1380">
        <f t="shared" si="7"/>
        <v>0</v>
      </c>
      <c r="Y29" s="622"/>
      <c r="Z29" s="609">
        <f>IF(time=0,AK44/IF(C45=0,1,C45),IF(C29=List!$A$50,0,IF(I29="NO",0,1)*IF(J29&lt;=time_tot,((R29*(time_tot)/J29)+(IF(J29&lt;=time/2,(time/J29)/2,(time-J29)/time)*ABS(Q29-R29)*VLOOKUP(E45,List!$E$35:$F$37,2,)))+IF(Q29&gt;R29,0,(R29-Q29)*(time_tot-time)/J29),0)*(K29/100)*VLOOKUP($C29,$C$10:$X$17,20,)*VLOOKUP($C29,$C$10:$X$17,21,)))</f>
        <v>0</v>
      </c>
      <c r="AA29" s="601">
        <f>IF(time=0,AL44/IF(C45=0,1,C45),IF(C29=List!$A$50,0,IF(I29="NO",0,1)*IF(J29&lt;=time_tot,((R29*(time_tot)/J29)+(IF(J29&lt;=time/2,(time/J29)/2,(time-J29)/time)*ABS(Q29-R29)*VLOOKUP(E45,List!$E$35:$F$37,2,)))+IF(Q29&gt;R29,0,(R29-Q29)*(time_tot-time)/J29),0)*(K29/100)*VLOOKUP($C29,$C$10:$X$17,20,)*VLOOKUP($C29,$C$10:$X$17,22,)))</f>
        <v>0</v>
      </c>
      <c r="AB29" s="1625">
        <f t="shared" si="8"/>
        <v>0</v>
      </c>
      <c r="AC29" s="609">
        <f>IF(time=0,AN44/IF(C45=0,1,C45),IF(C29=List!$A$50,0,IF(N29="NO",0,1)*IF(O29&lt;=time_tot,((S29*(time_tot)/O29)+(IF(O29&lt;=time/2,(time/O29)/2,(time-O29)/time)*ABS(Q29-S29)*VLOOKUP(G45,List!$E$35:$F$37,2,)))+IF(Q29&gt;S29,0,(S29-Q29)*(time_tot-time)/O29),0)*(P29/100)*VLOOKUP($C29,$C$10:$X$17,20,)*VLOOKUP($C29,$C$10:$X$17,21,)))</f>
        <v>0</v>
      </c>
      <c r="AD29" s="601">
        <f>IF(time=0,AO44/IF(C45=0,1,C45),IF(C29=List!$A$50,0,IF(N29="NO",0,1)*IF(O29&lt;=time_tot,((S29*(time_tot)/O29)+(IF(O29&lt;=time/2,(time/O29)/2,(time-O29)/time)*ABS(Q29-S29)*VLOOKUP(G45,List!$E$35:$F$37,2,)))+IF(Q29&gt;S29,0,(S29-Q29)*(time_tot-time)/O29),0)*(P29/100)*VLOOKUP($C29,$C$10:$X$17,20,)*VLOOKUP($C29,$C$10:$X$17,22,)))</f>
        <v>0</v>
      </c>
      <c r="AE29" s="608">
        <f t="shared" si="9"/>
        <v>0</v>
      </c>
      <c r="AF29" s="2460"/>
      <c r="AG29" s="2460"/>
      <c r="AH29" s="2460"/>
      <c r="AI29" s="2460"/>
      <c r="AJ29" s="2460"/>
      <c r="AK29" s="2460"/>
      <c r="AL29" s="2470">
        <f t="shared" si="2"/>
        <v>0</v>
      </c>
      <c r="AM29" s="2470">
        <f t="shared" si="3"/>
        <v>0</v>
      </c>
      <c r="AN29" s="2470">
        <f t="shared" si="4"/>
        <v>0</v>
      </c>
      <c r="AO29" s="2470">
        <f t="shared" si="5"/>
        <v>0</v>
      </c>
      <c r="AP29" s="2460"/>
      <c r="AQ29" s="2460"/>
      <c r="AR29" s="2460"/>
      <c r="AS29" s="2460"/>
      <c r="AT29" s="2460"/>
      <c r="AU29" s="2460"/>
      <c r="AV29" s="2460"/>
    </row>
    <row r="30" spans="1:48" s="605" customFormat="1" ht="13.8" thickBot="1">
      <c r="B30" s="606" t="s">
        <v>148</v>
      </c>
      <c r="C30" s="3210" t="str">
        <f>IF('5. Degradation'!B16="",List!$A$50,VLOOKUP('5. Degradation'!B16,$A$10:$C$17,3))</f>
        <v>Plantation4</v>
      </c>
      <c r="D30" s="3211"/>
      <c r="E30" s="2045" t="str">
        <f>'5. Degradation'!F16</f>
        <v>Select level</v>
      </c>
      <c r="F30" s="456">
        <f>IF(E30="",0,VLOOKUP(E30,List!$C$51:$D$57,2,))</f>
        <v>0</v>
      </c>
      <c r="G30" s="2045" t="str">
        <f>'5. Degradation'!H16</f>
        <v>Select level</v>
      </c>
      <c r="H30" s="747">
        <f>IF(G30="",0,VLOOKUP(G30,List!$C$51:$D$57,2,))</f>
        <v>0</v>
      </c>
      <c r="I30" s="2046" t="str">
        <f>'5. Degradation'!L16</f>
        <v>NO</v>
      </c>
      <c r="J30" s="2047">
        <f>IF('5. Degradation'!M16=0,10000,'5. Degradation'!M16)</f>
        <v>10000</v>
      </c>
      <c r="K30" s="2047">
        <f>'5. Degradation'!N16*100</f>
        <v>0</v>
      </c>
      <c r="L30" s="2045" t="str">
        <f>'5. Degradation'!J16</f>
        <v>Select level</v>
      </c>
      <c r="M30" s="456">
        <f>IF(L30="",0,VLOOKUP(L30,List!$C$51:$D$57,2,))</f>
        <v>0</v>
      </c>
      <c r="N30" s="2046" t="str">
        <f>'5. Degradation'!P16</f>
        <v>NO</v>
      </c>
      <c r="O30" s="2047">
        <f>IF('5. Degradation'!Q16=0,10000,'5. Degradation'!Q16)</f>
        <v>10000</v>
      </c>
      <c r="P30" s="2047">
        <f>'5. Degradation'!R16*100</f>
        <v>0</v>
      </c>
      <c r="Q30" s="609">
        <f>IF(C30=List!$A$50,0,VLOOKUP($C30,$C$10:$X$17,18,)*((100-F30)/100))</f>
        <v>0</v>
      </c>
      <c r="R30" s="601">
        <f>IF(C30=List!$A$50,0,VLOOKUP($C30,$C$10:$X$17,18,)*((100-H30)/100))</f>
        <v>0</v>
      </c>
      <c r="S30" s="1380">
        <f>IF(C30=List!$A$50,0,VLOOKUP($C30,$C$10:$X$17,18,)*((100-M30)/100))</f>
        <v>0</v>
      </c>
      <c r="T30" s="609">
        <f>IF(C30=List!$A$50,0,((100-F30/2)/100)*VLOOKUP($C30,$C$10:$X$17,17,))</f>
        <v>0</v>
      </c>
      <c r="U30" s="601">
        <f>IF(C30=List!$A$50,0,((100-H30/2)/100)*VLOOKUP($C30,$C$10:$X$17,17,))</f>
        <v>0</v>
      </c>
      <c r="V30" s="1380">
        <f>IF(C30=List!$A$50,0,((100-M30/2)/100)*VLOOKUP($C30,$C$10:$X$17,17,))</f>
        <v>0</v>
      </c>
      <c r="W30" s="601">
        <f t="shared" si="6"/>
        <v>0</v>
      </c>
      <c r="X30" s="1380">
        <f t="shared" si="7"/>
        <v>0</v>
      </c>
      <c r="Y30" s="233"/>
      <c r="Z30" s="609">
        <f>IF(time=0,AK45/IF(C46=0,1,C46),IF(C30=List!$A$50,0,IF(I30="NO",0,1)*IF(J30&lt;=time_tot,((R30*(time_tot)/J30)+(IF(J30&lt;=time/2,(time/J30)/2,(time-J30)/time)*ABS(Q30-R30)*VLOOKUP(E46,List!$E$35:$F$37,2,)))+IF(Q30&gt;R30,0,(R30-Q30)*(time_tot-time)/J30),0)*(K30/100)*VLOOKUP($C30,$C$10:$X$17,20,)*VLOOKUP($C30,$C$10:$X$17,21,)))</f>
        <v>0</v>
      </c>
      <c r="AA30" s="601">
        <f>IF(time=0,AL45/IF(C46=0,1,C46),IF(C30=List!$A$50,0,IF(I30="NO",0,1)*IF(J30&lt;=time_tot,((R30*(time_tot)/J30)+(IF(J30&lt;=time/2,(time/J30)/2,(time-J30)/time)*ABS(Q30-R30)*VLOOKUP(E46,List!$E$35:$F$37,2,)))+IF(Q30&gt;R30,0,(R30-Q30)*(time_tot-time)/J30),0)*(K30/100)*VLOOKUP($C30,$C$10:$X$17,20,)*VLOOKUP($C30,$C$10:$X$17,22,)))</f>
        <v>0</v>
      </c>
      <c r="AB30" s="1625">
        <f t="shared" si="8"/>
        <v>0</v>
      </c>
      <c r="AC30" s="609">
        <f>IF(time=0,AN45/IF(C46=0,1,C46),IF(C30=List!$A$50,0,IF(N30="NO",0,1)*IF(O30&lt;=time_tot,((S30*(time_tot)/O30)+(IF(O30&lt;=time/2,(time/O30)/2,(time-O30)/time)*ABS(Q30-S30)*VLOOKUP(G46,List!$E$35:$F$37,2,)))+IF(Q30&gt;S30,0,(S30-Q30)*(time_tot-time)/O30),0)*(P30/100)*VLOOKUP($C30,$C$10:$X$17,20,)*VLOOKUP($C30,$C$10:$X$17,21,)))</f>
        <v>0</v>
      </c>
      <c r="AD30" s="601">
        <f>IF(time=0,AO45/IF(C46=0,1,C46),IF(C30=List!$A$50,0,IF(N30="NO",0,1)*IF(O30&lt;=time_tot,((S30*(time_tot)/O30)+(IF(O30&lt;=time/2,(time/O30)/2,(time-O30)/time)*ABS(Q30-S30)*VLOOKUP(G46,List!$E$35:$F$37,2,)))+IF(Q30&gt;S30,0,(S30-Q30)*(time_tot-time)/O30),0)*(P30/100)*VLOOKUP($C30,$C$10:$X$17,20,)*VLOOKUP($C30,$C$10:$X$17,22,)))</f>
        <v>0</v>
      </c>
      <c r="AE30" s="608">
        <f t="shared" si="9"/>
        <v>0</v>
      </c>
      <c r="AF30" s="2460"/>
      <c r="AG30" s="2460"/>
      <c r="AH30" s="2460"/>
      <c r="AI30" s="2460"/>
      <c r="AJ30" s="2460"/>
      <c r="AK30" s="2460"/>
      <c r="AL30" s="2470">
        <f t="shared" si="2"/>
        <v>0</v>
      </c>
      <c r="AM30" s="2470">
        <f t="shared" si="3"/>
        <v>0</v>
      </c>
      <c r="AN30" s="2470">
        <f t="shared" si="4"/>
        <v>0</v>
      </c>
      <c r="AO30" s="2470">
        <f t="shared" si="5"/>
        <v>0</v>
      </c>
      <c r="AP30" s="2460"/>
      <c r="AQ30" s="2460"/>
      <c r="AR30" s="2460"/>
      <c r="AS30" s="2460"/>
      <c r="AT30" s="2460"/>
      <c r="AU30" s="2460"/>
      <c r="AV30" s="2460"/>
    </row>
    <row r="31" spans="1:48" s="605" customFormat="1" ht="13.8" thickBot="1">
      <c r="B31" s="606" t="s">
        <v>149</v>
      </c>
      <c r="C31" s="3210" t="str">
        <f>IF('5. Degradation'!B17="",List!$A$50,VLOOKUP('5. Degradation'!B17,$A$10:$C$17,3))</f>
        <v>Plantation4</v>
      </c>
      <c r="D31" s="3211"/>
      <c r="E31" s="2045" t="str">
        <f>'5. Degradation'!F17</f>
        <v>Select level</v>
      </c>
      <c r="F31" s="456">
        <f>IF(E31="",0,VLOOKUP(E31,List!$C$51:$D$57,2,))</f>
        <v>0</v>
      </c>
      <c r="G31" s="2045" t="str">
        <f>'5. Degradation'!H17</f>
        <v>Select level</v>
      </c>
      <c r="H31" s="747">
        <f>IF(G31="",0,VLOOKUP(G31,List!$C$51:$D$57,2,))</f>
        <v>0</v>
      </c>
      <c r="I31" s="2046" t="str">
        <f>'5. Degradation'!L17</f>
        <v>NO</v>
      </c>
      <c r="J31" s="2047">
        <f>IF('5. Degradation'!M17=0,10000,'5. Degradation'!M17)</f>
        <v>10000</v>
      </c>
      <c r="K31" s="2047">
        <f>'5. Degradation'!N17*100</f>
        <v>0</v>
      </c>
      <c r="L31" s="2045" t="str">
        <f>'5. Degradation'!J17</f>
        <v>Select level</v>
      </c>
      <c r="M31" s="456">
        <f>IF(L31="",0,VLOOKUP(L31,List!$C$51:$D$57,2,))</f>
        <v>0</v>
      </c>
      <c r="N31" s="2046" t="str">
        <f>'5. Degradation'!P17</f>
        <v>NO</v>
      </c>
      <c r="O31" s="2047">
        <f>IF('5. Degradation'!Q17=0,10000,'5. Degradation'!Q17)</f>
        <v>10000</v>
      </c>
      <c r="P31" s="2047">
        <f>'5. Degradation'!R17*100</f>
        <v>0</v>
      </c>
      <c r="Q31" s="609">
        <f>IF(C31=List!$A$50,0,VLOOKUP($C31,$C$10:$X$17,18,)*((100-F31)/100))</f>
        <v>0</v>
      </c>
      <c r="R31" s="601">
        <f>IF(C31=List!$A$50,0,VLOOKUP($C31,$C$10:$X$17,18,)*((100-H31)/100))</f>
        <v>0</v>
      </c>
      <c r="S31" s="1380">
        <f>IF(C31=List!$A$50,0,VLOOKUP($C31,$C$10:$X$17,18,)*((100-M31)/100))</f>
        <v>0</v>
      </c>
      <c r="T31" s="609">
        <f>IF(C31=List!$A$50,0,((100-F31/2)/100)*VLOOKUP($C31,$C$10:$X$17,17,))</f>
        <v>0</v>
      </c>
      <c r="U31" s="601">
        <f>IF(C31=List!$A$50,0,((100-H31/2)/100)*VLOOKUP($C31,$C$10:$X$17,17,))</f>
        <v>0</v>
      </c>
      <c r="V31" s="1380">
        <f>IF(C31=List!$A$50,0,((100-M31/2)/100)*VLOOKUP($C31,$C$10:$X$17,17,))</f>
        <v>0</v>
      </c>
      <c r="W31" s="601">
        <f t="shared" si="6"/>
        <v>0</v>
      </c>
      <c r="X31" s="1380">
        <f t="shared" si="7"/>
        <v>0</v>
      </c>
      <c r="Y31" s="622"/>
      <c r="Z31" s="609">
        <f>IF(time=0,AK46/IF(C47=0,1,C47),IF(C31=List!$A$50,0,IF(I31="NO",0,1)*IF(J31&lt;=time_tot,((R31*(time_tot)/J31)+(IF(J31&lt;=time/2,(time/J31)/2,(time-J31)/time)*ABS(Q31-R31)*VLOOKUP(E47,List!$E$35:$F$37,2,)))+IF(Q31&gt;R31,0,(R31-Q31)*(time_tot-time)/J31),0)*(K31/100)*VLOOKUP($C31,$C$10:$X$17,20,)*VLOOKUP($C31,$C$10:$X$17,21,)))</f>
        <v>0</v>
      </c>
      <c r="AA31" s="601">
        <f>IF(time=0,AL46/IF(C47=0,1,C47),IF(C31=List!$A$50,0,IF(I31="NO",0,1)*IF(J31&lt;=time_tot,((R31*(time_tot)/J31)+(IF(J31&lt;=time/2,(time/J31)/2,(time-J31)/time)*ABS(Q31-R31)*VLOOKUP(E47,List!$E$35:$F$37,2,)))+IF(Q31&gt;R31,0,(R31-Q31)*(time_tot-time)/J31),0)*(K31/100)*VLOOKUP($C31,$C$10:$X$17,20,)*VLOOKUP($C31,$C$10:$X$17,22,)))</f>
        <v>0</v>
      </c>
      <c r="AB31" s="1625">
        <f t="shared" si="8"/>
        <v>0</v>
      </c>
      <c r="AC31" s="609">
        <f>IF(time=0,AN46/IF(C47=0,1,C47),IF(C31=List!$A$50,0,IF(N31="NO",0,1)*IF(O31&lt;=time_tot,((S31*(time_tot)/O31)+(IF(O31&lt;=time/2,(time/O31)/2,(time-O31)/time)*ABS(Q31-S31)*VLOOKUP(G47,List!$E$35:$F$37,2,)))+IF(Q31&gt;S31,0,(S31-Q31)*(time_tot-time)/O31),0)*(P31/100)*VLOOKUP($C31,$C$10:$X$17,20,)*VLOOKUP($C31,$C$10:$X$17,21,)))</f>
        <v>0</v>
      </c>
      <c r="AD31" s="601">
        <f>IF(time=0,AO46/IF(C47=0,1,C47),IF(C31=List!$A$50,0,IF(N31="NO",0,1)*IF(O31&lt;=time_tot,((S31*(time_tot)/O31)+(IF(O31&lt;=time/2,(time/O31)/2,(time-O31)/time)*ABS(Q31-S31)*VLOOKUP(G47,List!$E$35:$F$37,2,)))+IF(Q31&gt;S31,0,(S31-Q31)*(time_tot-time)/O31),0)*(P31/100)*VLOOKUP($C31,$C$10:$X$17,20,)*VLOOKUP($C31,$C$10:$X$17,22,)))</f>
        <v>0</v>
      </c>
      <c r="AE31" s="608">
        <f t="shared" si="9"/>
        <v>0</v>
      </c>
      <c r="AF31" s="2467"/>
      <c r="AG31" s="2467"/>
      <c r="AH31" s="2460"/>
      <c r="AI31" s="2460"/>
      <c r="AJ31" s="2460"/>
      <c r="AK31" s="2460"/>
      <c r="AL31" s="2470">
        <f t="shared" si="2"/>
        <v>0</v>
      </c>
      <c r="AM31" s="2470">
        <f t="shared" si="3"/>
        <v>0</v>
      </c>
      <c r="AN31" s="2470">
        <f t="shared" si="4"/>
        <v>0</v>
      </c>
      <c r="AO31" s="2470">
        <f t="shared" si="5"/>
        <v>0</v>
      </c>
      <c r="AP31" s="2460"/>
      <c r="AQ31" s="2460"/>
      <c r="AR31" s="2460"/>
      <c r="AS31" s="2460"/>
      <c r="AT31" s="2460"/>
      <c r="AU31" s="2460"/>
      <c r="AV31" s="2460"/>
    </row>
    <row r="32" spans="1:48" s="605" customFormat="1">
      <c r="B32" s="606" t="s">
        <v>150</v>
      </c>
      <c r="C32" s="3210" t="str">
        <f>IF('5. Degradation'!B18="",List!$A$50,VLOOKUP('5. Degradation'!B18,$A$10:$C$17,3))</f>
        <v>Plantation4</v>
      </c>
      <c r="D32" s="3211"/>
      <c r="E32" s="2045" t="str">
        <f>'5. Degradation'!F18</f>
        <v>Select level</v>
      </c>
      <c r="F32" s="456">
        <f>IF(E32="",0,VLOOKUP(E32,List!$C$51:$D$57,2,))</f>
        <v>0</v>
      </c>
      <c r="G32" s="2045" t="str">
        <f>'5. Degradation'!H18</f>
        <v>Select level</v>
      </c>
      <c r="H32" s="747">
        <f>IF(G32="",0,VLOOKUP(G32,List!$C$51:$D$57,2,))</f>
        <v>0</v>
      </c>
      <c r="I32" s="2046" t="str">
        <f>'5. Degradation'!L18</f>
        <v>NO</v>
      </c>
      <c r="J32" s="2047">
        <f>IF('5. Degradation'!M18=0,10000,'5. Degradation'!M18)</f>
        <v>10000</v>
      </c>
      <c r="K32" s="2047">
        <f>'5. Degradation'!N18*100</f>
        <v>0</v>
      </c>
      <c r="L32" s="2045" t="str">
        <f>'5. Degradation'!J18</f>
        <v>Select level</v>
      </c>
      <c r="M32" s="456">
        <f>IF(L32="",0,VLOOKUP(L32,List!$C$51:$D$57,2,))</f>
        <v>0</v>
      </c>
      <c r="N32" s="2046" t="str">
        <f>'5. Degradation'!P18</f>
        <v>NO</v>
      </c>
      <c r="O32" s="2047">
        <f>IF('5. Degradation'!Q18=0,10000,'5. Degradation'!Q18)</f>
        <v>10000</v>
      </c>
      <c r="P32" s="2047">
        <f>'5. Degradation'!R18*100</f>
        <v>0</v>
      </c>
      <c r="Q32" s="609">
        <f>IF(C32=List!$A$50,0,VLOOKUP($C32,$C$10:$X$17,18,)*((100-F32)/100))</f>
        <v>0</v>
      </c>
      <c r="R32" s="601">
        <f>IF(C32=List!$A$50,0,VLOOKUP($C32,$C$10:$X$17,18,)*((100-H32)/100))</f>
        <v>0</v>
      </c>
      <c r="S32" s="1380">
        <f>IF(C32=List!$A$50,0,VLOOKUP($C32,$C$10:$X$17,18,)*((100-M32)/100))</f>
        <v>0</v>
      </c>
      <c r="T32" s="609">
        <f>IF(C32=List!$A$50,0,((100-F32/2)/100)*VLOOKUP($C32,$C$10:$X$17,17,))</f>
        <v>0</v>
      </c>
      <c r="U32" s="601">
        <f>IF(C32=List!$A$50,0,((100-H32/2)/100)*VLOOKUP($C32,$C$10:$X$17,17,))</f>
        <v>0</v>
      </c>
      <c r="V32" s="1380">
        <f>IF(C32=List!$A$50,0,((100-M32/2)/100)*VLOOKUP($C32,$C$10:$X$17,17,))</f>
        <v>0</v>
      </c>
      <c r="W32" s="601">
        <f t="shared" si="6"/>
        <v>0</v>
      </c>
      <c r="X32" s="1380">
        <f t="shared" si="7"/>
        <v>0</v>
      </c>
      <c r="Y32" s="233"/>
      <c r="Z32" s="609">
        <f>IF(time=0,AK47/IF(C48=0,1,C48),IF(C32=List!$A$50,0,IF(I32="NO",0,1)*IF(J32&lt;=time_tot,((R32*(time_tot)/J32)+(IF(J32&lt;=time/2,(time/J32)/2,(time-J32)/time)*ABS(Q32-R32)*VLOOKUP(E48,List!$E$35:$F$37,2,)))+IF(Q32&gt;R32,0,(R32-Q32)*(time_tot-time)/J32),0)*(K32/100)*VLOOKUP($C32,$C$10:$X$17,20,)*VLOOKUP($C32,$C$10:$X$17,21,)))</f>
        <v>0</v>
      </c>
      <c r="AA32" s="601">
        <f>IF(time=0,AL47/IF(C48=0,1,C48),IF(C32=List!$A$50,0,IF(I32="NO",0,1)*IF(J32&lt;=time_tot,((R32*(time_tot)/J32)+(IF(J32&lt;=time/2,(time/J32)/2,(time-J32)/time)*ABS(Q32-R32)*VLOOKUP(E48,List!$E$35:$F$37,2,)))+IF(Q32&gt;R32,0,(R32-Q32)*(time_tot-time)/J32),0)*(K32/100)*VLOOKUP($C32,$C$10:$X$17,20,)*VLOOKUP($C32,$C$10:$X$17,22,)))</f>
        <v>0</v>
      </c>
      <c r="AB32" s="1625">
        <f t="shared" si="8"/>
        <v>0</v>
      </c>
      <c r="AC32" s="609">
        <f>IF(time=0,AN47/IF(C48=0,1,C48),IF(C32=List!$A$50,0,IF(N32="NO",0,1)*IF(O32&lt;=time_tot,((S32*(time_tot)/O32)+(IF(O32&lt;=time/2,(time/O32)/2,(time-O32)/time)*ABS(Q32-S32)*VLOOKUP(G48,List!$E$35:$F$37,2,)))+IF(Q32&gt;S32,0,(S32-Q32)*(time_tot-time)/O32),0)*(P32/100)*VLOOKUP($C32,$C$10:$X$17,20,)*VLOOKUP($C32,$C$10:$X$17,21,)))</f>
        <v>0</v>
      </c>
      <c r="AD32" s="601">
        <f>IF(time=0,AO47/IF(C48=0,1,C48),IF(C32=List!$A$50,0,IF(N32="NO",0,1)*IF(O32&lt;=time_tot,((S32*(time_tot)/O32)+(IF(O32&lt;=time/2,(time/O32)/2,(time-O32)/time)*ABS(Q32-S32)*VLOOKUP(G48,List!$E$35:$F$37,2,)))+IF(Q32&gt;S32,0,(S32-Q32)*(time_tot-time)/O32),0)*(P32/100)*VLOOKUP($C32,$C$10:$X$17,20,)*VLOOKUP($C32,$C$10:$X$17,22,)))</f>
        <v>0</v>
      </c>
      <c r="AE32" s="608">
        <f t="shared" si="9"/>
        <v>0</v>
      </c>
      <c r="AF32" s="2467"/>
      <c r="AG32" s="2467"/>
      <c r="AH32" s="2460" t="s">
        <v>41</v>
      </c>
      <c r="AI32" s="2460">
        <f>time</f>
        <v>0</v>
      </c>
      <c r="AJ32" s="2460"/>
      <c r="AK32" s="2460"/>
      <c r="AL32" s="2470">
        <f t="shared" si="2"/>
        <v>0</v>
      </c>
      <c r="AM32" s="2470">
        <f t="shared" si="3"/>
        <v>0</v>
      </c>
      <c r="AN32" s="2470">
        <f t="shared" si="4"/>
        <v>0</v>
      </c>
      <c r="AO32" s="2470">
        <f t="shared" si="5"/>
        <v>0</v>
      </c>
      <c r="AP32" s="2460"/>
      <c r="AQ32" s="2460"/>
      <c r="AR32" s="2460"/>
      <c r="AS32" s="2460"/>
      <c r="AT32" s="2460"/>
      <c r="AU32" s="2460"/>
      <c r="AV32" s="2460"/>
    </row>
    <row r="33" spans="2:54" s="605" customFormat="1">
      <c r="B33" s="606" t="s">
        <v>151</v>
      </c>
      <c r="C33" s="611" t="str">
        <f>F19</f>
        <v>Specific Vegetation 1</v>
      </c>
      <c r="D33" s="611"/>
      <c r="E33" s="1281" t="s">
        <v>214</v>
      </c>
      <c r="F33" s="456">
        <f>IF(E33="",0,VLOOKUP(E33,List!$C$51:$D$57,2,))</f>
        <v>0</v>
      </c>
      <c r="G33" s="1281" t="s">
        <v>214</v>
      </c>
      <c r="H33" s="747">
        <f>IF(G33="",0,VLOOKUP(G33,List!$C$51:$D$57,2,))</f>
        <v>0</v>
      </c>
      <c r="I33" s="1641" t="s">
        <v>359</v>
      </c>
      <c r="J33" s="725">
        <v>1</v>
      </c>
      <c r="K33" s="1642">
        <v>25</v>
      </c>
      <c r="L33" s="1281" t="s">
        <v>214</v>
      </c>
      <c r="M33" s="456">
        <f>IF(L33="",0,VLOOKUP(L33,List!$C$51:$D$57,2,))</f>
        <v>0</v>
      </c>
      <c r="N33" s="1641" t="s">
        <v>359</v>
      </c>
      <c r="O33" s="725">
        <v>1</v>
      </c>
      <c r="P33" s="1642">
        <v>25</v>
      </c>
      <c r="Q33" s="609">
        <f>(T19)*((100-F33)/100)</f>
        <v>0</v>
      </c>
      <c r="R33" s="601">
        <f>(T19)*((100-H33)/100)</f>
        <v>0</v>
      </c>
      <c r="S33" s="1380">
        <f>(T19)*((100-M33)/100)</f>
        <v>0</v>
      </c>
      <c r="T33" s="609">
        <f>IF(C33=List!$A$50,0,((100-F33/2)/100)*S19)</f>
        <v>0</v>
      </c>
      <c r="U33" s="601">
        <f>IF(C33=List!$A$50,0,((100-H33/2)/100)*S19)</f>
        <v>0</v>
      </c>
      <c r="V33" s="1380">
        <f>IF(C33=List!$A$50,0,((100-M33/2)/100)*S19)</f>
        <v>0</v>
      </c>
      <c r="W33" s="601">
        <f t="shared" si="6"/>
        <v>0</v>
      </c>
      <c r="X33" s="1380">
        <f t="shared" si="7"/>
        <v>0</v>
      </c>
      <c r="Y33" s="622"/>
      <c r="Z33" s="609">
        <f>IF(time=0,AK48/IF(C49=0,1,C49),IF(C33=List!$A$50,0,IF(I33="NO",0,1)*IF(J33&lt;=time_tot,((R33*(time_tot)/J33)+(IF(J33&lt;=time/2,(time/J33)/2,(time-J33)/time)*ABS(Q33-R33)*VLOOKUP(E49,List!$E$35:$F$37,2,)))+IF(Q33&gt;R33,0,(R33-Q33)*(time_tot-time)/J33),0)*(K33/100)*V19*W19))</f>
        <v>0</v>
      </c>
      <c r="AA33" s="601">
        <f>IF(time=0,AL48/IF(C49=0,1,C49),IF(C33=List!$A$50,0,IF(I33="NO",0,1)*IF(J33&lt;=time_tot,((R33*(time_tot)/J33)+(IF(J33&lt;=time/2,(time/J33)/2,(time-J33)/time)*ABS(Q33-R33)*VLOOKUP(E49,List!$E$35:$F$37,2,)))+IF(Q33&gt;R33,0,(R33-Q33)*(time_tot-time)/J33),0)*(K33/100)*V19*X19))</f>
        <v>0</v>
      </c>
      <c r="AB33" s="1625">
        <f t="shared" si="8"/>
        <v>0</v>
      </c>
      <c r="AC33" s="609">
        <f>IF(time=0,AN48/IF(C49=0,1,C49),IF(C33=List!$A$50,0,IF(N33="NO",0,1)*IF(O33&lt;=time_tot,((S33*(time_tot)/O33)+(IF(O33&lt;=time/2,(time/O33)/2,(time-O33)/time)*ABS(Q33-S33)*VLOOKUP(G49,List!$E$35:$F$37,2,)))+IF(Q33&gt;S33,0,(S33-Q33)*(time_tot-time)/O33),0)*(P33/100)*V19*W19))</f>
        <v>0</v>
      </c>
      <c r="AD33" s="601">
        <f>IF(time=0,AO48/IF(C49=0,1,C49),IF(C33=List!$A$50,0,IF(N33="NO",0,1)*IF(O33&lt;=time_tot,((S33*(time_tot)/O33)+(IF(O33&lt;=time/2,(time/O33)/2,(time-O33)/time)*ABS(Q33-S33)*VLOOKUP(G49,List!$E$35:$F$37,2,)))+IF(Q33&gt;S33,0,(S33-Q33)*(time_tot-time)/O33),0)*(P33/100)*V19*X19))</f>
        <v>0</v>
      </c>
      <c r="AE33" s="608">
        <f t="shared" si="9"/>
        <v>0</v>
      </c>
      <c r="AF33" s="2470"/>
      <c r="AG33" s="2460"/>
      <c r="AH33" s="2460" t="s">
        <v>40</v>
      </c>
      <c r="AI33" s="2460">
        <f>time2</f>
        <v>0</v>
      </c>
      <c r="AJ33" s="2460"/>
      <c r="AK33" s="2460"/>
      <c r="AL33" s="2470">
        <f t="shared" si="2"/>
        <v>0</v>
      </c>
      <c r="AM33" s="2470">
        <f t="shared" si="3"/>
        <v>0</v>
      </c>
      <c r="AN33" s="2470">
        <f t="shared" si="4"/>
        <v>0</v>
      </c>
      <c r="AO33" s="2470">
        <f t="shared" si="5"/>
        <v>0</v>
      </c>
      <c r="AP33" s="2460"/>
      <c r="AQ33" s="2460"/>
      <c r="AR33" s="2460"/>
      <c r="AS33" s="2460"/>
      <c r="AT33" s="2460"/>
      <c r="AU33" s="2460"/>
      <c r="AV33" s="2460"/>
    </row>
    <row r="34" spans="2:54" s="605" customFormat="1">
      <c r="B34" s="606" t="s">
        <v>152</v>
      </c>
      <c r="C34" s="611" t="str">
        <f>F20</f>
        <v>Specific Vegetation 2</v>
      </c>
      <c r="D34" s="611"/>
      <c r="E34" s="1281" t="s">
        <v>214</v>
      </c>
      <c r="F34" s="456">
        <f>IF(E34="",0,VLOOKUP(E34,List!$C$51:$D$57,2,))</f>
        <v>0</v>
      </c>
      <c r="G34" s="1281" t="s">
        <v>214</v>
      </c>
      <c r="H34" s="747">
        <f>IF(G34="",0,VLOOKUP(G34,List!$C$51:$D$57,2,))</f>
        <v>0</v>
      </c>
      <c r="I34" s="1641" t="s">
        <v>359</v>
      </c>
      <c r="J34" s="725">
        <v>1</v>
      </c>
      <c r="K34" s="1642">
        <v>25</v>
      </c>
      <c r="L34" s="1281" t="s">
        <v>214</v>
      </c>
      <c r="M34" s="456">
        <f>IF(L34="",0,VLOOKUP(L34,List!$C$51:$D$57,2,))</f>
        <v>0</v>
      </c>
      <c r="N34" s="1641" t="s">
        <v>359</v>
      </c>
      <c r="O34" s="725">
        <v>1</v>
      </c>
      <c r="P34" s="1642">
        <v>25</v>
      </c>
      <c r="Q34" s="609">
        <f>(T20)*((100-F34)/100)</f>
        <v>0</v>
      </c>
      <c r="R34" s="601">
        <f>(T20)*((100-H34)/100)</f>
        <v>0</v>
      </c>
      <c r="S34" s="1380">
        <f>(T20)*((100-M34)/100)</f>
        <v>0</v>
      </c>
      <c r="T34" s="609">
        <f>IF(C34=List!$A$50,0,((100-F34/2)/100)*S20)</f>
        <v>0</v>
      </c>
      <c r="U34" s="601">
        <f>IF(C34=List!$A$50,0,((100-H34/2)/100)*S20)</f>
        <v>0</v>
      </c>
      <c r="V34" s="1380">
        <f>IF(C34=List!$A$50,0,((100-M34/2)/100)*S20)</f>
        <v>0</v>
      </c>
      <c r="W34" s="601">
        <f t="shared" si="6"/>
        <v>0</v>
      </c>
      <c r="X34" s="1380">
        <f t="shared" si="7"/>
        <v>0</v>
      </c>
      <c r="Y34" s="233"/>
      <c r="Z34" s="609">
        <f>IF(time=0,AK49/IF(C50=0,1,C50),IF(C34=List!$A$50,0,IF(I34="NO",0,1)*IF(J34&lt;=time_tot,((R34*(time_tot)/J34)+(IF(J34&lt;=time/2,(time/J34)/2,(time-J34)/time)*ABS(Q34-R34)*VLOOKUP(E50,List!$E$35:$F$37,2,)))+IF(Q34&gt;R34,0,(R34-Q34)*(time_tot-time)/J34),0)*(K34/100)*V20*W20))</f>
        <v>0</v>
      </c>
      <c r="AA34" s="601">
        <f>IF(time=0,AL49/IF(C50=0,1,C50),IF(C34=List!$A$50,0,IF(I34="NO",0,1)*IF(J34&lt;=time_tot,((R34*(time_tot)/J34)+(IF(J34&lt;=time/2,(time/J34)/2,(time-J34)/time)*ABS(Q34-R34)*VLOOKUP(E50,List!$E$35:$F$37,2,)))+IF(Q34&gt;R34,0,(R34-Q34)*(time_tot-time)/J34),0)*(K34/100)*V20*X20))</f>
        <v>0</v>
      </c>
      <c r="AB34" s="1625">
        <f t="shared" si="8"/>
        <v>0</v>
      </c>
      <c r="AC34" s="609">
        <f>IF(time=0,AN49/IF(C50=0,1,C50),IF(C34=List!$A$50,0,IF(N34="NO",0,1)*IF(O34&lt;=time_tot,((S34*(time_tot)/O34)+(IF(O34&lt;=time/2,(time/O34)/2,(time-O34)/time)*ABS(Q34-S34)*VLOOKUP(G50,List!$E$35:$F$37,2,)))+IF(Q34&gt;S34,0,(S34-Q34)*(time_tot-time)/O34),0)*(P34/100)*V20*W20))</f>
        <v>0</v>
      </c>
      <c r="AD34" s="601">
        <f>IF(time=0,AO49/IF(C50=0,1,C50),IF(C34=List!$A$50,0,IF(N34="NO",0,1)*IF(O34&lt;=time_tot,((S34*(time_tot)/O34)+(IF(O34&lt;=time/2,(time/O34)/2,(time-O34)/time)*ABS(Q34-S34)*VLOOKUP(G50,List!$E$35:$F$37,2,)))+IF(Q34&gt;S34,0,(S34-Q34)*(time_tot-time)/O34),0)*(P34/100)*V20*X20))</f>
        <v>0</v>
      </c>
      <c r="AE34" s="608">
        <f t="shared" si="9"/>
        <v>0</v>
      </c>
      <c r="AF34" s="2460"/>
      <c r="AG34" s="2467"/>
      <c r="AH34" s="2460" t="s">
        <v>41</v>
      </c>
      <c r="AI34" s="2460">
        <f>time</f>
        <v>0</v>
      </c>
      <c r="AJ34" s="2460"/>
      <c r="AK34" s="2460"/>
      <c r="AL34" s="2470">
        <f t="shared" si="2"/>
        <v>0</v>
      </c>
      <c r="AM34" s="2470">
        <f t="shared" si="3"/>
        <v>0</v>
      </c>
      <c r="AN34" s="2470">
        <f t="shared" si="4"/>
        <v>0</v>
      </c>
      <c r="AO34" s="2470">
        <f t="shared" si="5"/>
        <v>0</v>
      </c>
      <c r="AP34" s="2460"/>
      <c r="AQ34" s="2460"/>
      <c r="AR34" s="2460"/>
      <c r="AS34" s="2460"/>
      <c r="AT34" s="2460"/>
      <c r="AU34" s="2460"/>
      <c r="AV34" s="2460"/>
    </row>
    <row r="35" spans="2:54" s="605" customFormat="1">
      <c r="B35" s="606" t="s">
        <v>153</v>
      </c>
      <c r="C35" s="611" t="str">
        <f>F21</f>
        <v>Specific Vegetation 3</v>
      </c>
      <c r="D35" s="611"/>
      <c r="E35" s="1281" t="s">
        <v>214</v>
      </c>
      <c r="F35" s="456">
        <f>IF(E35="",0,VLOOKUP(E35,List!$C$51:$D$57,2,))</f>
        <v>0</v>
      </c>
      <c r="G35" s="1281" t="s">
        <v>214</v>
      </c>
      <c r="H35" s="747">
        <f>IF(G35="",0,VLOOKUP(G35,List!$C$51:$D$57,2,))</f>
        <v>0</v>
      </c>
      <c r="I35" s="1641" t="s">
        <v>359</v>
      </c>
      <c r="J35" s="725">
        <v>1</v>
      </c>
      <c r="K35" s="1642">
        <v>25</v>
      </c>
      <c r="L35" s="1281" t="s">
        <v>214</v>
      </c>
      <c r="M35" s="456">
        <f>IF(L35="",0,VLOOKUP(L35,List!$C$51:$D$57,2,))</f>
        <v>0</v>
      </c>
      <c r="N35" s="1641" t="s">
        <v>359</v>
      </c>
      <c r="O35" s="725">
        <v>1</v>
      </c>
      <c r="P35" s="1642">
        <v>25</v>
      </c>
      <c r="Q35" s="609">
        <f>(T21)*((100-F35)/100)</f>
        <v>0</v>
      </c>
      <c r="R35" s="601">
        <f>(T21)*((100-H35)/100)</f>
        <v>0</v>
      </c>
      <c r="S35" s="1380">
        <f>(T21)*((100-M35)/100)</f>
        <v>0</v>
      </c>
      <c r="T35" s="609">
        <f>IF(C35=List!$A$50,0,((100-F35/2)/100)*S21)</f>
        <v>0</v>
      </c>
      <c r="U35" s="601">
        <f>IF(C35=List!$A$50,0,((100-H35/2)/100)*S21)</f>
        <v>0</v>
      </c>
      <c r="V35" s="1380">
        <f>IF(C35=List!$A$50,0,((100-M35/2)/100)*S21)</f>
        <v>0</v>
      </c>
      <c r="W35" s="601">
        <f t="shared" si="6"/>
        <v>0</v>
      </c>
      <c r="X35" s="1380">
        <f t="shared" si="7"/>
        <v>0</v>
      </c>
      <c r="Y35" s="622"/>
      <c r="Z35" s="609">
        <f>IF(time=0,AK50/IF(C51=0,1,C51),IF(C35=List!$A$50,0,IF(I35="NO",0,1)*IF(J35&lt;=time_tot,((R35*(time_tot)/J35)+(IF(J35&lt;=time/2,(time/J35)/2,(time-J35)/time)*ABS(Q35-R35)*VLOOKUP(E51,List!$E$35:$F$37,2,)))+IF(Q35&gt;R35,0,(R35-Q35)*(time_tot-time)/J35),0)*(K35/100)*V21*W21))</f>
        <v>0</v>
      </c>
      <c r="AA35" s="601">
        <f>IF(time=0,AL50/IF(C51=0,1,C51),IF(C35=List!$A$50,0,IF(I35="NO",0,1)*IF(J35&lt;=time_tot,((R35*(time_tot)/J35)+(IF(J35&lt;=time/2,(time/J35)/2,(time-J35)/time)*ABS(Q35-R35)*VLOOKUP(E51,List!$E$35:$F$37,2,)))+IF(Q35&gt;R35,0,(R35-Q35)*(time_tot-time)/J35),0)*(K35/100)*V21*X21))</f>
        <v>0</v>
      </c>
      <c r="AB35" s="1625">
        <f t="shared" si="8"/>
        <v>0</v>
      </c>
      <c r="AC35" s="609">
        <f>IF(time=0,AN50/IF(C51=0,1,C51),IF(C35=List!$A$50,0,IF(N35="NO",0,1)*IF(O35&lt;=time_tot,((S35*(time_tot)/O35)+(IF(O35&lt;=time/2,(time/O35)/2,(time-O35)/time)*ABS(Q35-S35)*VLOOKUP(G51,List!$E$35:$F$37,2,)))+IF(Q35&gt;S35,0,(S35-Q35)*(time_tot-time)/O35),0)*(P35/100)*V21*W21))</f>
        <v>0</v>
      </c>
      <c r="AD35" s="601">
        <f>IF(time=0,AO50/IF(C51=0,1,C51),IF(C35=List!$A$50,0,IF(N35="NO",0,1)*IF(O35&lt;=time_tot,((S35*(time_tot)/O35)+(IF(O35&lt;=time/2,(time/O35)/2,(time-O35)/time)*ABS(Q35-S35)*VLOOKUP(G51,List!$E$35:$F$37,2,)))+IF(Q35&gt;S35,0,(S35-Q35)*(time_tot-time)/O35),0)*(P35/100)*V21*X21))</f>
        <v>0</v>
      </c>
      <c r="AE35" s="608">
        <f t="shared" si="9"/>
        <v>0</v>
      </c>
      <c r="AF35" s="2460"/>
      <c r="AG35" s="2460"/>
      <c r="AH35" s="2460"/>
      <c r="AI35" s="2460"/>
      <c r="AJ35" s="2460"/>
      <c r="AK35" s="2460"/>
      <c r="AL35" s="2470">
        <f t="shared" si="2"/>
        <v>0</v>
      </c>
      <c r="AM35" s="2470">
        <f t="shared" si="3"/>
        <v>0</v>
      </c>
      <c r="AN35" s="2470">
        <f t="shared" si="4"/>
        <v>0</v>
      </c>
      <c r="AO35" s="2470">
        <f t="shared" si="5"/>
        <v>0</v>
      </c>
      <c r="AP35" s="2460"/>
      <c r="AQ35" s="2460"/>
      <c r="AR35" s="2460"/>
      <c r="AS35" s="2460"/>
      <c r="AT35" s="2460"/>
      <c r="AU35" s="2460"/>
      <c r="AV35" s="2460"/>
    </row>
    <row r="36" spans="2:54" s="605" customFormat="1">
      <c r="B36" s="1272" t="s">
        <v>154</v>
      </c>
      <c r="C36" s="616" t="str">
        <f>F22</f>
        <v>Specific Vegetation 4</v>
      </c>
      <c r="D36" s="616"/>
      <c r="E36" s="1282" t="s">
        <v>214</v>
      </c>
      <c r="F36" s="654">
        <f>IF(E36="",0,VLOOKUP(E36,List!$C$51:$D$57,2,))</f>
        <v>0</v>
      </c>
      <c r="G36" s="1282" t="s">
        <v>214</v>
      </c>
      <c r="H36" s="274">
        <f>IF(G36="",0,VLOOKUP(G36,List!$C$51:$D$57,2,))</f>
        <v>0</v>
      </c>
      <c r="I36" s="1643" t="s">
        <v>359</v>
      </c>
      <c r="J36" s="726">
        <v>1</v>
      </c>
      <c r="K36" s="1644">
        <v>25</v>
      </c>
      <c r="L36" s="1282" t="s">
        <v>214</v>
      </c>
      <c r="M36" s="654">
        <f>IF(L36="",0,VLOOKUP(L36,List!$C$51:$D$57,2,))</f>
        <v>0</v>
      </c>
      <c r="N36" s="1643" t="s">
        <v>359</v>
      </c>
      <c r="O36" s="726">
        <v>1</v>
      </c>
      <c r="P36" s="1644">
        <v>25</v>
      </c>
      <c r="Q36" s="1292">
        <f>(T22)*((100-F36)/100)</f>
        <v>0</v>
      </c>
      <c r="R36" s="1381">
        <f>(T22)*((100-H36)/100)</f>
        <v>0</v>
      </c>
      <c r="S36" s="1382">
        <f>(T22)*((100-M36)/100)</f>
        <v>0</v>
      </c>
      <c r="T36" s="1292">
        <f>IF(C36=List!$A$50,0,((100-F36/2)/100)*S22)</f>
        <v>0</v>
      </c>
      <c r="U36" s="1381">
        <f>IF(C36=List!$A$50,0,((100-H36/2)/100)*S22)</f>
        <v>0</v>
      </c>
      <c r="V36" s="1382">
        <f>IF(C36=List!$A$50,0,((100-M36/2)/100)*S22)</f>
        <v>0</v>
      </c>
      <c r="W36" s="1381">
        <f t="shared" si="6"/>
        <v>0</v>
      </c>
      <c r="X36" s="1382">
        <f t="shared" si="7"/>
        <v>0</v>
      </c>
      <c r="Y36" s="233"/>
      <c r="Z36" s="1292">
        <f>IF(time=0,AK51/IF(C52=0,1,C52),IF(C36=List!$A$50,0,IF(I36="NO",0,1)*IF(J36&lt;=time_tot,((R36*(time_tot)/J36)+(IF(J36&lt;=time/2,(time/J36)/2,(time-J36)/time)*ABS(Q36-R36)*VLOOKUP(E52,List!$E$35:$F$37,2,)))+IF(Q36&gt;R36,0,(R36-Q36)*(time_tot-time)/J36),0)*(K36/100)*V22*W22))</f>
        <v>0</v>
      </c>
      <c r="AA36" s="1381">
        <f>IF(time=0,AL51/IF(C52=0,1,C52),IF(C36=List!$A$50,0,IF(I36="NO",0,1)*IF(J36&lt;=time_tot,((R36*(time_tot)/J36)+(IF(J36&lt;=time/2,(time/J36)/2,(time-J36)/time)*ABS(Q36-R36)*VLOOKUP(E52,List!$E$35:$F$37,2,)))+IF(Q36&gt;R36,0,(R36-Q36)*(time_tot-time)/J36),0)*(K36/100)*V22*X22))</f>
        <v>0</v>
      </c>
      <c r="AB36" s="1655">
        <f t="shared" si="8"/>
        <v>0</v>
      </c>
      <c r="AC36" s="1292">
        <f>IF(time=0,AN51/IF(C52=0,1,C52),IF(C36=List!$A$50,0,IF(N36="NO",0,1)*IF(O36&lt;=time_tot,((S36*(time_tot)/O36)+(IF(O36&lt;=time/2,(time/O36)/2,(time-O36)/time)*ABS(Q36-S36)*VLOOKUP(G52,List!$E$35:$F$37,2,)))+IF(Q36&gt;S36,0,(S36-Q36)*(time_tot-time)/O36),0)*(P36/100)*V22*W22))</f>
        <v>0</v>
      </c>
      <c r="AD36" s="1381">
        <f>IF(time=0,AO51/IF(C52=0,1,C52),IF(C36=List!$A$50,0,IF(N36="NO",0,1)*IF(O36&lt;=time_tot,((S36*(time_tot)/O36)+(IF(O36&lt;=time/2,(time/O36)/2,(time-O36)/time)*ABS(Q36-S36)*VLOOKUP(G52,List!$E$35:$F$37,2,)))+IF(Q36&gt;S36,0,(S36-Q36)*(time_tot-time)/O36),0)*(P36/100)*V22*X22))</f>
        <v>0</v>
      </c>
      <c r="AE36" s="1656">
        <f t="shared" si="9"/>
        <v>0</v>
      </c>
      <c r="AF36" s="2460"/>
      <c r="AG36" s="2460"/>
      <c r="AH36" s="2460"/>
      <c r="AI36" s="2460"/>
      <c r="AJ36" s="2460"/>
      <c r="AK36" s="2460"/>
      <c r="AL36" s="2470">
        <f t="shared" si="2"/>
        <v>0</v>
      </c>
      <c r="AM36" s="2470">
        <f t="shared" si="3"/>
        <v>0</v>
      </c>
      <c r="AN36" s="2470">
        <f t="shared" si="4"/>
        <v>0</v>
      </c>
      <c r="AO36" s="2470">
        <f t="shared" si="5"/>
        <v>0</v>
      </c>
      <c r="AP36" s="2460"/>
      <c r="AQ36" s="2460"/>
      <c r="AR36" s="2460"/>
      <c r="AS36" s="2460"/>
      <c r="AT36" s="2460"/>
      <c r="AU36" s="2460"/>
      <c r="AV36" s="2460"/>
    </row>
    <row r="37" spans="2:54" s="605" customFormat="1">
      <c r="B37" s="620"/>
      <c r="C37" s="621"/>
      <c r="D37" s="620"/>
      <c r="E37" s="620"/>
      <c r="F37" s="620"/>
      <c r="H37" s="622"/>
      <c r="I37" s="622"/>
      <c r="T37" s="622"/>
      <c r="U37" s="623"/>
      <c r="V37" s="623"/>
      <c r="W37" s="1294" t="s">
        <v>267</v>
      </c>
      <c r="X37" s="624"/>
      <c r="Y37" s="622"/>
      <c r="Z37" s="623"/>
      <c r="AA37" s="748"/>
      <c r="AB37" s="748"/>
      <c r="AC37" s="748"/>
      <c r="AD37" s="748"/>
      <c r="AE37" s="1089"/>
      <c r="AF37" s="2460"/>
      <c r="AG37" s="2460"/>
      <c r="AH37" s="2460"/>
      <c r="AI37" s="2460"/>
      <c r="AJ37" s="2460"/>
      <c r="AK37" s="2460" t="s">
        <v>182</v>
      </c>
      <c r="AL37" s="2470">
        <f>SUM(AL27:AL36)</f>
        <v>0</v>
      </c>
      <c r="AM37" s="2470">
        <f>SUM(AM27:AM36)</f>
        <v>0</v>
      </c>
      <c r="AN37" s="2470">
        <f>SUM(AN27:AN36)</f>
        <v>0</v>
      </c>
      <c r="AO37" s="2470">
        <f>SUM(AO27:AO36)</f>
        <v>0</v>
      </c>
      <c r="AP37" s="2460"/>
      <c r="AQ37" s="2460"/>
      <c r="AR37" s="2460"/>
      <c r="AS37" s="2460"/>
      <c r="AT37" s="2460"/>
      <c r="AU37" s="2460"/>
      <c r="AV37" s="2460"/>
    </row>
    <row r="38" spans="2:54">
      <c r="Y38" s="233"/>
      <c r="Z38" s="234"/>
    </row>
    <row r="39" spans="2:54">
      <c r="B39" s="625" t="s">
        <v>1017</v>
      </c>
      <c r="C39" s="626"/>
      <c r="D39" s="626"/>
      <c r="E39" s="626"/>
      <c r="F39" s="627"/>
      <c r="G39" s="626"/>
      <c r="H39" s="627"/>
      <c r="I39" s="627"/>
      <c r="J39" s="627"/>
      <c r="K39" s="626"/>
      <c r="L39" s="627"/>
      <c r="M39" s="626"/>
      <c r="N39" s="626"/>
      <c r="O39" s="628"/>
      <c r="P39" s="628"/>
      <c r="AH39" s="2467" t="s">
        <v>57</v>
      </c>
      <c r="AK39" s="2460" t="s">
        <v>183</v>
      </c>
      <c r="AW39" s="2460"/>
      <c r="AX39" s="2460"/>
    </row>
    <row r="40" spans="2:54" ht="13.8" thickBot="1">
      <c r="B40" s="269" t="s">
        <v>195</v>
      </c>
      <c r="C40" s="1295" t="s">
        <v>172</v>
      </c>
      <c r="D40" s="1295"/>
      <c r="E40" s="1270"/>
      <c r="F40" s="1270"/>
      <c r="G40" s="1271"/>
      <c r="H40" s="3173" t="s">
        <v>193</v>
      </c>
      <c r="I40" s="3174"/>
      <c r="J40" s="560" t="s">
        <v>559</v>
      </c>
      <c r="K40" s="562"/>
      <c r="L40" s="3173" t="s">
        <v>555</v>
      </c>
      <c r="M40" s="3174"/>
      <c r="N40" s="3104" t="s">
        <v>687</v>
      </c>
      <c r="O40" s="3105"/>
      <c r="P40" s="556" t="s">
        <v>348</v>
      </c>
      <c r="AH40" s="2467" t="s">
        <v>268</v>
      </c>
      <c r="AK40" s="2460" t="s">
        <v>690</v>
      </c>
      <c r="AN40" s="2460" t="s">
        <v>691</v>
      </c>
      <c r="AR40" s="2467"/>
      <c r="AS40" s="2467" t="s">
        <v>1598</v>
      </c>
      <c r="AV40" s="2467"/>
      <c r="AW40" s="2467"/>
      <c r="AX40" s="2467"/>
    </row>
    <row r="41" spans="2:54">
      <c r="B41" s="271" t="s">
        <v>667</v>
      </c>
      <c r="C41" s="1299" t="s">
        <v>345</v>
      </c>
      <c r="D41" s="632" t="s">
        <v>689</v>
      </c>
      <c r="E41" s="633"/>
      <c r="F41" s="634" t="s">
        <v>688</v>
      </c>
      <c r="G41" s="635"/>
      <c r="H41" s="636" t="s">
        <v>690</v>
      </c>
      <c r="I41" s="637" t="s">
        <v>691</v>
      </c>
      <c r="J41" s="636" t="s">
        <v>690</v>
      </c>
      <c r="K41" s="637" t="s">
        <v>691</v>
      </c>
      <c r="L41" s="636" t="s">
        <v>690</v>
      </c>
      <c r="M41" s="637" t="s">
        <v>691</v>
      </c>
      <c r="N41" s="636" t="s">
        <v>690</v>
      </c>
      <c r="O41" s="637" t="s">
        <v>691</v>
      </c>
      <c r="P41" s="586"/>
      <c r="AA41" s="2469"/>
      <c r="AB41" s="2469" t="s">
        <v>2570</v>
      </c>
      <c r="AC41" s="748" t="s">
        <v>2569</v>
      </c>
      <c r="AH41" s="2460" t="s">
        <v>56</v>
      </c>
      <c r="AI41" s="2460" t="s">
        <v>691</v>
      </c>
      <c r="AK41" s="2467" t="s">
        <v>184</v>
      </c>
      <c r="AL41" s="2467" t="s">
        <v>185</v>
      </c>
      <c r="AM41" s="2471" t="s">
        <v>186</v>
      </c>
      <c r="AP41" s="2471" t="s">
        <v>186</v>
      </c>
      <c r="AR41" s="2467"/>
      <c r="AS41" s="2467" t="s">
        <v>352</v>
      </c>
      <c r="AT41" s="2460" t="s">
        <v>56</v>
      </c>
      <c r="AU41" s="2460" t="s">
        <v>279</v>
      </c>
      <c r="AV41" s="2467"/>
      <c r="AW41" s="2467"/>
      <c r="AX41" s="2467"/>
      <c r="BA41" s="2460" t="s">
        <v>1591</v>
      </c>
      <c r="BB41" s="2460"/>
    </row>
    <row r="42" spans="2:54" ht="13.8" thickBot="1">
      <c r="B42" s="271"/>
      <c r="C42" s="1299" t="s">
        <v>352</v>
      </c>
      <c r="D42" s="639" t="s">
        <v>346</v>
      </c>
      <c r="E42" s="640" t="s">
        <v>353</v>
      </c>
      <c r="F42" s="641" t="s">
        <v>346</v>
      </c>
      <c r="G42" s="642" t="s">
        <v>353</v>
      </c>
      <c r="H42" s="645" t="s">
        <v>556</v>
      </c>
      <c r="I42" s="646" t="s">
        <v>556</v>
      </c>
      <c r="J42" s="645" t="s">
        <v>556</v>
      </c>
      <c r="K42" s="646" t="s">
        <v>556</v>
      </c>
      <c r="L42" s="645" t="s">
        <v>556</v>
      </c>
      <c r="M42" s="646" t="s">
        <v>556</v>
      </c>
      <c r="N42" s="645" t="s">
        <v>556</v>
      </c>
      <c r="O42" s="646" t="s">
        <v>556</v>
      </c>
      <c r="P42" s="599" t="s">
        <v>556</v>
      </c>
      <c r="AA42" s="2469" t="s">
        <v>25</v>
      </c>
      <c r="AB42" s="2469" t="s">
        <v>531</v>
      </c>
      <c r="AH42" s="2470">
        <f>-$W27*(IF(E43="immediate",IF(D43&gt;0,D43*MIN(20,time),0),D43*IF(time&gt;time+20,20,IF(time&lt;20,(time*VLOOKUP(E43,List!$E$35:$F$37,2,))+(time-time),((MIN(20,time)*VLOOKUP(E43,List!$E$35:$F$37,2,))+(time-MIN(20,time))-IF(E43="exponential",time-20+0.217*time*(EXP(4.606*(20-time)/time)-1),((time-20)^2)*(0.5/time)))))))</f>
        <v>0</v>
      </c>
      <c r="AI42" s="2470">
        <f>-$X27*(IF(G43="immediate",IF(F43&gt;0,F43*MIN(20,time),0),F43*IF(time&gt;time+20,20,IF(time&lt;20,(time*VLOOKUP(G43,List!$E$35:$F$37,2,))+(time-time),((MIN(20,time)*VLOOKUP(G43,List!$E$35:$F$37,2,))+(time-MIN(20,time))-IF(G43="exponential",time-20+0.217*time*(EXP(4.606*(20-time)/time)-1),((time-20)^2)*(0.5/time)))))))</f>
        <v>0</v>
      </c>
      <c r="AK42" s="2470">
        <f>IF(C27=List!$A$50,0,IF(I27="NO",0,1)*IF(J27&lt;time_tot,INT(time_tot/J27)-INT(time/J27),0)*MAX(Q27,R27)*(K27/100)*VLOOKUP($C27,$C$10:$X$17,20,)*VLOOKUP($C27,$C$10:$X$17,21,)*C43)</f>
        <v>0</v>
      </c>
      <c r="AL42" s="2470">
        <f>IF(C27=List!$A$50,0,IF(I27="NO",0,1)*IF(J27&lt;time_tot,INT(time_tot/J27)-INT(time/J27),0)*MAX(Q27,R27)*(K27/100)*VLOOKUP($C27,$C$10:$X$17,20,)*VLOOKUP($C27,$C$10:$X$17,22,)*C43)</f>
        <v>0</v>
      </c>
      <c r="AM42" s="2472">
        <f t="shared" ref="AM42:AM51" si="10">(AK42*methane+AL42*Nitrous)/1000</f>
        <v>0</v>
      </c>
      <c r="AN42" s="2469">
        <f>IF(C27=List!$A$50,0,IF(I27="NO",0,1)*IF(C27=List!$A$50,0,1)*IF(N27="NO",0,1)*IF(O27&lt;time_tot,INT(time_tot/O27)-INT(time/O27),0)*MAX(Q27,S27)*(P27/100)*VLOOKUP($C27,$C$10:$X$17,20,)*VLOOKUP($C27,$C$10:$X$17,21,)*C43)</f>
        <v>0</v>
      </c>
      <c r="AO42" s="2469">
        <f>IF(C27=List!$A$50,0,IF(I27="NO",0,1)*IF(C27=List!$A$50,0,1)*IF(N27="NO",0,1)*IF(O27&lt;time_tot,INT(time_tot/O27)-INT(time/O27),0)*MAX(Q27,S27)*(P27/100)*VLOOKUP($C27,$C$10:$X$17,20,)*VLOOKUP($C27,$C$10:$X$17,22,)*C43)</f>
        <v>0</v>
      </c>
      <c r="AP42" s="2472">
        <f t="shared" ref="AP42:AP51" si="11">(AN42*methane+AO42*Nitrous)/1000</f>
        <v>0</v>
      </c>
      <c r="AR42" s="2467"/>
      <c r="AS42" s="2467">
        <f>C43*IF(F27&gt;0,1,0)</f>
        <v>0</v>
      </c>
      <c r="AT42" s="2467">
        <f>D43*IF(H27&gt;0,1,0)</f>
        <v>0</v>
      </c>
      <c r="AU42" s="2467">
        <f>F43*IF(M27&gt;0,1,0)</f>
        <v>0</v>
      </c>
      <c r="AV42" s="2467"/>
      <c r="AW42" s="2467"/>
      <c r="AX42" s="2467"/>
      <c r="BA42" s="2460" t="s">
        <v>56</v>
      </c>
      <c r="BB42" s="2460" t="s">
        <v>279</v>
      </c>
    </row>
    <row r="43" spans="2:54" ht="13.8" thickBot="1">
      <c r="B43" s="271" t="str">
        <f t="shared" ref="B43:B52" si="12">B27</f>
        <v>Veget.1</v>
      </c>
      <c r="C43" s="2048">
        <f>'5. Degradation'!T13</f>
        <v>0</v>
      </c>
      <c r="D43" s="1320">
        <f>C43</f>
        <v>0</v>
      </c>
      <c r="E43" s="2310" t="str">
        <f>VLOOKUP('5. Degradation'!V13,List!$D$35:$E$37,2,)</f>
        <v>Linear</v>
      </c>
      <c r="F43" s="1321">
        <f>C43</f>
        <v>0</v>
      </c>
      <c r="G43" s="2310" t="str">
        <f>VLOOKUP('5. Degradation'!X13,List!$D$35:$E$37,2,)</f>
        <v>Linear</v>
      </c>
      <c r="H43" s="1390">
        <f t="shared" ref="H43:H52" si="13">D43*($Q27-R27)*44/12</f>
        <v>0</v>
      </c>
      <c r="I43" s="1506">
        <f t="shared" ref="I43:I52" si="14">$F43*($Q27-S27)*44/12</f>
        <v>0</v>
      </c>
      <c r="J43" s="1390">
        <f>$C43*AB27</f>
        <v>0</v>
      </c>
      <c r="K43" s="1391">
        <f t="shared" ref="K43:K52" si="15">$C43*AE27</f>
        <v>0</v>
      </c>
      <c r="L43" s="1475">
        <f>-$W27*(IF(E43="immediate",IF(D43&gt;0,D43*MIN(20,time_tot),0),D43*IF(time_tot&gt;time+20,20,IF(time_tot&lt;20,(time*VLOOKUP(E43,List!$E$35:$F$37,2,))+(time_tot-time),((MIN(20,time)*VLOOKUP(E43,List!$E$35:$F$37,2,))+(time_tot-MIN(20,time))-IF(E43="exponential",time_tot-20+0.217*time*(EXP(4.606*(20-time_tot)/time)-1),((time_tot-20)^2)*(0.5/time)))))))</f>
        <v>0</v>
      </c>
      <c r="M43" s="1497">
        <f>-$X27*(IF(G43="immediate",IF(F43&gt;0,F43*MIN(20,time_tot),0),F43*IF(time_tot&gt;time+20,20,IF(time_tot&lt;20,(time*VLOOKUP(G43,List!$E$35:$F$37,2,))+(time_tot-time),((MIN(20,time)*VLOOKUP(G43,List!$E$35:$F$37,2,))+(time_tot-MIN(20,time))-IF(G43="exponential",time_tot-20+0.217*time*(EXP(4.606*(20-time_tot)/time)-1),((time_tot-20)^2)*(0.5/time)))))))</f>
        <v>0</v>
      </c>
      <c r="N43" s="1475">
        <f>H43+L43+J43</f>
        <v>0</v>
      </c>
      <c r="O43" s="1476">
        <f>I43+M43+K43</f>
        <v>0</v>
      </c>
      <c r="P43" s="1652">
        <f t="shared" ref="P43:P52" si="16">O43-N43</f>
        <v>0</v>
      </c>
      <c r="AA43" s="2469" t="s">
        <v>26</v>
      </c>
      <c r="AB43" s="2469">
        <f>SUM(H43:H52)</f>
        <v>0</v>
      </c>
      <c r="AC43" s="2844">
        <f>SUM(I43:I52)</f>
        <v>0</v>
      </c>
      <c r="AH43" s="2470">
        <f>-$W28*(IF(E44="immediate",IF(D44&gt;0,D44*MIN(20,time),0),D44*IF(time&gt;time+20,20,IF(time&lt;20,(time*VLOOKUP(E44,List!$E$35:$F$37,2,))+(time-time),((MIN(20,time)*VLOOKUP(E44,List!$E$35:$F$37,2,))+(time-MIN(20,time))-IF(E44="exponential",time-20+0.217*time*(EXP(4.606*(20-time)/time)-1),((time-20)^2)*(0.5/time)))))))</f>
        <v>0</v>
      </c>
      <c r="AI43" s="2470">
        <f>-$X28*(IF(G44="immediate",IF(F44&gt;0,F44*MIN(20,time),0),F44*IF(time&gt;time+20,20,IF(time&lt;20,(time*VLOOKUP(G44,List!$E$35:$F$37,2,))+(time-time),((MIN(20,time)*VLOOKUP(G44,List!$E$35:$F$37,2,))+(time-MIN(20,time))-IF(G44="exponential",time-20+0.217*time*(EXP(4.606*(20-time)/time)-1),((time-20)^2)*(0.5/time)))))))</f>
        <v>0</v>
      </c>
      <c r="AK43" s="2470">
        <f>IF(C28=List!$A$50,0,IF(I28="NO",0,1)*IF(J28&lt;time_tot,INT(time_tot/J28)-INT(time/J28),0)*MAX(Q28,R28)*(K28/100)*VLOOKUP($C28,$C$10:$X$17,20,)*VLOOKUP($C28,$C$10:$X$17,21,)*C44)</f>
        <v>0</v>
      </c>
      <c r="AL43" s="2470">
        <f>IF(C28=List!$A$50,0,IF(I28="NO",0,1)*IF(J28&lt;time_tot,INT(time_tot/J28)-INT(time/J28),0)*MAX(Q28,R28)*(K28/100)*VLOOKUP($C28,$C$10:$X$17,20,)*VLOOKUP($C28,$C$10:$X$17,22,)*C44)</f>
        <v>0</v>
      </c>
      <c r="AM43" s="2472">
        <f t="shared" si="10"/>
        <v>0</v>
      </c>
      <c r="AN43" s="2469">
        <f>IF(C28=List!$A$50,0,IF(I28="NO",0,1)*IF(C28=List!$A$50,0,1)*IF(N28="NO",0,1)*IF(O28&lt;time_tot,INT(time_tot/O28)-INT(time/O28),0)*MAX(Q28,S28)*(P28/100)*VLOOKUP($C28,$C$10:$X$17,20,)*VLOOKUP($C28,$C$10:$X$17,21,)*C44)</f>
        <v>0</v>
      </c>
      <c r="AO43" s="2469">
        <f>IF(C28=List!$A$50,0,IF(I28="NO",0,1)*IF(C28=List!$A$50,0,1)*IF(N28="NO",0,1)*IF(O28&lt;time_tot,INT(time_tot/O28)-INT(time/O28),0)*MAX(Q28,S28)*(P28/100)*VLOOKUP($C28,$C$10:$X$17,20,)*VLOOKUP($C28,$C$10:$X$17,22,)*C44)</f>
        <v>0</v>
      </c>
      <c r="AP43" s="2472">
        <f t="shared" si="11"/>
        <v>0</v>
      </c>
      <c r="AR43" s="2467"/>
      <c r="AS43" s="2467">
        <f t="shared" ref="AS43:AS51" si="17">C44*IF(F28&gt;0,1,0)</f>
        <v>0</v>
      </c>
      <c r="AT43" s="2467">
        <f t="shared" ref="AT43:AT51" si="18">D44*IF(H28&gt;0,1,0)</f>
        <v>0</v>
      </c>
      <c r="AU43" s="2467">
        <f t="shared" ref="AU43:AU51" si="19">F44*IF(M28&gt;0,1,0)</f>
        <v>0</v>
      </c>
      <c r="AV43" s="2467"/>
      <c r="AW43" s="2467"/>
      <c r="AX43" s="2467"/>
      <c r="BA43" s="2460">
        <f t="shared" ref="BA43:BA52" si="20">IF(AB27&gt;0,J43/AB27,0)*time_tot/J27</f>
        <v>0</v>
      </c>
      <c r="BB43" s="2460">
        <f t="shared" ref="BB43:BB52" si="21">IF(AE27&gt;0,K43/AE27,0)*time_tot/O27</f>
        <v>0</v>
      </c>
    </row>
    <row r="44" spans="2:54" ht="13.8" thickBot="1">
      <c r="B44" s="271" t="str">
        <f t="shared" si="12"/>
        <v>Veget.2</v>
      </c>
      <c r="C44" s="2048">
        <f>'5. Degradation'!T14</f>
        <v>0</v>
      </c>
      <c r="D44" s="1323">
        <f>C44</f>
        <v>0</v>
      </c>
      <c r="E44" s="2310" t="str">
        <f>VLOOKUP('5. Degradation'!V14,List!$D$35:$E$37,2,)</f>
        <v>Linear</v>
      </c>
      <c r="F44" s="1324">
        <f>C44</f>
        <v>0</v>
      </c>
      <c r="G44" s="2310" t="str">
        <f>VLOOKUP('5. Degradation'!X14,List!$D$35:$E$37,2,)</f>
        <v>Linear</v>
      </c>
      <c r="H44" s="1468">
        <f t="shared" si="13"/>
        <v>0</v>
      </c>
      <c r="I44" s="1507">
        <f t="shared" si="14"/>
        <v>0</v>
      </c>
      <c r="J44" s="1468">
        <f t="shared" ref="J44:J52" si="22">$C44*AB28</f>
        <v>0</v>
      </c>
      <c r="K44" s="1469">
        <f t="shared" si="15"/>
        <v>0</v>
      </c>
      <c r="L44" s="1477">
        <f>-$W28*(IF(E44="immediate",IF(D44&gt;0,D44*MIN(20,time_tot),0),D44*IF(time_tot&gt;time+20,20,IF(time_tot&lt;20,(time*VLOOKUP(E44,List!$E$35:$F$37,2,))+(time_tot-time),((MIN(20,time)*VLOOKUP(E44,List!$E$35:$F$37,2,))+(time_tot-MIN(20,time))-IF(E44="exponential",time_tot-20+0.217*time*(EXP(4.606*(20-time_tot)/time)-1),((time_tot-20)^2)*(0.5/time)))))))</f>
        <v>0</v>
      </c>
      <c r="M44" s="1482">
        <f>-$X28*(IF(G44="immediate",IF(F44&gt;0,F44*MIN(20,time_tot),0),F44*IF(time_tot&gt;time+20,20,IF(time_tot&lt;20,(time*VLOOKUP(G44,List!$E$35:$F$37,2,))+(time_tot-time),((MIN(20,time)*VLOOKUP(G44,List!$E$35:$F$37,2,))+(time_tot-MIN(20,time))-IF(G44="exponential",time_tot-20+0.217*time*(EXP(4.606*(20-time_tot)/time)-1),((time_tot-20)^2)*(0.5/time)))))))</f>
        <v>0</v>
      </c>
      <c r="N44" s="1477">
        <f t="shared" ref="N44:N52" si="23">H44+L44+J44</f>
        <v>0</v>
      </c>
      <c r="O44" s="1478">
        <f t="shared" ref="O44:O52" si="24">I44+M44+K44</f>
        <v>0</v>
      </c>
      <c r="P44" s="1653">
        <f t="shared" si="16"/>
        <v>0</v>
      </c>
      <c r="AA44" s="2469" t="s">
        <v>27</v>
      </c>
      <c r="AB44" s="2469">
        <f>SUM(L43:L52)</f>
        <v>0</v>
      </c>
      <c r="AC44" s="2844">
        <f>SUM(M43:M52)</f>
        <v>0</v>
      </c>
      <c r="AH44" s="2470">
        <f>-$W29*(IF(E45="immediate",IF(D45&gt;0,D45*MIN(20,time),0),D45*IF(time&gt;time+20,20,IF(time&lt;20,(time*VLOOKUP(E45,List!$E$35:$F$37,2,))+(time-time),((MIN(20,time)*VLOOKUP(E45,List!$E$35:$F$37,2,))+(time-MIN(20,time))-IF(E45="exponential",time-20+0.217*time*(EXP(4.606*(20-time)/time)-1),((time-20)^2)*(0.5/time)))))))</f>
        <v>0</v>
      </c>
      <c r="AI44" s="2470">
        <f>-$X29*(IF(G45="immediate",IF(F45&gt;0,F45*MIN(20,time),0),F45*IF(time&gt;time+20,20,IF(time&lt;20,(time*VLOOKUP(G45,List!$E$35:$F$37,2,))+(time-time),((MIN(20,time)*VLOOKUP(G45,List!$E$35:$F$37,2,))+(time-MIN(20,time))-IF(G45="exponential",time-20+0.217*time*(EXP(4.606*(20-time)/time)-1),((time-20)^2)*(0.5/time)))))))</f>
        <v>0</v>
      </c>
      <c r="AK44" s="2470">
        <f>IF(C29=List!$A$50,0,IF(I29="NO",0,1)*IF(J29&lt;time_tot,INT(time_tot/J29)-INT(time/J29),0)*MAX(Q29,R29)*(K29/100)*VLOOKUP($C29,$C$10:$X$17,20,)*VLOOKUP($C29,$C$10:$X$17,21,)*C45)</f>
        <v>0</v>
      </c>
      <c r="AL44" s="2470">
        <f>IF(C29=List!$A$50,0,IF(I29="NO",0,1)*IF(J29&lt;time_tot,INT(time_tot/J29)-INT(time/J29),0)*MAX(Q29,R29)*(K29/100)*VLOOKUP($C29,$C$10:$X$17,20,)*VLOOKUP($C29,$C$10:$X$17,22,)*C45)</f>
        <v>0</v>
      </c>
      <c r="AM44" s="2472">
        <f t="shared" si="10"/>
        <v>0</v>
      </c>
      <c r="AN44" s="2469">
        <f>IF(C29=List!$A$50,0,IF(I29="NO",0,1)*IF(C29=List!$A$50,0,1)*IF(N29="NO",0,1)*IF(O29&lt;time_tot,INT(time_tot/O29)-INT(time/O29),0)*MAX(Q29,S29)*(P29/100)*VLOOKUP($C29,$C$10:$X$17,20,)*VLOOKUP($C29,$C$10:$X$17,21,)*C45)</f>
        <v>0</v>
      </c>
      <c r="AO44" s="2469">
        <f>IF(C29=List!$A$50,0,IF(I29="NO",0,1)*IF(C29=List!$A$50,0,1)*IF(N29="NO",0,1)*IF(O29&lt;time_tot,INT(time_tot/O29)-INT(time/O29),0)*MAX(Q29,S29)*(P29/100)*VLOOKUP($C29,$C$10:$X$17,20,)*VLOOKUP($C29,$C$10:$X$17,22,)*C45)</f>
        <v>0</v>
      </c>
      <c r="AP44" s="2472">
        <f t="shared" si="11"/>
        <v>0</v>
      </c>
      <c r="AR44" s="2467"/>
      <c r="AS44" s="2467">
        <f t="shared" si="17"/>
        <v>0</v>
      </c>
      <c r="AT44" s="2467">
        <f t="shared" si="18"/>
        <v>0</v>
      </c>
      <c r="AU44" s="2467">
        <f t="shared" si="19"/>
        <v>0</v>
      </c>
      <c r="AV44" s="2467"/>
      <c r="AW44" s="2467"/>
      <c r="AX44" s="2467"/>
      <c r="BA44" s="2460">
        <f t="shared" si="20"/>
        <v>0</v>
      </c>
      <c r="BB44" s="2460">
        <f t="shared" si="21"/>
        <v>0</v>
      </c>
    </row>
    <row r="45" spans="2:54" ht="13.8" thickBot="1">
      <c r="B45" s="271" t="str">
        <f t="shared" si="12"/>
        <v>Veget.3</v>
      </c>
      <c r="C45" s="2048">
        <f>'5. Degradation'!T15</f>
        <v>0</v>
      </c>
      <c r="D45" s="1323">
        <f t="shared" ref="D45:D51" si="25">C45</f>
        <v>0</v>
      </c>
      <c r="E45" s="2310" t="str">
        <f>VLOOKUP('5. Degradation'!V15,List!$D$35:$E$37,2,)</f>
        <v>Linear</v>
      </c>
      <c r="F45" s="1324">
        <f t="shared" ref="F45:F52" si="26">C45</f>
        <v>0</v>
      </c>
      <c r="G45" s="2310" t="str">
        <f>VLOOKUP('5. Degradation'!X15,List!$D$35:$E$37,2,)</f>
        <v>Linear</v>
      </c>
      <c r="H45" s="1468">
        <f t="shared" si="13"/>
        <v>0</v>
      </c>
      <c r="I45" s="1507">
        <f t="shared" si="14"/>
        <v>0</v>
      </c>
      <c r="J45" s="1468">
        <f t="shared" si="22"/>
        <v>0</v>
      </c>
      <c r="K45" s="1469">
        <f t="shared" si="15"/>
        <v>0</v>
      </c>
      <c r="L45" s="1477">
        <f>-$W29*(IF(E45="immediate",IF(D45&gt;0,D45*MIN(20,time_tot),0),D45*IF(time_tot&gt;time+20,20,IF(time_tot&lt;20,(time*VLOOKUP(E45,List!$E$35:$F$37,2,))+(time_tot-time),((MIN(20,time)*VLOOKUP(E45,List!$E$35:$F$37,2,))+(time_tot-MIN(20,time))-IF(E45="exponential",time_tot-20+0.217*time*(EXP(4.606*(20-time_tot)/time)-1),((time_tot-20)^2)*(0.5/time)))))))</f>
        <v>0</v>
      </c>
      <c r="M45" s="1482">
        <f>-$X29*(IF(G45="immediate",IF(F45&gt;0,F45*MIN(20,time_tot),0),F45*IF(time_tot&gt;time+20,20,IF(time_tot&lt;20,(time*VLOOKUP(G45,List!$E$35:$F$37,2,))+(time_tot-time),((MIN(20,time)*VLOOKUP(G45,List!$E$35:$F$37,2,))+(time_tot-MIN(20,time))-IF(G45="exponential",time_tot-20+0.217*time*(EXP(4.606*(20-time_tot)/time)-1),((time_tot-20)^2)*(0.5/time)))))))</f>
        <v>0</v>
      </c>
      <c r="N45" s="1477">
        <f t="shared" si="23"/>
        <v>0</v>
      </c>
      <c r="O45" s="1478">
        <f t="shared" si="24"/>
        <v>0</v>
      </c>
      <c r="P45" s="1653">
        <f t="shared" si="16"/>
        <v>0</v>
      </c>
      <c r="AA45" s="2469" t="s">
        <v>178</v>
      </c>
      <c r="AB45" s="2469">
        <f>AM37</f>
        <v>0</v>
      </c>
      <c r="AC45" s="2844">
        <f>AO37</f>
        <v>0</v>
      </c>
      <c r="AH45" s="2470">
        <f>-$W30*(IF(E46="immediate",IF(D46&gt;0,D46*MIN(20,time),0),D46*IF(time&gt;time+20,20,IF(time&lt;20,(time*VLOOKUP(E46,List!$E$35:$F$37,2,))+(time-time),((MIN(20,time)*VLOOKUP(E46,List!$E$35:$F$37,2,))+(time-MIN(20,time))-IF(E46="exponential",time-20+0.217*time*(EXP(4.606*(20-time)/time)-1),((time-20)^2)*(0.5/time)))))))</f>
        <v>0</v>
      </c>
      <c r="AI45" s="2470">
        <f>-$X30*(IF(G46="immediate",IF(F46&gt;0,F46*MIN(20,time),0),F46*IF(time&gt;time+20,20,IF(time&lt;20,(time*VLOOKUP(G46,List!$E$35:$F$37,2,))+(time-time),((MIN(20,time)*VLOOKUP(G46,List!$E$35:$F$37,2,))+(time-MIN(20,time))-IF(G46="exponential",time-20+0.217*time*(EXP(4.606*(20-time)/time)-1),((time-20)^2)*(0.5/time)))))))</f>
        <v>0</v>
      </c>
      <c r="AK45" s="2470">
        <f>IF(C30=List!$A$50,0,IF(I30="NO",0,1)*IF(J30&lt;time_tot,INT(time_tot/J30)-INT(time/J30),0)*MAX(Q30,R30)*(K30/100)*VLOOKUP($C30,$C$10:$X$17,20,)*VLOOKUP($C30,$C$10:$X$17,21,)*C46)</f>
        <v>0</v>
      </c>
      <c r="AL45" s="2470">
        <f>IF(C30=List!$A$50,0,IF(I30="NO",0,1)*IF(J30&lt;time_tot,INT(time_tot/J30)-INT(time/J30),0)*MAX(Q30,R30)*(K30/100)*VLOOKUP($C30,$C$10:$X$17,20,)*VLOOKUP($C30,$C$10:$X$17,22,)*C46)</f>
        <v>0</v>
      </c>
      <c r="AM45" s="2472">
        <f t="shared" si="10"/>
        <v>0</v>
      </c>
      <c r="AN45" s="2469">
        <f>IF(C30=List!$A$50,0,IF(I30="NO",0,1)*IF(C30=List!$A$50,0,1)*IF(N30="NO",0,1)*IF(O30&lt;time_tot,INT(time_tot/O30)-INT(time/O30),0)*MAX(Q30,S30)*(P30/100)*VLOOKUP($C30,$C$10:$X$17,20,)*VLOOKUP($C30,$C$10:$X$17,21,)*C46)</f>
        <v>0</v>
      </c>
      <c r="AO45" s="2469">
        <f>IF(C30=List!$A$50,0,IF(I30="NO",0,1)*IF(C30=List!$A$50,0,1)*IF(N30="NO",0,1)*IF(O30&lt;time_tot,INT(time_tot/O30)-INT(time/O30),0)*MAX(Q30,S30)*(P30/100)*VLOOKUP($C30,$C$10:$X$17,20,)*VLOOKUP($C30,$C$10:$X$17,22,)*C46)</f>
        <v>0</v>
      </c>
      <c r="AP45" s="2472">
        <f t="shared" si="11"/>
        <v>0</v>
      </c>
      <c r="AR45" s="2467"/>
      <c r="AS45" s="2467">
        <f t="shared" si="17"/>
        <v>0</v>
      </c>
      <c r="AT45" s="2467">
        <f t="shared" si="18"/>
        <v>0</v>
      </c>
      <c r="AU45" s="2467">
        <f t="shared" si="19"/>
        <v>0</v>
      </c>
      <c r="AV45" s="2467"/>
      <c r="AW45" s="2467"/>
      <c r="AX45" s="2467"/>
      <c r="BA45" s="2460">
        <f t="shared" si="20"/>
        <v>0</v>
      </c>
      <c r="BB45" s="2460">
        <f t="shared" si="21"/>
        <v>0</v>
      </c>
    </row>
    <row r="46" spans="2:54" ht="13.8" thickBot="1">
      <c r="B46" s="271" t="str">
        <f t="shared" si="12"/>
        <v>Veget.4</v>
      </c>
      <c r="C46" s="2048">
        <f>'5. Degradation'!T16</f>
        <v>0</v>
      </c>
      <c r="D46" s="1323">
        <f t="shared" si="25"/>
        <v>0</v>
      </c>
      <c r="E46" s="2310" t="str">
        <f>VLOOKUP('5. Degradation'!V16,List!$D$35:$E$37,2,)</f>
        <v>Linear</v>
      </c>
      <c r="F46" s="1324">
        <f t="shared" si="26"/>
        <v>0</v>
      </c>
      <c r="G46" s="2310" t="str">
        <f>VLOOKUP('5. Degradation'!X16,List!$D$35:$E$37,2,)</f>
        <v>Linear</v>
      </c>
      <c r="H46" s="1468">
        <f t="shared" si="13"/>
        <v>0</v>
      </c>
      <c r="I46" s="1507">
        <f t="shared" si="14"/>
        <v>0</v>
      </c>
      <c r="J46" s="1468">
        <f t="shared" si="22"/>
        <v>0</v>
      </c>
      <c r="K46" s="1469">
        <f t="shared" si="15"/>
        <v>0</v>
      </c>
      <c r="L46" s="1477">
        <f>-$W30*(IF(E46="immediate",IF(D46&gt;0,D46*MIN(20,time_tot),0),D46*IF(time_tot&gt;time+20,20,IF(time_tot&lt;20,(time*VLOOKUP(E46,List!$E$35:$F$37,2,))+(time_tot-time),((MIN(20,time)*VLOOKUP(E46,List!$E$35:$F$37,2,))+(time_tot-MIN(20,time))-IF(E46="exponential",time_tot-20+0.217*time*(EXP(4.606*(20-time_tot)/time)-1),((time_tot-20)^2)*(0.5/time)))))))</f>
        <v>0</v>
      </c>
      <c r="M46" s="1482">
        <f>-$X30*(IF(G46="immediate",IF(F46&gt;0,F46*MIN(20,time_tot),0),F46*IF(time_tot&gt;time+20,20,IF(time_tot&lt;20,(time*VLOOKUP(G46,List!$E$35:$F$37,2,))+(time_tot-time),((MIN(20,time)*VLOOKUP(G46,List!$E$35:$F$37,2,))+(time_tot-MIN(20,time))-IF(G46="exponential",time_tot-20+0.217*time*(EXP(4.606*(20-time_tot)/time)-1),((time_tot-20)^2)*(0.5/time)))))))</f>
        <v>0</v>
      </c>
      <c r="N46" s="1477">
        <f t="shared" si="23"/>
        <v>0</v>
      </c>
      <c r="O46" s="1478">
        <f t="shared" si="24"/>
        <v>0</v>
      </c>
      <c r="P46" s="1653">
        <f t="shared" si="16"/>
        <v>0</v>
      </c>
      <c r="AA46" s="2469" t="s">
        <v>179</v>
      </c>
      <c r="AB46" s="2469">
        <f>AL37</f>
        <v>0</v>
      </c>
      <c r="AC46" s="2844">
        <f>AN37</f>
        <v>0</v>
      </c>
      <c r="AH46" s="2470">
        <f>-$W31*(IF(E47="immediate",IF(D47&gt;0,D47*MIN(20,time),0),D47*IF(time&gt;time+20,20,IF(time&lt;20,(time*VLOOKUP(E47,List!$E$35:$F$37,2,))+(time-time),((MIN(20,time)*VLOOKUP(E47,List!$E$35:$F$37,2,))+(time-MIN(20,time))-IF(E47="exponential",time-20+0.217*time*(EXP(4.606*(20-time)/time)-1),((time-20)^2)*(0.5/time)))))))</f>
        <v>0</v>
      </c>
      <c r="AI46" s="2470">
        <f>-$X31*(IF(G47="immediate",IF(F47&gt;0,F47*MIN(20,time),0),F47*IF(time&gt;time+20,20,IF(time&lt;20,(time*VLOOKUP(G47,List!$E$35:$F$37,2,))+(time-time),((MIN(20,time)*VLOOKUP(G47,List!$E$35:$F$37,2,))+(time-MIN(20,time))-IF(G47="exponential",time-20+0.217*time*(EXP(4.606*(20-time)/time)-1),((time-20)^2)*(0.5/time)))))))</f>
        <v>0</v>
      </c>
      <c r="AK46" s="2470">
        <f>IF(C31=List!$A$50,0,IF(I31="NO",0,1)*IF(J31&lt;time_tot,INT(time_tot/J31)-INT(time/J31),0)*MAX(Q31,R31)*(K31/100)*VLOOKUP($C31,$C$10:$X$17,20,)*VLOOKUP($C31,$C$10:$X$17,21,)*C47)</f>
        <v>0</v>
      </c>
      <c r="AL46" s="2470">
        <f>IF(C31=List!$A$50,0,IF(I31="NO",0,1)*IF(J31&lt;time_tot,INT(time_tot/J31)-INT(time/J31),0)*MAX(Q31,R31)*(K31/100)*VLOOKUP($C31,$C$10:$X$17,20,)*VLOOKUP($C31,$C$10:$X$17,22,)*C47)</f>
        <v>0</v>
      </c>
      <c r="AM46" s="2472">
        <f t="shared" si="10"/>
        <v>0</v>
      </c>
      <c r="AN46" s="2469">
        <f>IF(C31=List!$A$50,0,IF(I31="NO",0,1)*IF(C31=List!$A$50,0,1)*IF(N31="NO",0,1)*IF(O31&lt;time_tot,INT(time_tot/O31)-INT(time/O31),0)*MAX(Q31,S31)*(P31/100)*VLOOKUP($C31,$C$10:$X$17,20,)*VLOOKUP($C31,$C$10:$X$17,21,)*C47)</f>
        <v>0</v>
      </c>
      <c r="AO46" s="2469">
        <f>IF(C31=List!$A$50,0,IF(I31="NO",0,1)*IF(C31=List!$A$50,0,1)*IF(N31="NO",0,1)*IF(O31&lt;time_tot,INT(time_tot/O31)-INT(time/O31),0)*MAX(Q31,S31)*(P31/100)*VLOOKUP($C31,$C$10:$X$17,20,)*VLOOKUP($C31,$C$10:$X$17,22,)*C47)</f>
        <v>0</v>
      </c>
      <c r="AP46" s="2472">
        <f t="shared" si="11"/>
        <v>0</v>
      </c>
      <c r="AR46" s="2467"/>
      <c r="AS46" s="2467">
        <f t="shared" si="17"/>
        <v>0</v>
      </c>
      <c r="AT46" s="2467">
        <f t="shared" si="18"/>
        <v>0</v>
      </c>
      <c r="AU46" s="2467">
        <f t="shared" si="19"/>
        <v>0</v>
      </c>
      <c r="AV46" s="2467"/>
      <c r="AW46" s="2467"/>
      <c r="AX46" s="2467"/>
      <c r="BA46" s="2460">
        <f t="shared" si="20"/>
        <v>0</v>
      </c>
      <c r="BB46" s="2460">
        <f t="shared" si="21"/>
        <v>0</v>
      </c>
    </row>
    <row r="47" spans="2:54" ht="13.8" thickBot="1">
      <c r="B47" s="271" t="str">
        <f t="shared" si="12"/>
        <v>Veget.5</v>
      </c>
      <c r="C47" s="2048">
        <f>'5. Degradation'!T17</f>
        <v>0</v>
      </c>
      <c r="D47" s="1323">
        <f t="shared" si="25"/>
        <v>0</v>
      </c>
      <c r="E47" s="2310" t="str">
        <f>VLOOKUP('5. Degradation'!V17,List!$D$35:$E$37,2,)</f>
        <v>Linear</v>
      </c>
      <c r="F47" s="1324">
        <f t="shared" si="26"/>
        <v>0</v>
      </c>
      <c r="G47" s="2310" t="str">
        <f>VLOOKUP('5. Degradation'!X17,List!$D$35:$E$37,2,)</f>
        <v>Linear</v>
      </c>
      <c r="H47" s="1468">
        <f t="shared" si="13"/>
        <v>0</v>
      </c>
      <c r="I47" s="1507">
        <f t="shared" si="14"/>
        <v>0</v>
      </c>
      <c r="J47" s="1468">
        <f t="shared" si="22"/>
        <v>0</v>
      </c>
      <c r="K47" s="1469">
        <f t="shared" si="15"/>
        <v>0</v>
      </c>
      <c r="L47" s="1477">
        <f>-$W31*(IF(E47="immediate",IF(D47&gt;0,D47*MIN(20,time_tot),0),D47*IF(time_tot&gt;time+20,20,IF(time_tot&lt;20,(time*VLOOKUP(E47,List!$E$35:$F$37,2,))+(time_tot-time),((MIN(20,time)*VLOOKUP(E47,List!$E$35:$F$37,2,))+(time_tot-MIN(20,time))-IF(E47="exponential",time_tot-20+0.217*time*(EXP(4.606*(20-time_tot)/time)-1),((time_tot-20)^2)*(0.5/time)))))))</f>
        <v>0</v>
      </c>
      <c r="M47" s="1482">
        <f>-$X31*(IF(G47="immediate",IF(F47&gt;0,F47*MIN(20,time_tot),0),F47*IF(time_tot&gt;time+20,20,IF(time_tot&lt;20,(time*VLOOKUP(G47,List!$E$35:$F$37,2,))+(time_tot-time),((MIN(20,time)*VLOOKUP(G47,List!$E$35:$F$37,2,))+(time_tot-MIN(20,time))-IF(G47="exponential",time_tot-20+0.217*time*(EXP(4.606*(20-time_tot)/time)-1),((time_tot-20)^2)*(0.5/time)))))))</f>
        <v>0</v>
      </c>
      <c r="N47" s="1477">
        <f t="shared" si="23"/>
        <v>0</v>
      </c>
      <c r="O47" s="1478">
        <f t="shared" si="24"/>
        <v>0</v>
      </c>
      <c r="P47" s="1653">
        <f t="shared" si="16"/>
        <v>0</v>
      </c>
      <c r="AA47" s="2469"/>
      <c r="AB47" s="2469">
        <f>SUM(AB43:AB46)</f>
        <v>0</v>
      </c>
      <c r="AH47" s="2470">
        <f>-$W32*(IF(E48="immediate",IF(D48&gt;0,D48*MIN(20,time),0),D48*IF(time&gt;time+20,20,IF(time&lt;20,(time*VLOOKUP(E48,List!$E$35:$F$37,2,))+(time-time),((MIN(20,time)*VLOOKUP(E48,List!$E$35:$F$37,2,))+(time-MIN(20,time))-IF(E48="exponential",time-20+0.217*time*(EXP(4.606*(20-time)/time)-1),((time-20)^2)*(0.5/time)))))))</f>
        <v>0</v>
      </c>
      <c r="AI47" s="2470">
        <f>-$X32*(IF(G48="immediate",IF(F48&gt;0,F48*MIN(20,time),0),F48*IF(time&gt;time+20,20,IF(time&lt;20,(time*VLOOKUP(G48,List!$E$35:$F$37,2,))+(time-time),((MIN(20,time)*VLOOKUP(G48,List!$E$35:$F$37,2,))+(time-MIN(20,time))-IF(G48="exponential",time-20+0.217*time*(EXP(4.606*(20-time)/time)-1),((time-20)^2)*(0.5/time)))))))</f>
        <v>0</v>
      </c>
      <c r="AK47" s="2470">
        <f>IF(C32=List!$A$50,0,IF(I32="NO",0,1)*IF(J32&lt;time_tot,INT(time_tot/J32)-INT(time/J32),0)*MAX(Q32,R32)*(K32/100)*VLOOKUP($C32,$C$10:$X$17,20,)*VLOOKUP($C32,$C$10:$X$17,21,)*C48)</f>
        <v>0</v>
      </c>
      <c r="AL47" s="2470">
        <f>IF(C32=List!$A$50,0,IF(I32="NO",0,1)*IF(J32&lt;time_tot,INT(time_tot/J32)-INT(time/J32),0)*MAX(Q32,R32)*(K32/100)*VLOOKUP($C32,$C$10:$X$17,20,)*VLOOKUP($C32,$C$10:$X$17,22,)*C48)</f>
        <v>0</v>
      </c>
      <c r="AM47" s="2472">
        <f t="shared" si="10"/>
        <v>0</v>
      </c>
      <c r="AN47" s="2469">
        <f>IF(C32=List!$A$50,0,IF(I32="NO",0,1)*IF(C32=List!$A$50,0,1)*IF(N32="NO",0,1)*IF(O32&lt;time_tot,INT(time_tot/O32)-INT(time/O32),0)*MAX(Q32,S32)*(P32/100)*VLOOKUP($C32,$C$10:$X$17,20,)*VLOOKUP($C32,$C$10:$X$17,21,)*C48)</f>
        <v>0</v>
      </c>
      <c r="AO47" s="2469">
        <f>IF(C32=List!$A$50,0,IF(I32="NO",0,1)*IF(C32=List!$A$50,0,1)*IF(N32="NO",0,1)*IF(O32&lt;time_tot,INT(time_tot/O32)-INT(time/O32),0)*MAX(Q32,S32)*(P32/100)*VLOOKUP($C32,$C$10:$X$17,20,)*VLOOKUP($C32,$C$10:$X$17,22,)*C48)</f>
        <v>0</v>
      </c>
      <c r="AP47" s="2472">
        <f t="shared" si="11"/>
        <v>0</v>
      </c>
      <c r="AR47" s="2467"/>
      <c r="AS47" s="2467">
        <f t="shared" si="17"/>
        <v>0</v>
      </c>
      <c r="AT47" s="2467">
        <f t="shared" si="18"/>
        <v>0</v>
      </c>
      <c r="AU47" s="2467">
        <f t="shared" si="19"/>
        <v>0</v>
      </c>
      <c r="AV47" s="2467"/>
      <c r="AW47" s="2467"/>
      <c r="AX47" s="2467"/>
      <c r="BA47" s="2460">
        <f t="shared" si="20"/>
        <v>0</v>
      </c>
      <c r="BB47" s="2460">
        <f t="shared" si="21"/>
        <v>0</v>
      </c>
    </row>
    <row r="48" spans="2:54">
      <c r="B48" s="271" t="str">
        <f t="shared" si="12"/>
        <v>Veget.6</v>
      </c>
      <c r="C48" s="2048">
        <f>'5. Degradation'!T18</f>
        <v>0</v>
      </c>
      <c r="D48" s="1323">
        <f t="shared" si="25"/>
        <v>0</v>
      </c>
      <c r="E48" s="2310" t="str">
        <f>VLOOKUP('5. Degradation'!V18,List!$D$35:$E$37,2,)</f>
        <v>Linear</v>
      </c>
      <c r="F48" s="1324">
        <f t="shared" si="26"/>
        <v>0</v>
      </c>
      <c r="G48" s="2310" t="str">
        <f>VLOOKUP('5. Degradation'!X18,List!$D$35:$E$37,2,)</f>
        <v>Linear</v>
      </c>
      <c r="H48" s="1468">
        <f t="shared" si="13"/>
        <v>0</v>
      </c>
      <c r="I48" s="1507">
        <f t="shared" si="14"/>
        <v>0</v>
      </c>
      <c r="J48" s="1468">
        <f t="shared" si="22"/>
        <v>0</v>
      </c>
      <c r="K48" s="1469">
        <f t="shared" si="15"/>
        <v>0</v>
      </c>
      <c r="L48" s="1477">
        <f>-$W32*(IF(E48="immediate",IF(D48&gt;0,D48*MIN(20,time_tot),0),D48*IF(time_tot&gt;time+20,20,IF(time_tot&lt;20,(time*VLOOKUP(E48,List!$E$35:$F$37,2,))+(time_tot-time),((MIN(20,time)*VLOOKUP(E48,List!$E$35:$F$37,2,))+(time_tot-MIN(20,time))-IF(E48="exponential",time_tot-20+0.217*time*(EXP(4.606*(20-time_tot)/time)-1),((time_tot-20)^2)*(0.5/time)))))))</f>
        <v>0</v>
      </c>
      <c r="M48" s="1482">
        <f>-$X32*(IF(G48="immediate",IF(F48&gt;0,F48*MIN(20,time_tot),0),F48*IF(time_tot&gt;time+20,20,IF(time_tot&lt;20,(time*VLOOKUP(G48,List!$E$35:$F$37,2,))+(time_tot-time),((MIN(20,time)*VLOOKUP(G48,List!$E$35:$F$37,2,))+(time_tot-MIN(20,time))-IF(G48="exponential",time_tot-20+0.217*time*(EXP(4.606*(20-time_tot)/time)-1),((time_tot-20)^2)*(0.5/time)))))))</f>
        <v>0</v>
      </c>
      <c r="N48" s="1477">
        <f t="shared" si="23"/>
        <v>0</v>
      </c>
      <c r="O48" s="1478">
        <f t="shared" si="24"/>
        <v>0</v>
      </c>
      <c r="P48" s="1653">
        <f t="shared" si="16"/>
        <v>0</v>
      </c>
      <c r="AH48" s="2470">
        <f>-$W33*(IF(E49="immediate",IF(D49&gt;0,D49*MIN(20,time),0),D49*IF(time&gt;time+20,20,IF(time&lt;20,(time*VLOOKUP(E49,List!$E$35:$F$37,2,))+(time-time),((MIN(20,time)*VLOOKUP(E49,List!$E$35:$F$37,2,))+(time-MIN(20,time))-IF(E49="exponential",time-20+0.217*time*(EXP(4.606*(20-time)/time)-1),((time-20)^2)*(0.5/time)))))))</f>
        <v>0</v>
      </c>
      <c r="AI48" s="2470">
        <f>-$X33*(IF(G49="immediate",IF(F49&gt;0,F49*MIN(20,time),0),F49*IF(time&gt;time+20,20,IF(time&lt;20,(time*VLOOKUP(G49,List!$E$35:$F$37,2,))+(time-time),((MIN(20,time)*VLOOKUP(G49,List!$E$35:$F$37,2,))+(time-MIN(20,time))-IF(G49="exponential",time-20+0.217*time*(EXP(4.606*(20-time)/time)-1),((time-20)^2)*(0.5/time)))))))</f>
        <v>0</v>
      </c>
      <c r="AK48" s="2470">
        <f>IF(C33=List!$A$50,0,IF(I33="NO",0,1)*IF(J33&lt;time_tot,INT(time_tot/J33)-INT(time/J33),0)*MAX(Q33,R33)*(K33/100)*V19*W19*C49)</f>
        <v>0</v>
      </c>
      <c r="AL48" s="2470">
        <f>IF(C33=List!$A$50,0,IF(I33="NO",0,1)*IF(J33&lt;time_tot,INT(time_tot/J33)-INT(time/J33),0)*MAX(Q33,R33)*(K33/100)*V19*X19*C49)</f>
        <v>0</v>
      </c>
      <c r="AM48" s="2472">
        <f t="shared" si="10"/>
        <v>0</v>
      </c>
      <c r="AN48" s="2469">
        <f>IF(C33=List!$A$50,0,IF(I33="NO",0,1)*IF(C33=List!$A$50,0,1)*IF(N33="NO",0,1)*IF(O33&lt;time_tot,INT(time_tot/O33)-INT(time/O33),0)*MAX(Q33,S33)*(P33/100)*V19*W19*C49)</f>
        <v>0</v>
      </c>
      <c r="AO48" s="2469">
        <f>IF(C33=List!$A$50,0,IF(I33="NO",0,1)*IF(C33=List!$A$50,0,1)*IF(N33="NO",0,1)*IF(O33&lt;time_tot,INT(time_tot/O33)-INT(time/O33),0)*MAX(Q33,S33)*(P33/100)*V19*X19*C49)</f>
        <v>0</v>
      </c>
      <c r="AP48" s="2472">
        <f t="shared" si="11"/>
        <v>0</v>
      </c>
      <c r="AR48" s="2467"/>
      <c r="AS48" s="2467">
        <f t="shared" si="17"/>
        <v>0</v>
      </c>
      <c r="AT48" s="2467">
        <f t="shared" si="18"/>
        <v>0</v>
      </c>
      <c r="AU48" s="2467">
        <f t="shared" si="19"/>
        <v>0</v>
      </c>
      <c r="AV48" s="2467"/>
      <c r="AW48" s="2467"/>
      <c r="AX48" s="2467"/>
      <c r="BA48" s="2460">
        <f t="shared" si="20"/>
        <v>0</v>
      </c>
      <c r="BB48" s="2460">
        <f t="shared" si="21"/>
        <v>0</v>
      </c>
    </row>
    <row r="49" spans="2:54">
      <c r="B49" s="271" t="str">
        <f t="shared" si="12"/>
        <v>Veget.7</v>
      </c>
      <c r="C49" s="1297">
        <v>0</v>
      </c>
      <c r="D49" s="1323">
        <f t="shared" si="25"/>
        <v>0</v>
      </c>
      <c r="E49" s="684" t="s">
        <v>356</v>
      </c>
      <c r="F49" s="1324">
        <f t="shared" si="26"/>
        <v>0</v>
      </c>
      <c r="G49" s="694" t="s">
        <v>356</v>
      </c>
      <c r="H49" s="1468">
        <f t="shared" si="13"/>
        <v>0</v>
      </c>
      <c r="I49" s="1507">
        <f t="shared" si="14"/>
        <v>0</v>
      </c>
      <c r="J49" s="1468">
        <f t="shared" si="22"/>
        <v>0</v>
      </c>
      <c r="K49" s="1469">
        <f t="shared" si="15"/>
        <v>0</v>
      </c>
      <c r="L49" s="1477">
        <f>-$W33*(IF(E49="immediate",IF(D49&gt;0,D49*MIN(20,time_tot),0),D49*IF(time_tot&gt;time+20,20,IF(time_tot&lt;20,(time*VLOOKUP(E49,List!$E$35:$F$37,2,))+(time_tot-time),((MIN(20,time)*VLOOKUP(E49,List!$E$35:$F$37,2,))+(time_tot-MIN(20,time))-IF(E49="exponential",time_tot-20+0.217*time*(EXP(4.606*(20-time_tot)/time)-1),((time_tot-20)^2)*(0.5/time)))))))</f>
        <v>0</v>
      </c>
      <c r="M49" s="1482">
        <f>-$X33*(IF(G49="immediate",IF(F49&gt;0,F49*MIN(20,time_tot),0),F49*IF(time_tot&gt;time+20,20,IF(time_tot&lt;20,(time*VLOOKUP(G49,List!$E$35:$F$37,2,))+(time_tot-time),((MIN(20,time)*VLOOKUP(G49,List!$E$35:$F$37,2,))+(time_tot-MIN(20,time))-IF(G49="exponential",time_tot-20+0.217*time*(EXP(4.606*(20-time_tot)/time)-1),((time_tot-20)^2)*(0.5/time)))))))</f>
        <v>0</v>
      </c>
      <c r="N49" s="1477">
        <f t="shared" si="23"/>
        <v>0</v>
      </c>
      <c r="O49" s="1478">
        <f t="shared" si="24"/>
        <v>0</v>
      </c>
      <c r="P49" s="1653">
        <f t="shared" si="16"/>
        <v>0</v>
      </c>
      <c r="AH49" s="2470">
        <f>-$W34*(IF(E50="immediate",IF(D50&gt;0,D50*MIN(20,time),0),D50*IF(time&gt;time+20,20,IF(time&lt;20,(time*VLOOKUP(E50,List!$E$35:$F$37,2,))+(time-time),((MIN(20,time)*VLOOKUP(E50,List!$E$35:$F$37,2,))+(time-MIN(20,time))-IF(E50="exponential",time-20+0.217*time*(EXP(4.606*(20-time)/time)-1),((time-20)^2)*(0.5/time)))))))</f>
        <v>0</v>
      </c>
      <c r="AI49" s="2470">
        <f>-$X34*(IF(G50="immediate",IF(F50&gt;0,F50*MIN(20,time),0),F50*IF(time&gt;time+20,20,IF(time&lt;20,(time*VLOOKUP(G50,List!$E$35:$F$37,2,))+(time-time),((MIN(20,time)*VLOOKUP(G50,List!$E$35:$F$37,2,))+(time-MIN(20,time))-IF(G50="exponential",time-20+0.217*time*(EXP(4.606*(20-time)/time)-1),((time-20)^2)*(0.5/time)))))))</f>
        <v>0</v>
      </c>
      <c r="AK49" s="2470">
        <f>IF(C34=List!$A$50,0,IF(I34="NO",0,1)*IF(J34&lt;time_tot,INT(time_tot/J34)-INT(time/J34),0)*MAX(Q34,R34)*(K34/100)*V20*W20*C50)</f>
        <v>0</v>
      </c>
      <c r="AL49" s="2470">
        <f>IF(C34=List!$A$50,0,IF(I34="NO",0,1)*IF(J34&lt;time_tot,INT(time_tot/J34)-INT(time/J34),0)*MAX(Q34,R34)*(K34/100)*V20*X20*C50)</f>
        <v>0</v>
      </c>
      <c r="AM49" s="2472">
        <f t="shared" si="10"/>
        <v>0</v>
      </c>
      <c r="AN49" s="2469">
        <f>IF(C34=List!$A$50,0,IF(I34="NO",0,1)*IF(C34=List!$A$50,0,1)*IF(N34="NO",0,1)*IF(O34&lt;time_tot,INT(time_tot/O34)-INT(time/O34),0)*MAX(Q34,S34)*(P34/100)*V20*W20*C50)</f>
        <v>0</v>
      </c>
      <c r="AO49" s="2469">
        <f>IF(C34=List!$A$50,0,IF(I34="NO",0,1)*IF(C34=List!$A$50,0,1)*IF(N34="NO",0,1)*IF(O34&lt;time_tot,INT(time_tot/O34)-INT(time/O34),0)*MAX(Q34,S34)*(P34/100)*V20*X20*C50)</f>
        <v>0</v>
      </c>
      <c r="AP49" s="2472">
        <f t="shared" si="11"/>
        <v>0</v>
      </c>
      <c r="AR49" s="2467"/>
      <c r="AS49" s="2467">
        <f t="shared" si="17"/>
        <v>0</v>
      </c>
      <c r="AT49" s="2467">
        <f t="shared" si="18"/>
        <v>0</v>
      </c>
      <c r="AU49" s="2467">
        <f t="shared" si="19"/>
        <v>0</v>
      </c>
      <c r="AV49" s="2467"/>
      <c r="AW49" s="2467"/>
      <c r="AX49" s="2467"/>
      <c r="BA49" s="2460">
        <f t="shared" si="20"/>
        <v>0</v>
      </c>
      <c r="BB49" s="2460">
        <f t="shared" si="21"/>
        <v>0</v>
      </c>
    </row>
    <row r="50" spans="2:54">
      <c r="B50" s="271" t="str">
        <f t="shared" si="12"/>
        <v>Veget.8</v>
      </c>
      <c r="C50" s="1297">
        <v>0</v>
      </c>
      <c r="D50" s="1323">
        <f t="shared" si="25"/>
        <v>0</v>
      </c>
      <c r="E50" s="684" t="s">
        <v>356</v>
      </c>
      <c r="F50" s="1324">
        <f t="shared" si="26"/>
        <v>0</v>
      </c>
      <c r="G50" s="694" t="s">
        <v>356</v>
      </c>
      <c r="H50" s="1468">
        <f t="shared" si="13"/>
        <v>0</v>
      </c>
      <c r="I50" s="1507">
        <f t="shared" si="14"/>
        <v>0</v>
      </c>
      <c r="J50" s="1468">
        <f t="shared" si="22"/>
        <v>0</v>
      </c>
      <c r="K50" s="1469">
        <f t="shared" si="15"/>
        <v>0</v>
      </c>
      <c r="L50" s="1477">
        <f>-$W34*(IF(E50="immediate",IF(D50&gt;0,D50*MIN(20,time_tot),0),D50*IF(time_tot&gt;time+20,20,IF(time_tot&lt;20,(time*VLOOKUP(E50,List!$E$35:$F$37,2,))+(time_tot-time),((MIN(20,time)*VLOOKUP(E50,List!$E$35:$F$37,2,))+(time_tot-MIN(20,time))-IF(E50="exponential",time_tot-20+0.217*time*(EXP(4.606*(20-time_tot)/time)-1),((time_tot-20)^2)*(0.5/time)))))))</f>
        <v>0</v>
      </c>
      <c r="M50" s="1482">
        <f>-$X34*(IF(G50="immediate",IF(F50&gt;0,F50*MIN(20,time_tot),0),F50*IF(time_tot&gt;time+20,20,IF(time_tot&lt;20,(time*VLOOKUP(G50,List!$E$35:$F$37,2,))+(time_tot-time),((MIN(20,time)*VLOOKUP(G50,List!$E$35:$F$37,2,))+(time_tot-MIN(20,time))-IF(G50="exponential",time_tot-20+0.217*time*(EXP(4.606*(20-time_tot)/time)-1),((time_tot-20)^2)*(0.5/time)))))))</f>
        <v>0</v>
      </c>
      <c r="N50" s="1477">
        <f t="shared" si="23"/>
        <v>0</v>
      </c>
      <c r="O50" s="1478">
        <f t="shared" si="24"/>
        <v>0</v>
      </c>
      <c r="P50" s="1653">
        <f t="shared" si="16"/>
        <v>0</v>
      </c>
      <c r="AH50" s="2470">
        <f>-$W35*(IF(E51="immediate",IF(D51&gt;0,D51*MIN(20,time),0),D51*IF(time&gt;time+20,20,IF(time&lt;20,(time*VLOOKUP(E51,List!$E$35:$F$37,2,))+(time-time),((MIN(20,time)*VLOOKUP(E51,List!$E$35:$F$37,2,))+(time-MIN(20,time))-IF(E51="exponential",time-20+0.217*time*(EXP(4.606*(20-time)/time)-1),((time-20)^2)*(0.5/time)))))))</f>
        <v>0</v>
      </c>
      <c r="AI50" s="2470">
        <f>-$X35*(IF(G51="immediate",IF(F51&gt;0,F51*MIN(20,time),0),F51*IF(time&gt;time+20,20,IF(time&lt;20,(time*VLOOKUP(G51,List!$E$35:$F$37,2,))+(time-time),((MIN(20,time)*VLOOKUP(G51,List!$E$35:$F$37,2,))+(time-MIN(20,time))-IF(G51="exponential",time-20+0.217*time*(EXP(4.606*(20-time)/time)-1),((time-20)^2)*(0.5/time)))))))</f>
        <v>0</v>
      </c>
      <c r="AK50" s="2470">
        <f>IF(C35=List!$A$50,0,IF(I35="NO",0,1)*IF(J35&lt;time_tot,INT(time_tot/J35)-INT(time/J35),0)*MAX(Q35,R35)*(K35/100)*V21*W21*C51)</f>
        <v>0</v>
      </c>
      <c r="AL50" s="2470">
        <f>IF(C35=List!$A$50,0,IF(I35="NO",0,1)*IF(J35&lt;time_tot,INT(time_tot/J35)-INT(time/J35),0)*MAX(Q35,R35)*(K35/100)*V21*X21*C51)</f>
        <v>0</v>
      </c>
      <c r="AM50" s="2472">
        <f t="shared" si="10"/>
        <v>0</v>
      </c>
      <c r="AN50" s="2469">
        <f>IF(C35=List!$A$50,0,IF(I35="NO",0,1)*IF(C35=List!$A$50,0,1)*IF(N35="NO",0,1)*IF(O35&lt;time_tot,INT(time_tot/O35)-INT(time/O35),0)*MAX(Q35,S35)*(P35/100)*V21*W21*C51)</f>
        <v>0</v>
      </c>
      <c r="AO50" s="2469">
        <f>IF(C35=List!$A$50,0,IF(I35="NO",0,1)*IF(C35=List!$A$50,0,1)*IF(N35="NO",0,1)*IF(O35&lt;time_tot,INT(time_tot/O35)-INT(time/O35),0)*MAX(Q35,S35)*(P35/100)*V21*X21*C51)</f>
        <v>0</v>
      </c>
      <c r="AP50" s="2472">
        <f t="shared" si="11"/>
        <v>0</v>
      </c>
      <c r="AR50" s="2467"/>
      <c r="AS50" s="2467">
        <f t="shared" si="17"/>
        <v>0</v>
      </c>
      <c r="AT50" s="2467">
        <f t="shared" si="18"/>
        <v>0</v>
      </c>
      <c r="AU50" s="2467">
        <f t="shared" si="19"/>
        <v>0</v>
      </c>
      <c r="AV50" s="2467"/>
      <c r="AW50" s="2467"/>
      <c r="AX50" s="2467"/>
      <c r="BA50" s="2460">
        <f t="shared" si="20"/>
        <v>0</v>
      </c>
      <c r="BB50" s="2460">
        <f t="shared" si="21"/>
        <v>0</v>
      </c>
    </row>
    <row r="51" spans="2:54">
      <c r="B51" s="271" t="str">
        <f t="shared" si="12"/>
        <v>Veget.9</v>
      </c>
      <c r="C51" s="1297">
        <v>0</v>
      </c>
      <c r="D51" s="1323">
        <f t="shared" si="25"/>
        <v>0</v>
      </c>
      <c r="E51" s="684" t="s">
        <v>356</v>
      </c>
      <c r="F51" s="1324">
        <f t="shared" si="26"/>
        <v>0</v>
      </c>
      <c r="G51" s="694" t="s">
        <v>356</v>
      </c>
      <c r="H51" s="1468">
        <f t="shared" si="13"/>
        <v>0</v>
      </c>
      <c r="I51" s="1507">
        <f t="shared" si="14"/>
        <v>0</v>
      </c>
      <c r="J51" s="1468">
        <f t="shared" si="22"/>
        <v>0</v>
      </c>
      <c r="K51" s="1469">
        <f t="shared" si="15"/>
        <v>0</v>
      </c>
      <c r="L51" s="1477">
        <f>-$W35*(IF(E51="immediate",IF(D51&gt;0,D51*MIN(20,time_tot),0),D51*IF(time_tot&gt;time+20,20,IF(time_tot&lt;20,(time*VLOOKUP(E51,List!$E$35:$F$37,2,))+(time_tot-time),((MIN(20,time)*VLOOKUP(E51,List!$E$35:$F$37,2,))+(time_tot-MIN(20,time))-IF(E51="exponential",time_tot-20+0.217*time*(EXP(4.606*(20-time_tot)/time)-1),((time_tot-20)^2)*(0.5/time)))))))</f>
        <v>0</v>
      </c>
      <c r="M51" s="1482">
        <f>-$X35*(IF(G51="immediate",IF(F51&gt;0,F51*MIN(20,time_tot),0),F51*IF(time_tot&gt;time+20,20,IF(time_tot&lt;20,(time*VLOOKUP(G51,List!$E$35:$F$37,2,))+(time_tot-time),((MIN(20,time)*VLOOKUP(G51,List!$E$35:$F$37,2,))+(time_tot-MIN(20,time))-IF(G51="exponential",time_tot-20+0.217*time*(EXP(4.606*(20-time_tot)/time)-1),((time_tot-20)^2)*(0.5/time)))))))</f>
        <v>0</v>
      </c>
      <c r="N51" s="1477">
        <f t="shared" si="23"/>
        <v>0</v>
      </c>
      <c r="O51" s="1478">
        <f t="shared" si="24"/>
        <v>0</v>
      </c>
      <c r="P51" s="1653">
        <f t="shared" si="16"/>
        <v>0</v>
      </c>
      <c r="AH51" s="2470">
        <f>-$W36*(IF(E52="immediate",IF(D52&gt;0,D52*MIN(20,time),0),D52*IF(time&gt;time+20,20,IF(time&lt;20,(time*VLOOKUP(E52,List!$E$35:$F$37,2,))+(time-time),((MIN(20,time)*VLOOKUP(E52,List!$E$35:$F$37,2,))+(time-MIN(20,time))-IF(E52="exponential",time-20+0.217*time*(EXP(4.606*(20-time)/time)-1),((time-20)^2)*(0.5/time)))))))</f>
        <v>0</v>
      </c>
      <c r="AI51" s="2470">
        <f>-$X36*(IF(G52="immediate",IF(F52&gt;0,F52*MIN(20,time),0),F52*IF(time&gt;time+20,20,IF(time&lt;20,(time*VLOOKUP(G52,List!$E$35:$F$37,2,))+(time-time),((MIN(20,time)*VLOOKUP(G52,List!$E$35:$F$37,2,))+(time-MIN(20,time))-IF(G52="exponential",time-20+0.217*time*(EXP(4.606*(20-time)/time)-1),((time-20)^2)*(0.5/time)))))))</f>
        <v>0</v>
      </c>
      <c r="AK51" s="2470">
        <f>IF(C36=List!$A$50,0,IF(I36="NO",0,1)*IF(J36&lt;time_tot,INT(time_tot/J36)-INT(time/J36),0)*MAX(Q36,R36)*(K36/100)*V22*W22*C52)</f>
        <v>0</v>
      </c>
      <c r="AL51" s="2470">
        <f>IF(C36=List!$A$50,0,IF(I36="NO",0,1)*IF(J36&lt;time_tot,INT(time_tot/J36)-INT(time/J36),0)*MAX(Q36,R36)*(K36/100)*V22*X22*C52)</f>
        <v>0</v>
      </c>
      <c r="AM51" s="2472">
        <f t="shared" si="10"/>
        <v>0</v>
      </c>
      <c r="AN51" s="2469">
        <f>IF(C36=List!$A$50,0,IF(I36="NO",0,1)*IF(C36=List!$A$50,0,1)*IF(N36="NO",0,1)*IF(O36&lt;time_tot,INT(time_tot/O36)-INT(time/O36),0)*MAX(Q36,S36)*(P36/100)*V22*W22*C52)</f>
        <v>0</v>
      </c>
      <c r="AO51" s="2469">
        <f>IF(C36=List!$A$50,0,IF(I36="NO",0,1)*IF(C36=List!$A$50,0,1)*IF(N36="NO",0,1)*IF(O36&lt;time_tot,INT(time_tot/O36)-INT(time/O36),0)*MAX(Q36,S36)*(P36/100)*V22*X22*C52)</f>
        <v>0</v>
      </c>
      <c r="AP51" s="2472">
        <f t="shared" si="11"/>
        <v>0</v>
      </c>
      <c r="AR51" s="2467"/>
      <c r="AS51" s="2467">
        <f t="shared" si="17"/>
        <v>0</v>
      </c>
      <c r="AT51" s="2467">
        <f t="shared" si="18"/>
        <v>0</v>
      </c>
      <c r="AU51" s="2467">
        <f t="shared" si="19"/>
        <v>0</v>
      </c>
      <c r="AV51" s="2467"/>
      <c r="AW51" s="2467"/>
      <c r="AX51" s="2467"/>
      <c r="BA51" s="2460">
        <f t="shared" si="20"/>
        <v>0</v>
      </c>
      <c r="BB51" s="2460">
        <f t="shared" si="21"/>
        <v>0</v>
      </c>
    </row>
    <row r="52" spans="2:54" ht="13.8" thickBot="1">
      <c r="B52" s="272" t="str">
        <f t="shared" si="12"/>
        <v>Veget.10</v>
      </c>
      <c r="C52" s="1298">
        <v>0</v>
      </c>
      <c r="D52" s="1326">
        <f>C52</f>
        <v>0</v>
      </c>
      <c r="E52" s="686" t="s">
        <v>356</v>
      </c>
      <c r="F52" s="1327">
        <f t="shared" si="26"/>
        <v>0</v>
      </c>
      <c r="G52" s="695" t="s">
        <v>356</v>
      </c>
      <c r="H52" s="1392">
        <f t="shared" si="13"/>
        <v>0</v>
      </c>
      <c r="I52" s="1508">
        <f t="shared" si="14"/>
        <v>0</v>
      </c>
      <c r="J52" s="1392">
        <f t="shared" si="22"/>
        <v>0</v>
      </c>
      <c r="K52" s="1393">
        <f t="shared" si="15"/>
        <v>0</v>
      </c>
      <c r="L52" s="1479">
        <f>-$W36*(IF(E52="immediate",IF(D52&gt;0,D52*MIN(20,time_tot),0),D52*IF(time_tot&gt;time+20,20,IF(time_tot&lt;20,(time*VLOOKUP(E52,List!$E$35:$F$37,2,))+(time_tot-time),((MIN(20,time)*VLOOKUP(E52,List!$E$35:$F$37,2,))+(time_tot-MIN(20,time))-IF(E52="exponential",time_tot-20+0.217*time*(EXP(4.606*(20-time_tot)/time)-1),((time_tot-20)^2)*(0.5/time)))))))</f>
        <v>0</v>
      </c>
      <c r="M52" s="1483">
        <f>-$X36*(IF(G52="immediate",IF(F52&gt;0,F52*MIN(20,time_tot),0),F52*IF(time_tot&gt;time+20,20,IF(time_tot&lt;20,(time*VLOOKUP(G52,List!$E$35:$F$37,2,))+(time_tot-time),((MIN(20,time)*VLOOKUP(G52,List!$E$35:$F$37,2,))+(time_tot-MIN(20,time))-IF(G52="exponential",time_tot-20+0.217*time*(EXP(4.606*(20-time_tot)/time)-1),((time_tot-20)^2)*(0.5/time)))))))</f>
        <v>0</v>
      </c>
      <c r="N52" s="1479">
        <f t="shared" si="23"/>
        <v>0</v>
      </c>
      <c r="O52" s="1480">
        <f t="shared" si="24"/>
        <v>0</v>
      </c>
      <c r="P52" s="1654">
        <f t="shared" si="16"/>
        <v>0</v>
      </c>
      <c r="Z52" s="234"/>
      <c r="AJ52" s="2460" t="s">
        <v>187</v>
      </c>
      <c r="AK52" s="2470">
        <f>methane*SUM(AK42:AK51)/1000</f>
        <v>0</v>
      </c>
      <c r="AL52" s="2470">
        <f>Nitrous*SUM(AL42:AL51)/1000</f>
        <v>0</v>
      </c>
      <c r="AM52" s="2470">
        <f>SUM(AM42:AM51)</f>
        <v>0</v>
      </c>
      <c r="AN52" s="2470">
        <f>methane*SUM(AN42:AN51)/1000</f>
        <v>0</v>
      </c>
      <c r="AO52" s="2470">
        <f>Nitrous*SUM(AO42:AO51)/1000</f>
        <v>0</v>
      </c>
      <c r="AP52" s="2470">
        <f>SUM(AP42:AP51)</f>
        <v>0</v>
      </c>
      <c r="AR52" s="2467" t="s">
        <v>1599</v>
      </c>
      <c r="AS52" s="2467">
        <f>SUM(AS42:AS51)</f>
        <v>0</v>
      </c>
      <c r="AT52" s="2467">
        <f>SUM(AT42:AT51)</f>
        <v>0</v>
      </c>
      <c r="AU52" s="2467">
        <f>SUM(AU42:AU51)</f>
        <v>0</v>
      </c>
      <c r="AV52" s="2467"/>
      <c r="AW52" s="2467"/>
      <c r="AX52" s="2467"/>
      <c r="BA52" s="2460">
        <f t="shared" si="20"/>
        <v>0</v>
      </c>
      <c r="BB52" s="2460">
        <f t="shared" si="21"/>
        <v>0</v>
      </c>
    </row>
    <row r="53" spans="2:54" ht="13.8" thickBot="1">
      <c r="G53" s="234"/>
      <c r="I53" s="233"/>
      <c r="N53" s="234"/>
      <c r="O53" s="233"/>
      <c r="P53" s="234"/>
      <c r="Y53" s="233"/>
      <c r="Z53" s="922"/>
      <c r="AR53" s="2467"/>
      <c r="AS53" s="2467"/>
      <c r="AV53" s="2467"/>
      <c r="AW53" s="2467"/>
      <c r="AX53" s="2467"/>
      <c r="BA53" s="2460"/>
      <c r="BB53" s="2460"/>
    </row>
    <row r="54" spans="2:54" ht="13.8" thickBot="1">
      <c r="G54" s="234"/>
      <c r="K54" s="657" t="s">
        <v>194</v>
      </c>
      <c r="L54" s="658"/>
      <c r="M54" s="659"/>
      <c r="N54" s="660">
        <f>SUM(N43:N52)</f>
        <v>0</v>
      </c>
      <c r="O54" s="661">
        <f>SUM(O43:O52)</f>
        <v>0</v>
      </c>
      <c r="P54" s="1038">
        <f>O54-N54</f>
        <v>0</v>
      </c>
      <c r="Y54" s="233"/>
      <c r="Z54" s="922"/>
      <c r="AV54" s="2467"/>
      <c r="AW54" s="2467"/>
      <c r="AX54" s="2467"/>
      <c r="BA54" s="2460">
        <f>SUM(BA43:BA52)</f>
        <v>0</v>
      </c>
      <c r="BB54" s="2460">
        <f>SUM(BB43:BB52)</f>
        <v>0</v>
      </c>
    </row>
    <row r="55" spans="2:54">
      <c r="H55" s="234"/>
      <c r="J55" s="233"/>
      <c r="O55" s="233"/>
      <c r="P55" s="234"/>
      <c r="T55" s="234"/>
      <c r="U55" s="234"/>
      <c r="X55" s="233"/>
      <c r="Y55" s="233"/>
      <c r="Z55" s="922"/>
    </row>
    <row r="56" spans="2:54">
      <c r="B56" s="248"/>
      <c r="C56" s="662"/>
      <c r="D56" s="662"/>
      <c r="E56" s="662"/>
      <c r="F56" s="662"/>
      <c r="G56" s="662"/>
      <c r="H56" s="662"/>
      <c r="I56" s="663"/>
      <c r="J56" s="1375"/>
      <c r="K56" s="664"/>
      <c r="L56" s="662"/>
      <c r="R56" s="922"/>
      <c r="S56" s="922"/>
      <c r="T56" s="234"/>
      <c r="U56" s="234"/>
      <c r="Y56" s="233"/>
      <c r="Z56" s="922"/>
    </row>
    <row r="57" spans="2:54">
      <c r="B57" s="665"/>
      <c r="C57" s="665"/>
      <c r="D57" s="662"/>
      <c r="E57" s="662"/>
      <c r="F57" s="662"/>
      <c r="G57" s="662"/>
      <c r="H57" s="665"/>
      <c r="I57" s="663"/>
      <c r="J57" s="664"/>
      <c r="K57" s="664"/>
      <c r="L57" s="662"/>
      <c r="Y57" s="233"/>
      <c r="Z57" s="922"/>
    </row>
    <row r="58" spans="2:54">
      <c r="J58" s="664"/>
      <c r="K58" s="664"/>
      <c r="Y58" s="233"/>
      <c r="Z58" s="922"/>
    </row>
    <row r="59" spans="2:54">
      <c r="J59" s="664"/>
      <c r="K59" s="664"/>
      <c r="R59" s="922"/>
      <c r="S59" s="922"/>
      <c r="Y59" s="233"/>
      <c r="Z59" s="922"/>
    </row>
    <row r="60" spans="2:54">
      <c r="J60" s="233"/>
      <c r="Y60" s="233"/>
      <c r="Z60" s="922"/>
    </row>
    <row r="61" spans="2:54">
      <c r="J61" s="233"/>
      <c r="Y61" s="233"/>
      <c r="Z61" s="922"/>
    </row>
    <row r="62" spans="2:54">
      <c r="J62" s="233"/>
      <c r="Y62" s="233"/>
      <c r="Z62" s="922"/>
    </row>
    <row r="63" spans="2:54">
      <c r="J63" s="233"/>
      <c r="Y63" s="233"/>
      <c r="Z63" s="922"/>
    </row>
    <row r="64" spans="2:54">
      <c r="J64" s="233"/>
      <c r="Y64" s="233"/>
      <c r="Z64" s="922"/>
    </row>
    <row r="65" spans="1:26">
      <c r="Y65" s="233"/>
      <c r="Z65" s="922"/>
    </row>
    <row r="66" spans="1:26">
      <c r="Y66" s="233"/>
      <c r="Z66" s="922"/>
    </row>
    <row r="67" spans="1:26">
      <c r="Y67" s="233"/>
      <c r="Z67" s="922"/>
    </row>
    <row r="68" spans="1:26">
      <c r="Y68" s="233"/>
      <c r="Z68" s="922"/>
    </row>
    <row r="69" spans="1:26">
      <c r="Y69" s="233"/>
    </row>
    <row r="71" spans="1:26">
      <c r="A71" s="239"/>
    </row>
  </sheetData>
  <sheetProtection formatCells="0" formatColumns="0" formatRows="0"/>
  <mergeCells count="19">
    <mergeCell ref="F5:G5"/>
    <mergeCell ref="T24:V24"/>
    <mergeCell ref="I7:S7"/>
    <mergeCell ref="L8:M8"/>
    <mergeCell ref="I8:J8"/>
    <mergeCell ref="B10:B13"/>
    <mergeCell ref="B14:B17"/>
    <mergeCell ref="E24:F24"/>
    <mergeCell ref="W24:X24"/>
    <mergeCell ref="N40:O40"/>
    <mergeCell ref="C32:D32"/>
    <mergeCell ref="C31:D31"/>
    <mergeCell ref="C30:D30"/>
    <mergeCell ref="C27:D27"/>
    <mergeCell ref="H40:I40"/>
    <mergeCell ref="L40:M40"/>
    <mergeCell ref="Q24:S24"/>
    <mergeCell ref="C28:D28"/>
    <mergeCell ref="C29:D29"/>
  </mergeCells>
  <phoneticPr fontId="11" type="noConversion"/>
  <dataValidations count="5">
    <dataValidation type="list" allowBlank="1" showInputMessage="1" showErrorMessage="1" sqref="G27:G36 E27:E36 L27:L36">
      <formula1>deg_list</formula1>
    </dataValidation>
    <dataValidation type="list" allowBlank="1" showInputMessage="1" showErrorMessage="1" sqref="E43:E52 G43:G52">
      <formula1>Rate</formula1>
    </dataValidation>
    <dataValidation type="list" allowBlank="1" showInputMessage="1" showErrorMessage="1" sqref="C27:C32">
      <formula1>veg_type</formula1>
    </dataValidation>
    <dataValidation type="decimal" operator="greaterThanOrEqual" allowBlank="1" showInputMessage="1" showErrorMessage="1" sqref="J27:J36 O27:O36 K27:K32 C43:C52 P27:P32">
      <formula1>0</formula1>
    </dataValidation>
    <dataValidation type="list" allowBlank="1" showInputMessage="1" showErrorMessage="1" sqref="I27:I36 N27:N36">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3 F44:F52 D43:D52 V19:X22" unlockedFormula="1"/>
    <ignoredError sqref="AI3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AG45"/>
  <sheetViews>
    <sheetView topLeftCell="A16" zoomScaleNormal="100" workbookViewId="0">
      <selection activeCell="C40" sqref="C40"/>
    </sheetView>
  </sheetViews>
  <sheetFormatPr baseColWidth="10" defaultColWidth="11.44140625" defaultRowHeight="13.2"/>
  <cols>
    <col min="1" max="1" width="4.44140625" style="1" customWidth="1"/>
    <col min="2" max="2" width="16.109375" style="1" customWidth="1"/>
    <col min="3" max="10" width="11.44140625" style="1"/>
    <col min="11" max="11" width="4" style="1" customWidth="1"/>
    <col min="12" max="14" width="11.44140625" style="1"/>
    <col min="15" max="15" width="4.109375" style="1" customWidth="1"/>
    <col min="16" max="16" width="11.6640625" style="1" bestFit="1" customWidth="1"/>
    <col min="17" max="17" width="11.44140625" style="1"/>
    <col min="18" max="18" width="4" style="1" customWidth="1"/>
    <col min="19" max="19" width="11.44140625" style="1"/>
    <col min="20" max="20" width="6.33203125" style="1" customWidth="1"/>
    <col min="21" max="21" width="15.33203125" style="1" customWidth="1"/>
    <col min="22" max="22" width="13" style="1" customWidth="1"/>
    <col min="23" max="28" width="11.44140625" style="1951"/>
    <col min="29" max="29" width="14.6640625" style="1951" bestFit="1" customWidth="1"/>
    <col min="30" max="33" width="11.44140625" style="1951"/>
    <col min="34" max="16384" width="11.44140625" style="1"/>
  </cols>
  <sheetData>
    <row r="1" spans="1:33" s="1670" customFormat="1" ht="22.95" customHeight="1">
      <c r="W1" s="1924"/>
      <c r="X1" s="1924"/>
      <c r="Y1" s="1924"/>
      <c r="Z1" s="1924"/>
      <c r="AA1" s="1924"/>
      <c r="AB1" s="1924"/>
      <c r="AC1" s="1924"/>
      <c r="AD1" s="1924"/>
      <c r="AE1" s="1924"/>
      <c r="AF1" s="1924"/>
      <c r="AG1" s="1924"/>
    </row>
    <row r="2" spans="1:33" s="1670" customFormat="1" ht="22.95" customHeight="1">
      <c r="W2" s="1924"/>
      <c r="X2" s="1924"/>
      <c r="Y2" s="1924"/>
      <c r="Z2" s="1924"/>
      <c r="AA2" s="1924"/>
      <c r="AB2" s="1924"/>
      <c r="AC2" s="1924"/>
      <c r="AD2" s="1924"/>
      <c r="AE2" s="1924"/>
      <c r="AF2" s="1924"/>
      <c r="AG2" s="1924"/>
    </row>
    <row r="3" spans="1:33" s="1670" customFormat="1" ht="22.95" customHeight="1">
      <c r="W3" s="1924"/>
      <c r="X3" s="1924"/>
      <c r="Y3" s="1924"/>
      <c r="Z3" s="1924"/>
      <c r="AA3" s="1924"/>
      <c r="AB3" s="1924"/>
      <c r="AC3" s="1924"/>
      <c r="AD3" s="1924"/>
      <c r="AE3" s="1924"/>
      <c r="AF3" s="1924"/>
      <c r="AG3" s="1924"/>
    </row>
    <row r="4" spans="1:33" s="1670" customFormat="1" ht="22.95" customHeight="1">
      <c r="W4" s="1924"/>
      <c r="X4" s="1924"/>
      <c r="Y4" s="1924"/>
      <c r="Z4" s="1924"/>
      <c r="AA4" s="1924"/>
      <c r="AB4" s="1924"/>
      <c r="AC4" s="1924"/>
      <c r="AD4" s="1924"/>
      <c r="AE4" s="1924"/>
      <c r="AF4" s="1924"/>
      <c r="AG4" s="1924"/>
    </row>
    <row r="5" spans="1:33" s="1670" customFormat="1" ht="22.95" customHeight="1">
      <c r="A5" s="1709" t="s">
        <v>518</v>
      </c>
      <c r="B5" s="1709"/>
      <c r="G5" s="3179" t="s">
        <v>479</v>
      </c>
      <c r="H5" s="3179"/>
      <c r="W5" s="1924"/>
      <c r="X5" s="1924"/>
      <c r="Y5" s="1924"/>
      <c r="Z5" s="1924"/>
      <c r="AA5" s="1924"/>
      <c r="AB5" s="1924"/>
      <c r="AC5" s="1924"/>
      <c r="AD5" s="1924"/>
      <c r="AE5" s="1924"/>
      <c r="AF5" s="1924"/>
      <c r="AG5" s="1924"/>
    </row>
    <row r="7" spans="1:33">
      <c r="B7" s="1566" t="s">
        <v>237</v>
      </c>
      <c r="C7" s="1572"/>
      <c r="D7" s="1566"/>
      <c r="E7" s="1566"/>
      <c r="F7" s="1566"/>
      <c r="G7" s="1566"/>
      <c r="H7" s="1566"/>
      <c r="I7" s="1566"/>
      <c r="J7" s="1566"/>
      <c r="K7" s="1566"/>
      <c r="L7" s="1566"/>
      <c r="M7" s="1566"/>
      <c r="N7" s="1566"/>
      <c r="O7" s="1566"/>
      <c r="P7" s="1566"/>
      <c r="Q7" s="1566"/>
      <c r="R7" s="1566"/>
      <c r="S7" s="1566"/>
    </row>
    <row r="9" spans="1:33" ht="13.8" thickBot="1">
      <c r="B9" s="221"/>
      <c r="C9" s="150" t="s">
        <v>231</v>
      </c>
      <c r="D9" s="135"/>
      <c r="E9" s="28"/>
      <c r="F9" s="1569" t="s">
        <v>282</v>
      </c>
      <c r="G9" s="135"/>
      <c r="H9" s="135"/>
      <c r="I9" s="135"/>
      <c r="J9" s="28"/>
      <c r="L9" s="3217" t="s">
        <v>341</v>
      </c>
      <c r="M9" s="3217"/>
      <c r="N9" s="3217"/>
      <c r="P9" s="1567" t="s">
        <v>2</v>
      </c>
      <c r="Q9" s="1567"/>
      <c r="S9" s="1587"/>
      <c r="V9" s="1202" t="s">
        <v>266</v>
      </c>
    </row>
    <row r="10" spans="1:33" ht="13.8">
      <c r="B10" s="171" t="s">
        <v>238</v>
      </c>
      <c r="C10" s="1571" t="s">
        <v>342</v>
      </c>
      <c r="D10" s="1570" t="s">
        <v>343</v>
      </c>
      <c r="E10" s="855" t="s">
        <v>344</v>
      </c>
      <c r="F10" s="124"/>
      <c r="G10" s="124"/>
      <c r="H10" s="124"/>
      <c r="I10" s="124"/>
      <c r="J10" s="115"/>
      <c r="L10" s="1428" t="s">
        <v>345</v>
      </c>
      <c r="M10" s="1565" t="s">
        <v>346</v>
      </c>
      <c r="N10" s="1565"/>
      <c r="P10" s="3218" t="s">
        <v>347</v>
      </c>
      <c r="Q10" s="3218"/>
      <c r="S10" s="1588" t="s">
        <v>348</v>
      </c>
      <c r="V10" s="1030" t="s">
        <v>263</v>
      </c>
      <c r="Y10" s="1922" t="s">
        <v>860</v>
      </c>
      <c r="Z10" s="1952"/>
    </row>
    <row r="11" spans="1:33" ht="13.8" thickBot="1">
      <c r="B11" s="172"/>
      <c r="C11" s="114"/>
      <c r="D11" s="124"/>
      <c r="E11" s="115"/>
      <c r="F11" s="638" t="s">
        <v>345</v>
      </c>
      <c r="G11" s="3219" t="s">
        <v>689</v>
      </c>
      <c r="H11" s="3219"/>
      <c r="I11" s="3215" t="s">
        <v>688</v>
      </c>
      <c r="J11" s="3216"/>
      <c r="L11" s="1428"/>
      <c r="M11" s="1396" t="s">
        <v>690</v>
      </c>
      <c r="N11" s="1397" t="s">
        <v>691</v>
      </c>
      <c r="P11" s="1396" t="s">
        <v>690</v>
      </c>
      <c r="Q11" s="1397" t="s">
        <v>691</v>
      </c>
      <c r="S11" s="1589"/>
      <c r="V11" s="1030" t="s">
        <v>265</v>
      </c>
      <c r="Y11" s="1963" t="s">
        <v>690</v>
      </c>
      <c r="Z11" s="1963" t="s">
        <v>691</v>
      </c>
    </row>
    <row r="12" spans="1:33" ht="14.4" thickBot="1">
      <c r="B12" s="221" t="s">
        <v>236</v>
      </c>
      <c r="C12" s="1573">
        <f>VLOOKUP(clim_full,' IPCC'!$A$725:$B$736,2,)</f>
        <v>0</v>
      </c>
      <c r="D12" s="2403">
        <f>IF('5. Degradation'!H202="",'5. Degradation'!F202,'5. Degradation'!H202)</f>
        <v>0</v>
      </c>
      <c r="E12" s="866" t="s">
        <v>359</v>
      </c>
      <c r="F12" s="1991">
        <f>'5. Degradation'!F33</f>
        <v>0</v>
      </c>
      <c r="G12" s="2053">
        <f>'5. Degradation'!H33</f>
        <v>0</v>
      </c>
      <c r="H12" s="2397" t="str">
        <f>VLOOKUP('5. Degradation'!I33,List!$D$35:$E$37,2,)</f>
        <v>Linear</v>
      </c>
      <c r="I12" s="1992">
        <f>'5. Degradation'!J33</f>
        <v>0</v>
      </c>
      <c r="J12" s="2397" t="str">
        <f>VLOOKUP('5. Degradation'!K33,List!$D$35:$E$37,2,)</f>
        <v>Linear</v>
      </c>
      <c r="L12" s="1400">
        <f t="shared" ref="L12:M15" si="0">IF($E12="YES",$C12,$D12)*F12*44/12</f>
        <v>0</v>
      </c>
      <c r="M12" s="1400">
        <f t="shared" si="0"/>
        <v>0</v>
      </c>
      <c r="N12" s="1400">
        <f>IF($E12="YES",$C12,$D12)*I12*44/12</f>
        <v>0</v>
      </c>
      <c r="P12" s="1400">
        <f>MIN(L12,M12)*time_tot+ABS(M12-L12)*IF(M12&gt;L12,time2+time*(VLOOKUP(H12,List!$E$35:$F$37,2,)),time*(1-(VLOOKUP(H12,List!$E$35:$F$37,2,))))</f>
        <v>0</v>
      </c>
      <c r="Q12" s="1400">
        <f>MIN(L12,N12)*time_tot+ABS(N12-L12)*IF(N12&gt;L12,time2+time*(VLOOKUP(J12,List!$E$35:$F$37,2,)),time*(1-(VLOOKUP(J12,List!$E$35:$F$37,2,))))</f>
        <v>0</v>
      </c>
      <c r="S12" s="1404">
        <f>Q12-P12</f>
        <v>0</v>
      </c>
      <c r="U12" s="221" t="str">
        <f>B12</f>
        <v>Managed Forest</v>
      </c>
      <c r="V12" s="1630">
        <f>MAX(F12:G12,I12)</f>
        <v>0</v>
      </c>
      <c r="Y12" s="1964">
        <f>MIN(L12,M12)*time+ABS(M12-L12)*IF(M12&gt;L12,time*(VLOOKUP(H12,List!$E$35:$F$37,2,)),time*(1-(VLOOKUP(H12,List!$E$35:$F$37,2,))))</f>
        <v>0</v>
      </c>
      <c r="Z12" s="1964">
        <f>MIN(L12,N12)*time+ABS(N12-L12)*IF(N12&gt;L12,time*(VLOOKUP(J12,List!$E$35:$F$37,2,)),time*(1-(VLOOKUP(J12,List!$E$35:$F$37,2,))))</f>
        <v>0</v>
      </c>
    </row>
    <row r="13" spans="1:33" ht="14.4" thickBot="1">
      <c r="B13" s="171" t="s">
        <v>1110</v>
      </c>
      <c r="C13" s="1573">
        <f>VLOOKUP(clim_full,' IPCC'!$A$739:$B$750,2,)</f>
        <v>0</v>
      </c>
      <c r="D13" s="2403">
        <f>IF('5. Degradation'!H203="",'5. Degradation'!F203,'5. Degradation'!H203)</f>
        <v>0</v>
      </c>
      <c r="E13" s="866" t="s">
        <v>359</v>
      </c>
      <c r="F13" s="1991">
        <f>'5. Degradation'!F34</f>
        <v>0</v>
      </c>
      <c r="G13" s="2053">
        <f>'5. Degradation'!H34</f>
        <v>0</v>
      </c>
      <c r="H13" s="2397" t="str">
        <f>VLOOKUP('5. Degradation'!I34,List!$D$35:$E$37,2,)</f>
        <v>Linear</v>
      </c>
      <c r="I13" s="1992">
        <f>'5. Degradation'!J34</f>
        <v>0</v>
      </c>
      <c r="J13" s="2397" t="str">
        <f>VLOOKUP('5. Degradation'!K34,List!$D$35:$E$37,2,)</f>
        <v>Linear</v>
      </c>
      <c r="L13" s="1400">
        <f t="shared" si="0"/>
        <v>0</v>
      </c>
      <c r="M13" s="1400">
        <f t="shared" si="0"/>
        <v>0</v>
      </c>
      <c r="N13" s="1400">
        <f>IF($E13="YES",$C13,$D13)*I13*44/12</f>
        <v>0</v>
      </c>
      <c r="P13" s="1400">
        <f>MIN(L13,M13)*time_tot+ABS(M13-L13)*IF(M13&gt;L13,time2+time*(VLOOKUP(H13,List!$E$35:$F$37,2,)),time*(1-(VLOOKUP(H13,List!$E$35:$F$37,2,))))</f>
        <v>0</v>
      </c>
      <c r="Q13" s="1400">
        <f>MIN(L13,N13)*time_tot+ABS(N13-L13)*IF(N13&gt;L13,time2+time*(VLOOKUP(J13,List!$E$35:$F$37,2,)),time*(1-(VLOOKUP(J13,List!$E$35:$F$37,2,))))</f>
        <v>0</v>
      </c>
      <c r="S13" s="1404">
        <f>Q13-P13</f>
        <v>0</v>
      </c>
      <c r="U13" s="171" t="str">
        <f>B13</f>
        <v>Annual</v>
      </c>
      <c r="V13" s="1631">
        <f>MAX(F13:G13,I13)</f>
        <v>0</v>
      </c>
      <c r="Y13" s="1964">
        <f>MIN(L13,M13)*time+ABS(M13-L13)*IF(M13&gt;L13,time*(VLOOKUP(H13,List!$E$35:$F$37,2,)),time*(1-(VLOOKUP(H13,List!$E$35:$F$37,2,))))</f>
        <v>0</v>
      </c>
      <c r="Z13" s="1964">
        <f>MIN(L13,N13)*time+ABS(N13-L13)*IF(N13&gt;L13,time*(VLOOKUP(J13,List!$E$35:$F$37,2,)),time*(1-(VLOOKUP(J13,List!$E$35:$F$37,2,))))</f>
        <v>0</v>
      </c>
    </row>
    <row r="14" spans="1:33" ht="14.4" thickBot="1">
      <c r="B14" s="171" t="s">
        <v>1111</v>
      </c>
      <c r="C14" s="1573">
        <f>VLOOKUP(clim_full,' IPCC'!$A$725:$B$736,2,)</f>
        <v>0</v>
      </c>
      <c r="D14" s="2403">
        <f>IF('5. Degradation'!H204="",'5. Degradation'!F204,'5. Degradation'!H204)</f>
        <v>0</v>
      </c>
      <c r="E14" s="866" t="s">
        <v>359</v>
      </c>
      <c r="F14" s="1991">
        <f>'5. Degradation'!F35</f>
        <v>0</v>
      </c>
      <c r="G14" s="2053">
        <f>'5. Degradation'!H35</f>
        <v>0</v>
      </c>
      <c r="H14" s="2397" t="str">
        <f>VLOOKUP('5. Degradation'!I35,List!$D$35:$E$37,2,)</f>
        <v>Linear</v>
      </c>
      <c r="I14" s="1992">
        <f>'5. Degradation'!J35</f>
        <v>0</v>
      </c>
      <c r="J14" s="2397" t="str">
        <f>VLOOKUP('5. Degradation'!K35,List!$D$35:$E$37,2,)</f>
        <v>Linear</v>
      </c>
      <c r="L14" s="1400">
        <f t="shared" si="0"/>
        <v>0</v>
      </c>
      <c r="M14" s="1400">
        <f t="shared" si="0"/>
        <v>0</v>
      </c>
      <c r="N14" s="1400">
        <f>IF($E14="YES",$C14,$D14)*I14*44/12</f>
        <v>0</v>
      </c>
      <c r="P14" s="1400">
        <f>MIN(L14,M14)*time_tot+ABS(M14-L14)*IF(M14&gt;L14,time2+time*(VLOOKUP(H14,List!$E$35:$F$37,2,)),time*(1-(VLOOKUP(H14,List!$E$35:$F$37,2,))))</f>
        <v>0</v>
      </c>
      <c r="Q14" s="1400">
        <f>MIN(L14,N14)*time_tot+ABS(N14-L14)*IF(N14&gt;L14,time2+time*(VLOOKUP(J14,List!$E$35:$F$37,2,)),time*(1-(VLOOKUP(J14,List!$E$35:$F$37,2,))))</f>
        <v>0</v>
      </c>
      <c r="S14" s="1404">
        <f>Q14-P14</f>
        <v>0</v>
      </c>
      <c r="U14" s="171" t="str">
        <f>B14</f>
        <v>Perennial</v>
      </c>
      <c r="V14" s="1631">
        <f>MAX(F14:G14,I14)</f>
        <v>0</v>
      </c>
      <c r="Y14" s="1964">
        <f>MIN(L14,M14)*time+ABS(M14-L14)*IF(M14&gt;L14,time*(VLOOKUP(H14,List!$E$35:$F$37,2,)),time*(1-(VLOOKUP(H14,List!$E$35:$F$37,2,))))</f>
        <v>0</v>
      </c>
      <c r="Z14" s="1964">
        <f>MIN(L14,N14)*time+ABS(N14-L14)*IF(N14&gt;L14,time*(VLOOKUP(J14,List!$E$35:$F$37,2,)),time*(1-(VLOOKUP(J14,List!$E$35:$F$37,2,))))</f>
        <v>0</v>
      </c>
    </row>
    <row r="15" spans="1:33" ht="13.8">
      <c r="B15" s="172" t="s">
        <v>334</v>
      </c>
      <c r="C15" s="1573">
        <f>VLOOKUP(clim_full,' IPCC'!$A$753:$B$764,2,)</f>
        <v>0</v>
      </c>
      <c r="D15" s="2403">
        <f>IF('5. Degradation'!H205="",'5. Degradation'!F205,'5. Degradation'!H205)</f>
        <v>0</v>
      </c>
      <c r="E15" s="866" t="s">
        <v>359</v>
      </c>
      <c r="F15" s="1991">
        <f>'5. Degradation'!F36</f>
        <v>0</v>
      </c>
      <c r="G15" s="2053">
        <f>'5. Degradation'!H36</f>
        <v>0</v>
      </c>
      <c r="H15" s="2397" t="str">
        <f>VLOOKUP('5. Degradation'!I36,List!$D$35:$E$37,2,)</f>
        <v>Linear</v>
      </c>
      <c r="I15" s="1992">
        <f>'5. Degradation'!J36</f>
        <v>0</v>
      </c>
      <c r="J15" s="2397" t="str">
        <f>VLOOKUP('5. Degradation'!K36,List!$D$35:$E$37,2,)</f>
        <v>Linear</v>
      </c>
      <c r="L15" s="1400">
        <f t="shared" si="0"/>
        <v>0</v>
      </c>
      <c r="M15" s="1400">
        <f t="shared" si="0"/>
        <v>0</v>
      </c>
      <c r="N15" s="1400">
        <f>IF($E15="YES",$C15,$D15)*I15*44/12</f>
        <v>0</v>
      </c>
      <c r="P15" s="1400">
        <f>MIN(L15,M15)*time_tot+ABS(M15-L15)*IF(M15&gt;L15,time2+time*(VLOOKUP(H15,List!$E$35:$F$37,2,)),time*(1-(VLOOKUP(H15,List!$E$35:$F$37,2,))))</f>
        <v>0</v>
      </c>
      <c r="Q15" s="1400">
        <f>MIN(L15,N15)*time_tot+ABS(N15-L15)*IF(N15&gt;L15,time2+time*(VLOOKUP(J15,List!$E$35:$F$37,2,)),time*(1-(VLOOKUP(J15,List!$E$35:$F$37,2,))))</f>
        <v>0</v>
      </c>
      <c r="S15" s="1404">
        <f>Q15-P15</f>
        <v>0</v>
      </c>
      <c r="U15" s="172" t="str">
        <f>B15</f>
        <v>Grassland</v>
      </c>
      <c r="V15" s="1632">
        <f>MAX(F15:G15,I15)</f>
        <v>0</v>
      </c>
      <c r="Y15" s="1964">
        <f>MIN(L15,M15)*time+ABS(M15-L15)*IF(M15&gt;L15,time*(VLOOKUP(H15,List!$E$35:$F$37,2,)),time*(1-(VLOOKUP(H15,List!$E$35:$F$37,2,))))</f>
        <v>0</v>
      </c>
      <c r="Z15" s="1964">
        <f>MIN(L15,N15)*time+ABS(N15-L15)*IF(N15&gt;L15,time*(VLOOKUP(J15,List!$E$35:$F$37,2,)),time*(1-(VLOOKUP(J15,List!$E$35:$F$37,2,))))</f>
        <v>0</v>
      </c>
    </row>
    <row r="16" spans="1:33">
      <c r="Y16" s="1952"/>
      <c r="Z16" s="1964"/>
    </row>
    <row r="17" spans="2:26">
      <c r="B17" s="1566" t="s">
        <v>245</v>
      </c>
      <c r="C17" s="1572"/>
      <c r="D17" s="1566"/>
      <c r="E17" s="1566"/>
      <c r="F17" s="1566"/>
      <c r="G17" s="1566"/>
      <c r="H17" s="1566"/>
      <c r="I17" s="1566"/>
      <c r="J17" s="1566"/>
      <c r="K17" s="1566"/>
      <c r="L17" s="1566"/>
      <c r="M17" s="1566"/>
      <c r="N17" s="1566"/>
      <c r="O17" s="1566"/>
      <c r="P17" s="1566"/>
      <c r="Q17" s="1566"/>
      <c r="R17" s="1566"/>
      <c r="S17" s="1566"/>
      <c r="Y17" s="1952"/>
      <c r="Z17" s="1964"/>
    </row>
    <row r="18" spans="2:26">
      <c r="Y18" s="1952"/>
      <c r="Z18" s="1964"/>
    </row>
    <row r="19" spans="2:26" ht="13.8" thickBot="1">
      <c r="B19" s="221"/>
      <c r="C19" s="150" t="s">
        <v>231</v>
      </c>
      <c r="D19" s="135"/>
      <c r="E19" s="28"/>
      <c r="F19" s="1569" t="s">
        <v>282</v>
      </c>
      <c r="G19" s="135"/>
      <c r="H19" s="135"/>
      <c r="I19" s="135"/>
      <c r="J19" s="28"/>
      <c r="L19" s="3217" t="s">
        <v>341</v>
      </c>
      <c r="M19" s="3217"/>
      <c r="N19" s="3217"/>
      <c r="P19" s="1567" t="s">
        <v>2</v>
      </c>
      <c r="Q19" s="1567"/>
      <c r="S19" s="1567"/>
      <c r="V19" s="1202" t="s">
        <v>266</v>
      </c>
      <c r="Y19" s="1952"/>
      <c r="Z19" s="1964"/>
    </row>
    <row r="20" spans="2:26" ht="13.8">
      <c r="B20" s="171" t="s">
        <v>239</v>
      </c>
      <c r="C20" s="1571" t="s">
        <v>342</v>
      </c>
      <c r="D20" s="1570" t="s">
        <v>343</v>
      </c>
      <c r="E20" s="855" t="s">
        <v>344</v>
      </c>
      <c r="F20" s="124"/>
      <c r="G20" s="124"/>
      <c r="H20" s="124"/>
      <c r="I20" s="124"/>
      <c r="J20" s="115"/>
      <c r="L20" s="1428" t="s">
        <v>345</v>
      </c>
      <c r="M20" s="1565" t="s">
        <v>346</v>
      </c>
      <c r="N20" s="1565"/>
      <c r="P20" s="3218" t="s">
        <v>347</v>
      </c>
      <c r="Q20" s="3218"/>
      <c r="S20" s="84" t="s">
        <v>348</v>
      </c>
      <c r="V20" s="1030" t="s">
        <v>264</v>
      </c>
      <c r="Y20" s="1922" t="s">
        <v>860</v>
      </c>
      <c r="Z20" s="1952"/>
    </row>
    <row r="21" spans="2:26" ht="13.8" thickBot="1">
      <c r="B21" s="172"/>
      <c r="C21" s="114"/>
      <c r="D21" s="124"/>
      <c r="E21" s="115"/>
      <c r="F21" s="638" t="s">
        <v>345</v>
      </c>
      <c r="G21" s="3219" t="s">
        <v>689</v>
      </c>
      <c r="H21" s="3219"/>
      <c r="I21" s="3215" t="s">
        <v>688</v>
      </c>
      <c r="J21" s="3216"/>
      <c r="L21" s="1428"/>
      <c r="M21" s="1396" t="s">
        <v>690</v>
      </c>
      <c r="N21" s="1397" t="s">
        <v>691</v>
      </c>
      <c r="P21" s="1396" t="s">
        <v>690</v>
      </c>
      <c r="Q21" s="1397" t="s">
        <v>691</v>
      </c>
      <c r="S21" s="1399"/>
      <c r="V21" s="917" t="s">
        <v>265</v>
      </c>
      <c r="Y21" s="1963" t="s">
        <v>690</v>
      </c>
      <c r="Z21" s="1963" t="s">
        <v>691</v>
      </c>
    </row>
    <row r="22" spans="2:26" ht="14.4" thickBot="1">
      <c r="B22" s="221" t="s">
        <v>234</v>
      </c>
      <c r="C22" s="1573">
        <f>VLOOKUP(clim_full,' IPCC'!$A$767:$B$778,2,)</f>
        <v>0</v>
      </c>
      <c r="D22" s="2403">
        <f>IF('5. Degradation'!H210="",'5. Degradation'!F210,'5. Degradation'!H210)</f>
        <v>0</v>
      </c>
      <c r="E22" s="866" t="s">
        <v>359</v>
      </c>
      <c r="F22" s="1991">
        <f>'5. Degradation'!F46</f>
        <v>0</v>
      </c>
      <c r="G22" s="2053">
        <f>'5. Degradation'!H46</f>
        <v>0</v>
      </c>
      <c r="H22" s="2397" t="str">
        <f>VLOOKUP('5. Degradation'!I46,List!$D$35:$E$37,2,)</f>
        <v>Linear</v>
      </c>
      <c r="I22" s="1992">
        <f>'5. Degradation'!J46</f>
        <v>0</v>
      </c>
      <c r="J22" s="2397" t="str">
        <f>VLOOKUP('5. Degradation'!K46,List!$D$35:$E$37,2,)</f>
        <v>Linear</v>
      </c>
      <c r="L22" s="1400">
        <f>IF($E22="YES",$C22,$D22)*F22*44/12</f>
        <v>0</v>
      </c>
      <c r="M22" s="1400">
        <f>IF($E22="YES",$C22,$D22)*G22*44/12</f>
        <v>0</v>
      </c>
      <c r="N22" s="1400">
        <f>IF($E22="YES",$C22,$D22)*I22*44/12</f>
        <v>0</v>
      </c>
      <c r="P22" s="1400">
        <f>MIN(L22,M22)*time_tot+ABS(M22-L22)*IF(M22&gt;L22,time2+time*(VLOOKUP(H22,List!$E$35:$F$37,2,)),time*(1-(VLOOKUP(H22,List!$E$35:$F$37,2,))))</f>
        <v>0</v>
      </c>
      <c r="Q22" s="1400">
        <f>MIN(L22,N22)*time_tot+ABS(N22-L22)*IF(N22&gt;L22,time2+time*(VLOOKUP(J22,List!$E$35:$F$37,2,)),time*(1-(VLOOKUP(J22,List!$E$35:$F$37,2,))))</f>
        <v>0</v>
      </c>
      <c r="S22" s="1404">
        <f>Q22-P22</f>
        <v>0</v>
      </c>
      <c r="U22" s="221" t="str">
        <f>B22</f>
        <v>Nutrient-poot peat</v>
      </c>
      <c r="V22" s="1633">
        <f>MAX(F22:G22,I22)</f>
        <v>0</v>
      </c>
      <c r="Y22" s="1964">
        <f>MIN(L22,M22)*time+ABS(M22-L22)*IF(M22&gt;L22,time*(VLOOKUP(H22,List!$E$35:$F$37,2,)),time*(1-(VLOOKUP(H22,List!$E$35:$F$37,2,))))</f>
        <v>0</v>
      </c>
      <c r="Z22" s="1964">
        <f>MIN(L22,N22)*time+ABS(N22-L22)*IF(N22&gt;L22,time*(VLOOKUP(J22,List!$E$35:$F$37,2,)),time*(1-(VLOOKUP(J22,List!$E$35:$F$37,2,))))</f>
        <v>0</v>
      </c>
    </row>
    <row r="23" spans="2:26" ht="13.8">
      <c r="B23" s="172" t="s">
        <v>235</v>
      </c>
      <c r="C23" s="1573">
        <f>VLOOKUP(clim_full,' IPCC'!$A$781:$B$792,2,)</f>
        <v>0</v>
      </c>
      <c r="D23" s="2403">
        <f>IF('5. Degradation'!H211="",'5. Degradation'!F211,'5. Degradation'!H211)</f>
        <v>0</v>
      </c>
      <c r="E23" s="866" t="s">
        <v>359</v>
      </c>
      <c r="F23" s="1991">
        <f>'5. Degradation'!F47</f>
        <v>0</v>
      </c>
      <c r="G23" s="2053">
        <f>'5. Degradation'!H47</f>
        <v>0</v>
      </c>
      <c r="H23" s="2397" t="str">
        <f>VLOOKUP('5. Degradation'!I47,List!$D$35:$E$37,2,)</f>
        <v>Linear</v>
      </c>
      <c r="I23" s="1992">
        <f>'5. Degradation'!J47</f>
        <v>0</v>
      </c>
      <c r="J23" s="2397" t="str">
        <f>VLOOKUP('5. Degradation'!K47,List!$D$35:$E$37,2,)</f>
        <v>Linear</v>
      </c>
      <c r="L23" s="1400">
        <f>IF($E23="YES",$C23,$D23)*F23*44/12</f>
        <v>0</v>
      </c>
      <c r="M23" s="1400">
        <f>IF($E23="YES",$C23,$D23)*G23*44/12</f>
        <v>0</v>
      </c>
      <c r="N23" s="1400">
        <f>IF($E23="YES",$C23,$D23)*I23*44/12</f>
        <v>0</v>
      </c>
      <c r="P23" s="1400">
        <f>MIN(L23,M23)*time_tot+ABS(M23-L23)*IF(M23&gt;L23,time2+time*(VLOOKUP(H23,List!$E$35:$F$37,2,)),time*(1-(VLOOKUP(H23,List!$E$35:$F$37,2,))))</f>
        <v>0</v>
      </c>
      <c r="Q23" s="1400">
        <f>MIN(L23,N23)*time_tot+ABS(N23-L23)*IF(N23&gt;L23,time2+time*(VLOOKUP(J23,List!$E$35:$F$37,2,)),time*(1-(VLOOKUP(J23,List!$E$35:$F$37,2,))))</f>
        <v>0</v>
      </c>
      <c r="S23" s="1404">
        <f>Q23-P23</f>
        <v>0</v>
      </c>
      <c r="U23" s="172" t="str">
        <f>B23</f>
        <v>Nutrient Rich</v>
      </c>
      <c r="V23" s="1634">
        <f>MAX(F23:G23,I23)</f>
        <v>0</v>
      </c>
      <c r="Y23" s="1964">
        <f>MIN(L23,M23)*time+ABS(M23-L23)*IF(M23&gt;L23,time*(VLOOKUP(H23,List!$E$35:$F$37,2,)),time*(1-(VLOOKUP(H23,List!$E$35:$F$37,2,))))</f>
        <v>0</v>
      </c>
      <c r="Z23" s="1964">
        <f>MIN(L23,N23)*time+ABS(N23-L23)*IF(N23&gt;L23,time*(VLOOKUP(J23,List!$E$35:$F$37,2,)),time*(1-(VLOOKUP(J23,List!$E$35:$F$37,2,))))</f>
        <v>0</v>
      </c>
    </row>
    <row r="24" spans="2:26">
      <c r="Y24" s="1952"/>
      <c r="Z24" s="1964"/>
    </row>
    <row r="25" spans="2:26">
      <c r="B25" s="1566" t="s">
        <v>481</v>
      </c>
      <c r="C25" s="1572"/>
      <c r="D25" s="1566"/>
      <c r="E25" s="1566"/>
      <c r="F25" s="1566"/>
      <c r="G25" s="1566"/>
      <c r="H25" s="1566"/>
      <c r="I25" s="1566"/>
      <c r="J25" s="1566"/>
      <c r="K25" s="1566"/>
      <c r="L25" s="1566"/>
      <c r="M25" s="1566"/>
      <c r="N25" s="1566"/>
      <c r="O25" s="1566"/>
      <c r="P25" s="1566"/>
      <c r="Q25" s="1566"/>
      <c r="R25" s="1566"/>
      <c r="S25" s="1566"/>
      <c r="Y25" s="1952"/>
      <c r="Z25" s="1964"/>
    </row>
    <row r="26" spans="2:26">
      <c r="Y26" s="1952"/>
      <c r="Z26" s="1964"/>
    </row>
    <row r="27" spans="2:26" ht="12.75" customHeight="1" thickBot="1">
      <c r="B27" s="221"/>
      <c r="C27" s="3212" t="s">
        <v>247</v>
      </c>
      <c r="D27" s="3213"/>
      <c r="E27" s="3214"/>
      <c r="F27" s="1569" t="s">
        <v>246</v>
      </c>
      <c r="G27" s="135"/>
      <c r="H27" s="135"/>
      <c r="I27" s="135"/>
      <c r="J27" s="28"/>
      <c r="L27" s="3217" t="s">
        <v>341</v>
      </c>
      <c r="M27" s="3217"/>
      <c r="N27" s="3217"/>
      <c r="P27" s="1567" t="s">
        <v>2</v>
      </c>
      <c r="Q27" s="1567"/>
      <c r="S27" s="1567"/>
      <c r="U27" s="3166" t="s">
        <v>252</v>
      </c>
      <c r="V27" s="3087"/>
      <c r="Y27" s="1952"/>
      <c r="Z27" s="1964"/>
    </row>
    <row r="28" spans="2:26" ht="12.75" customHeight="1">
      <c r="B28" s="171" t="s">
        <v>239</v>
      </c>
      <c r="C28" s="1571" t="s">
        <v>342</v>
      </c>
      <c r="D28" s="1570" t="s">
        <v>343</v>
      </c>
      <c r="E28" s="855" t="s">
        <v>344</v>
      </c>
      <c r="F28" s="124" t="s">
        <v>249</v>
      </c>
      <c r="G28" s="124"/>
      <c r="H28" s="124"/>
      <c r="I28" s="124"/>
      <c r="J28" s="115"/>
      <c r="L28" s="1428" t="s">
        <v>345</v>
      </c>
      <c r="M28" s="1565" t="s">
        <v>346</v>
      </c>
      <c r="N28" s="1565"/>
      <c r="P28" s="3218" t="s">
        <v>347</v>
      </c>
      <c r="Q28" s="3218"/>
      <c r="S28" s="84" t="s">
        <v>348</v>
      </c>
      <c r="U28" s="126" t="s">
        <v>250</v>
      </c>
      <c r="V28" s="31" t="s">
        <v>251</v>
      </c>
      <c r="Y28" s="1922" t="s">
        <v>860</v>
      </c>
      <c r="Z28" s="1952"/>
    </row>
    <row r="29" spans="2:26" ht="13.8" thickBot="1">
      <c r="B29" s="172"/>
      <c r="C29" s="114"/>
      <c r="D29" s="124"/>
      <c r="E29" s="115"/>
      <c r="F29" s="638" t="s">
        <v>345</v>
      </c>
      <c r="G29" s="3219" t="s">
        <v>689</v>
      </c>
      <c r="H29" s="3219"/>
      <c r="I29" s="3215" t="s">
        <v>688</v>
      </c>
      <c r="J29" s="3216"/>
      <c r="L29" s="1428"/>
      <c r="M29" s="1396" t="s">
        <v>690</v>
      </c>
      <c r="N29" s="1397" t="s">
        <v>691</v>
      </c>
      <c r="P29" s="1396" t="s">
        <v>690</v>
      </c>
      <c r="Q29" s="1397" t="s">
        <v>691</v>
      </c>
      <c r="S29" s="1399"/>
      <c r="U29" s="126" t="s">
        <v>253</v>
      </c>
      <c r="V29" s="31" t="s">
        <v>254</v>
      </c>
      <c r="Y29" s="1963" t="s">
        <v>690</v>
      </c>
      <c r="Z29" s="1963" t="s">
        <v>691</v>
      </c>
    </row>
    <row r="30" spans="2:26" ht="13.8">
      <c r="B30" s="219" t="s">
        <v>1640</v>
      </c>
      <c r="C30" s="1573">
        <f>VLOOKUP(clim_full,' IPCC'!$A$795:$B$806,2,)</f>
        <v>0</v>
      </c>
      <c r="D30" s="1568"/>
      <c r="E30" s="866" t="s">
        <v>355</v>
      </c>
      <c r="F30" s="945">
        <v>0</v>
      </c>
      <c r="G30" s="948">
        <v>0</v>
      </c>
      <c r="H30" s="684" t="s">
        <v>356</v>
      </c>
      <c r="I30" s="681">
        <v>0</v>
      </c>
      <c r="J30" s="768" t="s">
        <v>356</v>
      </c>
      <c r="L30" s="1400">
        <f>IF($E30="YES",$C30,$D30)*F30*44/12</f>
        <v>0</v>
      </c>
      <c r="M30" s="1400">
        <f>IF($E30="YES",$C30,$D30)*G30*44/12</f>
        <v>0</v>
      </c>
      <c r="N30" s="1400">
        <f>IF($E30="YES",$C30,$D30)*I30*44/12</f>
        <v>0</v>
      </c>
      <c r="P30" s="1400">
        <f>MIN(L30,M30)*time_tot+ABS(M30-L30)*IF(M30&gt;L30,time2+time*(VLOOKUP(H30,List!$E$35:$F$37,2,)),time*(1-(VLOOKUP(H30,List!$E$35:$F$37,2,))))</f>
        <v>0</v>
      </c>
      <c r="Q30" s="1400">
        <f>MIN(L30,N30)*time_tot+ABS(N30-L30)*IF(N30&gt;L30,time2+time*(VLOOKUP(J30,List!$E$35:$F$37,2,)),time*(1-(VLOOKUP(J30,List!$E$35:$F$37,2,))))</f>
        <v>0</v>
      </c>
      <c r="S30" s="1404">
        <f>Q30-P30</f>
        <v>0</v>
      </c>
      <c r="U30" s="1576">
        <v>1</v>
      </c>
      <c r="V30" s="1628">
        <f>U30*VLOOKUP(clim_full,' IPCC'!$A$823:$B$834,2,)</f>
        <v>0</v>
      </c>
      <c r="Y30" s="1964">
        <f>MIN(L30,M30)*time+ABS(M30-L30)*IF(M30&gt;L30,time*(VLOOKUP(H30,List!$E$35:$F$37,2,)),time*(1-(VLOOKUP(H30,List!$E$35:$F$37,2,))))</f>
        <v>0</v>
      </c>
      <c r="Z30" s="1964">
        <f>MIN(L30,N30)*time+ABS(N30-L30)*IF(N30&gt;L30,time*(VLOOKUP(J30,List!$E$35:$F$37,2,)),time*(1-(VLOOKUP(J30,List!$E$35:$F$37,2,))))</f>
        <v>0</v>
      </c>
    </row>
    <row r="31" spans="2:26" ht="14.4" thickBot="1">
      <c r="B31" s="172" t="s">
        <v>235</v>
      </c>
      <c r="C31" s="1573">
        <f>VLOOKUP(clim_full,' IPCC'!$A$809:$B$820,2,)</f>
        <v>0</v>
      </c>
      <c r="D31" s="1568"/>
      <c r="E31" s="866" t="s">
        <v>355</v>
      </c>
      <c r="F31" s="949">
        <v>0</v>
      </c>
      <c r="G31" s="1564">
        <v>0</v>
      </c>
      <c r="H31" s="684" t="s">
        <v>356</v>
      </c>
      <c r="I31" s="951">
        <v>0</v>
      </c>
      <c r="J31" s="768" t="s">
        <v>356</v>
      </c>
      <c r="L31" s="1400">
        <f>IF($E31="YES",$C31,$D31)*F31*44/12</f>
        <v>0</v>
      </c>
      <c r="M31" s="1400">
        <f>IF($E31="YES",$C31,$D31)*G31*44/12</f>
        <v>0</v>
      </c>
      <c r="N31" s="1400">
        <f>IF($E31="YES",$C31,$D31)*I31*44/12</f>
        <v>0</v>
      </c>
      <c r="P31" s="1400">
        <f>MIN(L31,M31)*time_tot+ABS(M31-L31)*IF(M31&gt;L31,time2+time*(VLOOKUP(H31,List!$E$35:$F$37,2,)),time*(1-(VLOOKUP(H31,List!$E$35:$F$37,2,))))</f>
        <v>0</v>
      </c>
      <c r="Q31" s="1400">
        <f>MIN(L31,N31)*time_tot+ABS(N31-L31)*IF(N31&gt;L31,time2+time*(VLOOKUP(J31,List!$E$35:$F$37,2,)),time*(1-(VLOOKUP(J31,List!$E$35:$F$37,2,))))</f>
        <v>0</v>
      </c>
      <c r="S31" s="1404">
        <f>Q31-P31</f>
        <v>0</v>
      </c>
      <c r="U31" s="1577">
        <v>1</v>
      </c>
      <c r="V31" s="1629">
        <f>U31*VLOOKUP(clim_full,' IPCC'!$A$837:$B$848,2,)</f>
        <v>0</v>
      </c>
      <c r="Y31" s="1964">
        <f>MIN(L31,M31)*time+ABS(M31-L31)*IF(M31&gt;L31,time*(VLOOKUP(H31,List!$E$35:$F$37,2,)),time*(1-(VLOOKUP(H31,List!$E$35:$F$37,2,))))</f>
        <v>0</v>
      </c>
      <c r="Z31" s="1964">
        <f>MIN(L31,N31)*time+ABS(N31-L31)*IF(N31&gt;L31,time*(VLOOKUP(J31,List!$E$35:$F$37,2,)),time*(1-(VLOOKUP(J31,List!$E$35:$F$37,2,))))</f>
        <v>0</v>
      </c>
    </row>
    <row r="32" spans="2:26">
      <c r="B32" s="1" t="s">
        <v>248</v>
      </c>
      <c r="Y32" s="1952"/>
      <c r="Z32" s="1964"/>
    </row>
    <row r="33" spans="2:29">
      <c r="B33" s="210" t="s">
        <v>480</v>
      </c>
      <c r="Y33" s="1952"/>
      <c r="Z33" s="1964"/>
    </row>
    <row r="34" spans="2:29">
      <c r="B34" s="1566" t="s">
        <v>258</v>
      </c>
      <c r="C34" s="1572"/>
      <c r="D34" s="1566"/>
      <c r="E34" s="1566"/>
      <c r="F34" s="1566"/>
      <c r="G34" s="1566"/>
      <c r="H34" s="1566"/>
      <c r="I34" s="1566"/>
      <c r="J34" s="1566"/>
      <c r="K34" s="1566"/>
      <c r="L34" s="1566"/>
      <c r="M34" s="1566"/>
      <c r="N34" s="1566"/>
      <c r="O34" s="1566"/>
      <c r="P34" s="1566"/>
      <c r="Q34" s="1566"/>
      <c r="R34" s="1566"/>
      <c r="S34" s="1566"/>
      <c r="Y34" s="1952"/>
      <c r="Z34" s="1964"/>
    </row>
    <row r="35" spans="2:29">
      <c r="Y35" s="1952"/>
      <c r="Z35" s="1964"/>
    </row>
    <row r="36" spans="2:29" ht="13.8" thickBot="1">
      <c r="B36" s="221"/>
      <c r="C36" s="193" t="s">
        <v>261</v>
      </c>
      <c r="D36" s="135"/>
      <c r="E36" s="28"/>
      <c r="F36" s="1569" t="s">
        <v>282</v>
      </c>
      <c r="G36" s="135"/>
      <c r="H36" s="135"/>
      <c r="I36" s="135"/>
      <c r="J36" s="28"/>
      <c r="L36" s="3217" t="s">
        <v>341</v>
      </c>
      <c r="M36" s="3217"/>
      <c r="N36" s="3217"/>
      <c r="P36" s="1567" t="s">
        <v>2</v>
      </c>
      <c r="Q36" s="1567"/>
      <c r="S36" s="1567"/>
      <c r="Y36" s="1922" t="s">
        <v>860</v>
      </c>
      <c r="Z36" s="1952"/>
    </row>
    <row r="37" spans="2:29" ht="13.8">
      <c r="B37" s="171" t="s">
        <v>239</v>
      </c>
      <c r="C37" s="1571" t="s">
        <v>342</v>
      </c>
      <c r="D37" s="1570" t="s">
        <v>343</v>
      </c>
      <c r="E37" s="855" t="s">
        <v>344</v>
      </c>
      <c r="F37" s="124"/>
      <c r="G37" s="124"/>
      <c r="H37" s="124"/>
      <c r="I37" s="124"/>
      <c r="J37" s="115"/>
      <c r="L37" s="1428" t="s">
        <v>345</v>
      </c>
      <c r="M37" s="1565" t="s">
        <v>346</v>
      </c>
      <c r="N37" s="1565"/>
      <c r="P37" s="3218" t="s">
        <v>347</v>
      </c>
      <c r="Q37" s="3218"/>
      <c r="S37" s="84" t="s">
        <v>348</v>
      </c>
      <c r="Y37" s="1963" t="s">
        <v>690</v>
      </c>
      <c r="Z37" s="1963" t="s">
        <v>691</v>
      </c>
    </row>
    <row r="38" spans="2:29">
      <c r="B38" s="172"/>
      <c r="C38" s="113"/>
      <c r="D38" s="13"/>
      <c r="E38" s="1575"/>
      <c r="F38" s="638" t="s">
        <v>345</v>
      </c>
      <c r="G38" s="3219" t="s">
        <v>689</v>
      </c>
      <c r="H38" s="3219"/>
      <c r="I38" s="3215" t="s">
        <v>688</v>
      </c>
      <c r="J38" s="3216"/>
      <c r="L38" s="1428"/>
      <c r="M38" s="1396" t="s">
        <v>690</v>
      </c>
      <c r="N38" s="1397" t="s">
        <v>691</v>
      </c>
      <c r="P38" s="1396" t="s">
        <v>690</v>
      </c>
      <c r="Q38" s="1397" t="s">
        <v>691</v>
      </c>
      <c r="S38" s="1399"/>
      <c r="Y38" s="1952"/>
      <c r="Z38" s="1964"/>
    </row>
    <row r="39" spans="2:29" ht="13.8">
      <c r="B39" s="221" t="s">
        <v>234</v>
      </c>
      <c r="C39" s="1578">
        <v>0</v>
      </c>
      <c r="D39" s="2405">
        <f>IF('5. Degradation'!N210="",'5. Degradation'!L210,'5. Degradation'!N210)</f>
        <v>0</v>
      </c>
      <c r="E39" s="1579" t="s">
        <v>359</v>
      </c>
      <c r="F39" s="1582">
        <f t="shared" ref="F39:J40" si="1">F22</f>
        <v>0</v>
      </c>
      <c r="G39" s="1583">
        <f t="shared" si="1"/>
        <v>0</v>
      </c>
      <c r="H39" s="2407" t="str">
        <f t="shared" si="1"/>
        <v>Linear</v>
      </c>
      <c r="I39" s="1583">
        <f t="shared" si="1"/>
        <v>0</v>
      </c>
      <c r="J39" s="2409" t="str">
        <f t="shared" si="1"/>
        <v>Linear</v>
      </c>
      <c r="L39" s="1400">
        <f>IF($E39="YES",$C39,$D39)*F39*(44/28)*0.001*Nitrous</f>
        <v>0</v>
      </c>
      <c r="M39" s="1400">
        <f>IF($E39="YES",$C39,$D39)*G39*(44/28)*0.001*Nitrous</f>
        <v>0</v>
      </c>
      <c r="N39" s="1400">
        <f>IF($E39="YES",$C39,$D39)*I39*(44/28)*0.001*Nitrous</f>
        <v>0</v>
      </c>
      <c r="P39" s="1400">
        <f>MIN(L39,M39)*time_tot+ABS(M39-L39)*IF(M39&gt;L39,time2+time*(VLOOKUP(H39,List!$E$35:$F$37,2,)),time*(1-(VLOOKUP(H39,List!$E$35:$F$37,2,))))</f>
        <v>0</v>
      </c>
      <c r="Q39" s="1400">
        <f>MIN(L39,N39)*time_tot+ABS(N39-L39)*IF(N39&gt;L39,time2+time*(VLOOKUP(J39,List!$E$35:$F$37,2,)),time*(1-(VLOOKUP(J39,List!$E$35:$F$37,2,))))</f>
        <v>0</v>
      </c>
      <c r="S39" s="1404">
        <f>Q39-P39</f>
        <v>0</v>
      </c>
      <c r="Y39" s="1964">
        <f>MIN(L39,M39)*time+ABS(M39-L39)*IF(M39&gt;L39,time*(VLOOKUP(H39,List!$E$35:$F$37,2,)),time*(1-(VLOOKUP(H39,List!$E$35:$F$37,2,))))</f>
        <v>0</v>
      </c>
      <c r="Z39" s="1964">
        <f>MIN(L39,N39)*time+ABS(N39-L39)*IF(N39&gt;L39,time*(VLOOKUP(J39,List!$E$35:$F$37,2,)),time*(1-(VLOOKUP(J39,List!$E$35:$F$37,2,))))</f>
        <v>0</v>
      </c>
    </row>
    <row r="40" spans="2:29" ht="13.8">
      <c r="B40" s="172" t="s">
        <v>235</v>
      </c>
      <c r="C40" s="1580">
        <f>VLOOKUP(clim_full,' IPCC'!$A$851:$B$862,2,)</f>
        <v>0</v>
      </c>
      <c r="D40" s="2405">
        <f>IF('5. Degradation'!N211="",'5. Degradation'!L211,'5. Degradation'!N211)</f>
        <v>0</v>
      </c>
      <c r="E40" s="1581" t="s">
        <v>359</v>
      </c>
      <c r="F40" s="1584">
        <f t="shared" si="1"/>
        <v>0</v>
      </c>
      <c r="G40" s="1585">
        <f t="shared" si="1"/>
        <v>0</v>
      </c>
      <c r="H40" s="2408" t="str">
        <f t="shared" si="1"/>
        <v>Linear</v>
      </c>
      <c r="I40" s="1585">
        <f t="shared" si="1"/>
        <v>0</v>
      </c>
      <c r="J40" s="2410" t="str">
        <f t="shared" si="1"/>
        <v>Linear</v>
      </c>
      <c r="L40" s="1400">
        <f>IF($E40="YES",$C40,$D40)*F40*(44/28)*0.001*Nitrous</f>
        <v>0</v>
      </c>
      <c r="M40" s="1400">
        <f>IF($E40="YES",$C40,$D40)*G40*(44/28)*0.001*Nitrous</f>
        <v>0</v>
      </c>
      <c r="N40" s="1400">
        <f>IF($E40="YES",$C40,$D40)*I40*(44/28)*0.001*Nitrous</f>
        <v>0</v>
      </c>
      <c r="P40" s="1400">
        <f>MIN(L40,M40)*time_tot+ABS(M40-L40)*IF(M40&gt;L40,time2+time*(VLOOKUP(H40,List!$E$35:$F$37,2,)),time*(1-(VLOOKUP(H40,List!$E$35:$F$37,2,))))</f>
        <v>0</v>
      </c>
      <c r="Q40" s="1400">
        <f>MIN(L40,N40)*time_tot+ABS(N40-L40)*IF(N40&gt;L40,time2+time*(VLOOKUP(J40,List!$E$35:$F$37,2,)),time*(1-(VLOOKUP(J40,List!$E$35:$F$37,2,))))</f>
        <v>0</v>
      </c>
      <c r="S40" s="1404">
        <f>Q40-P40</f>
        <v>0</v>
      </c>
      <c r="Y40" s="1964">
        <f>MIN(L40,M40)*time+ABS(M40-L40)*IF(M40&gt;L40,time*(VLOOKUP(H40,List!$E$35:$F$37,2,)),time*(1-(VLOOKUP(H40,List!$E$35:$F$37,2,))))</f>
        <v>0</v>
      </c>
      <c r="Z40" s="1964">
        <f>MIN(L40,N40)*time+ABS(N40-L40)*IF(N40&gt;L40,time*(VLOOKUP(J40,List!$E$35:$F$37,2,)),time*(1-(VLOOKUP(J40,List!$E$35:$F$37,2,))))</f>
        <v>0</v>
      </c>
    </row>
    <row r="41" spans="2:29">
      <c r="H41" s="19"/>
    </row>
    <row r="42" spans="2:29" ht="13.8" thickBot="1">
      <c r="AA42" s="1951" t="s">
        <v>278</v>
      </c>
      <c r="AB42" s="1951" t="s">
        <v>279</v>
      </c>
      <c r="AC42" s="1951" t="s">
        <v>280</v>
      </c>
    </row>
    <row r="43" spans="2:29" ht="13.8" thickBot="1">
      <c r="M43" s="262" t="s">
        <v>262</v>
      </c>
      <c r="N43" s="263"/>
      <c r="O43" s="263"/>
      <c r="P43" s="1586">
        <f>SUM(P12:P15)+SUM(P22:P23)+SUM(P30:P31)+SUM(P39:P40)</f>
        <v>0</v>
      </c>
      <c r="Q43" s="1586">
        <f>SUM(Q12:Q15)+SUM(Q22:Q23)+SUM(Q30:Q31)+SUM(Q39:Q40)</f>
        <v>0</v>
      </c>
      <c r="R43" s="1103"/>
      <c r="S43" s="1260">
        <f>Q43-P43</f>
        <v>0</v>
      </c>
      <c r="AA43" s="1964">
        <f>SUM(Y39:Y40,Y30:Y31,Y22:Y23,Y12:Y15)</f>
        <v>0</v>
      </c>
      <c r="AB43" s="1964">
        <f>SUM(Z39:Z40,Z30:Z31,Z22:Z23,Z12:Z15)</f>
        <v>0</v>
      </c>
      <c r="AC43" s="1965">
        <f>AB43-AA43</f>
        <v>0</v>
      </c>
    </row>
    <row r="44" spans="2:29">
      <c r="AC44" s="1951" t="s">
        <v>281</v>
      </c>
    </row>
    <row r="45" spans="2:29">
      <c r="M45" s="293" t="s">
        <v>269</v>
      </c>
      <c r="N45" s="1590"/>
      <c r="O45" s="1590"/>
      <c r="P45" s="1590"/>
      <c r="Q45" s="1590"/>
      <c r="R45" s="1590"/>
      <c r="S45" s="1591">
        <f>SUM(V12:V15,V22:V23)</f>
        <v>0</v>
      </c>
      <c r="AC45" s="2906">
        <f>S43-AC43</f>
        <v>0</v>
      </c>
    </row>
  </sheetData>
  <sheetProtection formatCells="0" formatColumns="0" formatRows="0"/>
  <mergeCells count="19">
    <mergeCell ref="U27:V27"/>
    <mergeCell ref="G38:H38"/>
    <mergeCell ref="I38:J38"/>
    <mergeCell ref="G5:H5"/>
    <mergeCell ref="G11:H11"/>
    <mergeCell ref="I11:J11"/>
    <mergeCell ref="G29:H29"/>
    <mergeCell ref="I29:J29"/>
    <mergeCell ref="G21:H21"/>
    <mergeCell ref="L9:N9"/>
    <mergeCell ref="P10:Q10"/>
    <mergeCell ref="L19:N19"/>
    <mergeCell ref="P20:Q20"/>
    <mergeCell ref="C27:E27"/>
    <mergeCell ref="I21:J21"/>
    <mergeCell ref="L36:N36"/>
    <mergeCell ref="P37:Q37"/>
    <mergeCell ref="L27:N27"/>
    <mergeCell ref="P28:Q28"/>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HT2200"/>
  <sheetViews>
    <sheetView zoomScale="80" zoomScaleNormal="80" workbookViewId="0">
      <pane ySplit="6" topLeftCell="A49" activePane="bottomLeft" state="frozen"/>
      <selection activeCell="R26" sqref="R26"/>
      <selection pane="bottomLeft" activeCell="J69" sqref="J69"/>
    </sheetView>
  </sheetViews>
  <sheetFormatPr baseColWidth="10" defaultColWidth="11.44140625" defaultRowHeight="13.2"/>
  <cols>
    <col min="1" max="1" width="3.44140625" style="26" customWidth="1"/>
    <col min="2" max="2" width="24.88671875" customWidth="1"/>
    <col min="3" max="3" width="9.5546875" style="58" customWidth="1"/>
    <col min="4" max="4" width="6.6640625" style="58" customWidth="1"/>
    <col min="5" max="5" width="6.44140625" style="58" customWidth="1"/>
    <col min="6" max="6" width="13.33203125" customWidth="1"/>
    <col min="7" max="7" width="12.88671875" customWidth="1"/>
    <col min="8" max="8" width="11.109375" style="59" customWidth="1"/>
    <col min="9" max="9" width="2.44140625" customWidth="1"/>
    <col min="10" max="10" width="12.5546875" customWidth="1"/>
    <col min="11" max="11" width="7.5546875" style="59" customWidth="1"/>
    <col min="12" max="12" width="1.6640625" customWidth="1"/>
    <col min="13" max="13" width="13.109375" style="58" customWidth="1"/>
    <col min="14" max="14" width="14.5546875" customWidth="1"/>
    <col min="15" max="15" width="11.88671875" customWidth="1"/>
    <col min="16" max="16" width="2.44140625" customWidth="1"/>
    <col min="17" max="17" width="13.33203125" customWidth="1"/>
    <col min="18" max="18" width="14.44140625" customWidth="1"/>
    <col min="19" max="19" width="1.88671875" style="1" customWidth="1"/>
    <col min="20" max="20" width="16.109375" style="1" customWidth="1"/>
    <col min="21" max="21" width="3.88671875" style="1" customWidth="1"/>
    <col min="22" max="25" width="3.88671875" style="1926" customWidth="1"/>
    <col min="26" max="28" width="8.5546875" style="1926" customWidth="1"/>
    <col min="29" max="29" width="3.88671875" style="1926" customWidth="1"/>
    <col min="30" max="31" width="11.44140625" style="1951" customWidth="1"/>
    <col min="32" max="32" width="2.88671875" style="1951" customWidth="1"/>
    <col min="33" max="34" width="11.44140625" style="1952" customWidth="1"/>
    <col min="35" max="41" width="11.44140625" style="1951" customWidth="1"/>
    <col min="42" max="228" width="11.44140625" style="1" customWidth="1"/>
  </cols>
  <sheetData>
    <row r="1" spans="1:228" s="1670" customFormat="1" ht="22.95" customHeight="1">
      <c r="A1" s="1701"/>
      <c r="C1" s="1671"/>
      <c r="D1" s="1671"/>
      <c r="E1" s="1671"/>
      <c r="H1" s="1702"/>
      <c r="K1" s="1702"/>
      <c r="M1" s="1671"/>
      <c r="AD1" s="1924"/>
      <c r="AE1" s="1924"/>
      <c r="AF1" s="1924"/>
      <c r="AG1" s="1923"/>
      <c r="AH1" s="1923"/>
      <c r="AI1" s="1924"/>
      <c r="AJ1" s="1924"/>
      <c r="AK1" s="1924"/>
      <c r="AL1" s="1924"/>
      <c r="AM1" s="1924"/>
      <c r="AN1" s="1924"/>
      <c r="AO1" s="1924"/>
    </row>
    <row r="2" spans="1:228" s="1670" customFormat="1" ht="22.95" customHeight="1">
      <c r="A2" s="1701"/>
      <c r="C2" s="1671"/>
      <c r="D2" s="1671"/>
      <c r="E2" s="1671"/>
      <c r="H2" s="1702"/>
      <c r="K2" s="1702"/>
      <c r="M2" s="1671"/>
      <c r="AD2" s="1924"/>
      <c r="AE2" s="1924"/>
      <c r="AF2" s="1924"/>
      <c r="AG2" s="1923"/>
      <c r="AH2" s="1923"/>
      <c r="AI2" s="1924"/>
      <c r="AJ2" s="1924"/>
      <c r="AK2" s="1924"/>
      <c r="AL2" s="1924"/>
      <c r="AM2" s="1924"/>
      <c r="AN2" s="1924"/>
      <c r="AO2" s="1924"/>
    </row>
    <row r="3" spans="1:228" s="1670" customFormat="1" ht="22.95" customHeight="1">
      <c r="A3" s="1701"/>
      <c r="C3" s="1671"/>
      <c r="D3" s="1671"/>
      <c r="E3" s="1671"/>
      <c r="H3" s="1702"/>
      <c r="K3" s="1702"/>
      <c r="M3" s="1671"/>
      <c r="AD3" s="1924"/>
      <c r="AE3" s="1924"/>
      <c r="AF3" s="1924"/>
      <c r="AG3" s="1923"/>
      <c r="AH3" s="1923"/>
      <c r="AI3" s="1924"/>
      <c r="AJ3" s="1924"/>
      <c r="AK3" s="1924"/>
      <c r="AL3" s="1924"/>
      <c r="AM3" s="1924"/>
      <c r="AN3" s="1924"/>
      <c r="AO3" s="1924"/>
    </row>
    <row r="4" spans="1:228" s="1670" customFormat="1" ht="22.95" customHeight="1">
      <c r="A4" s="1701"/>
      <c r="C4" s="1671"/>
      <c r="D4" s="1671"/>
      <c r="E4" s="1671"/>
      <c r="H4" s="1702"/>
      <c r="K4" s="1702"/>
      <c r="M4" s="1671"/>
      <c r="AD4" s="1924"/>
      <c r="AE4" s="1924"/>
      <c r="AF4" s="1924"/>
      <c r="AG4" s="1923"/>
      <c r="AH4" s="1923"/>
      <c r="AI4" s="1924"/>
      <c r="AJ4" s="1924"/>
      <c r="AK4" s="1924"/>
      <c r="AL4" s="1924"/>
      <c r="AM4" s="1924"/>
      <c r="AN4" s="1924"/>
      <c r="AO4" s="1924"/>
    </row>
    <row r="5" spans="1:228" s="1705" customFormat="1" ht="22.95" customHeight="1">
      <c r="A5" s="1704" t="s">
        <v>476</v>
      </c>
      <c r="C5" s="1706"/>
      <c r="D5" s="1706"/>
      <c r="E5" s="1706"/>
      <c r="G5" s="3220" t="s">
        <v>479</v>
      </c>
      <c r="H5" s="3220"/>
      <c r="K5" s="1707"/>
      <c r="M5" s="1706"/>
      <c r="AD5" s="1924"/>
      <c r="AE5" s="1924"/>
      <c r="AF5" s="1924"/>
      <c r="AG5" s="1923"/>
      <c r="AH5" s="1923"/>
      <c r="AI5" s="1924"/>
      <c r="AJ5" s="1924"/>
      <c r="AK5" s="1924"/>
      <c r="AL5" s="1924"/>
      <c r="AM5" s="1924"/>
      <c r="AN5" s="1924"/>
      <c r="AO5" s="1924"/>
    </row>
    <row r="6" spans="1:228" s="211" customFormat="1">
      <c r="A6" s="264"/>
      <c r="C6" s="212"/>
      <c r="D6" s="212"/>
      <c r="E6" s="212"/>
      <c r="G6" s="213"/>
      <c r="K6" s="264"/>
      <c r="M6" s="212"/>
      <c r="AD6" s="1951"/>
      <c r="AE6" s="1951"/>
      <c r="AF6" s="1951"/>
      <c r="AG6" s="1952"/>
      <c r="AH6" s="1952"/>
      <c r="AI6" s="1951"/>
      <c r="AJ6" s="1951"/>
      <c r="AK6" s="1951"/>
      <c r="AL6" s="1951"/>
      <c r="AM6" s="1951"/>
      <c r="AN6" s="1951"/>
      <c r="AO6" s="1951"/>
    </row>
    <row r="7" spans="1:228">
      <c r="A7" s="1423"/>
      <c r="B7" s="49"/>
      <c r="C7" s="46"/>
      <c r="D7" s="46"/>
      <c r="E7" s="46"/>
      <c r="F7" s="49"/>
      <c r="G7" s="49"/>
      <c r="H7" s="47"/>
      <c r="I7" s="49"/>
      <c r="J7" s="49"/>
      <c r="K7" s="47"/>
      <c r="L7" s="49"/>
      <c r="M7" s="46"/>
      <c r="N7" s="49"/>
      <c r="O7" s="49"/>
      <c r="P7" s="49"/>
      <c r="Q7" s="49"/>
      <c r="R7" s="49"/>
      <c r="S7" s="49"/>
      <c r="T7" s="49"/>
    </row>
    <row r="8" spans="1:228" s="1422" customFormat="1">
      <c r="A8" s="26"/>
      <c r="B8" s="29" t="s">
        <v>339</v>
      </c>
      <c r="C8" s="39"/>
      <c r="D8" s="39"/>
      <c r="E8" s="39"/>
      <c r="F8" s="40"/>
      <c r="G8" s="40"/>
      <c r="H8" s="41"/>
      <c r="I8" s="40"/>
      <c r="J8" s="40"/>
      <c r="K8" s="41"/>
      <c r="L8" s="40"/>
      <c r="M8" s="39"/>
      <c r="N8" s="40"/>
      <c r="O8" s="40"/>
      <c r="P8" s="40"/>
      <c r="Q8" s="40"/>
      <c r="R8" s="40"/>
      <c r="S8" s="40"/>
      <c r="T8" s="1421"/>
      <c r="U8" s="15"/>
      <c r="V8" s="15"/>
      <c r="W8" s="15"/>
      <c r="X8" s="15"/>
      <c r="Y8" s="15"/>
      <c r="Z8" s="15"/>
      <c r="AA8" s="15"/>
      <c r="AB8" s="15"/>
      <c r="AC8" s="15"/>
      <c r="AD8" s="1953"/>
      <c r="AE8" s="1953"/>
      <c r="AF8" s="1953"/>
      <c r="AG8" s="1921"/>
      <c r="AH8" s="1921"/>
      <c r="AI8" s="1953"/>
      <c r="AJ8" s="1953"/>
      <c r="AK8" s="1953"/>
      <c r="AL8" s="1953"/>
      <c r="AM8" s="1953"/>
      <c r="AN8" s="1953"/>
      <c r="AO8" s="1953"/>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8" thickBot="1">
      <c r="A9" s="1423"/>
      <c r="B9" s="111"/>
      <c r="C9" s="1424"/>
      <c r="D9" s="1424"/>
      <c r="E9" s="1424"/>
      <c r="F9" s="3223" t="s">
        <v>340</v>
      </c>
      <c r="G9" s="3223"/>
      <c r="H9" s="3223"/>
      <c r="I9" s="3223"/>
      <c r="J9" s="3223"/>
      <c r="K9" s="3223"/>
      <c r="L9" s="49"/>
      <c r="M9" s="3221" t="s">
        <v>341</v>
      </c>
      <c r="N9" s="3221"/>
      <c r="O9" s="3221"/>
      <c r="P9" s="49"/>
      <c r="Q9" s="1394" t="s">
        <v>2</v>
      </c>
      <c r="R9" s="1394"/>
      <c r="S9" s="1394"/>
      <c r="T9" s="1394"/>
    </row>
    <row r="10" spans="1:228" ht="12.75" customHeight="1">
      <c r="A10" s="1423"/>
      <c r="B10" s="186"/>
      <c r="C10" s="84" t="s">
        <v>342</v>
      </c>
      <c r="D10" s="65" t="s">
        <v>5558</v>
      </c>
      <c r="E10" s="1426" t="s">
        <v>344</v>
      </c>
      <c r="F10" s="1427" t="s">
        <v>345</v>
      </c>
      <c r="G10" s="3226" t="s">
        <v>689</v>
      </c>
      <c r="H10" s="3227"/>
      <c r="I10" s="49"/>
      <c r="J10" s="3228" t="s">
        <v>688</v>
      </c>
      <c r="K10" s="3229"/>
      <c r="L10" s="49"/>
      <c r="M10" s="1428" t="s">
        <v>345</v>
      </c>
      <c r="N10" s="3222" t="s">
        <v>346</v>
      </c>
      <c r="O10" s="3222"/>
      <c r="P10" s="49"/>
      <c r="Q10" s="3218" t="s">
        <v>347</v>
      </c>
      <c r="R10" s="3218"/>
      <c r="S10" s="49"/>
      <c r="T10" s="84" t="s">
        <v>348</v>
      </c>
      <c r="Z10" s="1397" t="s">
        <v>1520</v>
      </c>
      <c r="AD10" s="1951" t="s">
        <v>531</v>
      </c>
      <c r="AG10" s="1922" t="s">
        <v>860</v>
      </c>
    </row>
    <row r="11" spans="1:228" s="32" customFormat="1" ht="12.75" customHeight="1" thickBot="1">
      <c r="A11" s="1429"/>
      <c r="B11" s="1430" t="s">
        <v>349</v>
      </c>
      <c r="C11" s="84" t="s">
        <v>350</v>
      </c>
      <c r="D11" s="65" t="s">
        <v>690</v>
      </c>
      <c r="E11" s="2993" t="s">
        <v>691</v>
      </c>
      <c r="F11" s="1427" t="s">
        <v>352</v>
      </c>
      <c r="G11" s="1431" t="s">
        <v>346</v>
      </c>
      <c r="H11" s="1432" t="s">
        <v>353</v>
      </c>
      <c r="I11" s="1398"/>
      <c r="J11" s="1433" t="s">
        <v>346</v>
      </c>
      <c r="K11" s="1434" t="s">
        <v>353</v>
      </c>
      <c r="L11" s="1398"/>
      <c r="M11" s="1428"/>
      <c r="N11" s="1396" t="s">
        <v>690</v>
      </c>
      <c r="O11" s="1397" t="s">
        <v>691</v>
      </c>
      <c r="P11" s="1398"/>
      <c r="Q11" s="1396" t="s">
        <v>690</v>
      </c>
      <c r="R11" s="1397" t="s">
        <v>691</v>
      </c>
      <c r="S11" s="1398"/>
      <c r="T11" s="1399"/>
      <c r="V11" s="1428" t="s">
        <v>345</v>
      </c>
      <c r="W11" s="1396" t="s">
        <v>690</v>
      </c>
      <c r="X11" s="1397" t="s">
        <v>691</v>
      </c>
      <c r="Y11" s="1397"/>
      <c r="Z11" s="1428" t="s">
        <v>345</v>
      </c>
      <c r="AA11" s="1396" t="s">
        <v>690</v>
      </c>
      <c r="AB11" s="1397" t="s">
        <v>691</v>
      </c>
      <c r="AD11" s="1397" t="s">
        <v>690</v>
      </c>
      <c r="AE11" s="1954" t="s">
        <v>691</v>
      </c>
      <c r="AF11" s="1954"/>
      <c r="AG11" s="1963" t="s">
        <v>690</v>
      </c>
      <c r="AH11" s="1963" t="s">
        <v>691</v>
      </c>
      <c r="AI11" s="1954"/>
      <c r="AJ11" s="1954"/>
      <c r="AK11" s="1954"/>
      <c r="AL11" s="1954"/>
      <c r="AM11" s="1954"/>
      <c r="AN11" s="1954"/>
      <c r="AO11" s="1954"/>
    </row>
    <row r="12" spans="1:228" ht="13.8" thickBot="1">
      <c r="A12" s="1423"/>
      <c r="B12" s="35" t="s">
        <v>354</v>
      </c>
      <c r="C12" s="1435">
        <f>VLOOKUP(region,' IPCC'!$A$360:$C$371,2,FALSE)</f>
        <v>0</v>
      </c>
      <c r="D12" s="2312">
        <f>IF('4.Grassland'!E130="",'4.Grassland'!D130,'4.Grassland'!E130)</f>
        <v>0</v>
      </c>
      <c r="E12" s="2312">
        <f>IF('4.Grassland'!G130="",'4.Grassland'!D130,'4.Grassland'!G130)</f>
        <v>0</v>
      </c>
      <c r="F12" s="1991">
        <f>'4.Grassland'!D45</f>
        <v>0</v>
      </c>
      <c r="G12" s="1991">
        <f>'4.Grassland'!E45</f>
        <v>0</v>
      </c>
      <c r="H12" s="2313" t="str">
        <f>VLOOKUP('4.Grassland'!F45,List!$D$35:$E$37,2,)</f>
        <v>Linear</v>
      </c>
      <c r="I12" s="49"/>
      <c r="J12" s="1992">
        <f>'4.Grassland'!G45</f>
        <v>0</v>
      </c>
      <c r="K12" s="2313" t="str">
        <f>VLOOKUP('4.Grassland'!H45,List!$D$35:$E$37,2,)</f>
        <v>Linear</v>
      </c>
      <c r="L12" s="49"/>
      <c r="M12" s="1400">
        <f>IF($E12="YES",$C12,$D12)*(methane*F12/1000)</f>
        <v>0</v>
      </c>
      <c r="N12" s="2998">
        <f t="shared" ref="N12:N20" si="0">$D12*(methane*G12/1000)</f>
        <v>0</v>
      </c>
      <c r="O12" s="2998">
        <f t="shared" ref="O12:O20" si="1">$E12*(methane*J12/1000)</f>
        <v>0</v>
      </c>
      <c r="P12" s="1403"/>
      <c r="Q12" s="1400">
        <f>MIN(M12,N12)*time_tot+ABS(N12-M12)*IF(N12&gt;M12,time2+time*(VLOOKUP(H12,List!$E$35:$F$37,2,)),time*(1-(VLOOKUP(H12,List!$E$35:$F$37,2,))))</f>
        <v>0</v>
      </c>
      <c r="R12" s="1400">
        <f>MIN(M12,O12)*time_tot+ABS(O12-M12)*IF(O12&gt;M12,time2+time*(VLOOKUP(K12,List!$E$35:$F$37,2,)),time*(1-(VLOOKUP(K12,List!$E$35:$F$37,2,))))</f>
        <v>0</v>
      </c>
      <c r="S12" s="1403"/>
      <c r="T12" s="1404">
        <f t="shared" ref="T12:T22" si="2">R12-Q12</f>
        <v>0</v>
      </c>
      <c r="V12" s="2108">
        <f>'4.Grassland'!W45</f>
        <v>0</v>
      </c>
      <c r="W12" s="2108">
        <f>'4.Grassland'!X45</f>
        <v>0</v>
      </c>
      <c r="X12" s="2109">
        <f>'4.Grassland'!Y45</f>
        <v>0</v>
      </c>
      <c r="Y12" s="2110"/>
      <c r="Z12" s="2110">
        <f>V12*F12</f>
        <v>0</v>
      </c>
      <c r="AA12" s="2110">
        <f>W12*G12</f>
        <v>0</v>
      </c>
      <c r="AB12" s="2111">
        <f>X12*J12</f>
        <v>0</v>
      </c>
      <c r="AD12" s="2110">
        <f>(time*((ABS(AA12-Z12)*(IF(Z12&lt;=AA12,VLOOKUP(H12,List!$E$35:$F$37,2,),1-VLOOKUP(H12,List!$E$35:$F$37,2,))))+MIN(AA12,Z12))+(AA12*time2))</f>
        <v>0</v>
      </c>
      <c r="AE12" s="2110">
        <f>(time*((ABS(AB12-Z12)*(IF(Z12&lt;=AB12,VLOOKUP(K12,List!$E$35:$F$37,2,),1-VLOOKUP(K12,List!$E$35:$F$37,2,))))+MIN(AB12,Z12))+(AB12*time2))</f>
        <v>0</v>
      </c>
      <c r="AG12" s="1952">
        <f>MIN(M12,N12)*time+ABS(N12-M12)*IF(N12&gt;M12,time*(VLOOKUP(H12,List!$E$35:$F$37,2,)),time*(1-(VLOOKUP(H12,List!$E$35:$F$37,2,))))</f>
        <v>0</v>
      </c>
      <c r="AH12" s="1964">
        <f>MIN(M12,O12)*time+ABS(O12-M12)*IF(O12&gt;M12,time*(VLOOKUP(K12,List!$E$35:$F$37,2,)),time*(1-(VLOOKUP(K12,List!$E$35:$F$37,2,))))</f>
        <v>0</v>
      </c>
    </row>
    <row r="13" spans="1:228" ht="13.8" thickBot="1">
      <c r="A13" s="1423"/>
      <c r="B13" s="35" t="s">
        <v>358</v>
      </c>
      <c r="C13" s="1437">
        <f>VLOOKUP(region,' IPCC'!$A$360:$C$371,3,FALSE)</f>
        <v>0</v>
      </c>
      <c r="D13" s="2312">
        <f>IF('4.Grassland'!E131="",'4.Grassland'!D131,'4.Grassland'!E131)</f>
        <v>0</v>
      </c>
      <c r="E13" s="2312">
        <f>IF('4.Grassland'!G131="",'4.Grassland'!D131,'4.Grassland'!G131)</f>
        <v>0</v>
      </c>
      <c r="F13" s="1991">
        <f>'4.Grassland'!D46</f>
        <v>0</v>
      </c>
      <c r="G13" s="1991">
        <f>'4.Grassland'!E46</f>
        <v>0</v>
      </c>
      <c r="H13" s="2313" t="str">
        <f>VLOOKUP('4.Grassland'!F46,List!$D$35:$E$37,2,)</f>
        <v>Linear</v>
      </c>
      <c r="I13" s="49"/>
      <c r="J13" s="1992">
        <f>'4.Grassland'!G46</f>
        <v>0</v>
      </c>
      <c r="K13" s="2313" t="str">
        <f>VLOOKUP('4.Grassland'!H46,List!$D$35:$E$37,2,)</f>
        <v>Linear</v>
      </c>
      <c r="L13" s="49"/>
      <c r="M13" s="1400">
        <f t="shared" ref="M13:M22" si="3">IF($E13="YES",$C13,$D13)*(methane*F13/1000)</f>
        <v>0</v>
      </c>
      <c r="N13" s="2998">
        <f t="shared" si="0"/>
        <v>0</v>
      </c>
      <c r="O13" s="2998">
        <f t="shared" si="1"/>
        <v>0</v>
      </c>
      <c r="P13" s="1403"/>
      <c r="Q13" s="1400">
        <f>MIN(M13,N13)*time_tot+ABS(N13-M13)*IF(N13&gt;M13,time2+time*(VLOOKUP(H13,List!$E$35:$F$37,2,)),time*(1-(VLOOKUP(H13,List!$E$35:$F$37,2,))))</f>
        <v>0</v>
      </c>
      <c r="R13" s="1400">
        <f>MIN(M13,O13)*time_tot+ABS(O13-M13)*IF(O13&gt;M13,time2+time*(VLOOKUP(K13,List!$E$35:$F$37,2,)),time*(1-(VLOOKUP(K13,List!$E$35:$F$37,2,))))</f>
        <v>0</v>
      </c>
      <c r="S13" s="1403"/>
      <c r="T13" s="1404">
        <f t="shared" si="2"/>
        <v>0</v>
      </c>
      <c r="V13" s="2108">
        <f>'4.Grassland'!W46</f>
        <v>0</v>
      </c>
      <c r="W13" s="2108">
        <f>'4.Grassland'!X46</f>
        <v>0</v>
      </c>
      <c r="X13" s="2109">
        <f>'4.Grassland'!Y46</f>
        <v>0</v>
      </c>
      <c r="Y13" s="2110"/>
      <c r="Z13" s="2110">
        <f t="shared" ref="Z13:Z20" si="4">V13*F13</f>
        <v>0</v>
      </c>
      <c r="AA13" s="2110">
        <f t="shared" ref="AA13:AA20" si="5">W13*G13</f>
        <v>0</v>
      </c>
      <c r="AB13" s="2111">
        <f t="shared" ref="AB13:AB20" si="6">X13*J13</f>
        <v>0</v>
      </c>
      <c r="AD13" s="2110">
        <f>(time*((ABS(AA13-Z13)*(IF(Z13&lt;=AA13,VLOOKUP(H13,List!$E$35:$F$37,2,),1-VLOOKUP(H13,List!$E$35:$F$37,2,))))+MIN(AA13,Z13))+(AA13*time2))</f>
        <v>0</v>
      </c>
      <c r="AE13" s="2110">
        <f>(time*((ABS(AB13-Z13)*(IF(Z13&lt;=AB13,VLOOKUP(K13,List!$E$35:$F$37,2,),1-VLOOKUP(K13,List!$E$35:$F$37,2,))))+MIN(AB13,Z13))+(AB13*time2))</f>
        <v>0</v>
      </c>
      <c r="AG13" s="1952">
        <f>MIN(M13,N13)*time+ABS(N13-M13)*IF(N13&gt;M13,time*(VLOOKUP(H13,List!$E$35:$F$37,2,)),time*(1-(VLOOKUP(H13,List!$E$35:$F$37,2,))))</f>
        <v>0</v>
      </c>
      <c r="AH13" s="1964">
        <f>MIN(M13,O13)*time+ABS(O13-M13)*IF(O13&gt;M13,time*(VLOOKUP(K13,List!$E$35:$F$37,2,)),time*(1-(VLOOKUP(K13,List!$E$35:$F$37,2,))))</f>
        <v>0</v>
      </c>
    </row>
    <row r="14" spans="1:228" ht="13.8" thickBot="1">
      <c r="A14" s="1423"/>
      <c r="B14" s="35" t="s">
        <v>360</v>
      </c>
      <c r="C14" s="1435">
        <v>55</v>
      </c>
      <c r="D14" s="2312">
        <f>IF('4.Grassland'!E132="",'4.Grassland'!D132,'4.Grassland'!E132)</f>
        <v>55</v>
      </c>
      <c r="E14" s="2312">
        <f>IF('4.Grassland'!G132="",'4.Grassland'!D132,'4.Grassland'!G132)</f>
        <v>55</v>
      </c>
      <c r="F14" s="1991">
        <f>'4.Grassland'!D47</f>
        <v>0</v>
      </c>
      <c r="G14" s="1991">
        <f>'4.Grassland'!E47</f>
        <v>0</v>
      </c>
      <c r="H14" s="2313" t="str">
        <f>VLOOKUP('4.Grassland'!F47,List!$D$35:$E$37,2,)</f>
        <v>Linear</v>
      </c>
      <c r="I14" s="49"/>
      <c r="J14" s="1992">
        <f>'4.Grassland'!G47</f>
        <v>0</v>
      </c>
      <c r="K14" s="2313" t="str">
        <f>VLOOKUP('4.Grassland'!H47,List!$D$35:$E$37,2,)</f>
        <v>Linear</v>
      </c>
      <c r="L14" s="49"/>
      <c r="M14" s="1400">
        <f t="shared" si="3"/>
        <v>0</v>
      </c>
      <c r="N14" s="2998">
        <f t="shared" si="0"/>
        <v>0</v>
      </c>
      <c r="O14" s="2998">
        <f t="shared" si="1"/>
        <v>0</v>
      </c>
      <c r="P14" s="1403"/>
      <c r="Q14" s="1400">
        <f>MIN(M14,N14)*time_tot+ABS(N14-M14)*IF(N14&gt;M14,time2+time*(VLOOKUP(H14,List!$E$35:$F$37,2,)),time*(1-(VLOOKUP(H14,List!$E$35:$F$37,2,))))</f>
        <v>0</v>
      </c>
      <c r="R14" s="1400">
        <f>MIN(M14,O14)*time_tot+ABS(O14-M14)*IF(O14&gt;M14,time2+time*(VLOOKUP(K14,List!$E$35:$F$37,2,)),time*(1-(VLOOKUP(K14,List!$E$35:$F$37,2,))))</f>
        <v>0</v>
      </c>
      <c r="S14" s="1403"/>
      <c r="T14" s="1404">
        <f t="shared" si="2"/>
        <v>0</v>
      </c>
      <c r="V14" s="2108">
        <f>'4.Grassland'!W47</f>
        <v>0</v>
      </c>
      <c r="W14" s="2108">
        <f>'4.Grassland'!X47</f>
        <v>0</v>
      </c>
      <c r="X14" s="2109">
        <f>'4.Grassland'!Y47</f>
        <v>0</v>
      </c>
      <c r="Y14" s="2110"/>
      <c r="Z14" s="2110">
        <f t="shared" si="4"/>
        <v>0</v>
      </c>
      <c r="AA14" s="2110">
        <f t="shared" si="5"/>
        <v>0</v>
      </c>
      <c r="AB14" s="2111">
        <f t="shared" si="6"/>
        <v>0</v>
      </c>
      <c r="AD14" s="2110">
        <f>(time*((ABS(AA14-Z14)*(IF(Z14&lt;=AA14,VLOOKUP(H14,List!$E$35:$F$37,2,),1-VLOOKUP(H14,List!$E$35:$F$37,2,))))+MIN(AA14,Z14))+(AA14*time2))</f>
        <v>0</v>
      </c>
      <c r="AE14" s="2110">
        <f>(time*((ABS(AB14-Z14)*(IF(Z14&lt;=AB14,VLOOKUP(K14,List!$E$35:$F$37,2,),1-VLOOKUP(K14,List!$E$35:$F$37,2,))))+MIN(AB14,Z14))+(AB14*time2))</f>
        <v>0</v>
      </c>
      <c r="AG14" s="1952">
        <f>MIN(M14,N14)*time+ABS(N14-M14)*IF(N14&gt;M14,time*(VLOOKUP(H14,List!$E$35:$F$37,2,)),time*(1-(VLOOKUP(H14,List!$E$35:$F$37,2,))))</f>
        <v>0</v>
      </c>
      <c r="AH14" s="1964">
        <f>MIN(M14,O14)*time+ABS(O14-M14)*IF(O14&gt;M14,time*(VLOOKUP(K14,List!$E$35:$F$37,2,)),time*(1-(VLOOKUP(K14,List!$E$35:$F$37,2,))))</f>
        <v>0</v>
      </c>
    </row>
    <row r="15" spans="1:228" ht="13.8" thickBot="1">
      <c r="A15" s="1423"/>
      <c r="B15" s="35" t="s">
        <v>364</v>
      </c>
      <c r="C15" s="1435">
        <f>IF(c_type="developed",VLOOKUP(B15,' IPCC'!A335:B343,2,FALSE),VLOOKUP(B15,' IPCC'!A347:B355,2,FALSE))</f>
        <v>5</v>
      </c>
      <c r="D15" s="2312">
        <f>IF('4.Grassland'!E133="",'4.Grassland'!D133,'4.Grassland'!E133)</f>
        <v>5</v>
      </c>
      <c r="E15" s="2312">
        <f>IF('4.Grassland'!G133="",'4.Grassland'!D133,'4.Grassland'!G133)</f>
        <v>5</v>
      </c>
      <c r="F15" s="1991">
        <f>'4.Grassland'!D48</f>
        <v>0</v>
      </c>
      <c r="G15" s="1991">
        <f>'4.Grassland'!E48</f>
        <v>0</v>
      </c>
      <c r="H15" s="2313" t="str">
        <f>VLOOKUP('4.Grassland'!F48,List!$D$35:$E$37,2,)</f>
        <v>Linear</v>
      </c>
      <c r="I15" s="49"/>
      <c r="J15" s="1992">
        <f>'4.Grassland'!G48</f>
        <v>0</v>
      </c>
      <c r="K15" s="2313" t="str">
        <f>VLOOKUP('4.Grassland'!H48,List!$D$35:$E$37,2,)</f>
        <v>Linear</v>
      </c>
      <c r="L15" s="49"/>
      <c r="M15" s="1400">
        <f>IF($E15="YES",$C15,$D15)*(methane*F15/1000)</f>
        <v>0</v>
      </c>
      <c r="N15" s="2998">
        <f t="shared" si="0"/>
        <v>0</v>
      </c>
      <c r="O15" s="2998">
        <f t="shared" si="1"/>
        <v>0</v>
      </c>
      <c r="P15" s="1403"/>
      <c r="Q15" s="1400">
        <f>MIN(M15,N15)*time_tot+ABS(N15-M15)*IF(N15&gt;M15,time2+time*(VLOOKUP(H15,List!$E$35:$F$37,2,)),time*(1-(VLOOKUP(H15,List!$E$35:$F$37,2,))))</f>
        <v>0</v>
      </c>
      <c r="R15" s="1400">
        <f>MIN(M15,O15)*time_tot+ABS(O15-M15)*IF(O15&gt;M15,time2+time*(VLOOKUP(K15,List!$E$35:$F$37,2,)),time*(1-(VLOOKUP(K15,List!$E$35:$F$37,2,))))</f>
        <v>0</v>
      </c>
      <c r="S15" s="1403"/>
      <c r="T15" s="1404">
        <f>R15-Q15</f>
        <v>0</v>
      </c>
      <c r="V15" s="2108">
        <f>'4.Grassland'!W48</f>
        <v>0</v>
      </c>
      <c r="W15" s="2108">
        <f>'4.Grassland'!X48</f>
        <v>0</v>
      </c>
      <c r="X15" s="2109">
        <f>'4.Grassland'!Y48</f>
        <v>0</v>
      </c>
      <c r="Y15" s="2110"/>
      <c r="Z15" s="2110">
        <f t="shared" si="4"/>
        <v>0</v>
      </c>
      <c r="AA15" s="2110">
        <f t="shared" si="5"/>
        <v>0</v>
      </c>
      <c r="AB15" s="2111">
        <f t="shared" si="6"/>
        <v>0</v>
      </c>
      <c r="AD15" s="2110">
        <f>(time*((ABS(AA15-Z15)*(IF(Z15&lt;=AA15,VLOOKUP(H15,List!$E$35:$F$37,2,),1-VLOOKUP(H15,List!$E$35:$F$37,2,))))+MIN(AA15,Z15))+(AA15*time2))</f>
        <v>0</v>
      </c>
      <c r="AE15" s="2110">
        <f>(time*((ABS(AB15-Z15)*(IF(Z15&lt;=AB15,VLOOKUP(K15,List!$E$35:$F$37,2,),1-VLOOKUP(K15,List!$E$35:$F$37,2,))))+MIN(AB15,Z15))+(AB15*time2))</f>
        <v>0</v>
      </c>
      <c r="AG15" s="1952">
        <f>MIN(M15,N15)*time+ABS(N15-M15)*IF(N15&gt;M15,time*(VLOOKUP(H15,List!$E$35:$F$37,2,)),time*(1-(VLOOKUP(H15,List!$E$35:$F$37,2,))))</f>
        <v>0</v>
      </c>
      <c r="AH15" s="1964">
        <f>MIN(M15,O15)*time+ABS(O15-M15)*IF(O15&gt;M15,time*(VLOOKUP(K15,List!$E$35:$F$37,2,)),time*(1-(VLOOKUP(K15,List!$E$35:$F$37,2,))))</f>
        <v>0</v>
      </c>
    </row>
    <row r="16" spans="1:228" ht="13.8" thickBot="1">
      <c r="A16" s="1423"/>
      <c r="B16" s="35" t="s">
        <v>362</v>
      </c>
      <c r="C16" s="1435">
        <f>IF(c_type="Developed",1,1.5)</f>
        <v>1.5</v>
      </c>
      <c r="D16" s="2312">
        <f>IF('4.Grassland'!E134="",'4.Grassland'!D134,'4.Grassland'!E134)</f>
        <v>1.5</v>
      </c>
      <c r="E16" s="2312">
        <f>IF('4.Grassland'!G134="",'4.Grassland'!D134,'4.Grassland'!G134)</f>
        <v>1.5</v>
      </c>
      <c r="F16" s="1991">
        <f>'4.Grassland'!D49</f>
        <v>0</v>
      </c>
      <c r="G16" s="1991">
        <f>'4.Grassland'!E49</f>
        <v>0</v>
      </c>
      <c r="H16" s="2313" t="str">
        <f>VLOOKUP('4.Grassland'!F49,List!$D$35:$E$37,2,)</f>
        <v>Linear</v>
      </c>
      <c r="I16" s="49"/>
      <c r="J16" s="1992">
        <f>'4.Grassland'!G49</f>
        <v>0</v>
      </c>
      <c r="K16" s="2313" t="str">
        <f>VLOOKUP('4.Grassland'!H49,List!$D$35:$E$37,2,)</f>
        <v>Linear</v>
      </c>
      <c r="L16" s="49"/>
      <c r="M16" s="1400">
        <f t="shared" si="3"/>
        <v>0</v>
      </c>
      <c r="N16" s="2998">
        <f t="shared" si="0"/>
        <v>0</v>
      </c>
      <c r="O16" s="2998">
        <f t="shared" si="1"/>
        <v>0</v>
      </c>
      <c r="P16" s="1403"/>
      <c r="Q16" s="1400">
        <f>MIN(M16,N16)*time_tot+ABS(N16-M16)*IF(N16&gt;M16,time2+time*(VLOOKUP(H16,List!$E$35:$F$37,2,)),time*(1-(VLOOKUP(H16,List!$E$35:$F$37,2,))))</f>
        <v>0</v>
      </c>
      <c r="R16" s="1400">
        <f>MIN(M16,O16)*time_tot+ABS(O16-M16)*IF(O16&gt;M16,time2+time*(VLOOKUP(K16,List!$E$35:$F$37,2,)),time*(1-(VLOOKUP(K16,List!$E$35:$F$37,2,))))</f>
        <v>0</v>
      </c>
      <c r="S16" s="1403"/>
      <c r="T16" s="1404">
        <f t="shared" si="2"/>
        <v>0</v>
      </c>
      <c r="V16" s="2108">
        <f>'4.Grassland'!W49</f>
        <v>0</v>
      </c>
      <c r="W16" s="2108">
        <f>'4.Grassland'!X49</f>
        <v>0</v>
      </c>
      <c r="X16" s="2109">
        <f>'4.Grassland'!Y49</f>
        <v>0</v>
      </c>
      <c r="Y16" s="2110"/>
      <c r="Z16" s="2110">
        <f t="shared" si="4"/>
        <v>0</v>
      </c>
      <c r="AA16" s="2110">
        <f t="shared" si="5"/>
        <v>0</v>
      </c>
      <c r="AB16" s="2111">
        <f t="shared" si="6"/>
        <v>0</v>
      </c>
      <c r="AD16" s="2110">
        <f>(time*((ABS(AA16-Z16)*(IF(Z16&lt;=AA16,VLOOKUP(H16,List!$E$35:$F$37,2,),1-VLOOKUP(H16,List!$E$35:$F$37,2,))))+MIN(AA16,Z16))+(AA16*time2))</f>
        <v>0</v>
      </c>
      <c r="AE16" s="2110">
        <f>(time*((ABS(AB16-Z16)*(IF(Z16&lt;=AB16,VLOOKUP(K16,List!$E$35:$F$37,2,),1-VLOOKUP(K16,List!$E$35:$F$37,2,))))+MIN(AB16,Z16))+(AB16*time2))</f>
        <v>0</v>
      </c>
      <c r="AG16" s="1952">
        <f>MIN(M16,N16)*time+ABS(N16-M16)*IF(N16&gt;M16,time*(VLOOKUP(H16,List!$E$35:$F$37,2,)),time*(1-(VLOOKUP(H16,List!$E$35:$F$37,2,))))</f>
        <v>0</v>
      </c>
      <c r="AH16" s="1964">
        <f>MIN(M16,O16)*time+ABS(O16-M16)*IF(O16&gt;M16,time*(VLOOKUP(K16,List!$E$35:$F$37,2,)),time*(1-(VLOOKUP(K16,List!$E$35:$F$37,2,))))</f>
        <v>0</v>
      </c>
    </row>
    <row r="17" spans="1:35" ht="13.8" thickBot="1">
      <c r="A17" s="1423"/>
      <c r="B17" s="35" t="s">
        <v>363</v>
      </c>
      <c r="C17" s="1435">
        <f>IF(c_type="Developed",1,1.5)</f>
        <v>1.5</v>
      </c>
      <c r="D17" s="2312">
        <f>IF('4.Grassland'!E135="",'4.Grassland'!D135,'4.Grassland'!E135)</f>
        <v>1.5</v>
      </c>
      <c r="E17" s="2312">
        <f>IF('4.Grassland'!G135="",'4.Grassland'!D135,'4.Grassland'!G135)</f>
        <v>1.5</v>
      </c>
      <c r="F17" s="1991">
        <f>'4.Grassland'!D50</f>
        <v>0</v>
      </c>
      <c r="G17" s="1991">
        <f>'4.Grassland'!E50</f>
        <v>0</v>
      </c>
      <c r="H17" s="2313" t="str">
        <f>VLOOKUP('4.Grassland'!F50,List!$D$35:$E$37,2,)</f>
        <v>Linear</v>
      </c>
      <c r="I17" s="49"/>
      <c r="J17" s="1992">
        <f>'4.Grassland'!G50</f>
        <v>0</v>
      </c>
      <c r="K17" s="2313" t="str">
        <f>VLOOKUP('4.Grassland'!H50,List!$D$35:$E$37,2,)</f>
        <v>Linear</v>
      </c>
      <c r="L17" s="49"/>
      <c r="M17" s="1400">
        <f t="shared" si="3"/>
        <v>0</v>
      </c>
      <c r="N17" s="2998">
        <f t="shared" si="0"/>
        <v>0</v>
      </c>
      <c r="O17" s="2998">
        <f t="shared" si="1"/>
        <v>0</v>
      </c>
      <c r="P17" s="1403"/>
      <c r="Q17" s="1400">
        <f>MIN(M17,N17)*time_tot+ABS(N17-M17)*IF(N17&gt;M17,time2+time*(VLOOKUP(H17,List!$E$35:$F$37,2,)),time*(1-(VLOOKUP(H17,List!$E$35:$F$37,2,))))</f>
        <v>0</v>
      </c>
      <c r="R17" s="1400">
        <f>MIN(M17,O17)*time_tot+ABS(O17-M17)*IF(O17&gt;M17,time2+time*(VLOOKUP(K17,List!$E$35:$F$37,2,)),time*(1-(VLOOKUP(K17,List!$E$35:$F$37,2,))))</f>
        <v>0</v>
      </c>
      <c r="S17" s="1403"/>
      <c r="T17" s="1404">
        <f t="shared" si="2"/>
        <v>0</v>
      </c>
      <c r="V17" s="2108">
        <f>'4.Grassland'!W50</f>
        <v>0</v>
      </c>
      <c r="W17" s="2108">
        <f>'4.Grassland'!X50</f>
        <v>0</v>
      </c>
      <c r="X17" s="2109">
        <f>'4.Grassland'!Y50</f>
        <v>0</v>
      </c>
      <c r="Y17" s="2110"/>
      <c r="Z17" s="2110">
        <f t="shared" si="4"/>
        <v>0</v>
      </c>
      <c r="AA17" s="2110">
        <f t="shared" si="5"/>
        <v>0</v>
      </c>
      <c r="AB17" s="2111">
        <f t="shared" si="6"/>
        <v>0</v>
      </c>
      <c r="AD17" s="2110">
        <f>(time*((ABS(AA17-Z17)*(IF(Z17&lt;=AA17,VLOOKUP(H17,List!$E$35:$F$37,2,),1-VLOOKUP(H17,List!$E$35:$F$37,2,))))+MIN(AA17,Z17))+(AA17*time2))</f>
        <v>0</v>
      </c>
      <c r="AE17" s="2110">
        <f>(time*((ABS(AB17-Z17)*(IF(Z17&lt;=AB17,VLOOKUP(K17,List!$E$35:$F$37,2,),1-VLOOKUP(K17,List!$E$35:$F$37,2,))))+MIN(AB17,Z17))+(AB17*time2))</f>
        <v>0</v>
      </c>
      <c r="AG17" s="1952">
        <f>MIN(M17,N17)*time+ABS(N17-M17)*IF(N17&gt;M17,time*(VLOOKUP(H17,List!$E$35:$F$37,2,)),time*(1-(VLOOKUP(H17,List!$E$35:$F$37,2,))))</f>
        <v>0</v>
      </c>
      <c r="AH17" s="1964">
        <f>MIN(M17,O17)*time+ABS(O17-M17)*IF(O17&gt;M17,time*(VLOOKUP(K17,List!$E$35:$F$37,2,)),time*(1-(VLOOKUP(K17,List!$E$35:$F$37,2,))))</f>
        <v>0</v>
      </c>
    </row>
    <row r="18" spans="1:35" ht="13.8" thickBot="1">
      <c r="A18" s="1423"/>
      <c r="B18" s="1988" t="str">
        <f>'4.Grassland'!B51</f>
        <v>Please select</v>
      </c>
      <c r="C18" s="1966">
        <f>IF(c_type="developed",VLOOKUP(B18,' IPCC'!$A$335:$B$343,2,FALSE),VLOOKUP(B18,' IPCC'!$A$347:$B$355,2,FALSE))</f>
        <v>0</v>
      </c>
      <c r="D18" s="2312">
        <f>IF('4.Grassland'!E136="",'4.Grassland'!D136,'4.Grassland'!E136)</f>
        <v>0</v>
      </c>
      <c r="E18" s="2312">
        <f>IF('4.Grassland'!G136="",'4.Grassland'!D136,'4.Grassland'!G136)</f>
        <v>0</v>
      </c>
      <c r="F18" s="1991">
        <f>'4.Grassland'!D51</f>
        <v>0</v>
      </c>
      <c r="G18" s="1991">
        <f>'4.Grassland'!E51</f>
        <v>0</v>
      </c>
      <c r="H18" s="2313" t="str">
        <f>VLOOKUP('4.Grassland'!F51,List!$D$35:$E$37,2,)</f>
        <v>Linear</v>
      </c>
      <c r="I18" s="49"/>
      <c r="J18" s="1992">
        <f>'4.Grassland'!G51</f>
        <v>0</v>
      </c>
      <c r="K18" s="2313" t="str">
        <f>VLOOKUP('4.Grassland'!H51,List!$D$35:$E$37,2,)</f>
        <v>Linear</v>
      </c>
      <c r="L18" s="49"/>
      <c r="M18" s="1400">
        <f t="shared" si="3"/>
        <v>0</v>
      </c>
      <c r="N18" s="2998">
        <f t="shared" si="0"/>
        <v>0</v>
      </c>
      <c r="O18" s="2998">
        <f t="shared" si="1"/>
        <v>0</v>
      </c>
      <c r="P18" s="1403"/>
      <c r="Q18" s="1400">
        <f>MIN(M18,N18)*time_tot+ABS(N18-M18)*IF(N18&gt;M18,time2+time*(VLOOKUP(H18,List!$E$35:$F$37,2,)),time*(1-(VLOOKUP(H18,List!$E$35:$F$37,2,))))</f>
        <v>0</v>
      </c>
      <c r="R18" s="1400">
        <f>MIN(M18,O18)*time_tot+ABS(O18-M18)*IF(O18&gt;M18,time2+time*(VLOOKUP(K18,List!$E$35:$F$37,2,)),time*(1-(VLOOKUP(K18,List!$E$35:$F$37,2,))))</f>
        <v>0</v>
      </c>
      <c r="S18" s="1403"/>
      <c r="T18" s="1404">
        <f t="shared" si="2"/>
        <v>0</v>
      </c>
      <c r="V18" s="2108">
        <f>'4.Grassland'!W51</f>
        <v>0</v>
      </c>
      <c r="W18" s="2108">
        <f>'4.Grassland'!X51</f>
        <v>0</v>
      </c>
      <c r="X18" s="2109">
        <f>'4.Grassland'!Y51</f>
        <v>0</v>
      </c>
      <c r="Y18" s="2110"/>
      <c r="Z18" s="2110">
        <f t="shared" si="4"/>
        <v>0</v>
      </c>
      <c r="AA18" s="2110">
        <f t="shared" si="5"/>
        <v>0</v>
      </c>
      <c r="AB18" s="2111">
        <f t="shared" si="6"/>
        <v>0</v>
      </c>
      <c r="AD18" s="2110">
        <f>(time*((ABS(AA18-Z18)*(IF(Z18&lt;=AA18,VLOOKUP(H18,List!$E$35:$F$37,2,),1-VLOOKUP(H18,List!$E$35:$F$37,2,))))+MIN(AA18,Z18))+(AA18*time2))</f>
        <v>0</v>
      </c>
      <c r="AE18" s="2110">
        <f>(time*((ABS(AB18-Z18)*(IF(Z18&lt;=AB18,VLOOKUP(K18,List!$E$35:$F$37,2,),1-VLOOKUP(K18,List!$E$35:$F$37,2,))))+MIN(AB18,Z18))+(AB18*time2))</f>
        <v>0</v>
      </c>
      <c r="AG18" s="1952">
        <f>MIN(M18,N18)*time+ABS(N18-M18)*IF(N18&gt;M18,time*(VLOOKUP(H18,List!$E$35:$F$37,2,)),time*(1-(VLOOKUP(H18,List!$E$35:$F$37,2,))))</f>
        <v>0</v>
      </c>
      <c r="AH18" s="1964">
        <f>MIN(M18,O18)*time+ABS(O18-M18)*IF(O18&gt;M18,time*(VLOOKUP(K18,List!$E$35:$F$37,2,)),time*(1-(VLOOKUP(K18,List!$E$35:$F$37,2,))))</f>
        <v>0</v>
      </c>
    </row>
    <row r="19" spans="1:35" ht="13.8" thickBot="1">
      <c r="A19" s="1423"/>
      <c r="B19" s="1988" t="str">
        <f>'4.Grassland'!B52</f>
        <v>Horses</v>
      </c>
      <c r="C19" s="1435">
        <f>IF(c_type="developed",VLOOKUP(B19,' IPCC'!$A$335:$B$343,2,FALSE),VLOOKUP(B19,' IPCC'!$A$347:$B$355,2,FALSE))</f>
        <v>18</v>
      </c>
      <c r="D19" s="2312">
        <f>IF('4.Grassland'!E137="",'4.Grassland'!D137,'4.Grassland'!E137)</f>
        <v>18</v>
      </c>
      <c r="E19" s="2312">
        <f>IF('4.Grassland'!G137="",'4.Grassland'!D137,'4.Grassland'!G137)</f>
        <v>18</v>
      </c>
      <c r="F19" s="1991">
        <f>'4.Grassland'!D52</f>
        <v>0</v>
      </c>
      <c r="G19" s="1991">
        <f>'4.Grassland'!E52</f>
        <v>0</v>
      </c>
      <c r="H19" s="2313" t="str">
        <f>VLOOKUP('4.Grassland'!F52,List!$D$35:$E$37,2,)</f>
        <v>Linear</v>
      </c>
      <c r="I19" s="49"/>
      <c r="J19" s="1992">
        <f>'4.Grassland'!G52</f>
        <v>0</v>
      </c>
      <c r="K19" s="2313" t="str">
        <f>VLOOKUP('4.Grassland'!H52,List!$D$35:$E$37,2,)</f>
        <v>Linear</v>
      </c>
      <c r="L19" s="49"/>
      <c r="M19" s="1400">
        <f>IF($E19="YES",$C19,$D19)*(methane*F19/1000)</f>
        <v>0</v>
      </c>
      <c r="N19" s="2998">
        <f t="shared" si="0"/>
        <v>0</v>
      </c>
      <c r="O19" s="2998">
        <f t="shared" si="1"/>
        <v>0</v>
      </c>
      <c r="P19" s="1403"/>
      <c r="Q19" s="1400">
        <f>MIN(M19,N19)*time_tot+ABS(N19-M19)*IF(N19&gt;M19,time2+time*(VLOOKUP(H19,List!$E$35:$F$37,2,)),time*(1-(VLOOKUP(H19,List!$E$35:$F$37,2,))))</f>
        <v>0</v>
      </c>
      <c r="R19" s="1400">
        <f>MIN(M19,O19)*time_tot+ABS(O19-M19)*IF(O19&gt;M19,time2+time*(VLOOKUP(K19,List!$E$35:$F$37,2,)),time*(1-(VLOOKUP(K19,List!$E$35:$F$37,2,))))</f>
        <v>0</v>
      </c>
      <c r="S19" s="1403"/>
      <c r="T19" s="1404">
        <f>R19-Q19</f>
        <v>0</v>
      </c>
      <c r="V19" s="2108">
        <f>'4.Grassland'!W52</f>
        <v>0</v>
      </c>
      <c r="W19" s="2108">
        <f>'4.Grassland'!X52</f>
        <v>0</v>
      </c>
      <c r="X19" s="2109">
        <f>'4.Grassland'!Y52</f>
        <v>0</v>
      </c>
      <c r="Y19" s="2110"/>
      <c r="Z19" s="2110">
        <f t="shared" si="4"/>
        <v>0</v>
      </c>
      <c r="AA19" s="2110">
        <f t="shared" si="5"/>
        <v>0</v>
      </c>
      <c r="AB19" s="2111">
        <f t="shared" si="6"/>
        <v>0</v>
      </c>
      <c r="AD19" s="2110">
        <f>(time*((ABS(AA19-Z19)*(IF(Z19&lt;=AA19,VLOOKUP(H19,List!$E$35:$F$37,2,),1-VLOOKUP(H19,List!$E$35:$F$37,2,))))+MIN(AA19,Z19))+(AA19*time2))</f>
        <v>0</v>
      </c>
      <c r="AE19" s="2110">
        <f>(time*((ABS(AB19-Z19)*(IF(Z19&lt;=AB19,VLOOKUP(K19,List!$E$35:$F$37,2,),1-VLOOKUP(K19,List!$E$35:$F$37,2,))))+MIN(AB19,Z19))+(AB19*time2))</f>
        <v>0</v>
      </c>
      <c r="AG19" s="1952">
        <f>MIN(M19,N19)*time+ABS(N19-M19)*IF(N19&gt;M19,time*(VLOOKUP(H19,List!$E$35:$F$37,2,)),time*(1-(VLOOKUP(H19,List!$E$35:$F$37,2,))))</f>
        <v>0</v>
      </c>
      <c r="AH19" s="1964">
        <f>MIN(M19,O19)*time+ABS(O19-M19)*IF(O19&gt;M19,time*(VLOOKUP(K19,List!$E$35:$F$37,2,)),time*(1-(VLOOKUP(K19,List!$E$35:$F$37,2,))))</f>
        <v>0</v>
      </c>
    </row>
    <row r="20" spans="1:35" ht="13.8" thickBot="1">
      <c r="A20" s="1423"/>
      <c r="B20" s="1988" t="str">
        <f>'4.Grassland'!B53</f>
        <v>Goats</v>
      </c>
      <c r="C20" s="1986">
        <f>IF(c_type="developed",VLOOKUP(B20,' IPCC'!$A$335:$B$343,2,FALSE),VLOOKUP(B20,' IPCC'!$A$347:$B$355,2,FALSE))</f>
        <v>5</v>
      </c>
      <c r="D20" s="2312">
        <f>IF('4.Grassland'!E138="",'4.Grassland'!D138,'4.Grassland'!E138)</f>
        <v>5</v>
      </c>
      <c r="E20" s="2312">
        <f>IF('4.Grassland'!G138="",'4.Grassland'!D138,'4.Grassland'!G138)</f>
        <v>5</v>
      </c>
      <c r="F20" s="1991">
        <f>'4.Grassland'!D53</f>
        <v>0</v>
      </c>
      <c r="G20" s="1991">
        <f>'4.Grassland'!E53</f>
        <v>0</v>
      </c>
      <c r="H20" s="2313" t="str">
        <f>VLOOKUP('4.Grassland'!F53,List!$D$35:$E$37,2,)</f>
        <v>Linear</v>
      </c>
      <c r="I20" s="49"/>
      <c r="J20" s="1992">
        <f>'4.Grassland'!G53</f>
        <v>0</v>
      </c>
      <c r="K20" s="2313" t="str">
        <f>VLOOKUP('4.Grassland'!H53,List!$D$35:$E$37,2,)</f>
        <v>Linear</v>
      </c>
      <c r="L20" s="49"/>
      <c r="M20" s="1400">
        <f t="shared" si="3"/>
        <v>0</v>
      </c>
      <c r="N20" s="2998">
        <f t="shared" si="0"/>
        <v>0</v>
      </c>
      <c r="O20" s="2998">
        <f t="shared" si="1"/>
        <v>0</v>
      </c>
      <c r="P20" s="1403"/>
      <c r="Q20" s="1400">
        <f>MIN(M20,N20)*time_tot+ABS(N20-M20)*IF(N20&gt;M20,time2+time*(VLOOKUP(H20,List!$E$35:$F$37,2,)),time*(1-(VLOOKUP(H20,List!$E$35:$F$37,2,))))</f>
        <v>0</v>
      </c>
      <c r="R20" s="1400">
        <f>MIN(M20,O20)*time_tot+ABS(O20-M20)*IF(O20&gt;M20,time2+time*(VLOOKUP(K20,List!$E$35:$F$37,2,)),time*(1-(VLOOKUP(K20,List!$E$35:$F$37,2,))))</f>
        <v>0</v>
      </c>
      <c r="S20" s="1403"/>
      <c r="T20" s="1404">
        <f t="shared" si="2"/>
        <v>0</v>
      </c>
      <c r="V20" s="2108">
        <f>'4.Grassland'!W53</f>
        <v>0</v>
      </c>
      <c r="W20" s="2108">
        <f>'4.Grassland'!X53</f>
        <v>0</v>
      </c>
      <c r="X20" s="2109">
        <f>'4.Grassland'!Y53</f>
        <v>0</v>
      </c>
      <c r="Y20" s="2110"/>
      <c r="Z20" s="2110">
        <f t="shared" si="4"/>
        <v>0</v>
      </c>
      <c r="AA20" s="2110">
        <f t="shared" si="5"/>
        <v>0</v>
      </c>
      <c r="AB20" s="2111">
        <f t="shared" si="6"/>
        <v>0</v>
      </c>
      <c r="AD20" s="2110">
        <f>(time*((ABS(AA20-Z20)*(IF(Z20&lt;=AA20,VLOOKUP(H20,List!$E$35:$F$37,2,),1-VLOOKUP(H20,List!$E$35:$F$37,2,))))+MIN(AA20,Z20))+(AA20*time2))</f>
        <v>0</v>
      </c>
      <c r="AE20" s="2110">
        <f>(time*((ABS(AB20-Z20)*(IF(Z20&lt;=AB20,VLOOKUP(K20,List!$E$35:$F$37,2,),1-VLOOKUP(K20,List!$E$35:$F$37,2,))))+MIN(AB20,Z20))+(AB20*time2))</f>
        <v>0</v>
      </c>
      <c r="AG20" s="1952">
        <f>MIN(M20,N20)*time+ABS(N20-M20)*IF(N20&gt;M20,time*(VLOOKUP(H20,List!$E$35:$F$37,2,)),time*(1-(VLOOKUP(H20,List!$E$35:$F$37,2,))))</f>
        <v>0</v>
      </c>
      <c r="AH20" s="1964">
        <f>MIN(M20,O20)*time+ABS(O20-M20)*IF(O20&gt;M20,time*(VLOOKUP(K20,List!$E$35:$F$37,2,)),time*(1-(VLOOKUP(K20,List!$E$35:$F$37,2,))))</f>
        <v>0</v>
      </c>
    </row>
    <row r="21" spans="1:35" ht="13.8" thickBot="1">
      <c r="A21" s="1423"/>
      <c r="B21" s="38" t="s">
        <v>366</v>
      </c>
      <c r="C21" s="1438"/>
      <c r="D21" s="1436">
        <v>5</v>
      </c>
      <c r="E21" s="2311" t="s">
        <v>359</v>
      </c>
      <c r="F21" s="2726">
        <v>0</v>
      </c>
      <c r="G21" s="2726">
        <v>0</v>
      </c>
      <c r="H21" s="768" t="s">
        <v>356</v>
      </c>
      <c r="I21" s="49"/>
      <c r="J21" s="2727">
        <v>0</v>
      </c>
      <c r="K21" s="768" t="s">
        <v>356</v>
      </c>
      <c r="L21" s="49"/>
      <c r="M21" s="1400">
        <f t="shared" si="3"/>
        <v>0</v>
      </c>
      <c r="N21" s="1400">
        <f>IF($E21="YES",$C21,$D21)*(methane*G21/1000)</f>
        <v>0</v>
      </c>
      <c r="O21" s="1400">
        <f t="shared" ref="O21:O22" si="7">IF($E21="YES",$C21,$D21)*(methane*J21/1000)</f>
        <v>0</v>
      </c>
      <c r="P21" s="1403"/>
      <c r="Q21" s="1400">
        <f>MIN(M21,N21)*time_tot+ABS(N21-M21)*IF(N21&gt;M21,time2+time*(VLOOKUP(H21,List!$E$35:$F$37,2,)),time*(1-(VLOOKUP(H21,List!$E$35:$F$37,2,))))</f>
        <v>0</v>
      </c>
      <c r="R21" s="1400">
        <f>MIN(M21,O21)*time_tot+ABS(O21-M21)*IF(O21&gt;M21,time2+time*(VLOOKUP(K21,List!$E$35:$F$37,2,)),time*(1-(VLOOKUP(K21,List!$E$35:$F$37,2,))))</f>
        <v>0</v>
      </c>
      <c r="S21" s="1403"/>
      <c r="T21" s="1404">
        <f t="shared" si="2"/>
        <v>0</v>
      </c>
      <c r="AD21" s="1926"/>
      <c r="AE21" s="1926"/>
      <c r="AG21" s="1952">
        <f>MIN(M21,N21)*time+ABS(N21-M21)*IF(N21&gt;M21,time*(VLOOKUP(H21,List!$E$35:$F$37,2,)),time*(1-(VLOOKUP(H21,List!$E$35:$F$37,2,))))</f>
        <v>0</v>
      </c>
      <c r="AH21" s="1964">
        <f>MIN(M21,O21)*time+ABS(O21-M21)*IF(O21&gt;M21,time*(VLOOKUP(K21,List!$E$35:$F$37,2,)),time*(1-(VLOOKUP(K21,List!$E$35:$F$37,2,))))</f>
        <v>0</v>
      </c>
    </row>
    <row r="22" spans="1:35">
      <c r="A22" s="1423"/>
      <c r="B22" s="38" t="s">
        <v>366</v>
      </c>
      <c r="C22" s="1438"/>
      <c r="D22" s="1436">
        <v>6</v>
      </c>
      <c r="E22" s="2311" t="s">
        <v>359</v>
      </c>
      <c r="F22" s="2726">
        <v>0</v>
      </c>
      <c r="G22" s="2726">
        <v>0</v>
      </c>
      <c r="H22" s="769" t="s">
        <v>356</v>
      </c>
      <c r="I22" s="49"/>
      <c r="J22" s="2727">
        <v>0</v>
      </c>
      <c r="K22" s="769" t="s">
        <v>356</v>
      </c>
      <c r="L22" s="49"/>
      <c r="M22" s="1400">
        <f t="shared" si="3"/>
        <v>0</v>
      </c>
      <c r="N22" s="1400">
        <f>IF($E22="YES",$C22,$D22)*(methane*G22/1000)</f>
        <v>0</v>
      </c>
      <c r="O22" s="1400">
        <f t="shared" si="7"/>
        <v>0</v>
      </c>
      <c r="P22" s="1403"/>
      <c r="Q22" s="1400">
        <f>MIN(M22,N22)*time_tot+ABS(N22-M22)*IF(N22&gt;M22,time2+time*(VLOOKUP(H22,List!$E$35:$F$37,2,)),time*(1-(VLOOKUP(H22,List!$E$35:$F$37,2,))))</f>
        <v>0</v>
      </c>
      <c r="R22" s="1400">
        <f>MIN(M22,O22)*time_tot+ABS(O22-M22)*IF(O22&gt;M22,time2+time*(VLOOKUP(K22,List!$E$35:$F$37,2,)),time*(1-(VLOOKUP(K22,List!$E$35:$F$37,2,))))</f>
        <v>0</v>
      </c>
      <c r="S22" s="1403"/>
      <c r="T22" s="1404">
        <f t="shared" si="2"/>
        <v>0</v>
      </c>
      <c r="AD22" s="1926"/>
      <c r="AE22" s="1926"/>
      <c r="AG22" s="1952">
        <f>MIN(M22,N22)*time+ABS(N22-M22)*IF(N22&gt;M22,time*(VLOOKUP(H22,List!$E$35:$F$37,2,)),time*(1-(VLOOKUP(H22,List!$E$35:$F$37,2,))))</f>
        <v>0</v>
      </c>
      <c r="AH22" s="1964">
        <f>MIN(M22,O22)*time+ABS(O22-M22)*IF(O22&gt;M22,time*(VLOOKUP(K22,List!$E$35:$F$37,2,)),time*(1-(VLOOKUP(K22,List!$E$35:$F$37,2,))))</f>
        <v>0</v>
      </c>
    </row>
    <row r="23" spans="1:35">
      <c r="A23" s="1423"/>
      <c r="B23" s="49"/>
      <c r="C23" s="46"/>
      <c r="D23" s="46"/>
      <c r="E23" s="46"/>
      <c r="F23" s="49"/>
      <c r="G23" s="49"/>
      <c r="H23" s="47"/>
      <c r="I23" s="49"/>
      <c r="J23" s="49"/>
      <c r="K23" s="1439" t="s">
        <v>701</v>
      </c>
      <c r="L23" s="1440"/>
      <c r="M23" s="1259">
        <f>SUM(M12:M22)</f>
        <v>0</v>
      </c>
      <c r="N23" s="1405">
        <f>SUM(N12:N21)</f>
        <v>0</v>
      </c>
      <c r="O23" s="1405">
        <f>SUM(O12:O21)</f>
        <v>0</v>
      </c>
      <c r="P23" s="1405"/>
      <c r="Q23" s="1259">
        <f>SUM(Q12:Q22)</f>
        <v>0</v>
      </c>
      <c r="R23" s="1259">
        <f>SUM(R12:R22)</f>
        <v>0</v>
      </c>
      <c r="S23" s="1417"/>
      <c r="T23" s="1406">
        <f>SUM(T12:T22)</f>
        <v>0</v>
      </c>
      <c r="AB23" s="1929" t="s">
        <v>531</v>
      </c>
      <c r="AD23" s="2112">
        <f>SUM(AD12:AD20)</f>
        <v>0</v>
      </c>
      <c r="AE23" s="2112">
        <f>SUM(AE12:AE20)</f>
        <v>0</v>
      </c>
      <c r="AI23" s="1965">
        <f>SUM(AH12:AH22)-SUM(AG12:AG22)</f>
        <v>0</v>
      </c>
    </row>
    <row r="24" spans="1:35" ht="13.8" thickBot="1">
      <c r="A24" s="1423"/>
      <c r="B24" s="49" t="s">
        <v>81</v>
      </c>
      <c r="C24" s="46"/>
      <c r="D24" s="46"/>
      <c r="E24" s="46"/>
      <c r="F24" s="49"/>
      <c r="G24" s="49"/>
      <c r="H24" s="47"/>
      <c r="I24" s="49"/>
      <c r="J24" s="1951"/>
      <c r="K24" s="2314"/>
      <c r="L24" s="2321"/>
      <c r="M24" s="2322"/>
      <c r="N24" s="2323"/>
      <c r="O24" s="2324"/>
      <c r="P24" s="2324"/>
      <c r="Q24" s="2322"/>
      <c r="R24" s="2322"/>
      <c r="S24" s="1419"/>
      <c r="T24" s="49"/>
      <c r="AI24" s="1965"/>
    </row>
    <row r="25" spans="1:35" ht="13.8" thickBot="1">
      <c r="A25" s="1423"/>
      <c r="B25" s="752" t="s">
        <v>82</v>
      </c>
      <c r="C25" s="976"/>
      <c r="D25" s="976"/>
      <c r="E25" s="976"/>
      <c r="F25" s="2327" t="str">
        <f>'4.Grassland'!H123</f>
        <v>Not specified</v>
      </c>
      <c r="G25" s="2328"/>
      <c r="H25" s="47"/>
      <c r="I25" s="49"/>
      <c r="J25" s="1951"/>
      <c r="K25" s="2314"/>
      <c r="L25" s="2321"/>
      <c r="M25" s="2322" t="s">
        <v>84</v>
      </c>
      <c r="N25" s="2324">
        <f>MAT</f>
        <v>0</v>
      </c>
      <c r="O25" s="2324"/>
      <c r="P25" s="2324"/>
      <c r="Q25" s="2322"/>
      <c r="R25" s="2322"/>
      <c r="S25" s="1419"/>
      <c r="T25" s="1418"/>
    </row>
    <row r="26" spans="1:35" ht="13.8" thickBot="1">
      <c r="A26" s="1423"/>
      <c r="B26" s="1286" t="s">
        <v>139</v>
      </c>
      <c r="C26" s="1262"/>
      <c r="D26" s="1262"/>
      <c r="E26" s="1262"/>
      <c r="F26" s="3224">
        <f>IF('4.Grassland'!C124="",'4.Grassland'!B124,'4.Grassland'!C124)</f>
        <v>0</v>
      </c>
      <c r="G26" s="3225"/>
      <c r="H26" s="1423" t="str">
        <f>IF(ISNUMBER(F26),(IF(F26&lt;VLOOKUP(climate,Help!$B$49:$G$54,5,),"MAT seems to low according to climate",IF(F26&gt;VLOOKUP(climate,Help!$B$49:$G$54,6,),"MAT seems to high according to climate","Possible"))),"")</f>
        <v>Possible</v>
      </c>
      <c r="I26" s="49"/>
      <c r="J26" s="1951"/>
      <c r="K26" s="1922"/>
      <c r="L26" s="2321"/>
      <c r="M26" s="1952">
        <f>IF(Nlang=1,VLOOKUP(climate,Help!B49:E54,4,),VLOOKUP('1.Description'!I11,Help!B49:E54,4,))</f>
        <v>0</v>
      </c>
      <c r="N26" s="2314">
        <f>IF(F26&lt;&gt;"",F26,VLOOKUP(climate,Help!L96:M101,2,))</f>
        <v>0</v>
      </c>
      <c r="O26" s="2325" t="s">
        <v>140</v>
      </c>
      <c r="P26" s="2322"/>
      <c r="Q26" s="2326"/>
      <c r="R26" s="2322"/>
      <c r="S26" s="1420"/>
      <c r="T26" s="1418"/>
    </row>
    <row r="27" spans="1:35">
      <c r="A27" s="1423"/>
      <c r="B27" s="1423"/>
      <c r="C27" s="1423"/>
      <c r="D27" s="1423"/>
      <c r="E27" s="1423"/>
      <c r="F27" s="1423"/>
      <c r="G27" s="1423"/>
      <c r="H27" s="1423"/>
      <c r="I27" s="1423"/>
      <c r="J27" s="1951"/>
      <c r="K27" s="1922"/>
      <c r="L27" s="2321"/>
      <c r="M27" s="1952"/>
      <c r="N27" s="2314"/>
      <c r="O27" s="2325"/>
      <c r="P27" s="2322"/>
      <c r="Q27" s="2326"/>
      <c r="R27" s="2322"/>
      <c r="S27" s="1420"/>
      <c r="T27" s="1418"/>
    </row>
    <row r="28" spans="1:35">
      <c r="A28" s="1423"/>
      <c r="B28" s="1929" t="s">
        <v>81</v>
      </c>
      <c r="C28" s="1927"/>
      <c r="D28" s="1927"/>
      <c r="E28" s="1927"/>
      <c r="F28" s="1949"/>
      <c r="G28" s="1938"/>
      <c r="H28" s="1945"/>
      <c r="I28" s="1929"/>
      <c r="J28" s="1951"/>
      <c r="K28" s="1922"/>
      <c r="L28" s="2321"/>
      <c r="M28" s="1952"/>
      <c r="N28" s="2551"/>
      <c r="O28" s="2325"/>
      <c r="P28" s="2322"/>
      <c r="Q28" s="2326"/>
      <c r="R28" s="2322"/>
      <c r="S28" s="1420"/>
      <c r="T28" s="1418"/>
    </row>
    <row r="29" spans="1:35">
      <c r="A29" s="1423"/>
      <c r="B29" s="1929" t="s">
        <v>1440</v>
      </c>
      <c r="C29" s="1927"/>
      <c r="D29" s="1927"/>
      <c r="E29" s="1927"/>
      <c r="F29" s="1949"/>
      <c r="G29" s="1938"/>
      <c r="H29" s="1945"/>
      <c r="I29" s="1929"/>
      <c r="J29" s="1929"/>
      <c r="K29" s="1928"/>
      <c r="L29" s="1441"/>
      <c r="M29" s="1127"/>
      <c r="N29" s="1442"/>
      <c r="O29" s="1261"/>
      <c r="P29" s="1418"/>
      <c r="Q29" s="1420"/>
      <c r="R29" s="1418"/>
      <c r="S29" s="1420"/>
      <c r="T29" s="1418"/>
    </row>
    <row r="30" spans="1:35">
      <c r="A30" s="1423"/>
      <c r="B30" s="1955" t="s">
        <v>1441</v>
      </c>
      <c r="C30" s="1956" t="s">
        <v>344</v>
      </c>
      <c r="D30" s="3015" t="s">
        <v>5558</v>
      </c>
      <c r="E30" s="3016"/>
      <c r="F30" s="1949"/>
      <c r="G30" s="1955" t="s">
        <v>1441</v>
      </c>
      <c r="H30" s="1956" t="s">
        <v>344</v>
      </c>
      <c r="I30" s="1935"/>
      <c r="J30" s="3012" t="s">
        <v>5558</v>
      </c>
      <c r="K30" s="3013"/>
      <c r="L30" s="1441"/>
      <c r="M30" s="1955" t="s">
        <v>1441</v>
      </c>
      <c r="N30" s="1956" t="s">
        <v>344</v>
      </c>
      <c r="O30" s="3012" t="s">
        <v>5558</v>
      </c>
      <c r="P30" s="3013"/>
      <c r="Q30" s="1936"/>
      <c r="R30" s="1418"/>
      <c r="S30" s="1420"/>
      <c r="T30" s="1418"/>
    </row>
    <row r="31" spans="1:35">
      <c r="A31" s="1423"/>
      <c r="B31" s="1957"/>
      <c r="C31" s="1934" t="s">
        <v>1442</v>
      </c>
      <c r="D31" s="3017" t="s">
        <v>56</v>
      </c>
      <c r="E31" s="2997" t="s">
        <v>279</v>
      </c>
      <c r="F31" s="1949"/>
      <c r="G31" s="1957"/>
      <c r="H31" s="1934" t="s">
        <v>1442</v>
      </c>
      <c r="I31" s="1937"/>
      <c r="J31" s="3014" t="str">
        <f>D31</f>
        <v>without</v>
      </c>
      <c r="K31" s="2995" t="str">
        <f>E31</f>
        <v>with</v>
      </c>
      <c r="L31" s="1441"/>
      <c r="M31" s="1957"/>
      <c r="N31" s="1934" t="s">
        <v>1442</v>
      </c>
      <c r="O31" s="3014" t="s">
        <v>56</v>
      </c>
      <c r="P31" s="2995"/>
      <c r="Q31" s="2995" t="s">
        <v>691</v>
      </c>
      <c r="R31" s="1418"/>
      <c r="S31" s="1420"/>
      <c r="T31" s="1418"/>
    </row>
    <row r="32" spans="1:35">
      <c r="A32" s="1423"/>
      <c r="B32" s="1957" t="s">
        <v>354</v>
      </c>
      <c r="C32" s="2317">
        <f>VLOOKUP(region,' IPCC'!A864:F876,2,FALSE)/100</f>
        <v>0</v>
      </c>
      <c r="D32" s="2320">
        <f>IF('4.Grassland'!L130="",'4.Grassland'!K130,'4.Grassland'!L130)</f>
        <v>0</v>
      </c>
      <c r="E32" s="2320">
        <f>IF('4.Grassland'!N130="",'4.Grassland'!K130,'4.Grassland'!N130)</f>
        <v>0</v>
      </c>
      <c r="F32" s="1949"/>
      <c r="G32" s="1957" t="s">
        <v>364</v>
      </c>
      <c r="H32" s="1960">
        <v>1</v>
      </c>
      <c r="I32" s="1959"/>
      <c r="J32" s="2320">
        <f>IF('4.Grassland'!L133="",'4.Grassland'!K133,'4.Grassland'!L133)</f>
        <v>1</v>
      </c>
      <c r="K32" s="2320">
        <f>IF('4.Grassland'!N133="",'4.Grassland'!K133,'4.Grassland'!N133)</f>
        <v>1</v>
      </c>
      <c r="L32" s="1441"/>
      <c r="M32" s="1957" t="str">
        <f>B18</f>
        <v>Please select</v>
      </c>
      <c r="N32" s="1960">
        <v>1</v>
      </c>
      <c r="O32" s="2320">
        <f>IF('4.Grassland'!L136="",'4.Grassland'!K136,'4.Grassland'!L136)</f>
        <v>1</v>
      </c>
      <c r="P32" s="2320"/>
      <c r="Q32" s="2320">
        <f>IF('4.Grassland'!N136="",'4.Grassland'!K136,'4.Grassland'!N136)</f>
        <v>1</v>
      </c>
      <c r="R32" s="1418"/>
      <c r="S32" s="1420"/>
      <c r="T32" s="1418"/>
    </row>
    <row r="33" spans="1:228">
      <c r="A33" s="1423"/>
      <c r="B33" s="1957" t="s">
        <v>358</v>
      </c>
      <c r="C33" s="2315">
        <f>VLOOKUP(region,' IPCC'!$A$864:$F$876,3,FALSE)/100</f>
        <v>0</v>
      </c>
      <c r="D33" s="2320">
        <f>IF('4.Grassland'!L131="",'4.Grassland'!K131,'4.Grassland'!L131)</f>
        <v>0</v>
      </c>
      <c r="E33" s="2320">
        <f>IF('4.Grassland'!N131="",'4.Grassland'!K131,'4.Grassland'!N131)</f>
        <v>0</v>
      </c>
      <c r="F33" s="2550"/>
      <c r="G33" s="1957" t="s">
        <v>362</v>
      </c>
      <c r="H33" s="1960">
        <f>VLOOKUP(region,' IPCC'!$A$864:$F$876,5,FALSE)/100</f>
        <v>0</v>
      </c>
      <c r="I33" s="1959"/>
      <c r="J33" s="2320">
        <f>IF('4.Grassland'!L134="",'4.Grassland'!K134,'4.Grassland'!L134)</f>
        <v>0</v>
      </c>
      <c r="K33" s="2320">
        <f>IF('4.Grassland'!N134="",'4.Grassland'!K134,'4.Grassland'!N134)</f>
        <v>0</v>
      </c>
      <c r="L33" s="1441"/>
      <c r="M33" s="1957" t="str">
        <f>B19</f>
        <v>Horses</v>
      </c>
      <c r="N33" s="1960">
        <v>1</v>
      </c>
      <c r="O33" s="2320">
        <f>IF('4.Grassland'!L137="",'4.Grassland'!K137,'4.Grassland'!L137)</f>
        <v>1</v>
      </c>
      <c r="P33" s="2320"/>
      <c r="Q33" s="2320">
        <f>IF('4.Grassland'!N137="",'4.Grassland'!K137,'4.Grassland'!N137)</f>
        <v>1</v>
      </c>
      <c r="R33" s="1418"/>
      <c r="S33" s="1420"/>
      <c r="T33" s="1418"/>
    </row>
    <row r="34" spans="1:228">
      <c r="A34" s="1423"/>
      <c r="B34" s="1958" t="s">
        <v>360</v>
      </c>
      <c r="C34" s="1960">
        <f>VLOOKUP(region,' IPCC'!$A$864:$F$876,4,FALSE)/100</f>
        <v>0</v>
      </c>
      <c r="D34" s="2320">
        <f>IF('4.Grassland'!L132="",'4.Grassland'!K132,'4.Grassland'!L132)</f>
        <v>0</v>
      </c>
      <c r="E34" s="2320">
        <f>IF('4.Grassland'!N132="",'4.Grassland'!K132,'4.Grassland'!N132)</f>
        <v>0</v>
      </c>
      <c r="F34" s="1949"/>
      <c r="G34" s="1958" t="s">
        <v>363</v>
      </c>
      <c r="H34" s="1961">
        <f>VLOOKUP(region,' IPCC'!$A$864:$F$876,6,FALSE)/100</f>
        <v>0</v>
      </c>
      <c r="I34" s="1962"/>
      <c r="J34" s="2320">
        <f>IF('4.Grassland'!L135="",'4.Grassland'!K135,'4.Grassland'!L135)</f>
        <v>0</v>
      </c>
      <c r="K34" s="2320">
        <f>IF('4.Grassland'!N135="",'4.Grassland'!K135,'4.Grassland'!N135)</f>
        <v>0</v>
      </c>
      <c r="L34" s="1441"/>
      <c r="M34" s="1957" t="str">
        <f>B20</f>
        <v>Goats</v>
      </c>
      <c r="N34" s="1960">
        <v>1</v>
      </c>
      <c r="O34" s="2320">
        <f>IF('4.Grassland'!L138="",'4.Grassland'!K138,'4.Grassland'!L138)</f>
        <v>1</v>
      </c>
      <c r="P34" s="2320"/>
      <c r="Q34" s="2320">
        <f>IF('4.Grassland'!N138="",'4.Grassland'!K138,'4.Grassland'!N138)</f>
        <v>1</v>
      </c>
      <c r="R34" s="1418"/>
      <c r="S34" s="1420"/>
      <c r="T34" s="1418"/>
    </row>
    <row r="35" spans="1:228">
      <c r="A35" s="1423"/>
      <c r="B35" s="1423"/>
      <c r="C35" s="46"/>
      <c r="D35" s="46"/>
      <c r="E35" s="46"/>
      <c r="F35" s="2318"/>
      <c r="G35" s="620"/>
      <c r="H35" s="620"/>
      <c r="I35" s="49"/>
      <c r="J35" s="49"/>
      <c r="K35" s="112"/>
      <c r="L35" s="1441"/>
      <c r="M35" s="1420"/>
      <c r="N35" s="1418"/>
      <c r="O35" s="1420"/>
      <c r="P35" s="1418"/>
      <c r="Q35" s="1420"/>
      <c r="R35" s="1418"/>
      <c r="S35" s="1420"/>
      <c r="T35" s="1418"/>
    </row>
    <row r="36" spans="1:228" s="1422" customFormat="1">
      <c r="A36" s="26"/>
      <c r="B36" s="29" t="s">
        <v>367</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53"/>
      <c r="AE36" s="1953"/>
      <c r="AF36" s="1953"/>
      <c r="AG36" s="1921"/>
      <c r="AH36" s="1921"/>
      <c r="AI36" s="1953"/>
      <c r="AJ36" s="1953"/>
      <c r="AK36" s="1953"/>
      <c r="AL36" s="1953"/>
      <c r="AM36" s="1953"/>
      <c r="AN36" s="1953"/>
      <c r="AO36" s="1953"/>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8" thickBot="1">
      <c r="A37" s="1423"/>
      <c r="B37" s="111"/>
      <c r="C37" s="1424"/>
      <c r="D37" s="1424"/>
      <c r="E37" s="1424"/>
      <c r="F37" s="3223" t="s">
        <v>340</v>
      </c>
      <c r="G37" s="3223"/>
      <c r="H37" s="3223"/>
      <c r="I37" s="3223"/>
      <c r="J37" s="3223"/>
      <c r="K37" s="3223"/>
      <c r="L37" s="1441"/>
      <c r="M37" s="3221" t="s">
        <v>341</v>
      </c>
      <c r="N37" s="3221"/>
      <c r="O37" s="3221"/>
      <c r="P37" s="49"/>
      <c r="Q37" s="1394" t="s">
        <v>2</v>
      </c>
      <c r="R37" s="1394"/>
      <c r="S37" s="1394"/>
      <c r="T37" s="1394"/>
    </row>
    <row r="38" spans="1:228">
      <c r="A38" s="1423"/>
      <c r="B38" s="186"/>
      <c r="C38" s="84" t="s">
        <v>342</v>
      </c>
      <c r="D38" s="2996" t="s">
        <v>5558</v>
      </c>
      <c r="E38" s="2997"/>
      <c r="F38" s="1428" t="s">
        <v>345</v>
      </c>
      <c r="G38" s="3226" t="s">
        <v>689</v>
      </c>
      <c r="H38" s="3227"/>
      <c r="I38" s="49"/>
      <c r="J38" s="3228" t="s">
        <v>688</v>
      </c>
      <c r="K38" s="3229"/>
      <c r="L38" s="1441"/>
      <c r="M38" s="1428" t="s">
        <v>345</v>
      </c>
      <c r="N38" s="3222" t="s">
        <v>346</v>
      </c>
      <c r="O38" s="3222"/>
      <c r="P38" s="49"/>
      <c r="Q38" s="3218" t="s">
        <v>347</v>
      </c>
      <c r="R38" s="3218"/>
      <c r="S38" s="49"/>
      <c r="T38" s="84" t="s">
        <v>348</v>
      </c>
      <c r="AG38" s="1922" t="s">
        <v>860</v>
      </c>
    </row>
    <row r="39" spans="1:228">
      <c r="A39" s="1423"/>
      <c r="B39" s="1430" t="s">
        <v>1192</v>
      </c>
      <c r="C39" s="84" t="s">
        <v>350</v>
      </c>
      <c r="D39" s="2994" t="s">
        <v>690</v>
      </c>
      <c r="E39" s="2995" t="s">
        <v>691</v>
      </c>
      <c r="F39" s="1428" t="s">
        <v>352</v>
      </c>
      <c r="G39" s="1443" t="s">
        <v>346</v>
      </c>
      <c r="H39" s="1444" t="s">
        <v>353</v>
      </c>
      <c r="I39" s="1398"/>
      <c r="J39" s="1445" t="s">
        <v>346</v>
      </c>
      <c r="K39" s="1446" t="s">
        <v>353</v>
      </c>
      <c r="L39" s="1441"/>
      <c r="M39" s="1428"/>
      <c r="N39" s="1396" t="s">
        <v>690</v>
      </c>
      <c r="O39" s="1397" t="s">
        <v>691</v>
      </c>
      <c r="P39" s="1398"/>
      <c r="Q39" s="1396" t="s">
        <v>690</v>
      </c>
      <c r="R39" s="1397" t="s">
        <v>691</v>
      </c>
      <c r="S39" s="1398"/>
      <c r="T39" s="1399"/>
      <c r="AG39" s="1963" t="s">
        <v>690</v>
      </c>
      <c r="AH39" s="1963" t="s">
        <v>691</v>
      </c>
      <c r="AI39" s="1954"/>
    </row>
    <row r="40" spans="1:228">
      <c r="A40" s="1423"/>
      <c r="B40" s="85" t="s">
        <v>354</v>
      </c>
      <c r="C40" s="1435">
        <f>VLOOKUP(region,' IPCC'!A376:T387,IF(MAT&lt;=10,2,IF(MAT&lt;=28,MAT-8,19)),FALSE)</f>
        <v>0</v>
      </c>
      <c r="D40" s="2312">
        <f>IF('4.Grassland'!R130="",'4.Grassland'!P130,'4.Grassland'!R130)</f>
        <v>0</v>
      </c>
      <c r="E40" s="2312">
        <f>IF('4.Grassland'!T130="",'4.Grassland'!P130,'4.Grassland'!T130)</f>
        <v>0</v>
      </c>
      <c r="F40" s="1249">
        <f t="shared" ref="F40:H50" si="8">F12</f>
        <v>0</v>
      </c>
      <c r="G40" s="1250">
        <f t="shared" si="8"/>
        <v>0</v>
      </c>
      <c r="H40" s="1129" t="str">
        <f t="shared" si="8"/>
        <v>Linear</v>
      </c>
      <c r="I40" s="49"/>
      <c r="J40" s="1249">
        <f t="shared" ref="J40:K50" si="9">J12</f>
        <v>0</v>
      </c>
      <c r="K40" s="1129" t="str">
        <f t="shared" si="9"/>
        <v>Linear</v>
      </c>
      <c r="L40" s="1441"/>
      <c r="M40" s="1400">
        <f>IF($E40="YES",$C40,$D40)*(methane*F40/1000)</f>
        <v>0</v>
      </c>
      <c r="N40" s="2998">
        <f t="shared" ref="N40:N50" si="10">$D40*(methane*G40/1000)</f>
        <v>0</v>
      </c>
      <c r="O40" s="2998">
        <f t="shared" ref="O40:O48" si="11">$E40*(methane*J40/1000)</f>
        <v>0</v>
      </c>
      <c r="P40" s="1403"/>
      <c r="Q40" s="1400">
        <f>MIN(M40,N40)*time_tot+ABS(N40-M40)*IF(N40&gt;M40,time2+time*(VLOOKUP(H40,List!$E$35:$F$37,2,)),time*(1-(VLOOKUP(H40,List!$E$35:$F$37,2,))))</f>
        <v>0</v>
      </c>
      <c r="R40" s="1400">
        <f>MIN(M40,O40)*time_tot+ABS(O40-M40)*IF(O40&gt;M40,time2+time*(VLOOKUP(K40,List!$E$35:$F$37,2,)),time*(1-(VLOOKUP(K40,List!$E$35:$F$37,2,))))</f>
        <v>0</v>
      </c>
      <c r="S40" s="1403"/>
      <c r="T40" s="1404">
        <f t="shared" ref="T40:T50" si="12">R40-Q40</f>
        <v>0</v>
      </c>
      <c r="AG40" s="1952">
        <f>MIN(M40,N40)*time+ABS(N40-M40)*IF(N40&gt;M40,time*(VLOOKUP(H40,List!$E$35:$F$37,2,)),time*(1-(VLOOKUP(H40,List!$E$35:$F$37,2,))))</f>
        <v>0</v>
      </c>
      <c r="AH40" s="1964">
        <f>MIN(M40,O40)*time+ABS(O40-M40)*IF(O40&gt;M40,time*(VLOOKUP(K40,List!$E$35:$F$37,2,)),time*(1-(VLOOKUP(K40,List!$E$35:$F$37,2,))))</f>
        <v>0</v>
      </c>
    </row>
    <row r="41" spans="1:228">
      <c r="A41" s="1423"/>
      <c r="B41" s="85" t="s">
        <v>358</v>
      </c>
      <c r="C41" s="1435">
        <f>VLOOKUP(region,' IPCC'!A392:T403,IF(MAT&lt;=10,2,IF(MAT&lt;=28,MAT-8,19)),FALSE)</f>
        <v>0</v>
      </c>
      <c r="D41" s="2312">
        <f>IF('4.Grassland'!R131="",'4.Grassland'!P131,'4.Grassland'!R131)</f>
        <v>0</v>
      </c>
      <c r="E41" s="2312">
        <f>IF('4.Grassland'!T131="",'4.Grassland'!P131,'4.Grassland'!T131)</f>
        <v>0</v>
      </c>
      <c r="F41" s="1251">
        <f t="shared" si="8"/>
        <v>0</v>
      </c>
      <c r="G41" s="1252">
        <f t="shared" si="8"/>
        <v>0</v>
      </c>
      <c r="H41" s="1130" t="str">
        <f t="shared" si="8"/>
        <v>Linear</v>
      </c>
      <c r="I41" s="49"/>
      <c r="J41" s="1251">
        <f t="shared" si="9"/>
        <v>0</v>
      </c>
      <c r="K41" s="1130" t="str">
        <f t="shared" si="9"/>
        <v>Linear</v>
      </c>
      <c r="L41" s="1441"/>
      <c r="M41" s="1400">
        <f>IF($E41="YES",$C41,$D41)*(methane*F41/1000)</f>
        <v>0</v>
      </c>
      <c r="N41" s="2998">
        <f t="shared" si="10"/>
        <v>0</v>
      </c>
      <c r="O41" s="2998">
        <f t="shared" si="11"/>
        <v>0</v>
      </c>
      <c r="P41" s="1403"/>
      <c r="Q41" s="1400">
        <f>MIN(M41,N41)*time_tot+ABS(N41-M41)*IF(N41&gt;M41,time2+time*(VLOOKUP(H41,List!$E$35:$F$37,2,)),time*(1-(VLOOKUP(H41,List!$E$35:$F$37,2,))))</f>
        <v>0</v>
      </c>
      <c r="R41" s="1400">
        <f>MIN(M41,O41)*time_tot+ABS(O41-M41)*IF(O41&gt;M41,time2+time*(VLOOKUP(K41,List!$E$35:$F$37,2,)),time*(1-(VLOOKUP(K41,List!$E$35:$F$37,2,))))</f>
        <v>0</v>
      </c>
      <c r="S41" s="1403"/>
      <c r="T41" s="1404">
        <f t="shared" si="12"/>
        <v>0</v>
      </c>
      <c r="AG41" s="1952">
        <f>MIN(M41,N41)*time+ABS(N41-M41)*IF(N41&gt;M41,time*(VLOOKUP(H41,List!$E$35:$F$37,2,)),time*(1-(VLOOKUP(H41,List!$E$35:$F$37,2,))))</f>
        <v>0</v>
      </c>
      <c r="AH41" s="1964">
        <f>MIN(M41,O41)*time+ABS(O41-M41)*IF(O41&gt;M41,time*(VLOOKUP(K41,List!$E$35:$F$37,2,)),time*(1-(VLOOKUP(K41,List!$E$35:$F$37,2,))))</f>
        <v>0</v>
      </c>
    </row>
    <row r="42" spans="1:228">
      <c r="A42" s="1423"/>
      <c r="B42" s="85" t="s">
        <v>360</v>
      </c>
      <c r="C42" s="1435">
        <f>VLOOKUP(region,' IPCC'!A408:T419,IF(MAT&lt;=10,2,IF(MAT&lt;=28,MAT-8,19)),FALSE)</f>
        <v>0</v>
      </c>
      <c r="D42" s="2312">
        <f>IF('4.Grassland'!R132="",'4.Grassland'!P132,'4.Grassland'!R132)</f>
        <v>0</v>
      </c>
      <c r="E42" s="2312">
        <f>IF('4.Grassland'!T132="",'4.Grassland'!P132,'4.Grassland'!T132)</f>
        <v>0</v>
      </c>
      <c r="F42" s="1251">
        <f t="shared" si="8"/>
        <v>0</v>
      </c>
      <c r="G42" s="1252">
        <f t="shared" si="8"/>
        <v>0</v>
      </c>
      <c r="H42" s="1130" t="str">
        <f t="shared" si="8"/>
        <v>Linear</v>
      </c>
      <c r="I42" s="49"/>
      <c r="J42" s="1251">
        <f t="shared" si="9"/>
        <v>0</v>
      </c>
      <c r="K42" s="1130" t="str">
        <f t="shared" si="9"/>
        <v>Linear</v>
      </c>
      <c r="L42" s="1441"/>
      <c r="M42" s="1400">
        <f t="shared" ref="M42:M50" si="13">IF($E42="YES",$C42,$D42)*(methane*F42/1000)</f>
        <v>0</v>
      </c>
      <c r="N42" s="2998">
        <f t="shared" si="10"/>
        <v>0</v>
      </c>
      <c r="O42" s="2998">
        <f t="shared" si="11"/>
        <v>0</v>
      </c>
      <c r="P42" s="1403"/>
      <c r="Q42" s="1400">
        <f>MIN(M42,N42)*time_tot+ABS(N42-M42)*IF(N42&gt;M42,time2+time*(VLOOKUP(H42,List!$E$35:$F$37,2,)),time*(1-(VLOOKUP(H42,List!$E$35:$F$37,2,))))</f>
        <v>0</v>
      </c>
      <c r="R42" s="1400">
        <f>MIN(M42,O42)*time_tot+ABS(O42-M42)*IF(O42&gt;M42,time2+time*(VLOOKUP(K42,List!$E$35:$F$37,2,)),time*(1-(VLOOKUP(K42,List!$E$35:$F$37,2,))))</f>
        <v>0</v>
      </c>
      <c r="S42" s="1403"/>
      <c r="T42" s="1404">
        <f t="shared" si="12"/>
        <v>0</v>
      </c>
      <c r="AG42" s="1952">
        <f>MIN(M42,N42)*time+ABS(N42-M42)*IF(N42&gt;M42,time*(VLOOKUP(H42,List!$E$35:$F$37,2,)),time*(1-(VLOOKUP(H42,List!$E$35:$F$37,2,))))</f>
        <v>0</v>
      </c>
      <c r="AH42" s="1964">
        <f>MIN(M42,O42)*time+ABS(O42-M42)*IF(O42&gt;M42,time*(VLOOKUP(K42,List!$E$35:$F$37,2,)),time*(1-(VLOOKUP(K42,List!$E$35:$F$37,2,))))</f>
        <v>0</v>
      </c>
    </row>
    <row r="43" spans="1:228">
      <c r="A43" s="1423"/>
      <c r="B43" s="85" t="s">
        <v>364</v>
      </c>
      <c r="C43" s="1435">
        <f>IF(c_type="developed",VLOOKUP(B43,' IPCC'!A455:D463,IF(MAT&lt;15,2,IF(MAT&gt;25,4,3)),FALSE),VLOOKUP(B43,' IPCC'!A467:D475,IF(MAT&lt;15,2,IF(MAT&gt;25,4,3)),FALSE))</f>
        <v>0.1</v>
      </c>
      <c r="D43" s="2312">
        <f>IF('4.Grassland'!R133="",'4.Grassland'!P133,'4.Grassland'!R133)</f>
        <v>0.1</v>
      </c>
      <c r="E43" s="2312">
        <f>IF('4.Grassland'!T133="",'4.Grassland'!P133,'4.Grassland'!T133)</f>
        <v>0.1</v>
      </c>
      <c r="F43" s="1251">
        <f t="shared" si="8"/>
        <v>0</v>
      </c>
      <c r="G43" s="1252">
        <f t="shared" si="8"/>
        <v>0</v>
      </c>
      <c r="H43" s="1130" t="str">
        <f t="shared" si="8"/>
        <v>Linear</v>
      </c>
      <c r="I43" s="49"/>
      <c r="J43" s="1251">
        <f t="shared" si="9"/>
        <v>0</v>
      </c>
      <c r="K43" s="1130" t="str">
        <f t="shared" si="9"/>
        <v>Linear</v>
      </c>
      <c r="L43" s="1441"/>
      <c r="M43" s="1400">
        <f>IF($E43="YES",$C43,$D43)*(methane*F43/1000)</f>
        <v>0</v>
      </c>
      <c r="N43" s="2998">
        <f t="shared" si="10"/>
        <v>0</v>
      </c>
      <c r="O43" s="2998">
        <f t="shared" si="11"/>
        <v>0</v>
      </c>
      <c r="P43" s="1403"/>
      <c r="Q43" s="1400">
        <f>MIN(M43,N43)*time_tot+ABS(N43-M43)*IF(N43&gt;M43,time2+time*(VLOOKUP(H43,List!$E$35:$F$37,2,)),time*(1-(VLOOKUP(H43,List!$E$35:$F$37,2,))))</f>
        <v>0</v>
      </c>
      <c r="R43" s="1400">
        <f>MIN(M43,O43)*time_tot+ABS(O43-M43)*IF(O43&gt;M43,time2+time*(VLOOKUP(K43,List!$E$35:$F$37,2,)),time*(1-(VLOOKUP(K43,List!$E$35:$F$37,2,))))</f>
        <v>0</v>
      </c>
      <c r="S43" s="1403"/>
      <c r="T43" s="1404">
        <f>R43-Q43</f>
        <v>0</v>
      </c>
      <c r="AG43" s="1952">
        <f>MIN(M43,N43)*time+ABS(N43-M43)*IF(N43&gt;M43,time*(VLOOKUP(H43,List!$E$35:$F$37,2,)),time*(1-(VLOOKUP(H43,List!$E$35:$F$37,2,))))</f>
        <v>0</v>
      </c>
      <c r="AH43" s="1964">
        <f>MIN(M43,O43)*time+ABS(O43-M43)*IF(O43&gt;M43,time*(VLOOKUP(K43,List!$E$35:$F$37,2,)),time*(1-(VLOOKUP(K43,List!$E$35:$F$37,2,))))</f>
        <v>0</v>
      </c>
    </row>
    <row r="44" spans="1:228">
      <c r="A44" s="1423"/>
      <c r="B44" s="35" t="s">
        <v>362</v>
      </c>
      <c r="C44" s="1435">
        <f>VLOOKUP(region,' IPCC'!A424:T435,IF(MAT&lt;=10,2,IF(MAT&lt;=28,MAT-8,19)),FALSE)</f>
        <v>0</v>
      </c>
      <c r="D44" s="2312">
        <f>IF('4.Grassland'!R134="",'4.Grassland'!P134,'4.Grassland'!R134)</f>
        <v>0</v>
      </c>
      <c r="E44" s="2312">
        <f>IF('4.Grassland'!T134="",'4.Grassland'!P134,'4.Grassland'!T134)</f>
        <v>0</v>
      </c>
      <c r="F44" s="1251">
        <f t="shared" si="8"/>
        <v>0</v>
      </c>
      <c r="G44" s="1252">
        <f t="shared" si="8"/>
        <v>0</v>
      </c>
      <c r="H44" s="1130" t="str">
        <f t="shared" si="8"/>
        <v>Linear</v>
      </c>
      <c r="I44" s="49"/>
      <c r="J44" s="1251">
        <f t="shared" si="9"/>
        <v>0</v>
      </c>
      <c r="K44" s="1130" t="str">
        <f t="shared" si="9"/>
        <v>Linear</v>
      </c>
      <c r="L44" s="1441"/>
      <c r="M44" s="1400">
        <f t="shared" si="13"/>
        <v>0</v>
      </c>
      <c r="N44" s="2998">
        <f t="shared" si="10"/>
        <v>0</v>
      </c>
      <c r="O44" s="2998">
        <f t="shared" si="11"/>
        <v>0</v>
      </c>
      <c r="P44" s="1403"/>
      <c r="Q44" s="1400">
        <f>MIN(M44,N44)*time_tot+ABS(N44-M44)*IF(N44&gt;M44,time2+time*(VLOOKUP(H44,List!$E$35:$F$37,2,)),time*(1-(VLOOKUP(H44,List!$E$35:$F$37,2,))))</f>
        <v>0</v>
      </c>
      <c r="R44" s="1400">
        <f>MIN(M44,O44)*time_tot+ABS(O44-M44)*IF(O44&gt;M44,time2+time*(VLOOKUP(K44,List!$E$35:$F$37,2,)),time*(1-(VLOOKUP(K44,List!$E$35:$F$37,2,))))</f>
        <v>0</v>
      </c>
      <c r="S44" s="1403"/>
      <c r="T44" s="1404">
        <f t="shared" si="12"/>
        <v>0</v>
      </c>
      <c r="AG44" s="1952">
        <f>MIN(M44,N44)*time+ABS(N44-M44)*IF(N44&gt;M44,time*(VLOOKUP(H44,List!$E$35:$F$37,2,)),time*(1-(VLOOKUP(H44,List!$E$35:$F$37,2,))))</f>
        <v>0</v>
      </c>
      <c r="AH44" s="1964">
        <f>MIN(M44,O44)*time+ABS(O44-M44)*IF(O44&gt;M44,time*(VLOOKUP(K44,List!$E$35:$F$37,2,)),time*(1-(VLOOKUP(K44,List!$E$35:$F$37,2,))))</f>
        <v>0</v>
      </c>
    </row>
    <row r="45" spans="1:228">
      <c r="A45" s="1423"/>
      <c r="B45" s="35" t="s">
        <v>363</v>
      </c>
      <c r="C45" s="1435">
        <f>VLOOKUP(region,' IPCC'!A440:T451,IF(MAT&lt;=10,2,IF(MAT&lt;=28,MAT-8,19)),FALSE)</f>
        <v>0</v>
      </c>
      <c r="D45" s="2312">
        <f>IF('4.Grassland'!R135="",'4.Grassland'!P135,'4.Grassland'!R135)</f>
        <v>0</v>
      </c>
      <c r="E45" s="2312">
        <f>IF('4.Grassland'!T135="",'4.Grassland'!P135,'4.Grassland'!T135)</f>
        <v>0</v>
      </c>
      <c r="F45" s="1251">
        <f t="shared" si="8"/>
        <v>0</v>
      </c>
      <c r="G45" s="1252">
        <f t="shared" si="8"/>
        <v>0</v>
      </c>
      <c r="H45" s="1130" t="str">
        <f t="shared" si="8"/>
        <v>Linear</v>
      </c>
      <c r="I45" s="49"/>
      <c r="J45" s="1251">
        <f t="shared" si="9"/>
        <v>0</v>
      </c>
      <c r="K45" s="1130" t="str">
        <f t="shared" si="9"/>
        <v>Linear</v>
      </c>
      <c r="L45" s="1441"/>
      <c r="M45" s="1400">
        <f t="shared" si="13"/>
        <v>0</v>
      </c>
      <c r="N45" s="2998">
        <f t="shared" si="10"/>
        <v>0</v>
      </c>
      <c r="O45" s="2998">
        <f t="shared" si="11"/>
        <v>0</v>
      </c>
      <c r="P45" s="1403"/>
      <c r="Q45" s="1400">
        <f>MIN(M45,N45)*time_tot+ABS(N45-M45)*IF(N45&gt;M45,time2+time*(VLOOKUP(H45,List!$E$35:$F$37,2,)),time*(1-(VLOOKUP(H45,List!$E$35:$F$37,2,))))</f>
        <v>0</v>
      </c>
      <c r="R45" s="1400">
        <f>MIN(M45,O45)*time_tot+ABS(O45-M45)*IF(O45&gt;M45,time2+time*(VLOOKUP(K45,List!$E$35:$F$37,2,)),time*(1-(VLOOKUP(K45,List!$E$35:$F$37,2,))))</f>
        <v>0</v>
      </c>
      <c r="S45" s="1403"/>
      <c r="T45" s="1404">
        <f t="shared" si="12"/>
        <v>0</v>
      </c>
      <c r="AG45" s="1952">
        <f>MIN(M45,N45)*time+ABS(N45-M45)*IF(N45&gt;M45,time*(VLOOKUP(H45,List!$E$35:$F$37,2,)),time*(1-(VLOOKUP(H45,List!$E$35:$F$37,2,))))</f>
        <v>0</v>
      </c>
      <c r="AH45" s="1964">
        <f>MIN(M45,O45)*time+ABS(O45-M45)*IF(O45&gt;M45,time*(VLOOKUP(K45,List!$E$35:$F$37,2,)),time*(1-(VLOOKUP(K45,List!$E$35:$F$37,2,))))</f>
        <v>0</v>
      </c>
    </row>
    <row r="46" spans="1:228">
      <c r="A46" s="1423"/>
      <c r="B46" s="304" t="str">
        <f>B18</f>
        <v>Please select</v>
      </c>
      <c r="C46" s="1435">
        <f>IF(c_type="developed",VLOOKUP(B46,' IPCC'!$A$455:$D$463,IF(MAT&lt;15,2,IF(MAT&gt;25,4,3)),FALSE),VLOOKUP(B46,' IPCC'!$A$467:$D$475,IF(MAT&lt;15,2,IF(MAT&gt;25,4,3)),FALSE))</f>
        <v>0</v>
      </c>
      <c r="D46" s="2312">
        <f>IF('4.Grassland'!R136="",'4.Grassland'!P136,'4.Grassland'!R136)</f>
        <v>0</v>
      </c>
      <c r="E46" s="2312">
        <f>IF('4.Grassland'!T136="",'4.Grassland'!P136,'4.Grassland'!T136)</f>
        <v>0</v>
      </c>
      <c r="F46" s="1251">
        <f t="shared" si="8"/>
        <v>0</v>
      </c>
      <c r="G46" s="1252">
        <f t="shared" si="8"/>
        <v>0</v>
      </c>
      <c r="H46" s="1130" t="str">
        <f t="shared" si="8"/>
        <v>Linear</v>
      </c>
      <c r="I46" s="49"/>
      <c r="J46" s="1251">
        <f t="shared" si="9"/>
        <v>0</v>
      </c>
      <c r="K46" s="1130" t="str">
        <f t="shared" si="9"/>
        <v>Linear</v>
      </c>
      <c r="L46" s="1441"/>
      <c r="M46" s="1400">
        <f t="shared" si="13"/>
        <v>0</v>
      </c>
      <c r="N46" s="2998">
        <f t="shared" si="10"/>
        <v>0</v>
      </c>
      <c r="O46" s="2998">
        <f t="shared" si="11"/>
        <v>0</v>
      </c>
      <c r="P46" s="1403"/>
      <c r="Q46" s="1400">
        <f>MIN(M46,N46)*time_tot+ABS(N46-M46)*IF(N46&gt;M46,time2+time*(VLOOKUP(H46,List!$E$35:$F$37,2,)),time*(1-(VLOOKUP(H46,List!$E$35:$F$37,2,))))</f>
        <v>0</v>
      </c>
      <c r="R46" s="1400">
        <f>MIN(M46,O46)*time_tot+ABS(O46-M46)*IF(O46&gt;M46,time2+time*(VLOOKUP(K46,List!$E$35:$F$37,2,)),time*(1-(VLOOKUP(K46,List!$E$35:$F$37,2,))))</f>
        <v>0</v>
      </c>
      <c r="S46" s="1403"/>
      <c r="T46" s="1404">
        <f t="shared" si="12"/>
        <v>0</v>
      </c>
      <c r="AG46" s="1952">
        <f>MIN(M46,N46)*time+ABS(N46-M46)*IF(N46&gt;M46,time*(VLOOKUP(H46,List!$E$35:$F$37,2,)),time*(1-(VLOOKUP(H46,List!$E$35:$F$37,2,))))</f>
        <v>0</v>
      </c>
      <c r="AH46" s="1964">
        <f>MIN(M46,O46)*time+ABS(O46-M46)*IF(O46&gt;M46,time*(VLOOKUP(K46,List!$E$35:$F$37,2,)),time*(1-(VLOOKUP(K46,List!$E$35:$F$37,2,))))</f>
        <v>0</v>
      </c>
    </row>
    <row r="47" spans="1:228">
      <c r="A47" s="1423"/>
      <c r="B47" s="304" t="str">
        <f>B19</f>
        <v>Horses</v>
      </c>
      <c r="C47" s="1435">
        <f>IF(c_type="developed",VLOOKUP(B47,' IPCC'!$A$455:$D$463,IF(MAT&lt;15,2,IF(MAT&gt;25,4,3)),FALSE),VLOOKUP(B47,' IPCC'!$A$467:$D$475,IF(MAT&lt;15,2,IF(MAT&gt;25,4,3)),FALSE))</f>
        <v>1.0900000000000001</v>
      </c>
      <c r="D47" s="2312">
        <f>IF('4.Grassland'!R137="",'4.Grassland'!P137,'4.Grassland'!R137)</f>
        <v>1.0900000000000001</v>
      </c>
      <c r="E47" s="2312">
        <f>IF('4.Grassland'!T137="",'4.Grassland'!P137,'4.Grassland'!T137)</f>
        <v>1.0900000000000001</v>
      </c>
      <c r="F47" s="1251">
        <f t="shared" si="8"/>
        <v>0</v>
      </c>
      <c r="G47" s="1252">
        <f t="shared" si="8"/>
        <v>0</v>
      </c>
      <c r="H47" s="1130" t="str">
        <f t="shared" si="8"/>
        <v>Linear</v>
      </c>
      <c r="I47" s="49"/>
      <c r="J47" s="1251">
        <f t="shared" si="9"/>
        <v>0</v>
      </c>
      <c r="K47" s="1130" t="str">
        <f t="shared" si="9"/>
        <v>Linear</v>
      </c>
      <c r="L47" s="1441"/>
      <c r="M47" s="1400">
        <f>IF($E47="YES",$C47,$D47)*(methane*F47/1000)</f>
        <v>0</v>
      </c>
      <c r="N47" s="2998">
        <f t="shared" si="10"/>
        <v>0</v>
      </c>
      <c r="O47" s="2998">
        <f t="shared" si="11"/>
        <v>0</v>
      </c>
      <c r="P47" s="1403"/>
      <c r="Q47" s="1400">
        <f>MIN(M47,N47)*time_tot+ABS(N47-M47)*IF(N47&gt;M47,time2+time*(VLOOKUP(H47,List!$E$35:$F$37,2,)),time*(1-(VLOOKUP(H47,List!$E$35:$F$37,2,))))</f>
        <v>0</v>
      </c>
      <c r="R47" s="1400">
        <f>MIN(M47,O47)*time_tot+ABS(O47-M47)*IF(O47&gt;M47,time2+time*(VLOOKUP(K47,List!$E$35:$F$37,2,)),time*(1-(VLOOKUP(K47,List!$E$35:$F$37,2,))))</f>
        <v>0</v>
      </c>
      <c r="S47" s="1403"/>
      <c r="T47" s="1404">
        <f>R47-Q47</f>
        <v>0</v>
      </c>
      <c r="AG47" s="1952">
        <f>MIN(M47,N47)*time+ABS(N47-M47)*IF(N47&gt;M47,time*(VLOOKUP(H47,List!$E$35:$F$37,2,)),time*(1-(VLOOKUP(H47,List!$E$35:$F$37,2,))))</f>
        <v>0</v>
      </c>
      <c r="AH47" s="1964">
        <f>MIN(M47,O47)*time+ABS(O47-M47)*IF(O47&gt;M47,time*(VLOOKUP(K47,List!$E$35:$F$37,2,)),time*(1-(VLOOKUP(K47,List!$E$35:$F$37,2,))))</f>
        <v>0</v>
      </c>
    </row>
    <row r="48" spans="1:228">
      <c r="A48" s="1423"/>
      <c r="B48" s="304" t="str">
        <f>B20</f>
        <v>Goats</v>
      </c>
      <c r="C48" s="1435">
        <f>IF(c_type="developed",VLOOKUP(B48,' IPCC'!$A$455:$D$463,IF(MAT&lt;15,2,IF(MAT&gt;25,4,3)),FALSE),VLOOKUP(B48,' IPCC'!$A$467:$D$475,IF(MAT&lt;15,2,IF(MAT&gt;25,4,3)),FALSE))</f>
        <v>0.11</v>
      </c>
      <c r="D48" s="2312">
        <f>IF('4.Grassland'!R138="",'4.Grassland'!P138,'4.Grassland'!R138)</f>
        <v>0.11</v>
      </c>
      <c r="E48" s="2312">
        <f>IF('4.Grassland'!T138="",'4.Grassland'!P138,'4.Grassland'!T138)</f>
        <v>0.11</v>
      </c>
      <c r="F48" s="1251">
        <f t="shared" si="8"/>
        <v>0</v>
      </c>
      <c r="G48" s="1252">
        <f t="shared" si="8"/>
        <v>0</v>
      </c>
      <c r="H48" s="1130" t="str">
        <f t="shared" si="8"/>
        <v>Linear</v>
      </c>
      <c r="I48" s="49"/>
      <c r="J48" s="1251">
        <f t="shared" si="9"/>
        <v>0</v>
      </c>
      <c r="K48" s="1130" t="str">
        <f t="shared" si="9"/>
        <v>Linear</v>
      </c>
      <c r="L48" s="1441"/>
      <c r="M48" s="1400">
        <f t="shared" si="13"/>
        <v>0</v>
      </c>
      <c r="N48" s="2998">
        <f t="shared" si="10"/>
        <v>0</v>
      </c>
      <c r="O48" s="2998">
        <f t="shared" si="11"/>
        <v>0</v>
      </c>
      <c r="P48" s="1403"/>
      <c r="Q48" s="1400">
        <f>MIN(M48,N48)*time_tot+ABS(N48-M48)*IF(N48&gt;M48,time2+time*(VLOOKUP(H48,List!$E$35:$F$37,2,)),time*(1-(VLOOKUP(H48,List!$E$35:$F$37,2,))))</f>
        <v>0</v>
      </c>
      <c r="R48" s="1400">
        <f>MIN(M48,O48)*time_tot+ABS(O48-M48)*IF(O48&gt;M48,time2+time*(VLOOKUP(K48,List!$E$35:$F$37,2,)),time*(1-(VLOOKUP(K48,List!$E$35:$F$37,2,))))</f>
        <v>0</v>
      </c>
      <c r="S48" s="1403"/>
      <c r="T48" s="1404">
        <f t="shared" si="12"/>
        <v>0</v>
      </c>
      <c r="AG48" s="1952">
        <f>MIN(M48,N48)*time+ABS(N48-M48)*IF(N48&gt;M48,time*(VLOOKUP(H48,List!$E$35:$F$37,2,)),time*(1-(VLOOKUP(H48,List!$E$35:$F$37,2,))))</f>
        <v>0</v>
      </c>
      <c r="AH48" s="1964">
        <f>MIN(M48,O48)*time+ABS(O48-M48)*IF(O48&gt;M48,time*(VLOOKUP(K48,List!$E$35:$F$37,2,)),time*(1-(VLOOKUP(K48,List!$E$35:$F$37,2,))))</f>
        <v>0</v>
      </c>
    </row>
    <row r="49" spans="1:228">
      <c r="A49" s="1423"/>
      <c r="B49" s="85" t="str">
        <f>B21</f>
        <v>User Defined- Specified value ---------------&gt;</v>
      </c>
      <c r="C49" s="84"/>
      <c r="D49" s="1436"/>
      <c r="E49" s="84" t="s">
        <v>359</v>
      </c>
      <c r="F49" s="1251">
        <f t="shared" si="8"/>
        <v>0</v>
      </c>
      <c r="G49" s="1252">
        <f t="shared" si="8"/>
        <v>0</v>
      </c>
      <c r="H49" s="1130" t="str">
        <f t="shared" si="8"/>
        <v>Linear</v>
      </c>
      <c r="I49" s="49"/>
      <c r="J49" s="1251">
        <f t="shared" si="9"/>
        <v>0</v>
      </c>
      <c r="K49" s="1130" t="str">
        <f t="shared" si="9"/>
        <v>Linear</v>
      </c>
      <c r="L49" s="1441"/>
      <c r="M49" s="1400">
        <f t="shared" si="13"/>
        <v>0</v>
      </c>
      <c r="N49" s="1943">
        <f t="shared" si="10"/>
        <v>0</v>
      </c>
      <c r="O49" s="1400">
        <f t="shared" ref="O49:O50" si="14">IF($E49="YES",$C49,$D49)*(methane*J49/1000)</f>
        <v>0</v>
      </c>
      <c r="P49" s="1403"/>
      <c r="Q49" s="1400">
        <f>MIN(M49,N49)*time_tot+ABS(N49-M49)*IF(N49&gt;M49,time2+time*(VLOOKUP(H49,List!$E$35:$F$37,2,)),time*(1-(VLOOKUP(H49,List!$E$35:$F$37,2,))))</f>
        <v>0</v>
      </c>
      <c r="R49" s="1400">
        <f>MIN(M49,O49)*time_tot+ABS(O49-M49)*IF(O49&gt;M49,time2+time*(VLOOKUP(K49,List!$E$35:$F$37,2,)),time*(1-(VLOOKUP(K49,List!$E$35:$F$37,2,))))</f>
        <v>0</v>
      </c>
      <c r="S49" s="1403"/>
      <c r="T49" s="1404">
        <f t="shared" si="12"/>
        <v>0</v>
      </c>
      <c r="AG49" s="1952">
        <f>MIN(M49,N49)*time+ABS(N49-M49)*IF(N49&gt;M49,time*(VLOOKUP(H49,List!$E$35:$F$37,2,)),time*(1-(VLOOKUP(H49,List!$E$35:$F$37,2,))))</f>
        <v>0</v>
      </c>
      <c r="AH49" s="1964">
        <f>MIN(M49,O49)*time+ABS(O49-M49)*IF(O49&gt;M49,time*(VLOOKUP(K49,List!$E$35:$F$37,2,)),time*(1-(VLOOKUP(K49,List!$E$35:$F$37,2,))))</f>
        <v>0</v>
      </c>
    </row>
    <row r="50" spans="1:228">
      <c r="A50" s="1423"/>
      <c r="B50" s="85" t="str">
        <f>B22</f>
        <v>User Defined- Specified value ---------------&gt;</v>
      </c>
      <c r="C50" s="84"/>
      <c r="D50" s="1436"/>
      <c r="E50" s="84" t="s">
        <v>359</v>
      </c>
      <c r="F50" s="1253">
        <f t="shared" si="8"/>
        <v>0</v>
      </c>
      <c r="G50" s="1254">
        <f t="shared" si="8"/>
        <v>0</v>
      </c>
      <c r="H50" s="1131" t="str">
        <f t="shared" si="8"/>
        <v>Linear</v>
      </c>
      <c r="I50" s="49"/>
      <c r="J50" s="1253">
        <f t="shared" si="9"/>
        <v>0</v>
      </c>
      <c r="K50" s="1131" t="str">
        <f t="shared" si="9"/>
        <v>Linear</v>
      </c>
      <c r="L50" s="1441"/>
      <c r="M50" s="1400">
        <f t="shared" si="13"/>
        <v>0</v>
      </c>
      <c r="N50" s="1943">
        <f t="shared" si="10"/>
        <v>0</v>
      </c>
      <c r="O50" s="1400">
        <f t="shared" si="14"/>
        <v>0</v>
      </c>
      <c r="P50" s="1403"/>
      <c r="Q50" s="1400">
        <f>MIN(M50,N50)*time_tot+ABS(N50-M50)*IF(N50&gt;M50,time2+time*(VLOOKUP(H50,List!$E$35:$F$37,2,)),time*(1-(VLOOKUP(H50,List!$E$35:$F$37,2,))))</f>
        <v>0</v>
      </c>
      <c r="R50" s="1400">
        <f>MIN(M50,O50)*time_tot+ABS(O50-M50)*IF(O50&gt;M50,time2+time*(VLOOKUP(K50,List!$E$35:$F$37,2,)),time*(1-(VLOOKUP(K50,List!$E$35:$F$37,2,))))</f>
        <v>0</v>
      </c>
      <c r="S50" s="1403"/>
      <c r="T50" s="1404">
        <f t="shared" si="12"/>
        <v>0</v>
      </c>
      <c r="AG50" s="1952">
        <f>MIN(M50,N50)*time+ABS(N50-M50)*IF(N50&gt;M50,time*(VLOOKUP(H50,List!$E$35:$F$37,2,)),time*(1-(VLOOKUP(H50,List!$E$35:$F$37,2,))))</f>
        <v>0</v>
      </c>
      <c r="AH50" s="1964">
        <f>MIN(M50,O50)*time+ABS(O50-M50)*IF(O50&gt;M50,time*(VLOOKUP(K50,List!$E$35:$F$37,2,)),time*(1-(VLOOKUP(K50,List!$E$35:$F$37,2,))))</f>
        <v>0</v>
      </c>
    </row>
    <row r="51" spans="1:228" s="49" customFormat="1">
      <c r="A51" s="47"/>
      <c r="J51" s="46"/>
      <c r="K51" s="1447" t="s">
        <v>702</v>
      </c>
      <c r="L51" s="1440"/>
      <c r="M51" s="1259">
        <f>SUM(M40:M50)</f>
        <v>0</v>
      </c>
      <c r="N51" s="1259">
        <f>SUM(N40:N49)</f>
        <v>0</v>
      </c>
      <c r="O51" s="1259">
        <f>SUM(O40:O49)</f>
        <v>0</v>
      </c>
      <c r="P51" s="1259"/>
      <c r="Q51" s="1259">
        <f>SUM(Q40:Q50)</f>
        <v>0</v>
      </c>
      <c r="R51" s="1259">
        <f>SUM(R40:R50)</f>
        <v>0</v>
      </c>
      <c r="S51" s="1405"/>
      <c r="T51" s="1406">
        <f>SUM(T40:T50)</f>
        <v>0</v>
      </c>
      <c r="V51" s="1929"/>
      <c r="W51" s="1929"/>
      <c r="X51" s="1929"/>
      <c r="Y51" s="1929"/>
      <c r="Z51" s="1929"/>
      <c r="AA51" s="1929"/>
      <c r="AB51" s="1929"/>
      <c r="AC51" s="1929"/>
      <c r="AD51" s="1951"/>
      <c r="AE51" s="1951"/>
      <c r="AF51" s="1951"/>
      <c r="AG51" s="1952"/>
      <c r="AH51" s="1952"/>
      <c r="AI51" s="1965">
        <f>SUM(AH40:AH50)-SUM(AG40:AG50)</f>
        <v>0</v>
      </c>
      <c r="AJ51" s="1951"/>
      <c r="AK51" s="1951"/>
      <c r="AL51" s="1951"/>
      <c r="AM51" s="1951"/>
      <c r="AN51" s="1951"/>
      <c r="AO51" s="1951"/>
    </row>
    <row r="52" spans="1:228">
      <c r="A52" s="1423"/>
      <c r="B52" s="49"/>
      <c r="C52" s="46"/>
      <c r="D52" s="46"/>
      <c r="E52" s="46"/>
      <c r="F52" s="49"/>
      <c r="G52" s="49"/>
      <c r="H52" s="47"/>
      <c r="I52" s="49"/>
      <c r="J52" s="49"/>
      <c r="K52" s="112"/>
      <c r="L52" s="112"/>
      <c r="M52" s="112"/>
      <c r="N52" s="112"/>
      <c r="O52" s="112"/>
      <c r="P52" s="112"/>
      <c r="Q52" s="112"/>
      <c r="R52" s="112"/>
      <c r="S52" s="112"/>
      <c r="T52" s="112"/>
    </row>
    <row r="53" spans="1:228" s="1422" customFormat="1">
      <c r="A53" s="26"/>
      <c r="B53" s="29" t="s">
        <v>368</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53"/>
      <c r="AE53" s="1953"/>
      <c r="AF53" s="1953"/>
      <c r="AG53" s="1921"/>
      <c r="AH53" s="1921"/>
      <c r="AI53" s="1953"/>
      <c r="AJ53" s="1953"/>
      <c r="AK53" s="1953"/>
      <c r="AL53" s="1953"/>
      <c r="AM53" s="1953"/>
      <c r="AN53" s="1953"/>
      <c r="AO53" s="1953"/>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8" thickBot="1">
      <c r="A54" s="1423"/>
      <c r="B54" s="111"/>
      <c r="C54" s="1424"/>
      <c r="D54" s="1424"/>
      <c r="E54" s="1424"/>
      <c r="F54" s="3223" t="s">
        <v>369</v>
      </c>
      <c r="G54" s="3223"/>
      <c r="H54" s="3223"/>
      <c r="I54" s="3223"/>
      <c r="J54" s="3223"/>
      <c r="K54" s="3223"/>
      <c r="L54" s="1441"/>
      <c r="M54" s="3221" t="s">
        <v>341</v>
      </c>
      <c r="N54" s="3221"/>
      <c r="O54" s="3221"/>
      <c r="P54" s="49"/>
      <c r="Q54" s="1394" t="s">
        <v>2</v>
      </c>
      <c r="R54" s="1394"/>
      <c r="S54" s="1394"/>
      <c r="T54" s="1394"/>
    </row>
    <row r="55" spans="1:228">
      <c r="A55" s="1423"/>
      <c r="B55" s="186"/>
      <c r="C55" s="84" t="s">
        <v>342</v>
      </c>
      <c r="D55" s="2996" t="s">
        <v>5558</v>
      </c>
      <c r="E55" s="2995"/>
      <c r="F55" s="1428" t="s">
        <v>345</v>
      </c>
      <c r="G55" s="3226" t="s">
        <v>689</v>
      </c>
      <c r="H55" s="3227"/>
      <c r="I55" s="49"/>
      <c r="J55" s="3228" t="s">
        <v>688</v>
      </c>
      <c r="K55" s="3229"/>
      <c r="L55" s="1441"/>
      <c r="M55" s="1428" t="s">
        <v>345</v>
      </c>
      <c r="N55" s="3230" t="s">
        <v>346</v>
      </c>
      <c r="O55" s="3230"/>
      <c r="P55" s="49"/>
      <c r="Q55" s="3218" t="s">
        <v>347</v>
      </c>
      <c r="R55" s="3218"/>
      <c r="S55" s="49"/>
      <c r="T55" s="84" t="s">
        <v>348</v>
      </c>
      <c r="AG55" s="1922" t="s">
        <v>860</v>
      </c>
    </row>
    <row r="56" spans="1:228">
      <c r="A56" s="1423"/>
      <c r="B56" s="1430" t="s">
        <v>1192</v>
      </c>
      <c r="C56" s="84" t="s">
        <v>350</v>
      </c>
      <c r="D56" s="2994"/>
      <c r="E56" s="2995"/>
      <c r="F56" s="1428" t="s">
        <v>352</v>
      </c>
      <c r="G56" s="1443" t="s">
        <v>346</v>
      </c>
      <c r="H56" s="1444" t="s">
        <v>353</v>
      </c>
      <c r="I56" s="1398"/>
      <c r="J56" s="1946" t="s">
        <v>346</v>
      </c>
      <c r="K56" s="1947" t="s">
        <v>353</v>
      </c>
      <c r="L56" s="1441"/>
      <c r="M56" s="1428"/>
      <c r="N56" s="3009" t="s">
        <v>690</v>
      </c>
      <c r="O56" s="3010" t="s">
        <v>691</v>
      </c>
      <c r="P56" s="1398"/>
      <c r="Q56" s="1396" t="s">
        <v>690</v>
      </c>
      <c r="R56" s="1397" t="s">
        <v>691</v>
      </c>
      <c r="S56" s="1398"/>
      <c r="T56" s="1399"/>
      <c r="AG56" s="1963" t="s">
        <v>690</v>
      </c>
      <c r="AH56" s="1963" t="s">
        <v>691</v>
      </c>
      <c r="AI56" s="1954"/>
    </row>
    <row r="57" spans="1:228">
      <c r="A57" s="1423"/>
      <c r="B57" s="1968" t="s">
        <v>1443</v>
      </c>
      <c r="C57" s="1435">
        <v>0.02</v>
      </c>
      <c r="D57" s="2312">
        <f>IF('4.Grassland'!T123="",'4.Grassland'!R123,'4.Grassland'!T123)</f>
        <v>0.02</v>
      </c>
      <c r="E57" s="2995"/>
      <c r="F57" s="1942">
        <f>VLOOKUP(region,' IPCC'!$A$480:$F$491,2,)*VLOOKUP(region,' IPCC'!$A$495:$F$507,2,)*0.365*F12*IF($E$32="YES",$C$32,$D$32)/1000</f>
        <v>0</v>
      </c>
      <c r="G57" s="3018">
        <f>VLOOKUP(region,' IPCC'!$A$480:$F$491,2,)*VLOOKUP(region,' IPCC'!$A$495:$F$507,2,)*0.365*G12*$D$32/1000</f>
        <v>0</v>
      </c>
      <c r="H57" s="1950" t="str">
        <f t="shared" ref="H57:H62" si="15">H40</f>
        <v>Linear</v>
      </c>
      <c r="I57" s="49"/>
      <c r="J57" s="3018">
        <f>VLOOKUP(region,' IPCC'!$A$480:$F$491,2,)*VLOOKUP(region,' IPCC'!$A$495:$F$507,2,)*0.365*J12*$E$32/1000</f>
        <v>0</v>
      </c>
      <c r="K57" s="1950" t="str">
        <f t="shared" ref="K57:K62" si="16">K40</f>
        <v>Linear</v>
      </c>
      <c r="L57" s="1441"/>
      <c r="M57" s="1400">
        <f>IF($E57="YES",$C57,$D57)*(Nitrous*F57)*44/28</f>
        <v>0</v>
      </c>
      <c r="N57" s="2998">
        <f t="shared" ref="N57:N71" si="17">$D57*(Nitrous*G57)*44/28</f>
        <v>0</v>
      </c>
      <c r="O57" s="2998">
        <f t="shared" ref="O57:O68" si="18">$D57*(Nitrous*J57)*44/28</f>
        <v>0</v>
      </c>
      <c r="P57" s="49"/>
      <c r="Q57" s="1400">
        <f>MIN(M57,N57)*time_tot+ABS(N57-M57)*IF(N57&gt;M57,time2+time*(VLOOKUP(H57,List!$E$35:$F$37,2,)),time*(1-(VLOOKUP(H57,List!$E$35:$F$37,2,))))</f>
        <v>0</v>
      </c>
      <c r="R57" s="1400">
        <f>MIN(M57,O57)*time_tot+ABS(O57-M57)*IF(O57&gt;M57,time2+time*(VLOOKUP(K57,List!$E$35:$F$37,2,)),time*(1-(VLOOKUP(K57,List!$E$35:$F$37,2,))))</f>
        <v>0</v>
      </c>
      <c r="S57" s="1403"/>
      <c r="T57" s="1404">
        <f>R57-Q57</f>
        <v>0</v>
      </c>
      <c r="AG57" s="1964">
        <f>MIN(M57,N57)*time+ABS(N57-M57)*IF(N57&gt;M57,time*(VLOOKUP(H57,List!$E$35:$F$37,2,)),time*(1-(VLOOKUP(H57,List!$E$35:$F$37,2,))))</f>
        <v>0</v>
      </c>
      <c r="AH57" s="1964">
        <f>MIN(M57,O57)*time+ABS(O57-M57)*IF(O57&gt;M57,time*(VLOOKUP(K57,List!$E$35:$F$37,2,)),time*(1-(VLOOKUP(K57,List!$E$35:$F$37,2,))))</f>
        <v>0</v>
      </c>
      <c r="AI57" s="1965"/>
    </row>
    <row r="58" spans="1:228" s="1925" customFormat="1">
      <c r="A58" s="1423"/>
      <c r="B58" s="1968" t="s">
        <v>1444</v>
      </c>
      <c r="C58" s="1435">
        <v>0.01</v>
      </c>
      <c r="D58" s="2312">
        <f>IF('4.Grassland'!T124="",'4.Grassland'!R124,'4.Grassland'!T124)</f>
        <v>0.01</v>
      </c>
      <c r="E58" s="2995"/>
      <c r="F58" s="1942">
        <f>VLOOKUP(region,' IPCC'!$A$480:$F$491,2,)*VLOOKUP(region,' IPCC'!$A$495:$F$507,2,)*0.365*F12*IF($E$32="YES",(1-$C$32),(1-$D$32))/1000</f>
        <v>0</v>
      </c>
      <c r="G58" s="3018">
        <f>VLOOKUP(region,' IPCC'!$A$480:$F$491,2,)*VLOOKUP(region,' IPCC'!$A$495:$F$507,2,)*0.365*G12*(1-$D$32)/1000</f>
        <v>0</v>
      </c>
      <c r="H58" s="1950" t="str">
        <f t="shared" si="15"/>
        <v>Linear</v>
      </c>
      <c r="I58" s="1929"/>
      <c r="J58" s="3018">
        <f>VLOOKUP(region,' IPCC'!$A$480:$F$491,2,)*VLOOKUP(region,' IPCC'!$A$495:$F$507,2,)*0.365*J12*(1-$E$32)/1000</f>
        <v>0</v>
      </c>
      <c r="K58" s="1950" t="str">
        <f t="shared" si="16"/>
        <v>Linear</v>
      </c>
      <c r="L58" s="1948"/>
      <c r="M58" s="1943">
        <f t="shared" ref="M58:M68" si="19">IF($E58="YES",$C58,$D58)*(Nitrous*F58)*44/28</f>
        <v>0</v>
      </c>
      <c r="N58" s="2998">
        <f t="shared" si="17"/>
        <v>0</v>
      </c>
      <c r="O58" s="2998">
        <f t="shared" si="18"/>
        <v>0</v>
      </c>
      <c r="P58" s="1929"/>
      <c r="Q58" s="1943">
        <f>MIN(M58,N58)*time_tot+ABS(N58-M58)*IF(N58&gt;M58,time2+time*(VLOOKUP(H58,List!$E$35:$F$37,2,)),time*(1-(VLOOKUP(H58,List!$E$35:$F$37,2,))))</f>
        <v>0</v>
      </c>
      <c r="R58" s="1943">
        <f>MIN(M58,O58)*time_tot+ABS(O58-M58)*IF(O58&gt;M58,time2+time*(VLOOKUP(K58,List!$E$35:$F$37,2,)),time*(1-(VLOOKUP(K58,List!$E$35:$F$37,2,))))</f>
        <v>0</v>
      </c>
      <c r="S58" s="1944"/>
      <c r="T58" s="1404">
        <f t="shared" ref="T58:T70" si="20">R58-Q58</f>
        <v>0</v>
      </c>
      <c r="U58" s="1926"/>
      <c r="V58" s="1926"/>
      <c r="W58" s="1926"/>
      <c r="X58" s="1926"/>
      <c r="Y58" s="1926"/>
      <c r="Z58" s="1926"/>
      <c r="AA58" s="1926"/>
      <c r="AB58" s="1926"/>
      <c r="AC58" s="1926"/>
      <c r="AD58" s="1951"/>
      <c r="AE58" s="1951"/>
      <c r="AF58" s="1951"/>
      <c r="AG58" s="1964">
        <f>MIN(M58,N58)*time+ABS(N58-M58)*IF(N58&gt;M58,time*(VLOOKUP(H58,List!$E$35:$F$37,2,)),time*(1-(VLOOKUP(H58,List!$E$35:$F$37,2,))))</f>
        <v>0</v>
      </c>
      <c r="AH58" s="1964">
        <f>MIN(M58,O58)*time+ABS(O58-M58)*IF(O58&gt;M58,time*(VLOOKUP(K58,List!$E$35:$F$37,2,)),time*(1-(VLOOKUP(K58,List!$E$35:$F$37,2,))))</f>
        <v>0</v>
      </c>
      <c r="AI58" s="1965"/>
      <c r="AJ58" s="1951"/>
      <c r="AK58" s="1951"/>
      <c r="AL58" s="1951"/>
      <c r="AM58" s="1951"/>
      <c r="AN58" s="1951"/>
      <c r="AO58" s="1951"/>
      <c r="AP58" s="1926"/>
      <c r="AQ58" s="1926"/>
      <c r="AR58" s="1926"/>
      <c r="AS58" s="1926"/>
      <c r="AT58" s="1926"/>
      <c r="AU58" s="1926"/>
      <c r="AV58" s="1926"/>
      <c r="AW58" s="1926"/>
      <c r="AX58" s="1926"/>
      <c r="AY58" s="1926"/>
      <c r="AZ58" s="1926"/>
      <c r="BA58" s="1926"/>
      <c r="BB58" s="1926"/>
      <c r="BC58" s="1926"/>
      <c r="BD58" s="1926"/>
      <c r="BE58" s="1926"/>
      <c r="BF58" s="1926"/>
      <c r="BG58" s="1926"/>
      <c r="BH58" s="1926"/>
      <c r="BI58" s="1926"/>
      <c r="BJ58" s="1926"/>
      <c r="BK58" s="1926"/>
      <c r="BL58" s="1926"/>
      <c r="BM58" s="1926"/>
      <c r="BN58" s="1926"/>
      <c r="BO58" s="1926"/>
      <c r="BP58" s="1926"/>
      <c r="BQ58" s="1926"/>
      <c r="BR58" s="1926"/>
      <c r="BS58" s="1926"/>
      <c r="BT58" s="1926"/>
      <c r="BU58" s="1926"/>
      <c r="BV58" s="1926"/>
      <c r="BW58" s="1926"/>
      <c r="BX58" s="1926"/>
      <c r="BY58" s="1926"/>
      <c r="BZ58" s="1926"/>
      <c r="CA58" s="1926"/>
      <c r="CB58" s="1926"/>
      <c r="CC58" s="1926"/>
      <c r="CD58" s="1926"/>
      <c r="CE58" s="1926"/>
      <c r="CF58" s="1926"/>
      <c r="CG58" s="1926"/>
      <c r="CH58" s="1926"/>
      <c r="CI58" s="1926"/>
      <c r="CJ58" s="1926"/>
      <c r="CK58" s="1926"/>
      <c r="CL58" s="1926"/>
      <c r="CM58" s="1926"/>
      <c r="CN58" s="1926"/>
      <c r="CO58" s="1926"/>
      <c r="CP58" s="1926"/>
      <c r="CQ58" s="1926"/>
      <c r="CR58" s="1926"/>
      <c r="CS58" s="1926"/>
      <c r="CT58" s="1926"/>
      <c r="CU58" s="1926"/>
      <c r="CV58" s="1926"/>
      <c r="CW58" s="1926"/>
      <c r="CX58" s="1926"/>
      <c r="CY58" s="1926"/>
      <c r="CZ58" s="1926"/>
      <c r="DA58" s="1926"/>
      <c r="DB58" s="1926"/>
      <c r="DC58" s="1926"/>
      <c r="DD58" s="1926"/>
      <c r="DE58" s="1926"/>
      <c r="DF58" s="1926"/>
      <c r="DG58" s="1926"/>
      <c r="DH58" s="1926"/>
      <c r="DI58" s="1926"/>
      <c r="DJ58" s="1926"/>
      <c r="DK58" s="1926"/>
      <c r="DL58" s="1926"/>
      <c r="DM58" s="1926"/>
      <c r="DN58" s="1926"/>
      <c r="DO58" s="1926"/>
      <c r="DP58" s="1926"/>
      <c r="DQ58" s="1926"/>
      <c r="DR58" s="1926"/>
      <c r="DS58" s="1926"/>
      <c r="DT58" s="1926"/>
      <c r="DU58" s="1926"/>
      <c r="DV58" s="1926"/>
      <c r="DW58" s="1926"/>
      <c r="DX58" s="1926"/>
      <c r="DY58" s="1926"/>
      <c r="DZ58" s="1926"/>
      <c r="EA58" s="1926"/>
      <c r="EB58" s="1926"/>
      <c r="EC58" s="1926"/>
      <c r="ED58" s="1926"/>
      <c r="EE58" s="1926"/>
      <c r="EF58" s="1926"/>
      <c r="EG58" s="1926"/>
      <c r="EH58" s="1926"/>
      <c r="EI58" s="1926"/>
      <c r="EJ58" s="1926"/>
      <c r="EK58" s="1926"/>
      <c r="EL58" s="1926"/>
      <c r="EM58" s="1926"/>
      <c r="EN58" s="1926"/>
      <c r="EO58" s="1926"/>
      <c r="EP58" s="1926"/>
      <c r="EQ58" s="1926"/>
      <c r="ER58" s="1926"/>
      <c r="ES58" s="1926"/>
      <c r="ET58" s="1926"/>
      <c r="EU58" s="1926"/>
      <c r="EV58" s="1926"/>
      <c r="EW58" s="1926"/>
      <c r="EX58" s="1926"/>
      <c r="EY58" s="1926"/>
      <c r="EZ58" s="1926"/>
      <c r="FA58" s="1926"/>
      <c r="FB58" s="1926"/>
      <c r="FC58" s="1926"/>
      <c r="FD58" s="1926"/>
      <c r="FE58" s="1926"/>
      <c r="FF58" s="1926"/>
      <c r="FG58" s="1926"/>
      <c r="FH58" s="1926"/>
      <c r="FI58" s="1926"/>
      <c r="FJ58" s="1926"/>
      <c r="FK58" s="1926"/>
      <c r="FL58" s="1926"/>
      <c r="FM58" s="1926"/>
      <c r="FN58" s="1926"/>
      <c r="FO58" s="1926"/>
      <c r="FP58" s="1926"/>
      <c r="FQ58" s="1926"/>
      <c r="FR58" s="1926"/>
      <c r="FS58" s="1926"/>
      <c r="FT58" s="1926"/>
      <c r="FU58" s="1926"/>
      <c r="FV58" s="1926"/>
      <c r="FW58" s="1926"/>
      <c r="FX58" s="1926"/>
      <c r="FY58" s="1926"/>
      <c r="FZ58" s="1926"/>
      <c r="GA58" s="1926"/>
      <c r="GB58" s="1926"/>
      <c r="GC58" s="1926"/>
      <c r="GD58" s="1926"/>
      <c r="GE58" s="1926"/>
      <c r="GF58" s="1926"/>
      <c r="GG58" s="1926"/>
      <c r="GH58" s="1926"/>
      <c r="GI58" s="1926"/>
      <c r="GJ58" s="1926"/>
      <c r="GK58" s="1926"/>
      <c r="GL58" s="1926"/>
      <c r="GM58" s="1926"/>
      <c r="GN58" s="1926"/>
      <c r="GO58" s="1926"/>
      <c r="GP58" s="1926"/>
      <c r="GQ58" s="1926"/>
      <c r="GR58" s="1926"/>
      <c r="GS58" s="1926"/>
      <c r="GT58" s="1926"/>
      <c r="GU58" s="1926"/>
      <c r="GV58" s="1926"/>
      <c r="GW58" s="1926"/>
      <c r="GX58" s="1926"/>
      <c r="GY58" s="1926"/>
      <c r="GZ58" s="1926"/>
      <c r="HA58" s="1926"/>
      <c r="HB58" s="1926"/>
      <c r="HC58" s="1926"/>
      <c r="HD58" s="1926"/>
      <c r="HE58" s="1926"/>
      <c r="HF58" s="1926"/>
      <c r="HG58" s="1926"/>
      <c r="HH58" s="1926"/>
      <c r="HI58" s="1926"/>
      <c r="HJ58" s="1926"/>
      <c r="HK58" s="1926"/>
      <c r="HL58" s="1926"/>
      <c r="HM58" s="1926"/>
      <c r="HN58" s="1926"/>
      <c r="HO58" s="1926"/>
      <c r="HP58" s="1926"/>
      <c r="HQ58" s="1926"/>
      <c r="HR58" s="1926"/>
      <c r="HS58" s="1926"/>
      <c r="HT58" s="1926"/>
    </row>
    <row r="59" spans="1:228">
      <c r="A59" s="1423"/>
      <c r="B59" s="1968" t="s">
        <v>1445</v>
      </c>
      <c r="C59" s="1435">
        <f>C57</f>
        <v>0.02</v>
      </c>
      <c r="D59" s="2312">
        <f>D57</f>
        <v>0.02</v>
      </c>
      <c r="E59" s="2995"/>
      <c r="F59" s="1942">
        <f>VLOOKUP(region,' IPCC'!$A$480:$F$491,3,)*VLOOKUP(region,' IPCC'!$A$495:$F$507,3,)*0.365*F13*IF($E$33="YES",$C$33,$D$33)/1000</f>
        <v>0</v>
      </c>
      <c r="G59" s="3018">
        <f>VLOOKUP(region,' IPCC'!$A$480:$F$491,3,)*VLOOKUP(region,' IPCC'!$A$495:$F$507,3,)*0.365*G13*$D$33/1000</f>
        <v>0</v>
      </c>
      <c r="H59" s="1950" t="str">
        <f t="shared" si="15"/>
        <v>Linear</v>
      </c>
      <c r="I59" s="1929"/>
      <c r="J59" s="3018">
        <f>VLOOKUP(region,' IPCC'!$A$480:$F$491,3,)*VLOOKUP(region,' IPCC'!$A$495:$F$507,3,)*0.365*J13*$E$33/1000</f>
        <v>0</v>
      </c>
      <c r="K59" s="1950" t="str">
        <f t="shared" si="16"/>
        <v>Linear</v>
      </c>
      <c r="L59" s="1948"/>
      <c r="M59" s="1943">
        <f t="shared" si="19"/>
        <v>0</v>
      </c>
      <c r="N59" s="2998">
        <f t="shared" si="17"/>
        <v>0</v>
      </c>
      <c r="O59" s="2998">
        <f t="shared" si="18"/>
        <v>0</v>
      </c>
      <c r="P59" s="1929"/>
      <c r="Q59" s="1943">
        <f>MIN(M59,N59)*time_tot+ABS(N59-M59)*IF(N59&gt;M59,time2+time*(VLOOKUP(H59,List!$E$35:$F$37,2,)),time*(1-(VLOOKUP(H59,List!$E$35:$F$37,2,))))</f>
        <v>0</v>
      </c>
      <c r="R59" s="1943">
        <f>MIN(M59,O59)*time_tot+ABS(O59-M59)*IF(O59&gt;M59,time2+time*(VLOOKUP(K59,List!$E$35:$F$37,2,)),time*(1-(VLOOKUP(K59,List!$E$35:$F$37,2,))))</f>
        <v>0</v>
      </c>
      <c r="S59" s="1944"/>
      <c r="T59" s="1404">
        <f t="shared" si="20"/>
        <v>0</v>
      </c>
      <c r="U59" s="1926"/>
      <c r="AG59" s="1964">
        <f>MIN(M59,N59)*time+ABS(N59-M59)*IF(N59&gt;M59,time*(VLOOKUP(H59,List!$E$35:$F$37,2,)),time*(1-(VLOOKUP(H59,List!$E$35:$F$37,2,))))</f>
        <v>0</v>
      </c>
      <c r="AH59" s="1964">
        <f>MIN(M59,O59)*time+ABS(O59-M59)*IF(O59&gt;M59,time*(VLOOKUP(K59,List!$E$35:$F$37,2,)),time*(1-(VLOOKUP(K59,List!$E$35:$F$37,2,))))</f>
        <v>0</v>
      </c>
      <c r="AI59" s="1965"/>
    </row>
    <row r="60" spans="1:228" s="1925" customFormat="1">
      <c r="A60" s="1423"/>
      <c r="B60" s="1968" t="s">
        <v>1454</v>
      </c>
      <c r="C60" s="1435">
        <f>C58</f>
        <v>0.01</v>
      </c>
      <c r="D60" s="2312">
        <f>D58</f>
        <v>0.01</v>
      </c>
      <c r="E60" s="2995"/>
      <c r="F60" s="1942">
        <f>VLOOKUP(region,' IPCC'!$A$480:$F$491,3,)*VLOOKUP(region,' IPCC'!$A$495:$F$507,3,)*0.365*F13*IF($E$33="YES",(1-$C$33),(1-$D$33))/1000</f>
        <v>0</v>
      </c>
      <c r="G60" s="3018">
        <f>VLOOKUP(region,' IPCC'!$A$480:$F$491,3,)*VLOOKUP(region,' IPCC'!$A$495:$F$507,3,)*0.365*G13*(1-$D$33)/1000</f>
        <v>0</v>
      </c>
      <c r="H60" s="1950" t="str">
        <f t="shared" si="15"/>
        <v>Linear</v>
      </c>
      <c r="I60" s="1929"/>
      <c r="J60" s="3018">
        <f>VLOOKUP(region,' IPCC'!$A$480:$F$491,3,)*VLOOKUP(region,' IPCC'!$A$495:$F$507,3,)*0.365*J13*(1-$E$33)/1000</f>
        <v>0</v>
      </c>
      <c r="K60" s="1950" t="str">
        <f t="shared" si="16"/>
        <v>Linear</v>
      </c>
      <c r="L60" s="1948"/>
      <c r="M60" s="1943">
        <f t="shared" si="19"/>
        <v>0</v>
      </c>
      <c r="N60" s="2998">
        <f t="shared" si="17"/>
        <v>0</v>
      </c>
      <c r="O60" s="2998">
        <f t="shared" si="18"/>
        <v>0</v>
      </c>
      <c r="P60" s="1929"/>
      <c r="Q60" s="1943">
        <f>MIN(M60,N60)*time_tot+ABS(N60-M60)*IF(N60&gt;M60,time2+time*(VLOOKUP(H60,List!$E$35:$F$37,2,)),time*(1-(VLOOKUP(H60,List!$E$35:$F$37,2,))))</f>
        <v>0</v>
      </c>
      <c r="R60" s="1943">
        <f>MIN(M60,O60)*time_tot+ABS(O60-M60)*IF(O60&gt;M60,time2+time*(VLOOKUP(K60,List!$E$35:$F$37,2,)),time*(1-(VLOOKUP(K60,List!$E$35:$F$37,2,))))</f>
        <v>0</v>
      </c>
      <c r="S60" s="1944"/>
      <c r="T60" s="1404">
        <f t="shared" si="20"/>
        <v>0</v>
      </c>
      <c r="U60" s="1926"/>
      <c r="V60" s="1926"/>
      <c r="W60" s="1926"/>
      <c r="X60" s="1926"/>
      <c r="Y60" s="1926"/>
      <c r="Z60" s="1926"/>
      <c r="AA60" s="1926"/>
      <c r="AB60" s="1926"/>
      <c r="AC60" s="1926"/>
      <c r="AD60" s="1951"/>
      <c r="AE60" s="1951"/>
      <c r="AF60" s="1951"/>
      <c r="AG60" s="1964">
        <f>MIN(M60,N60)*time+ABS(N60-M60)*IF(N60&gt;M60,time*(VLOOKUP(H60,List!$E$35:$F$37,2,)),time*(1-(VLOOKUP(H60,List!$E$35:$F$37,2,))))</f>
        <v>0</v>
      </c>
      <c r="AH60" s="1964">
        <f>MIN(M60,O60)*time+ABS(O60-M60)*IF(O60&gt;M60,time*(VLOOKUP(K60,List!$E$35:$F$37,2,)),time*(1-(VLOOKUP(K60,List!$E$35:$F$37,2,))))</f>
        <v>0</v>
      </c>
      <c r="AI60" s="1965"/>
      <c r="AJ60" s="1951"/>
      <c r="AK60" s="1951"/>
      <c r="AL60" s="1951"/>
      <c r="AM60" s="1951"/>
      <c r="AN60" s="1951"/>
      <c r="AO60" s="1951"/>
      <c r="AP60" s="1926"/>
      <c r="AQ60" s="1926"/>
      <c r="AR60" s="1926"/>
      <c r="AS60" s="1926"/>
      <c r="AT60" s="1926"/>
      <c r="AU60" s="1926"/>
      <c r="AV60" s="1926"/>
      <c r="AW60" s="1926"/>
      <c r="AX60" s="1926"/>
      <c r="AY60" s="1926"/>
      <c r="AZ60" s="1926"/>
      <c r="BA60" s="1926"/>
      <c r="BB60" s="1926"/>
      <c r="BC60" s="1926"/>
      <c r="BD60" s="1926"/>
      <c r="BE60" s="1926"/>
      <c r="BF60" s="1926"/>
      <c r="BG60" s="1926"/>
      <c r="BH60" s="1926"/>
      <c r="BI60" s="1926"/>
      <c r="BJ60" s="1926"/>
      <c r="BK60" s="1926"/>
      <c r="BL60" s="1926"/>
      <c r="BM60" s="1926"/>
      <c r="BN60" s="1926"/>
      <c r="BO60" s="1926"/>
      <c r="BP60" s="1926"/>
      <c r="BQ60" s="1926"/>
      <c r="BR60" s="1926"/>
      <c r="BS60" s="1926"/>
      <c r="BT60" s="1926"/>
      <c r="BU60" s="1926"/>
      <c r="BV60" s="1926"/>
      <c r="BW60" s="1926"/>
      <c r="BX60" s="1926"/>
      <c r="BY60" s="1926"/>
      <c r="BZ60" s="1926"/>
      <c r="CA60" s="1926"/>
      <c r="CB60" s="1926"/>
      <c r="CC60" s="1926"/>
      <c r="CD60" s="1926"/>
      <c r="CE60" s="1926"/>
      <c r="CF60" s="1926"/>
      <c r="CG60" s="1926"/>
      <c r="CH60" s="1926"/>
      <c r="CI60" s="1926"/>
      <c r="CJ60" s="1926"/>
      <c r="CK60" s="1926"/>
      <c r="CL60" s="1926"/>
      <c r="CM60" s="1926"/>
      <c r="CN60" s="1926"/>
      <c r="CO60" s="1926"/>
      <c r="CP60" s="1926"/>
      <c r="CQ60" s="1926"/>
      <c r="CR60" s="1926"/>
      <c r="CS60" s="1926"/>
      <c r="CT60" s="1926"/>
      <c r="CU60" s="1926"/>
      <c r="CV60" s="1926"/>
      <c r="CW60" s="1926"/>
      <c r="CX60" s="1926"/>
      <c r="CY60" s="1926"/>
      <c r="CZ60" s="1926"/>
      <c r="DA60" s="1926"/>
      <c r="DB60" s="1926"/>
      <c r="DC60" s="1926"/>
      <c r="DD60" s="1926"/>
      <c r="DE60" s="1926"/>
      <c r="DF60" s="1926"/>
      <c r="DG60" s="1926"/>
      <c r="DH60" s="1926"/>
      <c r="DI60" s="1926"/>
      <c r="DJ60" s="1926"/>
      <c r="DK60" s="1926"/>
      <c r="DL60" s="1926"/>
      <c r="DM60" s="1926"/>
      <c r="DN60" s="1926"/>
      <c r="DO60" s="1926"/>
      <c r="DP60" s="1926"/>
      <c r="DQ60" s="1926"/>
      <c r="DR60" s="1926"/>
      <c r="DS60" s="1926"/>
      <c r="DT60" s="1926"/>
      <c r="DU60" s="1926"/>
      <c r="DV60" s="1926"/>
      <c r="DW60" s="1926"/>
      <c r="DX60" s="1926"/>
      <c r="DY60" s="1926"/>
      <c r="DZ60" s="1926"/>
      <c r="EA60" s="1926"/>
      <c r="EB60" s="1926"/>
      <c r="EC60" s="1926"/>
      <c r="ED60" s="1926"/>
      <c r="EE60" s="1926"/>
      <c r="EF60" s="1926"/>
      <c r="EG60" s="1926"/>
      <c r="EH60" s="1926"/>
      <c r="EI60" s="1926"/>
      <c r="EJ60" s="1926"/>
      <c r="EK60" s="1926"/>
      <c r="EL60" s="1926"/>
      <c r="EM60" s="1926"/>
      <c r="EN60" s="1926"/>
      <c r="EO60" s="1926"/>
      <c r="EP60" s="1926"/>
      <c r="EQ60" s="1926"/>
      <c r="ER60" s="1926"/>
      <c r="ES60" s="1926"/>
      <c r="ET60" s="1926"/>
      <c r="EU60" s="1926"/>
      <c r="EV60" s="1926"/>
      <c r="EW60" s="1926"/>
      <c r="EX60" s="1926"/>
      <c r="EY60" s="1926"/>
      <c r="EZ60" s="1926"/>
      <c r="FA60" s="1926"/>
      <c r="FB60" s="1926"/>
      <c r="FC60" s="1926"/>
      <c r="FD60" s="1926"/>
      <c r="FE60" s="1926"/>
      <c r="FF60" s="1926"/>
      <c r="FG60" s="1926"/>
      <c r="FH60" s="1926"/>
      <c r="FI60" s="1926"/>
      <c r="FJ60" s="1926"/>
      <c r="FK60" s="1926"/>
      <c r="FL60" s="1926"/>
      <c r="FM60" s="1926"/>
      <c r="FN60" s="1926"/>
      <c r="FO60" s="1926"/>
      <c r="FP60" s="1926"/>
      <c r="FQ60" s="1926"/>
      <c r="FR60" s="1926"/>
      <c r="FS60" s="1926"/>
      <c r="FT60" s="1926"/>
      <c r="FU60" s="1926"/>
      <c r="FV60" s="1926"/>
      <c r="FW60" s="1926"/>
      <c r="FX60" s="1926"/>
      <c r="FY60" s="1926"/>
      <c r="FZ60" s="1926"/>
      <c r="GA60" s="1926"/>
      <c r="GB60" s="1926"/>
      <c r="GC60" s="1926"/>
      <c r="GD60" s="1926"/>
      <c r="GE60" s="1926"/>
      <c r="GF60" s="1926"/>
      <c r="GG60" s="1926"/>
      <c r="GH60" s="1926"/>
      <c r="GI60" s="1926"/>
      <c r="GJ60" s="1926"/>
      <c r="GK60" s="1926"/>
      <c r="GL60" s="1926"/>
      <c r="GM60" s="1926"/>
      <c r="GN60" s="1926"/>
      <c r="GO60" s="1926"/>
      <c r="GP60" s="1926"/>
      <c r="GQ60" s="1926"/>
      <c r="GR60" s="1926"/>
      <c r="GS60" s="1926"/>
      <c r="GT60" s="1926"/>
      <c r="GU60" s="1926"/>
      <c r="GV60" s="1926"/>
      <c r="GW60" s="1926"/>
      <c r="GX60" s="1926"/>
      <c r="GY60" s="1926"/>
      <c r="GZ60" s="1926"/>
      <c r="HA60" s="1926"/>
      <c r="HB60" s="1926"/>
      <c r="HC60" s="1926"/>
      <c r="HD60" s="1926"/>
      <c r="HE60" s="1926"/>
      <c r="HF60" s="1926"/>
      <c r="HG60" s="1926"/>
      <c r="HH60" s="1926"/>
      <c r="HI60" s="1926"/>
      <c r="HJ60" s="1926"/>
      <c r="HK60" s="1926"/>
      <c r="HL60" s="1926"/>
      <c r="HM60" s="1926"/>
      <c r="HN60" s="1926"/>
      <c r="HO60" s="1926"/>
      <c r="HP60" s="1926"/>
      <c r="HQ60" s="1926"/>
      <c r="HR60" s="1926"/>
      <c r="HS60" s="1926"/>
      <c r="HT60" s="1926"/>
    </row>
    <row r="61" spans="1:228">
      <c r="A61" s="1423"/>
      <c r="B61" s="1968" t="s">
        <v>1446</v>
      </c>
      <c r="C61" s="1435">
        <f t="shared" ref="C61:D68" si="21">C59</f>
        <v>0.02</v>
      </c>
      <c r="D61" s="2312">
        <f t="shared" si="21"/>
        <v>0.02</v>
      </c>
      <c r="E61" s="2995"/>
      <c r="F61" s="1942">
        <f>VLOOKUP(region,' IPCC'!$A$480:$F$491,4,)*VLOOKUP(region,' IPCC'!$A$495:$F$507,4,)*0.365*F14*IF($E$34="YES",$C$34,$D$34)/1000</f>
        <v>0</v>
      </c>
      <c r="G61" s="3018">
        <f>VLOOKUP(region,' IPCC'!$A$480:$F$491,4,)*VLOOKUP(region,' IPCC'!$A$495:$F$507,4,)*0.365*G14*$D$34/1000</f>
        <v>0</v>
      </c>
      <c r="H61" s="1950" t="str">
        <f t="shared" si="15"/>
        <v>Linear</v>
      </c>
      <c r="I61" s="1929"/>
      <c r="J61" s="3018">
        <f>VLOOKUP(region,' IPCC'!$A$480:$F$491,4,)*VLOOKUP(region,' IPCC'!$A$495:$F$507,4,)*0.365*J14*$E$34/1000</f>
        <v>0</v>
      </c>
      <c r="K61" s="1950" t="str">
        <f t="shared" si="16"/>
        <v>Linear</v>
      </c>
      <c r="L61" s="1948"/>
      <c r="M61" s="1943">
        <f t="shared" si="19"/>
        <v>0</v>
      </c>
      <c r="N61" s="2998">
        <f t="shared" si="17"/>
        <v>0</v>
      </c>
      <c r="O61" s="2998">
        <f t="shared" si="18"/>
        <v>0</v>
      </c>
      <c r="P61" s="1929"/>
      <c r="Q61" s="1943">
        <f>MIN(M61,N61)*time_tot+ABS(N61-M61)*IF(N61&gt;M61,time2+time*(VLOOKUP(H61,List!$E$35:$F$37,2,)),time*(1-(VLOOKUP(H61,List!$E$35:$F$37,2,))))</f>
        <v>0</v>
      </c>
      <c r="R61" s="1943">
        <f>MIN(M61,O61)*time_tot+ABS(O61-M61)*IF(O61&gt;M61,time2+time*(VLOOKUP(K61,List!$E$35:$F$37,2,)),time*(1-(VLOOKUP(K61,List!$E$35:$F$37,2,))))</f>
        <v>0</v>
      </c>
      <c r="S61" s="1944"/>
      <c r="T61" s="1404">
        <f t="shared" si="20"/>
        <v>0</v>
      </c>
      <c r="U61" s="1926"/>
      <c r="AG61" s="1964">
        <f>MIN(M61,N61)*time+ABS(N61-M61)*IF(N61&gt;M61,time*(VLOOKUP(H61,List!$E$35:$F$37,2,)),time*(1-(VLOOKUP(H61,List!$E$35:$F$37,2,))))</f>
        <v>0</v>
      </c>
      <c r="AH61" s="1964">
        <f>MIN(M61,O61)*time+ABS(O61-M61)*IF(O61&gt;M61,time*(VLOOKUP(K61,List!$E$35:$F$37,2,)),time*(1-(VLOOKUP(K61,List!$E$35:$F$37,2,))))</f>
        <v>0</v>
      </c>
      <c r="AI61" s="1965"/>
    </row>
    <row r="62" spans="1:228" s="1925" customFormat="1">
      <c r="A62" s="1423"/>
      <c r="B62" s="1968" t="s">
        <v>1447</v>
      </c>
      <c r="C62" s="1435">
        <f t="shared" si="21"/>
        <v>0.01</v>
      </c>
      <c r="D62" s="2312">
        <f t="shared" si="21"/>
        <v>0.01</v>
      </c>
      <c r="E62" s="2995"/>
      <c r="F62" s="1942">
        <f>VLOOKUP(region,' IPCC'!$A$480:$F$491,4,)*VLOOKUP(region,' IPCC'!$A$495:$F$507,4,)*0.365*F14*IF($E$34="YES",(1-$C$34),(1-$D$34))/1000</f>
        <v>0</v>
      </c>
      <c r="G62" s="3018">
        <f>VLOOKUP(region,' IPCC'!$A$480:$F$491,4,)*VLOOKUP(region,' IPCC'!$A$495:$F$507,4,)*0.365*G14*(1-$D$34)/1000</f>
        <v>0</v>
      </c>
      <c r="H62" s="1950" t="str">
        <f t="shared" si="15"/>
        <v>Linear</v>
      </c>
      <c r="I62" s="1929"/>
      <c r="J62" s="3018">
        <f>VLOOKUP(region,' IPCC'!$A$480:$F$491,4,)*VLOOKUP(region,' IPCC'!$A$495:$F$507,4,)*0.365*J14*(1-$E$34)/1000</f>
        <v>0</v>
      </c>
      <c r="K62" s="1950" t="str">
        <f t="shared" si="16"/>
        <v>Linear</v>
      </c>
      <c r="L62" s="1948"/>
      <c r="M62" s="1943">
        <f t="shared" si="19"/>
        <v>0</v>
      </c>
      <c r="N62" s="2998">
        <f t="shared" si="17"/>
        <v>0</v>
      </c>
      <c r="O62" s="2998">
        <f t="shared" si="18"/>
        <v>0</v>
      </c>
      <c r="P62" s="1929"/>
      <c r="Q62" s="1943">
        <f>MIN(M62,N62)*time_tot+ABS(N62-M62)*IF(N62&gt;M62,time2+time*(VLOOKUP(H62,List!$E$35:$F$37,2,)),time*(1-(VLOOKUP(H62,List!$E$35:$F$37,2,))))</f>
        <v>0</v>
      </c>
      <c r="R62" s="1943">
        <f>MIN(M62,O62)*time_tot+ABS(O62-M62)*IF(O62&gt;M62,time2+time*(VLOOKUP(K62,List!$E$35:$F$37,2,)),time*(1-(VLOOKUP(K62,List!$E$35:$F$37,2,))))</f>
        <v>0</v>
      </c>
      <c r="S62" s="1944"/>
      <c r="T62" s="1404">
        <f t="shared" si="20"/>
        <v>0</v>
      </c>
      <c r="U62" s="1926"/>
      <c r="V62" s="1926"/>
      <c r="W62" s="1926"/>
      <c r="X62" s="1926"/>
      <c r="Y62" s="1926"/>
      <c r="Z62" s="1926"/>
      <c r="AA62" s="1926"/>
      <c r="AB62" s="1926"/>
      <c r="AC62" s="1926"/>
      <c r="AD62" s="1951"/>
      <c r="AE62" s="1951"/>
      <c r="AF62" s="1951"/>
      <c r="AG62" s="1964">
        <f>MIN(M62,N62)*time+ABS(N62-M62)*IF(N62&gt;M62,time*(VLOOKUP(H62,List!$E$35:$F$37,2,)),time*(1-(VLOOKUP(H62,List!$E$35:$F$37,2,))))</f>
        <v>0</v>
      </c>
      <c r="AH62" s="1964">
        <f>MIN(M62,O62)*time+ABS(O62-M62)*IF(O62&gt;M62,time*(VLOOKUP(K62,List!$E$35:$F$37,2,)),time*(1-(VLOOKUP(K62,List!$E$35:$F$37,2,))))</f>
        <v>0</v>
      </c>
      <c r="AI62" s="1965"/>
      <c r="AJ62" s="1951"/>
      <c r="AK62" s="1951"/>
      <c r="AL62" s="1951"/>
      <c r="AM62" s="1951"/>
      <c r="AN62" s="1951"/>
      <c r="AO62" s="1951"/>
      <c r="AP62" s="1926"/>
      <c r="AQ62" s="1926"/>
      <c r="AR62" s="1926"/>
      <c r="AS62" s="1926"/>
      <c r="AT62" s="1926"/>
      <c r="AU62" s="1926"/>
      <c r="AV62" s="1926"/>
      <c r="AW62" s="1926"/>
      <c r="AX62" s="1926"/>
      <c r="AY62" s="1926"/>
      <c r="AZ62" s="1926"/>
      <c r="BA62" s="1926"/>
      <c r="BB62" s="1926"/>
      <c r="BC62" s="1926"/>
      <c r="BD62" s="1926"/>
      <c r="BE62" s="1926"/>
      <c r="BF62" s="1926"/>
      <c r="BG62" s="1926"/>
      <c r="BH62" s="1926"/>
      <c r="BI62" s="1926"/>
      <c r="BJ62" s="1926"/>
      <c r="BK62" s="1926"/>
      <c r="BL62" s="1926"/>
      <c r="BM62" s="1926"/>
      <c r="BN62" s="1926"/>
      <c r="BO62" s="1926"/>
      <c r="BP62" s="1926"/>
      <c r="BQ62" s="1926"/>
      <c r="BR62" s="1926"/>
      <c r="BS62" s="1926"/>
      <c r="BT62" s="1926"/>
      <c r="BU62" s="1926"/>
      <c r="BV62" s="1926"/>
      <c r="BW62" s="1926"/>
      <c r="BX62" s="1926"/>
      <c r="BY62" s="1926"/>
      <c r="BZ62" s="1926"/>
      <c r="CA62" s="1926"/>
      <c r="CB62" s="1926"/>
      <c r="CC62" s="1926"/>
      <c r="CD62" s="1926"/>
      <c r="CE62" s="1926"/>
      <c r="CF62" s="1926"/>
      <c r="CG62" s="1926"/>
      <c r="CH62" s="1926"/>
      <c r="CI62" s="1926"/>
      <c r="CJ62" s="1926"/>
      <c r="CK62" s="1926"/>
      <c r="CL62" s="1926"/>
      <c r="CM62" s="1926"/>
      <c r="CN62" s="1926"/>
      <c r="CO62" s="1926"/>
      <c r="CP62" s="1926"/>
      <c r="CQ62" s="1926"/>
      <c r="CR62" s="1926"/>
      <c r="CS62" s="1926"/>
      <c r="CT62" s="1926"/>
      <c r="CU62" s="1926"/>
      <c r="CV62" s="1926"/>
      <c r="CW62" s="1926"/>
      <c r="CX62" s="1926"/>
      <c r="CY62" s="1926"/>
      <c r="CZ62" s="1926"/>
      <c r="DA62" s="1926"/>
      <c r="DB62" s="1926"/>
      <c r="DC62" s="1926"/>
      <c r="DD62" s="1926"/>
      <c r="DE62" s="1926"/>
      <c r="DF62" s="1926"/>
      <c r="DG62" s="1926"/>
      <c r="DH62" s="1926"/>
      <c r="DI62" s="1926"/>
      <c r="DJ62" s="1926"/>
      <c r="DK62" s="1926"/>
      <c r="DL62" s="1926"/>
      <c r="DM62" s="1926"/>
      <c r="DN62" s="1926"/>
      <c r="DO62" s="1926"/>
      <c r="DP62" s="1926"/>
      <c r="DQ62" s="1926"/>
      <c r="DR62" s="1926"/>
      <c r="DS62" s="1926"/>
      <c r="DT62" s="1926"/>
      <c r="DU62" s="1926"/>
      <c r="DV62" s="1926"/>
      <c r="DW62" s="1926"/>
      <c r="DX62" s="1926"/>
      <c r="DY62" s="1926"/>
      <c r="DZ62" s="1926"/>
      <c r="EA62" s="1926"/>
      <c r="EB62" s="1926"/>
      <c r="EC62" s="1926"/>
      <c r="ED62" s="1926"/>
      <c r="EE62" s="1926"/>
      <c r="EF62" s="1926"/>
      <c r="EG62" s="1926"/>
      <c r="EH62" s="1926"/>
      <c r="EI62" s="1926"/>
      <c r="EJ62" s="1926"/>
      <c r="EK62" s="1926"/>
      <c r="EL62" s="1926"/>
      <c r="EM62" s="1926"/>
      <c r="EN62" s="1926"/>
      <c r="EO62" s="1926"/>
      <c r="EP62" s="1926"/>
      <c r="EQ62" s="1926"/>
      <c r="ER62" s="1926"/>
      <c r="ES62" s="1926"/>
      <c r="ET62" s="1926"/>
      <c r="EU62" s="1926"/>
      <c r="EV62" s="1926"/>
      <c r="EW62" s="1926"/>
      <c r="EX62" s="1926"/>
      <c r="EY62" s="1926"/>
      <c r="EZ62" s="1926"/>
      <c r="FA62" s="1926"/>
      <c r="FB62" s="1926"/>
      <c r="FC62" s="1926"/>
      <c r="FD62" s="1926"/>
      <c r="FE62" s="1926"/>
      <c r="FF62" s="1926"/>
      <c r="FG62" s="1926"/>
      <c r="FH62" s="1926"/>
      <c r="FI62" s="1926"/>
      <c r="FJ62" s="1926"/>
      <c r="FK62" s="1926"/>
      <c r="FL62" s="1926"/>
      <c r="FM62" s="1926"/>
      <c r="FN62" s="1926"/>
      <c r="FO62" s="1926"/>
      <c r="FP62" s="1926"/>
      <c r="FQ62" s="1926"/>
      <c r="FR62" s="1926"/>
      <c r="FS62" s="1926"/>
      <c r="FT62" s="1926"/>
      <c r="FU62" s="1926"/>
      <c r="FV62" s="1926"/>
      <c r="FW62" s="1926"/>
      <c r="FX62" s="1926"/>
      <c r="FY62" s="1926"/>
      <c r="FZ62" s="1926"/>
      <c r="GA62" s="1926"/>
      <c r="GB62" s="1926"/>
      <c r="GC62" s="1926"/>
      <c r="GD62" s="1926"/>
      <c r="GE62" s="1926"/>
      <c r="GF62" s="1926"/>
      <c r="GG62" s="1926"/>
      <c r="GH62" s="1926"/>
      <c r="GI62" s="1926"/>
      <c r="GJ62" s="1926"/>
      <c r="GK62" s="1926"/>
      <c r="GL62" s="1926"/>
      <c r="GM62" s="1926"/>
      <c r="GN62" s="1926"/>
      <c r="GO62" s="1926"/>
      <c r="GP62" s="1926"/>
      <c r="GQ62" s="1926"/>
      <c r="GR62" s="1926"/>
      <c r="GS62" s="1926"/>
      <c r="GT62" s="1926"/>
      <c r="GU62" s="1926"/>
      <c r="GV62" s="1926"/>
      <c r="GW62" s="1926"/>
      <c r="GX62" s="1926"/>
      <c r="GY62" s="1926"/>
      <c r="GZ62" s="1926"/>
      <c r="HA62" s="1926"/>
      <c r="HB62" s="1926"/>
      <c r="HC62" s="1926"/>
      <c r="HD62" s="1926"/>
      <c r="HE62" s="1926"/>
      <c r="HF62" s="1926"/>
      <c r="HG62" s="1926"/>
      <c r="HH62" s="1926"/>
      <c r="HI62" s="1926"/>
      <c r="HJ62" s="1926"/>
      <c r="HK62" s="1926"/>
      <c r="HL62" s="1926"/>
      <c r="HM62" s="1926"/>
      <c r="HN62" s="1926"/>
      <c r="HO62" s="1926"/>
      <c r="HP62" s="1926"/>
      <c r="HQ62" s="1926"/>
      <c r="HR62" s="1926"/>
      <c r="HS62" s="1926"/>
      <c r="HT62" s="1926"/>
    </row>
    <row r="63" spans="1:228">
      <c r="A63" s="1423"/>
      <c r="B63" s="1968" t="s">
        <v>1448</v>
      </c>
      <c r="C63" s="1435">
        <f t="shared" si="21"/>
        <v>0.02</v>
      </c>
      <c r="D63" s="2312">
        <f t="shared" si="21"/>
        <v>0.02</v>
      </c>
      <c r="E63" s="2995"/>
      <c r="F63" s="1251">
        <f>VLOOKUP(region,' IPCC'!$A$512:$J$523,1+MATCH(LEFT($B63,5),' IPCC'!$B$527:$I$527,),)*VLOOKUP(c_type,' IPCC'!$A$528:$J$547,1+MATCH(LEFT($B63,5),' IPCC'!$B$527:$I$527,),)*0.365*F15*IF($K$32="YES",$H$32,$J$32)/1000</f>
        <v>0</v>
      </c>
      <c r="G63" s="3018">
        <f>VLOOKUP(region,' IPCC'!$A$512:$J$523,1+MATCH(LEFT($B63,5),' IPCC'!$B$527:$I$527,),)*VLOOKUP(c_type,' IPCC'!$A$528:$J$547,1+MATCH(LEFT($B63,5),' IPCC'!$B$527:$I$527,),)*0.365*G15*$J$32/1000</f>
        <v>0</v>
      </c>
      <c r="H63" s="1130" t="str">
        <f>H43</f>
        <v>Linear</v>
      </c>
      <c r="I63" s="49"/>
      <c r="J63" s="3019">
        <f>VLOOKUP(region,' IPCC'!$A$512:$J$523,1+MATCH(LEFT($B63,5),' IPCC'!$B$527:$I$527,),)*VLOOKUP(c_type,' IPCC'!$A$528:$J$547,1+MATCH(LEFT($B63,5),' IPCC'!$B$527:$I$527,),)*0.365*J15*$K$32/1000</f>
        <v>0</v>
      </c>
      <c r="K63" s="1130" t="str">
        <f>K43</f>
        <v>Linear</v>
      </c>
      <c r="L63" s="1441"/>
      <c r="M63" s="1943">
        <f t="shared" si="19"/>
        <v>0</v>
      </c>
      <c r="N63" s="2998">
        <f t="shared" si="17"/>
        <v>0</v>
      </c>
      <c r="O63" s="2998">
        <f t="shared" si="18"/>
        <v>0</v>
      </c>
      <c r="P63" s="1929"/>
      <c r="Q63" s="1943">
        <f>MIN(M63,N63)*time_tot+ABS(N63-M63)*IF(N63&gt;M63,time2+time*(VLOOKUP(H63,List!$E$35:$F$37,2,)),time*(1-(VLOOKUP(H63,List!$E$35:$F$37,2,))))</f>
        <v>0</v>
      </c>
      <c r="R63" s="1943">
        <f>MIN(M63,O63)*time_tot+ABS(O63-M63)*IF(O63&gt;M63,time2+time*(VLOOKUP(K63,List!$E$35:$F$37,2,)),time*(1-(VLOOKUP(K63,List!$E$35:$F$37,2,))))</f>
        <v>0</v>
      </c>
      <c r="S63" s="1944"/>
      <c r="T63" s="1404">
        <f t="shared" si="20"/>
        <v>0</v>
      </c>
      <c r="U63" s="1926"/>
      <c r="AG63" s="1964">
        <f>MIN(M63,N63)*time+ABS(N63-M63)*IF(N63&gt;M63,time*(VLOOKUP(H63,List!$E$35:$F$37,2,)),time*(1-(VLOOKUP(H63,List!$E$35:$F$37,2,))))</f>
        <v>0</v>
      </c>
      <c r="AH63" s="1964">
        <f>MIN(M63,O63)*time+ABS(O63-M63)*IF(O63&gt;M63,time*(VLOOKUP(K63,List!$E$35:$F$37,2,)),time*(1-(VLOOKUP(K63,List!$E$35:$F$37,2,))))</f>
        <v>0</v>
      </c>
      <c r="AI63" s="1965"/>
    </row>
    <row r="64" spans="1:228" s="1925" customFormat="1">
      <c r="A64" s="1423"/>
      <c r="B64" s="1968" t="s">
        <v>1449</v>
      </c>
      <c r="C64" s="1435">
        <f t="shared" si="21"/>
        <v>0.01</v>
      </c>
      <c r="D64" s="2312">
        <f t="shared" si="21"/>
        <v>0.01</v>
      </c>
      <c r="E64" s="2995"/>
      <c r="F64" s="1941">
        <f>VLOOKUP(region,' IPCC'!$A$512:$J$523,1+MATCH(LEFT($B64,5),' IPCC'!$B$527:$I$527,),)*VLOOKUP(c_type,' IPCC'!$A$528:$J$547,1+MATCH(LEFT($B64,5),' IPCC'!$B$527:$I$527,),)*0.365*F15*IF($K$32="YES",1-$H$32,1-$J$32)/1000</f>
        <v>0</v>
      </c>
      <c r="G64" s="3018">
        <f>VLOOKUP(region,' IPCC'!$A$512:$J$523,1+MATCH(LEFT($B64,5),' IPCC'!$B$527:$I$527,),)*VLOOKUP(c_type,' IPCC'!$A$528:$J$547,1+MATCH(LEFT($B64,5),' IPCC'!$B$527:$I$527,),)*0.365*G15*(1-$J$32)/1000</f>
        <v>0</v>
      </c>
      <c r="H64" s="1940" t="str">
        <f>H44</f>
        <v>Linear</v>
      </c>
      <c r="I64" s="1929"/>
      <c r="J64" s="3019">
        <f>VLOOKUP(region,' IPCC'!$A$512:$J$523,1+MATCH(LEFT($B64,5),' IPCC'!$B$527:$I$527,),)*VLOOKUP(c_type,' IPCC'!$A$528:$J$547,1+MATCH(LEFT($B64,5),' IPCC'!$B$527:$I$527,),)*0.365*J16*(1-$K$32)/1000</f>
        <v>0</v>
      </c>
      <c r="K64" s="1940" t="str">
        <f>K44</f>
        <v>Linear</v>
      </c>
      <c r="L64" s="1948"/>
      <c r="M64" s="1943">
        <f t="shared" si="19"/>
        <v>0</v>
      </c>
      <c r="N64" s="2998">
        <f t="shared" si="17"/>
        <v>0</v>
      </c>
      <c r="O64" s="2998">
        <f t="shared" si="18"/>
        <v>0</v>
      </c>
      <c r="P64" s="1929"/>
      <c r="Q64" s="1943">
        <f>MIN(M64,N64)*time_tot+ABS(N64-M64)*IF(N64&gt;M64,time2+time*(VLOOKUP(H64,List!$E$35:$F$37,2,)),time*(1-(VLOOKUP(H64,List!$E$35:$F$37,2,))))</f>
        <v>0</v>
      </c>
      <c r="R64" s="1943">
        <f>MIN(M64,O64)*time_tot+ABS(O64-M64)*IF(O64&gt;M64,time2+time*(VLOOKUP(K64,List!$E$35:$F$37,2,)),time*(1-(VLOOKUP(K64,List!$E$35:$F$37,2,))))</f>
        <v>0</v>
      </c>
      <c r="S64" s="1944"/>
      <c r="T64" s="1404">
        <f t="shared" si="20"/>
        <v>0</v>
      </c>
      <c r="U64" s="1926"/>
      <c r="V64" s="1926"/>
      <c r="W64" s="1926"/>
      <c r="X64" s="1926"/>
      <c r="Y64" s="1926"/>
      <c r="Z64" s="1926"/>
      <c r="AA64" s="1926"/>
      <c r="AB64" s="1926"/>
      <c r="AC64" s="1926"/>
      <c r="AD64" s="1951"/>
      <c r="AE64" s="1951"/>
      <c r="AF64" s="1951"/>
      <c r="AG64" s="1964">
        <f>MIN(M64,N64)*time+ABS(N64-M64)*IF(N64&gt;M64,time*(VLOOKUP(H64,List!$E$35:$F$37,2,)),time*(1-(VLOOKUP(H64,List!$E$35:$F$37,2,))))</f>
        <v>0</v>
      </c>
      <c r="AH64" s="1964">
        <f>MIN(M64,O64)*time+ABS(O64-M64)*IF(O64&gt;M64,time*(VLOOKUP(K64,List!$E$35:$F$37,2,)),time*(1-(VLOOKUP(K64,List!$E$35:$F$37,2,))))</f>
        <v>0</v>
      </c>
      <c r="AI64" s="1965"/>
      <c r="AJ64" s="1951"/>
      <c r="AK64" s="1951"/>
      <c r="AL64" s="1951"/>
      <c r="AM64" s="1951"/>
      <c r="AN64" s="1951"/>
      <c r="AO64" s="1951"/>
      <c r="AP64" s="1926"/>
      <c r="AQ64" s="1926"/>
      <c r="AR64" s="1926"/>
      <c r="AS64" s="1926"/>
      <c r="AT64" s="1926"/>
      <c r="AU64" s="1926"/>
      <c r="AV64" s="1926"/>
      <c r="AW64" s="1926"/>
      <c r="AX64" s="1926"/>
      <c r="AY64" s="1926"/>
      <c r="AZ64" s="1926"/>
      <c r="BA64" s="1926"/>
      <c r="BB64" s="1926"/>
      <c r="BC64" s="1926"/>
      <c r="BD64" s="1926"/>
      <c r="BE64" s="1926"/>
      <c r="BF64" s="1926"/>
      <c r="BG64" s="1926"/>
      <c r="BH64" s="1926"/>
      <c r="BI64" s="1926"/>
      <c r="BJ64" s="1926"/>
      <c r="BK64" s="1926"/>
      <c r="BL64" s="1926"/>
      <c r="BM64" s="1926"/>
      <c r="BN64" s="1926"/>
      <c r="BO64" s="1926"/>
      <c r="BP64" s="1926"/>
      <c r="BQ64" s="1926"/>
      <c r="BR64" s="1926"/>
      <c r="BS64" s="1926"/>
      <c r="BT64" s="1926"/>
      <c r="BU64" s="1926"/>
      <c r="BV64" s="1926"/>
      <c r="BW64" s="1926"/>
      <c r="BX64" s="1926"/>
      <c r="BY64" s="1926"/>
      <c r="BZ64" s="1926"/>
      <c r="CA64" s="1926"/>
      <c r="CB64" s="1926"/>
      <c r="CC64" s="1926"/>
      <c r="CD64" s="1926"/>
      <c r="CE64" s="1926"/>
      <c r="CF64" s="1926"/>
      <c r="CG64" s="1926"/>
      <c r="CH64" s="1926"/>
      <c r="CI64" s="1926"/>
      <c r="CJ64" s="1926"/>
      <c r="CK64" s="1926"/>
      <c r="CL64" s="1926"/>
      <c r="CM64" s="1926"/>
      <c r="CN64" s="1926"/>
      <c r="CO64" s="1926"/>
      <c r="CP64" s="1926"/>
      <c r="CQ64" s="1926"/>
      <c r="CR64" s="1926"/>
      <c r="CS64" s="1926"/>
      <c r="CT64" s="1926"/>
      <c r="CU64" s="1926"/>
      <c r="CV64" s="1926"/>
      <c r="CW64" s="1926"/>
      <c r="CX64" s="1926"/>
      <c r="CY64" s="1926"/>
      <c r="CZ64" s="1926"/>
      <c r="DA64" s="1926"/>
      <c r="DB64" s="1926"/>
      <c r="DC64" s="1926"/>
      <c r="DD64" s="1926"/>
      <c r="DE64" s="1926"/>
      <c r="DF64" s="1926"/>
      <c r="DG64" s="1926"/>
      <c r="DH64" s="1926"/>
      <c r="DI64" s="1926"/>
      <c r="DJ64" s="1926"/>
      <c r="DK64" s="1926"/>
      <c r="DL64" s="1926"/>
      <c r="DM64" s="1926"/>
      <c r="DN64" s="1926"/>
      <c r="DO64" s="1926"/>
      <c r="DP64" s="1926"/>
      <c r="DQ64" s="1926"/>
      <c r="DR64" s="1926"/>
      <c r="DS64" s="1926"/>
      <c r="DT64" s="1926"/>
      <c r="DU64" s="1926"/>
      <c r="DV64" s="1926"/>
      <c r="DW64" s="1926"/>
      <c r="DX64" s="1926"/>
      <c r="DY64" s="1926"/>
      <c r="DZ64" s="1926"/>
      <c r="EA64" s="1926"/>
      <c r="EB64" s="1926"/>
      <c r="EC64" s="1926"/>
      <c r="ED64" s="1926"/>
      <c r="EE64" s="1926"/>
      <c r="EF64" s="1926"/>
      <c r="EG64" s="1926"/>
      <c r="EH64" s="1926"/>
      <c r="EI64" s="1926"/>
      <c r="EJ64" s="1926"/>
      <c r="EK64" s="1926"/>
      <c r="EL64" s="1926"/>
      <c r="EM64" s="1926"/>
      <c r="EN64" s="1926"/>
      <c r="EO64" s="1926"/>
      <c r="EP64" s="1926"/>
      <c r="EQ64" s="1926"/>
      <c r="ER64" s="1926"/>
      <c r="ES64" s="1926"/>
      <c r="ET64" s="1926"/>
      <c r="EU64" s="1926"/>
      <c r="EV64" s="1926"/>
      <c r="EW64" s="1926"/>
      <c r="EX64" s="1926"/>
      <c r="EY64" s="1926"/>
      <c r="EZ64" s="1926"/>
      <c r="FA64" s="1926"/>
      <c r="FB64" s="1926"/>
      <c r="FC64" s="1926"/>
      <c r="FD64" s="1926"/>
      <c r="FE64" s="1926"/>
      <c r="FF64" s="1926"/>
      <c r="FG64" s="1926"/>
      <c r="FH64" s="1926"/>
      <c r="FI64" s="1926"/>
      <c r="FJ64" s="1926"/>
      <c r="FK64" s="1926"/>
      <c r="FL64" s="1926"/>
      <c r="FM64" s="1926"/>
      <c r="FN64" s="1926"/>
      <c r="FO64" s="1926"/>
      <c r="FP64" s="1926"/>
      <c r="FQ64" s="1926"/>
      <c r="FR64" s="1926"/>
      <c r="FS64" s="1926"/>
      <c r="FT64" s="1926"/>
      <c r="FU64" s="1926"/>
      <c r="FV64" s="1926"/>
      <c r="FW64" s="1926"/>
      <c r="FX64" s="1926"/>
      <c r="FY64" s="1926"/>
      <c r="FZ64" s="1926"/>
      <c r="GA64" s="1926"/>
      <c r="GB64" s="1926"/>
      <c r="GC64" s="1926"/>
      <c r="GD64" s="1926"/>
      <c r="GE64" s="1926"/>
      <c r="GF64" s="1926"/>
      <c r="GG64" s="1926"/>
      <c r="GH64" s="1926"/>
      <c r="GI64" s="1926"/>
      <c r="GJ64" s="1926"/>
      <c r="GK64" s="1926"/>
      <c r="GL64" s="1926"/>
      <c r="GM64" s="1926"/>
      <c r="GN64" s="1926"/>
      <c r="GO64" s="1926"/>
      <c r="GP64" s="1926"/>
      <c r="GQ64" s="1926"/>
      <c r="GR64" s="1926"/>
      <c r="GS64" s="1926"/>
      <c r="GT64" s="1926"/>
      <c r="GU64" s="1926"/>
      <c r="GV64" s="1926"/>
      <c r="GW64" s="1926"/>
      <c r="GX64" s="1926"/>
      <c r="GY64" s="1926"/>
      <c r="GZ64" s="1926"/>
      <c r="HA64" s="1926"/>
      <c r="HB64" s="1926"/>
      <c r="HC64" s="1926"/>
      <c r="HD64" s="1926"/>
      <c r="HE64" s="1926"/>
      <c r="HF64" s="1926"/>
      <c r="HG64" s="1926"/>
      <c r="HH64" s="1926"/>
      <c r="HI64" s="1926"/>
      <c r="HJ64" s="1926"/>
      <c r="HK64" s="1926"/>
      <c r="HL64" s="1926"/>
      <c r="HM64" s="1926"/>
      <c r="HN64" s="1926"/>
      <c r="HO64" s="1926"/>
      <c r="HP64" s="1926"/>
      <c r="HQ64" s="1926"/>
      <c r="HR64" s="1926"/>
      <c r="HS64" s="1926"/>
      <c r="HT64" s="1926"/>
    </row>
    <row r="65" spans="1:228" s="1925" customFormat="1">
      <c r="A65" s="1423"/>
      <c r="B65" s="1967" t="s">
        <v>1450</v>
      </c>
      <c r="C65" s="1435">
        <f t="shared" si="21"/>
        <v>0.02</v>
      </c>
      <c r="D65" s="2312">
        <f t="shared" si="21"/>
        <v>0.02</v>
      </c>
      <c r="E65" s="2995"/>
      <c r="F65" s="1941">
        <f>VLOOKUP(region,' IPCC'!$A$480:$F$491,5,)*VLOOKUP(region,' IPCC'!$A$495:$F$507,5,)*0.365*F16*IF($K$33="YES",$H$33,$J$33)/1000</f>
        <v>0</v>
      </c>
      <c r="G65" s="3018">
        <f>VLOOKUP(region,' IPCC'!$A$480:$F$491,5,)*VLOOKUP(region,' IPCC'!$A$495:$F$507,5,)*0.365*G16*$J$33/1000</f>
        <v>0</v>
      </c>
      <c r="H65" s="1940" t="str">
        <f>H43</f>
        <v>Linear</v>
      </c>
      <c r="I65" s="1929"/>
      <c r="J65" s="3019">
        <f>VLOOKUP(region,' IPCC'!$A$480:$F$491,5,)*VLOOKUP(region,' IPCC'!$A$495:$F$507,5,)*0.365*J16*$K$33/1000</f>
        <v>0</v>
      </c>
      <c r="K65" s="1940" t="str">
        <f>K43</f>
        <v>Linear</v>
      </c>
      <c r="L65" s="1948"/>
      <c r="M65" s="1943">
        <f t="shared" si="19"/>
        <v>0</v>
      </c>
      <c r="N65" s="2998">
        <f t="shared" si="17"/>
        <v>0</v>
      </c>
      <c r="O65" s="2998">
        <f t="shared" si="18"/>
        <v>0</v>
      </c>
      <c r="P65" s="1929"/>
      <c r="Q65" s="1943">
        <f>MIN(M65,N65)*time_tot+ABS(N65-M65)*IF(N65&gt;M65,time2+time*(VLOOKUP(H65,List!$E$35:$F$37,2,)),time*(1-(VLOOKUP(H65,List!$E$35:$F$37,2,))))</f>
        <v>0</v>
      </c>
      <c r="R65" s="1943">
        <f>MIN(M65,O65)*time_tot+ABS(O65-M65)*IF(O65&gt;M65,time2+time*(VLOOKUP(K65,List!$E$35:$F$37,2,)),time*(1-(VLOOKUP(K65,List!$E$35:$F$37,2,))))</f>
        <v>0</v>
      </c>
      <c r="S65" s="1944"/>
      <c r="T65" s="1404">
        <f t="shared" si="20"/>
        <v>0</v>
      </c>
      <c r="U65" s="1926"/>
      <c r="V65" s="1926"/>
      <c r="W65" s="1926"/>
      <c r="X65" s="1926"/>
      <c r="Y65" s="1926"/>
      <c r="Z65" s="1926"/>
      <c r="AA65" s="1926"/>
      <c r="AB65" s="1926"/>
      <c r="AC65" s="1926"/>
      <c r="AD65" s="1951"/>
      <c r="AE65" s="1951"/>
      <c r="AF65" s="1951"/>
      <c r="AG65" s="1964">
        <f>MIN(M65,N65)*time+ABS(N65-M65)*IF(N65&gt;M65,time*(VLOOKUP(H65,List!$E$35:$F$37,2,)),time*(1-(VLOOKUP(H65,List!$E$35:$F$37,2,))))</f>
        <v>0</v>
      </c>
      <c r="AH65" s="1964">
        <f>MIN(M65,O65)*time+ABS(O65-M65)*IF(O65&gt;M65,time*(VLOOKUP(K65,List!$E$35:$F$37,2,)),time*(1-(VLOOKUP(K65,List!$E$35:$F$37,2,))))</f>
        <v>0</v>
      </c>
      <c r="AI65" s="1965"/>
      <c r="AJ65" s="1951"/>
      <c r="AK65" s="1951"/>
      <c r="AL65" s="1951"/>
      <c r="AM65" s="1951"/>
      <c r="AN65" s="1951"/>
      <c r="AO65" s="1951"/>
      <c r="AP65" s="1926"/>
      <c r="AQ65" s="1926"/>
      <c r="AR65" s="1926"/>
      <c r="AS65" s="1926"/>
      <c r="AT65" s="1926"/>
      <c r="AU65" s="1926"/>
      <c r="AV65" s="1926"/>
      <c r="AW65" s="1926"/>
      <c r="AX65" s="1926"/>
      <c r="AY65" s="1926"/>
      <c r="AZ65" s="1926"/>
      <c r="BA65" s="1926"/>
      <c r="BB65" s="1926"/>
      <c r="BC65" s="1926"/>
      <c r="BD65" s="1926"/>
      <c r="BE65" s="1926"/>
      <c r="BF65" s="1926"/>
      <c r="BG65" s="1926"/>
      <c r="BH65" s="1926"/>
      <c r="BI65" s="1926"/>
      <c r="BJ65" s="1926"/>
      <c r="BK65" s="1926"/>
      <c r="BL65" s="1926"/>
      <c r="BM65" s="1926"/>
      <c r="BN65" s="1926"/>
      <c r="BO65" s="1926"/>
      <c r="BP65" s="1926"/>
      <c r="BQ65" s="1926"/>
      <c r="BR65" s="1926"/>
      <c r="BS65" s="1926"/>
      <c r="BT65" s="1926"/>
      <c r="BU65" s="1926"/>
      <c r="BV65" s="1926"/>
      <c r="BW65" s="1926"/>
      <c r="BX65" s="1926"/>
      <c r="BY65" s="1926"/>
      <c r="BZ65" s="1926"/>
      <c r="CA65" s="1926"/>
      <c r="CB65" s="1926"/>
      <c r="CC65" s="1926"/>
      <c r="CD65" s="1926"/>
      <c r="CE65" s="1926"/>
      <c r="CF65" s="1926"/>
      <c r="CG65" s="1926"/>
      <c r="CH65" s="1926"/>
      <c r="CI65" s="1926"/>
      <c r="CJ65" s="1926"/>
      <c r="CK65" s="1926"/>
      <c r="CL65" s="1926"/>
      <c r="CM65" s="1926"/>
      <c r="CN65" s="1926"/>
      <c r="CO65" s="1926"/>
      <c r="CP65" s="1926"/>
      <c r="CQ65" s="1926"/>
      <c r="CR65" s="1926"/>
      <c r="CS65" s="1926"/>
      <c r="CT65" s="1926"/>
      <c r="CU65" s="1926"/>
      <c r="CV65" s="1926"/>
      <c r="CW65" s="1926"/>
      <c r="CX65" s="1926"/>
      <c r="CY65" s="1926"/>
      <c r="CZ65" s="1926"/>
      <c r="DA65" s="1926"/>
      <c r="DB65" s="1926"/>
      <c r="DC65" s="1926"/>
      <c r="DD65" s="1926"/>
      <c r="DE65" s="1926"/>
      <c r="DF65" s="1926"/>
      <c r="DG65" s="1926"/>
      <c r="DH65" s="1926"/>
      <c r="DI65" s="1926"/>
      <c r="DJ65" s="1926"/>
      <c r="DK65" s="1926"/>
      <c r="DL65" s="1926"/>
      <c r="DM65" s="1926"/>
      <c r="DN65" s="1926"/>
      <c r="DO65" s="1926"/>
      <c r="DP65" s="1926"/>
      <c r="DQ65" s="1926"/>
      <c r="DR65" s="1926"/>
      <c r="DS65" s="1926"/>
      <c r="DT65" s="1926"/>
      <c r="DU65" s="1926"/>
      <c r="DV65" s="1926"/>
      <c r="DW65" s="1926"/>
      <c r="DX65" s="1926"/>
      <c r="DY65" s="1926"/>
      <c r="DZ65" s="1926"/>
      <c r="EA65" s="1926"/>
      <c r="EB65" s="1926"/>
      <c r="EC65" s="1926"/>
      <c r="ED65" s="1926"/>
      <c r="EE65" s="1926"/>
      <c r="EF65" s="1926"/>
      <c r="EG65" s="1926"/>
      <c r="EH65" s="1926"/>
      <c r="EI65" s="1926"/>
      <c r="EJ65" s="1926"/>
      <c r="EK65" s="1926"/>
      <c r="EL65" s="1926"/>
      <c r="EM65" s="1926"/>
      <c r="EN65" s="1926"/>
      <c r="EO65" s="1926"/>
      <c r="EP65" s="1926"/>
      <c r="EQ65" s="1926"/>
      <c r="ER65" s="1926"/>
      <c r="ES65" s="1926"/>
      <c r="ET65" s="1926"/>
      <c r="EU65" s="1926"/>
      <c r="EV65" s="1926"/>
      <c r="EW65" s="1926"/>
      <c r="EX65" s="1926"/>
      <c r="EY65" s="1926"/>
      <c r="EZ65" s="1926"/>
      <c r="FA65" s="1926"/>
      <c r="FB65" s="1926"/>
      <c r="FC65" s="1926"/>
      <c r="FD65" s="1926"/>
      <c r="FE65" s="1926"/>
      <c r="FF65" s="1926"/>
      <c r="FG65" s="1926"/>
      <c r="FH65" s="1926"/>
      <c r="FI65" s="1926"/>
      <c r="FJ65" s="1926"/>
      <c r="FK65" s="1926"/>
      <c r="FL65" s="1926"/>
      <c r="FM65" s="1926"/>
      <c r="FN65" s="1926"/>
      <c r="FO65" s="1926"/>
      <c r="FP65" s="1926"/>
      <c r="FQ65" s="1926"/>
      <c r="FR65" s="1926"/>
      <c r="FS65" s="1926"/>
      <c r="FT65" s="1926"/>
      <c r="FU65" s="1926"/>
      <c r="FV65" s="1926"/>
      <c r="FW65" s="1926"/>
      <c r="FX65" s="1926"/>
      <c r="FY65" s="1926"/>
      <c r="FZ65" s="1926"/>
      <c r="GA65" s="1926"/>
      <c r="GB65" s="1926"/>
      <c r="GC65" s="1926"/>
      <c r="GD65" s="1926"/>
      <c r="GE65" s="1926"/>
      <c r="GF65" s="1926"/>
      <c r="GG65" s="1926"/>
      <c r="GH65" s="1926"/>
      <c r="GI65" s="1926"/>
      <c r="GJ65" s="1926"/>
      <c r="GK65" s="1926"/>
      <c r="GL65" s="1926"/>
      <c r="GM65" s="1926"/>
      <c r="GN65" s="1926"/>
      <c r="GO65" s="1926"/>
      <c r="GP65" s="1926"/>
      <c r="GQ65" s="1926"/>
      <c r="GR65" s="1926"/>
      <c r="GS65" s="1926"/>
      <c r="GT65" s="1926"/>
      <c r="GU65" s="1926"/>
      <c r="GV65" s="1926"/>
      <c r="GW65" s="1926"/>
      <c r="GX65" s="1926"/>
      <c r="GY65" s="1926"/>
      <c r="GZ65" s="1926"/>
      <c r="HA65" s="1926"/>
      <c r="HB65" s="1926"/>
      <c r="HC65" s="1926"/>
      <c r="HD65" s="1926"/>
      <c r="HE65" s="1926"/>
      <c r="HF65" s="1926"/>
      <c r="HG65" s="1926"/>
      <c r="HH65" s="1926"/>
      <c r="HI65" s="1926"/>
      <c r="HJ65" s="1926"/>
      <c r="HK65" s="1926"/>
      <c r="HL65" s="1926"/>
      <c r="HM65" s="1926"/>
      <c r="HN65" s="1926"/>
      <c r="HO65" s="1926"/>
      <c r="HP65" s="1926"/>
      <c r="HQ65" s="1926"/>
      <c r="HR65" s="1926"/>
      <c r="HS65" s="1926"/>
      <c r="HT65" s="1926"/>
    </row>
    <row r="66" spans="1:228">
      <c r="A66" s="1423"/>
      <c r="B66" s="1967" t="s">
        <v>1451</v>
      </c>
      <c r="C66" s="1435">
        <f t="shared" si="21"/>
        <v>0.01</v>
      </c>
      <c r="D66" s="2312">
        <f t="shared" si="21"/>
        <v>0.01</v>
      </c>
      <c r="E66" s="2995"/>
      <c r="F66" s="1941">
        <f>VLOOKUP(region,' IPCC'!$A$480:$F$491,5,)*VLOOKUP(region,' IPCC'!$A$495:$F$507,5,)*0.365*F16*IF($K$33="YES",1-$H$33,1-$J$33)/1000</f>
        <v>0</v>
      </c>
      <c r="G66" s="3018">
        <f>VLOOKUP(region,' IPCC'!$A$480:$F$491,5,)*VLOOKUP(region,' IPCC'!$A$495:$F$507,5,)*0.365*G16*(1-$J$33)/1000</f>
        <v>0</v>
      </c>
      <c r="H66" s="1940" t="str">
        <f>H44</f>
        <v>Linear</v>
      </c>
      <c r="I66" s="1929"/>
      <c r="J66" s="3019">
        <f>VLOOKUP(region,' IPCC'!$A$480:$F$491,5,)*VLOOKUP(region,' IPCC'!$A$495:$F$507,5,)*0.365*J16*(1-$K$33)/1000</f>
        <v>0</v>
      </c>
      <c r="K66" s="1940" t="str">
        <f>K44</f>
        <v>Linear</v>
      </c>
      <c r="L66" s="1441"/>
      <c r="M66" s="1943">
        <f t="shared" si="19"/>
        <v>0</v>
      </c>
      <c r="N66" s="2998">
        <f t="shared" si="17"/>
        <v>0</v>
      </c>
      <c r="O66" s="2998">
        <f t="shared" si="18"/>
        <v>0</v>
      </c>
      <c r="P66" s="1929"/>
      <c r="Q66" s="1943">
        <f>MIN(M66,N66)*time_tot+ABS(N66-M66)*IF(N66&gt;M66,time2+time*(VLOOKUP(H66,List!$E$35:$F$37,2,)),time*(1-(VLOOKUP(H66,List!$E$35:$F$37,2,))))</f>
        <v>0</v>
      </c>
      <c r="R66" s="1943">
        <f>MIN(M66,O66)*time_tot+ABS(O66-M66)*IF(O66&gt;M66,time2+time*(VLOOKUP(K66,List!$E$35:$F$37,2,)),time*(1-(VLOOKUP(K66,List!$E$35:$F$37,2,))))</f>
        <v>0</v>
      </c>
      <c r="S66" s="1944"/>
      <c r="T66" s="1404">
        <f t="shared" si="20"/>
        <v>0</v>
      </c>
      <c r="U66" s="1926"/>
      <c r="AG66" s="1964">
        <f>MIN(M66,N66)*time+ABS(N66-M66)*IF(N66&gt;M66,time*(VLOOKUP(H66,List!$E$35:$F$37,2,)),time*(1-(VLOOKUP(H66,List!$E$35:$F$37,2,))))</f>
        <v>0</v>
      </c>
      <c r="AH66" s="1964">
        <f>MIN(M66,O66)*time+ABS(O66-M66)*IF(O66&gt;M66,time*(VLOOKUP(K66,List!$E$35:$F$37,2,)),time*(1-(VLOOKUP(K66,List!$E$35:$F$37,2,))))</f>
        <v>0</v>
      </c>
      <c r="AI66" s="1965"/>
    </row>
    <row r="67" spans="1:228" s="1925" customFormat="1">
      <c r="A67" s="1423"/>
      <c r="B67" s="1967" t="s">
        <v>1452</v>
      </c>
      <c r="C67" s="1435">
        <f t="shared" si="21"/>
        <v>0.02</v>
      </c>
      <c r="D67" s="2312">
        <f t="shared" si="21"/>
        <v>0.02</v>
      </c>
      <c r="E67" s="2995"/>
      <c r="F67" s="1941">
        <f>VLOOKUP(region,' IPCC'!$A$480:$F$491,6,)*VLOOKUP(region,' IPCC'!$A$495:$F$507,6,)*0.365*F17*IF($K$34="YES",$H$34,$J$34)/1000</f>
        <v>0</v>
      </c>
      <c r="G67" s="3018">
        <f>VLOOKUP(region,' IPCC'!$A$480:$F$491,6,)*VLOOKUP(region,' IPCC'!$A$495:$F$507,6,)*0.365*G17*$J$34/1000</f>
        <v>0</v>
      </c>
      <c r="H67" s="1940" t="str">
        <f t="shared" ref="H67:H73" si="22">H44</f>
        <v>Linear</v>
      </c>
      <c r="I67" s="1929"/>
      <c r="J67" s="3019">
        <f>VLOOKUP(region,' IPCC'!$A$480:$F$491,6,)*VLOOKUP(region,' IPCC'!$A$495:$F$507,6,)*0.365*J17*$K$34/1000</f>
        <v>0</v>
      </c>
      <c r="K67" s="1940" t="str">
        <f t="shared" ref="K67:K73" si="23">K44</f>
        <v>Linear</v>
      </c>
      <c r="L67" s="1948"/>
      <c r="M67" s="1943">
        <f t="shared" si="19"/>
        <v>0</v>
      </c>
      <c r="N67" s="2998">
        <f t="shared" si="17"/>
        <v>0</v>
      </c>
      <c r="O67" s="2998">
        <f t="shared" si="18"/>
        <v>0</v>
      </c>
      <c r="P67" s="1929"/>
      <c r="Q67" s="1943">
        <f>MIN(M67,N67)*time_tot+ABS(N67-M67)*IF(N67&gt;M67,time2+time*(VLOOKUP(H67,List!$E$35:$F$37,2,)),time*(1-(VLOOKUP(H67,List!$E$35:$F$37,2,))))</f>
        <v>0</v>
      </c>
      <c r="R67" s="1943">
        <f>MIN(M67,O67)*time_tot+ABS(O67-M67)*IF(O67&gt;M67,time2+time*(VLOOKUP(K67,List!$E$35:$F$37,2,)),time*(1-(VLOOKUP(K67,List!$E$35:$F$37,2,))))</f>
        <v>0</v>
      </c>
      <c r="S67" s="1944"/>
      <c r="T67" s="1404">
        <f t="shared" si="20"/>
        <v>0</v>
      </c>
      <c r="U67" s="1926"/>
      <c r="V67" s="1926"/>
      <c r="W67" s="1926"/>
      <c r="X67" s="1926"/>
      <c r="Y67" s="1926"/>
      <c r="Z67" s="1926"/>
      <c r="AA67" s="1926"/>
      <c r="AB67" s="1926"/>
      <c r="AC67" s="1926"/>
      <c r="AD67" s="1951"/>
      <c r="AE67" s="1951"/>
      <c r="AF67" s="1951"/>
      <c r="AG67" s="1964">
        <f>MIN(M67,N67)*time+ABS(N67-M67)*IF(N67&gt;M67,time*(VLOOKUP(H67,List!$E$35:$F$37,2,)),time*(1-(VLOOKUP(H67,List!$E$35:$F$37,2,))))</f>
        <v>0</v>
      </c>
      <c r="AH67" s="1964">
        <f>MIN(M67,O67)*time+ABS(O67-M67)*IF(O67&gt;M67,time*(VLOOKUP(K67,List!$E$35:$F$37,2,)),time*(1-(VLOOKUP(K67,List!$E$35:$F$37,2,))))</f>
        <v>0</v>
      </c>
      <c r="AI67" s="1965"/>
      <c r="AJ67" s="1951"/>
      <c r="AK67" s="1951"/>
      <c r="AL67" s="1951"/>
      <c r="AM67" s="1951"/>
      <c r="AN67" s="1951"/>
      <c r="AO67" s="1951"/>
      <c r="AP67" s="1926"/>
      <c r="AQ67" s="1926"/>
      <c r="AR67" s="1926"/>
      <c r="AS67" s="1926"/>
      <c r="AT67" s="1926"/>
      <c r="AU67" s="1926"/>
      <c r="AV67" s="1926"/>
      <c r="AW67" s="1926"/>
      <c r="AX67" s="1926"/>
      <c r="AY67" s="1926"/>
      <c r="AZ67" s="1926"/>
      <c r="BA67" s="1926"/>
      <c r="BB67" s="1926"/>
      <c r="BC67" s="1926"/>
      <c r="BD67" s="1926"/>
      <c r="BE67" s="1926"/>
      <c r="BF67" s="1926"/>
      <c r="BG67" s="1926"/>
      <c r="BH67" s="1926"/>
      <c r="BI67" s="1926"/>
      <c r="BJ67" s="1926"/>
      <c r="BK67" s="1926"/>
      <c r="BL67" s="1926"/>
      <c r="BM67" s="1926"/>
      <c r="BN67" s="1926"/>
      <c r="BO67" s="1926"/>
      <c r="BP67" s="1926"/>
      <c r="BQ67" s="1926"/>
      <c r="BR67" s="1926"/>
      <c r="BS67" s="1926"/>
      <c r="BT67" s="1926"/>
      <c r="BU67" s="1926"/>
      <c r="BV67" s="1926"/>
      <c r="BW67" s="1926"/>
      <c r="BX67" s="1926"/>
      <c r="BY67" s="1926"/>
      <c r="BZ67" s="1926"/>
      <c r="CA67" s="1926"/>
      <c r="CB67" s="1926"/>
      <c r="CC67" s="1926"/>
      <c r="CD67" s="1926"/>
      <c r="CE67" s="1926"/>
      <c r="CF67" s="1926"/>
      <c r="CG67" s="1926"/>
      <c r="CH67" s="1926"/>
      <c r="CI67" s="1926"/>
      <c r="CJ67" s="1926"/>
      <c r="CK67" s="1926"/>
      <c r="CL67" s="1926"/>
      <c r="CM67" s="1926"/>
      <c r="CN67" s="1926"/>
      <c r="CO67" s="1926"/>
      <c r="CP67" s="1926"/>
      <c r="CQ67" s="1926"/>
      <c r="CR67" s="1926"/>
      <c r="CS67" s="1926"/>
      <c r="CT67" s="1926"/>
      <c r="CU67" s="1926"/>
      <c r="CV67" s="1926"/>
      <c r="CW67" s="1926"/>
      <c r="CX67" s="1926"/>
      <c r="CY67" s="1926"/>
      <c r="CZ67" s="1926"/>
      <c r="DA67" s="1926"/>
      <c r="DB67" s="1926"/>
      <c r="DC67" s="1926"/>
      <c r="DD67" s="1926"/>
      <c r="DE67" s="1926"/>
      <c r="DF67" s="1926"/>
      <c r="DG67" s="1926"/>
      <c r="DH67" s="1926"/>
      <c r="DI67" s="1926"/>
      <c r="DJ67" s="1926"/>
      <c r="DK67" s="1926"/>
      <c r="DL67" s="1926"/>
      <c r="DM67" s="1926"/>
      <c r="DN67" s="1926"/>
      <c r="DO67" s="1926"/>
      <c r="DP67" s="1926"/>
      <c r="DQ67" s="1926"/>
      <c r="DR67" s="1926"/>
      <c r="DS67" s="1926"/>
      <c r="DT67" s="1926"/>
      <c r="DU67" s="1926"/>
      <c r="DV67" s="1926"/>
      <c r="DW67" s="1926"/>
      <c r="DX67" s="1926"/>
      <c r="DY67" s="1926"/>
      <c r="DZ67" s="1926"/>
      <c r="EA67" s="1926"/>
      <c r="EB67" s="1926"/>
      <c r="EC67" s="1926"/>
      <c r="ED67" s="1926"/>
      <c r="EE67" s="1926"/>
      <c r="EF67" s="1926"/>
      <c r="EG67" s="1926"/>
      <c r="EH67" s="1926"/>
      <c r="EI67" s="1926"/>
      <c r="EJ67" s="1926"/>
      <c r="EK67" s="1926"/>
      <c r="EL67" s="1926"/>
      <c r="EM67" s="1926"/>
      <c r="EN67" s="1926"/>
      <c r="EO67" s="1926"/>
      <c r="EP67" s="1926"/>
      <c r="EQ67" s="1926"/>
      <c r="ER67" s="1926"/>
      <c r="ES67" s="1926"/>
      <c r="ET67" s="1926"/>
      <c r="EU67" s="1926"/>
      <c r="EV67" s="1926"/>
      <c r="EW67" s="1926"/>
      <c r="EX67" s="1926"/>
      <c r="EY67" s="1926"/>
      <c r="EZ67" s="1926"/>
      <c r="FA67" s="1926"/>
      <c r="FB67" s="1926"/>
      <c r="FC67" s="1926"/>
      <c r="FD67" s="1926"/>
      <c r="FE67" s="1926"/>
      <c r="FF67" s="1926"/>
      <c r="FG67" s="1926"/>
      <c r="FH67" s="1926"/>
      <c r="FI67" s="1926"/>
      <c r="FJ67" s="1926"/>
      <c r="FK67" s="1926"/>
      <c r="FL67" s="1926"/>
      <c r="FM67" s="1926"/>
      <c r="FN67" s="1926"/>
      <c r="FO67" s="1926"/>
      <c r="FP67" s="1926"/>
      <c r="FQ67" s="1926"/>
      <c r="FR67" s="1926"/>
      <c r="FS67" s="1926"/>
      <c r="FT67" s="1926"/>
      <c r="FU67" s="1926"/>
      <c r="FV67" s="1926"/>
      <c r="FW67" s="1926"/>
      <c r="FX67" s="1926"/>
      <c r="FY67" s="1926"/>
      <c r="FZ67" s="1926"/>
      <c r="GA67" s="1926"/>
      <c r="GB67" s="1926"/>
      <c r="GC67" s="1926"/>
      <c r="GD67" s="1926"/>
      <c r="GE67" s="1926"/>
      <c r="GF67" s="1926"/>
      <c r="GG67" s="1926"/>
      <c r="GH67" s="1926"/>
      <c r="GI67" s="1926"/>
      <c r="GJ67" s="1926"/>
      <c r="GK67" s="1926"/>
      <c r="GL67" s="1926"/>
      <c r="GM67" s="1926"/>
      <c r="GN67" s="1926"/>
      <c r="GO67" s="1926"/>
      <c r="GP67" s="1926"/>
      <c r="GQ67" s="1926"/>
      <c r="GR67" s="1926"/>
      <c r="GS67" s="1926"/>
      <c r="GT67" s="1926"/>
      <c r="GU67" s="1926"/>
      <c r="GV67" s="1926"/>
      <c r="GW67" s="1926"/>
      <c r="GX67" s="1926"/>
      <c r="GY67" s="1926"/>
      <c r="GZ67" s="1926"/>
      <c r="HA67" s="1926"/>
      <c r="HB67" s="1926"/>
      <c r="HC67" s="1926"/>
      <c r="HD67" s="1926"/>
      <c r="HE67" s="1926"/>
      <c r="HF67" s="1926"/>
      <c r="HG67" s="1926"/>
      <c r="HH67" s="1926"/>
      <c r="HI67" s="1926"/>
      <c r="HJ67" s="1926"/>
      <c r="HK67" s="1926"/>
      <c r="HL67" s="1926"/>
      <c r="HM67" s="1926"/>
      <c r="HN67" s="1926"/>
      <c r="HO67" s="1926"/>
      <c r="HP67" s="1926"/>
      <c r="HQ67" s="1926"/>
      <c r="HR67" s="1926"/>
      <c r="HS67" s="1926"/>
      <c r="HT67" s="1926"/>
    </row>
    <row r="68" spans="1:228">
      <c r="A68" s="1423"/>
      <c r="B68" s="1967" t="s">
        <v>1453</v>
      </c>
      <c r="C68" s="1435">
        <f t="shared" si="21"/>
        <v>0.01</v>
      </c>
      <c r="D68" s="2312">
        <f t="shared" si="21"/>
        <v>0.01</v>
      </c>
      <c r="E68" s="2995"/>
      <c r="F68" s="1941">
        <f>VLOOKUP(region,' IPCC'!$A$480:$F$491,6,)*VLOOKUP(region,' IPCC'!$A$495:$F$507,6,)*0.365*F17*IF($K$34="YES",1-$H$34,1-$J$34)/1000</f>
        <v>0</v>
      </c>
      <c r="G68" s="3018">
        <f>VLOOKUP(region,' IPCC'!$A$480:$F$491,6,)*VLOOKUP(region,' IPCC'!$A$495:$F$507,6,)*0.365*G17*(1-$J$34)/1000</f>
        <v>0</v>
      </c>
      <c r="H68" s="1940" t="str">
        <f t="shared" si="22"/>
        <v>Linear</v>
      </c>
      <c r="I68" s="1929"/>
      <c r="J68" s="3019">
        <f>VLOOKUP(region,' IPCC'!$A$480:$F$491,6,)*VLOOKUP(region,' IPCC'!$A$495:$F$507,6,)*0.365*J17*(1-$K$34)/1000</f>
        <v>0</v>
      </c>
      <c r="K68" s="1940" t="str">
        <f t="shared" si="23"/>
        <v>Linear</v>
      </c>
      <c r="L68" s="1441"/>
      <c r="M68" s="1943">
        <f t="shared" si="19"/>
        <v>0</v>
      </c>
      <c r="N68" s="2998">
        <f t="shared" si="17"/>
        <v>0</v>
      </c>
      <c r="O68" s="2998">
        <f t="shared" si="18"/>
        <v>0</v>
      </c>
      <c r="P68" s="1929"/>
      <c r="Q68" s="1943">
        <f>MIN(M68,N68)*time_tot+ABS(N68-M68)*IF(N68&gt;M68,time2+time*(VLOOKUP(H68,List!$E$35:$F$37,2,)),time*(1-(VLOOKUP(H68,List!$E$35:$F$37,2,))))</f>
        <v>0</v>
      </c>
      <c r="R68" s="1943">
        <f>MIN(M68,O68)*time_tot+ABS(O68-M68)*IF(O68&gt;M68,time2+time*(VLOOKUP(K68,List!$E$35:$F$37,2,)),time*(1-(VLOOKUP(K68,List!$E$35:$F$37,2,))))</f>
        <v>0</v>
      </c>
      <c r="S68" s="1944"/>
      <c r="T68" s="1404">
        <f t="shared" si="20"/>
        <v>0</v>
      </c>
      <c r="U68" s="1926"/>
      <c r="AG68" s="1964">
        <f>MIN(M68,N68)*time+ABS(N68-M68)*IF(N68&gt;M68,time*(VLOOKUP(H68,List!$E$35:$F$37,2,)),time*(1-(VLOOKUP(H68,List!$E$35:$F$37,2,))))</f>
        <v>0</v>
      </c>
      <c r="AH68" s="1964">
        <f>MIN(M68,O68)*time+ABS(O68-M68)*IF(O68&gt;M68,time*(VLOOKUP(K68,List!$E$35:$F$37,2,)),time*(1-(VLOOKUP(K68,List!$E$35:$F$37,2,))))</f>
        <v>0</v>
      </c>
      <c r="AI68" s="1965"/>
    </row>
    <row r="69" spans="1:228">
      <c r="A69" s="1423"/>
      <c r="B69" s="304" t="str">
        <f>B46</f>
        <v>Please select</v>
      </c>
      <c r="C69" s="58">
        <v>0.02</v>
      </c>
      <c r="D69" s="2355">
        <f>0.02*O32+0.01*(1-O32)</f>
        <v>0.02</v>
      </c>
      <c r="E69" s="2355">
        <f>0.02*Q32+0.01*(1-Q32)</f>
        <v>0.02</v>
      </c>
      <c r="F69" s="1251">
        <f>VLOOKUP(region,' IPCC'!$A$512:$J$523,1+MATCH($B69,' IPCC'!$B$527:$J$527,),)*VLOOKUP(c_type,' IPCC'!$A$528:$J$547,1+MATCH($B69,' IPCC'!$B$527:$J$527,),)*0.365*F18/1000</f>
        <v>0</v>
      </c>
      <c r="G69" s="3018">
        <f>VLOOKUP(region,' IPCC'!$A$512:$J$523,1+MATCH($B69,' IPCC'!$B$527:$J$527,),)*VLOOKUP(c_type,' IPCC'!$A$528:$J$547,1+MATCH($B69,' IPCC'!$B$527:$J$527,),)*0.365*G18/1000</f>
        <v>0</v>
      </c>
      <c r="H69" s="1130" t="str">
        <f t="shared" si="22"/>
        <v>Linear</v>
      </c>
      <c r="I69" s="49"/>
      <c r="J69" s="3019">
        <f>VLOOKUP(region,' IPCC'!$A$512:$J$523,1+MATCH($B69,' IPCC'!$B$527:$J$527,),)*VLOOKUP(c_type,' IPCC'!$A$528:$J$547,1+MATCH($B69,' IPCC'!$B$527:$J$527,),)*0.365*J18/1000</f>
        <v>0</v>
      </c>
      <c r="K69" s="1130" t="str">
        <f t="shared" si="23"/>
        <v>Linear</v>
      </c>
      <c r="L69" s="1441"/>
      <c r="M69" s="1943">
        <f>C69*(Nitrous*F69)*44/28</f>
        <v>0</v>
      </c>
      <c r="N69" s="2998">
        <f t="shared" si="17"/>
        <v>0</v>
      </c>
      <c r="O69" s="2998">
        <f>E69*(Nitrous*J69)*44/28</f>
        <v>0</v>
      </c>
      <c r="P69" s="1929"/>
      <c r="Q69" s="1943">
        <f>MIN(M69,N69)*time_tot+ABS(N69-M69)*IF(N69&gt;M69,time2+time*(VLOOKUP(H69,List!$E$35:$F$37,2,)),time*(1-(VLOOKUP(H69,List!$E$35:$F$37,2,))))</f>
        <v>0</v>
      </c>
      <c r="R69" s="1943">
        <f>MIN(M69,O69)*time_tot+ABS(O69-M69)*IF(O69&gt;M69,time2+time*(VLOOKUP(K69,List!$E$35:$F$37,2,)),time*(1-(VLOOKUP(K69,List!$E$35:$F$37,2,))))</f>
        <v>0</v>
      </c>
      <c r="S69" s="1944"/>
      <c r="T69" s="1404">
        <f t="shared" si="20"/>
        <v>0</v>
      </c>
      <c r="U69" s="1926"/>
      <c r="AG69" s="1964">
        <f>MIN(M69,N69)*time+ABS(N69-M69)*IF(N69&gt;M69,time*(VLOOKUP(H69,List!$E$35:$F$37,2,)),time*(1-(VLOOKUP(H69,List!$E$35:$F$37,2,))))</f>
        <v>0</v>
      </c>
      <c r="AH69" s="1964">
        <f>MIN(M69,O69)*time+ABS(O69-M69)*IF(O69&gt;M69,time*(VLOOKUP(K69,List!$E$35:$F$37,2,)),time*(1-(VLOOKUP(K69,List!$E$35:$F$37,2,))))</f>
        <v>0</v>
      </c>
      <c r="AI69" s="1965"/>
    </row>
    <row r="70" spans="1:228">
      <c r="A70" s="1423"/>
      <c r="B70" s="304" t="str">
        <f>B47</f>
        <v>Horses</v>
      </c>
      <c r="C70" s="58">
        <v>0.02</v>
      </c>
      <c r="D70" s="2355">
        <f>0.02*O33+0.01*(1-O33)</f>
        <v>0.02</v>
      </c>
      <c r="E70" s="2355">
        <f t="shared" ref="E70:E71" si="24">0.02*Q33+0.01*(1-Q33)</f>
        <v>0.02</v>
      </c>
      <c r="F70" s="1251">
        <f>VLOOKUP(region,' IPCC'!$A$512:$J$523,1+MATCH($B70,' IPCC'!$B$527:$J$527,),)*VLOOKUP(c_type,' IPCC'!$A$528:$J$547,1+MATCH($B70,' IPCC'!$B$527:$J$527,),)*0.365*F19/1000</f>
        <v>0</v>
      </c>
      <c r="G70" s="3018">
        <f>VLOOKUP(region,' IPCC'!$A$512:$J$523,1+MATCH($B70,' IPCC'!$B$527:$J$527,),)*VLOOKUP(c_type,' IPCC'!$A$528:$J$547,1+MATCH($B70,' IPCC'!$B$527:$J$527,),)*0.365*G19/1000</f>
        <v>0</v>
      </c>
      <c r="H70" s="1130" t="str">
        <f t="shared" si="22"/>
        <v>Linear</v>
      </c>
      <c r="I70" s="49"/>
      <c r="J70" s="3019">
        <f>VLOOKUP(region,' IPCC'!$A$512:$J$523,1+MATCH($B70,' IPCC'!$B$527:$J$527,),)*VLOOKUP(c_type,' IPCC'!$A$528:$J$547,1+MATCH($B70,' IPCC'!$B$527:$J$527,),)*0.365*J19/1000</f>
        <v>0</v>
      </c>
      <c r="K70" s="1130" t="str">
        <f t="shared" si="23"/>
        <v>Linear</v>
      </c>
      <c r="L70" s="1441"/>
      <c r="M70" s="1943">
        <f>C70*(Nitrous*F70)*44/28</f>
        <v>0</v>
      </c>
      <c r="N70" s="2998">
        <f t="shared" si="17"/>
        <v>0</v>
      </c>
      <c r="O70" s="2998">
        <f>E70*(Nitrous*J70)*44/28</f>
        <v>0</v>
      </c>
      <c r="P70" s="1929"/>
      <c r="Q70" s="1943">
        <f>MIN(M70,N70)*time_tot+ABS(N70-M70)*IF(N70&gt;M70,time2+time*(VLOOKUP(H70,List!$E$35:$F$37,2,)),time*(1-(VLOOKUP(H70,List!$E$35:$F$37,2,))))</f>
        <v>0</v>
      </c>
      <c r="R70" s="1943">
        <f>MIN(M70,O70)*time_tot+ABS(O70-M70)*IF(O70&gt;M70,time2+time*(VLOOKUP(K70,List!$E$35:$F$37,2,)),time*(1-(VLOOKUP(K70,List!$E$35:$F$37,2,))))</f>
        <v>0</v>
      </c>
      <c r="S70" s="1944"/>
      <c r="T70" s="1404">
        <f t="shared" si="20"/>
        <v>0</v>
      </c>
      <c r="U70" s="1926"/>
      <c r="AG70" s="1964">
        <f>MIN(M70,N70)*time+ABS(N70-M70)*IF(N70&gt;M70,time*(VLOOKUP(H70,List!$E$35:$F$37,2,)),time*(1-(VLOOKUP(H70,List!$E$35:$F$37,2,))))</f>
        <v>0</v>
      </c>
      <c r="AH70" s="1964">
        <f>MIN(M70,O70)*time+ABS(O70-M70)*IF(O70&gt;M70,time*(VLOOKUP(K70,List!$E$35:$F$37,2,)),time*(1-(VLOOKUP(K70,List!$E$35:$F$37,2,))))</f>
        <v>0</v>
      </c>
      <c r="AI70" s="1965"/>
    </row>
    <row r="71" spans="1:228">
      <c r="A71" s="1423"/>
      <c r="B71" s="304" t="str">
        <f>B48</f>
        <v>Goats</v>
      </c>
      <c r="C71" s="58">
        <v>0.02</v>
      </c>
      <c r="D71" s="2355">
        <f>0.02*O34+0.01*(1-O34)</f>
        <v>0.02</v>
      </c>
      <c r="E71" s="2355">
        <f t="shared" si="24"/>
        <v>0.02</v>
      </c>
      <c r="F71" s="1251">
        <f>VLOOKUP(region,' IPCC'!$A$512:$J$523,1+MATCH($B71,' IPCC'!$B$527:$J$527,),)*VLOOKUP(c_type,' IPCC'!$A$528:$J$547,1+MATCH($B71,' IPCC'!$B$527:$J$527,),)*0.365*F20/1000</f>
        <v>0</v>
      </c>
      <c r="G71" s="3018">
        <f>VLOOKUP(region,' IPCC'!$A$512:$J$523,1+MATCH($B71,' IPCC'!$B$527:$J$527,),)*VLOOKUP(c_type,' IPCC'!$A$528:$J$547,1+MATCH($B71,' IPCC'!$B$527:$J$527,),)*0.365*G20/1000</f>
        <v>0</v>
      </c>
      <c r="H71" s="1130" t="str">
        <f t="shared" si="22"/>
        <v>Linear</v>
      </c>
      <c r="I71" s="49"/>
      <c r="J71" s="3019">
        <f>VLOOKUP(region,' IPCC'!$A$512:$J$523,1+MATCH($B71,' IPCC'!$B$527:$J$527,),)*VLOOKUP(c_type,' IPCC'!$A$528:$J$547,1+MATCH($B71,' IPCC'!$B$527:$J$527,),)*0.365*J20/1000</f>
        <v>0</v>
      </c>
      <c r="K71" s="1130" t="str">
        <f t="shared" si="23"/>
        <v>Linear</v>
      </c>
      <c r="L71" s="1441"/>
      <c r="M71" s="1943">
        <f>C71*(Nitrous*F71)*44/28</f>
        <v>0</v>
      </c>
      <c r="N71" s="2998">
        <f t="shared" si="17"/>
        <v>0</v>
      </c>
      <c r="O71" s="2998">
        <f>E71*(Nitrous*J71)*44/28</f>
        <v>0</v>
      </c>
      <c r="P71" s="49"/>
      <c r="Q71" s="1400">
        <f>MIN(M71,N71)*time_tot+ABS(N71-M71)*IF(N71&gt;M71,time2+time*(VLOOKUP(H71,List!$E$35:$F$37,2,)),time*(1-(VLOOKUP(H71,List!$E$35:$F$37,2,))))</f>
        <v>0</v>
      </c>
      <c r="R71" s="1400">
        <f>MIN(M71,O71)*time_tot+ABS(O71-M71)*IF(O71&gt;M71,time2+time*(VLOOKUP(K71,List!$E$35:$F$37,2,)),time*(1-(VLOOKUP(K71,List!$E$35:$F$37,2,))))</f>
        <v>0</v>
      </c>
      <c r="S71" s="1403"/>
      <c r="T71" s="1404">
        <f>R71-Q71</f>
        <v>0</v>
      </c>
      <c r="AG71" s="1964">
        <f>MIN(M71,N71)*time+ABS(N71-M71)*IF(N71&gt;M71,time*(VLOOKUP(H71,List!$E$35:$F$37,2,)),time*(1-(VLOOKUP(H71,List!$E$35:$F$37,2,))))</f>
        <v>0</v>
      </c>
      <c r="AH71" s="1964">
        <f>MIN(M71,O71)*time+ABS(O71-M71)*IF(O71&gt;M71,time*(VLOOKUP(K71,List!$E$35:$F$37,2,)),time*(1-(VLOOKUP(K71,List!$E$35:$F$37,2,))))</f>
        <v>0</v>
      </c>
      <c r="AI71" s="1965"/>
    </row>
    <row r="72" spans="1:228">
      <c r="A72" s="1423"/>
      <c r="B72" s="85" t="str">
        <f>B49</f>
        <v>User Defined- Specified value ---------------&gt;</v>
      </c>
      <c r="C72" s="84"/>
      <c r="D72" s="1436"/>
      <c r="E72" s="84" t="s">
        <v>359</v>
      </c>
      <c r="F72" s="1255">
        <v>0</v>
      </c>
      <c r="G72" s="1256">
        <v>0</v>
      </c>
      <c r="H72" s="1130" t="str">
        <f t="shared" si="22"/>
        <v>Linear</v>
      </c>
      <c r="I72" s="49"/>
      <c r="J72" s="1255">
        <v>0</v>
      </c>
      <c r="K72" s="1130" t="str">
        <f t="shared" si="23"/>
        <v>Linear</v>
      </c>
      <c r="L72" s="1441"/>
      <c r="M72" s="1400">
        <f t="shared" ref="M72:N73" si="25">IF($E72="YES",$C72,$D72)*(Nitrous*F72)*44/28</f>
        <v>0</v>
      </c>
      <c r="N72" s="1400">
        <f t="shared" si="25"/>
        <v>0</v>
      </c>
      <c r="O72" s="1400">
        <f>IF($E72="YES",$C72,$D72)*(Nitrous*J72)*44/28</f>
        <v>0</v>
      </c>
      <c r="P72" s="49"/>
      <c r="Q72" s="1400">
        <f>MIN(M72,N72)*time_tot+ABS(N72-M72)*IF(N72&gt;M72,time2+time*(VLOOKUP(H72,List!$E$35:$F$37,2,)),time*(1-(VLOOKUP(H72,List!$E$35:$F$37,2,))))</f>
        <v>0</v>
      </c>
      <c r="R72" s="1400">
        <f>MIN(M72,O72)*time_tot+ABS(O72-M72)*IF(O72&gt;M72,time2+time*(VLOOKUP(K72,List!$E$35:$F$37,2,)),time*(1-(VLOOKUP(K72,List!$E$35:$F$37,2,))))</f>
        <v>0</v>
      </c>
      <c r="S72" s="1403"/>
      <c r="T72" s="1404">
        <f>R72-Q72</f>
        <v>0</v>
      </c>
      <c r="AG72" s="1964">
        <f>MIN(M72,N72)*time+ABS(N72-M72)*IF(N72&gt;M72,time*(VLOOKUP(H72,List!$E$35:$F$37,2,)),time*(1-(VLOOKUP(H72,List!$E$35:$F$37,2,))))</f>
        <v>0</v>
      </c>
      <c r="AH72" s="1964">
        <f>MIN(M72,O72)*time+ABS(O72-M72)*IF(O72&gt;M72,time*(VLOOKUP(K72,List!$E$35:$F$37,2,)),time*(1-(VLOOKUP(K72,List!$E$35:$F$37,2,))))</f>
        <v>0</v>
      </c>
      <c r="AI72" s="1965"/>
    </row>
    <row r="73" spans="1:228">
      <c r="A73" s="1423"/>
      <c r="B73" s="85" t="str">
        <f>B50</f>
        <v>User Defined- Specified value ---------------&gt;</v>
      </c>
      <c r="C73" s="84"/>
      <c r="D73" s="1436"/>
      <c r="E73" s="84" t="s">
        <v>359</v>
      </c>
      <c r="F73" s="1257">
        <v>0</v>
      </c>
      <c r="G73" s="1258">
        <v>0</v>
      </c>
      <c r="H73" s="1131" t="str">
        <f t="shared" si="22"/>
        <v>Linear</v>
      </c>
      <c r="I73" s="49"/>
      <c r="J73" s="1257">
        <v>0</v>
      </c>
      <c r="K73" s="1131" t="str">
        <f t="shared" si="23"/>
        <v>Linear</v>
      </c>
      <c r="L73" s="1441"/>
      <c r="M73" s="1400">
        <f t="shared" si="25"/>
        <v>0</v>
      </c>
      <c r="N73" s="1400">
        <f t="shared" si="25"/>
        <v>0</v>
      </c>
      <c r="O73" s="1400">
        <f>IF($E73="YES",$C73,$D73)*(Nitrous*J73)*44/28</f>
        <v>0</v>
      </c>
      <c r="P73" s="49"/>
      <c r="Q73" s="1400">
        <f>MIN(M73,N73)*time_tot+ABS(N73-M73)*IF(N73&gt;M73,time2+time*(VLOOKUP(H73,List!$E$35:$F$37,2,)),time*(1-(VLOOKUP(H73,List!$E$35:$F$37,2,))))</f>
        <v>0</v>
      </c>
      <c r="R73" s="1400">
        <f>MIN(M73,O73)*time_tot+ABS(O73-M73)*IF(O73&gt;M73,time2+time*(VLOOKUP(K73,List!$E$35:$F$37,2,)),time*(1-(VLOOKUP(K73,List!$E$35:$F$37,2,))))</f>
        <v>0</v>
      </c>
      <c r="S73" s="1403"/>
      <c r="T73" s="1404">
        <f>R73-Q73</f>
        <v>0</v>
      </c>
      <c r="AG73" s="1964">
        <f>MIN(M73,N73)*time+ABS(N73-M73)*IF(N73&gt;M73,time*(VLOOKUP(H73,List!$E$35:$F$37,2,)),time*(1-(VLOOKUP(H73,List!$E$35:$F$37,2,))))</f>
        <v>0</v>
      </c>
      <c r="AH73" s="1964">
        <f>MIN(M73,O73)*time+ABS(O73-M73)*IF(O73&gt;M73,time*(VLOOKUP(K73,List!$E$35:$F$37,2,)),time*(1-(VLOOKUP(K73,List!$E$35:$F$37,2,))))</f>
        <v>0</v>
      </c>
      <c r="AI73" s="1965"/>
    </row>
    <row r="74" spans="1:228" s="49" customFormat="1">
      <c r="A74" s="47"/>
      <c r="B74" s="49" t="s">
        <v>370</v>
      </c>
      <c r="C74" s="46"/>
      <c r="D74" s="46"/>
      <c r="E74" s="46"/>
      <c r="F74" s="46"/>
      <c r="G74" s="46"/>
      <c r="H74" s="47"/>
      <c r="J74" s="46"/>
      <c r="K74" s="1447" t="s">
        <v>703</v>
      </c>
      <c r="L74" s="1440"/>
      <c r="M74" s="1259">
        <f>SUM(M57:M73)</f>
        <v>0</v>
      </c>
      <c r="N74" s="1259">
        <f>SUM(N57:N72)</f>
        <v>0</v>
      </c>
      <c r="O74" s="1259">
        <f>SUM(O57:O72)</f>
        <v>0</v>
      </c>
      <c r="P74" s="1448"/>
      <c r="Q74" s="1259">
        <f>SUM(Q57:Q73)</f>
        <v>0</v>
      </c>
      <c r="R74" s="1259">
        <f>SUM(R57:R73)</f>
        <v>0</v>
      </c>
      <c r="S74" s="1405"/>
      <c r="T74" s="1406">
        <f>SUM(T57:T73)</f>
        <v>0</v>
      </c>
      <c r="V74" s="1929"/>
      <c r="W74" s="1929"/>
      <c r="X74" s="1929"/>
      <c r="Y74" s="1929"/>
      <c r="Z74" s="1929"/>
      <c r="AA74" s="1929"/>
      <c r="AB74" s="1929"/>
      <c r="AC74" s="1929"/>
      <c r="AD74" s="1951"/>
      <c r="AE74" s="1951"/>
      <c r="AF74" s="1951"/>
      <c r="AG74" s="1964"/>
      <c r="AH74" s="1964"/>
      <c r="AI74" s="1965">
        <f>SUM(AH57:AH73)-SUM(AG57:AG73)</f>
        <v>0</v>
      </c>
      <c r="AJ74" s="1951"/>
      <c r="AK74" s="1951"/>
      <c r="AL74" s="1951"/>
      <c r="AM74" s="1951"/>
      <c r="AN74" s="1951"/>
      <c r="AO74" s="1951"/>
    </row>
    <row r="75" spans="1:228" s="49" customFormat="1">
      <c r="A75" s="47"/>
      <c r="F75" s="1970" t="s">
        <v>1455</v>
      </c>
      <c r="G75" s="1970"/>
      <c r="H75" s="1970"/>
      <c r="I75" s="1970"/>
      <c r="J75" s="1970"/>
      <c r="K75" s="112"/>
      <c r="L75" s="112"/>
      <c r="M75" s="112"/>
      <c r="N75" s="112"/>
      <c r="O75" s="112"/>
      <c r="P75" s="112"/>
      <c r="Q75" s="112"/>
      <c r="R75" s="112"/>
      <c r="S75" s="112"/>
      <c r="T75" s="112"/>
      <c r="V75" s="1929"/>
      <c r="W75" s="1929"/>
      <c r="X75" s="1929"/>
      <c r="Y75" s="1929"/>
      <c r="Z75" s="1929"/>
      <c r="AA75" s="1929"/>
      <c r="AB75" s="1929"/>
      <c r="AC75" s="1929"/>
      <c r="AD75" s="1951"/>
      <c r="AE75" s="1951"/>
      <c r="AF75" s="1951"/>
      <c r="AG75" s="1952"/>
      <c r="AH75" s="1952"/>
      <c r="AI75" s="1951"/>
      <c r="AJ75" s="1951"/>
      <c r="AK75" s="1951"/>
      <c r="AL75" s="1951"/>
      <c r="AM75" s="1951"/>
      <c r="AN75" s="1951"/>
      <c r="AO75" s="1951"/>
    </row>
    <row r="76" spans="1:228" s="1929" customFormat="1">
      <c r="A76" s="1928"/>
      <c r="B76" s="1929">
        <f>VLOOKUP(region,' IPCC'!$A$480:$F$491,2,)*VLOOKUP(region,' IPCC'!$A$495:$F$507,2,)*0.365*F13</f>
        <v>0</v>
      </c>
      <c r="F76" s="1969">
        <f>SUM(F57:F73)-F57-F59-F61-F63-F65-F67</f>
        <v>0</v>
      </c>
      <c r="G76" s="1969">
        <f>SUM(G57:G73)-G57-G59-G61-G63-G65-G67</f>
        <v>0</v>
      </c>
      <c r="H76" s="1969"/>
      <c r="I76" s="1969"/>
      <c r="J76" s="1969">
        <f>SUM(J57:J73)-J57-J59-J61-J63-J65-J67</f>
        <v>0</v>
      </c>
      <c r="K76" s="1933"/>
      <c r="L76" s="1933"/>
      <c r="M76" s="1933"/>
      <c r="N76" s="1933"/>
      <c r="O76" s="1933"/>
      <c r="P76" s="1933"/>
      <c r="Q76" s="1933"/>
      <c r="R76" s="1933"/>
      <c r="S76" s="1933"/>
      <c r="T76" s="1933"/>
      <c r="AD76" s="1951"/>
      <c r="AE76" s="1951"/>
      <c r="AF76" s="1951"/>
      <c r="AG76" s="1952"/>
      <c r="AH76" s="1952"/>
      <c r="AI76" s="1951"/>
      <c r="AJ76" s="1951"/>
      <c r="AK76" s="1951"/>
      <c r="AL76" s="1951"/>
      <c r="AM76" s="1951"/>
      <c r="AN76" s="1951"/>
      <c r="AO76" s="1951"/>
    </row>
    <row r="77" spans="1:228" s="1929" customFormat="1">
      <c r="A77" s="1928"/>
      <c r="J77" s="1927"/>
      <c r="K77" s="1933"/>
      <c r="L77" s="1933"/>
      <c r="M77" s="1933"/>
      <c r="N77" s="1933"/>
      <c r="O77" s="1933"/>
      <c r="P77" s="1933"/>
      <c r="Q77" s="1933"/>
      <c r="R77" s="1933"/>
      <c r="S77" s="1933"/>
      <c r="T77" s="1933"/>
      <c r="AD77" s="1951"/>
      <c r="AE77" s="1951"/>
      <c r="AF77" s="1951"/>
      <c r="AG77" s="1952"/>
      <c r="AH77" s="1952"/>
      <c r="AI77" s="1951"/>
      <c r="AJ77" s="1951"/>
      <c r="AK77" s="1951"/>
      <c r="AL77" s="1951"/>
      <c r="AM77" s="1951"/>
      <c r="AN77" s="1951"/>
      <c r="AO77" s="1951"/>
    </row>
    <row r="78" spans="1:228">
      <c r="A78" s="1423"/>
      <c r="B78" s="49"/>
      <c r="C78" s="46"/>
      <c r="D78" s="46"/>
      <c r="E78" s="46"/>
      <c r="F78" s="49"/>
      <c r="G78" s="49"/>
      <c r="H78" s="47"/>
      <c r="I78" s="49"/>
      <c r="J78" s="49"/>
      <c r="K78" s="47"/>
      <c r="L78" s="49"/>
      <c r="M78" s="46"/>
      <c r="N78" s="49"/>
      <c r="O78" s="49"/>
      <c r="P78" s="49"/>
      <c r="Q78" s="49"/>
      <c r="R78" s="49"/>
      <c r="S78" s="49"/>
      <c r="T78" s="49"/>
    </row>
    <row r="79" spans="1:228" s="1422" customFormat="1">
      <c r="A79" s="26"/>
      <c r="B79" s="160" t="s">
        <v>1271</v>
      </c>
      <c r="C79" s="161"/>
      <c r="D79" s="161"/>
      <c r="E79" s="161"/>
      <c r="F79" s="160"/>
      <c r="G79" s="160"/>
      <c r="H79" s="303"/>
      <c r="I79" s="160"/>
      <c r="J79" s="160"/>
      <c r="K79" s="303"/>
      <c r="L79" s="160"/>
      <c r="M79" s="161"/>
      <c r="N79" s="160"/>
      <c r="O79" s="160"/>
      <c r="P79" s="160"/>
      <c r="Q79" s="160"/>
      <c r="R79" s="160"/>
      <c r="S79" s="160"/>
      <c r="T79" s="160"/>
      <c r="U79" s="15"/>
      <c r="V79" s="15"/>
      <c r="W79" s="15"/>
      <c r="X79" s="15"/>
      <c r="Y79" s="15"/>
      <c r="Z79" s="15"/>
      <c r="AA79" s="15"/>
      <c r="AB79" s="15"/>
      <c r="AC79" s="15"/>
      <c r="AD79" s="1953"/>
      <c r="AE79" s="1953"/>
      <c r="AF79" s="1953"/>
      <c r="AG79" s="1921"/>
      <c r="AH79" s="1921"/>
      <c r="AI79" s="1953"/>
      <c r="AJ79" s="1953"/>
      <c r="AK79" s="1953"/>
      <c r="AL79" s="1953"/>
      <c r="AM79" s="1953"/>
      <c r="AN79" s="1953"/>
      <c r="AO79" s="1953"/>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423"/>
      <c r="B80" s="49"/>
      <c r="C80" s="46"/>
      <c r="D80" s="46"/>
      <c r="E80" s="46"/>
      <c r="F80" s="49"/>
      <c r="G80" s="49"/>
      <c r="H80" s="47"/>
      <c r="I80" s="49"/>
      <c r="J80" s="49"/>
      <c r="K80" s="47"/>
      <c r="L80" s="49"/>
      <c r="M80" s="46"/>
      <c r="N80" s="49"/>
      <c r="O80" s="49"/>
      <c r="P80" s="49"/>
      <c r="Q80" s="49"/>
      <c r="R80" s="49"/>
      <c r="S80" s="49"/>
      <c r="T80" s="49"/>
    </row>
    <row r="81" spans="1:40" ht="13.8" thickBot="1">
      <c r="A81" s="1423"/>
      <c r="B81" s="107"/>
      <c r="C81" s="46"/>
      <c r="D81" s="46"/>
      <c r="E81" s="46"/>
      <c r="F81" s="1449" t="s">
        <v>1047</v>
      </c>
      <c r="G81" s="1449"/>
      <c r="H81" s="1449"/>
      <c r="I81" s="1449"/>
      <c r="J81" s="1449"/>
      <c r="K81" s="1449"/>
      <c r="L81" s="49"/>
      <c r="M81" s="1425" t="s">
        <v>341</v>
      </c>
      <c r="N81" s="1450"/>
      <c r="O81" s="1450"/>
      <c r="P81" s="49"/>
      <c r="Q81" s="1394" t="s">
        <v>2</v>
      </c>
      <c r="R81" s="1394"/>
      <c r="S81" s="1394"/>
      <c r="T81" s="1394"/>
    </row>
    <row r="82" spans="1:40">
      <c r="A82" s="1423"/>
      <c r="B82" s="85"/>
      <c r="C82" s="84"/>
      <c r="D82" s="84"/>
      <c r="E82" s="84"/>
      <c r="F82" s="1428" t="s">
        <v>345</v>
      </c>
      <c r="G82" s="1451" t="s">
        <v>689</v>
      </c>
      <c r="H82" s="1452"/>
      <c r="I82" s="49"/>
      <c r="J82" s="1453" t="s">
        <v>688</v>
      </c>
      <c r="K82" s="1454"/>
      <c r="L82" s="49"/>
      <c r="M82" s="1428" t="s">
        <v>345</v>
      </c>
      <c r="N82" s="1455" t="s">
        <v>346</v>
      </c>
      <c r="O82" s="1455"/>
      <c r="P82" s="49"/>
      <c r="Q82" s="1395" t="s">
        <v>347</v>
      </c>
      <c r="R82" s="1395"/>
      <c r="S82" s="49"/>
      <c r="T82" s="84" t="s">
        <v>348</v>
      </c>
      <c r="AG82" s="1922" t="s">
        <v>860</v>
      </c>
    </row>
    <row r="83" spans="1:40" ht="13.8" thickBot="1">
      <c r="A83" s="1423"/>
      <c r="B83" s="85" t="s">
        <v>1033</v>
      </c>
      <c r="C83" s="35" t="s">
        <v>1044</v>
      </c>
      <c r="D83" s="84"/>
      <c r="E83" s="84" t="s">
        <v>351</v>
      </c>
      <c r="F83" s="1428" t="s">
        <v>352</v>
      </c>
      <c r="G83" s="1443" t="s">
        <v>346</v>
      </c>
      <c r="H83" s="1444" t="s">
        <v>353</v>
      </c>
      <c r="I83" s="49"/>
      <c r="J83" s="1397" t="s">
        <v>346</v>
      </c>
      <c r="K83" s="1456" t="s">
        <v>353</v>
      </c>
      <c r="L83" s="49"/>
      <c r="M83" s="1428"/>
      <c r="N83" s="1396" t="s">
        <v>690</v>
      </c>
      <c r="O83" s="1397" t="s">
        <v>691</v>
      </c>
      <c r="P83" s="1398"/>
      <c r="Q83" s="1396" t="s">
        <v>690</v>
      </c>
      <c r="R83" s="1397" t="s">
        <v>691</v>
      </c>
      <c r="S83" s="1398"/>
      <c r="T83" s="1399"/>
      <c r="AG83" s="1963" t="s">
        <v>690</v>
      </c>
      <c r="AH83" s="1963" t="s">
        <v>691</v>
      </c>
    </row>
    <row r="84" spans="1:40">
      <c r="A84" s="1423"/>
      <c r="B84" s="193" t="s">
        <v>354</v>
      </c>
      <c r="C84" s="1457" t="s">
        <v>1104</v>
      </c>
      <c r="D84" s="1458"/>
      <c r="E84" s="1459">
        <f>HLOOKUP(C84,' IPCC'!$B$553:$E$565,1+MATCH(region,' IPCC'!$A$554:$A$565,),)</f>
        <v>0</v>
      </c>
      <c r="F84" s="1994">
        <f>'4.Grassland'!J45</f>
        <v>0</v>
      </c>
      <c r="G84" s="1995">
        <f>'4.Grassland'!K45</f>
        <v>0</v>
      </c>
      <c r="H84" s="37" t="str">
        <f>H12</f>
        <v>Linear</v>
      </c>
      <c r="I84" s="49"/>
      <c r="J84" s="2000">
        <f>'4.Grassland'!L45</f>
        <v>0</v>
      </c>
      <c r="K84" s="37" t="str">
        <f>K12</f>
        <v>Linear</v>
      </c>
      <c r="L84" s="49"/>
      <c r="M84" s="1460">
        <f>-$M$12*$E84*$F84</f>
        <v>0</v>
      </c>
      <c r="N84" s="1460">
        <f>-$N$12*$E84*$G84</f>
        <v>0</v>
      </c>
      <c r="O84" s="1460">
        <f>-$O$12*$E84*$J84</f>
        <v>0</v>
      </c>
      <c r="P84" s="1401"/>
      <c r="Q84" s="1400">
        <f>MIN(M84,N84)*time_tot+ABS(N84-M84)*IF(N84&gt;M84,time2+time*(VLOOKUP(H84,List!$E$35:$F$37,2,)),time*(1-(VLOOKUP(H84,List!$E$35:$F$37,2,))))</f>
        <v>0</v>
      </c>
      <c r="R84" s="1400">
        <f>MIN(M84,O84)*time_tot+ABS(O84-M84)*IF(O84&gt;M84,time2+time*(VLOOKUP(K84,List!$E$35:$F$37,2,)),time*(1-(VLOOKUP(K84,List!$E$35:$F$37,2,))))</f>
        <v>0</v>
      </c>
      <c r="S84" s="1401"/>
      <c r="T84" s="1402">
        <f t="shared" ref="T84:T92" si="26">R84-Q84</f>
        <v>0</v>
      </c>
      <c r="AG84" s="1964">
        <f>MIN(M84,N84)*time+ABS(N84-M84)*IF(N84&gt;M84,time*(VLOOKUP(H84,List!$E$35:$F$37,2,)),time*(1-(VLOOKUP(H84,List!$E$35:$F$37,2,))))</f>
        <v>0</v>
      </c>
      <c r="AH84" s="1964">
        <f>MIN(M84,O84)*time+ABS(O84-M84)*IF(O84&gt;M84,time*(VLOOKUP(K84,List!$E$35:$F$37,2,)),time*(1-(VLOOKUP(K84,List!$E$35:$F$37,2,))))</f>
        <v>0</v>
      </c>
    </row>
    <row r="85" spans="1:40">
      <c r="A85" s="1423"/>
      <c r="B85" s="254"/>
      <c r="C85" s="1461" t="s">
        <v>1042</v>
      </c>
      <c r="D85" s="1462"/>
      <c r="E85" s="1459">
        <f>HLOOKUP(C85,' IPCC'!$B$553:$E$565,1+MATCH(region,' IPCC'!$A$554:$A$565,),)</f>
        <v>0</v>
      </c>
      <c r="F85" s="1996">
        <f>'4.Grassland'!N45</f>
        <v>0</v>
      </c>
      <c r="G85" s="1997">
        <f>'4.Grassland'!O45</f>
        <v>0</v>
      </c>
      <c r="H85" s="37" t="str">
        <f>H84</f>
        <v>Linear</v>
      </c>
      <c r="I85" s="49"/>
      <c r="J85" s="2001">
        <f>'4.Grassland'!P45</f>
        <v>0</v>
      </c>
      <c r="K85" s="37" t="str">
        <f>K84</f>
        <v>Linear</v>
      </c>
      <c r="L85" s="49"/>
      <c r="M85" s="1400">
        <f>-$M$12*$E85*$F85</f>
        <v>0</v>
      </c>
      <c r="N85" s="1400">
        <f>-$N$12*$E85*$G85</f>
        <v>0</v>
      </c>
      <c r="O85" s="1400">
        <f>-$O$12*$E85*$J85</f>
        <v>0</v>
      </c>
      <c r="P85" s="1403"/>
      <c r="Q85" s="1400">
        <f>MIN(M85,N85)*time_tot+ABS(N85-M85)*IF(N85&gt;M85,time2+time*(VLOOKUP(H85,List!$E$35:$F$37,2,)),time*(1-(VLOOKUP(H85,List!$E$35:$F$37,2,))))</f>
        <v>0</v>
      </c>
      <c r="R85" s="1400">
        <f>MIN(M85,O85)*time_tot+ABS(O85-M85)*IF(O85&gt;M85,time2+time*(VLOOKUP(K85,List!$E$35:$F$37,2,)),time*(1-(VLOOKUP(K85,List!$E$35:$F$37,2,))))</f>
        <v>0</v>
      </c>
      <c r="S85" s="1403"/>
      <c r="T85" s="1404">
        <f>R85-Q85</f>
        <v>0</v>
      </c>
      <c r="AG85" s="1964">
        <f>MIN(M85,N85)*time+ABS(N85-M85)*IF(N85&gt;M85,time*(VLOOKUP(H85,List!$E$35:$F$37,2,)),time*(1-(VLOOKUP(H85,List!$E$35:$F$37,2,))))</f>
        <v>0</v>
      </c>
      <c r="AH85" s="1964">
        <f>MIN(M85,O85)*time+ABS(O85-M85)*IF(O85&gt;M85,time*(VLOOKUP(K85,List!$E$35:$F$37,2,)),time*(1-(VLOOKUP(K85,List!$E$35:$F$37,2,))))</f>
        <v>0</v>
      </c>
    </row>
    <row r="86" spans="1:40" ht="13.8" thickBot="1">
      <c r="A86" s="1423"/>
      <c r="B86" s="254"/>
      <c r="C86" s="1463" t="s">
        <v>1043</v>
      </c>
      <c r="D86" s="1462"/>
      <c r="E86" s="1459">
        <f>HLOOKUP(C86,' IPCC'!$B$553:$E$565,1+MATCH(region,' IPCC'!$A$554:$A$565,),)</f>
        <v>0</v>
      </c>
      <c r="F86" s="1998">
        <f>'4.Grassland'!R45</f>
        <v>0</v>
      </c>
      <c r="G86" s="1999">
        <f>'4.Grassland'!S45</f>
        <v>0</v>
      </c>
      <c r="H86" s="37" t="str">
        <f>H84</f>
        <v>Linear</v>
      </c>
      <c r="I86" s="49"/>
      <c r="J86" s="2002">
        <f>'4.Grassland'!T45</f>
        <v>0</v>
      </c>
      <c r="K86" s="37" t="str">
        <f>K84</f>
        <v>Linear</v>
      </c>
      <c r="L86" s="49"/>
      <c r="M86" s="1400">
        <f>-$M$12*$E86*$F86</f>
        <v>0</v>
      </c>
      <c r="N86" s="1400">
        <f>-$N$12*$E86*$G86</f>
        <v>0</v>
      </c>
      <c r="O86" s="1400">
        <f>-$O$12*$E86*$J86</f>
        <v>0</v>
      </c>
      <c r="P86" s="1403"/>
      <c r="Q86" s="1400">
        <f>MIN(M86,N86)*time_tot+ABS(N86-M86)*IF(N86&gt;M86,time2+time*(VLOOKUP(H86,List!$E$35:$F$37,2,)),time*(1-(VLOOKUP(H86,List!$E$35:$F$37,2,))))</f>
        <v>0</v>
      </c>
      <c r="R86" s="1400">
        <f>MIN(M86,O86)*time_tot+ABS(O86-M86)*IF(O86&gt;M86,time2+time*(VLOOKUP(K86,List!$E$35:$F$37,2,)),time*(1-(VLOOKUP(K86,List!$E$35:$F$37,2,))))</f>
        <v>0</v>
      </c>
      <c r="S86" s="1403"/>
      <c r="T86" s="1404">
        <f t="shared" si="26"/>
        <v>0</v>
      </c>
      <c r="AG86" s="1964">
        <f>MIN(M86,N86)*time+ABS(N86-M86)*IF(N86&gt;M86,time*(VLOOKUP(H86,List!$E$35:$F$37,2,)),time*(1-(VLOOKUP(H86,List!$E$35:$F$37,2,))))</f>
        <v>0</v>
      </c>
      <c r="AH86" s="1964">
        <f>MIN(M86,O86)*time+ABS(O86-M86)*IF(O86&gt;M86,time*(VLOOKUP(K86,List!$E$35:$F$37,2,)),time*(1-(VLOOKUP(K86,List!$E$35:$F$37,2,))))</f>
        <v>0</v>
      </c>
    </row>
    <row r="87" spans="1:40" ht="13.8" thickBot="1">
      <c r="A87" s="1423"/>
      <c r="B87" s="116"/>
      <c r="C87" s="1464" t="s">
        <v>1103</v>
      </c>
      <c r="D87" s="1465"/>
      <c r="E87" s="1459">
        <f>HLOOKUP(C87,' IPCC'!$B$553:$E$565,1+MATCH(region,' IPCC'!$A$554:$A$565,),)</f>
        <v>0</v>
      </c>
      <c r="F87" s="400">
        <f>1-SUM(F84:F86)</f>
        <v>1</v>
      </c>
      <c r="G87" s="400">
        <f>1-SUM(G84:G86)</f>
        <v>1</v>
      </c>
      <c r="H87" s="37" t="str">
        <f>H84</f>
        <v>Linear</v>
      </c>
      <c r="I87" s="49"/>
      <c r="J87" s="400">
        <f>1-SUM(J84:J86)</f>
        <v>1</v>
      </c>
      <c r="K87" s="37" t="str">
        <f>K84</f>
        <v>Linear</v>
      </c>
      <c r="L87" s="49"/>
      <c r="M87" s="1400">
        <f>-$M$12*$E87*$F87</f>
        <v>0</v>
      </c>
      <c r="N87" s="1400">
        <f>-$N$12*$E87*$G87</f>
        <v>0</v>
      </c>
      <c r="O87" s="1400">
        <f>-$O$12*$E87*$J87</f>
        <v>0</v>
      </c>
      <c r="P87" s="1403"/>
      <c r="Q87" s="1400">
        <f>MIN(M87,N87)*time_tot+ABS(N87-M87)*IF(N87&gt;M87,time2+time*(VLOOKUP(H87,List!$E$35:$F$37,2,)),time*(1-(VLOOKUP(H87,List!$E$35:$F$37,2,))))</f>
        <v>0</v>
      </c>
      <c r="R87" s="1400">
        <f>MIN(M87,O87)*time_tot+ABS(O87-M87)*IF(O87&gt;M87,time2+time*(VLOOKUP(K87,List!$E$35:$F$37,2,)),time*(1-(VLOOKUP(K87,List!$E$35:$F$37,2,))))</f>
        <v>0</v>
      </c>
      <c r="S87" s="1403"/>
      <c r="T87" s="1404">
        <f t="shared" si="26"/>
        <v>0</v>
      </c>
      <c r="AG87" s="1964">
        <f>MIN(M87,N87)*time+ABS(N87-M87)*IF(N87&gt;M87,time*(VLOOKUP(H87,List!$E$35:$F$37,2,)),time*(1-(VLOOKUP(H87,List!$E$35:$F$37,2,))))</f>
        <v>0</v>
      </c>
      <c r="AH87" s="1964">
        <f>MIN(M87,O87)*time+ABS(O87-M87)*IF(O87&gt;M87,time*(VLOOKUP(K87,List!$E$35:$F$37,2,)),time*(1-(VLOOKUP(K87,List!$E$35:$F$37,2,))))</f>
        <v>0</v>
      </c>
    </row>
    <row r="88" spans="1:40">
      <c r="A88" s="1423"/>
      <c r="B88" s="193" t="s">
        <v>358</v>
      </c>
      <c r="C88" s="1457" t="s">
        <v>1104</v>
      </c>
      <c r="D88" s="1458"/>
      <c r="E88" s="1459">
        <f>HLOOKUP(C88,' IPCC'!$F$553:$I$565,1+MATCH(region,' IPCC'!A$554:A$565,),)</f>
        <v>0</v>
      </c>
      <c r="F88" s="1994">
        <f>'4.Grassland'!J46</f>
        <v>0</v>
      </c>
      <c r="G88" s="1995">
        <f>'4.Grassland'!K46</f>
        <v>0</v>
      </c>
      <c r="H88" s="37" t="str">
        <f>H16</f>
        <v>Linear</v>
      </c>
      <c r="I88" s="49"/>
      <c r="J88" s="2000">
        <f>'4.Grassland'!L46</f>
        <v>0</v>
      </c>
      <c r="K88" s="37" t="str">
        <f>K16</f>
        <v>Linear</v>
      </c>
      <c r="L88" s="49"/>
      <c r="M88" s="1400">
        <f>-$M$13*$E88*$F88</f>
        <v>0</v>
      </c>
      <c r="N88" s="1400">
        <f>-$N$13*$E88*$G88</f>
        <v>0</v>
      </c>
      <c r="O88" s="1400">
        <f>-$O$13*$E88*$J88</f>
        <v>0</v>
      </c>
      <c r="P88" s="1403"/>
      <c r="Q88" s="1400">
        <f>MIN(M88,N88)*time_tot+ABS(N88-M88)*IF(N88&gt;M88,time2+time*(VLOOKUP(H88,List!$E$35:$F$37,2,)),time*(1-(VLOOKUP(H88,List!$E$35:$F$37,2,))))</f>
        <v>0</v>
      </c>
      <c r="R88" s="1400">
        <f>MIN(M88,O88)*time_tot+ABS(O88-M88)*IF(O88&gt;M88,time2+time*(VLOOKUP(K88,List!$E$35:$F$37,2,)),time*(1-(VLOOKUP(K88,List!$E$35:$F$37,2,))))</f>
        <v>0</v>
      </c>
      <c r="S88" s="1403"/>
      <c r="T88" s="1404">
        <f t="shared" si="26"/>
        <v>0</v>
      </c>
      <c r="AG88" s="1964">
        <f>MIN(M88,N88)*time+ABS(N88-M88)*IF(N88&gt;M88,time*(VLOOKUP(H88,List!$E$35:$F$37,2,)),time*(1-(VLOOKUP(H88,List!$E$35:$F$37,2,))))</f>
        <v>0</v>
      </c>
      <c r="AH88" s="1964">
        <f>MIN(M88,O88)*time+ABS(O88-M88)*IF(O88&gt;M88,time*(VLOOKUP(K88,List!$E$35:$F$37,2,)),time*(1-(VLOOKUP(K88,List!$E$35:$F$37,2,))))</f>
        <v>0</v>
      </c>
    </row>
    <row r="89" spans="1:40">
      <c r="A89" s="1423"/>
      <c r="B89" s="254"/>
      <c r="C89" s="1461" t="s">
        <v>1042</v>
      </c>
      <c r="D89" s="1466"/>
      <c r="E89" s="1459">
        <f>HLOOKUP(C89,' IPCC'!$F$553:$I$565,1+MATCH(region,' IPCC'!A$554:A$565,),)</f>
        <v>0</v>
      </c>
      <c r="F89" s="1996">
        <f>'4.Grassland'!N46</f>
        <v>0</v>
      </c>
      <c r="G89" s="1997">
        <f>'4.Grassland'!O46</f>
        <v>0</v>
      </c>
      <c r="H89" s="37" t="str">
        <f>H88</f>
        <v>Linear</v>
      </c>
      <c r="I89" s="49"/>
      <c r="J89" s="2001">
        <f>'4.Grassland'!P46</f>
        <v>0</v>
      </c>
      <c r="K89" s="37" t="str">
        <f>K88</f>
        <v>Linear</v>
      </c>
      <c r="L89" s="49"/>
      <c r="M89" s="1400">
        <f>-$M$13*$E89*$F89</f>
        <v>0</v>
      </c>
      <c r="N89" s="1400">
        <f>-$N$13*$E89*$G89</f>
        <v>0</v>
      </c>
      <c r="O89" s="1400">
        <f>-$O$13*$E89*$J89</f>
        <v>0</v>
      </c>
      <c r="P89" s="1403"/>
      <c r="Q89" s="1400">
        <f>MIN(M89,N89)*time_tot+ABS(N89-M89)*IF(N89&gt;M89,time2+time*(VLOOKUP(H89,List!$E$35:$F$37,2,)),time*(1-(VLOOKUP(H89,List!$E$35:$F$37,2,))))</f>
        <v>0</v>
      </c>
      <c r="R89" s="1400">
        <f>MIN(M89,O89)*time_tot+ABS(O89-M89)*IF(O89&gt;M89,time2+time*(VLOOKUP(K89,List!$E$35:$F$37,2,)),time*(1-(VLOOKUP(K89,List!$E$35:$F$37,2,))))</f>
        <v>0</v>
      </c>
      <c r="S89" s="1403"/>
      <c r="T89" s="1404">
        <f t="shared" si="26"/>
        <v>0</v>
      </c>
      <c r="AG89" s="1964">
        <f>MIN(M89,N89)*time+ABS(N89-M89)*IF(N89&gt;M89,time*(VLOOKUP(H89,List!$E$35:$F$37,2,)),time*(1-(VLOOKUP(H89,List!$E$35:$F$37,2,))))</f>
        <v>0</v>
      </c>
      <c r="AH89" s="1964">
        <f>MIN(M89,O89)*time+ABS(O89-M89)*IF(O89&gt;M89,time*(VLOOKUP(K89,List!$E$35:$F$37,2,)),time*(1-(VLOOKUP(K89,List!$E$35:$F$37,2,))))</f>
        <v>0</v>
      </c>
    </row>
    <row r="90" spans="1:40" ht="13.8" thickBot="1">
      <c r="A90" s="1423"/>
      <c r="B90" s="254"/>
      <c r="C90" s="1463" t="s">
        <v>1043</v>
      </c>
      <c r="D90" s="1130"/>
      <c r="E90" s="1459">
        <f>HLOOKUP(C90,' IPCC'!$F$553:$I$565,1+MATCH(region,' IPCC'!A$554:A$565,),)</f>
        <v>0</v>
      </c>
      <c r="F90" s="1998">
        <f>'4.Grassland'!R46</f>
        <v>0</v>
      </c>
      <c r="G90" s="1999">
        <f>'4.Grassland'!S46</f>
        <v>0</v>
      </c>
      <c r="H90" s="37" t="str">
        <f>H88</f>
        <v>Linear</v>
      </c>
      <c r="I90" s="49"/>
      <c r="J90" s="2002">
        <f>'4.Grassland'!T46</f>
        <v>0</v>
      </c>
      <c r="K90" s="37" t="str">
        <f>K88</f>
        <v>Linear</v>
      </c>
      <c r="L90" s="49"/>
      <c r="M90" s="1400">
        <f>-$M$13*$E90*$F90</f>
        <v>0</v>
      </c>
      <c r="N90" s="1400">
        <f>-$N$13*$E90*$G90</f>
        <v>0</v>
      </c>
      <c r="O90" s="1400">
        <f>-$O$13*$E90*$J90</f>
        <v>0</v>
      </c>
      <c r="P90" s="1403"/>
      <c r="Q90" s="1400">
        <f>MIN(M90,N90)*time_tot+ABS(N90-M90)*IF(N90&gt;M90,time2+time*(VLOOKUP(H90,List!$E$35:$F$37,2,)),time*(1-(VLOOKUP(H90,List!$E$35:$F$37,2,))))</f>
        <v>0</v>
      </c>
      <c r="R90" s="1400">
        <f>MIN(M90,O90)*time_tot+ABS(O90-M90)*IF(O90&gt;M90,time2+time*(VLOOKUP(K90,List!$E$35:$F$37,2,)),time*(1-(VLOOKUP(K90,List!$E$35:$F$37,2,))))</f>
        <v>0</v>
      </c>
      <c r="S90" s="1403"/>
      <c r="T90" s="1404">
        <f t="shared" si="26"/>
        <v>0</v>
      </c>
      <c r="AG90" s="1964">
        <f>MIN(M90,N90)*time+ABS(N90-M90)*IF(N90&gt;M90,time*(VLOOKUP(H90,List!$E$35:$F$37,2,)),time*(1-(VLOOKUP(H90,List!$E$35:$F$37,2,))))</f>
        <v>0</v>
      </c>
      <c r="AH90" s="1964">
        <f>MIN(M90,O90)*time+ABS(O90-M90)*IF(O90&gt;M90,time*(VLOOKUP(K90,List!$E$35:$F$37,2,)),time*(1-(VLOOKUP(K90,List!$E$35:$F$37,2,))))</f>
        <v>0</v>
      </c>
    </row>
    <row r="91" spans="1:40" ht="13.8" thickBot="1">
      <c r="A91" s="1423"/>
      <c r="B91" s="116"/>
      <c r="C91" s="1464" t="s">
        <v>1103</v>
      </c>
      <c r="D91" s="1467"/>
      <c r="E91" s="1459">
        <f>HLOOKUP(C91,' IPCC'!$F$553:$I$565,1+MATCH(region,' IPCC'!A$554:A$565,),)</f>
        <v>0</v>
      </c>
      <c r="F91" s="400">
        <f>1-SUM(F88:F90)</f>
        <v>1</v>
      </c>
      <c r="G91" s="400">
        <f>1-SUM(G88:G90)</f>
        <v>1</v>
      </c>
      <c r="H91" s="37" t="str">
        <f>H88</f>
        <v>Linear</v>
      </c>
      <c r="I91" s="49"/>
      <c r="J91" s="400">
        <f>1-SUM(J88:J90)</f>
        <v>1</v>
      </c>
      <c r="K91" s="37" t="str">
        <f>K88</f>
        <v>Linear</v>
      </c>
      <c r="L91" s="49"/>
      <c r="M91" s="1400">
        <f>-$M$13*$E91*$F91</f>
        <v>0</v>
      </c>
      <c r="N91" s="1400">
        <f>-$N$13*$E91*$G91</f>
        <v>0</v>
      </c>
      <c r="O91" s="1400">
        <f>-$O$13*$E91*$J91</f>
        <v>0</v>
      </c>
      <c r="P91" s="1403"/>
      <c r="Q91" s="1400">
        <f>MIN(M91,N91)*time_tot+ABS(N91-M91)*IF(N91&gt;M91,time2+time*(VLOOKUP(H91,List!$E$35:$F$37,2,)),time*(1-(VLOOKUP(H91,List!$E$35:$F$37,2,))))</f>
        <v>0</v>
      </c>
      <c r="R91" s="1400">
        <f>MIN(M91,O91)*time_tot+ABS(O91-M91)*IF(O91&gt;M91,time2+time*(VLOOKUP(K91,List!$E$35:$F$37,2,)),time*(1-(VLOOKUP(K91,List!$E$35:$F$37,2,))))</f>
        <v>0</v>
      </c>
      <c r="S91" s="1403"/>
      <c r="T91" s="1404">
        <f t="shared" si="26"/>
        <v>0</v>
      </c>
      <c r="AG91" s="1964">
        <f>MIN(M91,N91)*time+ABS(N91-M91)*IF(N91&gt;M91,time*(VLOOKUP(H91,List!$E$35:$F$37,2,)),time*(1-(VLOOKUP(H91,List!$E$35:$F$37,2,))))</f>
        <v>0</v>
      </c>
      <c r="AH91" s="1964">
        <f>MIN(M91,O91)*time+ABS(O91-M91)*IF(O91&gt;M91,time*(VLOOKUP(K91,List!$E$35:$F$37,2,)),time*(1-(VLOOKUP(K91,List!$E$35:$F$37,2,))))</f>
        <v>0</v>
      </c>
    </row>
    <row r="92" spans="1:40">
      <c r="A92" s="1423"/>
      <c r="B92" s="193" t="s">
        <v>360</v>
      </c>
      <c r="C92" s="1457" t="s">
        <v>1104</v>
      </c>
      <c r="D92" s="1458"/>
      <c r="E92" s="1459">
        <f>HLOOKUP(C92,' IPCC'!$J$553:$M$565,1+MATCH(region,' IPCC'!$A$554:$A$565,),)</f>
        <v>0</v>
      </c>
      <c r="F92" s="1994">
        <f>'4.Grassland'!J47</f>
        <v>0</v>
      </c>
      <c r="G92" s="1995">
        <f>'4.Grassland'!K47</f>
        <v>0</v>
      </c>
      <c r="H92" s="37" t="str">
        <f>H21</f>
        <v>Linear</v>
      </c>
      <c r="I92" s="49"/>
      <c r="J92" s="2000">
        <f>'4.Grassland'!L47</f>
        <v>0</v>
      </c>
      <c r="K92" s="37" t="str">
        <f>K21</f>
        <v>Linear</v>
      </c>
      <c r="L92" s="49"/>
      <c r="M92" s="1400">
        <f>-$M$14*$E92*$F92</f>
        <v>0</v>
      </c>
      <c r="N92" s="1400">
        <f>-$N$14*$E92*$G92</f>
        <v>0</v>
      </c>
      <c r="O92" s="1400">
        <f>-$O$14*$E92*$J92</f>
        <v>0</v>
      </c>
      <c r="P92" s="1403"/>
      <c r="Q92" s="1400">
        <f>MIN(M92,N92)*time_tot+ABS(N92-M92)*IF(N92&gt;M92,time2+time*(VLOOKUP(H92,List!$E$35:$F$37,2,)),time*(1-(VLOOKUP(H92,List!$E$35:$F$37,2,))))</f>
        <v>0</v>
      </c>
      <c r="R92" s="1400">
        <f>MIN(M92,O92)*time_tot+ABS(O92-M92)*IF(O92&gt;M92,time2+time*(VLOOKUP(K92,List!$E$35:$F$37,2,)),time*(1-(VLOOKUP(K92,List!$E$35:$F$37,2,))))</f>
        <v>0</v>
      </c>
      <c r="S92" s="1403"/>
      <c r="T92" s="1404">
        <f t="shared" si="26"/>
        <v>0</v>
      </c>
      <c r="AG92" s="1964">
        <f>MIN(M92,N92)*time+ABS(N92-M92)*IF(N92&gt;M92,time*(VLOOKUP(H92,List!$E$35:$F$37,2,)),time*(1-(VLOOKUP(H92,List!$E$35:$F$37,2,))))</f>
        <v>0</v>
      </c>
      <c r="AH92" s="1964">
        <f>MIN(M92,O92)*time+ABS(O92-M92)*IF(O92&gt;M92,time*(VLOOKUP(K92,List!$E$35:$F$37,2,)),time*(1-(VLOOKUP(K92,List!$E$35:$F$37,2,))))</f>
        <v>0</v>
      </c>
    </row>
    <row r="93" spans="1:40">
      <c r="A93" s="1423"/>
      <c r="B93" s="254"/>
      <c r="C93" s="1461" t="s">
        <v>1042</v>
      </c>
      <c r="D93" s="1466"/>
      <c r="E93" s="1459">
        <f>HLOOKUP(C93,' IPCC'!$J$553:$M$565,1+MATCH(region,' IPCC'!$A$554:$A$565,),)</f>
        <v>0</v>
      </c>
      <c r="F93" s="1996">
        <f>'4.Grassland'!N47</f>
        <v>0</v>
      </c>
      <c r="G93" s="1997">
        <f>'4.Grassland'!O47</f>
        <v>0</v>
      </c>
      <c r="H93" s="37" t="str">
        <f>H92</f>
        <v>Linear</v>
      </c>
      <c r="I93" s="49"/>
      <c r="J93" s="2001">
        <f>'4.Grassland'!P47</f>
        <v>0</v>
      </c>
      <c r="K93" s="37" t="str">
        <f>K92</f>
        <v>Linear</v>
      </c>
      <c r="L93" s="49"/>
      <c r="M93" s="1400">
        <f>-$M$14*$E93*$F93</f>
        <v>0</v>
      </c>
      <c r="N93" s="1400">
        <f>-$N$14*$E93*$G93</f>
        <v>0</v>
      </c>
      <c r="O93" s="1400">
        <f>-$O$14*$E93*$J93</f>
        <v>0</v>
      </c>
      <c r="P93" s="1403"/>
      <c r="Q93" s="1400">
        <f>MIN(M93,N93)*time_tot+ABS(N93-M93)*IF(N93&gt;M93,time2+time*(VLOOKUP(H93,List!$E$35:$F$37,2,)),time*(1-(VLOOKUP(H93,List!$E$35:$F$37,2,))))</f>
        <v>0</v>
      </c>
      <c r="R93" s="1400">
        <f>MIN(M93,O93)*time_tot+ABS(O93-M93)*IF(O93&gt;M93,time2+time*(VLOOKUP(K93,List!$E$35:$F$37,2,)),time*(1-(VLOOKUP(K93,List!$E$35:$F$37,2,))))</f>
        <v>0</v>
      </c>
      <c r="S93" s="1403"/>
      <c r="T93" s="1404">
        <f t="shared" ref="T93:T99" si="27">R93-Q93</f>
        <v>0</v>
      </c>
      <c r="AG93" s="1964">
        <f>MIN(M93,N93)*time+ABS(N93-M93)*IF(N93&gt;M93,time*(VLOOKUP(H93,List!$E$35:$F$37,2,)),time*(1-(VLOOKUP(H93,List!$E$35:$F$37,2,))))</f>
        <v>0</v>
      </c>
      <c r="AH93" s="1964">
        <f>MIN(M93,O93)*time+ABS(O93-M93)*IF(O93&gt;M93,time*(VLOOKUP(K93,List!$E$35:$F$37,2,)),time*(1-(VLOOKUP(K93,List!$E$35:$F$37,2,))))</f>
        <v>0</v>
      </c>
    </row>
    <row r="94" spans="1:40" ht="13.8" thickBot="1">
      <c r="A94" s="1423"/>
      <c r="B94" s="254"/>
      <c r="C94" s="1463" t="s">
        <v>1043</v>
      </c>
      <c r="D94" s="1130"/>
      <c r="E94" s="1459">
        <f>HLOOKUP(C94,' IPCC'!$J$553:$M$565,1+MATCH(region,' IPCC'!$A$554:$A$565,),)</f>
        <v>0</v>
      </c>
      <c r="F94" s="1998">
        <f>'4.Grassland'!R47</f>
        <v>0</v>
      </c>
      <c r="G94" s="1999">
        <f>'4.Grassland'!S47</f>
        <v>0</v>
      </c>
      <c r="H94" s="37" t="str">
        <f>H92</f>
        <v>Linear</v>
      </c>
      <c r="I94" s="49"/>
      <c r="J94" s="2002">
        <f>'4.Grassland'!T47</f>
        <v>0</v>
      </c>
      <c r="K94" s="37" t="str">
        <f>K92</f>
        <v>Linear</v>
      </c>
      <c r="L94" s="49"/>
      <c r="M94" s="1400">
        <f>-$M$14*$E94*$F94</f>
        <v>0</v>
      </c>
      <c r="N94" s="1400">
        <f>-$N$14*$E94*$G94</f>
        <v>0</v>
      </c>
      <c r="O94" s="1400">
        <f>-$O$14*$E94*$J94</f>
        <v>0</v>
      </c>
      <c r="P94" s="1403"/>
      <c r="Q94" s="1400">
        <f>MIN(M94,N94)*time_tot+ABS(N94-M94)*IF(N94&gt;M94,time2+time*(VLOOKUP(H94,List!$E$35:$F$37,2,)),time*(1-(VLOOKUP(H94,List!$E$35:$F$37,2,))))</f>
        <v>0</v>
      </c>
      <c r="R94" s="1400">
        <f>MIN(M94,O94)*time_tot+ABS(O94-M94)*IF(O94&gt;M94,time2+time*(VLOOKUP(K94,List!$E$35:$F$37,2,)),time*(1-(VLOOKUP(K94,List!$E$35:$F$37,2,))))</f>
        <v>0</v>
      </c>
      <c r="S94" s="1403"/>
      <c r="T94" s="1404">
        <f t="shared" si="27"/>
        <v>0</v>
      </c>
      <c r="AG94" s="1964">
        <f>MIN(M94,N94)*time+ABS(N94-M94)*IF(N94&gt;M94,time*(VLOOKUP(H94,List!$E$35:$F$37,2,)),time*(1-(VLOOKUP(H94,List!$E$35:$F$37,2,))))</f>
        <v>0</v>
      </c>
      <c r="AH94" s="1964">
        <f>MIN(M94,O94)*time+ABS(O94-M94)*IF(O94&gt;M94,time*(VLOOKUP(K94,List!$E$35:$F$37,2,)),time*(1-(VLOOKUP(K94,List!$E$35:$F$37,2,))))</f>
        <v>0</v>
      </c>
    </row>
    <row r="95" spans="1:40" ht="13.8" thickBot="1">
      <c r="A95" s="1423"/>
      <c r="B95" s="116"/>
      <c r="C95" s="1464" t="s">
        <v>1103</v>
      </c>
      <c r="D95" s="1467"/>
      <c r="E95" s="1459">
        <f>HLOOKUP(C95,' IPCC'!$J$553:$M$565,1+MATCH(region,' IPCC'!$A$554:$A$565,),)</f>
        <v>0</v>
      </c>
      <c r="F95" s="400">
        <f>1-SUM(F92:F94)</f>
        <v>1</v>
      </c>
      <c r="G95" s="400">
        <f>1-SUM(G92:G94)</f>
        <v>1</v>
      </c>
      <c r="H95" s="37" t="str">
        <f>H92</f>
        <v>Linear</v>
      </c>
      <c r="I95" s="49"/>
      <c r="J95" s="400">
        <f>1-SUM(J92:J94)</f>
        <v>1</v>
      </c>
      <c r="K95" s="37" t="str">
        <f>K92</f>
        <v>Linear</v>
      </c>
      <c r="L95" s="49"/>
      <c r="M95" s="1400">
        <f>-$M$14*$E95*$F95</f>
        <v>0</v>
      </c>
      <c r="N95" s="1400">
        <f>-$N$14*$E95*$G95</f>
        <v>0</v>
      </c>
      <c r="O95" s="1400">
        <f>-$O$14*$E95*$J95</f>
        <v>0</v>
      </c>
      <c r="P95" s="1403"/>
      <c r="Q95" s="1400">
        <f>MIN(M95,N95)*time_tot+ABS(N95-M95)*IF(N95&gt;M95,time2+time*(VLOOKUP(H95,List!$E$35:$F$37,2,)),time*(1-(VLOOKUP(H95,List!$E$35:$F$37,2,))))</f>
        <v>0</v>
      </c>
      <c r="R95" s="1400">
        <f>MIN(M95,O95)*time_tot+ABS(O95-M95)*IF(O95&gt;M95,time2+time*(VLOOKUP(K95,List!$E$35:$F$37,2,)),time*(1-(VLOOKUP(K95,List!$E$35:$F$37,2,))))</f>
        <v>0</v>
      </c>
      <c r="S95" s="1403"/>
      <c r="T95" s="1404">
        <f t="shared" si="27"/>
        <v>0</v>
      </c>
      <c r="AG95" s="1964">
        <f>MIN(M95,N95)*time+ABS(N95-M95)*IF(N95&gt;M95,time*(VLOOKUP(H95,List!$E$35:$F$37,2,)),time*(1-(VLOOKUP(H95,List!$E$35:$F$37,2,))))</f>
        <v>0</v>
      </c>
      <c r="AH95" s="1964">
        <f>MIN(M95,O95)*time+ABS(O95-M95)*IF(O95&gt;M95,time*(VLOOKUP(K95,List!$E$35:$F$37,2,)),time*(1-(VLOOKUP(K95,List!$E$35:$F$37,2,))))</f>
        <v>0</v>
      </c>
    </row>
    <row r="96" spans="1:40">
      <c r="A96" s="1423"/>
      <c r="B96" s="193" t="s">
        <v>364</v>
      </c>
      <c r="C96" s="1457" t="s">
        <v>1104</v>
      </c>
      <c r="D96" s="1458"/>
      <c r="E96" s="1459">
        <f>HLOOKUP(C96,' IPCC'!$N$553:$Q$565,1+MATCH(region,' IPCC'!$A$554:$A$565,),)</f>
        <v>0</v>
      </c>
      <c r="F96" s="1994">
        <f>'4.Grassland'!J48</f>
        <v>0</v>
      </c>
      <c r="G96" s="1995">
        <f>'4.Grassland'!K48</f>
        <v>0</v>
      </c>
      <c r="H96" s="37" t="str">
        <f>H15</f>
        <v>Linear</v>
      </c>
      <c r="I96" s="49"/>
      <c r="J96" s="2000">
        <f>'4.Grassland'!L48</f>
        <v>0</v>
      </c>
      <c r="K96" s="37" t="str">
        <f>K15</f>
        <v>Linear</v>
      </c>
      <c r="L96" s="49"/>
      <c r="M96" s="1400">
        <f>-$M$15*$E96*$F96</f>
        <v>0</v>
      </c>
      <c r="N96" s="1400">
        <f>-$N$15*$E96*$G96</f>
        <v>0</v>
      </c>
      <c r="O96" s="1400">
        <f>-$O$15*$E96*$J96</f>
        <v>0</v>
      </c>
      <c r="P96" s="1403"/>
      <c r="Q96" s="1400">
        <f>MIN(M96,N96)*time_tot+ABS(N96-M96)*IF(N96&gt;M96,time2+time*(VLOOKUP(H96,List!$E$35:$F$37,2,)),time*(1-(VLOOKUP(H96,List!$E$35:$F$37,2,))))</f>
        <v>0</v>
      </c>
      <c r="R96" s="1400">
        <f>MIN(M96,O96)*time_tot+ABS(O96-M96)*IF(O96&gt;M96,time2+time*(VLOOKUP(K96,List!$E$35:$F$37,2,)),time*(1-(VLOOKUP(K96,List!$E$35:$F$37,2,))))</f>
        <v>0</v>
      </c>
      <c r="S96" s="1403"/>
      <c r="T96" s="1404">
        <f t="shared" si="27"/>
        <v>0</v>
      </c>
      <c r="AG96" s="1964">
        <f>MIN(M96,N96)*time+ABS(N96-M96)*IF(N96&gt;M96,time*(VLOOKUP(H96,List!$E$35:$F$37,2,)),time*(1-(VLOOKUP(H96,List!$E$35:$F$37,2,))))</f>
        <v>0</v>
      </c>
      <c r="AH96" s="1964">
        <f>MIN(M96,O96)*time+ABS(O96-M96)*IF(O96&gt;M96,time*(VLOOKUP(K96,List!$E$35:$F$37,2,)),time*(1-(VLOOKUP(K96,List!$E$35:$F$37,2,))))</f>
        <v>0</v>
      </c>
      <c r="AM96" s="1951" t="s">
        <v>690</v>
      </c>
      <c r="AN96" s="1951" t="s">
        <v>691</v>
      </c>
    </row>
    <row r="97" spans="1:40">
      <c r="A97" s="1423"/>
      <c r="B97" s="254"/>
      <c r="C97" s="1461" t="s">
        <v>1042</v>
      </c>
      <c r="D97" s="1466"/>
      <c r="E97" s="1459">
        <f>HLOOKUP(C97,' IPCC'!$N$553:$Q$565,1+MATCH(region,' IPCC'!$A$554:$A$565,),)</f>
        <v>0</v>
      </c>
      <c r="F97" s="1996">
        <f>'4.Grassland'!N48</f>
        <v>0</v>
      </c>
      <c r="G97" s="1997">
        <f>'4.Grassland'!O48</f>
        <v>0</v>
      </c>
      <c r="H97" s="37" t="str">
        <f>H96</f>
        <v>Linear</v>
      </c>
      <c r="I97" s="49"/>
      <c r="J97" s="2001">
        <f>'4.Grassland'!P48</f>
        <v>0</v>
      </c>
      <c r="K97" s="37" t="str">
        <f>K96</f>
        <v>Linear</v>
      </c>
      <c r="L97" s="49"/>
      <c r="M97" s="1400">
        <f>-$M$15*$E97*$F97</f>
        <v>0</v>
      </c>
      <c r="N97" s="1400">
        <f>-$N$15*$E97*$G97</f>
        <v>0</v>
      </c>
      <c r="O97" s="1400">
        <f>-$O$15*$E97*$J97</f>
        <v>0</v>
      </c>
      <c r="P97" s="1403"/>
      <c r="Q97" s="1400">
        <f>MIN(M97,N97)*time_tot+ABS(N97-M97)*IF(N97&gt;M97,time2+time*(VLOOKUP(H97,List!$E$35:$F$37,2,)),time*(1-(VLOOKUP(H97,List!$E$35:$F$37,2,))))</f>
        <v>0</v>
      </c>
      <c r="R97" s="1400">
        <f>MIN(M97,O97)*time_tot+ABS(O97-M97)*IF(O97&gt;M97,time2+time*(VLOOKUP(K97,List!$E$35:$F$37,2,)),time*(1-(VLOOKUP(K97,List!$E$35:$F$37,2,))))</f>
        <v>0</v>
      </c>
      <c r="S97" s="1403"/>
      <c r="T97" s="1404">
        <f t="shared" si="27"/>
        <v>0</v>
      </c>
      <c r="AG97" s="1964">
        <f>MIN(M97,N97)*time+ABS(N97-M97)*IF(N97&gt;M97,time*(VLOOKUP(H97,List!$E$35:$F$37,2,)),time*(1-(VLOOKUP(H97,List!$E$35:$F$37,2,))))</f>
        <v>0</v>
      </c>
      <c r="AH97" s="1964">
        <f>MIN(M97,O97)*time+ABS(O97-M97)*IF(O97&gt;M97,time*(VLOOKUP(K97,List!$E$35:$F$37,2,)),time*(1-(VLOOKUP(K97,List!$E$35:$F$37,2,))))</f>
        <v>0</v>
      </c>
      <c r="AL97" s="1951" t="s">
        <v>4682</v>
      </c>
      <c r="AM97" s="2906">
        <f>Q100+Q51+Q23</f>
        <v>0</v>
      </c>
      <c r="AN97" s="2906">
        <f>R100+R51+R23</f>
        <v>0</v>
      </c>
    </row>
    <row r="98" spans="1:40" ht="13.8" thickBot="1">
      <c r="A98" s="1423"/>
      <c r="B98" s="254"/>
      <c r="C98" s="1463" t="s">
        <v>1043</v>
      </c>
      <c r="D98" s="1130"/>
      <c r="E98" s="1459">
        <f>HLOOKUP(C98,' IPCC'!$N$553:$Q$565,1+MATCH(region,' IPCC'!$A$554:$A$565,),)</f>
        <v>0</v>
      </c>
      <c r="F98" s="1998">
        <f>'4.Grassland'!R48</f>
        <v>0</v>
      </c>
      <c r="G98" s="1999">
        <f>'4.Grassland'!S48</f>
        <v>0</v>
      </c>
      <c r="H98" s="37" t="str">
        <f>H96</f>
        <v>Linear</v>
      </c>
      <c r="I98" s="49"/>
      <c r="J98" s="2002">
        <f>'4.Grassland'!T48</f>
        <v>0</v>
      </c>
      <c r="K98" s="37" t="str">
        <f>K96</f>
        <v>Linear</v>
      </c>
      <c r="L98" s="49"/>
      <c r="M98" s="1400">
        <f>-$M$15*$E98*$F98</f>
        <v>0</v>
      </c>
      <c r="N98" s="1400">
        <f>-$N$15*$E98*$G98</f>
        <v>0</v>
      </c>
      <c r="O98" s="1400">
        <f>-$O$15*$E98*$J98</f>
        <v>0</v>
      </c>
      <c r="P98" s="1403"/>
      <c r="Q98" s="1400">
        <f>MIN(M98,N98)*time_tot+ABS(N98-M98)*IF(N98&gt;M98,time2+time*(VLOOKUP(H98,List!$E$35:$F$37,2,)),time*(1-(VLOOKUP(H98,List!$E$35:$F$37,2,))))</f>
        <v>0</v>
      </c>
      <c r="R98" s="1400">
        <f>MIN(M98,O98)*time_tot+ABS(O98-M98)*IF(O98&gt;M98,time2+time*(VLOOKUP(K98,List!$E$35:$F$37,2,)),time*(1-(VLOOKUP(K98,List!$E$35:$F$37,2,))))</f>
        <v>0</v>
      </c>
      <c r="S98" s="1403"/>
      <c r="T98" s="1404">
        <f t="shared" si="27"/>
        <v>0</v>
      </c>
      <c r="AG98" s="1964">
        <f>MIN(M98,N98)*time+ABS(N98-M98)*IF(N98&gt;M98,time*(VLOOKUP(H98,List!$E$35:$F$37,2,)),time*(1-(VLOOKUP(H98,List!$E$35:$F$37,2,))))</f>
        <v>0</v>
      </c>
      <c r="AH98" s="1964">
        <f>MIN(M98,O98)*time+ABS(O98-M98)*IF(O98&gt;M98,time*(VLOOKUP(K98,List!$E$35:$F$37,2,)),time*(1-(VLOOKUP(K98,List!$E$35:$F$37,2,))))</f>
        <v>0</v>
      </c>
      <c r="AL98" s="1951" t="s">
        <v>4683</v>
      </c>
      <c r="AM98" s="2906">
        <f>Q74</f>
        <v>0</v>
      </c>
      <c r="AN98" s="2906">
        <f>R74</f>
        <v>0</v>
      </c>
    </row>
    <row r="99" spans="1:40">
      <c r="A99" s="1423"/>
      <c r="B99" s="116"/>
      <c r="C99" s="1464" t="s">
        <v>1103</v>
      </c>
      <c r="D99" s="1467"/>
      <c r="E99" s="1459">
        <f>HLOOKUP(C99,' IPCC'!$N$553:$Q$565,1+MATCH(region,' IPCC'!$A$554:$A$565,),)</f>
        <v>0</v>
      </c>
      <c r="F99" s="400">
        <f>1-SUM(F96:F98)</f>
        <v>1</v>
      </c>
      <c r="G99" s="400">
        <f>1-SUM(G96:G98)</f>
        <v>1</v>
      </c>
      <c r="H99" s="37" t="str">
        <f>H96</f>
        <v>Linear</v>
      </c>
      <c r="I99" s="49"/>
      <c r="J99" s="400">
        <f>1-SUM(J96:J98)</f>
        <v>1</v>
      </c>
      <c r="K99" s="37" t="str">
        <f>K96</f>
        <v>Linear</v>
      </c>
      <c r="L99" s="49"/>
      <c r="M99" s="1400">
        <f>-$M$15*$E99*$F99</f>
        <v>0</v>
      </c>
      <c r="N99" s="1400">
        <f>-$N$15*$E99*$G99</f>
        <v>0</v>
      </c>
      <c r="O99" s="1400">
        <f>-$O$15*$E99*$J99</f>
        <v>0</v>
      </c>
      <c r="P99" s="1403"/>
      <c r="Q99" s="1400">
        <f>MIN(M99,N99)*time_tot+ABS(N99-M99)*IF(N99&gt;M99,time2+time*(VLOOKUP(H99,List!$E$35:$F$37,2,)),time*(1-(VLOOKUP(H99,List!$E$35:$F$37,2,))))</f>
        <v>0</v>
      </c>
      <c r="R99" s="1400">
        <f>MIN(M99,O99)*time_tot+ABS(O99-M99)*IF(O99&gt;M99,time2+time*(VLOOKUP(K99,List!$E$35:$F$37,2,)),time*(1-(VLOOKUP(K99,List!$E$35:$F$37,2,))))</f>
        <v>0</v>
      </c>
      <c r="S99" s="1403"/>
      <c r="T99" s="1404">
        <f t="shared" si="27"/>
        <v>0</v>
      </c>
      <c r="AG99" s="1964">
        <f>MIN(M99,N99)*time+ABS(N99-M99)*IF(N99&gt;M99,time*(VLOOKUP(H99,List!$E$35:$F$37,2,)),time*(1-(VLOOKUP(H99,List!$E$35:$F$37,2,))))</f>
        <v>0</v>
      </c>
      <c r="AH99" s="1964">
        <f>MIN(M99,O99)*time+ABS(O99-M99)*IF(O99&gt;M99,time*(VLOOKUP(K99,List!$E$35:$F$37,2,)),time*(1-(VLOOKUP(K99,List!$E$35:$F$37,2,))))</f>
        <v>0</v>
      </c>
      <c r="AL99" s="1951" t="s">
        <v>531</v>
      </c>
      <c r="AM99" s="2906">
        <f>SUM(AM97:AM98)</f>
        <v>0</v>
      </c>
      <c r="AN99" s="2906">
        <f>SUM(AN97:AN98)</f>
        <v>0</v>
      </c>
    </row>
    <row r="100" spans="1:40">
      <c r="A100" s="1423"/>
      <c r="B100" s="49"/>
      <c r="C100" s="46"/>
      <c r="D100" s="46"/>
      <c r="E100" s="46"/>
      <c r="F100" s="49"/>
      <c r="G100" s="49"/>
      <c r="H100" s="47"/>
      <c r="I100" s="49"/>
      <c r="J100" s="49"/>
      <c r="K100" s="1439" t="s">
        <v>1045</v>
      </c>
      <c r="L100" s="1440"/>
      <c r="M100" s="1259">
        <f>SUM(M84:M99)</f>
        <v>0</v>
      </c>
      <c r="N100" s="1259">
        <f>SUM(N84:N99)</f>
        <v>0</v>
      </c>
      <c r="O100" s="1259">
        <f>SUM(O84:O99)</f>
        <v>0</v>
      </c>
      <c r="P100" s="1259"/>
      <c r="Q100" s="1259">
        <f>SUM(Q84:Q99)</f>
        <v>0</v>
      </c>
      <c r="R100" s="1259">
        <f>SUM(R84:R99)</f>
        <v>0</v>
      </c>
      <c r="S100" s="1405"/>
      <c r="T100" s="1406">
        <f>SUM(T84:T99)</f>
        <v>0</v>
      </c>
      <c r="AI100" s="1965">
        <f>SUM(AH84:AH99)-SUM(AG84:AG99)</f>
        <v>0</v>
      </c>
    </row>
    <row r="101" spans="1:40" ht="13.8" thickBot="1">
      <c r="B101" s="1929" t="s">
        <v>1048</v>
      </c>
      <c r="C101" s="9"/>
      <c r="D101" s="9"/>
      <c r="E101" s="9"/>
      <c r="F101" s="1"/>
      <c r="G101" s="1"/>
      <c r="H101" s="19"/>
      <c r="I101" s="1"/>
      <c r="J101" s="1"/>
      <c r="K101" s="19"/>
      <c r="L101" s="19"/>
      <c r="M101" s="19"/>
      <c r="N101" s="19"/>
      <c r="O101" s="19"/>
      <c r="P101" s="19"/>
      <c r="Q101" s="48"/>
      <c r="R101" s="48"/>
      <c r="S101" s="48"/>
      <c r="T101" s="48"/>
    </row>
    <row r="102" spans="1:40" ht="13.8" thickBot="1">
      <c r="B102" s="1929" t="s">
        <v>1049</v>
      </c>
      <c r="C102" s="9"/>
      <c r="D102" s="9"/>
      <c r="E102" s="9"/>
      <c r="F102" s="1"/>
      <c r="G102" s="1"/>
      <c r="H102" s="19"/>
      <c r="I102" s="1"/>
      <c r="J102" s="1"/>
      <c r="K102" s="19"/>
      <c r="L102" s="1"/>
      <c r="M102" s="9"/>
      <c r="N102" s="262" t="s">
        <v>704</v>
      </c>
      <c r="O102" s="263"/>
      <c r="P102" s="263"/>
      <c r="Q102" s="1103">
        <f>Q74+Q51+Q23+Q100</f>
        <v>0</v>
      </c>
      <c r="R102" s="1103">
        <f>R74+R51+R23+R100</f>
        <v>0</v>
      </c>
      <c r="S102" s="1103"/>
      <c r="T102" s="1260">
        <f>R102-Q102</f>
        <v>0</v>
      </c>
      <c r="AI102" s="1965">
        <f>AI100+AI74+AI51+AI23</f>
        <v>0</v>
      </c>
      <c r="AJ102" s="1965">
        <f>T102-AI102</f>
        <v>0</v>
      </c>
    </row>
    <row r="103" spans="1:40">
      <c r="B103" s="1993" t="s">
        <v>1050</v>
      </c>
      <c r="C103" s="9"/>
      <c r="D103" s="9"/>
      <c r="E103" s="9"/>
      <c r="F103" s="1"/>
      <c r="G103" s="1"/>
      <c r="H103" s="19"/>
      <c r="I103" s="1"/>
      <c r="J103" s="1"/>
      <c r="K103" s="19"/>
      <c r="L103" s="1"/>
      <c r="M103" s="1"/>
      <c r="N103" s="1"/>
      <c r="O103" s="1"/>
      <c r="P103" s="1"/>
      <c r="Q103" s="1"/>
      <c r="R103" s="1"/>
    </row>
    <row r="104" spans="1:40">
      <c r="B104" s="1929" t="s">
        <v>1051</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Q10:R10"/>
    <mergeCell ref="M9:O9"/>
    <mergeCell ref="N10:O10"/>
    <mergeCell ref="F9:K9"/>
    <mergeCell ref="J10:K10"/>
    <mergeCell ref="G10:H10"/>
    <mergeCell ref="Q38:R38"/>
    <mergeCell ref="F54:K54"/>
    <mergeCell ref="M54:O54"/>
    <mergeCell ref="Q55:R55"/>
    <mergeCell ref="G38:H38"/>
    <mergeCell ref="J38:K38"/>
    <mergeCell ref="G55:H55"/>
    <mergeCell ref="J55:K55"/>
    <mergeCell ref="N55:O55"/>
    <mergeCell ref="G5:H5"/>
    <mergeCell ref="M37:O37"/>
    <mergeCell ref="N38:O38"/>
    <mergeCell ref="F37:K37"/>
    <mergeCell ref="F26:G26"/>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I524"/>
  <sheetViews>
    <sheetView zoomScale="90" zoomScaleNormal="90" workbookViewId="0">
      <pane ySplit="5" topLeftCell="A6" activePane="bottomLeft" state="frozen"/>
      <selection activeCell="J14" sqref="J14"/>
      <selection pane="bottomLeft" activeCell="H21" sqref="H21"/>
    </sheetView>
  </sheetViews>
  <sheetFormatPr baseColWidth="10" defaultColWidth="14.109375" defaultRowHeight="13.2"/>
  <cols>
    <col min="1" max="1" width="4.6640625" style="232" customWidth="1"/>
    <col min="2" max="2" width="2.109375" style="232" customWidth="1"/>
    <col min="3" max="3" width="7" style="232" customWidth="1"/>
    <col min="4" max="4" width="12.44140625" style="232" customWidth="1"/>
    <col min="5" max="5" width="1.33203125" style="244" customWidth="1"/>
    <col min="6" max="6" width="11.33203125" style="244" customWidth="1"/>
    <col min="7" max="7" width="2.109375" style="232" customWidth="1"/>
    <col min="8" max="8" width="10.88671875" style="232" customWidth="1"/>
    <col min="9" max="9" width="2.6640625" style="244" customWidth="1"/>
    <col min="10" max="10" width="11" style="244" customWidth="1"/>
    <col min="11" max="11" width="3.33203125" style="244" customWidth="1"/>
    <col min="12" max="12" width="8.88671875" style="244" customWidth="1"/>
    <col min="13" max="13" width="8.6640625" style="244" customWidth="1"/>
    <col min="14" max="14" width="7.6640625" style="244" customWidth="1"/>
    <col min="15" max="15" width="1.33203125" style="244" customWidth="1"/>
    <col min="16" max="16" width="6.33203125" style="244" customWidth="1"/>
    <col min="17" max="17" width="8.33203125" style="244" customWidth="1"/>
    <col min="18" max="18" width="9" style="244" customWidth="1"/>
    <col min="19" max="19" width="1.33203125" style="244" customWidth="1"/>
    <col min="20" max="20" width="9.88671875" style="244" customWidth="1"/>
    <col min="21" max="21" width="7.5546875" style="244" customWidth="1"/>
    <col min="22" max="22" width="3.44140625" style="244" customWidth="1"/>
    <col min="23" max="23" width="6.6640625" style="244" customWidth="1"/>
    <col min="24" max="24" width="3.88671875" style="244" customWidth="1"/>
    <col min="25" max="26" width="9" style="244" customWidth="1"/>
    <col min="27" max="27" width="9" style="232" customWidth="1"/>
    <col min="28" max="28" width="10.6640625" style="232" customWidth="1"/>
    <col min="29" max="29" width="18.44140625" style="232" customWidth="1"/>
    <col min="30" max="30" width="3.44140625" style="232" customWidth="1"/>
    <col min="31" max="31" width="15.88671875" style="232" customWidth="1"/>
    <col min="32" max="32" width="6.44140625" style="232" customWidth="1"/>
    <col min="33" max="33" width="17.44140625" style="232" customWidth="1"/>
    <col min="34" max="34" width="4.33203125" style="232" customWidth="1"/>
    <col min="35" max="35" width="17.33203125" style="232" customWidth="1"/>
    <col min="36" max="16384" width="14.109375" style="232"/>
  </cols>
  <sheetData>
    <row r="1" spans="1:35" s="2290" customFormat="1" ht="22.95" customHeight="1">
      <c r="E1" s="2291"/>
      <c r="F1" s="2291"/>
      <c r="I1" s="2291"/>
      <c r="J1" s="2291"/>
      <c r="K1" s="2291"/>
      <c r="L1" s="2291"/>
      <c r="M1" s="2291"/>
      <c r="N1" s="2291"/>
      <c r="O1" s="2291"/>
      <c r="P1" s="2291"/>
      <c r="Q1" s="2291"/>
      <c r="R1" s="2291"/>
      <c r="S1" s="2291"/>
      <c r="T1" s="2291"/>
      <c r="U1" s="2291"/>
      <c r="V1" s="2291"/>
      <c r="W1" s="2291"/>
      <c r="X1" s="2291"/>
      <c r="Y1" s="2291"/>
      <c r="Z1" s="2291"/>
    </row>
    <row r="2" spans="1:35" s="2290" customFormat="1" ht="22.95" customHeight="1">
      <c r="E2" s="2291"/>
      <c r="F2" s="2291"/>
      <c r="I2" s="2291"/>
      <c r="J2" s="2291"/>
      <c r="K2" s="2291"/>
      <c r="L2" s="2291"/>
      <c r="M2" s="2291"/>
      <c r="N2" s="2291"/>
      <c r="O2" s="2291"/>
      <c r="P2" s="2291"/>
      <c r="Q2" s="2291"/>
      <c r="R2" s="2291"/>
      <c r="S2" s="2291"/>
      <c r="T2" s="2291"/>
      <c r="U2" s="2291"/>
      <c r="V2" s="2291"/>
      <c r="W2" s="2291"/>
      <c r="X2" s="2291"/>
      <c r="Y2" s="2291"/>
      <c r="Z2" s="2291"/>
    </row>
    <row r="3" spans="1:35" s="2290" customFormat="1" ht="22.95" customHeight="1">
      <c r="E3" s="2291"/>
      <c r="F3" s="2291"/>
      <c r="I3" s="2291"/>
      <c r="J3" s="2291"/>
      <c r="K3" s="2291"/>
      <c r="L3" s="2291"/>
      <c r="M3" s="2291"/>
      <c r="N3" s="2291"/>
      <c r="O3" s="2291"/>
      <c r="P3" s="2291"/>
      <c r="Q3" s="2291"/>
      <c r="R3" s="2291"/>
      <c r="S3" s="2291"/>
      <c r="T3" s="2291"/>
      <c r="U3" s="2291"/>
      <c r="V3" s="2291"/>
      <c r="W3" s="2291"/>
      <c r="X3" s="2291"/>
      <c r="Y3" s="2291"/>
      <c r="Z3" s="2291"/>
    </row>
    <row r="4" spans="1:35" s="2290" customFormat="1" ht="22.95" customHeight="1">
      <c r="E4" s="2291"/>
      <c r="F4" s="2291"/>
      <c r="I4" s="2291"/>
      <c r="J4" s="2291"/>
      <c r="K4" s="2291"/>
      <c r="L4" s="2291"/>
      <c r="M4" s="2291"/>
      <c r="N4" s="2291"/>
      <c r="O4" s="2291"/>
      <c r="P4" s="2291"/>
      <c r="Q4" s="2291"/>
      <c r="R4" s="2291"/>
      <c r="S4" s="2291"/>
      <c r="T4" s="2291"/>
      <c r="U4" s="2291"/>
      <c r="V4" s="2291"/>
      <c r="W4" s="2291"/>
      <c r="X4" s="2291"/>
      <c r="Y4" s="2291"/>
      <c r="Z4" s="2291"/>
    </row>
    <row r="5" spans="1:35" s="2292" customFormat="1" ht="22.95" customHeight="1">
      <c r="A5" s="2783" t="str">
        <f>HLOOKUP(select,translations!$B$436:$H$450,2,)</f>
        <v xml:space="preserve"> </v>
      </c>
      <c r="E5" s="2293"/>
      <c r="F5" s="2293"/>
      <c r="I5" s="2293"/>
      <c r="J5" s="2293"/>
      <c r="K5" s="2293"/>
      <c r="L5" s="2293"/>
      <c r="M5" s="2293"/>
      <c r="N5" s="2293"/>
      <c r="O5" s="2293"/>
      <c r="P5" s="2293"/>
      <c r="Q5" s="2293"/>
      <c r="R5" s="2293"/>
      <c r="S5" s="2293"/>
      <c r="T5" s="2293"/>
      <c r="U5" s="2293"/>
      <c r="V5" s="2293"/>
      <c r="W5" s="2293"/>
      <c r="X5" s="2293"/>
      <c r="Y5" s="2293"/>
      <c r="Z5" s="2293"/>
    </row>
    <row r="6" spans="1:35" s="1749" customFormat="1">
      <c r="B6" s="1845"/>
      <c r="I6" s="1751"/>
      <c r="J6" s="1751"/>
      <c r="K6" s="1751"/>
      <c r="L6" s="1751"/>
      <c r="M6" s="1751"/>
      <c r="N6" s="1751"/>
      <c r="O6" s="1751"/>
      <c r="P6" s="1751"/>
      <c r="Q6" s="1751"/>
      <c r="R6" s="1751"/>
      <c r="S6" s="1751"/>
      <c r="T6" s="1751"/>
      <c r="U6" s="1751"/>
      <c r="V6" s="1751"/>
      <c r="W6" s="1751"/>
      <c r="X6" s="1751"/>
      <c r="Y6" s="1751"/>
      <c r="Z6" s="1751"/>
    </row>
    <row r="7" spans="1:35" s="1749" customFormat="1" ht="15.6">
      <c r="B7" s="2579" t="str">
        <f>HLOOKUP(select,translations!$A$209:$H$250,2,)</f>
        <v>5.1. Forest degradation and Management</v>
      </c>
      <c r="C7" s="2579"/>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row>
    <row r="8" spans="1:35" s="1749" customFormat="1">
      <c r="B8" s="2260"/>
      <c r="C8" s="2731" t="str">
        <f>HLOOKUP(select,translations!$A$20:$H$70,3,)</f>
        <v>AEZ map</v>
      </c>
      <c r="D8" s="2260"/>
      <c r="E8" s="2260"/>
      <c r="F8" s="2031" t="str">
        <f>CONCATENATE(HLOOKUP(select,translations!$A$20:$H$45,21,),IF(Nlang=1,forest1,VLOOKUP(forest1,'Name translation'!$A$30:$H$45,Nlang+1,)))</f>
        <v>Zone 1 = Please specify the climate</v>
      </c>
      <c r="G8" s="2031"/>
      <c r="H8" s="2031"/>
      <c r="I8" s="2260"/>
      <c r="J8" s="2260"/>
      <c r="K8" s="2260"/>
      <c r="L8" s="2031" t="str">
        <f>CONCATENATE(HLOOKUP(select,translations!$A$20:$H$45,22,),IF(Nlang=1,forest2,VLOOKUP(forest2,'Name translation'!$A$30:$H$45,Nlang+1,)))</f>
        <v>Zone 2 = Please specify the climate</v>
      </c>
      <c r="M8" s="2031"/>
      <c r="N8" s="2031"/>
      <c r="O8" s="2031"/>
      <c r="P8" s="2260"/>
      <c r="Q8" s="2031"/>
      <c r="R8" s="2031" t="str">
        <f>CONCATENATE(HLOOKUP(select,translations!$A$20:$H$45,23,),IF(Nlang=1,forest3,VLOOKUP(forest3,'Name translation'!$A$30:$H$45,Nlang+1,)))</f>
        <v>Zone 3 = Please specify the climate</v>
      </c>
      <c r="S8" s="2031"/>
      <c r="T8" s="2031"/>
      <c r="U8" s="2031"/>
      <c r="V8" s="2260"/>
      <c r="W8" s="2663" t="str">
        <f>CONCATENATE(HLOOKUP(select,translations!$A$20:$H$45,24,),IF(Nlang=1,forest4,VLOOKUP(forest4,'Name translation'!$A$30:$H$45,Nlang+1,)))</f>
        <v>Zone 4 = Please specify the climate</v>
      </c>
      <c r="X8" s="2032"/>
      <c r="Y8" s="2031"/>
      <c r="Z8" s="2031"/>
      <c r="AA8" s="2031"/>
    </row>
    <row r="9" spans="1:35" s="1749" customFormat="1">
      <c r="B9" s="1851"/>
      <c r="C9" s="1851"/>
      <c r="D9" s="1748"/>
      <c r="AC9" s="1987" t="str">
        <f>'2.LUC'!V9</f>
        <v xml:space="preserve"> </v>
      </c>
      <c r="AD9" s="1987"/>
    </row>
    <row r="10" spans="1:35" s="1987" customFormat="1" ht="15.6" customHeight="1">
      <c r="B10" s="1852" t="str">
        <f>'2.LUC'!B10</f>
        <v>Type of vegetation</v>
      </c>
      <c r="C10" s="2962"/>
      <c r="D10" s="2139"/>
      <c r="E10" s="1800">
        <f>2+3</f>
        <v>5</v>
      </c>
      <c r="F10" s="1800" t="str">
        <f>HLOOKUP(select,translations!$A$209:$H$250,3,)</f>
        <v>Degradation level of the vegetation</v>
      </c>
      <c r="G10" s="1800"/>
      <c r="H10" s="1765"/>
      <c r="I10" s="1765"/>
      <c r="J10" s="1765"/>
      <c r="K10" s="2043"/>
      <c r="L10" s="2050" t="str">
        <f>HLOOKUP(select,translations!$A$209:$H$250,6,)</f>
        <v>Fire occurrence and severity</v>
      </c>
      <c r="M10" s="2050"/>
      <c r="N10" s="1766"/>
      <c r="O10" s="1766"/>
      <c r="P10" s="1766"/>
      <c r="Q10" s="1766"/>
      <c r="R10" s="2052"/>
      <c r="S10" s="1765"/>
      <c r="T10" s="1766" t="str">
        <f>'4.Grassland'!AA10</f>
        <v>Area (ha)</v>
      </c>
      <c r="U10" s="2733"/>
      <c r="V10" s="2733"/>
      <c r="W10" s="2733"/>
      <c r="X10" s="2044"/>
      <c r="Y10" s="3127" t="str">
        <f>'4.Grassland'!AF10</f>
        <v>Total Emissions</v>
      </c>
      <c r="Z10" s="3127"/>
      <c r="AA10" s="2124" t="str">
        <f>'4.Grassland'!AH10</f>
        <v>Balance</v>
      </c>
      <c r="AE10" s="1987" t="str">
        <f>IF(Nlang=1,"",F10)</f>
        <v/>
      </c>
    </row>
    <row r="11" spans="1:35" s="2009" customFormat="1">
      <c r="B11" s="1801" t="str">
        <f>HLOOKUP(select,translations!$A$209:$H$250,5,)</f>
        <v>that will be degraded</v>
      </c>
      <c r="C11" s="2963"/>
      <c r="D11" s="2139"/>
      <c r="E11" s="2139"/>
      <c r="F11" s="1919" t="str">
        <f>'4.Grassland'!D10</f>
        <v>Initial State</v>
      </c>
      <c r="G11" s="1919"/>
      <c r="H11" s="1848" t="str">
        <f>HLOOKUP(select,translations!$A$209:$H$250,4,)</f>
        <v>At the end</v>
      </c>
      <c r="I11" s="2011"/>
      <c r="J11" s="1790"/>
      <c r="K11" s="2043"/>
      <c r="L11" s="2647" t="str">
        <f>'4.Grassland'!AB11</f>
        <v>Without</v>
      </c>
      <c r="M11" s="2049" t="str">
        <f>HLOOKUP(select,translations!$A$209:$H$250,9,)</f>
        <v>Periodicity</v>
      </c>
      <c r="N11" s="2049" t="str">
        <f>HLOOKUP(select,translations!$A$209:$H$250,10,)</f>
        <v>Impact</v>
      </c>
      <c r="O11" s="1918"/>
      <c r="P11" s="1789" t="str">
        <f>'4.Grassland'!AD11</f>
        <v>With</v>
      </c>
      <c r="Q11" s="2049" t="str">
        <f>M11</f>
        <v>Periodicity</v>
      </c>
      <c r="R11" s="2129" t="str">
        <f>N11</f>
        <v>Impact</v>
      </c>
      <c r="S11" s="1790"/>
      <c r="T11" s="1919" t="str">
        <f>'4.Grassland'!AA11</f>
        <v>Start</v>
      </c>
      <c r="U11" s="1917" t="str">
        <f>L11</f>
        <v>Without</v>
      </c>
      <c r="V11" s="1917"/>
      <c r="W11" s="1917" t="str">
        <f>P11</f>
        <v>With</v>
      </c>
      <c r="X11" s="1917"/>
      <c r="Y11" s="3201" t="str">
        <f>'4.Grassland'!AF11</f>
        <v>(tCO2-eq)</v>
      </c>
      <c r="Z11" s="3201"/>
      <c r="AA11" s="1790"/>
      <c r="AE11" s="2009" t="str">
        <f>IF(Nlang=1,"",F11)</f>
        <v/>
      </c>
      <c r="AG11" s="2009" t="str">
        <f>IF(Nlang=1,"",H11)</f>
        <v/>
      </c>
    </row>
    <row r="12" spans="1:35" s="2005" customFormat="1">
      <c r="B12" s="2006"/>
      <c r="C12" s="1990"/>
      <c r="D12" s="1990"/>
      <c r="E12" s="1990"/>
      <c r="F12" s="2006"/>
      <c r="G12" s="2006"/>
      <c r="H12" s="2006" t="str">
        <f>'4.Grassland'!J11</f>
        <v>Without project</v>
      </c>
      <c r="I12" s="2006"/>
      <c r="J12" s="2006" t="str">
        <f>'4.Grassland'!N11</f>
        <v>With project</v>
      </c>
      <c r="K12" s="2051"/>
      <c r="L12" s="2129" t="str">
        <f>'4.Grassland'!R12</f>
        <v>(y/n)</v>
      </c>
      <c r="M12" s="2129" t="str">
        <f>'4.Grassland'!S12</f>
        <v>(year)</v>
      </c>
      <c r="N12" s="2018" t="str">
        <f>HLOOKUP(select,translations!$A$209:$H$250,8,)</f>
        <v>(% burnt)</v>
      </c>
      <c r="O12" s="1919"/>
      <c r="P12" s="2129" t="str">
        <f>L12</f>
        <v>(y/n)</v>
      </c>
      <c r="Q12" s="2129" t="str">
        <f>M12</f>
        <v>(year)</v>
      </c>
      <c r="R12" s="2018" t="str">
        <f>N12</f>
        <v>(% burnt)</v>
      </c>
      <c r="S12" s="2018"/>
      <c r="T12" s="1799"/>
      <c r="U12" s="1860"/>
      <c r="V12" s="2305" t="s">
        <v>93</v>
      </c>
      <c r="W12" s="1860"/>
      <c r="X12" s="2305" t="s">
        <v>93</v>
      </c>
      <c r="Y12" s="2686" t="str">
        <f>U11</f>
        <v>Without</v>
      </c>
      <c r="Z12" s="2686" t="str">
        <f>W11</f>
        <v>With</v>
      </c>
      <c r="AA12" s="2004"/>
      <c r="AB12" s="2022"/>
      <c r="AG12" s="2005" t="str">
        <f>IF(Nlang=1,"",H12)</f>
        <v/>
      </c>
      <c r="AI12" s="2005" t="str">
        <f>IF(Nlang=1,"",J12)</f>
        <v/>
      </c>
    </row>
    <row r="13" spans="1:35" s="2005" customFormat="1">
      <c r="B13" s="3235" t="s">
        <v>1517</v>
      </c>
      <c r="C13" s="3235"/>
      <c r="D13" s="3235"/>
      <c r="E13" s="2140"/>
      <c r="F13" s="1763" t="s">
        <v>214</v>
      </c>
      <c r="G13" s="2006"/>
      <c r="H13" s="1763" t="s">
        <v>214</v>
      </c>
      <c r="I13" s="2011"/>
      <c r="J13" s="2666" t="s">
        <v>214</v>
      </c>
      <c r="K13" s="2004"/>
      <c r="L13" s="2125" t="s">
        <v>359</v>
      </c>
      <c r="M13" s="2141"/>
      <c r="N13" s="2142"/>
      <c r="O13" s="2004"/>
      <c r="P13" s="2125" t="s">
        <v>359</v>
      </c>
      <c r="Q13" s="2141"/>
      <c r="R13" s="2142"/>
      <c r="S13" s="2018"/>
      <c r="T13" s="2138">
        <v>0</v>
      </c>
      <c r="U13" s="2004">
        <f t="shared" ref="U13:U18" si="0">T13</f>
        <v>0</v>
      </c>
      <c r="V13" s="2164" t="s">
        <v>1525</v>
      </c>
      <c r="W13" s="2004">
        <f t="shared" ref="W13:W18" si="1">T13</f>
        <v>0</v>
      </c>
      <c r="X13" s="2164" t="s">
        <v>1525</v>
      </c>
      <c r="Y13" s="1860">
        <f>'Forest Degradation'!N43</f>
        <v>0</v>
      </c>
      <c r="Z13" s="1860">
        <f>'Forest Degradation'!O43</f>
        <v>0</v>
      </c>
      <c r="AA13" s="2004">
        <f>'Forest Degradation'!P43</f>
        <v>0</v>
      </c>
      <c r="AB13" s="2022"/>
      <c r="AC13" s="2724" t="str">
        <f>IF(Nlang=1,"",VLOOKUP(B13,'Name translation'!$A$46:$H$54,Nlang+1,))</f>
        <v/>
      </c>
      <c r="AE13" s="2724" t="str">
        <f>IF(Nlang=1,"",VLOOKUP(F13,'Name translation'!$A$127:$H$133,Nlang+1,))</f>
        <v/>
      </c>
      <c r="AG13" s="2724" t="str">
        <f>IF(Nlang=1,"",VLOOKUP(H13,'Name translation'!$A$127:$H$133,Nlang+1,))</f>
        <v/>
      </c>
      <c r="AI13" s="2724" t="str">
        <f>IF(Nlang=1,"",VLOOKUP(J13,'Name translation'!$A$127:$H$133,Nlang+1,))</f>
        <v/>
      </c>
    </row>
    <row r="14" spans="1:35" s="2005" customFormat="1">
      <c r="B14" s="3236" t="s">
        <v>1517</v>
      </c>
      <c r="C14" s="3235"/>
      <c r="D14" s="3235"/>
      <c r="E14" s="2140"/>
      <c r="F14" s="2666" t="s">
        <v>214</v>
      </c>
      <c r="G14" s="2006"/>
      <c r="H14" s="2666" t="s">
        <v>214</v>
      </c>
      <c r="I14" s="2011"/>
      <c r="J14" s="2666" t="s">
        <v>214</v>
      </c>
      <c r="K14" s="2004"/>
      <c r="L14" s="2957" t="s">
        <v>359</v>
      </c>
      <c r="M14" s="2141"/>
      <c r="N14" s="2142"/>
      <c r="O14" s="2004"/>
      <c r="P14" s="2957" t="s">
        <v>359</v>
      </c>
      <c r="Q14" s="2141"/>
      <c r="R14" s="2142"/>
      <c r="S14" s="2018"/>
      <c r="T14" s="2134">
        <v>0</v>
      </c>
      <c r="U14" s="2004">
        <f t="shared" si="0"/>
        <v>0</v>
      </c>
      <c r="V14" s="2164" t="s">
        <v>1525</v>
      </c>
      <c r="W14" s="2004">
        <f t="shared" si="1"/>
        <v>0</v>
      </c>
      <c r="X14" s="2164" t="s">
        <v>1525</v>
      </c>
      <c r="Y14" s="1860">
        <f>'Forest Degradation'!N44</f>
        <v>0</v>
      </c>
      <c r="Z14" s="1860">
        <f>'Forest Degradation'!O44</f>
        <v>0</v>
      </c>
      <c r="AA14" s="2004">
        <f>'Forest Degradation'!P44</f>
        <v>0</v>
      </c>
      <c r="AB14" s="2022"/>
      <c r="AC14" s="2724" t="str">
        <f>IF(Nlang=1,"",VLOOKUP(B14,'Name translation'!$A$46:$H$54,Nlang+1,))</f>
        <v/>
      </c>
      <c r="AE14" s="2724" t="str">
        <f>IF(Nlang=1,"",VLOOKUP(F14,'Name translation'!$A$127:$H$133,Nlang+1,))</f>
        <v/>
      </c>
      <c r="AG14" s="2724" t="str">
        <f>IF(Nlang=1,"",VLOOKUP(H14,'Name translation'!$A$127:$H$133,Nlang+1,))</f>
        <v/>
      </c>
      <c r="AI14" s="2724" t="str">
        <f>IF(Nlang=1,"",VLOOKUP(J14,'Name translation'!$A$127:$H$133,Nlang+1,))</f>
        <v/>
      </c>
    </row>
    <row r="15" spans="1:35" s="2009" customFormat="1">
      <c r="B15" s="3235" t="s">
        <v>1517</v>
      </c>
      <c r="C15" s="3235"/>
      <c r="D15" s="3235"/>
      <c r="E15" s="2140"/>
      <c r="F15" s="1763" t="s">
        <v>214</v>
      </c>
      <c r="G15" s="2006"/>
      <c r="H15" s="2666" t="s">
        <v>214</v>
      </c>
      <c r="I15" s="2011"/>
      <c r="J15" s="1763" t="s">
        <v>214</v>
      </c>
      <c r="K15" s="1917"/>
      <c r="L15" s="2125" t="s">
        <v>359</v>
      </c>
      <c r="M15" s="2141"/>
      <c r="N15" s="2142"/>
      <c r="O15" s="2004"/>
      <c r="P15" s="2125" t="s">
        <v>359</v>
      </c>
      <c r="Q15" s="2141"/>
      <c r="R15" s="2142"/>
      <c r="S15" s="2020"/>
      <c r="T15" s="2134">
        <v>0</v>
      </c>
      <c r="U15" s="2004">
        <f t="shared" si="0"/>
        <v>0</v>
      </c>
      <c r="V15" s="2164" t="s">
        <v>1525</v>
      </c>
      <c r="W15" s="2004">
        <f t="shared" si="1"/>
        <v>0</v>
      </c>
      <c r="X15" s="2164" t="s">
        <v>1525</v>
      </c>
      <c r="Y15" s="1860">
        <f>'Forest Degradation'!N45</f>
        <v>0</v>
      </c>
      <c r="Z15" s="1860">
        <f>'Forest Degradation'!O45</f>
        <v>0</v>
      </c>
      <c r="AA15" s="2004">
        <f>'Forest Degradation'!P45</f>
        <v>0</v>
      </c>
      <c r="AB15" s="2022"/>
      <c r="AC15" s="2724" t="str">
        <f>IF(Nlang=1,"",VLOOKUP(B15,'Name translation'!$A$46:$H$54,Nlang+1,))</f>
        <v/>
      </c>
      <c r="AD15" s="2005"/>
      <c r="AE15" s="2724" t="str">
        <f>IF(Nlang=1,"",VLOOKUP(F15,'Name translation'!$A$127:$H$133,Nlang+1,))</f>
        <v/>
      </c>
      <c r="AF15" s="2005"/>
      <c r="AG15" s="2724" t="str">
        <f>IF(Nlang=1,"",VLOOKUP(H15,'Name translation'!$A$127:$H$133,Nlang+1,))</f>
        <v/>
      </c>
      <c r="AH15" s="2005"/>
      <c r="AI15" s="2724" t="str">
        <f>IF(Nlang=1,"",VLOOKUP(J15,'Name translation'!$A$127:$H$133,Nlang+1,))</f>
        <v/>
      </c>
    </row>
    <row r="16" spans="1:35" s="2005" customFormat="1">
      <c r="B16" s="3235" t="s">
        <v>1517</v>
      </c>
      <c r="C16" s="3235"/>
      <c r="D16" s="3235"/>
      <c r="E16" s="2136"/>
      <c r="F16" s="1763" t="s">
        <v>214</v>
      </c>
      <c r="G16" s="1919"/>
      <c r="H16" s="1763" t="s">
        <v>214</v>
      </c>
      <c r="I16" s="2011"/>
      <c r="J16" s="1763" t="s">
        <v>214</v>
      </c>
      <c r="K16" s="2004"/>
      <c r="L16" s="2125" t="s">
        <v>359</v>
      </c>
      <c r="M16" s="2141"/>
      <c r="N16" s="2142"/>
      <c r="O16" s="2004"/>
      <c r="P16" s="2125" t="s">
        <v>359</v>
      </c>
      <c r="Q16" s="2141"/>
      <c r="R16" s="2142"/>
      <c r="S16" s="2019"/>
      <c r="T16" s="2134">
        <v>0</v>
      </c>
      <c r="U16" s="2004">
        <f t="shared" si="0"/>
        <v>0</v>
      </c>
      <c r="V16" s="2164" t="s">
        <v>1525</v>
      </c>
      <c r="W16" s="2004">
        <f t="shared" si="1"/>
        <v>0</v>
      </c>
      <c r="X16" s="2164" t="s">
        <v>1525</v>
      </c>
      <c r="Y16" s="1860">
        <f>'Forest Degradation'!N46</f>
        <v>0</v>
      </c>
      <c r="Z16" s="1860">
        <f>'Forest Degradation'!O46</f>
        <v>0</v>
      </c>
      <c r="AA16" s="2004">
        <f>'Forest Degradation'!P46</f>
        <v>0</v>
      </c>
      <c r="AB16" s="2022"/>
      <c r="AC16" s="2724" t="str">
        <f>IF(Nlang=1,"",VLOOKUP(B16,'Name translation'!$A$46:$H$54,Nlang+1,))</f>
        <v/>
      </c>
      <c r="AE16" s="2724" t="str">
        <f>IF(Nlang=1,"",VLOOKUP(F16,'Name translation'!$A$127:$H$133,Nlang+1,))</f>
        <v/>
      </c>
      <c r="AG16" s="2724" t="str">
        <f>IF(Nlang=1,"",VLOOKUP(H16,'Name translation'!$A$127:$H$133,Nlang+1,))</f>
        <v/>
      </c>
      <c r="AI16" s="2724" t="str">
        <f>IF(Nlang=1,"",VLOOKUP(J16,'Name translation'!$A$127:$H$133,Nlang+1,))</f>
        <v/>
      </c>
    </row>
    <row r="17" spans="2:35" s="2005" customFormat="1">
      <c r="B17" s="3235" t="s">
        <v>1517</v>
      </c>
      <c r="C17" s="3235"/>
      <c r="D17" s="3235"/>
      <c r="E17" s="2140"/>
      <c r="F17" s="1763" t="s">
        <v>214</v>
      </c>
      <c r="G17" s="2006"/>
      <c r="H17" s="1763" t="s">
        <v>214</v>
      </c>
      <c r="I17" s="2011"/>
      <c r="J17" s="1763" t="s">
        <v>214</v>
      </c>
      <c r="K17" s="2004"/>
      <c r="L17" s="2125" t="s">
        <v>359</v>
      </c>
      <c r="M17" s="2141"/>
      <c r="N17" s="2142"/>
      <c r="O17" s="2004"/>
      <c r="P17" s="2125" t="s">
        <v>359</v>
      </c>
      <c r="Q17" s="2141"/>
      <c r="R17" s="2142"/>
      <c r="S17" s="2019"/>
      <c r="T17" s="2134">
        <v>0</v>
      </c>
      <c r="U17" s="2004">
        <f t="shared" si="0"/>
        <v>0</v>
      </c>
      <c r="V17" s="2164" t="s">
        <v>1525</v>
      </c>
      <c r="W17" s="2004">
        <f t="shared" si="1"/>
        <v>0</v>
      </c>
      <c r="X17" s="2164" t="s">
        <v>1525</v>
      </c>
      <c r="Y17" s="1860">
        <f>'Forest Degradation'!N47</f>
        <v>0</v>
      </c>
      <c r="Z17" s="1860">
        <f>'Forest Degradation'!O47</f>
        <v>0</v>
      </c>
      <c r="AA17" s="2004">
        <f>'Forest Degradation'!P47</f>
        <v>0</v>
      </c>
      <c r="AB17" s="2022"/>
      <c r="AC17" s="2724" t="str">
        <f>IF(Nlang=1,"",VLOOKUP(B17,'Name translation'!$A$46:$H$54,Nlang+1,))</f>
        <v/>
      </c>
      <c r="AE17" s="2724" t="str">
        <f>IF(Nlang=1,"",VLOOKUP(F17,'Name translation'!$A$127:$H$133,Nlang+1,))</f>
        <v/>
      </c>
      <c r="AG17" s="2724" t="str">
        <f>IF(Nlang=1,"",VLOOKUP(H17,'Name translation'!$A$127:$H$133,Nlang+1,))</f>
        <v/>
      </c>
      <c r="AI17" s="2724" t="str">
        <f>IF(Nlang=1,"",VLOOKUP(J17,'Name translation'!$A$127:$H$133,Nlang+1,))</f>
        <v/>
      </c>
    </row>
    <row r="18" spans="2:35" s="1738" customFormat="1">
      <c r="B18" s="3235" t="s">
        <v>1517</v>
      </c>
      <c r="C18" s="3235"/>
      <c r="D18" s="3235"/>
      <c r="E18" s="2140"/>
      <c r="F18" s="1763" t="s">
        <v>214</v>
      </c>
      <c r="G18" s="2006"/>
      <c r="H18" s="1763" t="s">
        <v>214</v>
      </c>
      <c r="I18" s="2011"/>
      <c r="J18" s="1763" t="s">
        <v>214</v>
      </c>
      <c r="K18" s="2126"/>
      <c r="L18" s="2125" t="s">
        <v>359</v>
      </c>
      <c r="M18" s="2134"/>
      <c r="N18" s="2142"/>
      <c r="O18" s="2126"/>
      <c r="P18" s="2125" t="s">
        <v>359</v>
      </c>
      <c r="Q18" s="2134"/>
      <c r="R18" s="2142"/>
      <c r="S18" s="2126"/>
      <c r="T18" s="2134">
        <v>0</v>
      </c>
      <c r="U18" s="2004">
        <f t="shared" si="0"/>
        <v>0</v>
      </c>
      <c r="V18" s="2164" t="s">
        <v>1525</v>
      </c>
      <c r="W18" s="2004">
        <f t="shared" si="1"/>
        <v>0</v>
      </c>
      <c r="X18" s="2164" t="s">
        <v>1525</v>
      </c>
      <c r="Y18" s="1860">
        <f>'Forest Degradation'!N48</f>
        <v>0</v>
      </c>
      <c r="Z18" s="1860">
        <f>'Forest Degradation'!O48</f>
        <v>0</v>
      </c>
      <c r="AA18" s="2004">
        <f>'Forest Degradation'!P48</f>
        <v>0</v>
      </c>
      <c r="AC18" s="2724" t="str">
        <f>IF(Nlang=1,"",VLOOKUP(B18,'Name translation'!$A$46:$H$54,Nlang+1,))</f>
        <v/>
      </c>
      <c r="AD18" s="2005"/>
      <c r="AE18" s="2724" t="str">
        <f>IF(Nlang=1,"",VLOOKUP(F18,'Name translation'!$A$127:$H$133,Nlang+1,))</f>
        <v/>
      </c>
      <c r="AF18" s="2005"/>
      <c r="AG18" s="2724" t="str">
        <f>IF(Nlang=1,"",VLOOKUP(H18,'Name translation'!$A$127:$H$133,Nlang+1,))</f>
        <v/>
      </c>
      <c r="AH18" s="2005"/>
      <c r="AI18" s="2724" t="str">
        <f>IF(Nlang=1,"",VLOOKUP(J18,'Name translation'!$A$127:$H$133,Nlang+1,))</f>
        <v/>
      </c>
    </row>
    <row r="19" spans="2:35" s="1738" customFormat="1">
      <c r="J19" s="2190" t="str">
        <f>'2.LUC'!G18</f>
        <v>* Note concerning dynamics of change : "D" corresponds to default/linear, "I" to immediate and "E" to exponential (Please refer to the guidelines)</v>
      </c>
      <c r="K19" s="2188"/>
      <c r="L19" s="2188"/>
      <c r="M19" s="2188"/>
      <c r="N19" s="2188"/>
      <c r="O19" s="2188"/>
      <c r="P19" s="2188"/>
      <c r="Q19" s="2188"/>
      <c r="R19" s="2188"/>
      <c r="S19" s="2188"/>
      <c r="T19" s="2188"/>
      <c r="U19" s="2188"/>
      <c r="V19" s="2188"/>
      <c r="W19" s="2189"/>
      <c r="X19" s="2189"/>
      <c r="Y19" s="2188"/>
      <c r="Z19" s="2226"/>
      <c r="AA19" s="2226"/>
    </row>
    <row r="20" spans="2:35" s="1738" customFormat="1"/>
    <row r="21" spans="2:35" s="1738" customFormat="1">
      <c r="R21" s="2737" t="str">
        <f>HLOOKUP(select,translations!$A$209:$H$250,7,)</f>
        <v>Total Forest Degradation and Management</v>
      </c>
      <c r="S21" s="1730"/>
      <c r="T21" s="1730"/>
      <c r="U21" s="1730"/>
      <c r="V21" s="1730"/>
      <c r="W21" s="1730"/>
      <c r="X21" s="1730"/>
      <c r="Y21" s="2229">
        <f>SUM(Y12:Y17)</f>
        <v>0</v>
      </c>
      <c r="Z21" s="2229">
        <f>SUM(Z12:Z17)</f>
        <v>0</v>
      </c>
      <c r="AA21" s="2229">
        <f>SUM(AA12:AA17)</f>
        <v>0</v>
      </c>
    </row>
    <row r="22" spans="2:35" s="1738" customFormat="1">
      <c r="E22" s="1743"/>
      <c r="F22" s="1743"/>
      <c r="I22" s="1743"/>
      <c r="J22" s="2143"/>
      <c r="K22" s="1743"/>
      <c r="L22" s="1743"/>
      <c r="M22" s="1743"/>
      <c r="N22" s="2021"/>
      <c r="O22" s="2021"/>
      <c r="P22" s="1743"/>
      <c r="Q22" s="1743"/>
    </row>
    <row r="23" spans="2:35" s="1738" customFormat="1">
      <c r="E23" s="1743"/>
      <c r="F23" s="1743"/>
      <c r="I23" s="1743"/>
      <c r="J23" s="1743"/>
      <c r="K23" s="1743"/>
      <c r="L23" s="1743"/>
      <c r="M23" s="1743"/>
      <c r="N23" s="2021"/>
      <c r="O23" s="2021"/>
      <c r="P23" s="1743"/>
      <c r="Q23" s="1743"/>
      <c r="R23" s="1743"/>
      <c r="S23" s="1743"/>
      <c r="T23" s="1743"/>
      <c r="U23" s="1743"/>
      <c r="V23" s="1743"/>
      <c r="W23" s="1743"/>
      <c r="X23" s="1743"/>
      <c r="Y23" s="1743"/>
      <c r="Z23" s="1743"/>
    </row>
    <row r="24" spans="2:35" s="1738" customFormat="1">
      <c r="E24" s="1743"/>
      <c r="F24" s="1743"/>
      <c r="I24" s="1743"/>
      <c r="J24" s="1743"/>
      <c r="K24" s="1743"/>
      <c r="L24" s="1743"/>
      <c r="M24" s="1743"/>
      <c r="N24" s="2021"/>
      <c r="O24" s="2021"/>
      <c r="P24" s="1743"/>
      <c r="Q24" s="1743"/>
      <c r="R24" s="1743"/>
      <c r="S24" s="1743"/>
      <c r="T24" s="1743"/>
      <c r="U24" s="1743"/>
      <c r="V24" s="1743"/>
      <c r="W24" s="1743"/>
      <c r="X24" s="1743"/>
      <c r="Y24" s="1743"/>
      <c r="Z24" s="1743"/>
    </row>
    <row r="25" spans="2:35" s="1738" customFormat="1">
      <c r="E25" s="1743"/>
      <c r="F25" s="1743"/>
      <c r="I25" s="1743"/>
      <c r="J25" s="1743"/>
      <c r="K25" s="1743"/>
      <c r="L25" s="1743"/>
      <c r="M25" s="1743"/>
      <c r="N25" s="2021"/>
      <c r="O25" s="2021"/>
      <c r="P25" s="1743"/>
      <c r="Q25" s="1743"/>
      <c r="R25" s="1743"/>
      <c r="S25" s="1743"/>
      <c r="T25" s="1743"/>
      <c r="U25" s="1743"/>
      <c r="V25" s="1743"/>
      <c r="W25" s="1743"/>
      <c r="X25" s="1743"/>
      <c r="Y25" s="1743"/>
      <c r="Z25" s="1743"/>
    </row>
    <row r="26" spans="2:35" s="1738" customFormat="1" ht="15.6">
      <c r="B26" s="2588" t="str">
        <f>HLOOKUP(select,translations!$A$209:$H$250,11,)</f>
        <v>5.2. Degradation of organic soils (peatlands)</v>
      </c>
      <c r="C26" s="2595"/>
      <c r="D26" s="2595"/>
      <c r="E26" s="2596"/>
      <c r="F26" s="2596"/>
      <c r="G26" s="2595"/>
      <c r="H26" s="2595"/>
      <c r="I26" s="2596"/>
      <c r="J26" s="2596"/>
      <c r="K26" s="2596"/>
      <c r="L26" s="2596"/>
      <c r="M26" s="2596"/>
      <c r="N26" s="2597"/>
      <c r="O26" s="2597"/>
      <c r="P26" s="2596"/>
      <c r="Q26" s="2596"/>
      <c r="R26" s="2596"/>
      <c r="S26" s="2596"/>
      <c r="T26" s="2596"/>
      <c r="U26" s="2596"/>
      <c r="V26" s="2596"/>
      <c r="W26" s="2596"/>
      <c r="X26" s="2596"/>
      <c r="Y26" s="2596"/>
      <c r="Z26" s="2596"/>
      <c r="AA26" s="2595"/>
    </row>
    <row r="27" spans="2:35" s="1738" customFormat="1">
      <c r="E27" s="1743"/>
      <c r="F27" s="1743"/>
      <c r="I27" s="1743"/>
      <c r="J27" s="1743"/>
      <c r="K27" s="1743"/>
      <c r="L27" s="1743"/>
      <c r="M27" s="1743"/>
      <c r="N27" s="2021"/>
      <c r="O27" s="2021"/>
      <c r="P27" s="1743"/>
      <c r="Q27" s="1743"/>
      <c r="R27" s="1743"/>
      <c r="S27" s="1743"/>
      <c r="T27" s="1743"/>
      <c r="U27" s="1743"/>
      <c r="V27" s="1743"/>
      <c r="W27" s="1743"/>
      <c r="X27" s="1743"/>
      <c r="Y27" s="1743"/>
      <c r="Z27" s="1743"/>
    </row>
    <row r="28" spans="2:35" s="1738" customFormat="1">
      <c r="B28" s="2238" t="str">
        <f>HLOOKUP(select,translations!$A$209:$H$250,12,)</f>
        <v>5.2.1. Drainage of organic soils (peatlands)</v>
      </c>
      <c r="C28" s="2239"/>
      <c r="D28" s="2239"/>
      <c r="E28" s="2239"/>
      <c r="F28" s="2239"/>
      <c r="G28" s="2239"/>
      <c r="H28" s="2239"/>
      <c r="I28" s="2239"/>
      <c r="J28" s="2239"/>
      <c r="K28" s="2239"/>
      <c r="L28" s="2239"/>
      <c r="M28" s="2239"/>
      <c r="N28" s="2239"/>
      <c r="O28" s="2239"/>
      <c r="P28" s="2239"/>
      <c r="Q28" s="2239"/>
      <c r="R28" s="2239"/>
      <c r="S28" s="2239"/>
      <c r="T28" s="2239"/>
      <c r="U28" s="2239"/>
      <c r="V28" s="2239"/>
      <c r="W28" s="2239"/>
      <c r="X28" s="2239"/>
      <c r="Y28" s="2239"/>
      <c r="Z28" s="2391"/>
      <c r="AA28" s="2391"/>
    </row>
    <row r="29" spans="2:35" s="1738" customFormat="1">
      <c r="B29" s="1753"/>
      <c r="C29" s="1748"/>
      <c r="D29" s="1748"/>
      <c r="E29" s="1748"/>
      <c r="F29" s="1748"/>
      <c r="G29" s="1748"/>
      <c r="H29" s="1748"/>
      <c r="I29" s="1748"/>
      <c r="J29" s="1748"/>
      <c r="K29" s="1748"/>
      <c r="L29" s="1748"/>
      <c r="M29" s="1748"/>
      <c r="N29" s="1748"/>
      <c r="O29" s="1748"/>
      <c r="P29" s="1748"/>
      <c r="Q29" s="1748"/>
      <c r="R29" s="1748"/>
      <c r="S29" s="1748"/>
      <c r="T29" s="1748"/>
      <c r="U29" s="1748"/>
      <c r="V29" s="1748"/>
      <c r="W29" s="1748"/>
      <c r="X29" s="1748"/>
      <c r="Y29" s="2008"/>
      <c r="Z29" s="2008"/>
      <c r="AA29" s="1748"/>
    </row>
    <row r="30" spans="2:35" s="1738" customFormat="1">
      <c r="B30" s="2961" t="str">
        <f>B10</f>
        <v>Type of vegetation</v>
      </c>
      <c r="C30" s="2959"/>
      <c r="D30" s="2334"/>
      <c r="E30" s="2393"/>
      <c r="F30" s="2867" t="str">
        <f>HLOOKUP(select,translations!$A$209:$H$250,14,)</f>
        <v>Surfaces of drained organic soils (ha)</v>
      </c>
      <c r="G30" s="2331"/>
      <c r="H30" s="2178"/>
      <c r="I30" s="2178"/>
      <c r="J30" s="2178"/>
      <c r="K30" s="2394"/>
      <c r="L30" s="2395"/>
      <c r="M30" s="2395"/>
      <c r="N30" s="2395"/>
      <c r="O30" s="2395"/>
      <c r="P30" s="2395"/>
      <c r="Q30" s="2395"/>
      <c r="R30" s="2395"/>
      <c r="S30" s="2395"/>
      <c r="T30" s="2395"/>
      <c r="U30" s="2395"/>
      <c r="V30" s="2395"/>
      <c r="W30" s="2395"/>
      <c r="X30" s="2395"/>
      <c r="Y30" s="3129" t="str">
        <f>Y10</f>
        <v>Total Emissions</v>
      </c>
      <c r="Z30" s="3129"/>
      <c r="AA30" s="2356" t="str">
        <f>AA10</f>
        <v>Balance</v>
      </c>
    </row>
    <row r="31" spans="2:35" s="1738" customFormat="1">
      <c r="B31" s="2961" t="str">
        <f>HLOOKUP(select,translations!$A$209:$H$250,13,)</f>
        <v>concerned by drainage</v>
      </c>
      <c r="C31" s="2959"/>
      <c r="D31" s="2393"/>
      <c r="E31" s="2393"/>
      <c r="F31" s="2334"/>
      <c r="G31" s="2331"/>
      <c r="H31" s="2178" t="str">
        <f>H11</f>
        <v>At the end</v>
      </c>
      <c r="I31" s="2178"/>
      <c r="J31" s="2178"/>
      <c r="K31" s="2394"/>
      <c r="L31" s="2395"/>
      <c r="M31" s="2395"/>
      <c r="N31" s="2395"/>
      <c r="O31" s="2395"/>
      <c r="P31" s="2395"/>
      <c r="Q31" s="2395"/>
      <c r="R31" s="2395"/>
      <c r="S31" s="2395"/>
      <c r="T31" s="2395"/>
      <c r="U31" s="2395"/>
      <c r="V31" s="2395"/>
      <c r="W31" s="2395"/>
      <c r="X31" s="2395"/>
      <c r="Y31" s="3143" t="str">
        <f>Y11</f>
        <v>(tCO2-eq)</v>
      </c>
      <c r="Z31" s="3143"/>
      <c r="AA31" s="2361"/>
    </row>
    <row r="32" spans="2:35" s="1738" customFormat="1">
      <c r="B32" s="2168"/>
      <c r="C32" s="2168"/>
      <c r="D32" s="2168"/>
      <c r="E32" s="2336"/>
      <c r="F32" s="2361" t="str">
        <f>T11</f>
        <v>Start</v>
      </c>
      <c r="G32" s="2168"/>
      <c r="H32" s="2719" t="str">
        <f>U11</f>
        <v>Without</v>
      </c>
      <c r="I32" s="2361" t="s">
        <v>93</v>
      </c>
      <c r="J32" s="2719" t="str">
        <f>W11</f>
        <v>With</v>
      </c>
      <c r="K32" s="2361" t="s">
        <v>93</v>
      </c>
      <c r="L32" s="2395"/>
      <c r="M32" s="2395"/>
      <c r="N32" s="2395"/>
      <c r="O32" s="2395"/>
      <c r="P32" s="2395"/>
      <c r="Q32" s="2395"/>
      <c r="R32" s="2395"/>
      <c r="S32" s="2395"/>
      <c r="T32" s="2395"/>
      <c r="U32" s="2395"/>
      <c r="V32" s="2395"/>
      <c r="W32" s="2395"/>
      <c r="X32" s="2395"/>
      <c r="Y32" s="2719" t="str">
        <f>Y12</f>
        <v>Without</v>
      </c>
      <c r="Z32" s="2719" t="str">
        <f>Z12</f>
        <v>With</v>
      </c>
      <c r="AA32" s="2361"/>
    </row>
    <row r="33" spans="2:28" s="1738" customFormat="1">
      <c r="B33" s="2958" t="str">
        <f>HLOOKUP(select,translations!$A$209:$H$250,15,)</f>
        <v>Managed Forest</v>
      </c>
      <c r="C33" s="2168"/>
      <c r="D33" s="2168"/>
      <c r="E33" s="2336"/>
      <c r="F33" s="2121">
        <v>0</v>
      </c>
      <c r="G33" s="2168"/>
      <c r="H33" s="2121">
        <v>0</v>
      </c>
      <c r="I33" s="2164" t="s">
        <v>1525</v>
      </c>
      <c r="J33" s="2121">
        <v>0</v>
      </c>
      <c r="K33" s="2164" t="s">
        <v>1525</v>
      </c>
      <c r="L33" s="2336"/>
      <c r="M33" s="2336"/>
      <c r="N33" s="2336"/>
      <c r="O33" s="2336"/>
      <c r="P33" s="2336"/>
      <c r="Q33" s="2336"/>
      <c r="R33" s="2336"/>
      <c r="S33" s="2336"/>
      <c r="T33" s="2336"/>
      <c r="U33" s="2336"/>
      <c r="V33" s="2336"/>
      <c r="W33" s="2336"/>
      <c r="X33" s="2336"/>
      <c r="Y33" s="2211">
        <f>'Organic Soils'!P12</f>
        <v>0</v>
      </c>
      <c r="Z33" s="2211">
        <f>'Organic Soils'!Q12</f>
        <v>0</v>
      </c>
      <c r="AA33" s="2211">
        <f>Z33-Y33</f>
        <v>0</v>
      </c>
    </row>
    <row r="34" spans="2:28" s="1738" customFormat="1">
      <c r="B34" s="2958" t="str">
        <f>HLOOKUP(select,translations!$A$209:$H$250,16,)</f>
        <v>Annual</v>
      </c>
      <c r="C34" s="2168"/>
      <c r="D34" s="2168"/>
      <c r="E34" s="2336"/>
      <c r="F34" s="2121">
        <v>0</v>
      </c>
      <c r="G34" s="2168"/>
      <c r="H34" s="2121">
        <v>0</v>
      </c>
      <c r="I34" s="2164" t="s">
        <v>1525</v>
      </c>
      <c r="J34" s="2121">
        <v>0</v>
      </c>
      <c r="K34" s="2164" t="s">
        <v>1525</v>
      </c>
      <c r="L34" s="2336"/>
      <c r="M34" s="2336"/>
      <c r="N34" s="2336"/>
      <c r="O34" s="2336"/>
      <c r="P34" s="2336"/>
      <c r="Q34" s="2336"/>
      <c r="R34" s="2336"/>
      <c r="S34" s="2336"/>
      <c r="T34" s="2336"/>
      <c r="U34" s="2336"/>
      <c r="V34" s="2336"/>
      <c r="W34" s="2336"/>
      <c r="X34" s="2336"/>
      <c r="Y34" s="2211">
        <f>'Organic Soils'!P13</f>
        <v>0</v>
      </c>
      <c r="Z34" s="2211">
        <f>'Organic Soils'!Q13</f>
        <v>0</v>
      </c>
      <c r="AA34" s="2211">
        <f>Z34-Y34</f>
        <v>0</v>
      </c>
    </row>
    <row r="35" spans="2:28" s="1738" customFormat="1">
      <c r="B35" s="2958" t="str">
        <f>HLOOKUP(select,translations!$A$209:$H$250,17,)</f>
        <v>Perennial</v>
      </c>
      <c r="C35" s="2168"/>
      <c r="D35" s="2168"/>
      <c r="E35" s="2336"/>
      <c r="F35" s="2121">
        <v>0</v>
      </c>
      <c r="G35" s="2168"/>
      <c r="H35" s="2121">
        <v>0</v>
      </c>
      <c r="I35" s="2164" t="s">
        <v>1525</v>
      </c>
      <c r="J35" s="2121">
        <v>0</v>
      </c>
      <c r="K35" s="2164" t="s">
        <v>1525</v>
      </c>
      <c r="L35" s="2336"/>
      <c r="M35" s="2336"/>
      <c r="N35" s="2336"/>
      <c r="O35" s="2336"/>
      <c r="P35" s="2336"/>
      <c r="Q35" s="2336"/>
      <c r="R35" s="2336"/>
      <c r="S35" s="2336"/>
      <c r="T35" s="2336"/>
      <c r="U35" s="2336"/>
      <c r="V35" s="2336"/>
      <c r="W35" s="2336"/>
      <c r="X35" s="2336"/>
      <c r="Y35" s="2211">
        <f>'Organic Soils'!P14</f>
        <v>0</v>
      </c>
      <c r="Z35" s="2211">
        <f>'Organic Soils'!Q14</f>
        <v>0</v>
      </c>
      <c r="AA35" s="2211">
        <f>Z35-Y35</f>
        <v>0</v>
      </c>
    </row>
    <row r="36" spans="2:28" s="1738" customFormat="1">
      <c r="B36" s="2958" t="str">
        <f>HLOOKUP(select,translations!$A$209:$H$250,18,)</f>
        <v>Grassland</v>
      </c>
      <c r="C36" s="2168"/>
      <c r="D36" s="2168"/>
      <c r="E36" s="2336"/>
      <c r="F36" s="2121">
        <v>0</v>
      </c>
      <c r="G36" s="2168"/>
      <c r="H36" s="2121">
        <v>0</v>
      </c>
      <c r="I36" s="2164" t="s">
        <v>1525</v>
      </c>
      <c r="J36" s="2121">
        <v>0</v>
      </c>
      <c r="K36" s="2164" t="s">
        <v>1525</v>
      </c>
      <c r="L36" s="2336"/>
      <c r="M36" s="2336"/>
      <c r="N36" s="2336"/>
      <c r="O36" s="2336"/>
      <c r="P36" s="2336"/>
      <c r="Q36" s="2336"/>
      <c r="R36" s="2336"/>
      <c r="S36" s="2336"/>
      <c r="T36" s="2336"/>
      <c r="U36" s="2336"/>
      <c r="V36" s="2336"/>
      <c r="W36" s="2336"/>
      <c r="X36" s="2336"/>
      <c r="Y36" s="2211">
        <f>'Organic Soils'!P15</f>
        <v>0</v>
      </c>
      <c r="Z36" s="2211">
        <f>'Organic Soils'!Q15</f>
        <v>0</v>
      </c>
      <c r="AA36" s="2211">
        <f>Z36-Y36</f>
        <v>0</v>
      </c>
    </row>
    <row r="37" spans="2:28" s="1738" customFormat="1">
      <c r="I37" s="2190" t="str">
        <f>J19</f>
        <v>* Note concerning dynamics of change : "D" corresponds to default/linear, "I" to immediate and "E" to exponential (Please refer to the guidelines)</v>
      </c>
      <c r="J37" s="2188"/>
      <c r="K37" s="2188"/>
      <c r="L37" s="2188"/>
      <c r="M37" s="2188"/>
      <c r="N37" s="2188"/>
      <c r="O37" s="2188"/>
      <c r="P37" s="2188"/>
      <c r="Q37" s="2188"/>
      <c r="R37" s="2188"/>
      <c r="S37" s="2188"/>
      <c r="T37" s="2188"/>
      <c r="U37" s="2188"/>
      <c r="V37" s="2189"/>
      <c r="W37" s="2189"/>
      <c r="X37" s="2188"/>
      <c r="Y37" s="2226"/>
      <c r="Z37" s="2226"/>
      <c r="AA37" s="2306"/>
    </row>
    <row r="38" spans="2:28" s="1738" customFormat="1">
      <c r="E38" s="1743"/>
      <c r="F38" s="1743"/>
      <c r="I38" s="1743"/>
      <c r="J38" s="1743"/>
      <c r="K38" s="1743"/>
      <c r="L38" s="1743"/>
      <c r="M38" s="1743"/>
      <c r="N38" s="1743"/>
      <c r="O38" s="1743"/>
      <c r="P38" s="1743"/>
      <c r="Q38" s="1743"/>
      <c r="R38" s="1743"/>
      <c r="S38" s="1743"/>
      <c r="T38" s="1743"/>
      <c r="U38" s="1743"/>
      <c r="V38" s="1743"/>
      <c r="W38" s="1743"/>
      <c r="X38" s="1743"/>
      <c r="Y38" s="1743"/>
      <c r="Z38" s="1743"/>
    </row>
    <row r="39" spans="2:28" s="1738" customFormat="1">
      <c r="E39" s="1743"/>
      <c r="F39" s="1743"/>
      <c r="I39" s="1743"/>
      <c r="J39" s="1743"/>
      <c r="K39" s="1743"/>
      <c r="L39" s="1743"/>
      <c r="M39" s="1743"/>
      <c r="N39" s="1743"/>
      <c r="O39" s="1743"/>
      <c r="P39" s="1743"/>
      <c r="Q39" s="1743"/>
      <c r="R39" s="2671" t="str">
        <f>HLOOKUP(select,translations!$A$209:$H$250,19,)</f>
        <v>Total for Drainage</v>
      </c>
      <c r="S39" s="1904"/>
      <c r="T39" s="1904"/>
      <c r="U39" s="1904"/>
      <c r="V39" s="1904"/>
      <c r="W39" s="1904"/>
      <c r="X39" s="1904"/>
      <c r="Y39" s="1900">
        <f>SUM(Y33:Y36)</f>
        <v>0</v>
      </c>
      <c r="Z39" s="1900">
        <f>SUM(Z33:Z36)</f>
        <v>0</v>
      </c>
      <c r="AA39" s="1900">
        <f>SUM(AA33:AA36)</f>
        <v>0</v>
      </c>
    </row>
    <row r="40" spans="2:28" s="1738" customFormat="1">
      <c r="E40" s="1743"/>
      <c r="F40" s="1743"/>
      <c r="I40" s="1743"/>
      <c r="J40" s="1743"/>
      <c r="K40" s="1743"/>
      <c r="L40" s="1743"/>
      <c r="M40" s="1743"/>
      <c r="N40" s="1743"/>
      <c r="O40" s="1743"/>
      <c r="P40" s="1743"/>
      <c r="Q40" s="1743"/>
      <c r="R40" s="1743"/>
      <c r="S40" s="1743"/>
      <c r="T40" s="1743"/>
      <c r="U40" s="1743"/>
      <c r="V40" s="1743"/>
      <c r="W40" s="1743"/>
      <c r="X40" s="1743"/>
      <c r="Y40" s="1743"/>
      <c r="Z40" s="1743"/>
      <c r="AA40" s="1743"/>
      <c r="AB40" s="1743"/>
    </row>
    <row r="41" spans="2:28" s="1738" customFormat="1">
      <c r="B41" s="2238" t="str">
        <f>HLOOKUP(select,translations!$A$209:$H$250,20,)</f>
        <v>5.2.2. Active peat extraction</v>
      </c>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391"/>
      <c r="AA41" s="2391"/>
    </row>
    <row r="42" spans="2:28" s="1738" customFormat="1">
      <c r="B42" s="1753"/>
      <c r="C42" s="1748"/>
      <c r="D42" s="1748"/>
      <c r="E42" s="1748"/>
      <c r="F42" s="1748"/>
      <c r="G42" s="1748"/>
      <c r="H42" s="1748"/>
      <c r="I42" s="1748"/>
      <c r="J42" s="1748"/>
      <c r="K42" s="1748"/>
      <c r="L42" s="1748"/>
      <c r="M42" s="1748"/>
      <c r="N42" s="1748"/>
      <c r="O42" s="1748"/>
      <c r="P42" s="1748"/>
      <c r="Q42" s="1748"/>
      <c r="R42" s="1748"/>
      <c r="S42" s="1748"/>
      <c r="T42" s="1748"/>
      <c r="U42" s="1748"/>
      <c r="V42" s="1748"/>
      <c r="W42" s="1748"/>
      <c r="X42" s="1748"/>
      <c r="Y42" s="2008"/>
      <c r="Z42" s="2008"/>
      <c r="AA42" s="1748"/>
    </row>
    <row r="43" spans="2:28" s="1738" customFormat="1">
      <c r="B43" s="2961" t="str">
        <f>HLOOKUP(select,translations!$A$209:$H$250,21,)</f>
        <v>Type of peat</v>
      </c>
      <c r="C43" s="2959"/>
      <c r="D43" s="2334"/>
      <c r="E43" s="2393"/>
      <c r="F43" s="2867" t="str">
        <f>F30</f>
        <v>Surfaces of drained organic soils (ha)</v>
      </c>
      <c r="G43" s="2334"/>
      <c r="H43" s="2337"/>
      <c r="I43" s="2337"/>
      <c r="J43" s="2337"/>
      <c r="K43" s="2414"/>
      <c r="L43" s="2960"/>
      <c r="M43" s="2960"/>
      <c r="N43" s="2960"/>
      <c r="O43" s="2960"/>
      <c r="P43" s="2960"/>
      <c r="Q43" s="2960"/>
      <c r="R43" s="2960"/>
      <c r="S43" s="2960"/>
      <c r="T43" s="2960"/>
      <c r="U43" s="2960"/>
      <c r="V43" s="2960"/>
      <c r="W43" s="2395"/>
      <c r="X43" s="2395"/>
      <c r="Y43" s="3129" t="str">
        <f>Y30</f>
        <v>Total Emissions</v>
      </c>
      <c r="Z43" s="3129"/>
      <c r="AA43" s="2356" t="str">
        <f>AA30</f>
        <v>Balance</v>
      </c>
    </row>
    <row r="44" spans="2:28" s="1738" customFormat="1">
      <c r="B44" s="2362"/>
      <c r="C44" s="2392"/>
      <c r="D44" s="2396"/>
      <c r="E44" s="2396"/>
      <c r="F44" s="2331"/>
      <c r="G44" s="2331"/>
      <c r="H44" s="2178" t="str">
        <f>H31</f>
        <v>At the end</v>
      </c>
      <c r="I44" s="2178"/>
      <c r="J44" s="2178"/>
      <c r="K44" s="2394"/>
      <c r="L44" s="2395"/>
      <c r="M44" s="2395"/>
      <c r="N44" s="2395"/>
      <c r="O44" s="2395"/>
      <c r="P44" s="2395"/>
      <c r="Q44" s="2395"/>
      <c r="R44" s="2395"/>
      <c r="S44" s="2395"/>
      <c r="T44" s="2395"/>
      <c r="U44" s="2395"/>
      <c r="V44" s="2395"/>
      <c r="W44" s="2395"/>
      <c r="X44" s="2395"/>
      <c r="Y44" s="3143" t="str">
        <f>Y31</f>
        <v>(tCO2-eq)</v>
      </c>
      <c r="Z44" s="3143"/>
      <c r="AA44" s="2361"/>
    </row>
    <row r="45" spans="2:28" s="1738" customFormat="1">
      <c r="B45" s="2168"/>
      <c r="C45" s="2168"/>
      <c r="D45" s="2168"/>
      <c r="E45" s="2336"/>
      <c r="F45" s="2361" t="str">
        <f>F32</f>
        <v>Start</v>
      </c>
      <c r="G45" s="2168"/>
      <c r="H45" s="2361" t="str">
        <f>H32</f>
        <v>Without</v>
      </c>
      <c r="I45" s="2361" t="s">
        <v>93</v>
      </c>
      <c r="J45" s="2361" t="str">
        <f>J32</f>
        <v>With</v>
      </c>
      <c r="K45" s="2361" t="s">
        <v>93</v>
      </c>
      <c r="L45" s="2395"/>
      <c r="M45" s="2395"/>
      <c r="N45" s="2395"/>
      <c r="O45" s="2395"/>
      <c r="P45" s="2395"/>
      <c r="Q45" s="2395"/>
      <c r="R45" s="2395"/>
      <c r="S45" s="2395"/>
      <c r="T45" s="2395"/>
      <c r="U45" s="2395"/>
      <c r="V45" s="2395"/>
      <c r="W45" s="2395"/>
      <c r="X45" s="2395"/>
      <c r="Y45" s="2719" t="str">
        <f>Y32</f>
        <v>Without</v>
      </c>
      <c r="Z45" s="2719" t="str">
        <f>Z32</f>
        <v>With</v>
      </c>
      <c r="AA45" s="2361"/>
    </row>
    <row r="46" spans="2:28" s="1738" customFormat="1">
      <c r="B46" s="2958" t="str">
        <f>HLOOKUP(select,translations!$A$209:$H$250,22,)</f>
        <v>Nutrient-poor peat</v>
      </c>
      <c r="C46" s="2168"/>
      <c r="D46" s="2168"/>
      <c r="E46" s="2336"/>
      <c r="F46" s="2121">
        <v>0</v>
      </c>
      <c r="G46" s="2168"/>
      <c r="H46" s="2121">
        <v>0</v>
      </c>
      <c r="I46" s="2164" t="s">
        <v>1525</v>
      </c>
      <c r="J46" s="2121">
        <v>0</v>
      </c>
      <c r="K46" s="2164" t="s">
        <v>1525</v>
      </c>
      <c r="L46" s="2336"/>
      <c r="M46" s="2336"/>
      <c r="N46" s="2336"/>
      <c r="O46" s="2336"/>
      <c r="P46" s="2336"/>
      <c r="Q46" s="2336"/>
      <c r="R46" s="2336"/>
      <c r="S46" s="2336"/>
      <c r="T46" s="2336"/>
      <c r="U46" s="2336"/>
      <c r="V46" s="2336"/>
      <c r="W46" s="2336"/>
      <c r="X46" s="2336"/>
      <c r="Y46" s="2211">
        <f>'Organic Soils'!P22+'Organic Soils'!P39</f>
        <v>0</v>
      </c>
      <c r="Z46" s="2211">
        <f>'Organic Soils'!Q22+'Organic Soils'!Q39</f>
        <v>0</v>
      </c>
      <c r="AA46" s="2211">
        <f>Z46-Y46</f>
        <v>0</v>
      </c>
    </row>
    <row r="47" spans="2:28" s="1738" customFormat="1">
      <c r="B47" s="2958" t="str">
        <f>HLOOKUP(select,translations!$A$209:$H$250,23,)</f>
        <v>Nutrient Rich</v>
      </c>
      <c r="C47" s="2168"/>
      <c r="D47" s="2168"/>
      <c r="E47" s="2336"/>
      <c r="F47" s="2121">
        <v>0</v>
      </c>
      <c r="G47" s="2168"/>
      <c r="H47" s="2121">
        <v>0</v>
      </c>
      <c r="I47" s="2164" t="s">
        <v>1525</v>
      </c>
      <c r="J47" s="2121">
        <v>0</v>
      </c>
      <c r="K47" s="2164" t="s">
        <v>1525</v>
      </c>
      <c r="L47" s="2336"/>
      <c r="M47" s="2336"/>
      <c r="N47" s="2336"/>
      <c r="O47" s="2336"/>
      <c r="P47" s="2336"/>
      <c r="Q47" s="2336"/>
      <c r="R47" s="2336"/>
      <c r="S47" s="2336"/>
      <c r="T47" s="2336"/>
      <c r="U47" s="2336"/>
      <c r="V47" s="2336"/>
      <c r="W47" s="2336"/>
      <c r="X47" s="2336"/>
      <c r="Y47" s="2211">
        <f>'Organic Soils'!P23+'Organic Soils'!P40</f>
        <v>0</v>
      </c>
      <c r="Z47" s="2211">
        <f>'Organic Soils'!Q23+'Organic Soils'!Q40</f>
        <v>0</v>
      </c>
      <c r="AA47" s="2211">
        <f>Z47-Y47</f>
        <v>0</v>
      </c>
    </row>
    <row r="48" spans="2:28" s="1738" customFormat="1">
      <c r="I48" s="2190" t="str">
        <f>I37</f>
        <v>* Note concerning dynamics of change : "D" corresponds to default/linear, "I" to immediate and "E" to exponential (Please refer to the guidelines)</v>
      </c>
      <c r="J48" s="2188"/>
      <c r="K48" s="2188"/>
      <c r="L48" s="2188"/>
      <c r="M48" s="2188"/>
      <c r="N48" s="2188"/>
      <c r="O48" s="2188"/>
      <c r="P48" s="2188"/>
      <c r="Q48" s="2188"/>
      <c r="R48" s="2188"/>
      <c r="S48" s="2188"/>
      <c r="T48" s="2188"/>
      <c r="U48" s="2188"/>
      <c r="V48" s="2189"/>
      <c r="W48" s="2189"/>
      <c r="X48" s="2188"/>
      <c r="Y48" s="2226"/>
      <c r="Z48" s="2226"/>
      <c r="AA48" s="2306"/>
    </row>
    <row r="49" spans="5:27" s="1738" customFormat="1">
      <c r="E49" s="1743"/>
      <c r="F49" s="1743"/>
      <c r="I49" s="1743"/>
      <c r="J49" s="1743"/>
      <c r="K49" s="1743"/>
      <c r="L49" s="1743"/>
      <c r="M49" s="1743"/>
      <c r="N49" s="1743"/>
      <c r="O49" s="1743"/>
      <c r="P49" s="1743"/>
      <c r="Q49" s="1743"/>
      <c r="R49" s="1743"/>
      <c r="S49" s="1743"/>
      <c r="T49" s="1743"/>
      <c r="U49" s="1743"/>
      <c r="V49" s="1743"/>
      <c r="W49" s="1743"/>
      <c r="X49" s="1743"/>
      <c r="Y49" s="1743"/>
      <c r="Z49" s="1743"/>
    </row>
    <row r="50" spans="5:27" s="1738" customFormat="1">
      <c r="E50" s="1743"/>
      <c r="F50" s="1743"/>
      <c r="I50" s="1743"/>
      <c r="J50" s="1743"/>
      <c r="K50" s="1743"/>
      <c r="L50" s="1743"/>
      <c r="M50" s="1743"/>
      <c r="N50" s="1743"/>
      <c r="O50" s="1743"/>
      <c r="P50" s="1743"/>
      <c r="Q50" s="1743"/>
      <c r="R50" s="2671" t="str">
        <f>HLOOKUP(select,translations!$A$209:$H$250,24,)</f>
        <v>Total for Extraction</v>
      </c>
      <c r="S50" s="1904"/>
      <c r="T50" s="1904"/>
      <c r="U50" s="1904"/>
      <c r="V50" s="1904"/>
      <c r="W50" s="1904"/>
      <c r="X50" s="1904"/>
      <c r="Y50" s="1900">
        <f>SUM(Y46:Y47)</f>
        <v>0</v>
      </c>
      <c r="Z50" s="1900">
        <f>SUM(Z46:Z47)</f>
        <v>0</v>
      </c>
      <c r="AA50" s="1900">
        <f>SUM(AA46:AA47)</f>
        <v>0</v>
      </c>
    </row>
    <row r="51" spans="5:27" s="1738" customFormat="1">
      <c r="E51" s="1743"/>
      <c r="F51" s="1743"/>
      <c r="I51" s="1743"/>
      <c r="J51" s="1743"/>
      <c r="K51" s="1743"/>
      <c r="L51" s="1743"/>
      <c r="M51" s="1743"/>
      <c r="N51" s="1743"/>
      <c r="O51" s="1743"/>
      <c r="P51" s="1743"/>
      <c r="Q51" s="1743"/>
      <c r="R51" s="1743"/>
      <c r="S51" s="1743"/>
      <c r="T51" s="1743"/>
      <c r="U51" s="1743"/>
      <c r="V51" s="1743"/>
      <c r="W51" s="1743"/>
      <c r="X51" s="1743"/>
      <c r="Y51" s="1743"/>
      <c r="Z51" s="1743"/>
    </row>
    <row r="52" spans="5:27" s="1738" customFormat="1">
      <c r="E52" s="1743"/>
      <c r="F52" s="1743"/>
      <c r="I52" s="1743"/>
      <c r="J52" s="1743"/>
      <c r="K52" s="1743"/>
      <c r="L52" s="1743"/>
      <c r="M52" s="1743"/>
      <c r="N52" s="1743"/>
      <c r="O52" s="1743"/>
      <c r="P52" s="1743"/>
      <c r="Q52" s="1743"/>
      <c r="R52" s="1743"/>
      <c r="S52" s="1743"/>
      <c r="T52" s="1743"/>
      <c r="U52" s="1743"/>
      <c r="V52" s="1743"/>
      <c r="W52" s="1743"/>
      <c r="X52" s="1743"/>
      <c r="Y52" s="1743"/>
      <c r="Z52" s="1743"/>
    </row>
    <row r="53" spans="5:27" s="1738" customFormat="1">
      <c r="E53" s="1743"/>
      <c r="F53" s="1743"/>
      <c r="I53" s="1743"/>
      <c r="J53" s="1743"/>
      <c r="K53" s="1743"/>
      <c r="L53" s="1743"/>
      <c r="M53" s="1743"/>
      <c r="N53" s="1743"/>
      <c r="O53" s="1743"/>
      <c r="P53" s="1743"/>
      <c r="Q53" s="1743"/>
      <c r="R53" s="1743"/>
      <c r="S53" s="1743"/>
      <c r="T53" s="1743"/>
      <c r="U53" s="1743"/>
      <c r="V53" s="1743"/>
      <c r="W53" s="1743"/>
      <c r="X53" s="1743"/>
      <c r="Y53" s="1743"/>
      <c r="Z53" s="1743"/>
    </row>
    <row r="54" spans="5:27" s="1738" customFormat="1">
      <c r="E54" s="1743"/>
      <c r="F54" s="1743"/>
      <c r="I54" s="1743"/>
      <c r="J54" s="1743"/>
      <c r="K54" s="1743"/>
      <c r="L54" s="1743"/>
      <c r="M54" s="1743"/>
      <c r="N54" s="1743"/>
      <c r="O54" s="1743"/>
      <c r="P54" s="1743"/>
      <c r="Q54" s="1743"/>
      <c r="R54" s="1743"/>
      <c r="S54" s="1743"/>
      <c r="T54" s="1743"/>
      <c r="U54" s="1743"/>
      <c r="V54" s="1743"/>
      <c r="W54" s="1743"/>
      <c r="X54" s="1743"/>
      <c r="Y54" s="1743"/>
      <c r="Z54" s="1743"/>
    </row>
    <row r="55" spans="5:27" s="1738" customFormat="1">
      <c r="E55" s="1743"/>
      <c r="F55" s="1743"/>
      <c r="I55" s="1743"/>
      <c r="J55" s="1743"/>
      <c r="K55" s="1743"/>
      <c r="L55" s="1743"/>
      <c r="M55" s="1743"/>
      <c r="N55" s="1743"/>
      <c r="O55" s="1743"/>
      <c r="P55" s="1743"/>
      <c r="Q55" s="1743"/>
      <c r="R55" s="1743"/>
      <c r="S55" s="1743"/>
      <c r="T55" s="1743"/>
      <c r="U55" s="1743"/>
      <c r="V55" s="1743"/>
      <c r="W55" s="1743"/>
      <c r="X55" s="1743"/>
      <c r="Y55" s="1743"/>
      <c r="Z55" s="1743"/>
    </row>
    <row r="56" spans="5:27" s="1738" customFormat="1">
      <c r="E56" s="1743"/>
      <c r="F56" s="1743"/>
      <c r="I56" s="1743"/>
      <c r="J56" s="1743"/>
      <c r="K56" s="1743"/>
      <c r="L56" s="1743"/>
      <c r="M56" s="1743"/>
      <c r="N56" s="1743"/>
      <c r="O56" s="1743"/>
      <c r="P56" s="1743"/>
      <c r="Q56" s="1743"/>
      <c r="R56" s="1743"/>
      <c r="S56" s="1743"/>
      <c r="T56" s="1743"/>
      <c r="U56" s="1743"/>
      <c r="V56" s="1743"/>
      <c r="W56" s="1743"/>
      <c r="X56" s="1743"/>
      <c r="Y56" s="1743"/>
      <c r="Z56" s="1743"/>
    </row>
    <row r="57" spans="5:27" s="1738" customFormat="1">
      <c r="E57" s="1743"/>
      <c r="F57" s="1743"/>
      <c r="I57" s="1743"/>
      <c r="J57" s="1743"/>
      <c r="K57" s="1743"/>
      <c r="L57" s="1743"/>
      <c r="M57" s="1743"/>
      <c r="N57" s="1743"/>
      <c r="O57" s="1743"/>
      <c r="P57" s="1743"/>
      <c r="Q57" s="1743"/>
      <c r="R57" s="1743"/>
      <c r="S57" s="1743"/>
      <c r="T57" s="1743"/>
      <c r="U57" s="1743"/>
      <c r="V57" s="1743"/>
      <c r="W57" s="1743"/>
      <c r="X57" s="1743"/>
      <c r="Y57" s="1743"/>
      <c r="Z57" s="1743"/>
    </row>
    <row r="58" spans="5:27" s="1738" customFormat="1">
      <c r="E58" s="1743"/>
      <c r="F58" s="1743"/>
      <c r="I58" s="1743"/>
      <c r="J58" s="1743"/>
      <c r="K58" s="1743"/>
      <c r="L58" s="1743"/>
      <c r="M58" s="1743"/>
      <c r="N58" s="1743"/>
      <c r="O58" s="1743"/>
      <c r="P58" s="1743"/>
      <c r="Q58" s="1743"/>
      <c r="R58" s="1743"/>
      <c r="S58" s="1743"/>
      <c r="T58" s="1743"/>
      <c r="U58" s="1743"/>
      <c r="V58" s="1743"/>
      <c r="W58" s="1743"/>
      <c r="X58" s="1743"/>
      <c r="Y58" s="1743"/>
      <c r="Z58" s="1743"/>
    </row>
    <row r="59" spans="5:27" s="1738" customFormat="1">
      <c r="E59" s="1743"/>
      <c r="F59" s="1743"/>
      <c r="I59" s="1743"/>
      <c r="J59" s="1743"/>
      <c r="K59" s="1743"/>
      <c r="L59" s="1743"/>
      <c r="M59" s="1743"/>
      <c r="N59" s="1743"/>
      <c r="O59" s="1743"/>
      <c r="P59" s="1743"/>
      <c r="Q59" s="1743"/>
      <c r="R59" s="1743"/>
      <c r="S59" s="1743"/>
      <c r="T59" s="1743"/>
      <c r="U59" s="1743"/>
      <c r="V59" s="1743"/>
      <c r="W59" s="1743"/>
      <c r="X59" s="1743"/>
      <c r="Y59" s="1743"/>
      <c r="Z59" s="1743"/>
    </row>
    <row r="60" spans="5:27" s="1738" customFormat="1">
      <c r="E60" s="1743"/>
      <c r="F60" s="1743"/>
      <c r="I60" s="1743"/>
      <c r="J60" s="1743"/>
      <c r="K60" s="1743"/>
      <c r="L60" s="1743"/>
      <c r="M60" s="1743"/>
      <c r="N60" s="1743"/>
      <c r="O60" s="1743"/>
      <c r="P60" s="1743"/>
      <c r="Q60" s="1743"/>
      <c r="R60" s="1743"/>
      <c r="S60" s="1743"/>
      <c r="T60" s="1743"/>
      <c r="U60" s="1743"/>
      <c r="V60" s="1743"/>
      <c r="W60" s="1743"/>
      <c r="X60" s="1743"/>
      <c r="Y60" s="1743"/>
      <c r="Z60" s="1743"/>
    </row>
    <row r="61" spans="5:27" s="1738" customFormat="1">
      <c r="E61" s="1743"/>
      <c r="F61" s="1743"/>
      <c r="I61" s="1743"/>
      <c r="J61" s="1743"/>
      <c r="K61" s="1743"/>
      <c r="L61" s="1743"/>
      <c r="M61" s="1743"/>
      <c r="N61" s="1743"/>
      <c r="O61" s="1743"/>
      <c r="P61" s="1743"/>
      <c r="Q61" s="1743"/>
      <c r="R61" s="1743"/>
      <c r="S61" s="1743"/>
      <c r="T61" s="1743"/>
      <c r="U61" s="1743"/>
      <c r="V61" s="1743"/>
      <c r="W61" s="1743"/>
      <c r="X61" s="1743"/>
      <c r="Y61" s="1743"/>
      <c r="Z61" s="1743"/>
    </row>
    <row r="62" spans="5:27" s="1738" customFormat="1">
      <c r="E62" s="1743"/>
      <c r="F62" s="1743"/>
      <c r="I62" s="1743"/>
      <c r="J62" s="1743"/>
      <c r="K62" s="1743"/>
      <c r="L62" s="1743"/>
      <c r="M62" s="1743"/>
      <c r="N62" s="1743"/>
      <c r="O62" s="1743"/>
      <c r="P62" s="1743"/>
      <c r="Q62" s="1743"/>
      <c r="R62" s="1743"/>
      <c r="S62" s="1743"/>
      <c r="T62" s="1743"/>
      <c r="U62" s="1743"/>
      <c r="V62" s="1743"/>
      <c r="W62" s="1743"/>
      <c r="X62" s="1743"/>
      <c r="Y62" s="1743"/>
      <c r="Z62" s="1743"/>
    </row>
    <row r="63" spans="5:27" s="1738" customFormat="1">
      <c r="E63" s="1743"/>
      <c r="F63" s="1743"/>
      <c r="I63" s="1743"/>
      <c r="J63" s="1743"/>
      <c r="K63" s="1743"/>
      <c r="L63" s="1743"/>
      <c r="M63" s="1743"/>
      <c r="N63" s="1743"/>
      <c r="O63" s="1743"/>
      <c r="P63" s="1743"/>
      <c r="Q63" s="1743"/>
      <c r="R63" s="1743"/>
      <c r="S63" s="1743"/>
      <c r="T63" s="1743"/>
      <c r="U63" s="1743"/>
      <c r="V63" s="1743"/>
      <c r="W63" s="1743"/>
      <c r="X63" s="1743"/>
      <c r="Y63" s="1743"/>
      <c r="Z63" s="1743"/>
    </row>
    <row r="64" spans="5:27" s="1738" customFormat="1">
      <c r="E64" s="1743"/>
      <c r="F64" s="1743"/>
      <c r="I64" s="1743"/>
      <c r="J64" s="1743"/>
      <c r="K64" s="1743"/>
      <c r="L64" s="1743"/>
      <c r="M64" s="1743"/>
      <c r="N64" s="1743"/>
      <c r="O64" s="1743"/>
      <c r="P64" s="1743"/>
      <c r="Q64" s="1743"/>
      <c r="R64" s="1743"/>
      <c r="S64" s="1743"/>
      <c r="T64" s="1743"/>
      <c r="U64" s="1743"/>
      <c r="V64" s="1743"/>
      <c r="W64" s="1743"/>
      <c r="X64" s="1743"/>
      <c r="Y64" s="1743"/>
      <c r="Z64" s="1743"/>
    </row>
    <row r="65" spans="5:26" s="1738" customFormat="1">
      <c r="E65" s="1743"/>
      <c r="F65" s="1743"/>
      <c r="I65" s="1743"/>
      <c r="J65" s="1743"/>
      <c r="K65" s="1743"/>
      <c r="L65" s="1743"/>
      <c r="M65" s="1743"/>
      <c r="N65" s="1743"/>
      <c r="O65" s="1743"/>
      <c r="P65" s="1743"/>
      <c r="Q65" s="1743"/>
      <c r="R65" s="1743"/>
      <c r="S65" s="1743"/>
      <c r="T65" s="1743"/>
      <c r="U65" s="1743"/>
      <c r="V65" s="1743"/>
      <c r="W65" s="1743"/>
      <c r="X65" s="1743"/>
      <c r="Y65" s="1743"/>
      <c r="Z65" s="1743"/>
    </row>
    <row r="66" spans="5:26" s="1738" customFormat="1">
      <c r="E66" s="1743"/>
      <c r="F66" s="1743"/>
      <c r="I66" s="1743"/>
      <c r="J66" s="1743"/>
      <c r="K66" s="1743"/>
      <c r="L66" s="1743"/>
      <c r="M66" s="1743"/>
      <c r="N66" s="1743"/>
      <c r="O66" s="1743"/>
      <c r="P66" s="1743"/>
      <c r="Q66" s="1743"/>
      <c r="R66" s="1743"/>
      <c r="S66" s="1743"/>
      <c r="T66" s="1743"/>
      <c r="U66" s="1743"/>
      <c r="V66" s="1743"/>
      <c r="W66" s="1743"/>
      <c r="X66" s="1743"/>
      <c r="Y66" s="1743"/>
      <c r="Z66" s="1743"/>
    </row>
    <row r="67" spans="5:26" s="1738" customFormat="1">
      <c r="E67" s="1743"/>
      <c r="F67" s="1743"/>
      <c r="I67" s="1743"/>
      <c r="J67" s="1743"/>
      <c r="K67" s="1743"/>
      <c r="L67" s="1743"/>
      <c r="M67" s="1743"/>
      <c r="N67" s="1743"/>
      <c r="O67" s="1743"/>
      <c r="P67" s="1743"/>
      <c r="Q67" s="1743"/>
      <c r="R67" s="1743"/>
      <c r="S67" s="1743"/>
      <c r="T67" s="1743"/>
      <c r="U67" s="1743"/>
      <c r="V67" s="1743"/>
      <c r="W67" s="1743"/>
      <c r="X67" s="1743"/>
      <c r="Y67" s="1743"/>
      <c r="Z67" s="1743"/>
    </row>
    <row r="68" spans="5:26" s="1738" customFormat="1">
      <c r="E68" s="1743"/>
      <c r="F68" s="1743"/>
      <c r="I68" s="1743"/>
      <c r="J68" s="1743"/>
      <c r="K68" s="1743"/>
      <c r="L68" s="1743"/>
      <c r="M68" s="1743"/>
      <c r="N68" s="1743"/>
      <c r="O68" s="1743"/>
      <c r="P68" s="1743"/>
      <c r="Q68" s="1743"/>
      <c r="R68" s="1743"/>
      <c r="S68" s="1743"/>
      <c r="T68" s="1743"/>
      <c r="U68" s="1743"/>
      <c r="V68" s="1743"/>
      <c r="W68" s="1743"/>
      <c r="X68" s="1743"/>
      <c r="Y68" s="1743"/>
      <c r="Z68" s="1743"/>
    </row>
    <row r="69" spans="5:26" s="1738" customFormat="1">
      <c r="E69" s="1743"/>
      <c r="F69" s="1743"/>
      <c r="I69" s="1743"/>
      <c r="J69" s="1743"/>
      <c r="K69" s="1743"/>
      <c r="L69" s="1743"/>
      <c r="M69" s="1743"/>
      <c r="N69" s="1743"/>
      <c r="O69" s="1743"/>
      <c r="P69" s="1743"/>
      <c r="Q69" s="1743"/>
      <c r="R69" s="1743"/>
      <c r="S69" s="1743"/>
      <c r="T69" s="1743"/>
      <c r="U69" s="1743"/>
      <c r="V69" s="1743"/>
      <c r="W69" s="1743"/>
      <c r="X69" s="1743"/>
      <c r="Y69" s="1743"/>
      <c r="Z69" s="1743"/>
    </row>
    <row r="70" spans="5:26" s="1738" customFormat="1">
      <c r="E70" s="1743"/>
      <c r="F70" s="1743"/>
      <c r="I70" s="1743"/>
      <c r="J70" s="1743"/>
      <c r="K70" s="1743"/>
      <c r="L70" s="1743"/>
      <c r="M70" s="1743"/>
      <c r="N70" s="1743"/>
      <c r="O70" s="1743"/>
      <c r="P70" s="1743"/>
      <c r="Q70" s="1743"/>
      <c r="R70" s="1743"/>
      <c r="S70" s="1743"/>
      <c r="T70" s="1743"/>
      <c r="U70" s="1743"/>
      <c r="V70" s="1743"/>
      <c r="W70" s="1743"/>
      <c r="X70" s="1743"/>
      <c r="Y70" s="1743"/>
      <c r="Z70" s="1743"/>
    </row>
    <row r="71" spans="5:26" s="1738" customFormat="1">
      <c r="E71" s="1743"/>
      <c r="F71" s="1743"/>
      <c r="I71" s="1743"/>
      <c r="J71" s="1743"/>
      <c r="K71" s="1743"/>
      <c r="L71" s="1743"/>
      <c r="M71" s="1743"/>
      <c r="N71" s="1743"/>
      <c r="O71" s="1743"/>
      <c r="P71" s="1743"/>
      <c r="Q71" s="1743"/>
      <c r="R71" s="1743"/>
      <c r="S71" s="1743"/>
      <c r="T71" s="1743"/>
      <c r="U71" s="1743"/>
      <c r="V71" s="1743"/>
      <c r="W71" s="1743"/>
      <c r="X71" s="1743"/>
      <c r="Y71" s="1743"/>
      <c r="Z71" s="1743"/>
    </row>
    <row r="72" spans="5:26" s="1738" customFormat="1">
      <c r="E72" s="1743"/>
      <c r="F72" s="1743"/>
      <c r="I72" s="1743"/>
      <c r="J72" s="1743"/>
      <c r="K72" s="1743"/>
      <c r="L72" s="1743"/>
      <c r="M72" s="1743"/>
      <c r="N72" s="1743"/>
      <c r="O72" s="1743"/>
      <c r="P72" s="1743"/>
      <c r="Q72" s="1743"/>
      <c r="R72" s="1743"/>
      <c r="S72" s="1743"/>
      <c r="T72" s="1743"/>
      <c r="U72" s="1743"/>
      <c r="V72" s="1743"/>
      <c r="W72" s="1743"/>
      <c r="X72" s="1743"/>
      <c r="Y72" s="1743"/>
      <c r="Z72" s="1743"/>
    </row>
    <row r="73" spans="5:26" s="1738" customFormat="1">
      <c r="E73" s="1743"/>
      <c r="F73" s="1743"/>
      <c r="I73" s="1743"/>
      <c r="J73" s="1743"/>
      <c r="K73" s="1743"/>
      <c r="L73" s="1743"/>
      <c r="M73" s="1743"/>
      <c r="N73" s="1743"/>
      <c r="O73" s="1743"/>
      <c r="P73" s="1743"/>
      <c r="Q73" s="1743"/>
      <c r="R73" s="1743"/>
      <c r="S73" s="1743"/>
      <c r="T73" s="1743"/>
      <c r="U73" s="1743"/>
      <c r="V73" s="1743"/>
      <c r="W73" s="1743"/>
      <c r="X73" s="1743"/>
      <c r="Y73" s="1743"/>
      <c r="Z73" s="1743"/>
    </row>
    <row r="74" spans="5:26" s="1738" customFormat="1">
      <c r="E74" s="1743"/>
      <c r="F74" s="1743"/>
      <c r="I74" s="1743"/>
      <c r="J74" s="1743"/>
      <c r="K74" s="1743"/>
      <c r="L74" s="1743"/>
      <c r="M74" s="1743"/>
      <c r="N74" s="1743"/>
      <c r="O74" s="1743"/>
      <c r="P74" s="1743"/>
      <c r="Q74" s="1743"/>
      <c r="R74" s="1743"/>
      <c r="S74" s="1743"/>
      <c r="T74" s="1743"/>
      <c r="U74" s="1743"/>
      <c r="V74" s="1743"/>
      <c r="W74" s="1743"/>
      <c r="X74" s="1743"/>
      <c r="Y74" s="1743"/>
      <c r="Z74" s="1743"/>
    </row>
    <row r="75" spans="5:26" s="1738" customFormat="1">
      <c r="E75" s="1743"/>
      <c r="F75" s="1743"/>
      <c r="I75" s="1743"/>
      <c r="J75" s="1743"/>
      <c r="K75" s="1743"/>
      <c r="L75" s="1743"/>
      <c r="M75" s="1743"/>
      <c r="N75" s="1743"/>
      <c r="O75" s="1743"/>
      <c r="P75" s="1743"/>
      <c r="Q75" s="1743"/>
      <c r="R75" s="1743"/>
      <c r="S75" s="1743"/>
      <c r="T75" s="1743"/>
      <c r="U75" s="1743"/>
      <c r="V75" s="1743"/>
      <c r="W75" s="1743"/>
      <c r="X75" s="1743"/>
      <c r="Y75" s="1743"/>
      <c r="Z75" s="1743"/>
    </row>
    <row r="76" spans="5:26" s="1738" customFormat="1">
      <c r="E76" s="1743"/>
      <c r="F76" s="1743"/>
      <c r="I76" s="1743"/>
      <c r="J76" s="1743"/>
      <c r="K76" s="1743"/>
      <c r="L76" s="1743"/>
      <c r="M76" s="1743"/>
      <c r="N76" s="1743"/>
      <c r="O76" s="1743"/>
      <c r="P76" s="1743"/>
      <c r="Q76" s="1743"/>
      <c r="R76" s="1743"/>
      <c r="S76" s="1743"/>
      <c r="T76" s="1743"/>
      <c r="U76" s="1743"/>
      <c r="V76" s="1743"/>
      <c r="W76" s="1743"/>
      <c r="X76" s="1743"/>
      <c r="Y76" s="1743"/>
      <c r="Z76" s="1743"/>
    </row>
    <row r="77" spans="5:26" s="1738" customFormat="1">
      <c r="E77" s="1743"/>
      <c r="F77" s="1743"/>
      <c r="I77" s="1743"/>
      <c r="J77" s="1743"/>
      <c r="K77" s="1743"/>
      <c r="L77" s="1743"/>
      <c r="M77" s="1743"/>
      <c r="N77" s="1743"/>
      <c r="O77" s="1743"/>
      <c r="P77" s="1743"/>
      <c r="Q77" s="1743"/>
      <c r="R77" s="1743"/>
      <c r="S77" s="1743"/>
      <c r="T77" s="1743"/>
      <c r="U77" s="1743"/>
      <c r="V77" s="1743"/>
      <c r="W77" s="1743"/>
      <c r="X77" s="1743"/>
      <c r="Y77" s="1743"/>
      <c r="Z77" s="1743"/>
    </row>
    <row r="78" spans="5:26" s="1738" customFormat="1">
      <c r="E78" s="1743"/>
      <c r="F78" s="1743"/>
      <c r="I78" s="1743"/>
      <c r="J78" s="1743"/>
      <c r="K78" s="1743"/>
      <c r="L78" s="1743"/>
      <c r="M78" s="1743"/>
      <c r="N78" s="1743"/>
      <c r="O78" s="1743"/>
      <c r="P78" s="1743"/>
      <c r="Q78" s="1743"/>
      <c r="R78" s="1743"/>
      <c r="S78" s="1743"/>
      <c r="T78" s="1743"/>
      <c r="U78" s="1743"/>
      <c r="V78" s="1743"/>
      <c r="W78" s="1743"/>
      <c r="X78" s="1743"/>
      <c r="Y78" s="1743"/>
      <c r="Z78" s="1743"/>
    </row>
    <row r="79" spans="5:26" s="1738" customFormat="1">
      <c r="E79" s="1743"/>
      <c r="F79" s="1743"/>
      <c r="I79" s="1743"/>
      <c r="J79" s="1743"/>
      <c r="K79" s="1743"/>
      <c r="L79" s="1743"/>
      <c r="M79" s="1743"/>
      <c r="N79" s="1743"/>
      <c r="O79" s="1743"/>
      <c r="P79" s="1743"/>
      <c r="Q79" s="1743"/>
      <c r="R79" s="1743"/>
      <c r="S79" s="1743"/>
      <c r="T79" s="1743"/>
      <c r="U79" s="1743"/>
      <c r="V79" s="1743"/>
      <c r="W79" s="1743"/>
      <c r="X79" s="1743"/>
      <c r="Y79" s="1743"/>
      <c r="Z79" s="1743"/>
    </row>
    <row r="80" spans="5:26" s="1738" customFormat="1">
      <c r="E80" s="1743"/>
      <c r="F80" s="1743"/>
      <c r="I80" s="1743"/>
      <c r="J80" s="1743"/>
      <c r="K80" s="1743"/>
      <c r="L80" s="1743"/>
      <c r="M80" s="1743"/>
      <c r="N80" s="1743"/>
      <c r="O80" s="1743"/>
      <c r="P80" s="1743"/>
      <c r="Q80" s="1743"/>
      <c r="R80" s="1743"/>
      <c r="S80" s="1743"/>
      <c r="T80" s="1743"/>
      <c r="U80" s="1743"/>
      <c r="V80" s="1743"/>
      <c r="W80" s="1743"/>
      <c r="X80" s="1743"/>
      <c r="Y80" s="1743"/>
      <c r="Z80" s="1743"/>
    </row>
    <row r="81" spans="5:26" s="1738" customFormat="1">
      <c r="E81" s="1743"/>
      <c r="F81" s="1743"/>
      <c r="I81" s="1743"/>
      <c r="J81" s="1743"/>
      <c r="K81" s="1743"/>
      <c r="L81" s="1743"/>
      <c r="M81" s="1743"/>
      <c r="N81" s="1743"/>
      <c r="O81" s="1743"/>
      <c r="P81" s="1743"/>
      <c r="Q81" s="1743"/>
      <c r="R81" s="1743"/>
      <c r="S81" s="1743"/>
      <c r="T81" s="1743"/>
      <c r="U81" s="1743"/>
      <c r="V81" s="1743"/>
      <c r="W81" s="1743"/>
      <c r="X81" s="1743"/>
      <c r="Y81" s="1743"/>
      <c r="Z81" s="1743"/>
    </row>
    <row r="82" spans="5:26" s="1738" customFormat="1">
      <c r="E82" s="1743"/>
      <c r="F82" s="1743"/>
      <c r="I82" s="1743"/>
      <c r="J82" s="1743"/>
      <c r="K82" s="1743"/>
      <c r="L82" s="1743"/>
      <c r="M82" s="1743"/>
      <c r="N82" s="1743"/>
      <c r="O82" s="1743"/>
      <c r="P82" s="1743"/>
      <c r="Q82" s="1743"/>
      <c r="R82" s="1743"/>
      <c r="S82" s="1743"/>
      <c r="T82" s="1743"/>
      <c r="U82" s="1743"/>
      <c r="V82" s="1743"/>
      <c r="W82" s="1743"/>
      <c r="X82" s="1743"/>
      <c r="Y82" s="1743"/>
      <c r="Z82" s="1743"/>
    </row>
    <row r="83" spans="5:26" s="1738" customFormat="1">
      <c r="E83" s="1743"/>
      <c r="F83" s="1743"/>
      <c r="I83" s="1743"/>
      <c r="J83" s="1743"/>
      <c r="K83" s="1743"/>
      <c r="L83" s="1743"/>
      <c r="M83" s="1743"/>
      <c r="N83" s="1743"/>
      <c r="O83" s="1743"/>
      <c r="P83" s="1743"/>
      <c r="Q83" s="1743"/>
      <c r="R83" s="1743"/>
      <c r="S83" s="1743"/>
      <c r="T83" s="1743"/>
      <c r="U83" s="1743"/>
      <c r="V83" s="1743"/>
      <c r="W83" s="1743"/>
      <c r="X83" s="1743"/>
      <c r="Y83" s="1743"/>
      <c r="Z83" s="1743"/>
    </row>
    <row r="84" spans="5:26" s="1738" customFormat="1">
      <c r="E84" s="1743"/>
      <c r="F84" s="1743"/>
      <c r="I84" s="1743"/>
      <c r="J84" s="1743"/>
      <c r="K84" s="1743"/>
      <c r="L84" s="1743"/>
      <c r="M84" s="1743"/>
      <c r="N84" s="1743"/>
      <c r="O84" s="1743"/>
      <c r="P84" s="1743"/>
      <c r="Q84" s="1743"/>
      <c r="R84" s="1743"/>
      <c r="S84" s="1743"/>
      <c r="T84" s="1743"/>
      <c r="U84" s="1743"/>
      <c r="V84" s="1743"/>
      <c r="W84" s="1743"/>
      <c r="X84" s="1743"/>
      <c r="Y84" s="1743"/>
      <c r="Z84" s="1743"/>
    </row>
    <row r="85" spans="5:26" s="1738" customFormat="1">
      <c r="E85" s="1743"/>
      <c r="F85" s="1743"/>
      <c r="I85" s="1743"/>
      <c r="J85" s="1743"/>
      <c r="K85" s="1743"/>
      <c r="L85" s="1743"/>
      <c r="M85" s="1743"/>
      <c r="N85" s="1743"/>
      <c r="O85" s="1743"/>
      <c r="P85" s="1743"/>
      <c r="Q85" s="1743"/>
      <c r="R85" s="1743"/>
      <c r="S85" s="1743"/>
      <c r="T85" s="1743"/>
      <c r="U85" s="1743"/>
      <c r="V85" s="1743"/>
      <c r="W85" s="1743"/>
      <c r="X85" s="1743"/>
      <c r="Y85" s="1743"/>
      <c r="Z85" s="1743"/>
    </row>
    <row r="86" spans="5:26" s="1738" customFormat="1">
      <c r="E86" s="1743"/>
      <c r="F86" s="1743"/>
      <c r="I86" s="1743"/>
      <c r="J86" s="1743"/>
      <c r="K86" s="1743"/>
      <c r="L86" s="1743"/>
      <c r="M86" s="1743"/>
      <c r="N86" s="1743"/>
      <c r="O86" s="1743"/>
      <c r="P86" s="1743"/>
      <c r="Q86" s="1743"/>
      <c r="R86" s="1743"/>
      <c r="S86" s="1743"/>
      <c r="T86" s="1743"/>
      <c r="U86" s="1743"/>
      <c r="V86" s="1743"/>
      <c r="W86" s="1743"/>
      <c r="X86" s="1743"/>
      <c r="Y86" s="1743"/>
      <c r="Z86" s="1743"/>
    </row>
    <row r="87" spans="5:26" s="1738" customFormat="1">
      <c r="E87" s="1743"/>
      <c r="F87" s="1743"/>
      <c r="I87" s="1743"/>
      <c r="J87" s="1743"/>
      <c r="K87" s="1743"/>
      <c r="L87" s="1743"/>
      <c r="M87" s="1743"/>
      <c r="N87" s="1743"/>
      <c r="O87" s="1743"/>
      <c r="P87" s="1743"/>
      <c r="Q87" s="1743"/>
      <c r="R87" s="1743"/>
      <c r="S87" s="1743"/>
      <c r="T87" s="1743"/>
      <c r="U87" s="1743"/>
      <c r="V87" s="1743"/>
      <c r="W87" s="1743"/>
      <c r="X87" s="1743"/>
      <c r="Y87" s="1743"/>
      <c r="Z87" s="1743"/>
    </row>
    <row r="88" spans="5:26" s="1738" customFormat="1">
      <c r="E88" s="1743"/>
      <c r="F88" s="1743"/>
      <c r="I88" s="1743"/>
      <c r="J88" s="1743"/>
      <c r="K88" s="1743"/>
      <c r="L88" s="1743"/>
      <c r="M88" s="1743"/>
      <c r="N88" s="1743"/>
      <c r="O88" s="1743"/>
      <c r="P88" s="1743"/>
      <c r="Q88" s="1743"/>
      <c r="R88" s="1743"/>
      <c r="S88" s="1743"/>
      <c r="T88" s="1743"/>
      <c r="U88" s="1743"/>
      <c r="V88" s="1743"/>
      <c r="W88" s="1743"/>
      <c r="X88" s="1743"/>
      <c r="Y88" s="1743"/>
      <c r="Z88" s="1743"/>
    </row>
    <row r="89" spans="5:26" s="1738" customFormat="1">
      <c r="E89" s="1743"/>
      <c r="F89" s="1743"/>
      <c r="I89" s="1743"/>
      <c r="J89" s="1743"/>
      <c r="K89" s="1743"/>
      <c r="L89" s="1743"/>
      <c r="M89" s="1743"/>
      <c r="N89" s="1743"/>
      <c r="O89" s="1743"/>
      <c r="P89" s="1743"/>
      <c r="Q89" s="1743"/>
      <c r="R89" s="1743"/>
      <c r="S89" s="1743"/>
      <c r="T89" s="1743"/>
      <c r="U89" s="1743"/>
      <c r="V89" s="1743"/>
      <c r="W89" s="1743"/>
      <c r="X89" s="1743"/>
      <c r="Y89" s="1743"/>
      <c r="Z89" s="1743"/>
    </row>
    <row r="90" spans="5:26" s="1738" customFormat="1">
      <c r="E90" s="1743"/>
      <c r="F90" s="1743"/>
      <c r="I90" s="1743"/>
      <c r="J90" s="1743"/>
      <c r="K90" s="1743"/>
      <c r="L90" s="1743"/>
      <c r="M90" s="1743"/>
      <c r="N90" s="1743"/>
      <c r="O90" s="1743"/>
      <c r="P90" s="1743"/>
      <c r="Q90" s="1743"/>
      <c r="R90" s="1743"/>
      <c r="S90" s="1743"/>
      <c r="T90" s="1743"/>
      <c r="U90" s="1743"/>
      <c r="V90" s="1743"/>
      <c r="W90" s="1743"/>
      <c r="X90" s="1743"/>
      <c r="Y90" s="1743"/>
      <c r="Z90" s="1743"/>
    </row>
    <row r="91" spans="5:26" s="1738" customFormat="1">
      <c r="E91" s="1743"/>
      <c r="F91" s="1743"/>
      <c r="I91" s="1743"/>
      <c r="J91" s="1743"/>
      <c r="K91" s="1743"/>
      <c r="L91" s="1743"/>
      <c r="M91" s="1743"/>
      <c r="N91" s="1743"/>
      <c r="O91" s="1743"/>
      <c r="P91" s="1743"/>
      <c r="Q91" s="1743"/>
      <c r="R91" s="1743"/>
      <c r="S91" s="1743"/>
      <c r="T91" s="1743"/>
      <c r="U91" s="1743"/>
      <c r="V91" s="1743"/>
      <c r="W91" s="1743"/>
      <c r="X91" s="1743"/>
      <c r="Y91" s="1743"/>
      <c r="Z91" s="1743"/>
    </row>
    <row r="92" spans="5:26" s="1738" customFormat="1">
      <c r="E92" s="1743"/>
      <c r="F92" s="1743"/>
      <c r="I92" s="1743"/>
      <c r="J92" s="1743"/>
      <c r="K92" s="1743"/>
      <c r="L92" s="1743"/>
      <c r="M92" s="1743"/>
      <c r="N92" s="1743"/>
      <c r="O92" s="1743"/>
      <c r="P92" s="1743"/>
      <c r="Q92" s="1743"/>
      <c r="R92" s="1743"/>
      <c r="S92" s="1743"/>
      <c r="T92" s="1743"/>
      <c r="U92" s="1743"/>
      <c r="V92" s="1743"/>
      <c r="W92" s="1743"/>
      <c r="X92" s="1743"/>
      <c r="Y92" s="1743"/>
      <c r="Z92" s="1743"/>
    </row>
    <row r="93" spans="5:26" s="1738" customFormat="1">
      <c r="E93" s="1743"/>
      <c r="F93" s="1743"/>
      <c r="I93" s="1743"/>
      <c r="J93" s="1743"/>
      <c r="K93" s="1743"/>
      <c r="L93" s="1743"/>
      <c r="M93" s="1743"/>
      <c r="N93" s="1743"/>
      <c r="O93" s="1743"/>
      <c r="P93" s="1743"/>
      <c r="Q93" s="1743"/>
      <c r="R93" s="1743"/>
      <c r="S93" s="1743"/>
      <c r="T93" s="1743"/>
      <c r="U93" s="1743"/>
      <c r="V93" s="1743"/>
      <c r="W93" s="1743"/>
      <c r="X93" s="1743"/>
      <c r="Y93" s="1743"/>
      <c r="Z93" s="1743"/>
    </row>
    <row r="94" spans="5:26" s="1738" customFormat="1">
      <c r="E94" s="1743"/>
      <c r="F94" s="1743"/>
      <c r="I94" s="1743"/>
      <c r="J94" s="1743"/>
      <c r="K94" s="1743"/>
      <c r="L94" s="1743"/>
      <c r="M94" s="1743"/>
      <c r="N94" s="1743"/>
      <c r="O94" s="1743"/>
      <c r="P94" s="1743"/>
      <c r="Q94" s="1743"/>
      <c r="R94" s="1743"/>
      <c r="S94" s="1743"/>
      <c r="T94" s="1743"/>
      <c r="U94" s="1743"/>
      <c r="V94" s="1743"/>
      <c r="W94" s="1743"/>
      <c r="X94" s="1743"/>
      <c r="Y94" s="1743"/>
      <c r="Z94" s="1743"/>
    </row>
    <row r="95" spans="5:26" s="1738" customFormat="1">
      <c r="E95" s="1743"/>
      <c r="F95" s="1743"/>
      <c r="I95" s="1743"/>
      <c r="J95" s="1743"/>
      <c r="K95" s="1743"/>
      <c r="L95" s="1743"/>
      <c r="M95" s="1743"/>
      <c r="N95" s="1743"/>
      <c r="O95" s="1743"/>
      <c r="P95" s="1743"/>
      <c r="Q95" s="1743"/>
      <c r="R95" s="1743"/>
      <c r="S95" s="1743"/>
      <c r="T95" s="1743"/>
      <c r="U95" s="1743"/>
      <c r="V95" s="1743"/>
      <c r="W95" s="1743"/>
      <c r="X95" s="1743"/>
      <c r="Y95" s="1743"/>
      <c r="Z95" s="1743"/>
    </row>
    <row r="96" spans="5:26" s="1738" customFormat="1">
      <c r="E96" s="1743"/>
      <c r="F96" s="1743"/>
      <c r="I96" s="1743"/>
      <c r="J96" s="1743"/>
      <c r="K96" s="1743"/>
      <c r="L96" s="1743"/>
      <c r="M96" s="1743"/>
      <c r="N96" s="1743"/>
      <c r="O96" s="1743"/>
      <c r="P96" s="1743"/>
      <c r="Q96" s="1743"/>
      <c r="R96" s="1743"/>
      <c r="S96" s="1743"/>
      <c r="T96" s="1743"/>
      <c r="U96" s="1743"/>
      <c r="V96" s="1743"/>
      <c r="W96" s="1743"/>
      <c r="X96" s="1743"/>
      <c r="Y96" s="1743"/>
      <c r="Z96" s="1743"/>
    </row>
    <row r="97" spans="5:26" s="1738" customFormat="1">
      <c r="E97" s="1743"/>
      <c r="F97" s="1743"/>
      <c r="I97" s="1743"/>
      <c r="J97" s="1743"/>
      <c r="K97" s="1743"/>
      <c r="L97" s="1743"/>
      <c r="M97" s="1743"/>
      <c r="N97" s="1743"/>
      <c r="O97" s="1743"/>
      <c r="P97" s="1743"/>
      <c r="Q97" s="1743"/>
      <c r="R97" s="1743"/>
      <c r="S97" s="1743"/>
      <c r="T97" s="1743"/>
      <c r="U97" s="1743"/>
      <c r="V97" s="1743"/>
      <c r="W97" s="1743"/>
      <c r="X97" s="1743"/>
      <c r="Y97" s="1743"/>
      <c r="Z97" s="1743"/>
    </row>
    <row r="98" spans="5:26" s="1738" customFormat="1">
      <c r="E98" s="1743"/>
      <c r="F98" s="1743"/>
      <c r="I98" s="1743"/>
      <c r="J98" s="1743"/>
      <c r="K98" s="1743"/>
      <c r="L98" s="1743"/>
      <c r="M98" s="1743"/>
      <c r="N98" s="1743"/>
      <c r="O98" s="1743"/>
      <c r="P98" s="1743"/>
      <c r="Q98" s="1743"/>
      <c r="R98" s="1743"/>
      <c r="S98" s="1743"/>
      <c r="T98" s="1743"/>
      <c r="U98" s="1743"/>
      <c r="V98" s="1743"/>
      <c r="W98" s="1743"/>
      <c r="X98" s="1743"/>
      <c r="Y98" s="1743"/>
      <c r="Z98" s="1743"/>
    </row>
    <row r="99" spans="5:26" s="1738" customFormat="1">
      <c r="E99" s="1743"/>
      <c r="F99" s="1743"/>
      <c r="I99" s="1743"/>
      <c r="J99" s="1743"/>
      <c r="K99" s="1743"/>
      <c r="L99" s="1743"/>
      <c r="M99" s="1743"/>
      <c r="N99" s="1743"/>
      <c r="O99" s="1743"/>
      <c r="P99" s="1743"/>
      <c r="Q99" s="1743"/>
      <c r="R99" s="1743"/>
      <c r="S99" s="1743"/>
      <c r="T99" s="1743"/>
      <c r="U99" s="1743"/>
      <c r="V99" s="1743"/>
      <c r="W99" s="1743"/>
      <c r="X99" s="1743"/>
      <c r="Y99" s="1743"/>
      <c r="Z99" s="1743"/>
    </row>
    <row r="100" spans="5:26" s="1738" customFormat="1">
      <c r="E100" s="1743"/>
      <c r="F100" s="1743"/>
      <c r="I100" s="1743"/>
      <c r="J100" s="1743"/>
      <c r="K100" s="1743"/>
      <c r="L100" s="1743"/>
      <c r="M100" s="1743"/>
      <c r="N100" s="1743"/>
      <c r="O100" s="1743"/>
      <c r="P100" s="1743"/>
      <c r="Q100" s="1743"/>
      <c r="R100" s="1743"/>
      <c r="S100" s="1743"/>
      <c r="T100" s="1743"/>
      <c r="U100" s="1743"/>
      <c r="V100" s="1743"/>
      <c r="W100" s="1743"/>
      <c r="X100" s="1743"/>
      <c r="Y100" s="1743"/>
      <c r="Z100" s="1743"/>
    </row>
    <row r="101" spans="5:26" s="1738" customFormat="1">
      <c r="E101" s="1743"/>
      <c r="F101" s="1743"/>
      <c r="I101" s="1743"/>
      <c r="J101" s="1743"/>
      <c r="K101" s="1743"/>
      <c r="L101" s="1743"/>
      <c r="M101" s="1743"/>
      <c r="N101" s="1743"/>
      <c r="O101" s="1743"/>
      <c r="P101" s="1743"/>
      <c r="Q101" s="1743"/>
      <c r="R101" s="1743"/>
      <c r="S101" s="1743"/>
      <c r="T101" s="1743"/>
      <c r="U101" s="1743"/>
      <c r="V101" s="1743"/>
      <c r="W101" s="1743"/>
      <c r="X101" s="1743"/>
      <c r="Y101" s="1743"/>
      <c r="Z101" s="1743"/>
    </row>
    <row r="102" spans="5:26" s="1738" customFormat="1">
      <c r="E102" s="1743"/>
      <c r="F102" s="1743"/>
      <c r="I102" s="1743"/>
      <c r="J102" s="1743"/>
      <c r="K102" s="1743"/>
      <c r="L102" s="1743"/>
      <c r="M102" s="1743"/>
      <c r="N102" s="1743"/>
      <c r="O102" s="1743"/>
      <c r="P102" s="1743"/>
      <c r="Q102" s="1743"/>
      <c r="R102" s="1743"/>
      <c r="S102" s="1743"/>
      <c r="T102" s="1743"/>
      <c r="U102" s="1743"/>
      <c r="V102" s="1743"/>
      <c r="W102" s="1743"/>
      <c r="X102" s="1743"/>
      <c r="Y102" s="1743"/>
      <c r="Z102" s="1743"/>
    </row>
    <row r="103" spans="5:26" s="1738" customFormat="1">
      <c r="E103" s="1743"/>
      <c r="F103" s="1743"/>
      <c r="I103" s="1743"/>
      <c r="J103" s="1743"/>
      <c r="K103" s="1743"/>
      <c r="L103" s="1743"/>
      <c r="M103" s="1743"/>
      <c r="N103" s="1743"/>
      <c r="O103" s="1743"/>
      <c r="P103" s="1743"/>
      <c r="Q103" s="1743"/>
      <c r="R103" s="1743"/>
      <c r="S103" s="1743"/>
      <c r="T103" s="1743"/>
      <c r="U103" s="1743"/>
      <c r="V103" s="1743"/>
      <c r="W103" s="1743"/>
      <c r="X103" s="1743"/>
      <c r="Y103" s="1743"/>
      <c r="Z103" s="1743"/>
    </row>
    <row r="104" spans="5:26" s="1738" customFormat="1">
      <c r="E104" s="1743"/>
      <c r="F104" s="1743"/>
      <c r="I104" s="1743"/>
      <c r="J104" s="1743"/>
      <c r="K104" s="1743"/>
      <c r="L104" s="1743"/>
      <c r="M104" s="1743"/>
      <c r="N104" s="1743"/>
      <c r="O104" s="1743"/>
      <c r="P104" s="1743"/>
      <c r="Q104" s="1743"/>
      <c r="R104" s="1743"/>
      <c r="S104" s="1743"/>
      <c r="T104" s="1743"/>
      <c r="U104" s="1743"/>
      <c r="V104" s="1743"/>
      <c r="W104" s="1743"/>
      <c r="X104" s="1743"/>
      <c r="Y104" s="1743"/>
      <c r="Z104" s="1743"/>
    </row>
    <row r="105" spans="5:26" s="1738" customFormat="1">
      <c r="E105" s="1743"/>
      <c r="F105" s="1743"/>
      <c r="I105" s="1743"/>
      <c r="J105" s="1743"/>
      <c r="K105" s="1743"/>
      <c r="L105" s="1743"/>
      <c r="M105" s="1743"/>
      <c r="N105" s="1743"/>
      <c r="O105" s="1743"/>
      <c r="P105" s="1743"/>
      <c r="Q105" s="1743"/>
      <c r="R105" s="1743"/>
      <c r="S105" s="1743"/>
      <c r="T105" s="1743"/>
      <c r="U105" s="1743"/>
      <c r="V105" s="1743"/>
      <c r="W105" s="1743"/>
      <c r="X105" s="1743"/>
      <c r="Y105" s="1743"/>
      <c r="Z105" s="1743"/>
    </row>
    <row r="106" spans="5:26" s="1738" customFormat="1">
      <c r="E106" s="1743"/>
      <c r="F106" s="1743"/>
      <c r="I106" s="1743"/>
      <c r="J106" s="1743"/>
      <c r="K106" s="1743"/>
      <c r="L106" s="1743"/>
      <c r="M106" s="1743"/>
      <c r="N106" s="1743"/>
      <c r="O106" s="1743"/>
      <c r="P106" s="1743"/>
      <c r="Q106" s="1743"/>
      <c r="R106" s="1743"/>
      <c r="S106" s="1743"/>
      <c r="T106" s="1743"/>
      <c r="U106" s="1743"/>
      <c r="V106" s="1743"/>
      <c r="W106" s="1743"/>
      <c r="X106" s="1743"/>
      <c r="Y106" s="1743"/>
      <c r="Z106" s="1743"/>
    </row>
    <row r="107" spans="5:26" s="1738" customFormat="1">
      <c r="E107" s="1743"/>
      <c r="F107" s="1743"/>
      <c r="I107" s="1743"/>
      <c r="J107" s="1743"/>
      <c r="K107" s="1743"/>
      <c r="L107" s="1743"/>
      <c r="M107" s="1743"/>
      <c r="N107" s="1743"/>
      <c r="O107" s="1743"/>
      <c r="P107" s="1743"/>
      <c r="Q107" s="1743"/>
      <c r="R107" s="1743"/>
      <c r="S107" s="1743"/>
      <c r="T107" s="1743"/>
      <c r="U107" s="1743"/>
      <c r="V107" s="1743"/>
      <c r="W107" s="1743"/>
      <c r="X107" s="1743"/>
      <c r="Y107" s="1743"/>
      <c r="Z107" s="1743"/>
    </row>
    <row r="108" spans="5:26" s="1738" customFormat="1">
      <c r="E108" s="1743"/>
      <c r="F108" s="1743"/>
      <c r="I108" s="1743"/>
      <c r="J108" s="1743"/>
      <c r="K108" s="1743"/>
      <c r="L108" s="1743"/>
      <c r="M108" s="1743"/>
      <c r="N108" s="1743"/>
      <c r="O108" s="1743"/>
      <c r="P108" s="1743"/>
      <c r="Q108" s="1743"/>
      <c r="R108" s="1743"/>
      <c r="S108" s="1743"/>
      <c r="T108" s="1743"/>
      <c r="U108" s="1743"/>
      <c r="V108" s="1743"/>
      <c r="W108" s="1743"/>
      <c r="X108" s="1743"/>
      <c r="Y108" s="1743"/>
      <c r="Z108" s="1743"/>
    </row>
    <row r="109" spans="5:26" s="1738" customFormat="1">
      <c r="E109" s="1743"/>
      <c r="F109" s="1743"/>
      <c r="I109" s="1743"/>
      <c r="J109" s="1743"/>
      <c r="K109" s="1743"/>
      <c r="L109" s="1743"/>
      <c r="M109" s="1743"/>
      <c r="N109" s="1743"/>
      <c r="O109" s="1743"/>
      <c r="P109" s="1743"/>
      <c r="Q109" s="1743"/>
      <c r="R109" s="1743"/>
      <c r="S109" s="1743"/>
      <c r="T109" s="1743"/>
      <c r="U109" s="1743"/>
      <c r="V109" s="1743"/>
      <c r="W109" s="1743"/>
      <c r="X109" s="1743"/>
      <c r="Y109" s="1743"/>
      <c r="Z109" s="1743"/>
    </row>
    <row r="110" spans="5:26" s="1738" customFormat="1">
      <c r="E110" s="1743"/>
      <c r="F110" s="1743"/>
      <c r="I110" s="1743"/>
      <c r="J110" s="1743"/>
      <c r="K110" s="1743"/>
      <c r="L110" s="1743"/>
      <c r="M110" s="1743"/>
      <c r="N110" s="1743"/>
      <c r="O110" s="1743"/>
      <c r="P110" s="1743"/>
      <c r="Q110" s="1743"/>
      <c r="R110" s="1743"/>
      <c r="S110" s="1743"/>
      <c r="T110" s="1743"/>
      <c r="U110" s="1743"/>
      <c r="V110" s="1743"/>
      <c r="W110" s="1743"/>
      <c r="X110" s="1743"/>
      <c r="Y110" s="1743"/>
      <c r="Z110" s="1743"/>
    </row>
    <row r="111" spans="5:26" s="1738" customFormat="1">
      <c r="E111" s="1743"/>
      <c r="F111" s="1743"/>
      <c r="I111" s="1743"/>
      <c r="J111" s="1743"/>
      <c r="K111" s="1743"/>
      <c r="L111" s="1743"/>
      <c r="M111" s="1743"/>
      <c r="N111" s="1743"/>
      <c r="O111" s="1743"/>
      <c r="P111" s="1743"/>
      <c r="Q111" s="1743"/>
      <c r="R111" s="1743"/>
      <c r="S111" s="1743"/>
      <c r="T111" s="1743"/>
      <c r="U111" s="1743"/>
      <c r="V111" s="1743"/>
      <c r="W111" s="1743"/>
      <c r="X111" s="1743"/>
      <c r="Y111" s="1743"/>
      <c r="Z111" s="1743"/>
    </row>
    <row r="112" spans="5:26" s="1738" customFormat="1">
      <c r="E112" s="1743"/>
      <c r="F112" s="1743"/>
      <c r="I112" s="1743"/>
      <c r="J112" s="1743"/>
      <c r="K112" s="1743"/>
      <c r="L112" s="1743"/>
      <c r="M112" s="1743"/>
      <c r="N112" s="1743"/>
      <c r="O112" s="1743"/>
      <c r="P112" s="1743"/>
      <c r="Q112" s="1743"/>
      <c r="R112" s="1743"/>
      <c r="S112" s="1743"/>
      <c r="T112" s="1743"/>
      <c r="U112" s="1743"/>
      <c r="V112" s="1743"/>
      <c r="W112" s="1743"/>
      <c r="X112" s="1743"/>
      <c r="Y112" s="1743"/>
      <c r="Z112" s="1743"/>
    </row>
    <row r="113" spans="2:26" s="1738" customFormat="1">
      <c r="E113" s="1743"/>
      <c r="F113" s="1743"/>
      <c r="I113" s="1743"/>
      <c r="J113" s="1743"/>
      <c r="K113" s="1743"/>
      <c r="L113" s="1743"/>
      <c r="M113" s="1743"/>
      <c r="N113" s="1743"/>
      <c r="O113" s="1743"/>
      <c r="P113" s="1743"/>
      <c r="Q113" s="1743"/>
      <c r="R113" s="1743"/>
      <c r="S113" s="1743"/>
      <c r="T113" s="1743"/>
      <c r="U113" s="1743"/>
      <c r="V113" s="1743"/>
      <c r="W113" s="1743"/>
      <c r="X113" s="1743"/>
      <c r="Y113" s="1743"/>
      <c r="Z113" s="1743"/>
    </row>
    <row r="114" spans="2:26" s="1738" customFormat="1">
      <c r="E114" s="1743"/>
      <c r="F114" s="1743"/>
      <c r="I114" s="1743"/>
      <c r="J114" s="1743"/>
      <c r="K114" s="1743"/>
      <c r="L114" s="1743"/>
      <c r="M114" s="1743"/>
      <c r="N114" s="1743"/>
      <c r="O114" s="1743"/>
      <c r="P114" s="1743"/>
      <c r="Q114" s="1743"/>
      <c r="R114" s="1743"/>
      <c r="S114" s="1743"/>
      <c r="T114" s="1743"/>
      <c r="U114" s="1743"/>
      <c r="V114" s="1743"/>
      <c r="W114" s="1743"/>
      <c r="X114" s="1743"/>
      <c r="Y114" s="1743"/>
      <c r="Z114" s="1743"/>
    </row>
    <row r="115" spans="2:26" s="1738" customFormat="1">
      <c r="E115" s="1743"/>
      <c r="F115" s="1743"/>
      <c r="I115" s="1743"/>
      <c r="J115" s="1743"/>
      <c r="K115" s="1743"/>
      <c r="L115" s="1743"/>
      <c r="M115" s="1743"/>
      <c r="N115" s="1743"/>
      <c r="O115" s="1743"/>
      <c r="P115" s="1743"/>
      <c r="Q115" s="1743"/>
      <c r="R115" s="1743"/>
      <c r="S115" s="1743"/>
      <c r="T115" s="1743"/>
      <c r="U115" s="1743"/>
      <c r="V115" s="1743"/>
      <c r="W115" s="1743"/>
      <c r="X115" s="1743"/>
      <c r="Y115" s="1743"/>
      <c r="Z115" s="1743"/>
    </row>
    <row r="116" spans="2:26" s="1738" customFormat="1">
      <c r="E116" s="1743"/>
      <c r="F116" s="1743"/>
      <c r="I116" s="1743"/>
      <c r="J116" s="1743"/>
      <c r="K116" s="1743"/>
      <c r="L116" s="1743"/>
      <c r="M116" s="1743"/>
      <c r="N116" s="1743"/>
      <c r="O116" s="1743"/>
      <c r="P116" s="1743"/>
      <c r="Q116" s="1743"/>
      <c r="R116" s="1743"/>
      <c r="S116" s="1743"/>
      <c r="T116" s="1743"/>
      <c r="U116" s="1743"/>
      <c r="V116" s="1743"/>
      <c r="W116" s="1743"/>
      <c r="X116" s="1743"/>
      <c r="Y116" s="1743"/>
      <c r="Z116" s="1743"/>
    </row>
    <row r="117" spans="2:26" s="1738" customFormat="1">
      <c r="E117" s="1743"/>
      <c r="F117" s="1743"/>
      <c r="I117" s="1743"/>
      <c r="J117" s="1743"/>
      <c r="K117" s="1743"/>
      <c r="L117" s="1743"/>
      <c r="M117" s="1743"/>
      <c r="N117" s="1743"/>
      <c r="O117" s="1743"/>
      <c r="P117" s="1743"/>
      <c r="Q117" s="1743"/>
      <c r="R117" s="1743"/>
      <c r="S117" s="1743"/>
      <c r="T117" s="1743"/>
      <c r="U117" s="1743"/>
      <c r="V117" s="1743"/>
      <c r="W117" s="1743"/>
      <c r="X117" s="1743"/>
      <c r="Y117" s="1743"/>
      <c r="Z117" s="1743"/>
    </row>
    <row r="118" spans="2:26" s="1738" customFormat="1" ht="15.6">
      <c r="C118" s="2579" t="str">
        <f>B7</f>
        <v>5.1. Forest degradation and Management</v>
      </c>
      <c r="D118" s="2579"/>
      <c r="E118" s="2580"/>
      <c r="F118" s="2580"/>
      <c r="G118" s="2580"/>
      <c r="H118" s="2580"/>
      <c r="I118" s="2580"/>
      <c r="J118" s="2580"/>
      <c r="K118" s="2580"/>
      <c r="L118" s="2580"/>
      <c r="M118" s="2580"/>
      <c r="N118" s="2580"/>
      <c r="O118" s="2580"/>
      <c r="P118" s="2580"/>
      <c r="Q118" s="2580"/>
      <c r="R118" s="2580"/>
      <c r="S118" s="2580"/>
      <c r="T118" s="2580"/>
      <c r="U118" s="2580"/>
      <c r="V118" s="1743"/>
      <c r="W118" s="1743"/>
      <c r="X118" s="1743"/>
      <c r="Y118" s="1743"/>
      <c r="Z118" s="1743"/>
    </row>
    <row r="119" spans="2:26" s="1738" customFormat="1">
      <c r="B119" s="1850"/>
      <c r="C119" s="2260"/>
      <c r="D119" s="2731" t="str">
        <f>HLOOKUP(select,translations!$A$20:$H$70,3,)</f>
        <v>AEZ map</v>
      </c>
      <c r="E119" s="2031" t="str">
        <f>CONCATENATE("        1.",forest1," - ","2.",forest2," - ","3.",forest3," - ","4.",forest4,)</f>
        <v xml:space="preserve">        1.Please specify the climate - 2.Please specify the climate - 3.Please specify the climate - 4.Please specify the climate</v>
      </c>
      <c r="F119" s="2031" t="str">
        <f>F8</f>
        <v>Zone 1 = Please specify the climate</v>
      </c>
      <c r="G119" s="2031"/>
      <c r="H119" s="2031"/>
      <c r="I119" s="2031"/>
      <c r="J119" s="2031"/>
      <c r="K119" s="2031"/>
      <c r="L119" s="2031"/>
      <c r="M119" s="2031" t="str">
        <f>L8</f>
        <v>Zone 2 = Please specify the climate</v>
      </c>
      <c r="N119" s="2031"/>
      <c r="O119" s="2031"/>
      <c r="P119" s="2031"/>
      <c r="Q119" s="2031"/>
      <c r="R119" s="2032"/>
      <c r="S119" s="2032"/>
      <c r="T119" s="2192"/>
      <c r="U119" s="2192"/>
    </row>
    <row r="120" spans="2:26" s="1738" customFormat="1">
      <c r="B120" s="1850"/>
      <c r="C120" s="2191"/>
      <c r="D120" s="2192"/>
      <c r="E120" s="2031"/>
      <c r="F120" s="2031"/>
      <c r="G120" s="2031"/>
      <c r="H120" s="2031" t="str">
        <f>R8</f>
        <v>Zone 3 = Please specify the climate</v>
      </c>
      <c r="I120" s="2031"/>
      <c r="J120" s="2031"/>
      <c r="K120" s="2031"/>
      <c r="L120" s="2031"/>
      <c r="M120" s="2031"/>
      <c r="N120" s="2031"/>
      <c r="O120" s="2031" t="str">
        <f>W8</f>
        <v>Zone 4 = Please specify the climate</v>
      </c>
      <c r="P120" s="2031"/>
      <c r="Q120" s="2031"/>
      <c r="R120" s="2032"/>
      <c r="S120" s="2032"/>
      <c r="T120" s="2192"/>
      <c r="U120" s="2192"/>
    </row>
    <row r="121" spans="2:26" s="1738" customFormat="1">
      <c r="M121" s="1743"/>
      <c r="Q121" s="1743"/>
      <c r="R121" s="1743"/>
      <c r="S121" s="1743"/>
    </row>
    <row r="122" spans="2:26" s="1738" customFormat="1">
      <c r="C122" s="1799"/>
      <c r="D122" s="1799"/>
      <c r="E122" s="1800"/>
      <c r="F122" s="1799"/>
      <c r="G122" s="1799"/>
      <c r="H122" s="1799"/>
      <c r="I122" s="1799"/>
      <c r="J122" s="1799"/>
      <c r="K122" s="1799"/>
      <c r="L122" s="1799"/>
      <c r="M122" s="1799"/>
      <c r="N122" s="1765" t="str">
        <f>HLOOKUP(select,translations!$A$209:$H$250,25,)</f>
        <v>Degradation level (% of biomass lost)</v>
      </c>
      <c r="O122" s="1761"/>
      <c r="P122" s="1789"/>
      <c r="Q122" s="1789"/>
      <c r="R122" s="1761"/>
      <c r="S122" s="1761"/>
      <c r="T122" s="1799"/>
      <c r="U122" s="1799"/>
      <c r="Z122" s="1743"/>
    </row>
    <row r="123" spans="2:26" s="1738" customFormat="1">
      <c r="C123" s="1799"/>
      <c r="D123" s="1799"/>
      <c r="E123" s="1799"/>
      <c r="F123" s="1799"/>
      <c r="G123" s="1799"/>
      <c r="H123" s="1799"/>
      <c r="I123" s="1799"/>
      <c r="J123" s="1799"/>
      <c r="K123" s="1799"/>
      <c r="L123" s="1799"/>
      <c r="M123" s="1799"/>
      <c r="N123" s="1761"/>
      <c r="O123" s="1761"/>
      <c r="P123" s="1761"/>
      <c r="Q123" s="2305" t="str">
        <f>F133</f>
        <v>Default</v>
      </c>
      <c r="R123" s="2374" t="str">
        <f>H133</f>
        <v>Tier 2</v>
      </c>
      <c r="S123" s="1799"/>
      <c r="T123" s="1799"/>
      <c r="U123" s="1799"/>
      <c r="Z123" s="1743"/>
    </row>
    <row r="124" spans="2:26" s="1738" customFormat="1">
      <c r="C124" s="1799"/>
      <c r="D124" s="1799"/>
      <c r="E124" s="1799"/>
      <c r="F124" s="1799"/>
      <c r="G124" s="1799"/>
      <c r="H124" s="1799"/>
      <c r="I124" s="1799"/>
      <c r="J124" s="1799"/>
      <c r="K124" s="1799"/>
      <c r="L124" s="1799"/>
      <c r="M124" s="1799"/>
      <c r="N124" s="2371" t="str">
        <f>HLOOKUP(select,'Name translation'!$A$1:$H$266,128,)</f>
        <v>None</v>
      </c>
      <c r="O124" s="1761"/>
      <c r="P124" s="1789"/>
      <c r="Q124" s="2372">
        <v>0</v>
      </c>
      <c r="R124" s="2373"/>
      <c r="S124" s="1799"/>
      <c r="T124" s="1799"/>
      <c r="U124" s="1799"/>
      <c r="Z124" s="1743"/>
    </row>
    <row r="125" spans="2:26" s="1738" customFormat="1">
      <c r="C125" s="3232" t="str">
        <f>'2.LUC'!$B$92</f>
        <v>Use this part only if you want to refine the analysis with Tier 2 coefficients.</v>
      </c>
      <c r="D125" s="3232"/>
      <c r="E125" s="3232"/>
      <c r="F125" s="3232"/>
      <c r="G125" s="3232"/>
      <c r="H125" s="3232"/>
      <c r="I125" s="3232"/>
      <c r="J125" s="3232"/>
      <c r="K125" s="3232"/>
      <c r="L125" s="3232"/>
      <c r="M125" s="1799"/>
      <c r="N125" s="2371" t="str">
        <f>HLOOKUP(select,'Name translation'!$A$1:$H$266,129,)</f>
        <v>Very low</v>
      </c>
      <c r="O125" s="1761"/>
      <c r="P125" s="1789"/>
      <c r="Q125" s="2372">
        <v>10</v>
      </c>
      <c r="R125" s="2373"/>
      <c r="S125" s="1799"/>
      <c r="T125" s="1799"/>
      <c r="U125" s="1799"/>
    </row>
    <row r="126" spans="2:26" s="1738" customFormat="1" ht="13.2" customHeight="1">
      <c r="C126" s="3232"/>
      <c r="D126" s="3232"/>
      <c r="E126" s="3232"/>
      <c r="F126" s="3232"/>
      <c r="G126" s="3232"/>
      <c r="H126" s="3232"/>
      <c r="I126" s="3232"/>
      <c r="J126" s="3232"/>
      <c r="K126" s="3232"/>
      <c r="L126" s="3232"/>
      <c r="M126" s="1799"/>
      <c r="N126" s="2371" t="str">
        <f>HLOOKUP(select,'Name translation'!$A$1:$H$266,130,)</f>
        <v>Low</v>
      </c>
      <c r="O126" s="1761"/>
      <c r="P126" s="1789"/>
      <c r="Q126" s="2372">
        <v>20</v>
      </c>
      <c r="R126" s="2373"/>
      <c r="S126" s="1799"/>
      <c r="T126" s="1799"/>
      <c r="U126" s="1799"/>
    </row>
    <row r="127" spans="2:26" s="1738" customFormat="1">
      <c r="C127" s="3231" t="str">
        <f>'2.LUC'!$B$93</f>
        <v>(default values are provided for your information only, while EX-ACT will use Tier 2 values automatically wherever specified)</v>
      </c>
      <c r="D127" s="3231"/>
      <c r="E127" s="3231"/>
      <c r="F127" s="3231"/>
      <c r="G127" s="3231"/>
      <c r="H127" s="3231"/>
      <c r="I127" s="3231"/>
      <c r="J127" s="3231"/>
      <c r="K127" s="3231"/>
      <c r="L127" s="3231"/>
      <c r="M127" s="1799"/>
      <c r="N127" s="2371" t="str">
        <f>HLOOKUP(select,'Name translation'!$A$1:$H$266,131,)</f>
        <v>Moderate</v>
      </c>
      <c r="O127" s="1761"/>
      <c r="P127" s="1789"/>
      <c r="Q127" s="2372">
        <v>40</v>
      </c>
      <c r="R127" s="2373"/>
      <c r="S127" s="1799"/>
      <c r="T127" s="1799"/>
      <c r="U127" s="1799"/>
    </row>
    <row r="128" spans="2:26" s="1738" customFormat="1">
      <c r="C128" s="3231"/>
      <c r="D128" s="3231"/>
      <c r="E128" s="3231"/>
      <c r="F128" s="3231"/>
      <c r="G128" s="3231"/>
      <c r="H128" s="3231"/>
      <c r="I128" s="3231"/>
      <c r="J128" s="3231"/>
      <c r="K128" s="3231"/>
      <c r="L128" s="3231"/>
      <c r="M128" s="1799"/>
      <c r="N128" s="2371" t="str">
        <f>HLOOKUP(select,'Name translation'!$A$1:$H$266,132,)</f>
        <v>Large</v>
      </c>
      <c r="O128" s="1761"/>
      <c r="P128" s="1789"/>
      <c r="Q128" s="2372">
        <v>60</v>
      </c>
      <c r="R128" s="2373"/>
      <c r="S128" s="1799"/>
      <c r="T128" s="1799"/>
      <c r="U128" s="1799"/>
      <c r="Z128" s="1743"/>
    </row>
    <row r="129" spans="3:26" s="1738" customFormat="1">
      <c r="C129" s="3231"/>
      <c r="D129" s="3231"/>
      <c r="E129" s="3231"/>
      <c r="F129" s="3231"/>
      <c r="G129" s="3231"/>
      <c r="H129" s="3231"/>
      <c r="I129" s="3231"/>
      <c r="J129" s="3231"/>
      <c r="K129" s="3231"/>
      <c r="L129" s="3231"/>
      <c r="M129" s="1799"/>
      <c r="N129" s="2371" t="str">
        <f>HLOOKUP(select,'Name translation'!$A$1:$H$266,133,)</f>
        <v>Extrem</v>
      </c>
      <c r="O129" s="1761"/>
      <c r="P129" s="1789"/>
      <c r="Q129" s="2372">
        <v>80</v>
      </c>
      <c r="R129" s="2373"/>
      <c r="S129" s="1799"/>
      <c r="T129" s="1799"/>
      <c r="U129" s="1799"/>
      <c r="Z129" s="1743"/>
    </row>
    <row r="130" spans="3:26" s="1738" customFormat="1">
      <c r="Z130" s="1743"/>
    </row>
    <row r="131" spans="3:26" s="1738" customFormat="1">
      <c r="C131" s="1852" t="str">
        <f>B10</f>
        <v>Type of vegetation</v>
      </c>
      <c r="D131" s="2205"/>
      <c r="E131" s="1765"/>
      <c r="F131" s="1765"/>
      <c r="G131" s="1765"/>
      <c r="H131" s="1765"/>
      <c r="I131" s="1765"/>
      <c r="J131" s="1765"/>
      <c r="K131" s="1765"/>
      <c r="L131" s="1765"/>
      <c r="M131" s="1765"/>
      <c r="N131" s="1765"/>
      <c r="O131" s="1765"/>
      <c r="P131" s="1765"/>
      <c r="Q131" s="1765"/>
      <c r="R131" s="1765"/>
      <c r="S131" s="1761"/>
      <c r="T131" s="2303"/>
      <c r="U131" s="2303"/>
      <c r="V131" s="1743"/>
      <c r="W131" s="1743"/>
      <c r="X131" s="1743"/>
      <c r="Y131" s="1743"/>
      <c r="Z131" s="1743"/>
    </row>
    <row r="132" spans="3:26" s="1738" customFormat="1">
      <c r="C132" s="1852" t="str">
        <f>B11</f>
        <v>that will be degraded</v>
      </c>
      <c r="D132" s="2205"/>
      <c r="E132" s="1765"/>
      <c r="F132" s="3127" t="str">
        <f>'2.LUC'!E96</f>
        <v>Above-ground</v>
      </c>
      <c r="G132" s="3127"/>
      <c r="H132" s="3127"/>
      <c r="I132" s="1765"/>
      <c r="J132" s="2304"/>
      <c r="K132" s="2304" t="str">
        <f>'2.LUC'!G96</f>
        <v>Below-ground</v>
      </c>
      <c r="L132" s="2304"/>
      <c r="M132" s="1765"/>
      <c r="N132" s="3127" t="str">
        <f>'2.LUC'!I96</f>
        <v>Litter</v>
      </c>
      <c r="O132" s="3127"/>
      <c r="P132" s="3127"/>
      <c r="Q132" s="3127" t="str">
        <f>'2.LUC'!K96</f>
        <v>Dead wood</v>
      </c>
      <c r="R132" s="3127"/>
      <c r="S132" s="1789"/>
      <c r="T132" s="3127" t="str">
        <f>'2.LUC'!O96</f>
        <v>Soil carbon</v>
      </c>
      <c r="U132" s="3127"/>
      <c r="V132" s="1743"/>
      <c r="W132" s="1743"/>
      <c r="X132" s="1743"/>
      <c r="Y132" s="1743"/>
      <c r="Z132" s="1743"/>
    </row>
    <row r="133" spans="3:26" s="1738" customFormat="1">
      <c r="C133" s="1765"/>
      <c r="D133" s="2205"/>
      <c r="E133" s="1765"/>
      <c r="F133" s="2301" t="str">
        <f>'2.LUC'!E97</f>
        <v>Default</v>
      </c>
      <c r="G133" s="2304"/>
      <c r="H133" s="2301" t="str">
        <f>'2.LUC'!F97</f>
        <v>Tier 2</v>
      </c>
      <c r="I133" s="1765"/>
      <c r="J133" s="2301" t="str">
        <f>F133</f>
        <v>Default</v>
      </c>
      <c r="K133" s="1761"/>
      <c r="L133" s="2301" t="str">
        <f>H133</f>
        <v>Tier 2</v>
      </c>
      <c r="M133" s="1765"/>
      <c r="N133" s="2301" t="str">
        <f>J133</f>
        <v>Default</v>
      </c>
      <c r="O133" s="2303"/>
      <c r="P133" s="2301" t="str">
        <f>L133</f>
        <v>Tier 2</v>
      </c>
      <c r="Q133" s="2301" t="str">
        <f>J133</f>
        <v>Default</v>
      </c>
      <c r="R133" s="2301" t="str">
        <f>L133</f>
        <v>Tier 2</v>
      </c>
      <c r="S133" s="1789"/>
      <c r="T133" s="2301" t="str">
        <f>J133</f>
        <v>Default</v>
      </c>
      <c r="U133" s="2301" t="str">
        <f>L133</f>
        <v>Tier 2</v>
      </c>
      <c r="V133" s="1743"/>
      <c r="W133" s="1743"/>
      <c r="X133" s="1743"/>
      <c r="Y133" s="1743"/>
      <c r="Z133" s="1743"/>
    </row>
    <row r="134" spans="3:26" s="1738" customFormat="1">
      <c r="C134" s="2573" t="str">
        <f>IF(forest1&lt;&gt;"","Forest - Zone 1","")</f>
        <v>Forest - Zone 1</v>
      </c>
      <c r="D134" s="2574"/>
      <c r="E134" s="2573"/>
      <c r="F134" s="2575">
        <f>VLOOKUP(region,' IPCC'!$A$14:$G$26,1+MATCH(forest1,' IPCC'!$B$14:$G$14,),)*0.47</f>
        <v>0</v>
      </c>
      <c r="G134" s="2615"/>
      <c r="H134" s="2302"/>
      <c r="I134" s="2577"/>
      <c r="J134" s="2575">
        <f>'Forest Degradation'!L10*0.47</f>
        <v>0</v>
      </c>
      <c r="K134" s="2573"/>
      <c r="L134" s="2302"/>
      <c r="M134" s="2577"/>
      <c r="N134" s="2616">
        <f>IF($F134&gt;0,VLOOKUP(clim_full,' IPCC'!$A$75:$C$85,2,),0)</f>
        <v>0</v>
      </c>
      <c r="O134" s="2609"/>
      <c r="P134" s="2302"/>
      <c r="Q134" s="2575">
        <f>IF($F134&gt;0,VLOOKUP(clim_full,' IPCC'!$A$75:$C$85,3,),0)</f>
        <v>0</v>
      </c>
      <c r="R134" s="2302"/>
      <c r="S134" s="1789"/>
      <c r="T134" s="2575">
        <f>IF($F134&gt;0,VLOOKUP(clim_full,' IPCC'!$A$569:$I$581,1+MATCH(soil,soil_type,),),0)</f>
        <v>0</v>
      </c>
      <c r="U134" s="2302"/>
      <c r="V134" s="1743"/>
      <c r="W134" s="1743"/>
      <c r="X134" s="1743"/>
      <c r="Y134" s="1743"/>
      <c r="Z134" s="1743"/>
    </row>
    <row r="135" spans="3:26" s="1738" customFormat="1">
      <c r="C135" s="2573" t="str">
        <f>IF(forest2&lt;&gt;"","Forest - Zone 2","")</f>
        <v>Forest - Zone 2</v>
      </c>
      <c r="D135" s="2574"/>
      <c r="E135" s="2573"/>
      <c r="F135" s="2575">
        <f>VLOOKUP(region,' IPCC'!$A$30:$G$41,1+MATCH(forest2,' IPCC'!$B$29:$G$29,),)*0.47</f>
        <v>0</v>
      </c>
      <c r="G135" s="2615"/>
      <c r="H135" s="2302"/>
      <c r="I135" s="2577"/>
      <c r="J135" s="2575">
        <f>'Forest Degradation'!L11*0.47</f>
        <v>0</v>
      </c>
      <c r="K135" s="2573"/>
      <c r="L135" s="2302"/>
      <c r="M135" s="2577"/>
      <c r="N135" s="2616">
        <f>IF($F135&gt;0,VLOOKUP(clim_full,' IPCC'!$A$75:$C$85,2,),0)</f>
        <v>0</v>
      </c>
      <c r="O135" s="2609"/>
      <c r="P135" s="2302"/>
      <c r="Q135" s="2575">
        <f>IF($F135&gt;0,VLOOKUP(clim_full,' IPCC'!$A$75:$C$85,3,),0)</f>
        <v>0</v>
      </c>
      <c r="R135" s="2302"/>
      <c r="S135" s="1789"/>
      <c r="T135" s="2575">
        <f>IF($F135&gt;0,VLOOKUP(clim_full,' IPCC'!$A$569:$I$581,1+MATCH(soil,soil_type,),),0)</f>
        <v>0</v>
      </c>
      <c r="U135" s="2302"/>
      <c r="V135" s="1743"/>
      <c r="W135" s="1743"/>
      <c r="X135" s="1743"/>
      <c r="Y135" s="1743"/>
      <c r="Z135" s="1743"/>
    </row>
    <row r="136" spans="3:26" s="1738" customFormat="1">
      <c r="C136" s="2573" t="str">
        <f>IF(forest3&lt;&gt;"","Forest - Zone 3","")</f>
        <v>Forest - Zone 3</v>
      </c>
      <c r="D136" s="2574"/>
      <c r="E136" s="2573"/>
      <c r="F136" s="2575">
        <f>VLOOKUP(region,' IPCC'!$A$45:$H$56,1+MATCH(forest3,' IPCC'!$B$44:$H$44,),)*0.47</f>
        <v>0</v>
      </c>
      <c r="G136" s="2615"/>
      <c r="H136" s="2302"/>
      <c r="I136" s="2577"/>
      <c r="J136" s="2575">
        <f>'Forest Degradation'!L12*0.47</f>
        <v>0</v>
      </c>
      <c r="K136" s="2573"/>
      <c r="L136" s="2302"/>
      <c r="M136" s="2577"/>
      <c r="N136" s="2616">
        <f>IF($F136&gt;0,VLOOKUP(clim_full,' IPCC'!$A$75:$C$85,2,),0)</f>
        <v>0</v>
      </c>
      <c r="O136" s="2609"/>
      <c r="P136" s="2302"/>
      <c r="Q136" s="2575">
        <f>IF($F136&gt;0,VLOOKUP(clim_full,' IPCC'!$A$75:$C$85,3,),0)</f>
        <v>0</v>
      </c>
      <c r="R136" s="2302"/>
      <c r="S136" s="1789"/>
      <c r="T136" s="2575">
        <f>IF($F136&gt;0,VLOOKUP(clim_full,' IPCC'!$A$569:$I$581,1+MATCH(soil,soil_type,),),0)</f>
        <v>0</v>
      </c>
      <c r="U136" s="2302"/>
      <c r="V136" s="1743"/>
      <c r="W136" s="1743"/>
      <c r="X136" s="1743"/>
      <c r="Y136" s="1743"/>
      <c r="Z136" s="1743"/>
    </row>
    <row r="137" spans="3:26" s="1738" customFormat="1">
      <c r="C137" s="2573" t="str">
        <f>IF(forest4&lt;&gt;"","Forest - Zone 4","")</f>
        <v>Forest - Zone 4</v>
      </c>
      <c r="D137" s="2574"/>
      <c r="E137" s="2573"/>
      <c r="F137" s="2575">
        <f>VLOOKUP(region,' IPCC'!$A$60:$H$71,1+MATCH(forest4,' IPCC'!$B$59:$H$59,),)*0.47</f>
        <v>0</v>
      </c>
      <c r="G137" s="2615"/>
      <c r="H137" s="2302"/>
      <c r="I137" s="2577"/>
      <c r="J137" s="2575">
        <f>'Forest Degradation'!L13*0.47</f>
        <v>0</v>
      </c>
      <c r="K137" s="2573"/>
      <c r="L137" s="2302"/>
      <c r="M137" s="2577"/>
      <c r="N137" s="2616">
        <f>IF($F137&gt;0,VLOOKUP(clim_full,' IPCC'!$A$75:$C$85,2,),0)</f>
        <v>0</v>
      </c>
      <c r="O137" s="2609"/>
      <c r="P137" s="2302"/>
      <c r="Q137" s="2575">
        <f>IF($F137&gt;0,VLOOKUP(clim_full,' IPCC'!$A$75:$C$85,3,),0)</f>
        <v>0</v>
      </c>
      <c r="R137" s="2302"/>
      <c r="S137" s="1789"/>
      <c r="T137" s="2575">
        <f>IF($F137&gt;0,VLOOKUP(clim_full,' IPCC'!$A$569:$I$581,1+MATCH(soil,soil_type,),),0)</f>
        <v>0</v>
      </c>
      <c r="U137" s="2302"/>
      <c r="V137" s="1743"/>
      <c r="W137" s="1743"/>
      <c r="X137" s="1743"/>
      <c r="Y137" s="1743"/>
      <c r="Z137" s="1743"/>
    </row>
    <row r="138" spans="3:26" s="1738" customFormat="1">
      <c r="C138" s="2573" t="str">
        <f>IF(plantation1&lt;&gt;"","Plantation - Zone 1","")</f>
        <v>Plantation - Zone 1</v>
      </c>
      <c r="D138" s="2574"/>
      <c r="E138" s="2573"/>
      <c r="F138" s="2575">
        <f>VLOOKUP(region,' IPCC'!$H$14:$N$26,1+MATCH(plantation1,' IPCC'!$I$14:$N$14,),)*0.47</f>
        <v>0</v>
      </c>
      <c r="G138" s="2615"/>
      <c r="H138" s="2302"/>
      <c r="I138" s="2577"/>
      <c r="J138" s="2575">
        <f>'Forest Degradation'!L14*0.47</f>
        <v>0</v>
      </c>
      <c r="K138" s="2573"/>
      <c r="L138" s="2302"/>
      <c r="M138" s="2577"/>
      <c r="N138" s="2616">
        <f>IF($F138&gt;0,VLOOKUP(clim_full,' IPCC'!$A$75:$C$85,2,),0)</f>
        <v>0</v>
      </c>
      <c r="O138" s="2609"/>
      <c r="P138" s="2302"/>
      <c r="Q138" s="2575">
        <f>IF($F138&gt;0,VLOOKUP(clim_full,' IPCC'!$A$75:$C$85,3,),0)</f>
        <v>0</v>
      </c>
      <c r="R138" s="2302"/>
      <c r="S138" s="1789"/>
      <c r="T138" s="2575">
        <f>IF($F138&gt;0,VLOOKUP(clim_full,' IPCC'!$A$569:$I$581,1+MATCH(soil,soil_type,),),0)</f>
        <v>0</v>
      </c>
      <c r="U138" s="2302"/>
      <c r="V138" s="1743"/>
      <c r="W138" s="1743"/>
      <c r="X138" s="1743"/>
      <c r="Y138" s="1743"/>
      <c r="Z138" s="1743"/>
    </row>
    <row r="139" spans="3:26" s="1738" customFormat="1">
      <c r="C139" s="2573" t="str">
        <f>IF(plantation2&lt;&gt;"","Plantation - Zone 2","")</f>
        <v>Plantation - Zone 2</v>
      </c>
      <c r="D139" s="2574"/>
      <c r="E139" s="2573"/>
      <c r="F139" s="2575">
        <f>VLOOKUP(region,' IPCC'!$H$30:$N$41,1+MATCH(plantation2,' IPCC'!$I$29:$N$29,),)*0.47</f>
        <v>0</v>
      </c>
      <c r="G139" s="2615"/>
      <c r="H139" s="2302"/>
      <c r="I139" s="2577"/>
      <c r="J139" s="2575">
        <f>'Forest Degradation'!L15*0.47</f>
        <v>0</v>
      </c>
      <c r="K139" s="2573"/>
      <c r="L139" s="2302"/>
      <c r="M139" s="2577"/>
      <c r="N139" s="2616">
        <f>IF($F139&gt;0,VLOOKUP(clim_full,' IPCC'!$A$75:$C$85,2,),0)</f>
        <v>0</v>
      </c>
      <c r="O139" s="2609"/>
      <c r="P139" s="2302"/>
      <c r="Q139" s="2575">
        <f>IF($F139&gt;0,VLOOKUP(clim_full,' IPCC'!$A$75:$C$85,3,),0)</f>
        <v>0</v>
      </c>
      <c r="R139" s="2302"/>
      <c r="S139" s="1789"/>
      <c r="T139" s="2575">
        <f>IF($F139&gt;0,VLOOKUP(clim_full,' IPCC'!$A$569:$I$581,1+MATCH(soil,soil_type,),),0)</f>
        <v>0</v>
      </c>
      <c r="U139" s="2302"/>
      <c r="V139" s="1743"/>
      <c r="W139" s="1743"/>
      <c r="X139" s="1743"/>
      <c r="Y139" s="1743"/>
      <c r="Z139" s="1743"/>
    </row>
    <row r="140" spans="3:26" s="1738" customFormat="1">
      <c r="C140" s="2573" t="str">
        <f>IF(plantation3&lt;&gt;"","Plantation - Zone 3","")</f>
        <v>Plantation - Zone 3</v>
      </c>
      <c r="D140" s="2576"/>
      <c r="E140" s="2573"/>
      <c r="F140" s="2575">
        <f>VLOOKUP(region,' IPCC'!$H$44:$N$56,1+MATCH(plantation3,' IPCC'!$I$44:$N$44,),)*0.47</f>
        <v>0</v>
      </c>
      <c r="G140" s="2615"/>
      <c r="H140" s="2302"/>
      <c r="I140" s="2577"/>
      <c r="J140" s="2575">
        <f>'Forest Degradation'!L16*0.47</f>
        <v>0</v>
      </c>
      <c r="K140" s="2573"/>
      <c r="L140" s="2302"/>
      <c r="M140" s="2577"/>
      <c r="N140" s="2616">
        <f>IF($F140&gt;0,VLOOKUP(clim_full,' IPCC'!$A$75:$C$85,2,),0)</f>
        <v>0</v>
      </c>
      <c r="O140" s="2609"/>
      <c r="P140" s="2302"/>
      <c r="Q140" s="2575">
        <f>IF($F140&gt;0,VLOOKUP(clim_full,' IPCC'!$A$75:$C$85,3,),0)</f>
        <v>0</v>
      </c>
      <c r="R140" s="2302"/>
      <c r="S140" s="1789"/>
      <c r="T140" s="2575">
        <f>IF($F140&gt;0,VLOOKUP(clim_full,' IPCC'!$A$569:$I$581,1+MATCH(soil,soil_type,),),0)</f>
        <v>0</v>
      </c>
      <c r="U140" s="2302"/>
      <c r="V140" s="1743"/>
      <c r="W140" s="1743"/>
      <c r="X140" s="1743"/>
      <c r="Y140" s="1743"/>
      <c r="Z140" s="1743"/>
    </row>
    <row r="141" spans="3:26" s="1738" customFormat="1">
      <c r="C141" s="2573" t="str">
        <f>IF(plantation4&lt;&gt;"","Plantation - Zone 4","")</f>
        <v>Plantation - Zone 4</v>
      </c>
      <c r="D141" s="2576"/>
      <c r="E141" s="2573"/>
      <c r="F141" s="2575">
        <f>VLOOKUP(region,' IPCC'!$H$60:$N$71,1+MATCH(plantation4,' IPCC'!$I$59:$N$59,),)*0.47</f>
        <v>0</v>
      </c>
      <c r="G141" s="2615"/>
      <c r="H141" s="2302"/>
      <c r="I141" s="2577"/>
      <c r="J141" s="2575">
        <f>'Forest Degradation'!L17*0.47</f>
        <v>0</v>
      </c>
      <c r="K141" s="2573"/>
      <c r="L141" s="2302"/>
      <c r="M141" s="2577"/>
      <c r="N141" s="2616">
        <f>IF($F141&gt;0,VLOOKUP(clim_full,' IPCC'!$A$75:$C$85,2,),0)</f>
        <v>0</v>
      </c>
      <c r="O141" s="2609"/>
      <c r="P141" s="2302"/>
      <c r="Q141" s="2575">
        <f>IF($F141&gt;0,VLOOKUP(clim_full,' IPCC'!$A$75:$C$85,3,),0)</f>
        <v>0</v>
      </c>
      <c r="R141" s="2302"/>
      <c r="S141" s="1789"/>
      <c r="T141" s="2575">
        <f>IF($F141&gt;0,VLOOKUP(clim_full,' IPCC'!$A$569:$I$581,1+MATCH(soil,soil_type,),),0)</f>
        <v>0</v>
      </c>
      <c r="U141" s="2302"/>
      <c r="V141" s="1743"/>
      <c r="W141" s="1743"/>
      <c r="X141" s="1743"/>
      <c r="Y141" s="1743"/>
      <c r="Z141" s="1743"/>
    </row>
    <row r="142" spans="3:26" s="1738" customFormat="1">
      <c r="E142" s="1743"/>
      <c r="F142" s="1743"/>
      <c r="I142" s="1743"/>
      <c r="J142" s="1743"/>
      <c r="K142" s="1743"/>
      <c r="L142" s="1743"/>
      <c r="M142" s="1743"/>
      <c r="N142" s="1743"/>
      <c r="O142" s="1743"/>
      <c r="P142" s="1743"/>
      <c r="Q142" s="1743"/>
      <c r="R142" s="1743"/>
      <c r="S142" s="1743"/>
      <c r="T142" s="1743"/>
      <c r="U142" s="1743"/>
      <c r="V142" s="1743"/>
      <c r="W142" s="1743"/>
      <c r="X142" s="1743"/>
      <c r="Y142" s="1743"/>
      <c r="Z142" s="1743"/>
    </row>
    <row r="143" spans="3:26" s="1738" customFormat="1">
      <c r="E143" s="1743"/>
      <c r="F143" s="1743"/>
      <c r="I143" s="1743"/>
      <c r="J143" s="1743"/>
      <c r="K143" s="1743"/>
      <c r="L143" s="1743"/>
      <c r="M143" s="1743"/>
      <c r="N143" s="1743"/>
      <c r="O143" s="1743"/>
      <c r="P143" s="1743"/>
      <c r="Q143" s="1743"/>
      <c r="R143" s="1743"/>
      <c r="S143" s="1743"/>
      <c r="T143" s="1743"/>
      <c r="U143" s="1743"/>
      <c r="V143" s="1743"/>
      <c r="W143" s="1743"/>
      <c r="X143" s="1743"/>
      <c r="Y143" s="1743"/>
      <c r="Z143" s="1743"/>
    </row>
    <row r="144" spans="3:26" s="1738" customFormat="1">
      <c r="E144" s="1743"/>
      <c r="F144" s="1743"/>
      <c r="I144" s="1743"/>
      <c r="J144" s="1743"/>
      <c r="K144" s="1743"/>
      <c r="L144" s="1743"/>
      <c r="M144" s="1743"/>
      <c r="N144" s="1743"/>
      <c r="O144" s="1743"/>
      <c r="P144" s="1743"/>
      <c r="Q144" s="1743"/>
      <c r="R144" s="1743"/>
      <c r="S144" s="1743"/>
      <c r="T144" s="1743"/>
      <c r="U144" s="1743"/>
      <c r="V144" s="1743"/>
      <c r="W144" s="1743"/>
      <c r="X144" s="1743"/>
      <c r="Y144" s="1743"/>
      <c r="Z144" s="1743"/>
    </row>
    <row r="145" spans="5:26" s="1738" customFormat="1">
      <c r="E145" s="1743"/>
      <c r="F145" s="1743"/>
      <c r="I145" s="1743"/>
      <c r="J145" s="1743"/>
      <c r="K145" s="1743"/>
      <c r="L145" s="1743"/>
      <c r="M145" s="1743"/>
      <c r="N145" s="1743"/>
      <c r="O145" s="1743"/>
      <c r="P145" s="1743"/>
      <c r="Q145" s="1743"/>
      <c r="R145" s="1743"/>
      <c r="S145" s="1743"/>
      <c r="T145" s="1743"/>
      <c r="U145" s="1743"/>
      <c r="V145" s="1743"/>
      <c r="W145" s="1743"/>
      <c r="X145" s="1743"/>
      <c r="Y145" s="1743"/>
      <c r="Z145" s="1743"/>
    </row>
    <row r="146" spans="5:26" s="1738" customFormat="1">
      <c r="E146" s="1743"/>
      <c r="F146" s="1743"/>
      <c r="I146" s="1743"/>
      <c r="J146" s="1743"/>
      <c r="K146" s="1743"/>
      <c r="L146" s="1743"/>
      <c r="M146" s="1743"/>
      <c r="N146" s="1743"/>
      <c r="O146" s="1743"/>
      <c r="P146" s="1743"/>
      <c r="Q146" s="1743"/>
      <c r="R146" s="1743"/>
      <c r="S146" s="1743"/>
      <c r="T146" s="1743"/>
      <c r="U146" s="1743"/>
      <c r="V146" s="1743"/>
      <c r="W146" s="1743"/>
      <c r="X146" s="1743"/>
      <c r="Y146" s="1743"/>
      <c r="Z146" s="1743"/>
    </row>
    <row r="147" spans="5:26" s="1738" customFormat="1">
      <c r="E147" s="1743"/>
      <c r="F147" s="1743"/>
      <c r="I147" s="1743"/>
      <c r="J147" s="1743"/>
      <c r="K147" s="1743"/>
      <c r="L147" s="1743"/>
      <c r="M147" s="1743"/>
      <c r="N147" s="1743"/>
      <c r="O147" s="1743"/>
      <c r="P147" s="1743"/>
      <c r="Q147" s="1743"/>
      <c r="R147" s="1743"/>
      <c r="S147" s="1743"/>
      <c r="T147" s="1743"/>
      <c r="U147" s="1743"/>
      <c r="V147" s="1743"/>
      <c r="W147" s="1743"/>
      <c r="X147" s="1743"/>
      <c r="Y147" s="1743"/>
      <c r="Z147" s="1743"/>
    </row>
    <row r="148" spans="5:26" s="1738" customFormat="1">
      <c r="E148" s="1743"/>
      <c r="F148" s="1743"/>
      <c r="I148" s="1743"/>
      <c r="J148" s="1743"/>
      <c r="K148" s="1743"/>
      <c r="L148" s="1743"/>
      <c r="M148" s="1743"/>
      <c r="N148" s="1743"/>
      <c r="O148" s="1743"/>
      <c r="P148" s="1743"/>
      <c r="Q148" s="1743"/>
      <c r="R148" s="1743"/>
      <c r="S148" s="1743"/>
      <c r="T148" s="1743"/>
      <c r="U148" s="1743"/>
      <c r="V148" s="1743"/>
      <c r="W148" s="1743"/>
      <c r="X148" s="1743"/>
      <c r="Y148" s="1743"/>
      <c r="Z148" s="1743"/>
    </row>
    <row r="149" spans="5:26" s="1738" customFormat="1">
      <c r="E149" s="1743"/>
      <c r="F149" s="1743"/>
      <c r="I149" s="1743"/>
      <c r="J149" s="1743"/>
      <c r="K149" s="1743"/>
      <c r="L149" s="1743"/>
      <c r="M149" s="1743"/>
      <c r="N149" s="1743"/>
      <c r="O149" s="1743"/>
      <c r="P149" s="1743"/>
      <c r="Q149" s="1743"/>
      <c r="R149" s="1743"/>
      <c r="S149" s="1743"/>
      <c r="T149" s="1743"/>
      <c r="U149" s="1743"/>
      <c r="V149" s="1743"/>
      <c r="W149" s="1743"/>
      <c r="X149" s="1743"/>
      <c r="Y149" s="1743"/>
      <c r="Z149" s="1743"/>
    </row>
    <row r="150" spans="5:26" s="1738" customFormat="1">
      <c r="E150" s="1743"/>
      <c r="F150" s="1743"/>
      <c r="I150" s="1743"/>
      <c r="J150" s="1743"/>
      <c r="K150" s="1743"/>
      <c r="L150" s="1743"/>
      <c r="M150" s="1743"/>
      <c r="N150" s="1743"/>
      <c r="O150" s="1743"/>
      <c r="P150" s="1743"/>
      <c r="Q150" s="1743"/>
      <c r="R150" s="1743"/>
      <c r="S150" s="1743"/>
      <c r="T150" s="1743"/>
      <c r="U150" s="1743"/>
      <c r="V150" s="1743"/>
      <c r="W150" s="1743"/>
      <c r="X150" s="1743"/>
      <c r="Y150" s="1743"/>
      <c r="Z150" s="1743"/>
    </row>
    <row r="151" spans="5:26" s="1738" customFormat="1">
      <c r="E151" s="1743"/>
      <c r="F151" s="1743"/>
      <c r="I151" s="1743"/>
      <c r="J151" s="1743"/>
      <c r="K151" s="1743"/>
      <c r="L151" s="1743"/>
      <c r="M151" s="1743"/>
      <c r="N151" s="1743"/>
      <c r="O151" s="1743"/>
      <c r="P151" s="1743"/>
      <c r="Q151" s="1743"/>
      <c r="R151" s="1743"/>
      <c r="S151" s="1743"/>
      <c r="T151" s="1743"/>
      <c r="U151" s="1743"/>
      <c r="V151" s="1743"/>
      <c r="W151" s="1743"/>
      <c r="X151" s="1743"/>
      <c r="Y151" s="1743"/>
      <c r="Z151" s="1743"/>
    </row>
    <row r="152" spans="5:26" s="1738" customFormat="1">
      <c r="E152" s="1743"/>
      <c r="F152" s="1743"/>
      <c r="I152" s="1743"/>
      <c r="J152" s="1743"/>
      <c r="K152" s="1743"/>
      <c r="L152" s="1743"/>
      <c r="M152" s="1743"/>
      <c r="N152" s="1743"/>
      <c r="O152" s="1743"/>
      <c r="P152" s="1743"/>
      <c r="Q152" s="1743"/>
      <c r="R152" s="1743"/>
      <c r="S152" s="1743"/>
      <c r="T152" s="1743"/>
      <c r="U152" s="1743"/>
      <c r="V152" s="1743"/>
      <c r="W152" s="1743"/>
      <c r="X152" s="1743"/>
      <c r="Y152" s="1743"/>
      <c r="Z152" s="1743"/>
    </row>
    <row r="153" spans="5:26" s="1738" customFormat="1">
      <c r="E153" s="1743"/>
      <c r="F153" s="1743"/>
      <c r="I153" s="1743"/>
      <c r="J153" s="1743"/>
      <c r="K153" s="1743"/>
      <c r="L153" s="1743"/>
      <c r="M153" s="1743"/>
      <c r="N153" s="1743"/>
      <c r="O153" s="1743"/>
      <c r="P153" s="1743"/>
      <c r="Q153" s="1743"/>
      <c r="R153" s="1743"/>
      <c r="S153" s="1743"/>
      <c r="T153" s="1743"/>
      <c r="U153" s="1743"/>
      <c r="V153" s="1743"/>
      <c r="W153" s="1743"/>
      <c r="X153" s="1743"/>
      <c r="Y153" s="1743"/>
      <c r="Z153" s="1743"/>
    </row>
    <row r="154" spans="5:26" s="1738" customFormat="1">
      <c r="E154" s="1743"/>
      <c r="F154" s="1743"/>
      <c r="I154" s="1743"/>
      <c r="J154" s="1743"/>
      <c r="K154" s="1743"/>
      <c r="L154" s="1743"/>
      <c r="M154" s="1743"/>
      <c r="N154" s="1743"/>
      <c r="O154" s="1743"/>
      <c r="P154" s="1743"/>
      <c r="Q154" s="1743"/>
      <c r="R154" s="1743"/>
      <c r="S154" s="1743"/>
      <c r="T154" s="1743"/>
      <c r="U154" s="1743"/>
      <c r="V154" s="1743"/>
      <c r="W154" s="1743"/>
      <c r="X154" s="1743"/>
      <c r="Y154" s="1743"/>
      <c r="Z154" s="1743"/>
    </row>
    <row r="155" spans="5:26" s="1738" customFormat="1">
      <c r="E155" s="1743"/>
      <c r="F155" s="1743"/>
      <c r="I155" s="1743"/>
      <c r="J155" s="1743"/>
      <c r="K155" s="1743"/>
      <c r="L155" s="1743"/>
      <c r="M155" s="1743"/>
      <c r="N155" s="1743"/>
      <c r="O155" s="1743"/>
      <c r="P155" s="1743"/>
      <c r="Q155" s="1743"/>
      <c r="R155" s="1743"/>
      <c r="S155" s="1743"/>
      <c r="T155" s="1743"/>
      <c r="U155" s="1743"/>
      <c r="V155" s="1743"/>
      <c r="W155" s="1743"/>
      <c r="X155" s="1743"/>
      <c r="Y155" s="1743"/>
      <c r="Z155" s="1743"/>
    </row>
    <row r="156" spans="5:26" s="1738" customFormat="1">
      <c r="E156" s="1743"/>
      <c r="F156" s="1743"/>
      <c r="I156" s="1743"/>
      <c r="J156" s="1743"/>
      <c r="K156" s="1743"/>
      <c r="L156" s="1743"/>
      <c r="M156" s="1743"/>
      <c r="N156" s="1743"/>
      <c r="O156" s="1743"/>
      <c r="P156" s="1743"/>
      <c r="Q156" s="1743"/>
      <c r="R156" s="1743"/>
      <c r="S156" s="1743"/>
      <c r="T156" s="1743"/>
      <c r="U156" s="1743"/>
      <c r="V156" s="1743"/>
      <c r="W156" s="1743"/>
      <c r="X156" s="1743"/>
      <c r="Y156" s="1743"/>
      <c r="Z156" s="1743"/>
    </row>
    <row r="157" spans="5:26" s="1738" customFormat="1">
      <c r="E157" s="1743"/>
      <c r="F157" s="1743"/>
      <c r="I157" s="1743"/>
      <c r="J157" s="1743"/>
      <c r="K157" s="1743"/>
      <c r="L157" s="1743"/>
      <c r="M157" s="1743"/>
      <c r="N157" s="1743"/>
      <c r="O157" s="1743"/>
      <c r="P157" s="1743"/>
      <c r="Q157" s="1743"/>
      <c r="R157" s="1743"/>
      <c r="S157" s="1743"/>
      <c r="T157" s="1743"/>
      <c r="U157" s="1743"/>
      <c r="V157" s="1743"/>
      <c r="W157" s="1743"/>
      <c r="X157" s="1743"/>
      <c r="Y157" s="1743"/>
      <c r="Z157" s="1743"/>
    </row>
    <row r="158" spans="5:26" s="1738" customFormat="1">
      <c r="E158" s="1743"/>
      <c r="F158" s="1743"/>
      <c r="I158" s="1743"/>
      <c r="J158" s="1743"/>
      <c r="K158" s="1743"/>
      <c r="L158" s="1743"/>
      <c r="M158" s="1743"/>
      <c r="N158" s="1743"/>
      <c r="O158" s="1743"/>
      <c r="P158" s="1743"/>
      <c r="Q158" s="1743"/>
      <c r="R158" s="1743"/>
      <c r="S158" s="1743"/>
      <c r="T158" s="1743"/>
      <c r="U158" s="1743"/>
      <c r="V158" s="1743"/>
      <c r="W158" s="1743"/>
      <c r="X158" s="1743"/>
      <c r="Y158" s="1743"/>
      <c r="Z158" s="1743"/>
    </row>
    <row r="159" spans="5:26" s="1738" customFormat="1">
      <c r="E159" s="1743"/>
      <c r="F159" s="1743"/>
      <c r="I159" s="1743"/>
      <c r="J159" s="1743"/>
      <c r="K159" s="1743"/>
      <c r="L159" s="1743"/>
      <c r="M159" s="1743"/>
      <c r="N159" s="1743"/>
      <c r="O159" s="1743"/>
      <c r="P159" s="1743"/>
      <c r="Q159" s="1743"/>
      <c r="R159" s="1743"/>
      <c r="S159" s="1743"/>
      <c r="T159" s="1743"/>
      <c r="U159" s="1743"/>
      <c r="V159" s="1743"/>
      <c r="W159" s="1743"/>
      <c r="X159" s="1743"/>
      <c r="Y159" s="1743"/>
      <c r="Z159" s="1743"/>
    </row>
    <row r="160" spans="5:26" s="1738" customFormat="1">
      <c r="E160" s="1743"/>
      <c r="F160" s="1743"/>
      <c r="I160" s="1743"/>
      <c r="J160" s="1743"/>
      <c r="K160" s="1743"/>
      <c r="L160" s="1743"/>
      <c r="M160" s="1743"/>
      <c r="N160" s="1743"/>
      <c r="O160" s="1743"/>
      <c r="P160" s="1743"/>
      <c r="Q160" s="1743"/>
      <c r="R160" s="1743"/>
      <c r="S160" s="1743"/>
      <c r="T160" s="1743"/>
      <c r="U160" s="1743"/>
      <c r="V160" s="1743"/>
      <c r="W160" s="1743"/>
      <c r="X160" s="1743"/>
      <c r="Y160" s="1743"/>
      <c r="Z160" s="1743"/>
    </row>
    <row r="161" spans="5:26" s="1738" customFormat="1">
      <c r="E161" s="1743"/>
      <c r="F161" s="1743"/>
      <c r="I161" s="1743"/>
      <c r="J161" s="1743"/>
      <c r="K161" s="1743"/>
      <c r="L161" s="1743"/>
      <c r="M161" s="1743"/>
      <c r="N161" s="1743"/>
      <c r="O161" s="1743"/>
      <c r="P161" s="1743"/>
      <c r="Q161" s="1743"/>
      <c r="R161" s="1743"/>
      <c r="S161" s="1743"/>
      <c r="T161" s="1743"/>
      <c r="U161" s="1743"/>
      <c r="V161" s="1743"/>
      <c r="W161" s="1743"/>
      <c r="X161" s="1743"/>
      <c r="Y161" s="1743"/>
      <c r="Z161" s="1743"/>
    </row>
    <row r="162" spans="5:26" s="1738" customFormat="1">
      <c r="E162" s="1743"/>
      <c r="F162" s="1743"/>
      <c r="I162" s="1743"/>
      <c r="J162" s="1743"/>
      <c r="K162" s="1743"/>
      <c r="L162" s="1743"/>
      <c r="M162" s="1743"/>
      <c r="N162" s="1743"/>
      <c r="O162" s="1743"/>
      <c r="P162" s="1743"/>
      <c r="Q162" s="1743"/>
      <c r="R162" s="1743"/>
      <c r="S162" s="1743"/>
      <c r="T162" s="1743"/>
      <c r="U162" s="1743"/>
      <c r="V162" s="1743"/>
      <c r="W162" s="1743"/>
      <c r="X162" s="1743"/>
      <c r="Y162" s="1743"/>
      <c r="Z162" s="1743"/>
    </row>
    <row r="163" spans="5:26" s="1738" customFormat="1">
      <c r="E163" s="1743"/>
      <c r="F163" s="1743"/>
      <c r="I163" s="1743"/>
      <c r="J163" s="1743"/>
      <c r="K163" s="1743"/>
      <c r="L163" s="1743"/>
      <c r="M163" s="1743"/>
      <c r="N163" s="1743"/>
      <c r="O163" s="1743"/>
      <c r="P163" s="1743"/>
      <c r="Q163" s="1743"/>
      <c r="R163" s="1743"/>
      <c r="S163" s="1743"/>
      <c r="T163" s="1743"/>
      <c r="U163" s="1743"/>
      <c r="V163" s="1743"/>
      <c r="W163" s="1743"/>
      <c r="X163" s="1743"/>
      <c r="Y163" s="1743"/>
      <c r="Z163" s="1743"/>
    </row>
    <row r="164" spans="5:26" s="1738" customFormat="1">
      <c r="E164" s="1743"/>
      <c r="F164" s="1743"/>
      <c r="I164" s="1743"/>
      <c r="J164" s="1743"/>
      <c r="K164" s="1743"/>
      <c r="L164" s="1743"/>
      <c r="M164" s="1743"/>
      <c r="N164" s="1743"/>
      <c r="O164" s="1743"/>
      <c r="P164" s="1743"/>
      <c r="Q164" s="1743"/>
      <c r="R164" s="1743"/>
      <c r="S164" s="1743"/>
      <c r="T164" s="1743"/>
      <c r="U164" s="1743"/>
      <c r="V164" s="1743"/>
      <c r="W164" s="1743"/>
      <c r="X164" s="1743"/>
      <c r="Y164" s="1743"/>
      <c r="Z164" s="1743"/>
    </row>
    <row r="165" spans="5:26" s="1738" customFormat="1">
      <c r="E165" s="1743"/>
      <c r="F165" s="1743"/>
      <c r="I165" s="1743"/>
      <c r="J165" s="1743"/>
      <c r="K165" s="1743"/>
      <c r="L165" s="1743"/>
      <c r="M165" s="1743"/>
      <c r="N165" s="1743"/>
      <c r="O165" s="1743"/>
      <c r="P165" s="1743"/>
      <c r="Q165" s="1743"/>
      <c r="R165" s="1743"/>
      <c r="S165" s="1743"/>
      <c r="T165" s="1743"/>
      <c r="U165" s="1743"/>
      <c r="V165" s="1743"/>
      <c r="W165" s="1743"/>
      <c r="X165" s="1743"/>
      <c r="Y165" s="1743"/>
      <c r="Z165" s="1743"/>
    </row>
    <row r="166" spans="5:26" s="1738" customFormat="1">
      <c r="E166" s="1743"/>
      <c r="F166" s="1743"/>
      <c r="I166" s="1743"/>
      <c r="J166" s="1743"/>
      <c r="K166" s="1743"/>
      <c r="L166" s="1743"/>
      <c r="M166" s="1743"/>
      <c r="N166" s="1743"/>
      <c r="O166" s="1743"/>
      <c r="P166" s="1743"/>
      <c r="Q166" s="1743"/>
      <c r="R166" s="1743"/>
      <c r="S166" s="1743"/>
      <c r="T166" s="1743"/>
      <c r="U166" s="1743"/>
      <c r="V166" s="1743"/>
      <c r="W166" s="1743"/>
      <c r="X166" s="1743"/>
      <c r="Y166" s="1743"/>
      <c r="Z166" s="1743"/>
    </row>
    <row r="167" spans="5:26" s="1738" customFormat="1">
      <c r="E167" s="1743"/>
      <c r="F167" s="1743"/>
      <c r="I167" s="1743"/>
      <c r="J167" s="1743"/>
      <c r="K167" s="1743"/>
      <c r="L167" s="1743"/>
      <c r="M167" s="1743"/>
      <c r="N167" s="1743"/>
      <c r="O167" s="1743"/>
      <c r="P167" s="1743"/>
      <c r="Q167" s="1743"/>
      <c r="R167" s="1743"/>
      <c r="S167" s="1743"/>
      <c r="T167" s="1743"/>
      <c r="U167" s="1743"/>
      <c r="V167" s="1743"/>
      <c r="W167" s="1743"/>
      <c r="X167" s="1743"/>
      <c r="Y167" s="1743"/>
      <c r="Z167" s="1743"/>
    </row>
    <row r="168" spans="5:26" s="1738" customFormat="1">
      <c r="E168" s="1743"/>
      <c r="F168" s="1743"/>
      <c r="I168" s="1743"/>
      <c r="J168" s="1743"/>
      <c r="K168" s="1743"/>
      <c r="L168" s="1743"/>
      <c r="M168" s="1743"/>
      <c r="N168" s="1743"/>
      <c r="O168" s="1743"/>
      <c r="P168" s="1743"/>
      <c r="Q168" s="1743"/>
      <c r="R168" s="1743"/>
      <c r="S168" s="1743"/>
      <c r="T168" s="1743"/>
      <c r="U168" s="1743"/>
      <c r="V168" s="1743"/>
      <c r="W168" s="1743"/>
      <c r="X168" s="1743"/>
      <c r="Y168" s="1743"/>
      <c r="Z168" s="1743"/>
    </row>
    <row r="169" spans="5:26" s="1738" customFormat="1">
      <c r="E169" s="1743"/>
      <c r="F169" s="1743"/>
      <c r="I169" s="1743"/>
      <c r="J169" s="1743"/>
      <c r="K169" s="1743"/>
      <c r="L169" s="1743"/>
      <c r="M169" s="1743"/>
      <c r="N169" s="1743"/>
      <c r="O169" s="1743"/>
      <c r="P169" s="1743"/>
      <c r="Q169" s="1743"/>
      <c r="R169" s="1743"/>
      <c r="S169" s="1743"/>
      <c r="T169" s="1743"/>
      <c r="U169" s="1743"/>
      <c r="V169" s="1743"/>
      <c r="W169" s="1743"/>
      <c r="X169" s="1743"/>
      <c r="Y169" s="1743"/>
      <c r="Z169" s="1743"/>
    </row>
    <row r="170" spans="5:26" s="1738" customFormat="1">
      <c r="E170" s="1743"/>
      <c r="F170" s="1743"/>
      <c r="I170" s="1743"/>
      <c r="J170" s="1743"/>
      <c r="K170" s="1743"/>
      <c r="L170" s="1743"/>
      <c r="M170" s="1743"/>
      <c r="N170" s="1743"/>
      <c r="O170" s="1743"/>
      <c r="P170" s="1743"/>
      <c r="Q170" s="1743"/>
      <c r="R170" s="1743"/>
      <c r="S170" s="1743"/>
      <c r="T170" s="1743"/>
      <c r="U170" s="1743"/>
      <c r="V170" s="1743"/>
      <c r="W170" s="1743"/>
      <c r="X170" s="1743"/>
      <c r="Y170" s="1743"/>
      <c r="Z170" s="1743"/>
    </row>
    <row r="171" spans="5:26" s="1738" customFormat="1">
      <c r="E171" s="1743"/>
      <c r="F171" s="1743"/>
      <c r="I171" s="1743"/>
      <c r="J171" s="1743"/>
      <c r="K171" s="1743"/>
      <c r="L171" s="1743"/>
      <c r="M171" s="1743"/>
      <c r="N171" s="1743"/>
      <c r="O171" s="1743"/>
      <c r="P171" s="1743"/>
      <c r="Q171" s="1743"/>
      <c r="R171" s="1743"/>
      <c r="S171" s="1743"/>
      <c r="T171" s="1743"/>
      <c r="U171" s="1743"/>
      <c r="V171" s="1743"/>
      <c r="W171" s="1743"/>
      <c r="X171" s="1743"/>
      <c r="Y171" s="1743"/>
      <c r="Z171" s="1743"/>
    </row>
    <row r="172" spans="5:26" s="1738" customFormat="1">
      <c r="E172" s="1743"/>
      <c r="F172" s="1743"/>
      <c r="I172" s="1743"/>
      <c r="J172" s="1743"/>
      <c r="K172" s="1743"/>
      <c r="L172" s="1743"/>
      <c r="M172" s="1743"/>
      <c r="N172" s="1743"/>
      <c r="O172" s="1743"/>
      <c r="P172" s="1743"/>
      <c r="Q172" s="1743"/>
      <c r="R172" s="1743"/>
      <c r="S172" s="1743"/>
      <c r="T172" s="1743"/>
      <c r="U172" s="1743"/>
      <c r="V172" s="1743"/>
      <c r="W172" s="1743"/>
      <c r="X172" s="1743"/>
      <c r="Y172" s="1743"/>
      <c r="Z172" s="1743"/>
    </row>
    <row r="173" spans="5:26" s="1738" customFormat="1">
      <c r="E173" s="1743"/>
      <c r="F173" s="1743"/>
      <c r="I173" s="1743"/>
      <c r="J173" s="1743"/>
      <c r="K173" s="1743"/>
      <c r="L173" s="1743"/>
      <c r="M173" s="1743"/>
      <c r="N173" s="1743"/>
      <c r="O173" s="1743"/>
      <c r="P173" s="1743"/>
      <c r="Q173" s="1743"/>
      <c r="R173" s="1743"/>
      <c r="S173" s="1743"/>
      <c r="T173" s="1743"/>
      <c r="U173" s="1743"/>
      <c r="V173" s="1743"/>
      <c r="W173" s="1743"/>
      <c r="X173" s="1743"/>
      <c r="Y173" s="1743"/>
      <c r="Z173" s="1743"/>
    </row>
    <row r="174" spans="5:26" s="1738" customFormat="1">
      <c r="E174" s="1743"/>
      <c r="F174" s="1743"/>
      <c r="I174" s="1743"/>
      <c r="J174" s="1743"/>
      <c r="K174" s="1743"/>
      <c r="L174" s="1743"/>
      <c r="M174" s="1743"/>
      <c r="N174" s="1743"/>
      <c r="O174" s="1743"/>
      <c r="P174" s="1743"/>
      <c r="Q174" s="1743"/>
      <c r="R174" s="1743"/>
      <c r="S174" s="1743"/>
      <c r="T174" s="1743"/>
      <c r="U174" s="1743"/>
      <c r="V174" s="1743"/>
      <c r="W174" s="1743"/>
      <c r="X174" s="1743"/>
      <c r="Y174" s="1743"/>
      <c r="Z174" s="1743"/>
    </row>
    <row r="175" spans="5:26" s="1738" customFormat="1">
      <c r="E175" s="1743"/>
      <c r="F175" s="1743"/>
      <c r="I175" s="1743"/>
      <c r="J175" s="1743"/>
      <c r="K175" s="1743"/>
      <c r="L175" s="1743"/>
      <c r="M175" s="1743"/>
      <c r="N175" s="1743"/>
      <c r="O175" s="1743"/>
      <c r="P175" s="1743"/>
      <c r="Q175" s="1743"/>
      <c r="R175" s="1743"/>
      <c r="S175" s="1743"/>
      <c r="T175" s="1743"/>
      <c r="U175" s="1743"/>
      <c r="V175" s="1743"/>
      <c r="W175" s="1743"/>
      <c r="X175" s="1743"/>
      <c r="Y175" s="1743"/>
      <c r="Z175" s="1743"/>
    </row>
    <row r="176" spans="5:26" s="1738" customFormat="1">
      <c r="E176" s="1743"/>
      <c r="F176" s="1743"/>
      <c r="I176" s="1743"/>
      <c r="J176" s="1743"/>
      <c r="K176" s="1743"/>
      <c r="L176" s="1743"/>
      <c r="M176" s="1743"/>
      <c r="N176" s="1743"/>
      <c r="O176" s="1743"/>
      <c r="P176" s="1743"/>
      <c r="Q176" s="1743"/>
      <c r="R176" s="1743"/>
      <c r="S176" s="1743"/>
      <c r="T176" s="1743"/>
      <c r="U176" s="1743"/>
      <c r="V176" s="1743"/>
      <c r="W176" s="1743"/>
      <c r="X176" s="1743"/>
      <c r="Y176" s="1743"/>
      <c r="Z176" s="1743"/>
    </row>
    <row r="177" spans="3:26" s="1738" customFormat="1">
      <c r="E177" s="1743"/>
      <c r="F177" s="1743"/>
      <c r="I177" s="1743"/>
      <c r="J177" s="1743"/>
      <c r="K177" s="1743"/>
      <c r="L177" s="1743"/>
      <c r="M177" s="1743"/>
      <c r="N177" s="1743"/>
      <c r="O177" s="1743"/>
      <c r="P177" s="1743"/>
      <c r="Q177" s="1743"/>
      <c r="R177" s="1743"/>
      <c r="S177" s="1743"/>
      <c r="T177" s="1743"/>
      <c r="U177" s="1743"/>
      <c r="V177" s="1743"/>
      <c r="W177" s="1743"/>
      <c r="X177" s="1743"/>
      <c r="Y177" s="1743"/>
      <c r="Z177" s="1743"/>
    </row>
    <row r="178" spans="3:26" s="1738" customFormat="1">
      <c r="E178" s="1743"/>
      <c r="F178" s="1743"/>
      <c r="I178" s="1743"/>
      <c r="J178" s="1743"/>
      <c r="K178" s="1743"/>
      <c r="L178" s="1743"/>
      <c r="M178" s="1743"/>
      <c r="N178" s="1743"/>
      <c r="O178" s="1743"/>
      <c r="P178" s="1743"/>
      <c r="Q178" s="1743"/>
      <c r="R178" s="1743"/>
      <c r="S178" s="1743"/>
      <c r="T178" s="1743"/>
      <c r="U178" s="1743"/>
      <c r="V178" s="1743"/>
      <c r="W178" s="1743"/>
      <c r="X178" s="1743"/>
      <c r="Y178" s="1743"/>
      <c r="Z178" s="1743"/>
    </row>
    <row r="179" spans="3:26" s="1738" customFormat="1">
      <c r="E179" s="1743"/>
      <c r="F179" s="1743"/>
      <c r="I179" s="1743"/>
      <c r="J179" s="1743"/>
      <c r="K179" s="1743"/>
      <c r="L179" s="1743"/>
      <c r="M179" s="1743"/>
      <c r="N179" s="1743"/>
      <c r="O179" s="1743"/>
      <c r="P179" s="1743"/>
      <c r="Q179" s="1743"/>
      <c r="R179" s="1743"/>
      <c r="S179" s="1743"/>
      <c r="T179" s="1743"/>
      <c r="U179" s="1743"/>
      <c r="V179" s="1743"/>
      <c r="W179" s="1743"/>
      <c r="X179" s="1743"/>
      <c r="Y179" s="1743"/>
      <c r="Z179" s="1743"/>
    </row>
    <row r="180" spans="3:26" s="1738" customFormat="1">
      <c r="E180" s="1743"/>
      <c r="F180" s="1743"/>
      <c r="I180" s="1743"/>
      <c r="J180" s="1743"/>
      <c r="K180" s="1743"/>
      <c r="L180" s="1743"/>
      <c r="M180" s="1743"/>
      <c r="N180" s="1743"/>
      <c r="O180" s="1743"/>
      <c r="P180" s="1743"/>
      <c r="Q180" s="1743"/>
      <c r="R180" s="1743"/>
      <c r="S180" s="1743"/>
      <c r="T180" s="1743"/>
      <c r="U180" s="1743"/>
      <c r="V180" s="1743"/>
      <c r="W180" s="1743"/>
      <c r="X180" s="1743"/>
      <c r="Y180" s="1743"/>
      <c r="Z180" s="1743"/>
    </row>
    <row r="181" spans="3:26" s="1738" customFormat="1">
      <c r="E181" s="1743"/>
      <c r="F181" s="1743"/>
      <c r="I181" s="1743"/>
      <c r="J181" s="1743"/>
      <c r="K181" s="1743"/>
      <c r="L181" s="1743"/>
      <c r="M181" s="1743"/>
      <c r="N181" s="1743"/>
      <c r="O181" s="1743"/>
      <c r="P181" s="1743"/>
      <c r="Q181" s="1743"/>
      <c r="R181" s="1743"/>
      <c r="S181" s="1743"/>
      <c r="T181" s="1743"/>
      <c r="U181" s="1743"/>
      <c r="V181" s="1743"/>
      <c r="W181" s="1743"/>
      <c r="X181" s="1743"/>
      <c r="Y181" s="1743"/>
      <c r="Z181" s="1743"/>
    </row>
    <row r="182" spans="3:26" s="1738" customFormat="1">
      <c r="E182" s="1743"/>
      <c r="F182" s="1743"/>
      <c r="I182" s="1743"/>
      <c r="J182" s="1743"/>
      <c r="K182" s="1743"/>
      <c r="L182" s="1743"/>
      <c r="M182" s="1743"/>
      <c r="N182" s="1743"/>
      <c r="O182" s="1743"/>
      <c r="P182" s="1743"/>
      <c r="Q182" s="1743"/>
      <c r="R182" s="1743"/>
      <c r="S182" s="1743"/>
      <c r="T182" s="1743"/>
      <c r="U182" s="1743"/>
      <c r="V182" s="1743"/>
      <c r="W182" s="1743"/>
      <c r="X182" s="1743"/>
      <c r="Y182" s="1743"/>
      <c r="Z182" s="1743"/>
    </row>
    <row r="183" spans="3:26" s="1738" customFormat="1">
      <c r="E183" s="1743"/>
      <c r="F183" s="1743"/>
      <c r="I183" s="1743"/>
      <c r="J183" s="1743"/>
      <c r="K183" s="1743"/>
      <c r="L183" s="1743"/>
      <c r="M183" s="1743"/>
      <c r="N183" s="1743"/>
      <c r="O183" s="1743"/>
      <c r="P183" s="1743"/>
      <c r="Q183" s="1743"/>
      <c r="R183" s="1743"/>
      <c r="S183" s="1743"/>
      <c r="T183" s="1743"/>
      <c r="U183" s="1743"/>
      <c r="V183" s="1743"/>
      <c r="W183" s="1743"/>
      <c r="X183" s="1743"/>
      <c r="Y183" s="1743"/>
      <c r="Z183" s="1743"/>
    </row>
    <row r="184" spans="3:26" s="1738" customFormat="1">
      <c r="E184" s="1743"/>
      <c r="F184" s="1743"/>
      <c r="I184" s="1743"/>
      <c r="J184" s="1743"/>
      <c r="K184" s="1743"/>
      <c r="L184" s="1743"/>
      <c r="M184" s="1743"/>
      <c r="N184" s="1743"/>
      <c r="O184" s="1743"/>
      <c r="P184" s="1743"/>
      <c r="Q184" s="1743"/>
      <c r="R184" s="1743"/>
      <c r="S184" s="1743"/>
      <c r="T184" s="1743"/>
      <c r="U184" s="1743"/>
      <c r="V184" s="1743"/>
      <c r="W184" s="1743"/>
      <c r="X184" s="1743"/>
      <c r="Y184" s="1743"/>
      <c r="Z184" s="1743"/>
    </row>
    <row r="185" spans="3:26" s="1738" customFormat="1">
      <c r="E185" s="1743"/>
      <c r="F185" s="1743"/>
      <c r="I185" s="1743"/>
      <c r="J185" s="1743"/>
      <c r="K185" s="1743"/>
      <c r="L185" s="1743"/>
      <c r="M185" s="1743"/>
      <c r="N185" s="1743"/>
      <c r="O185" s="1743"/>
      <c r="P185" s="1743"/>
      <c r="Q185" s="1743"/>
      <c r="R185" s="1743"/>
      <c r="S185" s="1743"/>
      <c r="T185" s="1743"/>
      <c r="U185" s="1743"/>
      <c r="V185" s="1743"/>
      <c r="W185" s="1743"/>
      <c r="X185" s="1743"/>
      <c r="Y185" s="1743"/>
      <c r="Z185" s="1743"/>
    </row>
    <row r="186" spans="3:26" s="1738" customFormat="1">
      <c r="E186" s="1743"/>
      <c r="F186" s="1743"/>
      <c r="I186" s="1743"/>
      <c r="J186" s="1743"/>
      <c r="K186" s="1743"/>
      <c r="L186" s="1743"/>
      <c r="M186" s="1743"/>
      <c r="N186" s="1743"/>
      <c r="O186" s="1743"/>
      <c r="P186" s="1743"/>
      <c r="Q186" s="1743"/>
      <c r="R186" s="1743"/>
      <c r="S186" s="1743"/>
      <c r="T186" s="1743"/>
      <c r="U186" s="1743"/>
      <c r="V186" s="1743"/>
      <c r="W186" s="1743"/>
      <c r="X186" s="1743"/>
      <c r="Y186" s="1743"/>
      <c r="Z186" s="1743"/>
    </row>
    <row r="187" spans="3:26" s="1738" customFormat="1">
      <c r="E187" s="1743"/>
      <c r="F187" s="1743"/>
      <c r="I187" s="1743"/>
      <c r="J187" s="1743"/>
      <c r="K187" s="1743"/>
      <c r="L187" s="1743"/>
      <c r="M187" s="1743"/>
      <c r="N187" s="1743"/>
      <c r="O187" s="1743"/>
      <c r="P187" s="1743"/>
      <c r="Q187" s="1743"/>
      <c r="R187" s="1743"/>
      <c r="S187" s="1743"/>
      <c r="T187" s="1743"/>
      <c r="U187" s="1743"/>
      <c r="V187" s="1743"/>
      <c r="W187" s="1743"/>
      <c r="X187" s="1743"/>
      <c r="Y187" s="1743"/>
      <c r="Z187" s="1743"/>
    </row>
    <row r="188" spans="3:26" s="1738" customFormat="1">
      <c r="E188" s="1743"/>
      <c r="F188" s="1743"/>
      <c r="I188" s="1743"/>
      <c r="J188" s="1743"/>
      <c r="K188" s="1743"/>
      <c r="L188" s="1743"/>
      <c r="M188" s="1743"/>
      <c r="N188" s="1743"/>
      <c r="O188" s="1743"/>
      <c r="P188" s="1743"/>
      <c r="Q188" s="1743"/>
      <c r="R188" s="1743"/>
      <c r="S188" s="1743"/>
      <c r="T188" s="1743"/>
      <c r="U188" s="1743"/>
      <c r="V188" s="1743"/>
      <c r="W188" s="1743"/>
      <c r="X188" s="1743"/>
      <c r="Y188" s="1743"/>
      <c r="Z188" s="1743"/>
    </row>
    <row r="189" spans="3:26" s="1738" customFormat="1">
      <c r="E189" s="1743"/>
      <c r="F189" s="1743"/>
      <c r="I189" s="1743"/>
      <c r="J189" s="1743"/>
      <c r="K189" s="1743"/>
      <c r="L189" s="1743"/>
      <c r="M189" s="1743"/>
      <c r="N189" s="1743"/>
      <c r="O189" s="1743"/>
      <c r="P189" s="1743"/>
      <c r="Q189" s="1743"/>
      <c r="R189" s="1743"/>
      <c r="S189" s="1743"/>
      <c r="T189" s="1743"/>
      <c r="U189" s="1743"/>
      <c r="V189" s="1743"/>
      <c r="W189" s="1743"/>
      <c r="X189" s="1743"/>
      <c r="Y189" s="1743"/>
      <c r="Z189" s="1743"/>
    </row>
    <row r="190" spans="3:26" s="1738" customFormat="1" ht="15.6">
      <c r="C190" s="2588" t="str">
        <f>B26</f>
        <v>5.2. Degradation of organic soils (peatlands)</v>
      </c>
      <c r="D190" s="2595"/>
      <c r="E190" s="2595"/>
      <c r="F190" s="2595"/>
      <c r="G190" s="2595"/>
      <c r="H190" s="2595"/>
      <c r="I190" s="2595"/>
      <c r="J190" s="2595"/>
      <c r="K190" s="2595"/>
      <c r="L190" s="2595"/>
      <c r="M190" s="2595"/>
      <c r="N190" s="2595"/>
      <c r="O190" s="2595"/>
      <c r="P190" s="2595"/>
      <c r="Q190" s="2595"/>
      <c r="R190" s="1743"/>
      <c r="S190" s="1743"/>
      <c r="T190" s="1743"/>
      <c r="U190" s="1743"/>
      <c r="V190" s="1743"/>
      <c r="W190" s="1743"/>
      <c r="X190" s="1743"/>
      <c r="Y190" s="1743"/>
      <c r="Z190" s="1743"/>
    </row>
    <row r="191" spans="3:26" s="1738" customFormat="1">
      <c r="M191" s="1743"/>
      <c r="Q191" s="1743"/>
      <c r="R191" s="1743"/>
      <c r="S191" s="1743"/>
      <c r="T191" s="1743"/>
      <c r="U191" s="1743"/>
      <c r="V191" s="1743"/>
      <c r="W191" s="1743"/>
      <c r="X191" s="1743"/>
      <c r="Y191" s="1743"/>
      <c r="Z191" s="1743"/>
    </row>
    <row r="192" spans="3:26" s="1738" customFormat="1">
      <c r="C192" s="2193"/>
      <c r="D192" s="2193"/>
      <c r="E192" s="2194"/>
      <c r="F192" s="3233" t="str">
        <f>C125</f>
        <v>Use this part only if you want to refine the analysis with Tier 2 coefficients.</v>
      </c>
      <c r="G192" s="3233"/>
      <c r="H192" s="3233"/>
      <c r="I192" s="3233"/>
      <c r="J192" s="3233"/>
      <c r="K192" s="3233"/>
      <c r="L192" s="3233"/>
      <c r="M192" s="3233"/>
      <c r="N192" s="3233"/>
      <c r="O192" s="3233"/>
      <c r="P192" s="3233"/>
      <c r="Q192" s="3233"/>
      <c r="R192" s="1743"/>
      <c r="S192" s="1743"/>
      <c r="T192" s="1743"/>
      <c r="U192" s="1743"/>
      <c r="V192" s="1743"/>
      <c r="W192" s="1743"/>
      <c r="X192" s="1743"/>
      <c r="Y192" s="1743"/>
      <c r="Z192" s="1743"/>
    </row>
    <row r="193" spans="3:26" s="1738" customFormat="1">
      <c r="C193" s="2193"/>
      <c r="D193" s="2193"/>
      <c r="E193" s="2193"/>
      <c r="F193" s="3233"/>
      <c r="G193" s="3233"/>
      <c r="H193" s="3233"/>
      <c r="I193" s="3233"/>
      <c r="J193" s="3233"/>
      <c r="K193" s="3233"/>
      <c r="L193" s="3233"/>
      <c r="M193" s="3233"/>
      <c r="N193" s="3233"/>
      <c r="O193" s="3233"/>
      <c r="P193" s="3233"/>
      <c r="Q193" s="3233"/>
      <c r="R193" s="1743"/>
      <c r="S193" s="1743"/>
      <c r="T193" s="1743"/>
      <c r="U193" s="1743"/>
      <c r="V193" s="1743"/>
      <c r="W193" s="1743"/>
      <c r="X193" s="1743"/>
      <c r="Y193" s="1743"/>
      <c r="Z193" s="1743"/>
    </row>
    <row r="194" spans="3:26" s="1738" customFormat="1">
      <c r="C194" s="2193"/>
      <c r="D194" s="2193"/>
      <c r="E194" s="2193"/>
      <c r="F194" s="3233"/>
      <c r="G194" s="3233"/>
      <c r="H194" s="3233"/>
      <c r="I194" s="3233"/>
      <c r="J194" s="3233"/>
      <c r="K194" s="3233"/>
      <c r="L194" s="3233"/>
      <c r="M194" s="3233"/>
      <c r="N194" s="3233"/>
      <c r="O194" s="3233"/>
      <c r="P194" s="3233"/>
      <c r="Q194" s="3233"/>
      <c r="R194" s="1743"/>
      <c r="S194" s="1743"/>
      <c r="T194" s="1743"/>
      <c r="U194" s="1743"/>
      <c r="V194" s="1743"/>
      <c r="W194" s="1743"/>
      <c r="X194" s="1743"/>
      <c r="Y194" s="1743"/>
      <c r="Z194" s="1743"/>
    </row>
    <row r="195" spans="3:26" s="1738" customFormat="1">
      <c r="C195" s="3234" t="str">
        <f>C127</f>
        <v>(default values are provided for your information only, while EX-ACT will use Tier 2 values automatically wherever specified)</v>
      </c>
      <c r="D195" s="3234"/>
      <c r="E195" s="3234"/>
      <c r="F195" s="3234"/>
      <c r="G195" s="3234"/>
      <c r="H195" s="3234"/>
      <c r="I195" s="3234"/>
      <c r="J195" s="3234"/>
      <c r="K195" s="3234"/>
      <c r="L195" s="3234"/>
      <c r="M195" s="3234"/>
      <c r="N195" s="3234"/>
      <c r="O195" s="3234"/>
      <c r="P195" s="3234"/>
      <c r="Q195" s="3234"/>
      <c r="R195" s="1743"/>
      <c r="S195" s="1743"/>
      <c r="T195" s="1743"/>
      <c r="U195" s="1743"/>
      <c r="V195" s="1743"/>
      <c r="W195" s="1743"/>
      <c r="X195" s="1743"/>
      <c r="Y195" s="1743"/>
      <c r="Z195" s="1743"/>
    </row>
    <row r="196" spans="3:26" s="1738" customFormat="1" ht="13.2" customHeight="1">
      <c r="C196" s="3234"/>
      <c r="D196" s="3234"/>
      <c r="E196" s="3234"/>
      <c r="F196" s="3234"/>
      <c r="G196" s="3234"/>
      <c r="H196" s="3234"/>
      <c r="I196" s="3234"/>
      <c r="J196" s="3234"/>
      <c r="K196" s="3234"/>
      <c r="L196" s="3234"/>
      <c r="M196" s="3234"/>
      <c r="N196" s="3234"/>
      <c r="O196" s="3234"/>
      <c r="P196" s="3234"/>
      <c r="Q196" s="3234"/>
      <c r="R196" s="1743"/>
      <c r="S196" s="1743"/>
      <c r="T196" s="1743"/>
      <c r="U196" s="1743"/>
      <c r="V196" s="1743"/>
      <c r="W196" s="1743"/>
      <c r="X196" s="1743"/>
      <c r="Y196" s="1743"/>
      <c r="Z196" s="1743"/>
    </row>
    <row r="197" spans="3:26" s="1738" customFormat="1">
      <c r="C197" s="3234"/>
      <c r="D197" s="3234"/>
      <c r="E197" s="3234"/>
      <c r="F197" s="3234"/>
      <c r="G197" s="3234"/>
      <c r="H197" s="3234"/>
      <c r="I197" s="3234"/>
      <c r="J197" s="3234"/>
      <c r="K197" s="3234"/>
      <c r="L197" s="3234"/>
      <c r="M197" s="3234"/>
      <c r="N197" s="3234"/>
      <c r="O197" s="3234"/>
      <c r="P197" s="3234"/>
      <c r="Q197" s="3234"/>
      <c r="R197" s="1743"/>
      <c r="S197" s="1743"/>
      <c r="T197" s="1743"/>
      <c r="U197" s="1743"/>
      <c r="V197" s="1743"/>
      <c r="W197" s="1743"/>
      <c r="X197" s="1743"/>
      <c r="Y197" s="1743"/>
      <c r="Z197" s="1743"/>
    </row>
    <row r="198" spans="3:26" s="1738" customFormat="1">
      <c r="E198" s="1743"/>
      <c r="F198" s="1743"/>
      <c r="I198" s="1743"/>
      <c r="J198" s="1743"/>
      <c r="K198" s="1743"/>
      <c r="L198" s="1743"/>
      <c r="M198" s="1743"/>
      <c r="N198" s="1743"/>
      <c r="O198" s="1743"/>
      <c r="P198" s="1743"/>
      <c r="Q198" s="1743"/>
      <c r="R198" s="1743"/>
      <c r="S198" s="1743"/>
      <c r="T198" s="1743"/>
      <c r="U198" s="1743"/>
      <c r="V198" s="1743"/>
      <c r="W198" s="1743"/>
      <c r="X198" s="1743"/>
      <c r="Y198" s="1743"/>
      <c r="Z198" s="1743"/>
    </row>
    <row r="199" spans="3:26" s="1738" customFormat="1">
      <c r="C199" s="2867" t="str">
        <f>HLOOKUP(select,translations!$A$209:$H$250,26,)</f>
        <v>Emissions from loss of C associated with drainage of organic soils</v>
      </c>
      <c r="D199" s="2354"/>
      <c r="E199" s="2347"/>
      <c r="F199" s="2347"/>
      <c r="G199" s="2193"/>
      <c r="H199" s="2193"/>
      <c r="I199" s="2347"/>
      <c r="J199" s="2347"/>
      <c r="K199" s="2347"/>
      <c r="L199" s="2347"/>
      <c r="M199" s="2347"/>
      <c r="N199" s="2347"/>
      <c r="O199" s="2347"/>
      <c r="P199" s="2347"/>
      <c r="Q199" s="2347"/>
      <c r="R199" s="1743"/>
      <c r="S199" s="1743"/>
      <c r="T199" s="1743"/>
      <c r="U199" s="1743"/>
      <c r="V199" s="1743"/>
      <c r="W199" s="1743"/>
      <c r="X199" s="1743"/>
      <c r="Y199" s="1743"/>
      <c r="Z199" s="1743"/>
    </row>
    <row r="200" spans="3:26" s="1738" customFormat="1">
      <c r="C200" s="2867" t="str">
        <f>B30</f>
        <v>Type of vegetation</v>
      </c>
      <c r="D200" s="2354"/>
      <c r="E200" s="2193"/>
      <c r="F200" s="2194" t="str">
        <f>HLOOKUP(select,translations!$A$209:$H$250,27,)</f>
        <v>Emission factor (t C/ha/yr)</v>
      </c>
      <c r="G200" s="2193"/>
      <c r="H200" s="2193"/>
      <c r="I200" s="2193"/>
      <c r="J200" s="2193"/>
      <c r="K200" s="2193"/>
      <c r="L200" s="2193"/>
      <c r="M200" s="2193"/>
      <c r="N200" s="2193"/>
      <c r="O200" s="2193"/>
      <c r="P200" s="2193"/>
      <c r="Q200" s="2193"/>
      <c r="R200" s="1743"/>
      <c r="S200" s="1743"/>
      <c r="T200" s="1743"/>
      <c r="U200" s="1743"/>
      <c r="V200" s="1743"/>
      <c r="W200" s="1743"/>
      <c r="X200" s="1743"/>
      <c r="Y200" s="1743"/>
      <c r="Z200" s="1743"/>
    </row>
    <row r="201" spans="3:26" s="1738" customFormat="1">
      <c r="C201" s="2867" t="str">
        <f>B31</f>
        <v>concerned by drainage</v>
      </c>
      <c r="D201" s="2354"/>
      <c r="E201" s="2347"/>
      <c r="F201" s="2356" t="str">
        <f>F133</f>
        <v>Default</v>
      </c>
      <c r="G201" s="2341"/>
      <c r="H201" s="2356" t="str">
        <f>H133</f>
        <v>Tier 2</v>
      </c>
      <c r="I201" s="2347"/>
      <c r="J201" s="2347"/>
      <c r="K201" s="2347"/>
      <c r="L201" s="2347"/>
      <c r="M201" s="2347"/>
      <c r="N201" s="2347"/>
      <c r="O201" s="2347"/>
      <c r="P201" s="2347"/>
      <c r="Q201" s="2347"/>
      <c r="R201" s="1743"/>
      <c r="S201" s="1743"/>
      <c r="T201" s="1743"/>
      <c r="U201" s="1743"/>
      <c r="V201" s="1743"/>
      <c r="W201" s="1743"/>
      <c r="X201" s="1743"/>
      <c r="Y201" s="1743"/>
      <c r="Z201" s="1743"/>
    </row>
    <row r="202" spans="3:26" s="1738" customFormat="1">
      <c r="C202" s="2354" t="str">
        <f>B33</f>
        <v>Managed Forest</v>
      </c>
      <c r="D202" s="2354"/>
      <c r="E202" s="2347"/>
      <c r="F202" s="2398">
        <f>'Organic Soils'!C12</f>
        <v>0</v>
      </c>
      <c r="G202" s="2341"/>
      <c r="H202" s="2329"/>
      <c r="I202" s="2347"/>
      <c r="J202" s="2347"/>
      <c r="K202" s="2347"/>
      <c r="L202" s="2347"/>
      <c r="M202" s="2347"/>
      <c r="N202" s="2347"/>
      <c r="O202" s="2347"/>
      <c r="P202" s="2347"/>
      <c r="Q202" s="2347"/>
      <c r="R202" s="1743"/>
      <c r="S202" s="1743"/>
      <c r="T202" s="1743"/>
      <c r="U202" s="1743"/>
      <c r="V202" s="1743"/>
      <c r="W202" s="1743"/>
      <c r="X202" s="1743"/>
      <c r="Y202" s="1743"/>
      <c r="Z202" s="1743"/>
    </row>
    <row r="203" spans="3:26" s="1738" customFormat="1">
      <c r="C203" s="2354" t="str">
        <f t="shared" ref="C203:C205" si="2">B34</f>
        <v>Annual</v>
      </c>
      <c r="D203" s="2354"/>
      <c r="E203" s="2347"/>
      <c r="F203" s="2398">
        <f>'Organic Soils'!C13</f>
        <v>0</v>
      </c>
      <c r="G203" s="2193"/>
      <c r="H203" s="2329"/>
      <c r="I203" s="2347"/>
      <c r="J203" s="2347"/>
      <c r="K203" s="2347"/>
      <c r="L203" s="2347"/>
      <c r="M203" s="2347"/>
      <c r="N203" s="2347"/>
      <c r="O203" s="2347"/>
      <c r="P203" s="2347"/>
      <c r="Q203" s="2347"/>
      <c r="R203" s="1743"/>
      <c r="S203" s="1743"/>
      <c r="T203" s="1743"/>
      <c r="U203" s="1743"/>
      <c r="V203" s="1743"/>
      <c r="W203" s="1743"/>
      <c r="X203" s="1743"/>
      <c r="Y203" s="1743"/>
      <c r="Z203" s="1743"/>
    </row>
    <row r="204" spans="3:26" s="1738" customFormat="1">
      <c r="C204" s="2354" t="str">
        <f t="shared" si="2"/>
        <v>Perennial</v>
      </c>
      <c r="D204" s="2354"/>
      <c r="E204" s="2347"/>
      <c r="F204" s="2398">
        <f>'Organic Soils'!C14</f>
        <v>0</v>
      </c>
      <c r="G204" s="2193"/>
      <c r="H204" s="2329"/>
      <c r="I204" s="2347"/>
      <c r="J204" s="2347"/>
      <c r="K204" s="2347"/>
      <c r="L204" s="2347"/>
      <c r="M204" s="2347"/>
      <c r="N204" s="2347"/>
      <c r="O204" s="2347"/>
      <c r="P204" s="2347"/>
      <c r="Q204" s="2347"/>
      <c r="R204" s="1743"/>
      <c r="S204" s="1743"/>
      <c r="T204" s="1743"/>
      <c r="U204" s="1743"/>
      <c r="V204" s="1743"/>
      <c r="W204" s="1743"/>
      <c r="X204" s="1743"/>
      <c r="Y204" s="1743"/>
      <c r="Z204" s="1743"/>
    </row>
    <row r="205" spans="3:26" s="1738" customFormat="1">
      <c r="C205" s="2354" t="str">
        <f t="shared" si="2"/>
        <v>Grassland</v>
      </c>
      <c r="D205" s="2354"/>
      <c r="E205" s="2347"/>
      <c r="F205" s="2398">
        <f>'Organic Soils'!C15</f>
        <v>0</v>
      </c>
      <c r="G205" s="2193"/>
      <c r="H205" s="2329"/>
      <c r="I205" s="2347"/>
      <c r="J205" s="2347"/>
      <c r="K205" s="2347"/>
      <c r="L205" s="2347"/>
      <c r="M205" s="2347"/>
      <c r="N205" s="2347"/>
      <c r="O205" s="2347"/>
      <c r="P205" s="2347"/>
      <c r="Q205" s="2347"/>
      <c r="R205" s="1743"/>
      <c r="S205" s="1743"/>
      <c r="T205" s="1743"/>
      <c r="U205" s="1743"/>
      <c r="V205" s="1743"/>
      <c r="W205" s="1743"/>
      <c r="X205" s="1743"/>
      <c r="Y205" s="1743"/>
      <c r="Z205" s="1743"/>
    </row>
    <row r="206" spans="3:26" s="1738" customFormat="1">
      <c r="C206" s="2964"/>
      <c r="D206" s="2964"/>
      <c r="E206" s="1743"/>
      <c r="F206" s="1743"/>
      <c r="I206" s="1743"/>
      <c r="J206" s="1743"/>
      <c r="K206" s="1743"/>
      <c r="L206" s="1743"/>
      <c r="M206" s="1743"/>
      <c r="N206" s="1743"/>
      <c r="O206" s="1743"/>
      <c r="P206" s="1743"/>
      <c r="Q206" s="1743"/>
      <c r="R206" s="1743"/>
      <c r="S206" s="1743"/>
      <c r="T206" s="1743"/>
      <c r="U206" s="1743"/>
      <c r="V206" s="1743"/>
      <c r="W206" s="1743"/>
      <c r="X206" s="1743"/>
      <c r="Y206" s="1743"/>
      <c r="Z206" s="1743"/>
    </row>
    <row r="207" spans="3:26" s="1738" customFormat="1">
      <c r="C207" s="2867" t="str">
        <f>HLOOKUP(select,translations!$A$209:$H$250,28,)</f>
        <v>On-site Emissions from active peat extraction</v>
      </c>
      <c r="D207" s="2354"/>
      <c r="E207" s="2387"/>
      <c r="F207" s="2387"/>
      <c r="G207" s="2193"/>
      <c r="H207" s="2193"/>
      <c r="I207" s="2387"/>
      <c r="J207" s="2387"/>
      <c r="K207" s="2387"/>
      <c r="L207" s="2387"/>
      <c r="M207" s="2387"/>
      <c r="N207" s="2387"/>
      <c r="O207" s="2387"/>
      <c r="P207" s="2387"/>
      <c r="Q207" s="2387"/>
      <c r="R207" s="1743"/>
      <c r="S207" s="1743"/>
      <c r="T207" s="1743"/>
      <c r="U207" s="1743"/>
      <c r="V207" s="1743"/>
      <c r="W207" s="1743"/>
      <c r="X207" s="1743"/>
      <c r="Y207" s="1743"/>
      <c r="Z207" s="1743"/>
    </row>
    <row r="208" spans="3:26" s="1738" customFormat="1">
      <c r="C208" s="2867" t="str">
        <f>B43</f>
        <v>Type of peat</v>
      </c>
      <c r="D208" s="2354"/>
      <c r="E208" s="2193"/>
      <c r="F208" s="2194" t="str">
        <f>HLOOKUP(select,translations!$A$209:$H$250,29,)</f>
        <v>CO2 Emission factor (t C/ha/yr)</v>
      </c>
      <c r="G208" s="2193"/>
      <c r="H208" s="2193"/>
      <c r="I208" s="2193"/>
      <c r="J208" s="2193"/>
      <c r="K208" s="2193"/>
      <c r="L208" s="2194" t="str">
        <f>HLOOKUP(select,translations!$A$209:$H$250,30,)</f>
        <v>N2O Emission factor (kg N2O-N/ha/yr)</v>
      </c>
      <c r="M208" s="2193"/>
      <c r="N208" s="2193"/>
      <c r="O208" s="2193"/>
      <c r="P208" s="2193"/>
      <c r="Q208" s="2193"/>
      <c r="R208" s="1743"/>
      <c r="S208" s="1743"/>
      <c r="T208" s="1743"/>
      <c r="U208" s="1743"/>
      <c r="V208" s="1743"/>
      <c r="W208" s="1743"/>
      <c r="X208" s="1743"/>
      <c r="Y208" s="1743"/>
      <c r="Z208" s="1743"/>
    </row>
    <row r="209" spans="3:26" s="1738" customFormat="1">
      <c r="C209" s="2354"/>
      <c r="D209" s="2354"/>
      <c r="E209" s="2387"/>
      <c r="F209" s="2384" t="str">
        <f>F201</f>
        <v>Default</v>
      </c>
      <c r="G209" s="2385"/>
      <c r="H209" s="2384" t="str">
        <f>H201</f>
        <v>Tier 2</v>
      </c>
      <c r="I209" s="2387"/>
      <c r="J209" s="2387"/>
      <c r="K209" s="2387"/>
      <c r="L209" s="2384" t="str">
        <f>F209</f>
        <v>Default</v>
      </c>
      <c r="M209" s="2385"/>
      <c r="N209" s="2384" t="str">
        <f>L209</f>
        <v>Default</v>
      </c>
      <c r="O209" s="2387"/>
      <c r="P209" s="2387"/>
      <c r="Q209" s="2387"/>
      <c r="R209" s="1743"/>
      <c r="S209" s="1743"/>
      <c r="T209" s="1743"/>
      <c r="U209" s="1743"/>
      <c r="V209" s="1743"/>
      <c r="W209" s="1743"/>
      <c r="X209" s="1743"/>
      <c r="Y209" s="1743"/>
      <c r="Z209" s="1743"/>
    </row>
    <row r="210" spans="3:26" s="1738" customFormat="1">
      <c r="C210" s="2965" t="str">
        <f>B46</f>
        <v>Nutrient-poor peat</v>
      </c>
      <c r="D210" s="2966"/>
      <c r="E210" s="2387"/>
      <c r="F210" s="2398">
        <f>'Organic Soils'!C22</f>
        <v>0</v>
      </c>
      <c r="G210" s="2385"/>
      <c r="H210" s="2382"/>
      <c r="I210" s="2387"/>
      <c r="J210" s="2387"/>
      <c r="K210" s="2387"/>
      <c r="L210" s="2404">
        <f>'Organic Soils'!C39</f>
        <v>0</v>
      </c>
      <c r="M210" s="2387"/>
      <c r="N210" s="2382"/>
      <c r="O210" s="2387"/>
      <c r="P210" s="2387"/>
      <c r="Q210" s="2387"/>
      <c r="R210" s="1743"/>
      <c r="S210" s="1743"/>
      <c r="T210" s="1743"/>
      <c r="U210" s="1743"/>
      <c r="V210" s="1743"/>
      <c r="W210" s="1743"/>
      <c r="X210" s="1743"/>
      <c r="Y210" s="1743"/>
      <c r="Z210" s="1743"/>
    </row>
    <row r="211" spans="3:26" s="1738" customFormat="1">
      <c r="C211" s="2965" t="str">
        <f>B47</f>
        <v>Nutrient Rich</v>
      </c>
      <c r="D211" s="2966"/>
      <c r="E211" s="2387"/>
      <c r="F211" s="2398">
        <f>'Organic Soils'!C23</f>
        <v>0</v>
      </c>
      <c r="G211" s="2193"/>
      <c r="H211" s="2382"/>
      <c r="I211" s="2387"/>
      <c r="J211" s="2387"/>
      <c r="K211" s="2387"/>
      <c r="L211" s="2404">
        <f>'Organic Soils'!C40</f>
        <v>0</v>
      </c>
      <c r="M211" s="2387"/>
      <c r="N211" s="2382"/>
      <c r="O211" s="2387"/>
      <c r="P211" s="2387"/>
      <c r="Q211" s="2387"/>
      <c r="R211" s="1743"/>
      <c r="S211" s="1743"/>
      <c r="T211" s="1743"/>
      <c r="U211" s="1743"/>
      <c r="V211" s="1743"/>
      <c r="W211" s="1743"/>
      <c r="X211" s="1743"/>
      <c r="Y211" s="1743"/>
      <c r="Z211" s="1743"/>
    </row>
    <row r="212" spans="3:26" s="1738" customFormat="1">
      <c r="E212" s="1743"/>
      <c r="F212" s="1743"/>
      <c r="I212" s="1743"/>
      <c r="J212" s="1743"/>
      <c r="K212" s="1743"/>
      <c r="L212" s="1743"/>
      <c r="M212" s="1743"/>
      <c r="N212" s="1743"/>
      <c r="O212" s="1743"/>
      <c r="P212" s="1743"/>
      <c r="Q212" s="1743"/>
      <c r="R212" s="1743"/>
      <c r="S212" s="1743"/>
      <c r="T212" s="1743"/>
      <c r="U212" s="1743"/>
      <c r="V212" s="1743"/>
      <c r="W212" s="1743"/>
      <c r="X212" s="1743"/>
      <c r="Y212" s="1743"/>
      <c r="Z212" s="1743"/>
    </row>
    <row r="213" spans="3:26" s="1738" customFormat="1">
      <c r="E213" s="1743"/>
      <c r="F213" s="1743"/>
      <c r="I213" s="1743"/>
      <c r="J213" s="1743"/>
      <c r="K213" s="1743"/>
      <c r="L213" s="1743"/>
      <c r="M213" s="1743"/>
      <c r="N213" s="1743"/>
      <c r="O213" s="1743"/>
      <c r="P213" s="1743"/>
      <c r="Q213" s="1743"/>
      <c r="R213" s="1743"/>
      <c r="S213" s="1743"/>
      <c r="T213" s="1743"/>
      <c r="U213" s="1743"/>
      <c r="V213" s="1743"/>
      <c r="W213" s="1743"/>
      <c r="X213" s="1743"/>
      <c r="Y213" s="1743"/>
      <c r="Z213" s="1743"/>
    </row>
    <row r="214" spans="3:26" s="1738" customFormat="1">
      <c r="E214" s="1743"/>
      <c r="F214" s="1743"/>
      <c r="I214" s="1743"/>
      <c r="J214" s="1743"/>
      <c r="K214" s="1743"/>
      <c r="L214" s="1743"/>
      <c r="M214" s="1743"/>
      <c r="N214" s="1743"/>
      <c r="O214" s="1743"/>
      <c r="P214" s="1743"/>
      <c r="Q214" s="1743"/>
      <c r="R214" s="1743"/>
      <c r="S214" s="1743"/>
      <c r="T214" s="1743"/>
      <c r="U214" s="1743"/>
      <c r="V214" s="1743"/>
      <c r="W214" s="1743"/>
      <c r="X214" s="1743"/>
      <c r="Y214" s="1743"/>
      <c r="Z214" s="1743"/>
    </row>
    <row r="215" spans="3:26" s="1738" customFormat="1">
      <c r="E215" s="1743"/>
      <c r="F215" s="1743"/>
      <c r="I215" s="1743"/>
      <c r="J215" s="1743"/>
      <c r="K215" s="1743"/>
      <c r="L215" s="1743"/>
      <c r="M215" s="1743"/>
      <c r="N215" s="1743"/>
      <c r="O215" s="1743"/>
      <c r="P215" s="1743"/>
      <c r="Q215" s="1743"/>
      <c r="R215" s="1743"/>
      <c r="S215" s="1743"/>
      <c r="T215" s="1743"/>
      <c r="U215" s="1743"/>
      <c r="V215" s="1743"/>
      <c r="W215" s="1743"/>
      <c r="X215" s="1743"/>
      <c r="Y215" s="1743"/>
      <c r="Z215" s="1743"/>
    </row>
    <row r="216" spans="3:26" s="1738" customFormat="1">
      <c r="E216" s="1743"/>
      <c r="F216" s="1743"/>
      <c r="I216" s="1743"/>
      <c r="J216" s="1743"/>
      <c r="K216" s="1743"/>
      <c r="L216" s="1743"/>
      <c r="M216" s="1743"/>
      <c r="N216" s="1743"/>
      <c r="O216" s="1743"/>
      <c r="P216" s="1743"/>
      <c r="Q216" s="1743"/>
      <c r="R216" s="1743"/>
      <c r="S216" s="1743"/>
      <c r="T216" s="1743"/>
      <c r="U216" s="1743"/>
      <c r="V216" s="1743"/>
      <c r="W216" s="1743"/>
      <c r="X216" s="1743"/>
      <c r="Y216" s="1743"/>
      <c r="Z216" s="1743"/>
    </row>
    <row r="217" spans="3:26" s="1738" customFormat="1">
      <c r="E217" s="1743"/>
      <c r="F217" s="1743"/>
      <c r="I217" s="1743"/>
      <c r="J217" s="1743"/>
      <c r="K217" s="1743"/>
      <c r="L217" s="1743"/>
      <c r="M217" s="1743"/>
      <c r="N217" s="1743"/>
      <c r="O217" s="1743"/>
      <c r="P217" s="1743"/>
      <c r="Q217" s="1743"/>
      <c r="R217" s="1743"/>
      <c r="S217" s="1743"/>
      <c r="T217" s="1743"/>
      <c r="U217" s="1743"/>
      <c r="V217" s="1743"/>
      <c r="W217" s="1743"/>
      <c r="X217" s="1743"/>
      <c r="Y217" s="1743"/>
      <c r="Z217" s="1743"/>
    </row>
    <row r="218" spans="3:26" s="1738" customFormat="1">
      <c r="E218" s="1743"/>
      <c r="F218" s="1743"/>
      <c r="I218" s="1743"/>
      <c r="J218" s="1743"/>
      <c r="K218" s="1743"/>
      <c r="L218" s="1743"/>
      <c r="M218" s="1743"/>
      <c r="N218" s="1743"/>
      <c r="O218" s="1743"/>
      <c r="P218" s="1743"/>
      <c r="Q218" s="1743"/>
      <c r="R218" s="1743"/>
      <c r="S218" s="1743"/>
      <c r="T218" s="1743"/>
      <c r="U218" s="1743"/>
      <c r="V218" s="1743"/>
      <c r="W218" s="1743"/>
      <c r="X218" s="1743"/>
      <c r="Y218" s="1743"/>
      <c r="Z218" s="1743"/>
    </row>
    <row r="219" spans="3:26" s="1738" customFormat="1">
      <c r="E219" s="1743"/>
      <c r="F219" s="1743"/>
      <c r="I219" s="1743"/>
      <c r="J219" s="1743"/>
      <c r="K219" s="1743"/>
      <c r="L219" s="1743"/>
      <c r="M219" s="1743"/>
      <c r="N219" s="1743"/>
      <c r="O219" s="1743"/>
      <c r="P219" s="1743"/>
      <c r="Q219" s="1743"/>
      <c r="R219" s="1743"/>
      <c r="S219" s="1743"/>
      <c r="T219" s="1743"/>
      <c r="U219" s="1743"/>
      <c r="V219" s="1743"/>
      <c r="W219" s="1743"/>
      <c r="X219" s="1743"/>
      <c r="Y219" s="1743"/>
      <c r="Z219" s="1743"/>
    </row>
    <row r="220" spans="3:26" s="1738" customFormat="1">
      <c r="E220" s="1743"/>
      <c r="F220" s="1743"/>
      <c r="I220" s="1743"/>
      <c r="J220" s="1743"/>
      <c r="K220" s="1743"/>
      <c r="L220" s="1743"/>
      <c r="M220" s="1743"/>
      <c r="N220" s="1743"/>
      <c r="O220" s="1743"/>
      <c r="P220" s="1743"/>
      <c r="Q220" s="1743"/>
      <c r="R220" s="1743"/>
      <c r="S220" s="1743"/>
      <c r="T220" s="1743"/>
      <c r="U220" s="1743"/>
      <c r="V220" s="1743"/>
      <c r="W220" s="1743"/>
      <c r="X220" s="1743"/>
      <c r="Y220" s="1743"/>
      <c r="Z220" s="1743"/>
    </row>
    <row r="221" spans="3:26" s="1738" customFormat="1">
      <c r="E221" s="1743"/>
      <c r="F221" s="1743"/>
      <c r="I221" s="1743"/>
      <c r="J221" s="1743"/>
      <c r="K221" s="1743"/>
      <c r="L221" s="1743"/>
      <c r="M221" s="1743"/>
      <c r="N221" s="1743"/>
      <c r="O221" s="1743"/>
      <c r="P221" s="1743"/>
      <c r="Q221" s="1743"/>
      <c r="R221" s="1743"/>
      <c r="S221" s="1743"/>
      <c r="T221" s="1743"/>
      <c r="U221" s="1743"/>
      <c r="V221" s="1743"/>
      <c r="W221" s="1743"/>
      <c r="X221" s="1743"/>
      <c r="Y221" s="1743"/>
      <c r="Z221" s="1743"/>
    </row>
    <row r="222" spans="3:26" s="1738" customFormat="1">
      <c r="E222" s="1743"/>
      <c r="F222" s="1743"/>
      <c r="I222" s="1743"/>
      <c r="J222" s="1743"/>
      <c r="K222" s="1743"/>
      <c r="L222" s="1743"/>
      <c r="M222" s="1743"/>
      <c r="N222" s="1743"/>
      <c r="O222" s="1743"/>
      <c r="P222" s="1743"/>
      <c r="Q222" s="1743"/>
      <c r="R222" s="1743"/>
      <c r="S222" s="1743"/>
      <c r="T222" s="1743"/>
      <c r="U222" s="1743"/>
      <c r="V222" s="1743"/>
      <c r="W222" s="1743"/>
      <c r="X222" s="1743"/>
      <c r="Y222" s="1743"/>
      <c r="Z222" s="1743"/>
    </row>
    <row r="223" spans="3:26" s="1738" customFormat="1">
      <c r="E223" s="1743"/>
      <c r="F223" s="1743"/>
      <c r="I223" s="1743"/>
      <c r="J223" s="1743"/>
      <c r="K223" s="1743"/>
      <c r="L223" s="1743"/>
      <c r="M223" s="1743"/>
      <c r="N223" s="1743"/>
      <c r="O223" s="1743"/>
      <c r="P223" s="1743"/>
      <c r="Q223" s="1743"/>
      <c r="R223" s="1743"/>
      <c r="S223" s="1743"/>
      <c r="T223" s="1743"/>
      <c r="U223" s="1743"/>
      <c r="V223" s="1743"/>
      <c r="W223" s="1743"/>
      <c r="X223" s="1743"/>
      <c r="Y223" s="1743"/>
      <c r="Z223" s="1743"/>
    </row>
    <row r="224" spans="3:26" s="1738" customFormat="1">
      <c r="E224" s="1743"/>
      <c r="F224" s="1743"/>
      <c r="I224" s="1743"/>
      <c r="J224" s="1743"/>
      <c r="K224" s="1743"/>
      <c r="L224" s="1743"/>
      <c r="M224" s="1743"/>
      <c r="N224" s="1743"/>
      <c r="O224" s="1743"/>
      <c r="P224" s="1743"/>
      <c r="Q224" s="1743"/>
      <c r="R224" s="1743"/>
      <c r="S224" s="1743"/>
      <c r="T224" s="1743"/>
      <c r="U224" s="1743"/>
      <c r="V224" s="1743"/>
      <c r="W224" s="1743"/>
      <c r="X224" s="1743"/>
      <c r="Y224" s="1743"/>
      <c r="Z224" s="1743"/>
    </row>
    <row r="225" spans="5:26" s="1738" customFormat="1">
      <c r="E225" s="1743"/>
      <c r="F225" s="1743"/>
      <c r="I225" s="1743"/>
      <c r="J225" s="1743"/>
      <c r="K225" s="1743"/>
      <c r="L225" s="1743"/>
      <c r="M225" s="1743"/>
      <c r="N225" s="1743"/>
      <c r="O225" s="1743"/>
      <c r="P225" s="1743"/>
      <c r="Q225" s="1743"/>
      <c r="R225" s="1743"/>
      <c r="S225" s="1743"/>
      <c r="T225" s="1743"/>
      <c r="U225" s="1743"/>
      <c r="V225" s="1743"/>
      <c r="W225" s="1743"/>
      <c r="X225" s="1743"/>
      <c r="Y225" s="1743"/>
      <c r="Z225" s="1743"/>
    </row>
    <row r="226" spans="5:26" s="1738" customFormat="1">
      <c r="E226" s="1743"/>
      <c r="F226" s="1743"/>
      <c r="I226" s="1743"/>
      <c r="J226" s="1743"/>
      <c r="K226" s="1743"/>
      <c r="L226" s="1743"/>
      <c r="M226" s="1743"/>
      <c r="N226" s="1743"/>
      <c r="O226" s="1743"/>
      <c r="P226" s="1743"/>
      <c r="Q226" s="1743"/>
      <c r="R226" s="1743"/>
      <c r="S226" s="1743"/>
      <c r="T226" s="1743"/>
      <c r="U226" s="1743"/>
      <c r="V226" s="1743"/>
      <c r="W226" s="1743"/>
      <c r="X226" s="1743"/>
      <c r="Y226" s="1743"/>
      <c r="Z226" s="1743"/>
    </row>
    <row r="227" spans="5:26" s="1738" customFormat="1">
      <c r="E227" s="1743"/>
      <c r="F227" s="1743"/>
      <c r="I227" s="1743"/>
      <c r="J227" s="1743"/>
      <c r="K227" s="1743"/>
      <c r="L227" s="1743"/>
      <c r="M227" s="1743"/>
      <c r="N227" s="1743"/>
      <c r="O227" s="1743"/>
      <c r="P227" s="1743"/>
      <c r="Q227" s="1743"/>
      <c r="R227" s="1743"/>
      <c r="S227" s="1743"/>
      <c r="T227" s="1743"/>
      <c r="U227" s="1743"/>
      <c r="V227" s="1743"/>
      <c r="W227" s="1743"/>
      <c r="X227" s="1743"/>
      <c r="Y227" s="1743"/>
      <c r="Z227" s="1743"/>
    </row>
    <row r="228" spans="5:26" s="1738" customFormat="1">
      <c r="E228" s="1743"/>
      <c r="F228" s="1743"/>
      <c r="I228" s="1743"/>
      <c r="J228" s="1743"/>
      <c r="K228" s="1743"/>
      <c r="L228" s="1743"/>
      <c r="M228" s="1743"/>
      <c r="N228" s="1743"/>
      <c r="O228" s="1743"/>
      <c r="P228" s="1743"/>
      <c r="Q228" s="1743"/>
      <c r="R228" s="1743"/>
      <c r="S228" s="1743"/>
      <c r="T228" s="1743"/>
      <c r="U228" s="1743"/>
      <c r="V228" s="1743"/>
      <c r="W228" s="1743"/>
      <c r="X228" s="1743"/>
      <c r="Y228" s="1743"/>
      <c r="Z228" s="1743"/>
    </row>
    <row r="229" spans="5:26" s="1738" customFormat="1">
      <c r="E229" s="1743"/>
      <c r="F229" s="1743"/>
      <c r="I229" s="1743"/>
      <c r="J229" s="1743"/>
      <c r="K229" s="1743"/>
      <c r="L229" s="1743"/>
      <c r="M229" s="1743"/>
      <c r="N229" s="1743"/>
      <c r="O229" s="1743"/>
      <c r="P229" s="1743"/>
      <c r="Q229" s="1743"/>
      <c r="R229" s="1743"/>
      <c r="S229" s="1743"/>
      <c r="T229" s="1743"/>
      <c r="U229" s="1743"/>
      <c r="V229" s="1743"/>
      <c r="W229" s="1743"/>
      <c r="X229" s="1743"/>
      <c r="Y229" s="1743"/>
      <c r="Z229" s="1743"/>
    </row>
    <row r="230" spans="5:26" s="1738" customFormat="1">
      <c r="E230" s="1743"/>
      <c r="F230" s="1743"/>
      <c r="I230" s="1743"/>
      <c r="J230" s="1743"/>
      <c r="K230" s="1743"/>
      <c r="L230" s="1743"/>
      <c r="M230" s="1743"/>
      <c r="N230" s="1743"/>
      <c r="O230" s="1743"/>
      <c r="P230" s="1743"/>
      <c r="Q230" s="1743"/>
      <c r="R230" s="1743"/>
      <c r="S230" s="1743"/>
      <c r="T230" s="1743"/>
      <c r="U230" s="1743"/>
      <c r="V230" s="1743"/>
      <c r="W230" s="1743"/>
      <c r="X230" s="1743"/>
      <c r="Y230" s="1743"/>
      <c r="Z230" s="1743"/>
    </row>
    <row r="231" spans="5:26" s="1738" customFormat="1">
      <c r="E231" s="1743"/>
      <c r="F231" s="1743"/>
      <c r="I231" s="1743"/>
      <c r="J231" s="1743"/>
      <c r="K231" s="1743"/>
      <c r="L231" s="1743"/>
      <c r="M231" s="1743"/>
      <c r="N231" s="1743"/>
      <c r="O231" s="1743"/>
      <c r="P231" s="1743"/>
      <c r="Q231" s="1743"/>
      <c r="R231" s="1743"/>
      <c r="S231" s="1743"/>
      <c r="T231" s="1743"/>
      <c r="U231" s="1743"/>
      <c r="V231" s="1743"/>
      <c r="W231" s="1743"/>
      <c r="X231" s="1743"/>
      <c r="Y231" s="1743"/>
      <c r="Z231" s="1743"/>
    </row>
    <row r="232" spans="5:26" s="1738" customFormat="1">
      <c r="E232" s="1743"/>
      <c r="F232" s="1743"/>
      <c r="I232" s="1743"/>
      <c r="J232" s="1743"/>
      <c r="K232" s="1743"/>
      <c r="L232" s="1743"/>
      <c r="M232" s="1743"/>
      <c r="N232" s="1743"/>
      <c r="O232" s="1743"/>
      <c r="P232" s="1743"/>
      <c r="Q232" s="1743"/>
      <c r="R232" s="1743"/>
      <c r="S232" s="1743"/>
      <c r="T232" s="1743"/>
      <c r="U232" s="1743"/>
      <c r="V232" s="1743"/>
      <c r="W232" s="1743"/>
      <c r="X232" s="1743"/>
      <c r="Y232" s="1743"/>
      <c r="Z232" s="1743"/>
    </row>
    <row r="233" spans="5:26" s="1738" customFormat="1">
      <c r="E233" s="1743"/>
      <c r="F233" s="1743"/>
      <c r="I233" s="1743"/>
      <c r="J233" s="1743"/>
      <c r="K233" s="1743"/>
      <c r="L233" s="1743"/>
      <c r="M233" s="1743"/>
      <c r="N233" s="1743"/>
      <c r="O233" s="1743"/>
      <c r="P233" s="1743"/>
      <c r="Q233" s="1743"/>
      <c r="R233" s="1743"/>
      <c r="S233" s="1743"/>
      <c r="T233" s="1743"/>
      <c r="U233" s="1743"/>
      <c r="V233" s="1743"/>
      <c r="W233" s="1743"/>
      <c r="X233" s="1743"/>
      <c r="Y233" s="1743"/>
      <c r="Z233" s="1743"/>
    </row>
    <row r="234" spans="5:26" s="1738" customFormat="1">
      <c r="E234" s="1743"/>
      <c r="F234" s="1743"/>
      <c r="I234" s="1743"/>
      <c r="J234" s="1743"/>
      <c r="K234" s="1743"/>
      <c r="L234" s="1743"/>
      <c r="M234" s="1743"/>
      <c r="N234" s="1743"/>
      <c r="O234" s="1743"/>
      <c r="P234" s="1743"/>
      <c r="Q234" s="1743"/>
      <c r="R234" s="1743"/>
      <c r="S234" s="1743"/>
      <c r="T234" s="1743"/>
      <c r="U234" s="1743"/>
      <c r="V234" s="1743"/>
      <c r="W234" s="1743"/>
      <c r="X234" s="1743"/>
      <c r="Y234" s="1743"/>
      <c r="Z234" s="1743"/>
    </row>
    <row r="235" spans="5:26" s="1738" customFormat="1">
      <c r="E235" s="1743"/>
      <c r="F235" s="1743"/>
      <c r="I235" s="1743"/>
      <c r="J235" s="1743"/>
      <c r="K235" s="1743"/>
      <c r="L235" s="1743"/>
      <c r="M235" s="1743"/>
      <c r="N235" s="1743"/>
      <c r="O235" s="1743"/>
      <c r="P235" s="1743"/>
      <c r="Q235" s="1743"/>
      <c r="R235" s="1743"/>
      <c r="S235" s="1743"/>
      <c r="T235" s="1743"/>
      <c r="U235" s="1743"/>
      <c r="V235" s="1743"/>
      <c r="W235" s="1743"/>
      <c r="X235" s="1743"/>
      <c r="Y235" s="1743"/>
      <c r="Z235" s="1743"/>
    </row>
    <row r="236" spans="5:26" s="1738" customFormat="1">
      <c r="E236" s="1743"/>
      <c r="F236" s="1743"/>
      <c r="I236" s="1743"/>
      <c r="J236" s="1743"/>
      <c r="K236" s="1743"/>
      <c r="L236" s="1743"/>
      <c r="M236" s="1743"/>
      <c r="N236" s="1743"/>
      <c r="O236" s="1743"/>
      <c r="P236" s="1743"/>
      <c r="Q236" s="1743"/>
      <c r="R236" s="1743"/>
      <c r="S236" s="1743"/>
      <c r="T236" s="1743"/>
      <c r="U236" s="1743"/>
      <c r="V236" s="1743"/>
      <c r="W236" s="1743"/>
      <c r="X236" s="1743"/>
      <c r="Y236" s="1743"/>
      <c r="Z236" s="1743"/>
    </row>
    <row r="237" spans="5:26" s="1738" customFormat="1">
      <c r="E237" s="1743"/>
      <c r="F237" s="1743"/>
      <c r="I237" s="1743"/>
      <c r="J237" s="1743"/>
      <c r="K237" s="1743"/>
      <c r="L237" s="1743"/>
      <c r="M237" s="1743"/>
      <c r="N237" s="1743"/>
      <c r="O237" s="1743"/>
      <c r="P237" s="1743"/>
      <c r="Q237" s="1743"/>
      <c r="R237" s="1743"/>
      <c r="S237" s="1743"/>
      <c r="T237" s="1743"/>
      <c r="U237" s="1743"/>
      <c r="V237" s="1743"/>
      <c r="W237" s="1743"/>
      <c r="X237" s="1743"/>
      <c r="Y237" s="1743"/>
      <c r="Z237" s="1743"/>
    </row>
    <row r="238" spans="5:26" s="1738" customFormat="1">
      <c r="E238" s="1743"/>
      <c r="F238" s="1743"/>
      <c r="I238" s="1743"/>
      <c r="J238" s="1743"/>
      <c r="K238" s="1743"/>
      <c r="L238" s="1743"/>
      <c r="M238" s="1743"/>
      <c r="N238" s="1743"/>
      <c r="O238" s="1743"/>
      <c r="P238" s="1743"/>
      <c r="Q238" s="1743"/>
      <c r="R238" s="1743"/>
      <c r="S238" s="1743"/>
      <c r="T238" s="1743"/>
      <c r="U238" s="1743"/>
      <c r="V238" s="1743"/>
      <c r="W238" s="1743"/>
      <c r="X238" s="1743"/>
      <c r="Y238" s="1743"/>
      <c r="Z238" s="1743"/>
    </row>
    <row r="239" spans="5:26" s="1738" customFormat="1">
      <c r="E239" s="1743"/>
      <c r="F239" s="1743"/>
      <c r="I239" s="1743"/>
      <c r="J239" s="1743"/>
      <c r="K239" s="1743"/>
      <c r="L239" s="1743"/>
      <c r="M239" s="1743"/>
      <c r="N239" s="1743"/>
      <c r="O239" s="1743"/>
      <c r="P239" s="1743"/>
      <c r="Q239" s="1743"/>
      <c r="R239" s="1743"/>
      <c r="S239" s="1743"/>
      <c r="T239" s="1743"/>
      <c r="U239" s="1743"/>
      <c r="V239" s="1743"/>
      <c r="W239" s="1743"/>
      <c r="X239" s="1743"/>
      <c r="Y239" s="1743"/>
      <c r="Z239" s="1743"/>
    </row>
    <row r="240" spans="5:26" s="1738" customFormat="1">
      <c r="E240" s="1743"/>
      <c r="F240" s="1743"/>
      <c r="I240" s="1743"/>
      <c r="J240" s="1743"/>
      <c r="K240" s="1743"/>
      <c r="L240" s="1743"/>
      <c r="M240" s="1743"/>
      <c r="N240" s="1743"/>
      <c r="O240" s="1743"/>
      <c r="P240" s="1743"/>
      <c r="Q240" s="1743"/>
      <c r="R240" s="1743"/>
      <c r="S240" s="1743"/>
      <c r="T240" s="1743"/>
      <c r="U240" s="1743"/>
      <c r="V240" s="1743"/>
      <c r="W240" s="1743"/>
      <c r="X240" s="1743"/>
      <c r="Y240" s="1743"/>
      <c r="Z240" s="1743"/>
    </row>
    <row r="241" spans="5:26" s="1738" customFormat="1">
      <c r="E241" s="1743"/>
      <c r="F241" s="1743"/>
      <c r="I241" s="1743"/>
      <c r="J241" s="1743"/>
      <c r="K241" s="1743"/>
      <c r="L241" s="1743"/>
      <c r="M241" s="1743"/>
      <c r="N241" s="1743"/>
      <c r="O241" s="1743"/>
      <c r="P241" s="1743"/>
      <c r="Q241" s="1743"/>
      <c r="R241" s="1743"/>
      <c r="S241" s="1743"/>
      <c r="T241" s="1743"/>
      <c r="U241" s="1743"/>
      <c r="V241" s="1743"/>
      <c r="W241" s="1743"/>
      <c r="X241" s="1743"/>
      <c r="Y241" s="1743"/>
      <c r="Z241" s="1743"/>
    </row>
    <row r="242" spans="5:26" s="1738" customFormat="1">
      <c r="E242" s="1743"/>
      <c r="F242" s="1743"/>
      <c r="I242" s="1743"/>
      <c r="J242" s="1743"/>
      <c r="K242" s="1743"/>
      <c r="L242" s="1743"/>
      <c r="M242" s="1743"/>
      <c r="N242" s="1743"/>
      <c r="O242" s="1743"/>
      <c r="P242" s="1743"/>
      <c r="Q242" s="1743"/>
      <c r="R242" s="1743"/>
      <c r="S242" s="1743"/>
      <c r="T242" s="1743"/>
      <c r="U242" s="1743"/>
      <c r="V242" s="1743"/>
      <c r="W242" s="1743"/>
      <c r="X242" s="1743"/>
      <c r="Y242" s="1743"/>
      <c r="Z242" s="1743"/>
    </row>
    <row r="243" spans="5:26" s="1738" customFormat="1">
      <c r="E243" s="1743"/>
      <c r="F243" s="1743"/>
      <c r="I243" s="1743"/>
      <c r="J243" s="1743"/>
      <c r="K243" s="1743"/>
      <c r="L243" s="1743"/>
      <c r="M243" s="1743"/>
      <c r="N243" s="1743"/>
      <c r="O243" s="1743"/>
      <c r="P243" s="1743"/>
      <c r="Q243" s="1743"/>
      <c r="R243" s="1743"/>
      <c r="S243" s="1743"/>
      <c r="T243" s="1743"/>
      <c r="U243" s="1743"/>
      <c r="V243" s="1743"/>
      <c r="W243" s="1743"/>
      <c r="X243" s="1743"/>
      <c r="Y243" s="1743"/>
      <c r="Z243" s="1743"/>
    </row>
    <row r="244" spans="5:26" s="1738" customFormat="1">
      <c r="E244" s="1743"/>
      <c r="F244" s="1743"/>
      <c r="I244" s="1743"/>
      <c r="J244" s="1743"/>
      <c r="K244" s="1743"/>
      <c r="L244" s="1743"/>
      <c r="M244" s="1743"/>
      <c r="N244" s="1743"/>
      <c r="O244" s="1743"/>
      <c r="P244" s="1743"/>
      <c r="Q244" s="1743"/>
      <c r="R244" s="1743"/>
      <c r="S244" s="1743"/>
      <c r="T244" s="1743"/>
      <c r="U244" s="1743"/>
      <c r="V244" s="1743"/>
      <c r="W244" s="1743"/>
      <c r="X244" s="1743"/>
      <c r="Y244" s="1743"/>
      <c r="Z244" s="1743"/>
    </row>
    <row r="245" spans="5:26" s="1738" customFormat="1">
      <c r="E245" s="1743"/>
      <c r="F245" s="1743"/>
      <c r="I245" s="1743"/>
      <c r="J245" s="1743"/>
      <c r="K245" s="1743"/>
      <c r="L245" s="1743"/>
      <c r="M245" s="1743"/>
      <c r="N245" s="1743"/>
      <c r="O245" s="1743"/>
      <c r="P245" s="1743"/>
      <c r="Q245" s="1743"/>
      <c r="R245" s="1743"/>
      <c r="S245" s="1743"/>
      <c r="T245" s="1743"/>
      <c r="U245" s="1743"/>
      <c r="V245" s="1743"/>
      <c r="W245" s="1743"/>
      <c r="X245" s="1743"/>
      <c r="Y245" s="1743"/>
      <c r="Z245" s="1743"/>
    </row>
    <row r="246" spans="5:26" s="1738" customFormat="1">
      <c r="E246" s="1743"/>
      <c r="F246" s="1743"/>
      <c r="I246" s="1743"/>
      <c r="J246" s="1743"/>
      <c r="K246" s="1743"/>
      <c r="L246" s="1743"/>
      <c r="M246" s="1743"/>
      <c r="N246" s="1743"/>
      <c r="O246" s="1743"/>
      <c r="P246" s="1743"/>
      <c r="Q246" s="1743"/>
      <c r="R246" s="1743"/>
      <c r="S246" s="1743"/>
      <c r="T246" s="1743"/>
      <c r="U246" s="1743"/>
      <c r="V246" s="1743"/>
      <c r="W246" s="1743"/>
      <c r="X246" s="1743"/>
      <c r="Y246" s="1743"/>
      <c r="Z246" s="1743"/>
    </row>
    <row r="247" spans="5:26" s="1738" customFormat="1">
      <c r="E247" s="1743"/>
      <c r="F247" s="1743"/>
      <c r="I247" s="1743"/>
      <c r="J247" s="1743"/>
      <c r="K247" s="1743"/>
      <c r="L247" s="1743"/>
      <c r="M247" s="1743"/>
      <c r="N247" s="1743"/>
      <c r="O247" s="1743"/>
      <c r="P247" s="1743"/>
      <c r="Q247" s="1743"/>
      <c r="R247" s="1743"/>
      <c r="S247" s="1743"/>
      <c r="T247" s="1743"/>
      <c r="U247" s="1743"/>
      <c r="V247" s="1743"/>
      <c r="W247" s="1743"/>
      <c r="X247" s="1743"/>
      <c r="Y247" s="1743"/>
      <c r="Z247" s="1743"/>
    </row>
    <row r="248" spans="5:26" s="1738" customFormat="1">
      <c r="E248" s="1743"/>
      <c r="F248" s="1743"/>
      <c r="I248" s="1743"/>
      <c r="J248" s="1743"/>
      <c r="K248" s="1743"/>
      <c r="L248" s="1743"/>
      <c r="M248" s="1743"/>
      <c r="N248" s="1743"/>
      <c r="O248" s="1743"/>
      <c r="P248" s="1743"/>
      <c r="Q248" s="1743"/>
      <c r="R248" s="1743"/>
      <c r="S248" s="1743"/>
      <c r="T248" s="1743"/>
      <c r="U248" s="1743"/>
      <c r="V248" s="1743"/>
      <c r="W248" s="1743"/>
      <c r="X248" s="1743"/>
      <c r="Y248" s="1743"/>
      <c r="Z248" s="1743"/>
    </row>
    <row r="249" spans="5:26" s="1738" customFormat="1">
      <c r="E249" s="1743"/>
      <c r="F249" s="1743"/>
      <c r="I249" s="1743"/>
      <c r="J249" s="1743"/>
      <c r="K249" s="1743"/>
      <c r="L249" s="1743"/>
      <c r="M249" s="1743"/>
      <c r="N249" s="1743"/>
      <c r="O249" s="1743"/>
      <c r="P249" s="1743"/>
      <c r="Q249" s="1743"/>
      <c r="R249" s="1743"/>
      <c r="S249" s="1743"/>
      <c r="T249" s="1743"/>
      <c r="U249" s="1743"/>
      <c r="V249" s="1743"/>
      <c r="W249" s="1743"/>
      <c r="X249" s="1743"/>
      <c r="Y249" s="1743"/>
      <c r="Z249" s="1743"/>
    </row>
    <row r="250" spans="5:26" s="1738" customFormat="1">
      <c r="E250" s="1743"/>
      <c r="F250" s="1743"/>
      <c r="I250" s="1743"/>
      <c r="J250" s="1743"/>
      <c r="K250" s="1743"/>
      <c r="L250" s="1743"/>
      <c r="M250" s="1743"/>
      <c r="N250" s="1743"/>
      <c r="O250" s="1743"/>
      <c r="P250" s="1743"/>
      <c r="Q250" s="1743"/>
      <c r="R250" s="1743"/>
      <c r="S250" s="1743"/>
      <c r="T250" s="1743"/>
      <c r="U250" s="1743"/>
      <c r="V250" s="1743"/>
      <c r="W250" s="1743"/>
      <c r="X250" s="1743"/>
      <c r="Y250" s="1743"/>
      <c r="Z250" s="1743"/>
    </row>
    <row r="251" spans="5:26" s="1738" customFormat="1">
      <c r="E251" s="1743"/>
      <c r="F251" s="1743"/>
      <c r="I251" s="1743"/>
      <c r="J251" s="1743"/>
      <c r="K251" s="1743"/>
      <c r="L251" s="1743"/>
      <c r="M251" s="1743"/>
      <c r="N251" s="1743"/>
      <c r="O251" s="1743"/>
      <c r="P251" s="1743"/>
      <c r="Q251" s="1743"/>
      <c r="R251" s="1743"/>
      <c r="S251" s="1743"/>
      <c r="T251" s="1743"/>
      <c r="U251" s="1743"/>
      <c r="V251" s="1743"/>
      <c r="W251" s="1743"/>
      <c r="X251" s="1743"/>
      <c r="Y251" s="1743"/>
      <c r="Z251" s="1743"/>
    </row>
    <row r="252" spans="5:26" s="1738" customFormat="1">
      <c r="E252" s="1743"/>
      <c r="F252" s="1743"/>
      <c r="I252" s="1743"/>
      <c r="J252" s="1743"/>
      <c r="K252" s="1743"/>
      <c r="L252" s="1743"/>
      <c r="M252" s="1743"/>
      <c r="N252" s="1743"/>
      <c r="O252" s="1743"/>
      <c r="P252" s="1743"/>
      <c r="Q252" s="1743"/>
      <c r="R252" s="1743"/>
      <c r="S252" s="1743"/>
      <c r="T252" s="1743"/>
      <c r="U252" s="1743"/>
      <c r="V252" s="1743"/>
      <c r="W252" s="1743"/>
      <c r="X252" s="1743"/>
      <c r="Y252" s="1743"/>
      <c r="Z252" s="1743"/>
    </row>
    <row r="253" spans="5:26" s="1738" customFormat="1">
      <c r="E253" s="1743"/>
      <c r="F253" s="1743"/>
      <c r="I253" s="1743"/>
      <c r="J253" s="1743"/>
      <c r="K253" s="1743"/>
      <c r="L253" s="1743"/>
      <c r="M253" s="1743"/>
      <c r="N253" s="1743"/>
      <c r="O253" s="1743"/>
      <c r="P253" s="1743"/>
      <c r="Q253" s="1743"/>
      <c r="R253" s="1743"/>
      <c r="S253" s="1743"/>
      <c r="T253" s="1743"/>
      <c r="U253" s="1743"/>
      <c r="V253" s="1743"/>
      <c r="W253" s="1743"/>
      <c r="X253" s="1743"/>
      <c r="Y253" s="1743"/>
      <c r="Z253" s="1743"/>
    </row>
    <row r="254" spans="5:26" s="1738" customFormat="1">
      <c r="E254" s="1743"/>
      <c r="F254" s="1743"/>
      <c r="I254" s="1743"/>
      <c r="J254" s="1743"/>
      <c r="K254" s="1743"/>
      <c r="L254" s="1743"/>
      <c r="M254" s="1743"/>
      <c r="N254" s="1743"/>
      <c r="O254" s="1743"/>
      <c r="P254" s="1743"/>
      <c r="Q254" s="1743"/>
      <c r="R254" s="1743"/>
      <c r="S254" s="1743"/>
      <c r="T254" s="1743"/>
      <c r="U254" s="1743"/>
      <c r="V254" s="1743"/>
      <c r="W254" s="1743"/>
      <c r="X254" s="1743"/>
      <c r="Y254" s="1743"/>
      <c r="Z254" s="1743"/>
    </row>
    <row r="255" spans="5:26" s="1738" customFormat="1">
      <c r="E255" s="1743"/>
      <c r="F255" s="1743"/>
      <c r="I255" s="1743"/>
      <c r="J255" s="1743"/>
      <c r="K255" s="1743"/>
      <c r="L255" s="1743"/>
      <c r="M255" s="1743"/>
      <c r="N255" s="1743"/>
      <c r="O255" s="1743"/>
      <c r="P255" s="1743"/>
      <c r="Q255" s="1743"/>
      <c r="R255" s="1743"/>
      <c r="S255" s="1743"/>
      <c r="T255" s="1743"/>
      <c r="U255" s="1743"/>
      <c r="V255" s="1743"/>
      <c r="W255" s="1743"/>
      <c r="X255" s="1743"/>
      <c r="Y255" s="1743"/>
      <c r="Z255" s="1743"/>
    </row>
    <row r="256" spans="5:26" s="1738" customFormat="1">
      <c r="E256" s="1743"/>
      <c r="F256" s="1743"/>
      <c r="I256" s="1743"/>
      <c r="J256" s="1743"/>
      <c r="K256" s="1743"/>
      <c r="L256" s="1743"/>
      <c r="M256" s="1743"/>
      <c r="N256" s="1743"/>
      <c r="O256" s="1743"/>
      <c r="P256" s="1743"/>
      <c r="Q256" s="1743"/>
      <c r="R256" s="1743"/>
      <c r="S256" s="1743"/>
      <c r="T256" s="1743"/>
      <c r="U256" s="1743"/>
      <c r="V256" s="1743"/>
      <c r="W256" s="1743"/>
      <c r="X256" s="1743"/>
      <c r="Y256" s="1743"/>
      <c r="Z256" s="1743"/>
    </row>
    <row r="257" spans="5:26" s="1738" customFormat="1">
      <c r="E257" s="1743"/>
      <c r="F257" s="1743"/>
      <c r="I257" s="1743"/>
      <c r="J257" s="1743"/>
      <c r="K257" s="1743"/>
      <c r="L257" s="1743"/>
      <c r="M257" s="1743"/>
      <c r="N257" s="1743"/>
      <c r="O257" s="1743"/>
      <c r="P257" s="1743"/>
      <c r="Q257" s="1743"/>
      <c r="R257" s="1743"/>
      <c r="S257" s="1743"/>
      <c r="T257" s="1743"/>
      <c r="U257" s="1743"/>
      <c r="V257" s="1743"/>
      <c r="W257" s="1743"/>
      <c r="X257" s="1743"/>
      <c r="Y257" s="1743"/>
      <c r="Z257" s="1743"/>
    </row>
    <row r="258" spans="5:26" s="1738" customFormat="1">
      <c r="E258" s="1743"/>
      <c r="F258" s="1743"/>
      <c r="I258" s="1743"/>
      <c r="J258" s="1743"/>
      <c r="K258" s="1743"/>
      <c r="L258" s="1743"/>
      <c r="M258" s="1743"/>
      <c r="N258" s="1743"/>
      <c r="O258" s="1743"/>
      <c r="P258" s="1743"/>
      <c r="Q258" s="1743"/>
      <c r="R258" s="1743"/>
      <c r="S258" s="1743"/>
      <c r="T258" s="1743"/>
      <c r="U258" s="1743"/>
      <c r="V258" s="1743"/>
      <c r="W258" s="1743"/>
      <c r="X258" s="1743"/>
      <c r="Y258" s="1743"/>
      <c r="Z258" s="1743"/>
    </row>
    <row r="259" spans="5:26" s="1738" customFormat="1">
      <c r="E259" s="1743"/>
      <c r="F259" s="1743"/>
      <c r="I259" s="1743"/>
      <c r="J259" s="1743"/>
      <c r="K259" s="1743"/>
      <c r="L259" s="1743"/>
      <c r="M259" s="1743"/>
      <c r="N259" s="1743"/>
      <c r="O259" s="1743"/>
      <c r="P259" s="1743"/>
      <c r="Q259" s="1743"/>
      <c r="R259" s="1743"/>
      <c r="S259" s="1743"/>
      <c r="T259" s="1743"/>
      <c r="U259" s="1743"/>
      <c r="V259" s="1743"/>
      <c r="W259" s="1743"/>
      <c r="X259" s="1743"/>
      <c r="Y259" s="1743"/>
      <c r="Z259" s="1743"/>
    </row>
    <row r="260" spans="5:26" s="1738" customFormat="1">
      <c r="E260" s="1743"/>
      <c r="F260" s="1743"/>
      <c r="I260" s="1743"/>
      <c r="J260" s="1743"/>
      <c r="K260" s="1743"/>
      <c r="L260" s="1743"/>
      <c r="M260" s="1743"/>
      <c r="N260" s="1743"/>
      <c r="O260" s="1743"/>
      <c r="P260" s="1743"/>
      <c r="Q260" s="1743"/>
      <c r="R260" s="1743"/>
      <c r="S260" s="1743"/>
      <c r="T260" s="1743"/>
      <c r="U260" s="1743"/>
      <c r="V260" s="1743"/>
      <c r="W260" s="1743"/>
      <c r="X260" s="1743"/>
      <c r="Y260" s="1743"/>
      <c r="Z260" s="1743"/>
    </row>
    <row r="261" spans="5:26" s="1738" customFormat="1">
      <c r="E261" s="1743"/>
      <c r="F261" s="1743"/>
      <c r="I261" s="1743"/>
      <c r="J261" s="1743"/>
      <c r="K261" s="1743"/>
      <c r="L261" s="1743"/>
      <c r="M261" s="1743"/>
      <c r="N261" s="1743"/>
      <c r="O261" s="1743"/>
      <c r="P261" s="1743"/>
      <c r="Q261" s="1743"/>
      <c r="R261" s="1743"/>
      <c r="S261" s="1743"/>
      <c r="T261" s="1743"/>
      <c r="U261" s="1743"/>
      <c r="V261" s="1743"/>
      <c r="W261" s="1743"/>
      <c r="X261" s="1743"/>
      <c r="Y261" s="1743"/>
      <c r="Z261" s="1743"/>
    </row>
    <row r="262" spans="5:26" s="1738" customFormat="1">
      <c r="E262" s="1743"/>
      <c r="F262" s="1743"/>
      <c r="I262" s="1743"/>
      <c r="J262" s="1743"/>
      <c r="K262" s="1743"/>
      <c r="L262" s="1743"/>
      <c r="M262" s="1743"/>
      <c r="N262" s="1743"/>
      <c r="O262" s="1743"/>
      <c r="P262" s="1743"/>
      <c r="Q262" s="1743"/>
      <c r="R262" s="1743"/>
      <c r="S262" s="1743"/>
      <c r="T262" s="1743"/>
      <c r="U262" s="1743"/>
      <c r="V262" s="1743"/>
      <c r="W262" s="1743"/>
      <c r="X262" s="1743"/>
      <c r="Y262" s="1743"/>
      <c r="Z262" s="1743"/>
    </row>
    <row r="263" spans="5:26" s="1738" customFormat="1">
      <c r="E263" s="1743"/>
      <c r="F263" s="1743"/>
      <c r="I263" s="1743"/>
      <c r="J263" s="1743"/>
      <c r="K263" s="1743"/>
      <c r="L263" s="1743"/>
      <c r="M263" s="1743"/>
      <c r="N263" s="1743"/>
      <c r="O263" s="1743"/>
      <c r="P263" s="1743"/>
      <c r="Q263" s="1743"/>
      <c r="R263" s="1743"/>
      <c r="S263" s="1743"/>
      <c r="T263" s="1743"/>
      <c r="U263" s="1743"/>
      <c r="V263" s="1743"/>
      <c r="W263" s="1743"/>
      <c r="X263" s="1743"/>
      <c r="Y263" s="1743"/>
      <c r="Z263" s="1743"/>
    </row>
    <row r="264" spans="5:26" s="1738" customFormat="1">
      <c r="E264" s="1743"/>
      <c r="F264" s="1743"/>
      <c r="I264" s="1743"/>
      <c r="J264" s="1743"/>
      <c r="K264" s="1743"/>
      <c r="L264" s="1743"/>
      <c r="M264" s="1743"/>
      <c r="N264" s="1743"/>
      <c r="O264" s="1743"/>
      <c r="P264" s="1743"/>
      <c r="Q264" s="1743"/>
      <c r="R264" s="1743"/>
      <c r="S264" s="1743"/>
      <c r="T264" s="1743"/>
      <c r="U264" s="1743"/>
      <c r="V264" s="1743"/>
      <c r="W264" s="1743"/>
      <c r="X264" s="1743"/>
      <c r="Y264" s="1743"/>
      <c r="Z264" s="1743"/>
    </row>
    <row r="265" spans="5:26" s="1738" customFormat="1">
      <c r="E265" s="1743"/>
      <c r="F265" s="1743"/>
      <c r="I265" s="1743"/>
      <c r="J265" s="1743"/>
      <c r="K265" s="1743"/>
      <c r="L265" s="1743"/>
      <c r="M265" s="1743"/>
      <c r="N265" s="1743"/>
      <c r="O265" s="1743"/>
      <c r="P265" s="1743"/>
      <c r="Q265" s="1743"/>
      <c r="R265" s="1743"/>
      <c r="S265" s="1743"/>
      <c r="T265" s="1743"/>
      <c r="U265" s="1743"/>
      <c r="V265" s="1743"/>
      <c r="W265" s="1743"/>
      <c r="X265" s="1743"/>
      <c r="Y265" s="1743"/>
      <c r="Z265" s="1743"/>
    </row>
    <row r="266" spans="5:26" s="1738" customFormat="1">
      <c r="E266" s="1743"/>
      <c r="F266" s="1743"/>
      <c r="I266" s="1743"/>
      <c r="J266" s="1743"/>
      <c r="K266" s="1743"/>
      <c r="L266" s="1743"/>
      <c r="M266" s="1743"/>
      <c r="N266" s="1743"/>
      <c r="O266" s="1743"/>
      <c r="P266" s="1743"/>
      <c r="Q266" s="1743"/>
      <c r="R266" s="1743"/>
      <c r="S266" s="1743"/>
      <c r="T266" s="1743"/>
      <c r="U266" s="1743"/>
      <c r="V266" s="1743"/>
      <c r="W266" s="1743"/>
      <c r="X266" s="1743"/>
      <c r="Y266" s="1743"/>
      <c r="Z266" s="1743"/>
    </row>
    <row r="267" spans="5:26" s="1738" customFormat="1">
      <c r="E267" s="1743"/>
      <c r="F267" s="1743"/>
      <c r="I267" s="1743"/>
      <c r="J267" s="1743"/>
      <c r="K267" s="1743"/>
      <c r="L267" s="1743"/>
      <c r="M267" s="1743"/>
      <c r="N267" s="1743"/>
      <c r="O267" s="1743"/>
      <c r="P267" s="1743"/>
      <c r="Q267" s="1743"/>
      <c r="R267" s="1743"/>
      <c r="S267" s="1743"/>
      <c r="T267" s="1743"/>
      <c r="U267" s="1743"/>
      <c r="V267" s="1743"/>
      <c r="W267" s="1743"/>
      <c r="X267" s="1743"/>
      <c r="Y267" s="1743"/>
      <c r="Z267" s="1743"/>
    </row>
    <row r="268" spans="5:26" s="1738" customFormat="1">
      <c r="E268" s="1743"/>
      <c r="F268" s="1743"/>
      <c r="I268" s="1743"/>
      <c r="J268" s="1743"/>
      <c r="K268" s="1743"/>
      <c r="L268" s="1743"/>
      <c r="M268" s="1743"/>
      <c r="N268" s="1743"/>
      <c r="O268" s="1743"/>
      <c r="P268" s="1743"/>
      <c r="Q268" s="1743"/>
      <c r="R268" s="1743"/>
      <c r="S268" s="1743"/>
      <c r="T268" s="1743"/>
      <c r="U268" s="1743"/>
      <c r="V268" s="1743"/>
      <c r="W268" s="1743"/>
      <c r="X268" s="1743"/>
      <c r="Y268" s="1743"/>
      <c r="Z268" s="1743"/>
    </row>
    <row r="269" spans="5:26" s="1738" customFormat="1">
      <c r="E269" s="1743"/>
      <c r="F269" s="1743"/>
      <c r="I269" s="1743"/>
      <c r="J269" s="1743"/>
      <c r="K269" s="1743"/>
      <c r="L269" s="1743"/>
      <c r="M269" s="1743"/>
      <c r="N269" s="1743"/>
      <c r="O269" s="1743"/>
      <c r="P269" s="1743"/>
      <c r="Q269" s="1743"/>
      <c r="R269" s="1743"/>
      <c r="S269" s="1743"/>
      <c r="T269" s="1743"/>
      <c r="U269" s="1743"/>
      <c r="V269" s="1743"/>
      <c r="W269" s="1743"/>
      <c r="X269" s="1743"/>
      <c r="Y269" s="1743"/>
      <c r="Z269" s="1743"/>
    </row>
    <row r="270" spans="5:26" s="1738" customFormat="1">
      <c r="E270" s="1743"/>
      <c r="F270" s="1743"/>
      <c r="I270" s="1743"/>
      <c r="J270" s="1743"/>
      <c r="K270" s="1743"/>
      <c r="L270" s="1743"/>
      <c r="M270" s="1743"/>
      <c r="N270" s="1743"/>
      <c r="O270" s="1743"/>
      <c r="P270" s="1743"/>
      <c r="Q270" s="1743"/>
      <c r="R270" s="1743"/>
      <c r="S270" s="1743"/>
      <c r="T270" s="1743"/>
      <c r="U270" s="1743"/>
      <c r="V270" s="1743"/>
      <c r="W270" s="1743"/>
      <c r="X270" s="1743"/>
      <c r="Y270" s="1743"/>
      <c r="Z270" s="1743"/>
    </row>
    <row r="271" spans="5:26" s="1738" customFormat="1">
      <c r="E271" s="1743"/>
      <c r="F271" s="1743"/>
      <c r="I271" s="1743"/>
      <c r="J271" s="1743"/>
      <c r="K271" s="1743"/>
      <c r="L271" s="1743"/>
      <c r="M271" s="1743"/>
      <c r="N271" s="1743"/>
      <c r="O271" s="1743"/>
      <c r="P271" s="1743"/>
      <c r="Q271" s="1743"/>
      <c r="R271" s="1743"/>
      <c r="S271" s="1743"/>
      <c r="T271" s="1743"/>
      <c r="U271" s="1743"/>
      <c r="V271" s="1743"/>
      <c r="W271" s="1743"/>
      <c r="X271" s="1743"/>
      <c r="Y271" s="1743"/>
      <c r="Z271" s="1743"/>
    </row>
    <row r="272" spans="5:26" s="1738" customFormat="1">
      <c r="E272" s="1743"/>
      <c r="F272" s="1743"/>
      <c r="I272" s="1743"/>
      <c r="J272" s="1743"/>
      <c r="K272" s="1743"/>
      <c r="L272" s="1743"/>
      <c r="M272" s="1743"/>
      <c r="N272" s="1743"/>
      <c r="O272" s="1743"/>
      <c r="P272" s="1743"/>
      <c r="Q272" s="1743"/>
      <c r="R272" s="1743"/>
      <c r="S272" s="1743"/>
      <c r="T272" s="1743"/>
      <c r="U272" s="1743"/>
      <c r="V272" s="1743"/>
      <c r="W272" s="1743"/>
      <c r="X272" s="1743"/>
      <c r="Y272" s="1743"/>
      <c r="Z272" s="1743"/>
    </row>
    <row r="273" spans="5:26" s="1738" customFormat="1">
      <c r="E273" s="1743"/>
      <c r="F273" s="1743"/>
      <c r="I273" s="1743"/>
      <c r="J273" s="1743"/>
      <c r="K273" s="1743"/>
      <c r="L273" s="1743"/>
      <c r="M273" s="1743"/>
      <c r="N273" s="1743"/>
      <c r="O273" s="1743"/>
      <c r="P273" s="1743"/>
      <c r="Q273" s="1743"/>
      <c r="R273" s="1743"/>
      <c r="S273" s="1743"/>
      <c r="T273" s="1743"/>
      <c r="U273" s="1743"/>
      <c r="V273" s="1743"/>
      <c r="W273" s="1743"/>
      <c r="X273" s="1743"/>
      <c r="Y273" s="1743"/>
      <c r="Z273" s="1743"/>
    </row>
    <row r="274" spans="5:26" s="1738" customFormat="1">
      <c r="E274" s="1743"/>
      <c r="F274" s="1743"/>
      <c r="I274" s="1743"/>
      <c r="J274" s="1743"/>
      <c r="K274" s="1743"/>
      <c r="L274" s="1743"/>
      <c r="M274" s="1743"/>
      <c r="N274" s="1743"/>
      <c r="O274" s="1743"/>
      <c r="P274" s="1743"/>
      <c r="Q274" s="1743"/>
      <c r="R274" s="1743"/>
      <c r="S274" s="1743"/>
      <c r="T274" s="1743"/>
      <c r="U274" s="1743"/>
      <c r="V274" s="1743"/>
      <c r="W274" s="1743"/>
      <c r="X274" s="1743"/>
      <c r="Y274" s="1743"/>
      <c r="Z274" s="1743"/>
    </row>
    <row r="275" spans="5:26" s="1738" customFormat="1">
      <c r="E275" s="1743"/>
      <c r="F275" s="1743"/>
      <c r="I275" s="1743"/>
      <c r="J275" s="1743"/>
      <c r="K275" s="1743"/>
      <c r="L275" s="1743"/>
      <c r="M275" s="1743"/>
      <c r="N275" s="1743"/>
      <c r="O275" s="1743"/>
      <c r="P275" s="1743"/>
      <c r="Q275" s="1743"/>
      <c r="R275" s="1743"/>
      <c r="S275" s="1743"/>
      <c r="T275" s="1743"/>
      <c r="U275" s="1743"/>
      <c r="V275" s="1743"/>
      <c r="W275" s="1743"/>
      <c r="X275" s="1743"/>
      <c r="Y275" s="1743"/>
      <c r="Z275" s="1743"/>
    </row>
    <row r="276" spans="5:26" s="1738" customFormat="1">
      <c r="E276" s="1743"/>
      <c r="F276" s="1743"/>
      <c r="I276" s="1743"/>
      <c r="J276" s="1743"/>
      <c r="K276" s="1743"/>
      <c r="L276" s="1743"/>
      <c r="M276" s="1743"/>
      <c r="N276" s="1743"/>
      <c r="O276" s="1743"/>
      <c r="P276" s="1743"/>
      <c r="Q276" s="1743"/>
      <c r="R276" s="1743"/>
      <c r="S276" s="1743"/>
      <c r="T276" s="1743"/>
      <c r="U276" s="1743"/>
      <c r="V276" s="1743"/>
      <c r="W276" s="1743"/>
      <c r="X276" s="1743"/>
      <c r="Y276" s="1743"/>
      <c r="Z276" s="1743"/>
    </row>
    <row r="277" spans="5:26" s="1738" customFormat="1">
      <c r="E277" s="1743"/>
      <c r="F277" s="1743"/>
      <c r="I277" s="1743"/>
      <c r="J277" s="1743"/>
      <c r="K277" s="1743"/>
      <c r="L277" s="1743"/>
      <c r="M277" s="1743"/>
      <c r="N277" s="1743"/>
      <c r="O277" s="1743"/>
      <c r="P277" s="1743"/>
      <c r="Q277" s="1743"/>
      <c r="R277" s="1743"/>
      <c r="S277" s="1743"/>
      <c r="T277" s="1743"/>
      <c r="U277" s="1743"/>
      <c r="V277" s="1743"/>
      <c r="W277" s="1743"/>
      <c r="X277" s="1743"/>
      <c r="Y277" s="1743"/>
      <c r="Z277" s="1743"/>
    </row>
    <row r="278" spans="5:26" s="1738" customFormat="1">
      <c r="E278" s="1743"/>
      <c r="F278" s="1743"/>
      <c r="I278" s="1743"/>
      <c r="J278" s="1743"/>
      <c r="K278" s="1743"/>
      <c r="L278" s="1743"/>
      <c r="M278" s="1743"/>
      <c r="N278" s="1743"/>
      <c r="O278" s="1743"/>
      <c r="P278" s="1743"/>
      <c r="Q278" s="1743"/>
      <c r="R278" s="1743"/>
      <c r="S278" s="1743"/>
      <c r="T278" s="1743"/>
      <c r="U278" s="1743"/>
      <c r="V278" s="1743"/>
      <c r="W278" s="1743"/>
      <c r="X278" s="1743"/>
      <c r="Y278" s="1743"/>
      <c r="Z278" s="1743"/>
    </row>
    <row r="279" spans="5:26" s="1738" customFormat="1">
      <c r="E279" s="1743"/>
      <c r="F279" s="1743"/>
      <c r="I279" s="1743"/>
      <c r="J279" s="1743"/>
      <c r="K279" s="1743"/>
      <c r="L279" s="1743"/>
      <c r="M279" s="1743"/>
      <c r="N279" s="1743"/>
      <c r="O279" s="1743"/>
      <c r="P279" s="1743"/>
      <c r="Q279" s="1743"/>
      <c r="R279" s="1743"/>
      <c r="S279" s="1743"/>
      <c r="T279" s="1743"/>
      <c r="U279" s="1743"/>
      <c r="V279" s="1743"/>
      <c r="W279" s="1743"/>
      <c r="X279" s="1743"/>
      <c r="Y279" s="1743"/>
      <c r="Z279" s="1743"/>
    </row>
    <row r="280" spans="5:26" s="1738" customFormat="1">
      <c r="E280" s="1743"/>
      <c r="F280" s="1743"/>
      <c r="I280" s="1743"/>
      <c r="J280" s="1743"/>
      <c r="K280" s="1743"/>
      <c r="L280" s="1743"/>
      <c r="M280" s="1743"/>
      <c r="N280" s="1743"/>
      <c r="O280" s="1743"/>
      <c r="P280" s="1743"/>
      <c r="Q280" s="1743"/>
      <c r="R280" s="1743"/>
      <c r="S280" s="1743"/>
      <c r="T280" s="1743"/>
      <c r="U280" s="1743"/>
      <c r="V280" s="1743"/>
      <c r="W280" s="1743"/>
      <c r="X280" s="1743"/>
      <c r="Y280" s="1743"/>
      <c r="Z280" s="1743"/>
    </row>
    <row r="281" spans="5:26" s="1738" customFormat="1">
      <c r="E281" s="1743"/>
      <c r="F281" s="1743"/>
      <c r="I281" s="1743"/>
      <c r="J281" s="1743"/>
      <c r="K281" s="1743"/>
      <c r="L281" s="1743"/>
      <c r="M281" s="1743"/>
      <c r="N281" s="1743"/>
      <c r="O281" s="1743"/>
      <c r="P281" s="1743"/>
      <c r="Q281" s="1743"/>
      <c r="R281" s="1743"/>
      <c r="S281" s="1743"/>
      <c r="T281" s="1743"/>
      <c r="U281" s="1743"/>
      <c r="V281" s="1743"/>
      <c r="W281" s="1743"/>
      <c r="X281" s="1743"/>
      <c r="Y281" s="1743"/>
      <c r="Z281" s="1743"/>
    </row>
    <row r="282" spans="5:26" s="1738" customFormat="1">
      <c r="E282" s="1743"/>
      <c r="F282" s="1743"/>
      <c r="I282" s="1743"/>
      <c r="J282" s="1743"/>
      <c r="K282" s="1743"/>
      <c r="L282" s="1743"/>
      <c r="M282" s="1743"/>
      <c r="N282" s="1743"/>
      <c r="O282" s="1743"/>
      <c r="P282" s="1743"/>
      <c r="Q282" s="1743"/>
      <c r="R282" s="1743"/>
      <c r="S282" s="1743"/>
      <c r="T282" s="1743"/>
      <c r="U282" s="1743"/>
      <c r="V282" s="1743"/>
      <c r="W282" s="1743"/>
      <c r="X282" s="1743"/>
      <c r="Y282" s="1743"/>
      <c r="Z282" s="1743"/>
    </row>
    <row r="283" spans="5:26" s="1738" customFormat="1">
      <c r="E283" s="1743"/>
      <c r="F283" s="1743"/>
      <c r="I283" s="1743"/>
      <c r="J283" s="1743"/>
      <c r="K283" s="1743"/>
      <c r="L283" s="1743"/>
      <c r="M283" s="1743"/>
      <c r="N283" s="1743"/>
      <c r="O283" s="1743"/>
      <c r="P283" s="1743"/>
      <c r="Q283" s="1743"/>
      <c r="R283" s="1743"/>
      <c r="S283" s="1743"/>
      <c r="T283" s="1743"/>
      <c r="U283" s="1743"/>
      <c r="V283" s="1743"/>
      <c r="W283" s="1743"/>
      <c r="X283" s="1743"/>
      <c r="Y283" s="1743"/>
      <c r="Z283" s="1743"/>
    </row>
    <row r="284" spans="5:26" s="1738" customFormat="1">
      <c r="E284" s="1743"/>
      <c r="F284" s="1743"/>
      <c r="I284" s="1743"/>
      <c r="J284" s="1743"/>
      <c r="K284" s="1743"/>
      <c r="L284" s="1743"/>
      <c r="M284" s="1743"/>
      <c r="N284" s="1743"/>
      <c r="O284" s="1743"/>
      <c r="P284" s="1743"/>
      <c r="Q284" s="1743"/>
      <c r="R284" s="1743"/>
      <c r="S284" s="1743"/>
      <c r="T284" s="1743"/>
      <c r="U284" s="1743"/>
      <c r="V284" s="1743"/>
      <c r="W284" s="1743"/>
      <c r="X284" s="1743"/>
      <c r="Y284" s="1743"/>
      <c r="Z284" s="1743"/>
    </row>
    <row r="285" spans="5:26" s="1738" customFormat="1">
      <c r="E285" s="1743"/>
      <c r="F285" s="1743"/>
      <c r="I285" s="1743"/>
      <c r="J285" s="1743"/>
      <c r="K285" s="1743"/>
      <c r="L285" s="1743"/>
      <c r="M285" s="1743"/>
      <c r="N285" s="1743"/>
      <c r="O285" s="1743"/>
      <c r="P285" s="1743"/>
      <c r="Q285" s="1743"/>
      <c r="R285" s="1743"/>
      <c r="S285" s="1743"/>
      <c r="T285" s="1743"/>
      <c r="U285" s="1743"/>
      <c r="V285" s="1743"/>
      <c r="W285" s="1743"/>
      <c r="X285" s="1743"/>
      <c r="Y285" s="1743"/>
      <c r="Z285" s="1743"/>
    </row>
    <row r="286" spans="5:26" s="1738" customFormat="1">
      <c r="E286" s="1743"/>
      <c r="F286" s="1743"/>
      <c r="I286" s="1743"/>
      <c r="J286" s="1743"/>
      <c r="K286" s="1743"/>
      <c r="L286" s="1743"/>
      <c r="M286" s="1743"/>
      <c r="N286" s="1743"/>
      <c r="O286" s="1743"/>
      <c r="P286" s="1743"/>
      <c r="Q286" s="1743"/>
      <c r="R286" s="1743"/>
      <c r="S286" s="1743"/>
      <c r="T286" s="1743"/>
      <c r="U286" s="1743"/>
      <c r="V286" s="1743"/>
      <c r="W286" s="1743"/>
      <c r="X286" s="1743"/>
      <c r="Y286" s="1743"/>
      <c r="Z286" s="1743"/>
    </row>
    <row r="287" spans="5:26" s="1738" customFormat="1">
      <c r="E287" s="1743"/>
      <c r="F287" s="1743"/>
      <c r="I287" s="1743"/>
      <c r="J287" s="1743"/>
      <c r="K287" s="1743"/>
      <c r="L287" s="1743"/>
      <c r="M287" s="1743"/>
      <c r="N287" s="1743"/>
      <c r="O287" s="1743"/>
      <c r="P287" s="1743"/>
      <c r="Q287" s="1743"/>
      <c r="R287" s="1743"/>
      <c r="S287" s="1743"/>
      <c r="T287" s="1743"/>
      <c r="U287" s="1743"/>
      <c r="V287" s="1743"/>
      <c r="W287" s="1743"/>
      <c r="X287" s="1743"/>
      <c r="Y287" s="1743"/>
      <c r="Z287" s="1743"/>
    </row>
    <row r="288" spans="5:26" s="1738" customFormat="1">
      <c r="E288" s="1743"/>
      <c r="F288" s="1743"/>
      <c r="I288" s="1743"/>
      <c r="J288" s="1743"/>
      <c r="K288" s="1743"/>
      <c r="L288" s="1743"/>
      <c r="M288" s="1743"/>
      <c r="N288" s="1743"/>
      <c r="O288" s="1743"/>
      <c r="P288" s="1743"/>
      <c r="Q288" s="1743"/>
      <c r="R288" s="1743"/>
      <c r="S288" s="1743"/>
      <c r="T288" s="1743"/>
      <c r="U288" s="1743"/>
      <c r="V288" s="1743"/>
      <c r="W288" s="1743"/>
      <c r="X288" s="1743"/>
      <c r="Y288" s="1743"/>
      <c r="Z288" s="1743"/>
    </row>
    <row r="289" spans="5:26" s="1738" customFormat="1">
      <c r="E289" s="1743"/>
      <c r="F289" s="1743"/>
      <c r="I289" s="1743"/>
      <c r="J289" s="1743"/>
      <c r="K289" s="1743"/>
      <c r="L289" s="1743"/>
      <c r="M289" s="1743"/>
      <c r="N289" s="1743"/>
      <c r="O289" s="1743"/>
      <c r="P289" s="1743"/>
      <c r="Q289" s="1743"/>
      <c r="R289" s="1743"/>
      <c r="S289" s="1743"/>
      <c r="T289" s="1743"/>
      <c r="U289" s="1743"/>
      <c r="V289" s="1743"/>
      <c r="W289" s="1743"/>
      <c r="X289" s="1743"/>
      <c r="Y289" s="1743"/>
      <c r="Z289" s="1743"/>
    </row>
    <row r="290" spans="5:26" s="1738" customFormat="1">
      <c r="E290" s="1743"/>
      <c r="F290" s="1743"/>
      <c r="I290" s="1743"/>
      <c r="J290" s="1743"/>
      <c r="K290" s="1743"/>
      <c r="L290" s="1743"/>
      <c r="M290" s="1743"/>
      <c r="N290" s="1743"/>
      <c r="O290" s="1743"/>
      <c r="P290" s="1743"/>
      <c r="Q290" s="1743"/>
      <c r="R290" s="1743"/>
      <c r="S290" s="1743"/>
      <c r="T290" s="1743"/>
      <c r="U290" s="1743"/>
      <c r="V290" s="1743"/>
      <c r="W290" s="1743"/>
      <c r="X290" s="1743"/>
      <c r="Y290" s="1743"/>
      <c r="Z290" s="1743"/>
    </row>
    <row r="291" spans="5:26" s="1738" customFormat="1">
      <c r="E291" s="1743"/>
      <c r="F291" s="1743"/>
      <c r="I291" s="1743"/>
      <c r="J291" s="1743"/>
      <c r="K291" s="1743"/>
      <c r="L291" s="1743"/>
      <c r="M291" s="1743"/>
      <c r="N291" s="1743"/>
      <c r="O291" s="1743"/>
      <c r="P291" s="1743"/>
      <c r="Q291" s="1743"/>
      <c r="R291" s="1743"/>
      <c r="S291" s="1743"/>
      <c r="T291" s="1743"/>
      <c r="U291" s="1743"/>
      <c r="V291" s="1743"/>
      <c r="W291" s="1743"/>
      <c r="X291" s="1743"/>
      <c r="Y291" s="1743"/>
      <c r="Z291" s="1743"/>
    </row>
    <row r="292" spans="5:26" s="1738" customFormat="1">
      <c r="E292" s="1743"/>
      <c r="F292" s="1743"/>
      <c r="I292" s="1743"/>
      <c r="J292" s="1743"/>
      <c r="K292" s="1743"/>
      <c r="L292" s="1743"/>
      <c r="M292" s="1743"/>
      <c r="N292" s="1743"/>
      <c r="O292" s="1743"/>
      <c r="P292" s="1743"/>
      <c r="Q292" s="1743"/>
      <c r="R292" s="1743"/>
      <c r="S292" s="1743"/>
      <c r="T292" s="1743"/>
      <c r="U292" s="1743"/>
      <c r="V292" s="1743"/>
      <c r="W292" s="1743"/>
      <c r="X292" s="1743"/>
      <c r="Y292" s="1743"/>
      <c r="Z292" s="1743"/>
    </row>
    <row r="293" spans="5:26" s="1738" customFormat="1">
      <c r="E293" s="1743"/>
      <c r="F293" s="1743"/>
      <c r="I293" s="1743"/>
      <c r="J293" s="1743"/>
      <c r="K293" s="1743"/>
      <c r="L293" s="1743"/>
      <c r="M293" s="1743"/>
      <c r="N293" s="1743"/>
      <c r="O293" s="1743"/>
      <c r="P293" s="1743"/>
      <c r="Q293" s="1743"/>
      <c r="R293" s="1743"/>
      <c r="S293" s="1743"/>
      <c r="T293" s="1743"/>
      <c r="U293" s="1743"/>
      <c r="V293" s="1743"/>
      <c r="W293" s="1743"/>
      <c r="X293" s="1743"/>
      <c r="Y293" s="1743"/>
      <c r="Z293" s="1743"/>
    </row>
    <row r="294" spans="5:26" s="1738" customFormat="1">
      <c r="E294" s="1743"/>
      <c r="F294" s="1743"/>
      <c r="I294" s="1743"/>
      <c r="J294" s="1743"/>
      <c r="K294" s="1743"/>
      <c r="L294" s="1743"/>
      <c r="M294" s="1743"/>
      <c r="N294" s="1743"/>
      <c r="O294" s="1743"/>
      <c r="P294" s="1743"/>
      <c r="Q294" s="1743"/>
      <c r="R294" s="1743"/>
      <c r="S294" s="1743"/>
      <c r="T294" s="1743"/>
      <c r="U294" s="1743"/>
      <c r="V294" s="1743"/>
      <c r="W294" s="1743"/>
      <c r="X294" s="1743"/>
      <c r="Y294" s="1743"/>
      <c r="Z294" s="1743"/>
    </row>
    <row r="295" spans="5:26" s="1738" customFormat="1">
      <c r="E295" s="1743"/>
      <c r="F295" s="1743"/>
      <c r="I295" s="1743"/>
      <c r="J295" s="1743"/>
      <c r="K295" s="1743"/>
      <c r="L295" s="1743"/>
      <c r="M295" s="1743"/>
      <c r="N295" s="1743"/>
      <c r="O295" s="1743"/>
      <c r="P295" s="1743"/>
      <c r="Q295" s="1743"/>
      <c r="R295" s="1743"/>
      <c r="S295" s="1743"/>
      <c r="T295" s="1743"/>
      <c r="U295" s="1743"/>
      <c r="V295" s="1743"/>
      <c r="W295" s="1743"/>
      <c r="X295" s="1743"/>
      <c r="Y295" s="1743"/>
      <c r="Z295" s="1743"/>
    </row>
    <row r="296" spans="5:26" s="1738" customFormat="1">
      <c r="E296" s="1743"/>
      <c r="F296" s="1743"/>
      <c r="I296" s="1743"/>
      <c r="J296" s="1743"/>
      <c r="K296" s="1743"/>
      <c r="L296" s="1743"/>
      <c r="M296" s="1743"/>
      <c r="N296" s="1743"/>
      <c r="O296" s="1743"/>
      <c r="P296" s="1743"/>
      <c r="Q296" s="1743"/>
      <c r="R296" s="1743"/>
      <c r="S296" s="1743"/>
      <c r="T296" s="1743"/>
      <c r="U296" s="1743"/>
      <c r="V296" s="1743"/>
      <c r="W296" s="1743"/>
      <c r="X296" s="1743"/>
      <c r="Y296" s="1743"/>
      <c r="Z296" s="1743"/>
    </row>
    <row r="297" spans="5:26" s="1738" customFormat="1">
      <c r="E297" s="1743"/>
      <c r="F297" s="1743"/>
      <c r="I297" s="1743"/>
      <c r="J297" s="1743"/>
      <c r="K297" s="1743"/>
      <c r="L297" s="1743"/>
      <c r="M297" s="1743"/>
      <c r="N297" s="1743"/>
      <c r="O297" s="1743"/>
      <c r="P297" s="1743"/>
      <c r="Q297" s="1743"/>
      <c r="R297" s="1743"/>
      <c r="S297" s="1743"/>
      <c r="T297" s="1743"/>
      <c r="U297" s="1743"/>
      <c r="V297" s="1743"/>
      <c r="W297" s="1743"/>
      <c r="X297" s="1743"/>
      <c r="Y297" s="1743"/>
      <c r="Z297" s="1743"/>
    </row>
    <row r="298" spans="5:26" s="1738" customFormat="1">
      <c r="E298" s="1743"/>
      <c r="F298" s="1743"/>
      <c r="I298" s="1743"/>
      <c r="J298" s="1743"/>
      <c r="K298" s="1743"/>
      <c r="L298" s="1743"/>
      <c r="M298" s="1743"/>
      <c r="N298" s="1743"/>
      <c r="O298" s="1743"/>
      <c r="P298" s="1743"/>
      <c r="Q298" s="1743"/>
      <c r="R298" s="1743"/>
      <c r="S298" s="1743"/>
      <c r="T298" s="1743"/>
      <c r="U298" s="1743"/>
      <c r="V298" s="1743"/>
      <c r="W298" s="1743"/>
      <c r="X298" s="1743"/>
      <c r="Y298" s="1743"/>
      <c r="Z298" s="1743"/>
    </row>
    <row r="299" spans="5:26" s="1738" customFormat="1">
      <c r="E299" s="1743"/>
      <c r="F299" s="1743"/>
      <c r="I299" s="1743"/>
      <c r="J299" s="1743"/>
      <c r="K299" s="1743"/>
      <c r="L299" s="1743"/>
      <c r="M299" s="1743"/>
      <c r="N299" s="1743"/>
      <c r="O299" s="1743"/>
      <c r="P299" s="1743"/>
      <c r="Q299" s="1743"/>
      <c r="R299" s="1743"/>
      <c r="S299" s="1743"/>
      <c r="T299" s="1743"/>
      <c r="U299" s="1743"/>
      <c r="V299" s="1743"/>
      <c r="W299" s="1743"/>
      <c r="X299" s="1743"/>
      <c r="Y299" s="1743"/>
      <c r="Z299" s="1743"/>
    </row>
    <row r="300" spans="5:26" s="1738" customFormat="1">
      <c r="E300" s="1743"/>
      <c r="F300" s="1743"/>
      <c r="I300" s="1743"/>
      <c r="J300" s="1743"/>
      <c r="K300" s="1743"/>
      <c r="L300" s="1743"/>
      <c r="M300" s="1743"/>
      <c r="N300" s="1743"/>
      <c r="O300" s="1743"/>
      <c r="P300" s="1743"/>
      <c r="Q300" s="1743"/>
      <c r="R300" s="1743"/>
      <c r="S300" s="1743"/>
      <c r="T300" s="1743"/>
      <c r="U300" s="1743"/>
      <c r="V300" s="1743"/>
      <c r="W300" s="1743"/>
      <c r="X300" s="1743"/>
      <c r="Y300" s="1743"/>
      <c r="Z300" s="1743"/>
    </row>
    <row r="301" spans="5:26" s="1738" customFormat="1">
      <c r="E301" s="1743"/>
      <c r="F301" s="1743"/>
      <c r="I301" s="1743"/>
      <c r="J301" s="1743"/>
      <c r="K301" s="1743"/>
      <c r="L301" s="1743"/>
      <c r="M301" s="1743"/>
      <c r="N301" s="1743"/>
      <c r="O301" s="1743"/>
      <c r="P301" s="1743"/>
      <c r="Q301" s="1743"/>
      <c r="R301" s="1743"/>
      <c r="S301" s="1743"/>
      <c r="T301" s="1743"/>
      <c r="U301" s="1743"/>
      <c r="V301" s="1743"/>
      <c r="W301" s="1743"/>
      <c r="X301" s="1743"/>
      <c r="Y301" s="1743"/>
      <c r="Z301" s="1743"/>
    </row>
    <row r="302" spans="5:26" s="1738" customFormat="1">
      <c r="E302" s="1743"/>
      <c r="F302" s="1743"/>
      <c r="I302" s="1743"/>
      <c r="J302" s="1743"/>
      <c r="K302" s="1743"/>
      <c r="L302" s="1743"/>
      <c r="M302" s="1743"/>
      <c r="N302" s="1743"/>
      <c r="O302" s="1743"/>
      <c r="P302" s="1743"/>
      <c r="Q302" s="1743"/>
      <c r="R302" s="1743"/>
      <c r="S302" s="1743"/>
      <c r="T302" s="1743"/>
      <c r="U302" s="1743"/>
      <c r="V302" s="1743"/>
      <c r="W302" s="1743"/>
      <c r="X302" s="1743"/>
      <c r="Y302" s="1743"/>
      <c r="Z302" s="1743"/>
    </row>
    <row r="303" spans="5:26" s="1738" customFormat="1">
      <c r="E303" s="1743"/>
      <c r="F303" s="1743"/>
      <c r="I303" s="1743"/>
      <c r="J303" s="1743"/>
      <c r="K303" s="1743"/>
      <c r="L303" s="1743"/>
      <c r="M303" s="1743"/>
      <c r="N303" s="1743"/>
      <c r="O303" s="1743"/>
      <c r="P303" s="1743"/>
      <c r="Q303" s="1743"/>
      <c r="R303" s="1743"/>
      <c r="S303" s="1743"/>
      <c r="T303" s="1743"/>
      <c r="U303" s="1743"/>
      <c r="V303" s="1743"/>
      <c r="W303" s="1743"/>
      <c r="X303" s="1743"/>
      <c r="Y303" s="1743"/>
      <c r="Z303" s="1743"/>
    </row>
    <row r="304" spans="5:26" s="1738" customFormat="1">
      <c r="E304" s="1743"/>
      <c r="F304" s="1743"/>
      <c r="I304" s="1743"/>
      <c r="J304" s="1743"/>
      <c r="K304" s="1743"/>
      <c r="L304" s="1743"/>
      <c r="M304" s="1743"/>
      <c r="N304" s="1743"/>
      <c r="O304" s="1743"/>
      <c r="P304" s="1743"/>
      <c r="Q304" s="1743"/>
      <c r="R304" s="1743"/>
      <c r="S304" s="1743"/>
      <c r="T304" s="1743"/>
      <c r="U304" s="1743"/>
      <c r="V304" s="1743"/>
      <c r="W304" s="1743"/>
      <c r="X304" s="1743"/>
      <c r="Y304" s="1743"/>
      <c r="Z304" s="1743"/>
    </row>
    <row r="305" spans="5:26" s="1738" customFormat="1">
      <c r="E305" s="1743"/>
      <c r="F305" s="1743"/>
      <c r="I305" s="1743"/>
      <c r="J305" s="1743"/>
      <c r="K305" s="1743"/>
      <c r="L305" s="1743"/>
      <c r="M305" s="1743"/>
      <c r="N305" s="1743"/>
      <c r="O305" s="1743"/>
      <c r="P305" s="1743"/>
      <c r="Q305" s="1743"/>
      <c r="R305" s="1743"/>
      <c r="S305" s="1743"/>
      <c r="T305" s="1743"/>
      <c r="U305" s="1743"/>
      <c r="V305" s="1743"/>
      <c r="W305" s="1743"/>
      <c r="X305" s="1743"/>
      <c r="Y305" s="1743"/>
      <c r="Z305" s="1743"/>
    </row>
    <row r="306" spans="5:26" s="1738" customFormat="1">
      <c r="E306" s="1743"/>
      <c r="F306" s="1743"/>
      <c r="I306" s="1743"/>
      <c r="J306" s="1743"/>
      <c r="K306" s="1743"/>
      <c r="L306" s="1743"/>
      <c r="M306" s="1743"/>
      <c r="N306" s="1743"/>
      <c r="O306" s="1743"/>
      <c r="P306" s="1743"/>
      <c r="Q306" s="1743"/>
      <c r="R306" s="1743"/>
      <c r="S306" s="1743"/>
      <c r="T306" s="1743"/>
      <c r="U306" s="1743"/>
      <c r="V306" s="1743"/>
      <c r="W306" s="1743"/>
      <c r="X306" s="1743"/>
      <c r="Y306" s="1743"/>
      <c r="Z306" s="1743"/>
    </row>
    <row r="307" spans="5:26" s="1738" customFormat="1">
      <c r="E307" s="1743"/>
      <c r="F307" s="1743"/>
      <c r="I307" s="1743"/>
      <c r="J307" s="1743"/>
      <c r="K307" s="1743"/>
      <c r="L307" s="1743"/>
      <c r="M307" s="1743"/>
      <c r="N307" s="1743"/>
      <c r="O307" s="1743"/>
      <c r="P307" s="1743"/>
      <c r="Q307" s="1743"/>
      <c r="R307" s="1743"/>
      <c r="S307" s="1743"/>
      <c r="T307" s="1743"/>
      <c r="U307" s="1743"/>
      <c r="V307" s="1743"/>
      <c r="W307" s="1743"/>
      <c r="X307" s="1743"/>
      <c r="Y307" s="1743"/>
      <c r="Z307" s="1743"/>
    </row>
    <row r="308" spans="5:26" s="1738" customFormat="1">
      <c r="E308" s="1743"/>
      <c r="F308" s="1743"/>
      <c r="I308" s="1743"/>
      <c r="J308" s="1743"/>
      <c r="K308" s="1743"/>
      <c r="L308" s="1743"/>
      <c r="M308" s="1743"/>
      <c r="N308" s="1743"/>
      <c r="O308" s="1743"/>
      <c r="P308" s="1743"/>
      <c r="Q308" s="1743"/>
      <c r="R308" s="1743"/>
      <c r="S308" s="1743"/>
      <c r="T308" s="1743"/>
      <c r="U308" s="1743"/>
      <c r="V308" s="1743"/>
      <c r="W308" s="1743"/>
      <c r="X308" s="1743"/>
      <c r="Y308" s="1743"/>
      <c r="Z308" s="1743"/>
    </row>
    <row r="309" spans="5:26" s="1738" customFormat="1">
      <c r="E309" s="1743"/>
      <c r="F309" s="1743"/>
      <c r="I309" s="1743"/>
      <c r="J309" s="1743"/>
      <c r="K309" s="1743"/>
      <c r="L309" s="1743"/>
      <c r="M309" s="1743"/>
      <c r="N309" s="1743"/>
      <c r="O309" s="1743"/>
      <c r="P309" s="1743"/>
      <c r="Q309" s="1743"/>
      <c r="R309" s="1743"/>
      <c r="S309" s="1743"/>
      <c r="T309" s="1743"/>
      <c r="U309" s="1743"/>
      <c r="V309" s="1743"/>
      <c r="W309" s="1743"/>
      <c r="X309" s="1743"/>
      <c r="Y309" s="1743"/>
      <c r="Z309" s="1743"/>
    </row>
    <row r="310" spans="5:26" s="1738" customFormat="1">
      <c r="E310" s="1743"/>
      <c r="F310" s="1743"/>
      <c r="I310" s="1743"/>
      <c r="J310" s="1743"/>
      <c r="K310" s="1743"/>
      <c r="L310" s="1743"/>
      <c r="M310" s="1743"/>
      <c r="N310" s="1743"/>
      <c r="O310" s="1743"/>
      <c r="P310" s="1743"/>
      <c r="Q310" s="1743"/>
      <c r="R310" s="1743"/>
      <c r="S310" s="1743"/>
      <c r="T310" s="1743"/>
      <c r="U310" s="1743"/>
      <c r="V310" s="1743"/>
      <c r="W310" s="1743"/>
      <c r="X310" s="1743"/>
      <c r="Y310" s="1743"/>
      <c r="Z310" s="1743"/>
    </row>
    <row r="311" spans="5:26" s="1738" customFormat="1">
      <c r="E311" s="1743"/>
      <c r="F311" s="1743"/>
      <c r="I311" s="1743"/>
      <c r="J311" s="1743"/>
      <c r="K311" s="1743"/>
      <c r="L311" s="1743"/>
      <c r="M311" s="1743"/>
      <c r="N311" s="1743"/>
      <c r="O311" s="1743"/>
      <c r="P311" s="1743"/>
      <c r="Q311" s="1743"/>
      <c r="R311" s="1743"/>
      <c r="S311" s="1743"/>
      <c r="T311" s="1743"/>
      <c r="U311" s="1743"/>
      <c r="V311" s="1743"/>
      <c r="W311" s="1743"/>
      <c r="X311" s="1743"/>
      <c r="Y311" s="1743"/>
      <c r="Z311" s="1743"/>
    </row>
    <row r="312" spans="5:26" s="1738" customFormat="1">
      <c r="E312" s="1743"/>
      <c r="F312" s="1743"/>
      <c r="I312" s="1743"/>
      <c r="J312" s="1743"/>
      <c r="K312" s="1743"/>
      <c r="L312" s="1743"/>
      <c r="M312" s="1743"/>
      <c r="N312" s="1743"/>
      <c r="O312" s="1743"/>
      <c r="P312" s="1743"/>
      <c r="Q312" s="1743"/>
      <c r="R312" s="1743"/>
      <c r="S312" s="1743"/>
      <c r="T312" s="1743"/>
      <c r="U312" s="1743"/>
      <c r="V312" s="1743"/>
      <c r="W312" s="1743"/>
      <c r="X312" s="1743"/>
      <c r="Y312" s="1743"/>
      <c r="Z312" s="1743"/>
    </row>
    <row r="313" spans="5:26" s="1738" customFormat="1">
      <c r="E313" s="1743"/>
      <c r="F313" s="1743"/>
      <c r="I313" s="1743"/>
      <c r="J313" s="1743"/>
      <c r="K313" s="1743"/>
      <c r="L313" s="1743"/>
      <c r="M313" s="1743"/>
      <c r="N313" s="1743"/>
      <c r="O313" s="1743"/>
      <c r="P313" s="1743"/>
      <c r="Q313" s="1743"/>
      <c r="R313" s="1743"/>
      <c r="S313" s="1743"/>
      <c r="T313" s="1743"/>
      <c r="U313" s="1743"/>
      <c r="V313" s="1743"/>
      <c r="W313" s="1743"/>
      <c r="X313" s="1743"/>
      <c r="Y313" s="1743"/>
      <c r="Z313" s="1743"/>
    </row>
    <row r="314" spans="5:26" s="1738" customFormat="1">
      <c r="E314" s="1743"/>
      <c r="F314" s="1743"/>
      <c r="I314" s="1743"/>
      <c r="J314" s="1743"/>
      <c r="K314" s="1743"/>
      <c r="L314" s="1743"/>
      <c r="M314" s="1743"/>
      <c r="N314" s="1743"/>
      <c r="O314" s="1743"/>
      <c r="P314" s="1743"/>
      <c r="Q314" s="1743"/>
      <c r="R314" s="1743"/>
      <c r="S314" s="1743"/>
      <c r="T314" s="1743"/>
      <c r="U314" s="1743"/>
      <c r="V314" s="1743"/>
      <c r="W314" s="1743"/>
      <c r="X314" s="1743"/>
      <c r="Y314" s="1743"/>
      <c r="Z314" s="1743"/>
    </row>
    <row r="315" spans="5:26" s="1738" customFormat="1">
      <c r="E315" s="1743"/>
      <c r="F315" s="1743"/>
      <c r="I315" s="1743"/>
      <c r="J315" s="1743"/>
      <c r="K315" s="1743"/>
      <c r="L315" s="1743"/>
      <c r="M315" s="1743"/>
      <c r="N315" s="1743"/>
      <c r="O315" s="1743"/>
      <c r="P315" s="1743"/>
      <c r="Q315" s="1743"/>
      <c r="R315" s="1743"/>
      <c r="S315" s="1743"/>
      <c r="T315" s="1743"/>
      <c r="U315" s="1743"/>
      <c r="V315" s="1743"/>
      <c r="W315" s="1743"/>
      <c r="X315" s="1743"/>
      <c r="Y315" s="1743"/>
      <c r="Z315" s="1743"/>
    </row>
    <row r="316" spans="5:26" s="1738" customFormat="1">
      <c r="E316" s="1743"/>
      <c r="F316" s="1743"/>
      <c r="I316" s="1743"/>
      <c r="J316" s="1743"/>
      <c r="K316" s="1743"/>
      <c r="L316" s="1743"/>
      <c r="M316" s="1743"/>
      <c r="N316" s="1743"/>
      <c r="O316" s="1743"/>
      <c r="P316" s="1743"/>
      <c r="Q316" s="1743"/>
      <c r="R316" s="1743"/>
      <c r="S316" s="1743"/>
      <c r="T316" s="1743"/>
      <c r="U316" s="1743"/>
      <c r="V316" s="1743"/>
      <c r="W316" s="1743"/>
      <c r="X316" s="1743"/>
      <c r="Y316" s="1743"/>
      <c r="Z316" s="1743"/>
    </row>
    <row r="317" spans="5:26" s="1738" customFormat="1">
      <c r="E317" s="1743"/>
      <c r="F317" s="1743"/>
      <c r="I317" s="1743"/>
      <c r="J317" s="1743"/>
      <c r="K317" s="1743"/>
      <c r="L317" s="1743"/>
      <c r="M317" s="1743"/>
      <c r="N317" s="1743"/>
      <c r="O317" s="1743"/>
      <c r="P317" s="1743"/>
      <c r="Q317" s="1743"/>
      <c r="R317" s="1743"/>
      <c r="S317" s="1743"/>
      <c r="T317" s="1743"/>
      <c r="U317" s="1743"/>
      <c r="V317" s="1743"/>
      <c r="W317" s="1743"/>
      <c r="X317" s="1743"/>
      <c r="Y317" s="1743"/>
      <c r="Z317" s="1743"/>
    </row>
    <row r="318" spans="5:26" s="1738" customFormat="1">
      <c r="E318" s="1743"/>
      <c r="F318" s="1743"/>
      <c r="I318" s="1743"/>
      <c r="J318" s="1743"/>
      <c r="K318" s="1743"/>
      <c r="L318" s="1743"/>
      <c r="M318" s="1743"/>
      <c r="N318" s="1743"/>
      <c r="O318" s="1743"/>
      <c r="P318" s="1743"/>
      <c r="Q318" s="1743"/>
      <c r="R318" s="1743"/>
      <c r="S318" s="1743"/>
      <c r="T318" s="1743"/>
      <c r="U318" s="1743"/>
      <c r="V318" s="1743"/>
      <c r="W318" s="1743"/>
      <c r="X318" s="1743"/>
      <c r="Y318" s="1743"/>
      <c r="Z318" s="1743"/>
    </row>
    <row r="319" spans="5:26" s="1738" customFormat="1">
      <c r="E319" s="1743"/>
      <c r="F319" s="1743"/>
      <c r="I319" s="1743"/>
      <c r="J319" s="1743"/>
      <c r="K319" s="1743"/>
      <c r="L319" s="1743"/>
      <c r="M319" s="1743"/>
      <c r="N319" s="1743"/>
      <c r="O319" s="1743"/>
      <c r="P319" s="1743"/>
      <c r="Q319" s="1743"/>
      <c r="R319" s="1743"/>
      <c r="S319" s="1743"/>
      <c r="T319" s="1743"/>
      <c r="U319" s="1743"/>
      <c r="V319" s="1743"/>
      <c r="W319" s="1743"/>
      <c r="X319" s="1743"/>
      <c r="Y319" s="1743"/>
      <c r="Z319" s="1743"/>
    </row>
    <row r="320" spans="5:26" s="1738" customFormat="1">
      <c r="E320" s="1743"/>
      <c r="F320" s="1743"/>
      <c r="I320" s="1743"/>
      <c r="J320" s="1743"/>
      <c r="K320" s="1743"/>
      <c r="L320" s="1743"/>
      <c r="M320" s="1743"/>
      <c r="N320" s="1743"/>
      <c r="O320" s="1743"/>
      <c r="P320" s="1743"/>
      <c r="Q320" s="1743"/>
      <c r="R320" s="1743"/>
      <c r="S320" s="1743"/>
      <c r="T320" s="1743"/>
      <c r="U320" s="1743"/>
      <c r="V320" s="1743"/>
      <c r="W320" s="1743"/>
      <c r="X320" s="1743"/>
      <c r="Y320" s="1743"/>
      <c r="Z320" s="1743"/>
    </row>
    <row r="321" spans="5:26" s="1738" customFormat="1">
      <c r="E321" s="1743"/>
      <c r="F321" s="1743"/>
      <c r="I321" s="1743"/>
      <c r="J321" s="1743"/>
      <c r="K321" s="1743"/>
      <c r="L321" s="1743"/>
      <c r="M321" s="1743"/>
      <c r="N321" s="1743"/>
      <c r="O321" s="1743"/>
      <c r="P321" s="1743"/>
      <c r="Q321" s="1743"/>
      <c r="R321" s="1743"/>
      <c r="S321" s="1743"/>
      <c r="T321" s="1743"/>
      <c r="U321" s="1743"/>
      <c r="V321" s="1743"/>
      <c r="W321" s="1743"/>
      <c r="X321" s="1743"/>
      <c r="Y321" s="1743"/>
      <c r="Z321" s="1743"/>
    </row>
    <row r="322" spans="5:26" s="1738" customFormat="1">
      <c r="E322" s="1743"/>
      <c r="F322" s="1743"/>
      <c r="I322" s="1743"/>
      <c r="J322" s="1743"/>
      <c r="K322" s="1743"/>
      <c r="L322" s="1743"/>
      <c r="M322" s="1743"/>
      <c r="N322" s="1743"/>
      <c r="O322" s="1743"/>
      <c r="P322" s="1743"/>
      <c r="Q322" s="1743"/>
      <c r="R322" s="1743"/>
      <c r="S322" s="1743"/>
      <c r="T322" s="1743"/>
      <c r="U322" s="1743"/>
      <c r="V322" s="1743"/>
      <c r="W322" s="1743"/>
      <c r="X322" s="1743"/>
      <c r="Y322" s="1743"/>
      <c r="Z322" s="1743"/>
    </row>
    <row r="323" spans="5:26" s="1738" customFormat="1">
      <c r="E323" s="1743"/>
      <c r="F323" s="1743"/>
      <c r="I323" s="1743"/>
      <c r="J323" s="1743"/>
      <c r="K323" s="1743"/>
      <c r="L323" s="1743"/>
      <c r="M323" s="1743"/>
      <c r="N323" s="1743"/>
      <c r="O323" s="1743"/>
      <c r="P323" s="1743"/>
      <c r="Q323" s="1743"/>
      <c r="R323" s="1743"/>
      <c r="S323" s="1743"/>
      <c r="T323" s="1743"/>
      <c r="U323" s="1743"/>
      <c r="V323" s="1743"/>
      <c r="W323" s="1743"/>
      <c r="X323" s="1743"/>
      <c r="Y323" s="1743"/>
      <c r="Z323" s="1743"/>
    </row>
    <row r="324" spans="5:26" s="1738" customFormat="1">
      <c r="E324" s="1743"/>
      <c r="F324" s="1743"/>
      <c r="I324" s="1743"/>
      <c r="J324" s="1743"/>
      <c r="K324" s="1743"/>
      <c r="L324" s="1743"/>
      <c r="M324" s="1743"/>
      <c r="N324" s="1743"/>
      <c r="O324" s="1743"/>
      <c r="P324" s="1743"/>
      <c r="Q324" s="1743"/>
      <c r="R324" s="1743"/>
      <c r="S324" s="1743"/>
      <c r="T324" s="1743"/>
      <c r="U324" s="1743"/>
      <c r="V324" s="1743"/>
      <c r="W324" s="1743"/>
      <c r="X324" s="1743"/>
      <c r="Y324" s="1743"/>
      <c r="Z324" s="1743"/>
    </row>
    <row r="325" spans="5:26" s="1738" customFormat="1">
      <c r="E325" s="1743"/>
      <c r="F325" s="1743"/>
      <c r="I325" s="1743"/>
      <c r="J325" s="1743"/>
      <c r="K325" s="1743"/>
      <c r="L325" s="1743"/>
      <c r="M325" s="1743"/>
      <c r="N325" s="1743"/>
      <c r="O325" s="1743"/>
      <c r="P325" s="1743"/>
      <c r="Q325" s="1743"/>
      <c r="R325" s="1743"/>
      <c r="S325" s="1743"/>
      <c r="T325" s="1743"/>
      <c r="U325" s="1743"/>
      <c r="V325" s="1743"/>
      <c r="W325" s="1743"/>
      <c r="X325" s="1743"/>
      <c r="Y325" s="1743"/>
      <c r="Z325" s="1743"/>
    </row>
    <row r="326" spans="5:26" s="1738" customFormat="1">
      <c r="E326" s="1743"/>
      <c r="F326" s="1743"/>
      <c r="I326" s="1743"/>
      <c r="J326" s="1743"/>
      <c r="K326" s="1743"/>
      <c r="L326" s="1743"/>
      <c r="M326" s="1743"/>
      <c r="N326" s="1743"/>
      <c r="O326" s="1743"/>
      <c r="P326" s="1743"/>
      <c r="Q326" s="1743"/>
      <c r="R326" s="1743"/>
      <c r="S326" s="1743"/>
      <c r="T326" s="1743"/>
      <c r="U326" s="1743"/>
      <c r="V326" s="1743"/>
      <c r="W326" s="1743"/>
      <c r="X326" s="1743"/>
      <c r="Y326" s="1743"/>
      <c r="Z326" s="1743"/>
    </row>
    <row r="327" spans="5:26" s="1738" customFormat="1">
      <c r="E327" s="1743"/>
      <c r="F327" s="1743"/>
      <c r="I327" s="1743"/>
      <c r="J327" s="1743"/>
      <c r="K327" s="1743"/>
      <c r="L327" s="1743"/>
      <c r="M327" s="1743"/>
      <c r="N327" s="1743"/>
      <c r="O327" s="1743"/>
      <c r="P327" s="1743"/>
      <c r="Q327" s="1743"/>
      <c r="R327" s="1743"/>
      <c r="S327" s="1743"/>
      <c r="T327" s="1743"/>
      <c r="U327" s="1743"/>
      <c r="V327" s="1743"/>
      <c r="W327" s="1743"/>
      <c r="X327" s="1743"/>
      <c r="Y327" s="1743"/>
      <c r="Z327" s="1743"/>
    </row>
    <row r="328" spans="5:26" s="1738" customFormat="1">
      <c r="E328" s="1743"/>
      <c r="F328" s="1743"/>
      <c r="I328" s="1743"/>
      <c r="J328" s="1743"/>
      <c r="K328" s="1743"/>
      <c r="L328" s="1743"/>
      <c r="M328" s="1743"/>
      <c r="N328" s="1743"/>
      <c r="O328" s="1743"/>
      <c r="P328" s="1743"/>
      <c r="Q328" s="1743"/>
      <c r="R328" s="1743"/>
      <c r="S328" s="1743"/>
      <c r="T328" s="1743"/>
      <c r="U328" s="1743"/>
      <c r="V328" s="1743"/>
      <c r="W328" s="1743"/>
      <c r="X328" s="1743"/>
      <c r="Y328" s="1743"/>
      <c r="Z328" s="1743"/>
    </row>
    <row r="329" spans="5:26" s="1738" customFormat="1">
      <c r="E329" s="1743"/>
      <c r="F329" s="1743"/>
      <c r="I329" s="1743"/>
      <c r="J329" s="1743"/>
      <c r="K329" s="1743"/>
      <c r="L329" s="1743"/>
      <c r="M329" s="1743"/>
      <c r="N329" s="1743"/>
      <c r="O329" s="1743"/>
      <c r="P329" s="1743"/>
      <c r="Q329" s="1743"/>
      <c r="R329" s="1743"/>
      <c r="S329" s="1743"/>
      <c r="T329" s="1743"/>
      <c r="U329" s="1743"/>
      <c r="V329" s="1743"/>
      <c r="W329" s="1743"/>
      <c r="X329" s="1743"/>
      <c r="Y329" s="1743"/>
      <c r="Z329" s="1743"/>
    </row>
    <row r="330" spans="5:26" s="1738" customFormat="1">
      <c r="E330" s="1743"/>
      <c r="F330" s="1743"/>
      <c r="I330" s="1743"/>
      <c r="J330" s="1743"/>
      <c r="K330" s="1743"/>
      <c r="L330" s="1743"/>
      <c r="M330" s="1743"/>
      <c r="N330" s="1743"/>
      <c r="O330" s="1743"/>
      <c r="P330" s="1743"/>
      <c r="Q330" s="1743"/>
      <c r="R330" s="1743"/>
      <c r="S330" s="1743"/>
      <c r="T330" s="1743"/>
      <c r="U330" s="1743"/>
      <c r="V330" s="1743"/>
      <c r="W330" s="1743"/>
      <c r="X330" s="1743"/>
      <c r="Y330" s="1743"/>
      <c r="Z330" s="1743"/>
    </row>
    <row r="331" spans="5:26" s="1738" customFormat="1">
      <c r="E331" s="1743"/>
      <c r="F331" s="1743"/>
      <c r="I331" s="1743"/>
      <c r="J331" s="1743"/>
      <c r="K331" s="1743"/>
      <c r="L331" s="1743"/>
      <c r="M331" s="1743"/>
      <c r="N331" s="1743"/>
      <c r="O331" s="1743"/>
      <c r="P331" s="1743"/>
      <c r="Q331" s="1743"/>
      <c r="R331" s="1743"/>
      <c r="S331" s="1743"/>
      <c r="T331" s="1743"/>
      <c r="U331" s="1743"/>
      <c r="V331" s="1743"/>
      <c r="W331" s="1743"/>
      <c r="X331" s="1743"/>
      <c r="Y331" s="1743"/>
      <c r="Z331" s="1743"/>
    </row>
    <row r="332" spans="5:26" s="1738" customFormat="1">
      <c r="E332" s="1743"/>
      <c r="F332" s="1743"/>
      <c r="I332" s="1743"/>
      <c r="J332" s="1743"/>
      <c r="K332" s="1743"/>
      <c r="L332" s="1743"/>
      <c r="M332" s="1743"/>
      <c r="N332" s="1743"/>
      <c r="O332" s="1743"/>
      <c r="P332" s="1743"/>
      <c r="Q332" s="1743"/>
      <c r="R332" s="1743"/>
      <c r="S332" s="1743"/>
      <c r="T332" s="1743"/>
      <c r="U332" s="1743"/>
      <c r="V332" s="1743"/>
      <c r="W332" s="1743"/>
      <c r="X332" s="1743"/>
      <c r="Y332" s="1743"/>
      <c r="Z332" s="1743"/>
    </row>
    <row r="333" spans="5:26" s="1738" customFormat="1">
      <c r="E333" s="1743"/>
      <c r="F333" s="1743"/>
      <c r="I333" s="1743"/>
      <c r="J333" s="1743"/>
      <c r="K333" s="1743"/>
      <c r="L333" s="1743"/>
      <c r="M333" s="1743"/>
      <c r="N333" s="1743"/>
      <c r="O333" s="1743"/>
      <c r="P333" s="1743"/>
      <c r="Q333" s="1743"/>
      <c r="R333" s="1743"/>
      <c r="S333" s="1743"/>
      <c r="T333" s="1743"/>
      <c r="U333" s="1743"/>
      <c r="V333" s="1743"/>
      <c r="W333" s="1743"/>
      <c r="X333" s="1743"/>
      <c r="Y333" s="1743"/>
      <c r="Z333" s="1743"/>
    </row>
    <row r="334" spans="5:26" s="1738" customFormat="1">
      <c r="E334" s="1743"/>
      <c r="F334" s="1743"/>
      <c r="I334" s="1743"/>
      <c r="J334" s="1743"/>
      <c r="K334" s="1743"/>
      <c r="L334" s="1743"/>
      <c r="M334" s="1743"/>
      <c r="N334" s="1743"/>
      <c r="O334" s="1743"/>
      <c r="P334" s="1743"/>
      <c r="Q334" s="1743"/>
      <c r="R334" s="1743"/>
      <c r="S334" s="1743"/>
      <c r="T334" s="1743"/>
      <c r="U334" s="1743"/>
      <c r="V334" s="1743"/>
      <c r="W334" s="1743"/>
      <c r="X334" s="1743"/>
      <c r="Y334" s="1743"/>
      <c r="Z334" s="1743"/>
    </row>
    <row r="335" spans="5:26" s="1738" customFormat="1">
      <c r="E335" s="1743"/>
      <c r="F335" s="1743"/>
      <c r="I335" s="1743"/>
      <c r="J335" s="1743"/>
      <c r="K335" s="1743"/>
      <c r="L335" s="1743"/>
      <c r="M335" s="1743"/>
      <c r="N335" s="1743"/>
      <c r="O335" s="1743"/>
      <c r="P335" s="1743"/>
      <c r="Q335" s="1743"/>
      <c r="R335" s="1743"/>
      <c r="S335" s="1743"/>
      <c r="T335" s="1743"/>
      <c r="U335" s="1743"/>
      <c r="V335" s="1743"/>
      <c r="W335" s="1743"/>
      <c r="X335" s="1743"/>
      <c r="Y335" s="1743"/>
      <c r="Z335" s="1743"/>
    </row>
    <row r="336" spans="5:26" s="1738" customFormat="1">
      <c r="E336" s="1743"/>
      <c r="F336" s="1743"/>
      <c r="I336" s="1743"/>
      <c r="J336" s="1743"/>
      <c r="K336" s="1743"/>
      <c r="L336" s="1743"/>
      <c r="M336" s="1743"/>
      <c r="N336" s="1743"/>
      <c r="O336" s="1743"/>
      <c r="P336" s="1743"/>
      <c r="Q336" s="1743"/>
      <c r="R336" s="1743"/>
      <c r="S336" s="1743"/>
      <c r="T336" s="1743"/>
      <c r="U336" s="1743"/>
      <c r="V336" s="1743"/>
      <c r="W336" s="1743"/>
      <c r="X336" s="1743"/>
      <c r="Y336" s="1743"/>
      <c r="Z336" s="1743"/>
    </row>
    <row r="337" spans="5:26" s="1738" customFormat="1">
      <c r="E337" s="1743"/>
      <c r="F337" s="1743"/>
      <c r="I337" s="1743"/>
      <c r="J337" s="1743"/>
      <c r="K337" s="1743"/>
      <c r="L337" s="1743"/>
      <c r="M337" s="1743"/>
      <c r="N337" s="1743"/>
      <c r="O337" s="1743"/>
      <c r="P337" s="1743"/>
      <c r="Q337" s="1743"/>
      <c r="R337" s="1743"/>
      <c r="S337" s="1743"/>
      <c r="T337" s="1743"/>
      <c r="U337" s="1743"/>
      <c r="V337" s="1743"/>
      <c r="W337" s="1743"/>
      <c r="X337" s="1743"/>
      <c r="Y337" s="1743"/>
      <c r="Z337" s="1743"/>
    </row>
    <row r="338" spans="5:26" s="1738" customFormat="1">
      <c r="E338" s="1743"/>
      <c r="F338" s="1743"/>
      <c r="I338" s="1743"/>
      <c r="J338" s="1743"/>
      <c r="K338" s="1743"/>
      <c r="L338" s="1743"/>
      <c r="M338" s="1743"/>
      <c r="N338" s="1743"/>
      <c r="O338" s="1743"/>
      <c r="P338" s="1743"/>
      <c r="Q338" s="1743"/>
      <c r="R338" s="1743"/>
      <c r="S338" s="1743"/>
      <c r="T338" s="1743"/>
      <c r="U338" s="1743"/>
      <c r="V338" s="1743"/>
      <c r="W338" s="1743"/>
      <c r="X338" s="1743"/>
      <c r="Y338" s="1743"/>
      <c r="Z338" s="1743"/>
    </row>
    <row r="339" spans="5:26" s="1738" customFormat="1">
      <c r="E339" s="1743"/>
      <c r="F339" s="1743"/>
      <c r="I339" s="1743"/>
      <c r="J339" s="1743"/>
      <c r="K339" s="1743"/>
      <c r="L339" s="1743"/>
      <c r="M339" s="1743"/>
      <c r="N339" s="1743"/>
      <c r="O339" s="1743"/>
      <c r="P339" s="1743"/>
      <c r="Q339" s="1743"/>
      <c r="R339" s="1743"/>
      <c r="S339" s="1743"/>
      <c r="T339" s="1743"/>
      <c r="U339" s="1743"/>
      <c r="V339" s="1743"/>
      <c r="W339" s="1743"/>
      <c r="X339" s="1743"/>
      <c r="Y339" s="1743"/>
      <c r="Z339" s="1743"/>
    </row>
    <row r="340" spans="5:26" s="1738" customFormat="1">
      <c r="E340" s="1743"/>
      <c r="F340" s="1743"/>
      <c r="I340" s="1743"/>
      <c r="J340" s="1743"/>
      <c r="K340" s="1743"/>
      <c r="L340" s="1743"/>
      <c r="M340" s="1743"/>
      <c r="N340" s="1743"/>
      <c r="O340" s="1743"/>
      <c r="P340" s="1743"/>
      <c r="Q340" s="1743"/>
      <c r="R340" s="1743"/>
      <c r="S340" s="1743"/>
      <c r="T340" s="1743"/>
      <c r="U340" s="1743"/>
      <c r="V340" s="1743"/>
      <c r="W340" s="1743"/>
      <c r="X340" s="1743"/>
      <c r="Y340" s="1743"/>
      <c r="Z340" s="1743"/>
    </row>
    <row r="341" spans="5:26" s="1738" customFormat="1">
      <c r="E341" s="1743"/>
      <c r="F341" s="1743"/>
      <c r="I341" s="1743"/>
      <c r="J341" s="1743"/>
      <c r="K341" s="1743"/>
      <c r="L341" s="1743"/>
      <c r="M341" s="1743"/>
      <c r="N341" s="1743"/>
      <c r="O341" s="1743"/>
      <c r="P341" s="1743"/>
      <c r="Q341" s="1743"/>
      <c r="R341" s="1743"/>
      <c r="S341" s="1743"/>
      <c r="T341" s="1743"/>
      <c r="U341" s="1743"/>
      <c r="V341" s="1743"/>
      <c r="W341" s="1743"/>
      <c r="X341" s="1743"/>
      <c r="Y341" s="1743"/>
      <c r="Z341" s="1743"/>
    </row>
    <row r="342" spans="5:26" s="1738" customFormat="1">
      <c r="E342" s="1743"/>
      <c r="F342" s="1743"/>
      <c r="I342" s="1743"/>
      <c r="J342" s="1743"/>
      <c r="K342" s="1743"/>
      <c r="L342" s="1743"/>
      <c r="M342" s="1743"/>
      <c r="N342" s="1743"/>
      <c r="O342" s="1743"/>
      <c r="P342" s="1743"/>
      <c r="Q342" s="1743"/>
      <c r="R342" s="1743"/>
      <c r="S342" s="1743"/>
      <c r="T342" s="1743"/>
      <c r="U342" s="1743"/>
      <c r="V342" s="1743"/>
      <c r="W342" s="1743"/>
      <c r="X342" s="1743"/>
      <c r="Y342" s="1743"/>
      <c r="Z342" s="1743"/>
    </row>
    <row r="343" spans="5:26" s="1738" customFormat="1">
      <c r="E343" s="1743"/>
      <c r="F343" s="1743"/>
      <c r="I343" s="1743"/>
      <c r="J343" s="1743"/>
      <c r="K343" s="1743"/>
      <c r="L343" s="1743"/>
      <c r="M343" s="1743"/>
      <c r="N343" s="1743"/>
      <c r="O343" s="1743"/>
      <c r="P343" s="1743"/>
      <c r="Q343" s="1743"/>
      <c r="R343" s="1743"/>
      <c r="S343" s="1743"/>
      <c r="T343" s="1743"/>
      <c r="U343" s="1743"/>
      <c r="V343" s="1743"/>
      <c r="W343" s="1743"/>
      <c r="X343" s="1743"/>
      <c r="Y343" s="1743"/>
      <c r="Z343" s="1743"/>
    </row>
    <row r="344" spans="5:26" s="1738" customFormat="1">
      <c r="E344" s="1743"/>
      <c r="F344" s="1743"/>
      <c r="I344" s="1743"/>
      <c r="J344" s="1743"/>
      <c r="K344" s="1743"/>
      <c r="L344" s="1743"/>
      <c r="M344" s="1743"/>
      <c r="N344" s="1743"/>
      <c r="O344" s="1743"/>
      <c r="P344" s="1743"/>
      <c r="Q344" s="1743"/>
      <c r="R344" s="1743"/>
      <c r="S344" s="1743"/>
      <c r="T344" s="1743"/>
      <c r="U344" s="1743"/>
      <c r="V344" s="1743"/>
      <c r="W344" s="1743"/>
      <c r="X344" s="1743"/>
      <c r="Y344" s="1743"/>
      <c r="Z344" s="1743"/>
    </row>
    <row r="345" spans="5:26" s="1738" customFormat="1">
      <c r="E345" s="1743"/>
      <c r="F345" s="1743"/>
      <c r="I345" s="1743"/>
      <c r="J345" s="1743"/>
      <c r="K345" s="1743"/>
      <c r="L345" s="1743"/>
      <c r="M345" s="1743"/>
      <c r="N345" s="1743"/>
      <c r="O345" s="1743"/>
      <c r="P345" s="1743"/>
      <c r="Q345" s="1743"/>
      <c r="R345" s="1743"/>
      <c r="S345" s="1743"/>
      <c r="T345" s="1743"/>
      <c r="U345" s="1743"/>
      <c r="V345" s="1743"/>
      <c r="W345" s="1743"/>
      <c r="X345" s="1743"/>
      <c r="Y345" s="1743"/>
      <c r="Z345" s="1743"/>
    </row>
    <row r="346" spans="5:26" s="1738" customFormat="1">
      <c r="E346" s="1743"/>
      <c r="F346" s="1743"/>
      <c r="I346" s="1743"/>
      <c r="J346" s="1743"/>
      <c r="K346" s="1743"/>
      <c r="L346" s="1743"/>
      <c r="M346" s="1743"/>
      <c r="N346" s="1743"/>
      <c r="O346" s="1743"/>
      <c r="P346" s="1743"/>
      <c r="Q346" s="1743"/>
      <c r="R346" s="1743"/>
      <c r="S346" s="1743"/>
      <c r="T346" s="1743"/>
      <c r="U346" s="1743"/>
      <c r="V346" s="1743"/>
      <c r="W346" s="1743"/>
      <c r="X346" s="1743"/>
      <c r="Y346" s="1743"/>
      <c r="Z346" s="1743"/>
    </row>
    <row r="347" spans="5:26" s="1738" customFormat="1">
      <c r="E347" s="1743"/>
      <c r="F347" s="1743"/>
      <c r="I347" s="1743"/>
      <c r="J347" s="1743"/>
      <c r="K347" s="1743"/>
      <c r="L347" s="1743"/>
      <c r="M347" s="1743"/>
      <c r="N347" s="1743"/>
      <c r="O347" s="1743"/>
      <c r="P347" s="1743"/>
      <c r="Q347" s="1743"/>
      <c r="R347" s="1743"/>
      <c r="S347" s="1743"/>
      <c r="T347" s="1743"/>
      <c r="U347" s="1743"/>
      <c r="V347" s="1743"/>
      <c r="W347" s="1743"/>
      <c r="X347" s="1743"/>
      <c r="Y347" s="1743"/>
      <c r="Z347" s="1743"/>
    </row>
    <row r="348" spans="5:26" s="1738" customFormat="1">
      <c r="E348" s="1743"/>
      <c r="F348" s="1743"/>
      <c r="I348" s="1743"/>
      <c r="J348" s="1743"/>
      <c r="K348" s="1743"/>
      <c r="L348" s="1743"/>
      <c r="M348" s="1743"/>
      <c r="N348" s="1743"/>
      <c r="O348" s="1743"/>
      <c r="P348" s="1743"/>
      <c r="Q348" s="1743"/>
      <c r="R348" s="1743"/>
      <c r="S348" s="1743"/>
      <c r="T348" s="1743"/>
      <c r="U348" s="1743"/>
      <c r="V348" s="1743"/>
      <c r="W348" s="1743"/>
      <c r="X348" s="1743"/>
      <c r="Y348" s="1743"/>
      <c r="Z348" s="1743"/>
    </row>
    <row r="349" spans="5:26" s="1738" customFormat="1">
      <c r="E349" s="1743"/>
      <c r="F349" s="1743"/>
      <c r="I349" s="1743"/>
      <c r="J349" s="1743"/>
      <c r="K349" s="1743"/>
      <c r="L349" s="1743"/>
      <c r="M349" s="1743"/>
      <c r="N349" s="1743"/>
      <c r="O349" s="1743"/>
      <c r="P349" s="1743"/>
      <c r="Q349" s="1743"/>
      <c r="R349" s="1743"/>
      <c r="S349" s="1743"/>
      <c r="T349" s="1743"/>
      <c r="U349" s="1743"/>
      <c r="V349" s="1743"/>
      <c r="W349" s="1743"/>
      <c r="X349" s="1743"/>
      <c r="Y349" s="1743"/>
      <c r="Z349" s="1743"/>
    </row>
    <row r="350" spans="5:26" s="1738" customFormat="1">
      <c r="E350" s="1743"/>
      <c r="F350" s="1743"/>
      <c r="I350" s="1743"/>
      <c r="J350" s="1743"/>
      <c r="K350" s="1743"/>
      <c r="L350" s="1743"/>
      <c r="M350" s="1743"/>
      <c r="N350" s="1743"/>
      <c r="O350" s="1743"/>
      <c r="P350" s="1743"/>
      <c r="Q350" s="1743"/>
      <c r="R350" s="1743"/>
      <c r="S350" s="1743"/>
      <c r="T350" s="1743"/>
      <c r="U350" s="1743"/>
      <c r="V350" s="1743"/>
      <c r="W350" s="1743"/>
      <c r="X350" s="1743"/>
      <c r="Y350" s="1743"/>
      <c r="Z350" s="1743"/>
    </row>
    <row r="351" spans="5:26" s="1738" customFormat="1">
      <c r="E351" s="1743"/>
      <c r="F351" s="1743"/>
      <c r="I351" s="1743"/>
      <c r="J351" s="1743"/>
      <c r="K351" s="1743"/>
      <c r="L351" s="1743"/>
      <c r="M351" s="1743"/>
      <c r="N351" s="1743"/>
      <c r="O351" s="1743"/>
      <c r="P351" s="1743"/>
      <c r="Q351" s="1743"/>
      <c r="R351" s="1743"/>
      <c r="S351" s="1743"/>
      <c r="T351" s="1743"/>
      <c r="U351" s="1743"/>
      <c r="V351" s="1743"/>
      <c r="W351" s="1743"/>
      <c r="X351" s="1743"/>
      <c r="Y351" s="1743"/>
      <c r="Z351" s="1743"/>
    </row>
    <row r="352" spans="5:26" s="1738" customFormat="1">
      <c r="E352" s="1743"/>
      <c r="F352" s="1743"/>
      <c r="I352" s="1743"/>
      <c r="J352" s="1743"/>
      <c r="K352" s="1743"/>
      <c r="L352" s="1743"/>
      <c r="M352" s="1743"/>
      <c r="N352" s="1743"/>
      <c r="O352" s="1743"/>
      <c r="P352" s="1743"/>
      <c r="Q352" s="1743"/>
      <c r="R352" s="1743"/>
      <c r="S352" s="1743"/>
      <c r="T352" s="1743"/>
      <c r="U352" s="1743"/>
      <c r="V352" s="1743"/>
      <c r="W352" s="1743"/>
      <c r="X352" s="1743"/>
      <c r="Y352" s="1743"/>
      <c r="Z352" s="1743"/>
    </row>
    <row r="353" spans="5:26" s="1738" customFormat="1">
      <c r="E353" s="1743"/>
      <c r="F353" s="1743"/>
      <c r="I353" s="1743"/>
      <c r="J353" s="1743"/>
      <c r="K353" s="1743"/>
      <c r="L353" s="1743"/>
      <c r="M353" s="1743"/>
      <c r="N353" s="1743"/>
      <c r="O353" s="1743"/>
      <c r="P353" s="1743"/>
      <c r="Q353" s="1743"/>
      <c r="R353" s="1743"/>
      <c r="S353" s="1743"/>
      <c r="T353" s="1743"/>
      <c r="U353" s="1743"/>
      <c r="V353" s="1743"/>
      <c r="W353" s="1743"/>
      <c r="X353" s="1743"/>
      <c r="Y353" s="1743"/>
      <c r="Z353" s="1743"/>
    </row>
    <row r="354" spans="5:26" s="1738" customFormat="1">
      <c r="E354" s="1743"/>
      <c r="F354" s="1743"/>
      <c r="I354" s="1743"/>
      <c r="J354" s="1743"/>
      <c r="K354" s="1743"/>
      <c r="L354" s="1743"/>
      <c r="M354" s="1743"/>
      <c r="N354" s="1743"/>
      <c r="O354" s="1743"/>
      <c r="P354" s="1743"/>
      <c r="Q354" s="1743"/>
      <c r="R354" s="1743"/>
      <c r="S354" s="1743"/>
      <c r="T354" s="1743"/>
      <c r="U354" s="1743"/>
      <c r="V354" s="1743"/>
      <c r="W354" s="1743"/>
      <c r="X354" s="1743"/>
      <c r="Y354" s="1743"/>
      <c r="Z354" s="1743"/>
    </row>
    <row r="355" spans="5:26" s="1738" customFormat="1">
      <c r="E355" s="1743"/>
      <c r="F355" s="1743"/>
      <c r="I355" s="1743"/>
      <c r="J355" s="1743"/>
      <c r="K355" s="1743"/>
      <c r="L355" s="1743"/>
      <c r="M355" s="1743"/>
      <c r="N355" s="1743"/>
      <c r="O355" s="1743"/>
      <c r="P355" s="1743"/>
      <c r="Q355" s="1743"/>
      <c r="R355" s="1743"/>
      <c r="S355" s="1743"/>
      <c r="T355" s="1743"/>
      <c r="U355" s="1743"/>
      <c r="V355" s="1743"/>
      <c r="W355" s="1743"/>
      <c r="X355" s="1743"/>
      <c r="Y355" s="1743"/>
      <c r="Z355" s="1743"/>
    </row>
    <row r="356" spans="5:26" s="1738" customFormat="1">
      <c r="E356" s="1743"/>
      <c r="F356" s="1743"/>
      <c r="I356" s="1743"/>
      <c r="J356" s="1743"/>
      <c r="K356" s="1743"/>
      <c r="L356" s="1743"/>
      <c r="M356" s="1743"/>
      <c r="N356" s="1743"/>
      <c r="O356" s="1743"/>
      <c r="P356" s="1743"/>
      <c r="Q356" s="1743"/>
      <c r="R356" s="1743"/>
      <c r="S356" s="1743"/>
      <c r="T356" s="1743"/>
      <c r="U356" s="1743"/>
      <c r="V356" s="1743"/>
      <c r="W356" s="1743"/>
      <c r="X356" s="1743"/>
      <c r="Y356" s="1743"/>
      <c r="Z356" s="1743"/>
    </row>
    <row r="357" spans="5:26" s="1738" customFormat="1">
      <c r="E357" s="1743"/>
      <c r="F357" s="1743"/>
      <c r="I357" s="1743"/>
      <c r="J357" s="1743"/>
      <c r="K357" s="1743"/>
      <c r="L357" s="1743"/>
      <c r="M357" s="1743"/>
      <c r="N357" s="1743"/>
      <c r="O357" s="1743"/>
      <c r="P357" s="1743"/>
      <c r="Q357" s="1743"/>
      <c r="R357" s="1743"/>
      <c r="S357" s="1743"/>
      <c r="T357" s="1743"/>
      <c r="U357" s="1743"/>
      <c r="V357" s="1743"/>
      <c r="W357" s="1743"/>
      <c r="X357" s="1743"/>
      <c r="Y357" s="1743"/>
      <c r="Z357" s="1743"/>
    </row>
    <row r="358" spans="5:26" s="1738" customFormat="1">
      <c r="E358" s="1743"/>
      <c r="F358" s="1743"/>
      <c r="I358" s="1743"/>
      <c r="J358" s="1743"/>
      <c r="K358" s="1743"/>
      <c r="L358" s="1743"/>
      <c r="M358" s="1743"/>
      <c r="N358" s="1743"/>
      <c r="O358" s="1743"/>
      <c r="P358" s="1743"/>
      <c r="Q358" s="1743"/>
      <c r="R358" s="1743"/>
      <c r="S358" s="1743"/>
      <c r="T358" s="1743"/>
      <c r="U358" s="1743"/>
      <c r="V358" s="1743"/>
      <c r="W358" s="1743"/>
      <c r="X358" s="1743"/>
      <c r="Y358" s="1743"/>
      <c r="Z358" s="1743"/>
    </row>
    <row r="359" spans="5:26" s="1738" customFormat="1">
      <c r="E359" s="1743"/>
      <c r="F359" s="1743"/>
      <c r="I359" s="1743"/>
      <c r="J359" s="1743"/>
      <c r="K359" s="1743"/>
      <c r="L359" s="1743"/>
      <c r="M359" s="1743"/>
      <c r="N359" s="1743"/>
      <c r="O359" s="1743"/>
      <c r="P359" s="1743"/>
      <c r="Q359" s="1743"/>
      <c r="R359" s="1743"/>
      <c r="S359" s="1743"/>
      <c r="T359" s="1743"/>
      <c r="U359" s="1743"/>
      <c r="V359" s="1743"/>
      <c r="W359" s="1743"/>
      <c r="X359" s="1743"/>
      <c r="Y359" s="1743"/>
      <c r="Z359" s="1743"/>
    </row>
    <row r="360" spans="5:26" s="1738" customFormat="1">
      <c r="E360" s="1743"/>
      <c r="F360" s="1743"/>
      <c r="I360" s="1743"/>
      <c r="J360" s="1743"/>
      <c r="K360" s="1743"/>
      <c r="L360" s="1743"/>
      <c r="M360" s="1743"/>
      <c r="N360" s="1743"/>
      <c r="O360" s="1743"/>
      <c r="P360" s="1743"/>
      <c r="Q360" s="1743"/>
      <c r="R360" s="1743"/>
      <c r="S360" s="1743"/>
      <c r="T360" s="1743"/>
      <c r="U360" s="1743"/>
      <c r="V360" s="1743"/>
      <c r="W360" s="1743"/>
      <c r="X360" s="1743"/>
      <c r="Y360" s="1743"/>
      <c r="Z360" s="1743"/>
    </row>
    <row r="361" spans="5:26" s="1738" customFormat="1">
      <c r="E361" s="1743"/>
      <c r="F361" s="1743"/>
      <c r="I361" s="1743"/>
      <c r="J361" s="1743"/>
      <c r="K361" s="1743"/>
      <c r="L361" s="1743"/>
      <c r="M361" s="1743"/>
      <c r="N361" s="1743"/>
      <c r="O361" s="1743"/>
      <c r="P361" s="1743"/>
      <c r="Q361" s="1743"/>
      <c r="R361" s="1743"/>
      <c r="S361" s="1743"/>
      <c r="T361" s="1743"/>
      <c r="U361" s="1743"/>
      <c r="V361" s="1743"/>
      <c r="W361" s="1743"/>
      <c r="X361" s="1743"/>
      <c r="Y361" s="1743"/>
      <c r="Z361" s="1743"/>
    </row>
    <row r="362" spans="5:26" s="1738" customFormat="1">
      <c r="E362" s="1743"/>
      <c r="F362" s="1743"/>
      <c r="I362" s="1743"/>
      <c r="J362" s="1743"/>
      <c r="K362" s="1743"/>
      <c r="L362" s="1743"/>
      <c r="M362" s="1743"/>
      <c r="N362" s="1743"/>
      <c r="O362" s="1743"/>
      <c r="P362" s="1743"/>
      <c r="Q362" s="1743"/>
      <c r="R362" s="1743"/>
      <c r="S362" s="1743"/>
      <c r="T362" s="1743"/>
      <c r="U362" s="1743"/>
      <c r="V362" s="1743"/>
      <c r="W362" s="1743"/>
      <c r="X362" s="1743"/>
      <c r="Y362" s="1743"/>
      <c r="Z362" s="1743"/>
    </row>
    <row r="363" spans="5:26" s="1738" customFormat="1">
      <c r="E363" s="1743"/>
      <c r="F363" s="1743"/>
      <c r="I363" s="1743"/>
      <c r="J363" s="1743"/>
      <c r="K363" s="1743"/>
      <c r="L363" s="1743"/>
      <c r="M363" s="1743"/>
      <c r="N363" s="1743"/>
      <c r="O363" s="1743"/>
      <c r="P363" s="1743"/>
      <c r="Q363" s="1743"/>
      <c r="R363" s="1743"/>
      <c r="S363" s="1743"/>
      <c r="T363" s="1743"/>
      <c r="U363" s="1743"/>
      <c r="V363" s="1743"/>
      <c r="W363" s="1743"/>
      <c r="X363" s="1743"/>
      <c r="Y363" s="1743"/>
      <c r="Z363" s="1743"/>
    </row>
    <row r="364" spans="5:26" s="1738" customFormat="1">
      <c r="E364" s="1743"/>
      <c r="F364" s="1743"/>
      <c r="I364" s="1743"/>
      <c r="J364" s="1743"/>
      <c r="K364" s="1743"/>
      <c r="L364" s="1743"/>
      <c r="M364" s="1743"/>
      <c r="N364" s="1743"/>
      <c r="O364" s="1743"/>
      <c r="P364" s="1743"/>
      <c r="Q364" s="1743"/>
      <c r="R364" s="1743"/>
      <c r="S364" s="1743"/>
      <c r="T364" s="1743"/>
      <c r="U364" s="1743"/>
      <c r="V364" s="1743"/>
      <c r="W364" s="1743"/>
      <c r="X364" s="1743"/>
      <c r="Y364" s="1743"/>
      <c r="Z364" s="1743"/>
    </row>
    <row r="365" spans="5:26" s="1738" customFormat="1">
      <c r="E365" s="1743"/>
      <c r="F365" s="1743"/>
      <c r="I365" s="1743"/>
      <c r="J365" s="1743"/>
      <c r="K365" s="1743"/>
      <c r="L365" s="1743"/>
      <c r="M365" s="1743"/>
      <c r="N365" s="1743"/>
      <c r="O365" s="1743"/>
      <c r="P365" s="1743"/>
      <c r="Q365" s="1743"/>
      <c r="R365" s="1743"/>
      <c r="S365" s="1743"/>
      <c r="T365" s="1743"/>
      <c r="U365" s="1743"/>
      <c r="V365" s="1743"/>
      <c r="W365" s="1743"/>
      <c r="X365" s="1743"/>
      <c r="Y365" s="1743"/>
      <c r="Z365" s="1743"/>
    </row>
    <row r="366" spans="5:26" s="1738" customFormat="1">
      <c r="E366" s="1743"/>
      <c r="F366" s="1743"/>
      <c r="I366" s="1743"/>
      <c r="J366" s="1743"/>
      <c r="K366" s="1743"/>
      <c r="L366" s="1743"/>
      <c r="M366" s="1743"/>
      <c r="N366" s="1743"/>
      <c r="O366" s="1743"/>
      <c r="P366" s="1743"/>
      <c r="Q366" s="1743"/>
      <c r="R366" s="1743"/>
      <c r="S366" s="1743"/>
      <c r="T366" s="1743"/>
      <c r="U366" s="1743"/>
      <c r="V366" s="1743"/>
      <c r="W366" s="1743"/>
      <c r="X366" s="1743"/>
      <c r="Y366" s="1743"/>
      <c r="Z366" s="1743"/>
    </row>
    <row r="367" spans="5:26" s="1738" customFormat="1">
      <c r="E367" s="1743"/>
      <c r="F367" s="1743"/>
      <c r="I367" s="1743"/>
      <c r="J367" s="1743"/>
      <c r="K367" s="1743"/>
      <c r="L367" s="1743"/>
      <c r="M367" s="1743"/>
      <c r="N367" s="1743"/>
      <c r="O367" s="1743"/>
      <c r="P367" s="1743"/>
      <c r="Q367" s="1743"/>
      <c r="R367" s="1743"/>
      <c r="S367" s="1743"/>
      <c r="T367" s="1743"/>
      <c r="U367" s="1743"/>
      <c r="V367" s="1743"/>
      <c r="W367" s="1743"/>
      <c r="X367" s="1743"/>
      <c r="Y367" s="1743"/>
      <c r="Z367" s="1743"/>
    </row>
    <row r="368" spans="5:26" s="1738" customFormat="1">
      <c r="E368" s="1743"/>
      <c r="F368" s="1743"/>
      <c r="I368" s="1743"/>
      <c r="J368" s="1743"/>
      <c r="K368" s="1743"/>
      <c r="L368" s="1743"/>
      <c r="M368" s="1743"/>
      <c r="N368" s="1743"/>
      <c r="O368" s="1743"/>
      <c r="P368" s="1743"/>
      <c r="Q368" s="1743"/>
      <c r="R368" s="1743"/>
      <c r="S368" s="1743"/>
      <c r="T368" s="1743"/>
      <c r="U368" s="1743"/>
      <c r="V368" s="1743"/>
      <c r="W368" s="1743"/>
      <c r="X368" s="1743"/>
      <c r="Y368" s="1743"/>
      <c r="Z368" s="1743"/>
    </row>
    <row r="369" spans="5:26" s="1738" customFormat="1">
      <c r="E369" s="1743"/>
      <c r="F369" s="1743"/>
      <c r="I369" s="1743"/>
      <c r="J369" s="1743"/>
      <c r="K369" s="1743"/>
      <c r="L369" s="1743"/>
      <c r="M369" s="1743"/>
      <c r="N369" s="1743"/>
      <c r="O369" s="1743"/>
      <c r="P369" s="1743"/>
      <c r="Q369" s="1743"/>
      <c r="R369" s="1743"/>
      <c r="S369" s="1743"/>
      <c r="T369" s="1743"/>
      <c r="U369" s="1743"/>
      <c r="V369" s="1743"/>
      <c r="W369" s="1743"/>
      <c r="X369" s="1743"/>
      <c r="Y369" s="1743"/>
      <c r="Z369" s="1743"/>
    </row>
    <row r="370" spans="5:26" s="1738" customFormat="1">
      <c r="E370" s="1743"/>
      <c r="F370" s="1743"/>
      <c r="I370" s="1743"/>
      <c r="J370" s="1743"/>
      <c r="K370" s="1743"/>
      <c r="L370" s="1743"/>
      <c r="M370" s="1743"/>
      <c r="N370" s="1743"/>
      <c r="O370" s="1743"/>
      <c r="P370" s="1743"/>
      <c r="Q370" s="1743"/>
      <c r="R370" s="1743"/>
      <c r="S370" s="1743"/>
      <c r="T370" s="1743"/>
      <c r="U370" s="1743"/>
      <c r="V370" s="1743"/>
      <c r="W370" s="1743"/>
      <c r="X370" s="1743"/>
      <c r="Y370" s="1743"/>
      <c r="Z370" s="1743"/>
    </row>
    <row r="371" spans="5:26" s="1738" customFormat="1">
      <c r="E371" s="1743"/>
      <c r="F371" s="1743"/>
      <c r="I371" s="1743"/>
      <c r="J371" s="1743"/>
      <c r="K371" s="1743"/>
      <c r="L371" s="1743"/>
      <c r="M371" s="1743"/>
      <c r="N371" s="1743"/>
      <c r="O371" s="1743"/>
      <c r="P371" s="1743"/>
      <c r="Q371" s="1743"/>
      <c r="R371" s="1743"/>
      <c r="S371" s="1743"/>
      <c r="T371" s="1743"/>
      <c r="U371" s="1743"/>
      <c r="V371" s="1743"/>
      <c r="W371" s="1743"/>
      <c r="X371" s="1743"/>
      <c r="Y371" s="1743"/>
      <c r="Z371" s="1743"/>
    </row>
    <row r="372" spans="5:26" s="1738" customFormat="1">
      <c r="E372" s="1743"/>
      <c r="F372" s="1743"/>
      <c r="I372" s="1743"/>
      <c r="J372" s="1743"/>
      <c r="K372" s="1743"/>
      <c r="L372" s="1743"/>
      <c r="M372" s="1743"/>
      <c r="N372" s="1743"/>
      <c r="O372" s="1743"/>
      <c r="P372" s="1743"/>
      <c r="Q372" s="1743"/>
      <c r="R372" s="1743"/>
      <c r="S372" s="1743"/>
      <c r="T372" s="1743"/>
      <c r="U372" s="1743"/>
      <c r="V372" s="1743"/>
      <c r="W372" s="1743"/>
      <c r="X372" s="1743"/>
      <c r="Y372" s="1743"/>
      <c r="Z372" s="1743"/>
    </row>
    <row r="373" spans="5:26" s="1738" customFormat="1">
      <c r="E373" s="1743"/>
      <c r="F373" s="1743"/>
      <c r="I373" s="1743"/>
      <c r="J373" s="1743"/>
      <c r="K373" s="1743"/>
      <c r="L373" s="1743"/>
      <c r="M373" s="1743"/>
      <c r="N373" s="1743"/>
      <c r="O373" s="1743"/>
      <c r="P373" s="1743"/>
      <c r="Q373" s="1743"/>
      <c r="R373" s="1743"/>
      <c r="S373" s="1743"/>
      <c r="T373" s="1743"/>
      <c r="U373" s="1743"/>
      <c r="V373" s="1743"/>
      <c r="W373" s="1743"/>
      <c r="X373" s="1743"/>
      <c r="Y373" s="1743"/>
      <c r="Z373" s="1743"/>
    </row>
    <row r="374" spans="5:26" s="1738" customFormat="1">
      <c r="E374" s="1743"/>
      <c r="F374" s="1743"/>
      <c r="I374" s="1743"/>
      <c r="J374" s="1743"/>
      <c r="K374" s="1743"/>
      <c r="L374" s="1743"/>
      <c r="M374" s="1743"/>
      <c r="N374" s="1743"/>
      <c r="O374" s="1743"/>
      <c r="P374" s="1743"/>
      <c r="Q374" s="1743"/>
      <c r="R374" s="1743"/>
      <c r="S374" s="1743"/>
      <c r="T374" s="1743"/>
      <c r="U374" s="1743"/>
      <c r="V374" s="1743"/>
      <c r="W374" s="1743"/>
      <c r="X374" s="1743"/>
      <c r="Y374" s="1743"/>
      <c r="Z374" s="1743"/>
    </row>
    <row r="375" spans="5:26" s="1738" customFormat="1">
      <c r="E375" s="1743"/>
      <c r="F375" s="1743"/>
      <c r="I375" s="1743"/>
      <c r="J375" s="1743"/>
      <c r="K375" s="1743"/>
      <c r="L375" s="1743"/>
      <c r="M375" s="1743"/>
      <c r="N375" s="1743"/>
      <c r="O375" s="1743"/>
      <c r="P375" s="1743"/>
      <c r="Q375" s="1743"/>
      <c r="R375" s="1743"/>
      <c r="S375" s="1743"/>
      <c r="T375" s="1743"/>
      <c r="U375" s="1743"/>
      <c r="V375" s="1743"/>
      <c r="W375" s="1743"/>
      <c r="X375" s="1743"/>
      <c r="Y375" s="1743"/>
      <c r="Z375" s="1743"/>
    </row>
    <row r="376" spans="5:26" s="1738" customFormat="1">
      <c r="E376" s="1743"/>
      <c r="F376" s="1743"/>
      <c r="I376" s="1743"/>
      <c r="J376" s="1743"/>
      <c r="K376" s="1743"/>
      <c r="L376" s="1743"/>
      <c r="M376" s="1743"/>
      <c r="N376" s="1743"/>
      <c r="O376" s="1743"/>
      <c r="P376" s="1743"/>
      <c r="Q376" s="1743"/>
      <c r="R376" s="1743"/>
      <c r="S376" s="1743"/>
      <c r="T376" s="1743"/>
      <c r="U376" s="1743"/>
      <c r="V376" s="1743"/>
      <c r="W376" s="1743"/>
      <c r="X376" s="1743"/>
      <c r="Y376" s="1743"/>
      <c r="Z376" s="1743"/>
    </row>
    <row r="377" spans="5:26" s="1738" customFormat="1">
      <c r="E377" s="1743"/>
      <c r="F377" s="1743"/>
      <c r="I377" s="1743"/>
      <c r="J377" s="1743"/>
      <c r="K377" s="1743"/>
      <c r="L377" s="1743"/>
      <c r="M377" s="1743"/>
      <c r="N377" s="1743"/>
      <c r="O377" s="1743"/>
      <c r="P377" s="1743"/>
      <c r="Q377" s="1743"/>
      <c r="R377" s="1743"/>
      <c r="S377" s="1743"/>
      <c r="T377" s="1743"/>
      <c r="U377" s="1743"/>
      <c r="V377" s="1743"/>
      <c r="W377" s="1743"/>
      <c r="X377" s="1743"/>
      <c r="Y377" s="1743"/>
      <c r="Z377" s="1743"/>
    </row>
    <row r="378" spans="5:26" s="1738" customFormat="1">
      <c r="E378" s="1743"/>
      <c r="F378" s="1743"/>
      <c r="I378" s="1743"/>
      <c r="J378" s="1743"/>
      <c r="K378" s="1743"/>
      <c r="L378" s="1743"/>
      <c r="M378" s="1743"/>
      <c r="N378" s="1743"/>
      <c r="O378" s="1743"/>
      <c r="P378" s="1743"/>
      <c r="Q378" s="1743"/>
      <c r="R378" s="1743"/>
      <c r="S378" s="1743"/>
      <c r="T378" s="1743"/>
      <c r="U378" s="1743"/>
      <c r="V378" s="1743"/>
      <c r="W378" s="1743"/>
      <c r="X378" s="1743"/>
      <c r="Y378" s="1743"/>
      <c r="Z378" s="1743"/>
    </row>
    <row r="379" spans="5:26" s="1738" customFormat="1">
      <c r="E379" s="1743"/>
      <c r="F379" s="1743"/>
      <c r="I379" s="1743"/>
      <c r="J379" s="1743"/>
      <c r="K379" s="1743"/>
      <c r="L379" s="1743"/>
      <c r="M379" s="1743"/>
      <c r="N379" s="1743"/>
      <c r="O379" s="1743"/>
      <c r="P379" s="1743"/>
      <c r="Q379" s="1743"/>
      <c r="R379" s="1743"/>
      <c r="S379" s="1743"/>
      <c r="T379" s="1743"/>
      <c r="U379" s="1743"/>
      <c r="V379" s="1743"/>
      <c r="W379" s="1743"/>
      <c r="X379" s="1743"/>
      <c r="Y379" s="1743"/>
      <c r="Z379" s="1743"/>
    </row>
    <row r="380" spans="5:26" s="1738" customFormat="1">
      <c r="E380" s="1743"/>
      <c r="F380" s="1743"/>
      <c r="I380" s="1743"/>
      <c r="J380" s="1743"/>
      <c r="K380" s="1743"/>
      <c r="L380" s="1743"/>
      <c r="M380" s="1743"/>
      <c r="N380" s="1743"/>
      <c r="O380" s="1743"/>
      <c r="P380" s="1743"/>
      <c r="Q380" s="1743"/>
      <c r="R380" s="1743"/>
      <c r="S380" s="1743"/>
      <c r="T380" s="1743"/>
      <c r="U380" s="1743"/>
      <c r="V380" s="1743"/>
      <c r="W380" s="1743"/>
      <c r="X380" s="1743"/>
      <c r="Y380" s="1743"/>
      <c r="Z380" s="1743"/>
    </row>
    <row r="381" spans="5:26" s="1738" customFormat="1">
      <c r="E381" s="1743"/>
      <c r="F381" s="1743"/>
      <c r="I381" s="1743"/>
      <c r="J381" s="1743"/>
      <c r="K381" s="1743"/>
      <c r="L381" s="1743"/>
      <c r="M381" s="1743"/>
      <c r="N381" s="1743"/>
      <c r="O381" s="1743"/>
      <c r="P381" s="1743"/>
      <c r="Q381" s="1743"/>
      <c r="R381" s="1743"/>
      <c r="S381" s="1743"/>
      <c r="T381" s="1743"/>
      <c r="U381" s="1743"/>
      <c r="V381" s="1743"/>
      <c r="W381" s="1743"/>
      <c r="X381" s="1743"/>
      <c r="Y381" s="1743"/>
      <c r="Z381" s="1743"/>
    </row>
    <row r="382" spans="5:26" s="1738" customFormat="1">
      <c r="E382" s="1743"/>
      <c r="F382" s="1743"/>
      <c r="I382" s="1743"/>
      <c r="J382" s="1743"/>
      <c r="K382" s="1743"/>
      <c r="L382" s="1743"/>
      <c r="M382" s="1743"/>
      <c r="N382" s="1743"/>
      <c r="O382" s="1743"/>
      <c r="P382" s="1743"/>
      <c r="Q382" s="1743"/>
      <c r="R382" s="1743"/>
      <c r="S382" s="1743"/>
      <c r="T382" s="1743"/>
      <c r="U382" s="1743"/>
      <c r="V382" s="1743"/>
      <c r="W382" s="1743"/>
      <c r="X382" s="1743"/>
      <c r="Y382" s="1743"/>
      <c r="Z382" s="1743"/>
    </row>
    <row r="383" spans="5:26" s="1738" customFormat="1">
      <c r="E383" s="1743"/>
      <c r="F383" s="1743"/>
      <c r="I383" s="1743"/>
      <c r="J383" s="1743"/>
      <c r="K383" s="1743"/>
      <c r="L383" s="1743"/>
      <c r="M383" s="1743"/>
      <c r="N383" s="1743"/>
      <c r="O383" s="1743"/>
      <c r="P383" s="1743"/>
      <c r="Q383" s="1743"/>
      <c r="R383" s="1743"/>
      <c r="S383" s="1743"/>
      <c r="T383" s="1743"/>
      <c r="U383" s="1743"/>
      <c r="V383" s="1743"/>
      <c r="W383" s="1743"/>
      <c r="X383" s="1743"/>
      <c r="Y383" s="1743"/>
      <c r="Z383" s="1743"/>
    </row>
    <row r="384" spans="5:26" s="1738" customFormat="1">
      <c r="E384" s="1743"/>
      <c r="F384" s="1743"/>
      <c r="I384" s="1743"/>
      <c r="J384" s="1743"/>
      <c r="K384" s="1743"/>
      <c r="L384" s="1743"/>
      <c r="M384" s="1743"/>
      <c r="N384" s="1743"/>
      <c r="O384" s="1743"/>
      <c r="P384" s="1743"/>
      <c r="Q384" s="1743"/>
      <c r="R384" s="1743"/>
      <c r="S384" s="1743"/>
      <c r="T384" s="1743"/>
      <c r="U384" s="1743"/>
      <c r="V384" s="1743"/>
      <c r="W384" s="1743"/>
      <c r="X384" s="1743"/>
      <c r="Y384" s="1743"/>
      <c r="Z384" s="1743"/>
    </row>
    <row r="385" spans="5:26" s="1738" customFormat="1">
      <c r="E385" s="1743"/>
      <c r="F385" s="1743"/>
      <c r="I385" s="1743"/>
      <c r="J385" s="1743"/>
      <c r="K385" s="1743"/>
      <c r="L385" s="1743"/>
      <c r="M385" s="1743"/>
      <c r="N385" s="1743"/>
      <c r="O385" s="1743"/>
      <c r="P385" s="1743"/>
      <c r="Q385" s="1743"/>
      <c r="R385" s="1743"/>
      <c r="S385" s="1743"/>
      <c r="T385" s="1743"/>
      <c r="U385" s="1743"/>
      <c r="V385" s="1743"/>
      <c r="W385" s="1743"/>
      <c r="X385" s="1743"/>
      <c r="Y385" s="1743"/>
      <c r="Z385" s="1743"/>
    </row>
    <row r="386" spans="5:26" s="1738" customFormat="1">
      <c r="E386" s="1743"/>
      <c r="F386" s="1743"/>
      <c r="I386" s="1743"/>
      <c r="J386" s="1743"/>
      <c r="K386" s="1743"/>
      <c r="L386" s="1743"/>
      <c r="M386" s="1743"/>
      <c r="N386" s="1743"/>
      <c r="O386" s="1743"/>
      <c r="P386" s="1743"/>
      <c r="Q386" s="1743"/>
      <c r="R386" s="1743"/>
      <c r="S386" s="1743"/>
      <c r="T386" s="1743"/>
      <c r="U386" s="1743"/>
      <c r="V386" s="1743"/>
      <c r="W386" s="1743"/>
      <c r="X386" s="1743"/>
      <c r="Y386" s="1743"/>
      <c r="Z386" s="1743"/>
    </row>
    <row r="387" spans="5:26" s="1738" customFormat="1">
      <c r="E387" s="1743"/>
      <c r="F387" s="1743"/>
      <c r="I387" s="1743"/>
      <c r="J387" s="1743"/>
      <c r="K387" s="1743"/>
      <c r="L387" s="1743"/>
      <c r="M387" s="1743"/>
      <c r="N387" s="1743"/>
      <c r="O387" s="1743"/>
      <c r="P387" s="1743"/>
      <c r="Q387" s="1743"/>
      <c r="R387" s="1743"/>
      <c r="S387" s="1743"/>
      <c r="T387" s="1743"/>
      <c r="U387" s="1743"/>
      <c r="V387" s="1743"/>
      <c r="W387" s="1743"/>
      <c r="X387" s="1743"/>
      <c r="Y387" s="1743"/>
      <c r="Z387" s="1743"/>
    </row>
    <row r="388" spans="5:26" s="1738" customFormat="1">
      <c r="E388" s="1743"/>
      <c r="F388" s="1743"/>
      <c r="I388" s="1743"/>
      <c r="J388" s="1743"/>
      <c r="K388" s="1743"/>
      <c r="L388" s="1743"/>
      <c r="M388" s="1743"/>
      <c r="N388" s="1743"/>
      <c r="O388" s="1743"/>
      <c r="P388" s="1743"/>
      <c r="Q388" s="1743"/>
      <c r="R388" s="1743"/>
      <c r="S388" s="1743"/>
      <c r="T388" s="1743"/>
      <c r="U388" s="1743"/>
      <c r="V388" s="1743"/>
      <c r="W388" s="1743"/>
      <c r="X388" s="1743"/>
      <c r="Y388" s="1743"/>
      <c r="Z388" s="1743"/>
    </row>
    <row r="389" spans="5:26" s="1738" customFormat="1">
      <c r="E389" s="1743"/>
      <c r="F389" s="1743"/>
      <c r="I389" s="1743"/>
      <c r="J389" s="1743"/>
      <c r="K389" s="1743"/>
      <c r="L389" s="1743"/>
      <c r="M389" s="1743"/>
      <c r="N389" s="1743"/>
      <c r="O389" s="1743"/>
      <c r="P389" s="1743"/>
      <c r="Q389" s="1743"/>
      <c r="R389" s="1743"/>
      <c r="S389" s="1743"/>
      <c r="T389" s="1743"/>
      <c r="U389" s="1743"/>
      <c r="V389" s="1743"/>
      <c r="W389" s="1743"/>
      <c r="X389" s="1743"/>
      <c r="Y389" s="1743"/>
      <c r="Z389" s="1743"/>
    </row>
    <row r="390" spans="5:26" s="1738" customFormat="1">
      <c r="E390" s="1743"/>
      <c r="F390" s="1743"/>
      <c r="I390" s="1743"/>
      <c r="J390" s="1743"/>
      <c r="K390" s="1743"/>
      <c r="L390" s="1743"/>
      <c r="M390" s="1743"/>
      <c r="N390" s="1743"/>
      <c r="O390" s="1743"/>
      <c r="P390" s="1743"/>
      <c r="Q390" s="1743"/>
      <c r="R390" s="1743"/>
      <c r="S390" s="1743"/>
      <c r="T390" s="1743"/>
      <c r="U390" s="1743"/>
      <c r="V390" s="1743"/>
      <c r="W390" s="1743"/>
      <c r="X390" s="1743"/>
      <c r="Y390" s="1743"/>
      <c r="Z390" s="1743"/>
    </row>
    <row r="391" spans="5:26" s="1738" customFormat="1">
      <c r="E391" s="1743"/>
      <c r="F391" s="1743"/>
      <c r="I391" s="1743"/>
      <c r="J391" s="1743"/>
      <c r="K391" s="1743"/>
      <c r="L391" s="1743"/>
      <c r="M391" s="1743"/>
      <c r="N391" s="1743"/>
      <c r="O391" s="1743"/>
      <c r="P391" s="1743"/>
      <c r="Q391" s="1743"/>
      <c r="R391" s="1743"/>
      <c r="S391" s="1743"/>
      <c r="T391" s="1743"/>
      <c r="U391" s="1743"/>
      <c r="V391" s="1743"/>
      <c r="W391" s="1743"/>
      <c r="X391" s="1743"/>
      <c r="Y391" s="1743"/>
      <c r="Z391" s="1743"/>
    </row>
    <row r="392" spans="5:26" s="1738" customFormat="1">
      <c r="E392" s="1743"/>
      <c r="F392" s="1743"/>
      <c r="I392" s="1743"/>
      <c r="J392" s="1743"/>
      <c r="K392" s="1743"/>
      <c r="L392" s="1743"/>
      <c r="M392" s="1743"/>
      <c r="N392" s="1743"/>
      <c r="O392" s="1743"/>
      <c r="P392" s="1743"/>
      <c r="Q392" s="1743"/>
      <c r="R392" s="1743"/>
      <c r="S392" s="1743"/>
      <c r="T392" s="1743"/>
      <c r="U392" s="1743"/>
      <c r="V392" s="1743"/>
      <c r="W392" s="1743"/>
      <c r="X392" s="1743"/>
      <c r="Y392" s="1743"/>
      <c r="Z392" s="1743"/>
    </row>
    <row r="393" spans="5:26" s="1738" customFormat="1">
      <c r="E393" s="1743"/>
      <c r="F393" s="1743"/>
      <c r="I393" s="1743"/>
      <c r="J393" s="1743"/>
      <c r="K393" s="1743"/>
      <c r="L393" s="1743"/>
      <c r="M393" s="1743"/>
      <c r="N393" s="1743"/>
      <c r="O393" s="1743"/>
      <c r="P393" s="1743"/>
      <c r="Q393" s="1743"/>
      <c r="R393" s="1743"/>
      <c r="S393" s="1743"/>
      <c r="T393" s="1743"/>
      <c r="U393" s="1743"/>
      <c r="V393" s="1743"/>
      <c r="W393" s="1743"/>
      <c r="X393" s="1743"/>
      <c r="Y393" s="1743"/>
      <c r="Z393" s="1743"/>
    </row>
    <row r="394" spans="5:26" s="1738" customFormat="1">
      <c r="E394" s="1743"/>
      <c r="F394" s="1743"/>
      <c r="I394" s="1743"/>
      <c r="J394" s="1743"/>
      <c r="K394" s="1743"/>
      <c r="L394" s="1743"/>
      <c r="M394" s="1743"/>
      <c r="N394" s="1743"/>
      <c r="O394" s="1743"/>
      <c r="P394" s="1743"/>
      <c r="Q394" s="1743"/>
      <c r="R394" s="1743"/>
      <c r="S394" s="1743"/>
      <c r="T394" s="1743"/>
      <c r="U394" s="1743"/>
      <c r="V394" s="1743"/>
      <c r="W394" s="1743"/>
      <c r="X394" s="1743"/>
      <c r="Y394" s="1743"/>
      <c r="Z394" s="1743"/>
    </row>
    <row r="395" spans="5:26" s="1738" customFormat="1">
      <c r="E395" s="1743"/>
      <c r="F395" s="1743"/>
      <c r="I395" s="1743"/>
      <c r="J395" s="1743"/>
      <c r="K395" s="1743"/>
      <c r="L395" s="1743"/>
      <c r="M395" s="1743"/>
      <c r="N395" s="1743"/>
      <c r="O395" s="1743"/>
      <c r="P395" s="1743"/>
      <c r="Q395" s="1743"/>
      <c r="R395" s="1743"/>
      <c r="S395" s="1743"/>
      <c r="T395" s="1743"/>
      <c r="U395" s="1743"/>
      <c r="V395" s="1743"/>
      <c r="W395" s="1743"/>
      <c r="X395" s="1743"/>
      <c r="Y395" s="1743"/>
      <c r="Z395" s="1743"/>
    </row>
    <row r="396" spans="5:26" s="1738" customFormat="1">
      <c r="E396" s="1743"/>
      <c r="F396" s="1743"/>
      <c r="I396" s="1743"/>
      <c r="J396" s="1743"/>
      <c r="K396" s="1743"/>
      <c r="L396" s="1743"/>
      <c r="M396" s="1743"/>
      <c r="N396" s="1743"/>
      <c r="O396" s="1743"/>
      <c r="P396" s="1743"/>
      <c r="Q396" s="1743"/>
      <c r="R396" s="1743"/>
      <c r="S396" s="1743"/>
      <c r="T396" s="1743"/>
      <c r="U396" s="1743"/>
      <c r="V396" s="1743"/>
      <c r="W396" s="1743"/>
      <c r="X396" s="1743"/>
      <c r="Y396" s="1743"/>
      <c r="Z396" s="1743"/>
    </row>
    <row r="397" spans="5:26" s="1738" customFormat="1">
      <c r="E397" s="1743"/>
      <c r="F397" s="1743"/>
      <c r="I397" s="1743"/>
      <c r="J397" s="1743"/>
      <c r="K397" s="1743"/>
      <c r="L397" s="1743"/>
      <c r="M397" s="1743"/>
      <c r="N397" s="1743"/>
      <c r="O397" s="1743"/>
      <c r="P397" s="1743"/>
      <c r="Q397" s="1743"/>
      <c r="R397" s="1743"/>
      <c r="S397" s="1743"/>
      <c r="T397" s="1743"/>
      <c r="U397" s="1743"/>
      <c r="V397" s="1743"/>
      <c r="W397" s="1743"/>
      <c r="X397" s="1743"/>
      <c r="Y397" s="1743"/>
      <c r="Z397" s="1743"/>
    </row>
    <row r="398" spans="5:26" s="1738" customFormat="1">
      <c r="E398" s="1743"/>
      <c r="F398" s="1743"/>
      <c r="I398" s="1743"/>
      <c r="J398" s="1743"/>
      <c r="K398" s="1743"/>
      <c r="L398" s="1743"/>
      <c r="M398" s="1743"/>
      <c r="N398" s="1743"/>
      <c r="O398" s="1743"/>
      <c r="P398" s="1743"/>
      <c r="Q398" s="1743"/>
      <c r="R398" s="1743"/>
      <c r="S398" s="1743"/>
      <c r="T398" s="1743"/>
      <c r="U398" s="1743"/>
      <c r="V398" s="1743"/>
      <c r="W398" s="1743"/>
      <c r="X398" s="1743"/>
      <c r="Y398" s="1743"/>
      <c r="Z398" s="1743"/>
    </row>
    <row r="399" spans="5:26" s="1738" customFormat="1">
      <c r="E399" s="1743"/>
      <c r="F399" s="1743"/>
      <c r="I399" s="1743"/>
      <c r="J399" s="1743"/>
      <c r="K399" s="1743"/>
      <c r="L399" s="1743"/>
      <c r="M399" s="1743"/>
      <c r="N399" s="1743"/>
      <c r="O399" s="1743"/>
      <c r="P399" s="1743"/>
      <c r="Q399" s="1743"/>
      <c r="R399" s="1743"/>
      <c r="S399" s="1743"/>
      <c r="T399" s="1743"/>
      <c r="U399" s="1743"/>
      <c r="V399" s="1743"/>
      <c r="W399" s="1743"/>
      <c r="X399" s="1743"/>
      <c r="Y399" s="1743"/>
      <c r="Z399" s="1743"/>
    </row>
    <row r="400" spans="5:26" s="1738" customFormat="1">
      <c r="E400" s="1743"/>
      <c r="F400" s="1743"/>
      <c r="I400" s="1743"/>
      <c r="J400" s="1743"/>
      <c r="K400" s="1743"/>
      <c r="L400" s="1743"/>
      <c r="M400" s="1743"/>
      <c r="N400" s="1743"/>
      <c r="O400" s="1743"/>
      <c r="P400" s="1743"/>
      <c r="Q400" s="1743"/>
      <c r="R400" s="1743"/>
      <c r="S400" s="1743"/>
      <c r="T400" s="1743"/>
      <c r="U400" s="1743"/>
      <c r="V400" s="1743"/>
      <c r="W400" s="1743"/>
      <c r="X400" s="1743"/>
      <c r="Y400" s="1743"/>
      <c r="Z400" s="1743"/>
    </row>
    <row r="401" spans="5:26" s="1738" customFormat="1">
      <c r="E401" s="1743"/>
      <c r="F401" s="1743"/>
      <c r="I401" s="1743"/>
      <c r="J401" s="1743"/>
      <c r="K401" s="1743"/>
      <c r="L401" s="1743"/>
      <c r="M401" s="1743"/>
      <c r="N401" s="1743"/>
      <c r="O401" s="1743"/>
      <c r="P401" s="1743"/>
      <c r="Q401" s="1743"/>
      <c r="R401" s="1743"/>
      <c r="S401" s="1743"/>
      <c r="T401" s="1743"/>
      <c r="U401" s="1743"/>
      <c r="V401" s="1743"/>
      <c r="W401" s="1743"/>
      <c r="X401" s="1743"/>
      <c r="Y401" s="1743"/>
      <c r="Z401" s="1743"/>
    </row>
    <row r="402" spans="5:26" s="1738" customFormat="1">
      <c r="E402" s="1743"/>
      <c r="F402" s="1743"/>
      <c r="I402" s="1743"/>
      <c r="J402" s="1743"/>
      <c r="K402" s="1743"/>
      <c r="L402" s="1743"/>
      <c r="M402" s="1743"/>
      <c r="N402" s="1743"/>
      <c r="O402" s="1743"/>
      <c r="P402" s="1743"/>
      <c r="Q402" s="1743"/>
      <c r="R402" s="1743"/>
      <c r="S402" s="1743"/>
      <c r="T402" s="1743"/>
      <c r="U402" s="1743"/>
      <c r="V402" s="1743"/>
      <c r="W402" s="1743"/>
      <c r="X402" s="1743"/>
      <c r="Y402" s="1743"/>
      <c r="Z402" s="1743"/>
    </row>
    <row r="403" spans="5:26" s="1738" customFormat="1">
      <c r="E403" s="1743"/>
      <c r="F403" s="1743"/>
      <c r="I403" s="1743"/>
      <c r="J403" s="1743"/>
      <c r="K403" s="1743"/>
      <c r="L403" s="1743"/>
      <c r="M403" s="1743"/>
      <c r="N403" s="1743"/>
      <c r="O403" s="1743"/>
      <c r="P403" s="1743"/>
      <c r="Q403" s="1743"/>
      <c r="R403" s="1743"/>
      <c r="S403" s="1743"/>
      <c r="T403" s="1743"/>
      <c r="U403" s="1743"/>
      <c r="V403" s="1743"/>
      <c r="W403" s="1743"/>
      <c r="X403" s="1743"/>
      <c r="Y403" s="1743"/>
      <c r="Z403" s="1743"/>
    </row>
    <row r="404" spans="5:26" s="1738" customFormat="1">
      <c r="E404" s="1743"/>
      <c r="F404" s="1743"/>
      <c r="I404" s="1743"/>
      <c r="J404" s="1743"/>
      <c r="K404" s="1743"/>
      <c r="L404" s="1743"/>
      <c r="M404" s="1743"/>
      <c r="N404" s="1743"/>
      <c r="O404" s="1743"/>
      <c r="P404" s="1743"/>
      <c r="Q404" s="1743"/>
      <c r="R404" s="1743"/>
      <c r="S404" s="1743"/>
      <c r="T404" s="1743"/>
      <c r="U404" s="1743"/>
      <c r="V404" s="1743"/>
      <c r="W404" s="1743"/>
      <c r="X404" s="1743"/>
      <c r="Y404" s="1743"/>
      <c r="Z404" s="1743"/>
    </row>
    <row r="405" spans="5:26" s="1738" customFormat="1">
      <c r="E405" s="1743"/>
      <c r="F405" s="1743"/>
      <c r="I405" s="1743"/>
      <c r="J405" s="1743"/>
      <c r="K405" s="1743"/>
      <c r="L405" s="1743"/>
      <c r="M405" s="1743"/>
      <c r="N405" s="1743"/>
      <c r="O405" s="1743"/>
      <c r="P405" s="1743"/>
      <c r="Q405" s="1743"/>
      <c r="R405" s="1743"/>
      <c r="S405" s="1743"/>
      <c r="T405" s="1743"/>
      <c r="U405" s="1743"/>
      <c r="V405" s="1743"/>
      <c r="W405" s="1743"/>
      <c r="X405" s="1743"/>
      <c r="Y405" s="1743"/>
      <c r="Z405" s="1743"/>
    </row>
    <row r="406" spans="5:26" s="1738" customFormat="1">
      <c r="E406" s="1743"/>
      <c r="F406" s="1743"/>
      <c r="I406" s="1743"/>
      <c r="J406" s="1743"/>
      <c r="K406" s="1743"/>
      <c r="L406" s="1743"/>
      <c r="M406" s="1743"/>
      <c r="N406" s="1743"/>
      <c r="O406" s="1743"/>
      <c r="P406" s="1743"/>
      <c r="Q406" s="1743"/>
      <c r="R406" s="1743"/>
      <c r="S406" s="1743"/>
      <c r="T406" s="1743"/>
      <c r="U406" s="1743"/>
      <c r="V406" s="1743"/>
      <c r="W406" s="1743"/>
      <c r="X406" s="1743"/>
      <c r="Y406" s="1743"/>
      <c r="Z406" s="1743"/>
    </row>
    <row r="407" spans="5:26" s="1738" customFormat="1">
      <c r="E407" s="1743"/>
      <c r="F407" s="1743"/>
      <c r="I407" s="1743"/>
      <c r="J407" s="1743"/>
      <c r="K407" s="1743"/>
      <c r="L407" s="1743"/>
      <c r="M407" s="1743"/>
      <c r="N407" s="1743"/>
      <c r="O407" s="1743"/>
      <c r="P407" s="1743"/>
      <c r="Q407" s="1743"/>
      <c r="R407" s="1743"/>
      <c r="S407" s="1743"/>
      <c r="T407" s="1743"/>
      <c r="U407" s="1743"/>
      <c r="V407" s="1743"/>
      <c r="W407" s="1743"/>
      <c r="X407" s="1743"/>
      <c r="Y407" s="1743"/>
      <c r="Z407" s="1743"/>
    </row>
    <row r="408" spans="5:26" s="1738" customFormat="1">
      <c r="E408" s="1743"/>
      <c r="F408" s="1743"/>
      <c r="I408" s="1743"/>
      <c r="J408" s="1743"/>
      <c r="K408" s="1743"/>
      <c r="L408" s="1743"/>
      <c r="M408" s="1743"/>
      <c r="N408" s="1743"/>
      <c r="O408" s="1743"/>
      <c r="P408" s="1743"/>
      <c r="Q408" s="1743"/>
      <c r="R408" s="1743"/>
      <c r="S408" s="1743"/>
      <c r="T408" s="1743"/>
      <c r="U408" s="1743"/>
      <c r="V408" s="1743"/>
      <c r="W408" s="1743"/>
      <c r="X408" s="1743"/>
      <c r="Y408" s="1743"/>
      <c r="Z408" s="1743"/>
    </row>
    <row r="409" spans="5:26" s="1738" customFormat="1">
      <c r="E409" s="1743"/>
      <c r="F409" s="1743"/>
      <c r="I409" s="1743"/>
      <c r="J409" s="1743"/>
      <c r="K409" s="1743"/>
      <c r="L409" s="1743"/>
      <c r="M409" s="1743"/>
      <c r="N409" s="1743"/>
      <c r="O409" s="1743"/>
      <c r="P409" s="1743"/>
      <c r="Q409" s="1743"/>
      <c r="R409" s="1743"/>
      <c r="S409" s="1743"/>
      <c r="T409" s="1743"/>
      <c r="U409" s="1743"/>
      <c r="V409" s="1743"/>
      <c r="W409" s="1743"/>
      <c r="X409" s="1743"/>
      <c r="Y409" s="1743"/>
      <c r="Z409" s="1743"/>
    </row>
    <row r="410" spans="5:26" s="1738" customFormat="1">
      <c r="E410" s="1743"/>
      <c r="F410" s="1743"/>
      <c r="I410" s="1743"/>
      <c r="J410" s="1743"/>
      <c r="K410" s="1743"/>
      <c r="L410" s="1743"/>
      <c r="M410" s="1743"/>
      <c r="N410" s="1743"/>
      <c r="O410" s="1743"/>
      <c r="P410" s="1743"/>
      <c r="Q410" s="1743"/>
      <c r="R410" s="1743"/>
      <c r="S410" s="1743"/>
      <c r="T410" s="1743"/>
      <c r="U410" s="1743"/>
      <c r="V410" s="1743"/>
      <c r="W410" s="1743"/>
      <c r="X410" s="1743"/>
      <c r="Y410" s="1743"/>
      <c r="Z410" s="1743"/>
    </row>
    <row r="411" spans="5:26" s="1738" customFormat="1">
      <c r="E411" s="1743"/>
      <c r="F411" s="1743"/>
      <c r="I411" s="1743"/>
      <c r="J411" s="1743"/>
      <c r="K411" s="1743"/>
      <c r="L411" s="1743"/>
      <c r="M411" s="1743"/>
      <c r="N411" s="1743"/>
      <c r="O411" s="1743"/>
      <c r="P411" s="1743"/>
      <c r="Q411" s="1743"/>
      <c r="R411" s="1743"/>
      <c r="S411" s="1743"/>
      <c r="T411" s="1743"/>
      <c r="U411" s="1743"/>
      <c r="V411" s="1743"/>
      <c r="W411" s="1743"/>
      <c r="X411" s="1743"/>
      <c r="Y411" s="1743"/>
      <c r="Z411" s="1743"/>
    </row>
    <row r="412" spans="5:26" s="1738" customFormat="1">
      <c r="E412" s="1743"/>
      <c r="F412" s="1743"/>
      <c r="I412" s="1743"/>
      <c r="J412" s="1743"/>
      <c r="K412" s="1743"/>
      <c r="L412" s="1743"/>
      <c r="M412" s="1743"/>
      <c r="N412" s="1743"/>
      <c r="O412" s="1743"/>
      <c r="P412" s="1743"/>
      <c r="Q412" s="1743"/>
      <c r="R412" s="1743"/>
      <c r="S412" s="1743"/>
      <c r="T412" s="1743"/>
      <c r="U412" s="1743"/>
      <c r="V412" s="1743"/>
      <c r="W412" s="1743"/>
      <c r="X412" s="1743"/>
      <c r="Y412" s="1743"/>
      <c r="Z412" s="1743"/>
    </row>
    <row r="413" spans="5:26" s="1738" customFormat="1">
      <c r="E413" s="1743"/>
      <c r="F413" s="1743"/>
      <c r="I413" s="1743"/>
      <c r="J413" s="1743"/>
      <c r="K413" s="1743"/>
      <c r="L413" s="1743"/>
      <c r="M413" s="1743"/>
      <c r="N413" s="1743"/>
      <c r="O413" s="1743"/>
      <c r="P413" s="1743"/>
      <c r="Q413" s="1743"/>
      <c r="R413" s="1743"/>
      <c r="S413" s="1743"/>
      <c r="T413" s="1743"/>
      <c r="U413" s="1743"/>
      <c r="V413" s="1743"/>
      <c r="W413" s="1743"/>
      <c r="X413" s="1743"/>
      <c r="Y413" s="1743"/>
      <c r="Z413" s="1743"/>
    </row>
    <row r="414" spans="5:26" s="1738" customFormat="1">
      <c r="E414" s="1743"/>
      <c r="F414" s="1743"/>
      <c r="I414" s="1743"/>
      <c r="J414" s="1743"/>
      <c r="K414" s="1743"/>
      <c r="L414" s="1743"/>
      <c r="M414" s="1743"/>
      <c r="N414" s="1743"/>
      <c r="O414" s="1743"/>
      <c r="P414" s="1743"/>
      <c r="Q414" s="1743"/>
      <c r="R414" s="1743"/>
      <c r="S414" s="1743"/>
      <c r="T414" s="1743"/>
      <c r="U414" s="1743"/>
      <c r="V414" s="1743"/>
      <c r="W414" s="1743"/>
      <c r="X414" s="1743"/>
      <c r="Y414" s="1743"/>
      <c r="Z414" s="1743"/>
    </row>
    <row r="415" spans="5:26" s="1738" customFormat="1">
      <c r="E415" s="1743"/>
      <c r="F415" s="1743"/>
      <c r="I415" s="1743"/>
      <c r="J415" s="1743"/>
      <c r="K415" s="1743"/>
      <c r="L415" s="1743"/>
      <c r="M415" s="1743"/>
      <c r="N415" s="1743"/>
      <c r="O415" s="1743"/>
      <c r="P415" s="1743"/>
      <c r="Q415" s="1743"/>
      <c r="R415" s="1743"/>
      <c r="S415" s="1743"/>
      <c r="T415" s="1743"/>
      <c r="U415" s="1743"/>
      <c r="V415" s="1743"/>
      <c r="W415" s="1743"/>
      <c r="X415" s="1743"/>
      <c r="Y415" s="1743"/>
      <c r="Z415" s="1743"/>
    </row>
    <row r="416" spans="5:26" s="1738" customFormat="1">
      <c r="E416" s="1743"/>
      <c r="F416" s="1743"/>
      <c r="I416" s="1743"/>
      <c r="J416" s="1743"/>
      <c r="K416" s="1743"/>
      <c r="L416" s="1743"/>
      <c r="M416" s="1743"/>
      <c r="N416" s="1743"/>
      <c r="O416" s="1743"/>
      <c r="P416" s="1743"/>
      <c r="Q416" s="1743"/>
      <c r="R416" s="1743"/>
      <c r="S416" s="1743"/>
      <c r="T416" s="1743"/>
      <c r="U416" s="1743"/>
      <c r="V416" s="1743"/>
      <c r="W416" s="1743"/>
      <c r="X416" s="1743"/>
      <c r="Y416" s="1743"/>
      <c r="Z416" s="1743"/>
    </row>
    <row r="417" spans="5:26" s="1738" customFormat="1">
      <c r="E417" s="1743"/>
      <c r="F417" s="1743"/>
      <c r="I417" s="1743"/>
      <c r="J417" s="1743"/>
      <c r="K417" s="1743"/>
      <c r="L417" s="1743"/>
      <c r="M417" s="1743"/>
      <c r="N417" s="1743"/>
      <c r="O417" s="1743"/>
      <c r="P417" s="1743"/>
      <c r="Q417" s="1743"/>
      <c r="R417" s="1743"/>
      <c r="S417" s="1743"/>
      <c r="T417" s="1743"/>
      <c r="U417" s="1743"/>
      <c r="V417" s="1743"/>
      <c r="W417" s="1743"/>
      <c r="X417" s="1743"/>
      <c r="Y417" s="1743"/>
      <c r="Z417" s="1743"/>
    </row>
    <row r="418" spans="5:26" s="1738" customFormat="1">
      <c r="E418" s="1743"/>
      <c r="F418" s="1743"/>
      <c r="I418" s="1743"/>
      <c r="J418" s="1743"/>
      <c r="K418" s="1743"/>
      <c r="L418" s="1743"/>
      <c r="M418" s="1743"/>
      <c r="N418" s="1743"/>
      <c r="O418" s="1743"/>
      <c r="P418" s="1743"/>
      <c r="Q418" s="1743"/>
      <c r="R418" s="1743"/>
      <c r="S418" s="1743"/>
      <c r="T418" s="1743"/>
      <c r="U418" s="1743"/>
      <c r="V418" s="1743"/>
      <c r="W418" s="1743"/>
      <c r="X418" s="1743"/>
      <c r="Y418" s="1743"/>
      <c r="Z418" s="1743"/>
    </row>
    <row r="419" spans="5:26" s="1738" customFormat="1">
      <c r="E419" s="1743"/>
      <c r="F419" s="1743"/>
      <c r="I419" s="1743"/>
      <c r="J419" s="1743"/>
      <c r="K419" s="1743"/>
      <c r="L419" s="1743"/>
      <c r="M419" s="1743"/>
      <c r="N419" s="1743"/>
      <c r="O419" s="1743"/>
      <c r="P419" s="1743"/>
      <c r="Q419" s="1743"/>
      <c r="R419" s="1743"/>
      <c r="S419" s="1743"/>
      <c r="T419" s="1743"/>
      <c r="U419" s="1743"/>
      <c r="V419" s="1743"/>
      <c r="W419" s="1743"/>
      <c r="X419" s="1743"/>
      <c r="Y419" s="1743"/>
      <c r="Z419" s="1743"/>
    </row>
    <row r="420" spans="5:26" s="1738" customFormat="1">
      <c r="E420" s="1743"/>
      <c r="F420" s="1743"/>
      <c r="I420" s="1743"/>
      <c r="J420" s="1743"/>
      <c r="K420" s="1743"/>
      <c r="L420" s="1743"/>
      <c r="M420" s="1743"/>
      <c r="N420" s="1743"/>
      <c r="O420" s="1743"/>
      <c r="P420" s="1743"/>
      <c r="Q420" s="1743"/>
      <c r="R420" s="1743"/>
      <c r="S420" s="1743"/>
      <c r="T420" s="1743"/>
      <c r="U420" s="1743"/>
      <c r="V420" s="1743"/>
      <c r="W420" s="1743"/>
      <c r="X420" s="1743"/>
      <c r="Y420" s="1743"/>
      <c r="Z420" s="1743"/>
    </row>
    <row r="421" spans="5:26" s="1738" customFormat="1">
      <c r="E421" s="1743"/>
      <c r="F421" s="1743"/>
      <c r="I421" s="1743"/>
      <c r="J421" s="1743"/>
      <c r="K421" s="1743"/>
      <c r="L421" s="1743"/>
      <c r="M421" s="1743"/>
      <c r="N421" s="1743"/>
      <c r="O421" s="1743"/>
      <c r="P421" s="1743"/>
      <c r="Q421" s="1743"/>
      <c r="R421" s="1743"/>
      <c r="S421" s="1743"/>
      <c r="T421" s="1743"/>
      <c r="U421" s="1743"/>
      <c r="V421" s="1743"/>
      <c r="W421" s="1743"/>
      <c r="X421" s="1743"/>
      <c r="Y421" s="1743"/>
      <c r="Z421" s="1743"/>
    </row>
    <row r="422" spans="5:26" s="1738" customFormat="1">
      <c r="E422" s="1743"/>
      <c r="F422" s="1743"/>
      <c r="I422" s="1743"/>
      <c r="J422" s="1743"/>
      <c r="K422" s="1743"/>
      <c r="L422" s="1743"/>
      <c r="M422" s="1743"/>
      <c r="N422" s="1743"/>
      <c r="O422" s="1743"/>
      <c r="P422" s="1743"/>
      <c r="Q422" s="1743"/>
      <c r="R422" s="1743"/>
      <c r="S422" s="1743"/>
      <c r="T422" s="1743"/>
      <c r="U422" s="1743"/>
      <c r="V422" s="1743"/>
      <c r="W422" s="1743"/>
      <c r="X422" s="1743"/>
      <c r="Y422" s="1743"/>
      <c r="Z422" s="1743"/>
    </row>
    <row r="423" spans="5:26" s="1738" customFormat="1">
      <c r="E423" s="1743"/>
      <c r="F423" s="1743"/>
      <c r="I423" s="1743"/>
      <c r="J423" s="1743"/>
      <c r="K423" s="1743"/>
      <c r="L423" s="1743"/>
      <c r="M423" s="1743"/>
      <c r="N423" s="1743"/>
      <c r="O423" s="1743"/>
      <c r="P423" s="1743"/>
      <c r="Q423" s="1743"/>
      <c r="R423" s="1743"/>
      <c r="S423" s="1743"/>
      <c r="T423" s="1743"/>
      <c r="U423" s="1743"/>
      <c r="V423" s="1743"/>
      <c r="W423" s="1743"/>
      <c r="X423" s="1743"/>
      <c r="Y423" s="1743"/>
      <c r="Z423" s="1743"/>
    </row>
    <row r="424" spans="5:26" s="1738" customFormat="1">
      <c r="E424" s="1743"/>
      <c r="F424" s="1743"/>
      <c r="I424" s="1743"/>
      <c r="J424" s="1743"/>
      <c r="K424" s="1743"/>
      <c r="L424" s="1743"/>
      <c r="M424" s="1743"/>
      <c r="N424" s="1743"/>
      <c r="O424" s="1743"/>
      <c r="P424" s="1743"/>
      <c r="Q424" s="1743"/>
      <c r="R424" s="1743"/>
      <c r="S424" s="1743"/>
      <c r="T424" s="1743"/>
      <c r="U424" s="1743"/>
      <c r="V424" s="1743"/>
      <c r="W424" s="1743"/>
      <c r="X424" s="1743"/>
      <c r="Y424" s="1743"/>
      <c r="Z424" s="1743"/>
    </row>
    <row r="425" spans="5:26" s="1738" customFormat="1">
      <c r="E425" s="1743"/>
      <c r="F425" s="1743"/>
      <c r="I425" s="1743"/>
      <c r="J425" s="1743"/>
      <c r="K425" s="1743"/>
      <c r="L425" s="1743"/>
      <c r="M425" s="1743"/>
      <c r="N425" s="1743"/>
      <c r="O425" s="1743"/>
      <c r="P425" s="1743"/>
      <c r="Q425" s="1743"/>
      <c r="R425" s="1743"/>
      <c r="S425" s="1743"/>
      <c r="T425" s="1743"/>
      <c r="U425" s="1743"/>
      <c r="V425" s="1743"/>
      <c r="W425" s="1743"/>
      <c r="X425" s="1743"/>
      <c r="Y425" s="1743"/>
      <c r="Z425" s="1743"/>
    </row>
    <row r="426" spans="5:26" s="1738" customFormat="1">
      <c r="E426" s="1743"/>
      <c r="F426" s="1743"/>
      <c r="I426" s="1743"/>
      <c r="J426" s="1743"/>
      <c r="K426" s="1743"/>
      <c r="L426" s="1743"/>
      <c r="M426" s="1743"/>
      <c r="N426" s="1743"/>
      <c r="O426" s="1743"/>
      <c r="P426" s="1743"/>
      <c r="Q426" s="1743"/>
      <c r="R426" s="1743"/>
      <c r="S426" s="1743"/>
      <c r="T426" s="1743"/>
      <c r="U426" s="1743"/>
      <c r="V426" s="1743"/>
      <c r="W426" s="1743"/>
      <c r="X426" s="1743"/>
      <c r="Y426" s="1743"/>
      <c r="Z426" s="1743"/>
    </row>
    <row r="427" spans="5:26" s="1738" customFormat="1">
      <c r="E427" s="1743"/>
      <c r="F427" s="1743"/>
      <c r="I427" s="1743"/>
      <c r="J427" s="1743"/>
      <c r="K427" s="1743"/>
      <c r="L427" s="1743"/>
      <c r="M427" s="1743"/>
      <c r="N427" s="1743"/>
      <c r="O427" s="1743"/>
      <c r="P427" s="1743"/>
      <c r="Q427" s="1743"/>
      <c r="R427" s="1743"/>
      <c r="S427" s="1743"/>
      <c r="T427" s="1743"/>
      <c r="U427" s="1743"/>
      <c r="V427" s="1743"/>
      <c r="W427" s="1743"/>
      <c r="X427" s="1743"/>
      <c r="Y427" s="1743"/>
      <c r="Z427" s="1743"/>
    </row>
    <row r="428" spans="5:26" s="1738" customFormat="1">
      <c r="E428" s="1743"/>
      <c r="F428" s="1743"/>
      <c r="I428" s="1743"/>
      <c r="J428" s="1743"/>
      <c r="K428" s="1743"/>
      <c r="L428" s="1743"/>
      <c r="M428" s="1743"/>
      <c r="N428" s="1743"/>
      <c r="O428" s="1743"/>
      <c r="P428" s="1743"/>
      <c r="Q428" s="1743"/>
      <c r="R428" s="1743"/>
      <c r="S428" s="1743"/>
      <c r="T428" s="1743"/>
      <c r="U428" s="1743"/>
      <c r="V428" s="1743"/>
      <c r="W428" s="1743"/>
      <c r="X428" s="1743"/>
      <c r="Y428" s="1743"/>
      <c r="Z428" s="1743"/>
    </row>
    <row r="429" spans="5:26" s="1738" customFormat="1">
      <c r="E429" s="1743"/>
      <c r="F429" s="1743"/>
      <c r="I429" s="1743"/>
      <c r="J429" s="1743"/>
      <c r="K429" s="1743"/>
      <c r="L429" s="1743"/>
      <c r="M429" s="1743"/>
      <c r="N429" s="1743"/>
      <c r="O429" s="1743"/>
      <c r="P429" s="1743"/>
      <c r="Q429" s="1743"/>
      <c r="R429" s="1743"/>
      <c r="S429" s="1743"/>
      <c r="T429" s="1743"/>
      <c r="U429" s="1743"/>
      <c r="V429" s="1743"/>
      <c r="W429" s="1743"/>
      <c r="X429" s="1743"/>
      <c r="Y429" s="1743"/>
      <c r="Z429" s="1743"/>
    </row>
    <row r="430" spans="5:26" s="1738" customFormat="1">
      <c r="E430" s="1743"/>
      <c r="F430" s="1743"/>
      <c r="I430" s="1743"/>
      <c r="J430" s="1743"/>
      <c r="K430" s="1743"/>
      <c r="L430" s="1743"/>
      <c r="M430" s="1743"/>
      <c r="N430" s="1743"/>
      <c r="O430" s="1743"/>
      <c r="P430" s="1743"/>
      <c r="Q430" s="1743"/>
      <c r="R430" s="1743"/>
      <c r="S430" s="1743"/>
      <c r="T430" s="1743"/>
      <c r="U430" s="1743"/>
      <c r="V430" s="1743"/>
      <c r="W430" s="1743"/>
      <c r="X430" s="1743"/>
      <c r="Y430" s="1743"/>
      <c r="Z430" s="1743"/>
    </row>
    <row r="431" spans="5:26" s="1738" customFormat="1">
      <c r="E431" s="1743"/>
      <c r="F431" s="1743"/>
      <c r="I431" s="1743"/>
      <c r="J431" s="1743"/>
      <c r="K431" s="1743"/>
      <c r="L431" s="1743"/>
      <c r="M431" s="1743"/>
      <c r="N431" s="1743"/>
      <c r="O431" s="1743"/>
      <c r="P431" s="1743"/>
      <c r="Q431" s="1743"/>
      <c r="R431" s="1743"/>
      <c r="S431" s="1743"/>
      <c r="T431" s="1743"/>
      <c r="U431" s="1743"/>
      <c r="V431" s="1743"/>
      <c r="W431" s="1743"/>
      <c r="X431" s="1743"/>
      <c r="Y431" s="1743"/>
      <c r="Z431" s="1743"/>
    </row>
    <row r="432" spans="5:26" s="1738" customFormat="1">
      <c r="E432" s="1743"/>
      <c r="F432" s="1743"/>
      <c r="I432" s="1743"/>
      <c r="J432" s="1743"/>
      <c r="K432" s="1743"/>
      <c r="L432" s="1743"/>
      <c r="M432" s="1743"/>
      <c r="N432" s="1743"/>
      <c r="O432" s="1743"/>
      <c r="P432" s="1743"/>
      <c r="Q432" s="1743"/>
      <c r="R432" s="1743"/>
      <c r="S432" s="1743"/>
      <c r="T432" s="1743"/>
      <c r="U432" s="1743"/>
      <c r="V432" s="1743"/>
      <c r="W432" s="1743"/>
      <c r="X432" s="1743"/>
      <c r="Y432" s="1743"/>
      <c r="Z432" s="1743"/>
    </row>
    <row r="433" spans="5:26" s="1738" customFormat="1">
      <c r="E433" s="1743"/>
      <c r="F433" s="1743"/>
      <c r="I433" s="1743"/>
      <c r="J433" s="1743"/>
      <c r="K433" s="1743"/>
      <c r="L433" s="1743"/>
      <c r="M433" s="1743"/>
      <c r="N433" s="1743"/>
      <c r="O433" s="1743"/>
      <c r="P433" s="1743"/>
      <c r="Q433" s="1743"/>
      <c r="R433" s="1743"/>
      <c r="S433" s="1743"/>
      <c r="T433" s="1743"/>
      <c r="U433" s="1743"/>
      <c r="V433" s="1743"/>
      <c r="W433" s="1743"/>
      <c r="X433" s="1743"/>
      <c r="Y433" s="1743"/>
      <c r="Z433" s="1743"/>
    </row>
    <row r="434" spans="5:26" s="1738" customFormat="1">
      <c r="E434" s="1743"/>
      <c r="F434" s="1743"/>
      <c r="I434" s="1743"/>
      <c r="J434" s="1743"/>
      <c r="K434" s="1743"/>
      <c r="L434" s="1743"/>
      <c r="M434" s="1743"/>
      <c r="N434" s="1743"/>
      <c r="O434" s="1743"/>
      <c r="P434" s="1743"/>
      <c r="Q434" s="1743"/>
      <c r="R434" s="1743"/>
      <c r="S434" s="1743"/>
      <c r="T434" s="1743"/>
      <c r="U434" s="1743"/>
      <c r="V434" s="1743"/>
      <c r="W434" s="1743"/>
      <c r="X434" s="1743"/>
      <c r="Y434" s="1743"/>
      <c r="Z434" s="1743"/>
    </row>
    <row r="435" spans="5:26" s="1738" customFormat="1">
      <c r="E435" s="1743"/>
      <c r="F435" s="1743"/>
      <c r="I435" s="1743"/>
      <c r="J435" s="1743"/>
      <c r="K435" s="1743"/>
      <c r="L435" s="1743"/>
      <c r="M435" s="1743"/>
      <c r="N435" s="1743"/>
      <c r="O435" s="1743"/>
      <c r="P435" s="1743"/>
      <c r="Q435" s="1743"/>
      <c r="R435" s="1743"/>
      <c r="S435" s="1743"/>
      <c r="T435" s="1743"/>
      <c r="U435" s="1743"/>
      <c r="V435" s="1743"/>
      <c r="W435" s="1743"/>
      <c r="X435" s="1743"/>
      <c r="Y435" s="1743"/>
      <c r="Z435" s="1743"/>
    </row>
    <row r="436" spans="5:26" s="1738" customFormat="1">
      <c r="E436" s="1743"/>
      <c r="F436" s="1743"/>
      <c r="I436" s="1743"/>
      <c r="J436" s="1743"/>
      <c r="K436" s="1743"/>
      <c r="L436" s="1743"/>
      <c r="M436" s="1743"/>
      <c r="N436" s="1743"/>
      <c r="O436" s="1743"/>
      <c r="P436" s="1743"/>
      <c r="Q436" s="1743"/>
      <c r="R436" s="1743"/>
      <c r="S436" s="1743"/>
      <c r="T436" s="1743"/>
      <c r="U436" s="1743"/>
      <c r="V436" s="1743"/>
      <c r="W436" s="1743"/>
      <c r="X436" s="1743"/>
      <c r="Y436" s="1743"/>
      <c r="Z436" s="1743"/>
    </row>
    <row r="437" spans="5:26" s="1738" customFormat="1">
      <c r="E437" s="1743"/>
      <c r="F437" s="1743"/>
      <c r="I437" s="1743"/>
      <c r="J437" s="1743"/>
      <c r="K437" s="1743"/>
      <c r="L437" s="1743"/>
      <c r="M437" s="1743"/>
      <c r="N437" s="1743"/>
      <c r="O437" s="1743"/>
      <c r="P437" s="1743"/>
      <c r="Q437" s="1743"/>
      <c r="R437" s="1743"/>
      <c r="S437" s="1743"/>
      <c r="T437" s="1743"/>
      <c r="U437" s="1743"/>
      <c r="V437" s="1743"/>
      <c r="W437" s="1743"/>
      <c r="X437" s="1743"/>
      <c r="Y437" s="1743"/>
      <c r="Z437" s="1743"/>
    </row>
    <row r="438" spans="5:26" s="1738" customFormat="1">
      <c r="E438" s="1743"/>
      <c r="F438" s="1743"/>
      <c r="I438" s="1743"/>
      <c r="J438" s="1743"/>
      <c r="K438" s="1743"/>
      <c r="L438" s="1743"/>
      <c r="M438" s="1743"/>
      <c r="N438" s="1743"/>
      <c r="O438" s="1743"/>
      <c r="P438" s="1743"/>
      <c r="Q438" s="1743"/>
      <c r="R438" s="1743"/>
      <c r="S438" s="1743"/>
      <c r="T438" s="1743"/>
      <c r="U438" s="1743"/>
      <c r="V438" s="1743"/>
      <c r="W438" s="1743"/>
      <c r="X438" s="1743"/>
      <c r="Y438" s="1743"/>
      <c r="Z438" s="1743"/>
    </row>
    <row r="439" spans="5:26" s="1738" customFormat="1">
      <c r="E439" s="1743"/>
      <c r="F439" s="1743"/>
      <c r="I439" s="1743"/>
      <c r="J439" s="1743"/>
      <c r="K439" s="1743"/>
      <c r="L439" s="1743"/>
      <c r="M439" s="1743"/>
      <c r="N439" s="1743"/>
      <c r="O439" s="1743"/>
      <c r="P439" s="1743"/>
      <c r="Q439" s="1743"/>
      <c r="R439" s="1743"/>
      <c r="S439" s="1743"/>
      <c r="T439" s="1743"/>
      <c r="U439" s="1743"/>
      <c r="V439" s="1743"/>
      <c r="W439" s="1743"/>
      <c r="X439" s="1743"/>
      <c r="Y439" s="1743"/>
      <c r="Z439" s="1743"/>
    </row>
    <row r="440" spans="5:26" s="1738" customFormat="1">
      <c r="E440" s="1743"/>
      <c r="F440" s="1743"/>
      <c r="I440" s="1743"/>
      <c r="J440" s="1743"/>
      <c r="K440" s="1743"/>
      <c r="L440" s="1743"/>
      <c r="M440" s="1743"/>
      <c r="N440" s="1743"/>
      <c r="O440" s="1743"/>
      <c r="P440" s="1743"/>
      <c r="Q440" s="1743"/>
      <c r="R440" s="1743"/>
      <c r="S440" s="1743"/>
      <c r="T440" s="1743"/>
      <c r="U440" s="1743"/>
      <c r="V440" s="1743"/>
      <c r="W440" s="1743"/>
      <c r="X440" s="1743"/>
      <c r="Y440" s="1743"/>
      <c r="Z440" s="1743"/>
    </row>
    <row r="441" spans="5:26" s="1738" customFormat="1">
      <c r="E441" s="1743"/>
      <c r="F441" s="1743"/>
      <c r="I441" s="1743"/>
      <c r="J441" s="1743"/>
      <c r="K441" s="1743"/>
      <c r="L441" s="1743"/>
      <c r="M441" s="1743"/>
      <c r="N441" s="1743"/>
      <c r="O441" s="1743"/>
      <c r="P441" s="1743"/>
      <c r="Q441" s="1743"/>
      <c r="R441" s="1743"/>
      <c r="S441" s="1743"/>
      <c r="T441" s="1743"/>
      <c r="U441" s="1743"/>
      <c r="V441" s="1743"/>
      <c r="W441" s="1743"/>
      <c r="X441" s="1743"/>
      <c r="Y441" s="1743"/>
      <c r="Z441" s="1743"/>
    </row>
    <row r="442" spans="5:26" s="1738" customFormat="1">
      <c r="E442" s="1743"/>
      <c r="F442" s="1743"/>
      <c r="I442" s="1743"/>
      <c r="J442" s="1743"/>
      <c r="K442" s="1743"/>
      <c r="L442" s="1743"/>
      <c r="M442" s="1743"/>
      <c r="N442" s="1743"/>
      <c r="O442" s="1743"/>
      <c r="P442" s="1743"/>
      <c r="Q442" s="1743"/>
      <c r="R442" s="1743"/>
      <c r="S442" s="1743"/>
      <c r="T442" s="1743"/>
      <c r="U442" s="1743"/>
      <c r="V442" s="1743"/>
      <c r="W442" s="1743"/>
      <c r="X442" s="1743"/>
      <c r="Y442" s="1743"/>
      <c r="Z442" s="1743"/>
    </row>
    <row r="443" spans="5:26" s="1738" customFormat="1">
      <c r="E443" s="1743"/>
      <c r="F443" s="1743"/>
      <c r="I443" s="1743"/>
      <c r="J443" s="1743"/>
      <c r="K443" s="1743"/>
      <c r="L443" s="1743"/>
      <c r="M443" s="1743"/>
      <c r="N443" s="1743"/>
      <c r="O443" s="1743"/>
      <c r="P443" s="1743"/>
      <c r="Q443" s="1743"/>
      <c r="R443" s="1743"/>
      <c r="S443" s="1743"/>
      <c r="T443" s="1743"/>
      <c r="U443" s="1743"/>
      <c r="V443" s="1743"/>
      <c r="W443" s="1743"/>
      <c r="X443" s="1743"/>
      <c r="Y443" s="1743"/>
      <c r="Z443" s="1743"/>
    </row>
    <row r="444" spans="5:26" s="1738" customFormat="1">
      <c r="E444" s="1743"/>
      <c r="F444" s="1743"/>
      <c r="I444" s="1743"/>
      <c r="J444" s="1743"/>
      <c r="K444" s="1743"/>
      <c r="L444" s="1743"/>
      <c r="M444" s="1743"/>
      <c r="N444" s="1743"/>
      <c r="O444" s="1743"/>
      <c r="P444" s="1743"/>
      <c r="Q444" s="1743"/>
      <c r="R444" s="1743"/>
      <c r="S444" s="1743"/>
      <c r="T444" s="1743"/>
      <c r="U444" s="1743"/>
      <c r="V444" s="1743"/>
      <c r="W444" s="1743"/>
      <c r="X444" s="1743"/>
      <c r="Y444" s="1743"/>
      <c r="Z444" s="1743"/>
    </row>
    <row r="445" spans="5:26" s="1738" customFormat="1">
      <c r="E445" s="1743"/>
      <c r="F445" s="1743"/>
      <c r="I445" s="1743"/>
      <c r="J445" s="1743"/>
      <c r="K445" s="1743"/>
      <c r="L445" s="1743"/>
      <c r="M445" s="1743"/>
      <c r="N445" s="1743"/>
      <c r="O445" s="1743"/>
      <c r="P445" s="1743"/>
      <c r="Q445" s="1743"/>
      <c r="R445" s="1743"/>
      <c r="S445" s="1743"/>
      <c r="T445" s="1743"/>
      <c r="U445" s="1743"/>
      <c r="V445" s="1743"/>
      <c r="W445" s="1743"/>
      <c r="X445" s="1743"/>
      <c r="Y445" s="1743"/>
      <c r="Z445" s="1743"/>
    </row>
    <row r="446" spans="5:26" s="1738" customFormat="1">
      <c r="E446" s="1743"/>
      <c r="F446" s="1743"/>
      <c r="I446" s="1743"/>
      <c r="J446" s="1743"/>
      <c r="K446" s="1743"/>
      <c r="L446" s="1743"/>
      <c r="M446" s="1743"/>
      <c r="N446" s="1743"/>
      <c r="O446" s="1743"/>
      <c r="P446" s="1743"/>
      <c r="Q446" s="1743"/>
      <c r="R446" s="1743"/>
      <c r="S446" s="1743"/>
      <c r="T446" s="1743"/>
      <c r="U446" s="1743"/>
      <c r="V446" s="1743"/>
      <c r="W446" s="1743"/>
      <c r="X446" s="1743"/>
      <c r="Y446" s="1743"/>
      <c r="Z446" s="1743"/>
    </row>
    <row r="447" spans="5:26" s="1738" customFormat="1">
      <c r="E447" s="1743"/>
      <c r="F447" s="1743"/>
      <c r="I447" s="1743"/>
      <c r="J447" s="1743"/>
      <c r="K447" s="1743"/>
      <c r="L447" s="1743"/>
      <c r="M447" s="1743"/>
      <c r="N447" s="1743"/>
      <c r="O447" s="1743"/>
      <c r="P447" s="1743"/>
      <c r="Q447" s="1743"/>
      <c r="R447" s="1743"/>
      <c r="S447" s="1743"/>
      <c r="T447" s="1743"/>
      <c r="U447" s="1743"/>
      <c r="V447" s="1743"/>
      <c r="W447" s="1743"/>
      <c r="X447" s="1743"/>
      <c r="Y447" s="1743"/>
      <c r="Z447" s="1743"/>
    </row>
    <row r="448" spans="5:26" s="1738" customFormat="1">
      <c r="E448" s="1743"/>
      <c r="F448" s="1743"/>
      <c r="I448" s="1743"/>
      <c r="J448" s="1743"/>
      <c r="K448" s="1743"/>
      <c r="L448" s="1743"/>
      <c r="M448" s="1743"/>
      <c r="N448" s="1743"/>
      <c r="O448" s="1743"/>
      <c r="P448" s="1743"/>
      <c r="Q448" s="1743"/>
      <c r="R448" s="1743"/>
      <c r="S448" s="1743"/>
      <c r="T448" s="1743"/>
      <c r="U448" s="1743"/>
      <c r="V448" s="1743"/>
      <c r="W448" s="1743"/>
      <c r="X448" s="1743"/>
      <c r="Y448" s="1743"/>
      <c r="Z448" s="1743"/>
    </row>
    <row r="449" spans="5:26" s="1738" customFormat="1">
      <c r="E449" s="1743"/>
      <c r="F449" s="1743"/>
      <c r="I449" s="1743"/>
      <c r="J449" s="1743"/>
      <c r="K449" s="1743"/>
      <c r="L449" s="1743"/>
      <c r="M449" s="1743"/>
      <c r="N449" s="1743"/>
      <c r="O449" s="1743"/>
      <c r="P449" s="1743"/>
      <c r="Q449" s="1743"/>
      <c r="R449" s="1743"/>
      <c r="S449" s="1743"/>
      <c r="T449" s="1743"/>
      <c r="U449" s="1743"/>
      <c r="V449" s="1743"/>
      <c r="W449" s="1743"/>
      <c r="X449" s="1743"/>
      <c r="Y449" s="1743"/>
      <c r="Z449" s="1743"/>
    </row>
    <row r="450" spans="5:26" s="1738" customFormat="1">
      <c r="E450" s="1743"/>
      <c r="F450" s="1743"/>
      <c r="I450" s="1743"/>
      <c r="J450" s="1743"/>
      <c r="K450" s="1743"/>
      <c r="L450" s="1743"/>
      <c r="M450" s="1743"/>
      <c r="N450" s="1743"/>
      <c r="O450" s="1743"/>
      <c r="P450" s="1743"/>
      <c r="Q450" s="1743"/>
      <c r="R450" s="1743"/>
      <c r="S450" s="1743"/>
      <c r="T450" s="1743"/>
      <c r="U450" s="1743"/>
      <c r="V450" s="1743"/>
      <c r="W450" s="1743"/>
      <c r="X450" s="1743"/>
      <c r="Y450" s="1743"/>
      <c r="Z450" s="1743"/>
    </row>
    <row r="451" spans="5:26" s="1738" customFormat="1">
      <c r="E451" s="1743"/>
      <c r="F451" s="1743"/>
      <c r="I451" s="1743"/>
      <c r="J451" s="1743"/>
      <c r="K451" s="1743"/>
      <c r="L451" s="1743"/>
      <c r="M451" s="1743"/>
      <c r="N451" s="1743"/>
      <c r="O451" s="1743"/>
      <c r="P451" s="1743"/>
      <c r="Q451" s="1743"/>
      <c r="R451" s="1743"/>
      <c r="S451" s="1743"/>
      <c r="T451" s="1743"/>
      <c r="U451" s="1743"/>
      <c r="V451" s="1743"/>
      <c r="W451" s="1743"/>
      <c r="X451" s="1743"/>
      <c r="Y451" s="1743"/>
      <c r="Z451" s="1743"/>
    </row>
    <row r="452" spans="5:26" s="1738" customFormat="1">
      <c r="E452" s="1743"/>
      <c r="F452" s="1743"/>
      <c r="I452" s="1743"/>
      <c r="J452" s="1743"/>
      <c r="K452" s="1743"/>
      <c r="L452" s="1743"/>
      <c r="M452" s="1743"/>
      <c r="N452" s="1743"/>
      <c r="O452" s="1743"/>
      <c r="P452" s="1743"/>
      <c r="Q452" s="1743"/>
      <c r="R452" s="1743"/>
      <c r="S452" s="1743"/>
      <c r="T452" s="1743"/>
      <c r="U452" s="1743"/>
      <c r="V452" s="1743"/>
      <c r="W452" s="1743"/>
      <c r="X452" s="1743"/>
      <c r="Y452" s="1743"/>
      <c r="Z452" s="1743"/>
    </row>
    <row r="453" spans="5:26" s="1738" customFormat="1">
      <c r="E453" s="1743"/>
      <c r="F453" s="1743"/>
      <c r="I453" s="1743"/>
      <c r="J453" s="1743"/>
      <c r="K453" s="1743"/>
      <c r="L453" s="1743"/>
      <c r="M453" s="1743"/>
      <c r="N453" s="1743"/>
      <c r="O453" s="1743"/>
      <c r="P453" s="1743"/>
      <c r="Q453" s="1743"/>
      <c r="R453" s="1743"/>
      <c r="S453" s="1743"/>
      <c r="T453" s="1743"/>
      <c r="U453" s="1743"/>
      <c r="V453" s="1743"/>
      <c r="W453" s="1743"/>
      <c r="X453" s="1743"/>
      <c r="Y453" s="1743"/>
      <c r="Z453" s="1743"/>
    </row>
    <row r="454" spans="5:26" s="1738" customFormat="1">
      <c r="E454" s="1743"/>
      <c r="F454" s="1743"/>
      <c r="I454" s="1743"/>
      <c r="J454" s="1743"/>
      <c r="K454" s="1743"/>
      <c r="L454" s="1743"/>
      <c r="M454" s="1743"/>
      <c r="N454" s="1743"/>
      <c r="O454" s="1743"/>
      <c r="P454" s="1743"/>
      <c r="Q454" s="1743"/>
      <c r="R454" s="1743"/>
      <c r="S454" s="1743"/>
      <c r="T454" s="1743"/>
      <c r="U454" s="1743"/>
      <c r="V454" s="1743"/>
      <c r="W454" s="1743"/>
      <c r="X454" s="1743"/>
      <c r="Y454" s="1743"/>
      <c r="Z454" s="1743"/>
    </row>
    <row r="455" spans="5:26" s="1738" customFormat="1">
      <c r="E455" s="1743"/>
      <c r="F455" s="1743"/>
      <c r="I455" s="1743"/>
      <c r="J455" s="1743"/>
      <c r="K455" s="1743"/>
      <c r="L455" s="1743"/>
      <c r="M455" s="1743"/>
      <c r="N455" s="1743"/>
      <c r="O455" s="1743"/>
      <c r="P455" s="1743"/>
      <c r="Q455" s="1743"/>
      <c r="R455" s="1743"/>
      <c r="S455" s="1743"/>
      <c r="T455" s="1743"/>
      <c r="U455" s="1743"/>
      <c r="V455" s="1743"/>
      <c r="W455" s="1743"/>
      <c r="X455" s="1743"/>
      <c r="Y455" s="1743"/>
      <c r="Z455" s="1743"/>
    </row>
    <row r="456" spans="5:26" s="1738" customFormat="1">
      <c r="E456" s="1743"/>
      <c r="F456" s="1743"/>
      <c r="I456" s="1743"/>
      <c r="J456" s="1743"/>
      <c r="K456" s="1743"/>
      <c r="L456" s="1743"/>
      <c r="M456" s="1743"/>
      <c r="N456" s="1743"/>
      <c r="O456" s="1743"/>
      <c r="P456" s="1743"/>
      <c r="Q456" s="1743"/>
      <c r="R456" s="1743"/>
      <c r="S456" s="1743"/>
      <c r="T456" s="1743"/>
      <c r="U456" s="1743"/>
      <c r="V456" s="1743"/>
      <c r="W456" s="1743"/>
      <c r="X456" s="1743"/>
      <c r="Y456" s="1743"/>
      <c r="Z456" s="1743"/>
    </row>
    <row r="457" spans="5:26" s="1738" customFormat="1">
      <c r="E457" s="1743"/>
      <c r="F457" s="1743"/>
      <c r="I457" s="1743"/>
      <c r="J457" s="1743"/>
      <c r="K457" s="1743"/>
      <c r="L457" s="1743"/>
      <c r="M457" s="1743"/>
      <c r="N457" s="1743"/>
      <c r="O457" s="1743"/>
      <c r="P457" s="1743"/>
      <c r="Q457" s="1743"/>
      <c r="R457" s="1743"/>
      <c r="S457" s="1743"/>
      <c r="T457" s="1743"/>
      <c r="U457" s="1743"/>
      <c r="V457" s="1743"/>
      <c r="W457" s="1743"/>
      <c r="X457" s="1743"/>
      <c r="Y457" s="1743"/>
      <c r="Z457" s="1743"/>
    </row>
    <row r="458" spans="5:26" s="1738" customFormat="1">
      <c r="E458" s="1743"/>
      <c r="F458" s="1743"/>
      <c r="I458" s="1743"/>
      <c r="J458" s="1743"/>
      <c r="K458" s="1743"/>
      <c r="L458" s="1743"/>
      <c r="M458" s="1743"/>
      <c r="N458" s="1743"/>
      <c r="O458" s="1743"/>
      <c r="P458" s="1743"/>
      <c r="Q458" s="1743"/>
      <c r="R458" s="1743"/>
      <c r="S458" s="1743"/>
      <c r="T458" s="1743"/>
      <c r="U458" s="1743"/>
      <c r="V458" s="1743"/>
      <c r="W458" s="1743"/>
      <c r="X458" s="1743"/>
      <c r="Y458" s="1743"/>
      <c r="Z458" s="1743"/>
    </row>
    <row r="459" spans="5:26" s="1738" customFormat="1">
      <c r="E459" s="1743"/>
      <c r="F459" s="1743"/>
      <c r="I459" s="1743"/>
      <c r="J459" s="1743"/>
      <c r="K459" s="1743"/>
      <c r="L459" s="1743"/>
      <c r="M459" s="1743"/>
      <c r="N459" s="1743"/>
      <c r="O459" s="1743"/>
      <c r="P459" s="1743"/>
      <c r="Q459" s="1743"/>
      <c r="R459" s="1743"/>
      <c r="S459" s="1743"/>
      <c r="T459" s="1743"/>
      <c r="U459" s="1743"/>
      <c r="V459" s="1743"/>
      <c r="W459" s="1743"/>
      <c r="X459" s="1743"/>
      <c r="Y459" s="1743"/>
      <c r="Z459" s="1743"/>
    </row>
    <row r="460" spans="5:26" s="1738" customFormat="1">
      <c r="E460" s="1743"/>
      <c r="F460" s="1743"/>
      <c r="I460" s="1743"/>
      <c r="J460" s="1743"/>
      <c r="K460" s="1743"/>
      <c r="L460" s="1743"/>
      <c r="M460" s="1743"/>
      <c r="N460" s="1743"/>
      <c r="O460" s="1743"/>
      <c r="P460" s="1743"/>
      <c r="Q460" s="1743"/>
      <c r="R460" s="1743"/>
      <c r="S460" s="1743"/>
      <c r="T460" s="1743"/>
      <c r="U460" s="1743"/>
      <c r="V460" s="1743"/>
      <c r="W460" s="1743"/>
      <c r="X460" s="1743"/>
      <c r="Y460" s="1743"/>
      <c r="Z460" s="1743"/>
    </row>
    <row r="461" spans="5:26" s="1738" customFormat="1">
      <c r="E461" s="1743"/>
      <c r="F461" s="1743"/>
      <c r="I461" s="1743"/>
      <c r="J461" s="1743"/>
      <c r="K461" s="1743"/>
      <c r="L461" s="1743"/>
      <c r="M461" s="1743"/>
      <c r="N461" s="1743"/>
      <c r="O461" s="1743"/>
      <c r="P461" s="1743"/>
      <c r="Q461" s="1743"/>
      <c r="R461" s="1743"/>
      <c r="S461" s="1743"/>
      <c r="T461" s="1743"/>
      <c r="U461" s="1743"/>
      <c r="V461" s="1743"/>
      <c r="W461" s="1743"/>
      <c r="X461" s="1743"/>
      <c r="Y461" s="1743"/>
      <c r="Z461" s="1743"/>
    </row>
    <row r="462" spans="5:26" s="1738" customFormat="1">
      <c r="E462" s="1743"/>
      <c r="F462" s="1743"/>
      <c r="I462" s="1743"/>
      <c r="J462" s="1743"/>
      <c r="K462" s="1743"/>
      <c r="L462" s="1743"/>
      <c r="M462" s="1743"/>
      <c r="N462" s="1743"/>
      <c r="O462" s="1743"/>
      <c r="P462" s="1743"/>
      <c r="Q462" s="1743"/>
      <c r="R462" s="1743"/>
      <c r="S462" s="1743"/>
      <c r="T462" s="1743"/>
      <c r="U462" s="1743"/>
      <c r="V462" s="1743"/>
      <c r="W462" s="1743"/>
      <c r="X462" s="1743"/>
      <c r="Y462" s="1743"/>
      <c r="Z462" s="1743"/>
    </row>
    <row r="463" spans="5:26" s="1738" customFormat="1">
      <c r="E463" s="1743"/>
      <c r="F463" s="1743"/>
      <c r="I463" s="1743"/>
      <c r="J463" s="1743"/>
      <c r="K463" s="1743"/>
      <c r="L463" s="1743"/>
      <c r="M463" s="1743"/>
      <c r="N463" s="1743"/>
      <c r="O463" s="1743"/>
      <c r="P463" s="1743"/>
      <c r="Q463" s="1743"/>
      <c r="R463" s="1743"/>
      <c r="S463" s="1743"/>
      <c r="T463" s="1743"/>
      <c r="U463" s="1743"/>
      <c r="V463" s="1743"/>
      <c r="W463" s="1743"/>
      <c r="X463" s="1743"/>
      <c r="Y463" s="1743"/>
      <c r="Z463" s="1743"/>
    </row>
    <row r="464" spans="5:26" s="1738" customFormat="1">
      <c r="E464" s="1743"/>
      <c r="F464" s="1743"/>
      <c r="I464" s="1743"/>
      <c r="J464" s="1743"/>
      <c r="K464" s="1743"/>
      <c r="L464" s="1743"/>
      <c r="M464" s="1743"/>
      <c r="N464" s="1743"/>
      <c r="O464" s="1743"/>
      <c r="P464" s="1743"/>
      <c r="Q464" s="1743"/>
      <c r="R464" s="1743"/>
      <c r="S464" s="1743"/>
      <c r="T464" s="1743"/>
      <c r="U464" s="1743"/>
      <c r="V464" s="1743"/>
      <c r="W464" s="1743"/>
      <c r="X464" s="1743"/>
      <c r="Y464" s="1743"/>
      <c r="Z464" s="1743"/>
    </row>
    <row r="465" spans="5:26" s="1738" customFormat="1">
      <c r="E465" s="1743"/>
      <c r="F465" s="1743"/>
      <c r="I465" s="1743"/>
      <c r="J465" s="1743"/>
      <c r="K465" s="1743"/>
      <c r="L465" s="1743"/>
      <c r="M465" s="1743"/>
      <c r="N465" s="1743"/>
      <c r="O465" s="1743"/>
      <c r="P465" s="1743"/>
      <c r="Q465" s="1743"/>
      <c r="R465" s="1743"/>
      <c r="S465" s="1743"/>
      <c r="T465" s="1743"/>
      <c r="U465" s="1743"/>
      <c r="V465" s="1743"/>
      <c r="W465" s="1743"/>
      <c r="X465" s="1743"/>
      <c r="Y465" s="1743"/>
      <c r="Z465" s="1743"/>
    </row>
    <row r="466" spans="5:26" s="1738" customFormat="1">
      <c r="E466" s="1743"/>
      <c r="F466" s="1743"/>
      <c r="I466" s="1743"/>
      <c r="J466" s="1743"/>
      <c r="K466" s="1743"/>
      <c r="L466" s="1743"/>
      <c r="M466" s="1743"/>
      <c r="N466" s="1743"/>
      <c r="O466" s="1743"/>
      <c r="P466" s="1743"/>
      <c r="Q466" s="1743"/>
      <c r="R466" s="1743"/>
      <c r="S466" s="1743"/>
      <c r="T466" s="1743"/>
      <c r="U466" s="1743"/>
      <c r="V466" s="1743"/>
      <c r="W466" s="1743"/>
      <c r="X466" s="1743"/>
      <c r="Y466" s="1743"/>
      <c r="Z466" s="1743"/>
    </row>
    <row r="467" spans="5:26" s="1738" customFormat="1">
      <c r="E467" s="1743"/>
      <c r="F467" s="1743"/>
      <c r="I467" s="1743"/>
      <c r="J467" s="1743"/>
      <c r="K467" s="1743"/>
      <c r="L467" s="1743"/>
      <c r="M467" s="1743"/>
      <c r="N467" s="1743"/>
      <c r="O467" s="1743"/>
      <c r="P467" s="1743"/>
      <c r="Q467" s="1743"/>
      <c r="R467" s="1743"/>
      <c r="S467" s="1743"/>
      <c r="T467" s="1743"/>
      <c r="U467" s="1743"/>
      <c r="V467" s="1743"/>
      <c r="W467" s="1743"/>
      <c r="X467" s="1743"/>
      <c r="Y467" s="1743"/>
      <c r="Z467" s="1743"/>
    </row>
    <row r="468" spans="5:26" s="1738" customFormat="1">
      <c r="E468" s="1743"/>
      <c r="F468" s="1743"/>
      <c r="I468" s="1743"/>
      <c r="J468" s="1743"/>
      <c r="K468" s="1743"/>
      <c r="L468" s="1743"/>
      <c r="M468" s="1743"/>
      <c r="N468" s="1743"/>
      <c r="O468" s="1743"/>
      <c r="P468" s="1743"/>
      <c r="Q468" s="1743"/>
      <c r="R468" s="1743"/>
      <c r="S468" s="1743"/>
      <c r="T468" s="1743"/>
      <c r="U468" s="1743"/>
      <c r="V468" s="1743"/>
      <c r="W468" s="1743"/>
      <c r="X468" s="1743"/>
      <c r="Y468" s="1743"/>
      <c r="Z468" s="1743"/>
    </row>
    <row r="469" spans="5:26" s="1738" customFormat="1">
      <c r="E469" s="1743"/>
      <c r="F469" s="1743"/>
      <c r="I469" s="1743"/>
      <c r="J469" s="1743"/>
      <c r="K469" s="1743"/>
      <c r="L469" s="1743"/>
      <c r="M469" s="1743"/>
      <c r="N469" s="1743"/>
      <c r="O469" s="1743"/>
      <c r="P469" s="1743"/>
      <c r="Q469" s="1743"/>
      <c r="R469" s="1743"/>
      <c r="S469" s="1743"/>
      <c r="T469" s="1743"/>
      <c r="U469" s="1743"/>
      <c r="V469" s="1743"/>
      <c r="W469" s="1743"/>
      <c r="X469" s="1743"/>
      <c r="Y469" s="1743"/>
      <c r="Z469" s="1743"/>
    </row>
    <row r="470" spans="5:26" s="1738" customFormat="1">
      <c r="E470" s="1743"/>
      <c r="F470" s="1743"/>
      <c r="I470" s="1743"/>
      <c r="J470" s="1743"/>
      <c r="K470" s="1743"/>
      <c r="L470" s="1743"/>
      <c r="M470" s="1743"/>
      <c r="N470" s="1743"/>
      <c r="O470" s="1743"/>
      <c r="P470" s="1743"/>
      <c r="Q470" s="1743"/>
      <c r="R470" s="1743"/>
      <c r="S470" s="1743"/>
      <c r="T470" s="1743"/>
      <c r="U470" s="1743"/>
      <c r="V470" s="1743"/>
      <c r="W470" s="1743"/>
      <c r="X470" s="1743"/>
      <c r="Y470" s="1743"/>
      <c r="Z470" s="1743"/>
    </row>
    <row r="471" spans="5:26" s="1738" customFormat="1">
      <c r="E471" s="1743"/>
      <c r="F471" s="1743"/>
      <c r="I471" s="1743"/>
      <c r="J471" s="1743"/>
      <c r="K471" s="1743"/>
      <c r="L471" s="1743"/>
      <c r="M471" s="1743"/>
      <c r="N471" s="1743"/>
      <c r="O471" s="1743"/>
      <c r="P471" s="1743"/>
      <c r="Q471" s="1743"/>
      <c r="R471" s="1743"/>
      <c r="S471" s="1743"/>
      <c r="T471" s="1743"/>
      <c r="U471" s="1743"/>
      <c r="V471" s="1743"/>
      <c r="W471" s="1743"/>
      <c r="X471" s="1743"/>
      <c r="Y471" s="1743"/>
      <c r="Z471" s="1743"/>
    </row>
    <row r="472" spans="5:26" s="1738" customFormat="1">
      <c r="E472" s="1743"/>
      <c r="F472" s="1743"/>
      <c r="I472" s="1743"/>
      <c r="J472" s="1743"/>
      <c r="K472" s="1743"/>
      <c r="L472" s="1743"/>
      <c r="M472" s="1743"/>
      <c r="N472" s="1743"/>
      <c r="O472" s="1743"/>
      <c r="P472" s="1743"/>
      <c r="Q472" s="1743"/>
      <c r="R472" s="1743"/>
      <c r="S472" s="1743"/>
      <c r="T472" s="1743"/>
      <c r="U472" s="1743"/>
      <c r="V472" s="1743"/>
      <c r="W472" s="1743"/>
      <c r="X472" s="1743"/>
      <c r="Y472" s="1743"/>
      <c r="Z472" s="1743"/>
    </row>
    <row r="473" spans="5:26" s="1738" customFormat="1">
      <c r="E473" s="1743"/>
      <c r="F473" s="1743"/>
      <c r="I473" s="1743"/>
      <c r="J473" s="1743"/>
      <c r="K473" s="1743"/>
      <c r="L473" s="1743"/>
      <c r="M473" s="1743"/>
      <c r="N473" s="1743"/>
      <c r="O473" s="1743"/>
      <c r="P473" s="1743"/>
      <c r="Q473" s="1743"/>
      <c r="R473" s="1743"/>
      <c r="S473" s="1743"/>
      <c r="T473" s="1743"/>
      <c r="U473" s="1743"/>
      <c r="V473" s="1743"/>
      <c r="W473" s="1743"/>
      <c r="X473" s="1743"/>
      <c r="Y473" s="1743"/>
      <c r="Z473" s="1743"/>
    </row>
    <row r="474" spans="5:26" s="1738" customFormat="1">
      <c r="E474" s="1743"/>
      <c r="F474" s="1743"/>
      <c r="I474" s="1743"/>
      <c r="J474" s="1743"/>
      <c r="K474" s="1743"/>
      <c r="L474" s="1743"/>
      <c r="M474" s="1743"/>
      <c r="N474" s="1743"/>
      <c r="O474" s="1743"/>
      <c r="P474" s="1743"/>
      <c r="Q474" s="1743"/>
      <c r="R474" s="1743"/>
      <c r="S474" s="1743"/>
      <c r="T474" s="1743"/>
      <c r="U474" s="1743"/>
      <c r="V474" s="1743"/>
      <c r="W474" s="1743"/>
      <c r="X474" s="1743"/>
      <c r="Y474" s="1743"/>
      <c r="Z474" s="1743"/>
    </row>
    <row r="475" spans="5:26" s="1738" customFormat="1">
      <c r="E475" s="1743"/>
      <c r="F475" s="1743"/>
      <c r="I475" s="1743"/>
      <c r="J475" s="1743"/>
      <c r="K475" s="1743"/>
      <c r="L475" s="1743"/>
      <c r="M475" s="1743"/>
      <c r="N475" s="1743"/>
      <c r="O475" s="1743"/>
      <c r="P475" s="1743"/>
      <c r="Q475" s="1743"/>
      <c r="R475" s="1743"/>
      <c r="S475" s="1743"/>
      <c r="T475" s="1743"/>
      <c r="U475" s="1743"/>
      <c r="V475" s="1743"/>
      <c r="W475" s="1743"/>
      <c r="X475" s="1743"/>
      <c r="Y475" s="1743"/>
      <c r="Z475" s="1743"/>
    </row>
    <row r="476" spans="5:26" s="1738" customFormat="1">
      <c r="E476" s="1743"/>
      <c r="F476" s="1743"/>
      <c r="I476" s="1743"/>
      <c r="J476" s="1743"/>
      <c r="K476" s="1743"/>
      <c r="L476" s="1743"/>
      <c r="M476" s="1743"/>
      <c r="N476" s="1743"/>
      <c r="O476" s="1743"/>
      <c r="P476" s="1743"/>
      <c r="Q476" s="1743"/>
      <c r="R476" s="1743"/>
      <c r="S476" s="1743"/>
      <c r="T476" s="1743"/>
      <c r="U476" s="1743"/>
      <c r="V476" s="1743"/>
      <c r="W476" s="1743"/>
      <c r="X476" s="1743"/>
      <c r="Y476" s="1743"/>
      <c r="Z476" s="1743"/>
    </row>
    <row r="477" spans="5:26" s="1738" customFormat="1">
      <c r="E477" s="1743"/>
      <c r="F477" s="1743"/>
      <c r="I477" s="1743"/>
      <c r="J477" s="1743"/>
      <c r="K477" s="1743"/>
      <c r="L477" s="1743"/>
      <c r="M477" s="1743"/>
      <c r="N477" s="1743"/>
      <c r="O477" s="1743"/>
      <c r="P477" s="1743"/>
      <c r="Q477" s="1743"/>
      <c r="R477" s="1743"/>
      <c r="S477" s="1743"/>
      <c r="T477" s="1743"/>
      <c r="U477" s="1743"/>
      <c r="V477" s="1743"/>
      <c r="W477" s="1743"/>
      <c r="X477" s="1743"/>
      <c r="Y477" s="1743"/>
      <c r="Z477" s="1743"/>
    </row>
    <row r="478" spans="5:26" s="1738" customFormat="1">
      <c r="E478" s="1743"/>
      <c r="F478" s="1743"/>
      <c r="I478" s="1743"/>
      <c r="J478" s="1743"/>
      <c r="K478" s="1743"/>
      <c r="L478" s="1743"/>
      <c r="M478" s="1743"/>
      <c r="N478" s="1743"/>
      <c r="O478" s="1743"/>
      <c r="P478" s="1743"/>
      <c r="Q478" s="1743"/>
      <c r="R478" s="1743"/>
      <c r="S478" s="1743"/>
      <c r="T478" s="1743"/>
      <c r="U478" s="1743"/>
      <c r="V478" s="1743"/>
      <c r="W478" s="1743"/>
      <c r="X478" s="1743"/>
      <c r="Y478" s="1743"/>
      <c r="Z478" s="1743"/>
    </row>
    <row r="479" spans="5:26" s="1738" customFormat="1">
      <c r="E479" s="1743"/>
      <c r="F479" s="1743"/>
      <c r="I479" s="1743"/>
      <c r="J479" s="1743"/>
      <c r="K479" s="1743"/>
      <c r="L479" s="1743"/>
      <c r="M479" s="1743"/>
      <c r="N479" s="1743"/>
      <c r="O479" s="1743"/>
      <c r="P479" s="1743"/>
      <c r="Q479" s="1743"/>
      <c r="R479" s="1743"/>
      <c r="S479" s="1743"/>
      <c r="T479" s="1743"/>
      <c r="U479" s="1743"/>
      <c r="V479" s="1743"/>
      <c r="W479" s="1743"/>
      <c r="X479" s="1743"/>
      <c r="Y479" s="1743"/>
      <c r="Z479" s="1743"/>
    </row>
    <row r="480" spans="5:26" s="1738" customFormat="1">
      <c r="E480" s="1743"/>
      <c r="F480" s="1743"/>
      <c r="I480" s="1743"/>
      <c r="J480" s="1743"/>
      <c r="K480" s="1743"/>
      <c r="L480" s="1743"/>
      <c r="M480" s="1743"/>
      <c r="N480" s="1743"/>
      <c r="O480" s="1743"/>
      <c r="P480" s="1743"/>
      <c r="Q480" s="1743"/>
      <c r="R480" s="1743"/>
      <c r="S480" s="1743"/>
      <c r="T480" s="1743"/>
      <c r="U480" s="1743"/>
      <c r="V480" s="1743"/>
      <c r="W480" s="1743"/>
      <c r="X480" s="1743"/>
      <c r="Y480" s="1743"/>
      <c r="Z480" s="1743"/>
    </row>
    <row r="481" spans="5:26" s="1738" customFormat="1">
      <c r="E481" s="1743"/>
      <c r="F481" s="1743"/>
      <c r="I481" s="1743"/>
      <c r="J481" s="1743"/>
      <c r="K481" s="1743"/>
      <c r="L481" s="1743"/>
      <c r="M481" s="1743"/>
      <c r="N481" s="1743"/>
      <c r="O481" s="1743"/>
      <c r="P481" s="1743"/>
      <c r="Q481" s="1743"/>
      <c r="R481" s="1743"/>
      <c r="S481" s="1743"/>
      <c r="T481" s="1743"/>
      <c r="U481" s="1743"/>
      <c r="V481" s="1743"/>
      <c r="W481" s="1743"/>
      <c r="X481" s="1743"/>
      <c r="Y481" s="1743"/>
      <c r="Z481" s="1743"/>
    </row>
    <row r="482" spans="5:26" s="1738" customFormat="1">
      <c r="E482" s="1743"/>
      <c r="F482" s="1743"/>
      <c r="I482" s="1743"/>
      <c r="J482" s="1743"/>
      <c r="K482" s="1743"/>
      <c r="L482" s="1743"/>
      <c r="M482" s="1743"/>
      <c r="N482" s="1743"/>
      <c r="O482" s="1743"/>
      <c r="P482" s="1743"/>
      <c r="Q482" s="1743"/>
      <c r="R482" s="1743"/>
      <c r="S482" s="1743"/>
      <c r="T482" s="1743"/>
      <c r="U482" s="1743"/>
      <c r="V482" s="1743"/>
      <c r="W482" s="1743"/>
      <c r="X482" s="1743"/>
      <c r="Y482" s="1743"/>
      <c r="Z482" s="1743"/>
    </row>
    <row r="483" spans="5:26" s="1738" customFormat="1">
      <c r="E483" s="1743"/>
      <c r="F483" s="1743"/>
      <c r="I483" s="1743"/>
      <c r="J483" s="1743"/>
      <c r="K483" s="1743"/>
      <c r="L483" s="1743"/>
      <c r="M483" s="1743"/>
      <c r="N483" s="1743"/>
      <c r="O483" s="1743"/>
      <c r="P483" s="1743"/>
      <c r="Q483" s="1743"/>
      <c r="R483" s="1743"/>
      <c r="S483" s="1743"/>
      <c r="T483" s="1743"/>
      <c r="U483" s="1743"/>
      <c r="V483" s="1743"/>
      <c r="W483" s="1743"/>
      <c r="X483" s="1743"/>
      <c r="Y483" s="1743"/>
      <c r="Z483" s="1743"/>
    </row>
    <row r="484" spans="5:26" s="1738" customFormat="1">
      <c r="E484" s="1743"/>
      <c r="F484" s="1743"/>
      <c r="I484" s="1743"/>
      <c r="J484" s="1743"/>
      <c r="K484" s="1743"/>
      <c r="L484" s="1743"/>
      <c r="M484" s="1743"/>
      <c r="N484" s="1743"/>
      <c r="O484" s="1743"/>
      <c r="P484" s="1743"/>
      <c r="Q484" s="1743"/>
      <c r="R484" s="1743"/>
      <c r="S484" s="1743"/>
      <c r="T484" s="1743"/>
      <c r="U484" s="1743"/>
      <c r="V484" s="1743"/>
      <c r="W484" s="1743"/>
      <c r="X484" s="1743"/>
      <c r="Y484" s="1743"/>
      <c r="Z484" s="1743"/>
    </row>
    <row r="485" spans="5:26" s="1738" customFormat="1">
      <c r="E485" s="1743"/>
      <c r="F485" s="1743"/>
      <c r="I485" s="1743"/>
      <c r="J485" s="1743"/>
      <c r="K485" s="1743"/>
      <c r="L485" s="1743"/>
      <c r="M485" s="1743"/>
      <c r="N485" s="1743"/>
      <c r="O485" s="1743"/>
      <c r="P485" s="1743"/>
      <c r="Q485" s="1743"/>
      <c r="R485" s="1743"/>
      <c r="S485" s="1743"/>
      <c r="T485" s="1743"/>
      <c r="U485" s="1743"/>
      <c r="V485" s="1743"/>
      <c r="W485" s="1743"/>
      <c r="X485" s="1743"/>
      <c r="Y485" s="1743"/>
      <c r="Z485" s="1743"/>
    </row>
    <row r="486" spans="5:26" s="1738" customFormat="1">
      <c r="E486" s="1743"/>
      <c r="F486" s="1743"/>
      <c r="I486" s="1743"/>
      <c r="J486" s="1743"/>
      <c r="K486" s="1743"/>
      <c r="L486" s="1743"/>
      <c r="M486" s="1743"/>
      <c r="N486" s="1743"/>
      <c r="O486" s="1743"/>
      <c r="P486" s="1743"/>
      <c r="Q486" s="1743"/>
      <c r="R486" s="1743"/>
      <c r="S486" s="1743"/>
      <c r="T486" s="1743"/>
      <c r="U486" s="1743"/>
      <c r="V486" s="1743"/>
      <c r="W486" s="1743"/>
      <c r="X486" s="1743"/>
      <c r="Y486" s="1743"/>
      <c r="Z486" s="1743"/>
    </row>
    <row r="487" spans="5:26" s="1738" customFormat="1">
      <c r="E487" s="1743"/>
      <c r="F487" s="1743"/>
      <c r="I487" s="1743"/>
      <c r="J487" s="1743"/>
      <c r="K487" s="1743"/>
      <c r="L487" s="1743"/>
      <c r="M487" s="1743"/>
      <c r="N487" s="1743"/>
      <c r="O487" s="1743"/>
      <c r="P487" s="1743"/>
      <c r="Q487" s="1743"/>
      <c r="R487" s="1743"/>
      <c r="S487" s="1743"/>
      <c r="T487" s="1743"/>
      <c r="U487" s="1743"/>
      <c r="V487" s="1743"/>
      <c r="W487" s="1743"/>
      <c r="X487" s="1743"/>
      <c r="Y487" s="1743"/>
      <c r="Z487" s="1743"/>
    </row>
    <row r="488" spans="5:26" s="1738" customFormat="1">
      <c r="E488" s="1743"/>
      <c r="F488" s="1743"/>
      <c r="I488" s="1743"/>
      <c r="J488" s="1743"/>
      <c r="K488" s="1743"/>
      <c r="L488" s="1743"/>
      <c r="M488" s="1743"/>
      <c r="N488" s="1743"/>
      <c r="O488" s="1743"/>
      <c r="P488" s="1743"/>
      <c r="Q488" s="1743"/>
      <c r="R488" s="1743"/>
      <c r="S488" s="1743"/>
      <c r="T488" s="1743"/>
      <c r="U488" s="1743"/>
      <c r="V488" s="1743"/>
      <c r="W488" s="1743"/>
      <c r="X488" s="1743"/>
      <c r="Y488" s="1743"/>
      <c r="Z488" s="1743"/>
    </row>
    <row r="489" spans="5:26" s="1738" customFormat="1">
      <c r="E489" s="1743"/>
      <c r="F489" s="1743"/>
      <c r="I489" s="1743"/>
      <c r="J489" s="1743"/>
      <c r="K489" s="1743"/>
      <c r="L489" s="1743"/>
      <c r="M489" s="1743"/>
      <c r="N489" s="1743"/>
      <c r="O489" s="1743"/>
      <c r="P489" s="1743"/>
      <c r="Q489" s="1743"/>
      <c r="R489" s="1743"/>
      <c r="S489" s="1743"/>
      <c r="T489" s="1743"/>
      <c r="U489" s="1743"/>
      <c r="V489" s="1743"/>
      <c r="W489" s="1743"/>
      <c r="X489" s="1743"/>
      <c r="Y489" s="1743"/>
      <c r="Z489" s="1743"/>
    </row>
    <row r="490" spans="5:26" s="1738" customFormat="1">
      <c r="E490" s="1743"/>
      <c r="F490" s="1743"/>
      <c r="I490" s="1743"/>
      <c r="J490" s="1743"/>
      <c r="K490" s="1743"/>
      <c r="L490" s="1743"/>
      <c r="M490" s="1743"/>
      <c r="N490" s="1743"/>
      <c r="O490" s="1743"/>
      <c r="P490" s="1743"/>
      <c r="Q490" s="1743"/>
      <c r="R490" s="1743"/>
      <c r="S490" s="1743"/>
      <c r="T490" s="1743"/>
      <c r="U490" s="1743"/>
      <c r="V490" s="1743"/>
      <c r="W490" s="1743"/>
      <c r="X490" s="1743"/>
      <c r="Y490" s="1743"/>
      <c r="Z490" s="1743"/>
    </row>
    <row r="491" spans="5:26" s="1738" customFormat="1">
      <c r="E491" s="1743"/>
      <c r="F491" s="1743"/>
      <c r="I491" s="1743"/>
      <c r="J491" s="1743"/>
      <c r="K491" s="1743"/>
      <c r="L491" s="1743"/>
      <c r="M491" s="1743"/>
      <c r="N491" s="1743"/>
      <c r="O491" s="1743"/>
      <c r="P491" s="1743"/>
      <c r="Q491" s="1743"/>
      <c r="R491" s="1743"/>
      <c r="S491" s="1743"/>
      <c r="T491" s="1743"/>
      <c r="U491" s="1743"/>
      <c r="V491" s="1743"/>
      <c r="W491" s="1743"/>
      <c r="X491" s="1743"/>
      <c r="Y491" s="1743"/>
      <c r="Z491" s="1743"/>
    </row>
    <row r="492" spans="5:26" s="1738" customFormat="1">
      <c r="E492" s="1743"/>
      <c r="F492" s="1743"/>
      <c r="I492" s="1743"/>
      <c r="J492" s="1743"/>
      <c r="K492" s="1743"/>
      <c r="L492" s="1743"/>
      <c r="M492" s="1743"/>
      <c r="N492" s="1743"/>
      <c r="O492" s="1743"/>
      <c r="P492" s="1743"/>
      <c r="Q492" s="1743"/>
      <c r="R492" s="1743"/>
      <c r="S492" s="1743"/>
      <c r="T492" s="1743"/>
      <c r="U492" s="1743"/>
      <c r="V492" s="1743"/>
      <c r="W492" s="1743"/>
      <c r="X492" s="1743"/>
      <c r="Y492" s="1743"/>
      <c r="Z492" s="1743"/>
    </row>
    <row r="493" spans="5:26" s="1738" customFormat="1">
      <c r="E493" s="1743"/>
      <c r="F493" s="1743"/>
      <c r="I493" s="1743"/>
      <c r="J493" s="1743"/>
      <c r="K493" s="1743"/>
      <c r="L493" s="1743"/>
      <c r="M493" s="1743"/>
      <c r="N493" s="1743"/>
      <c r="O493" s="1743"/>
      <c r="P493" s="1743"/>
      <c r="Q493" s="1743"/>
      <c r="R493" s="1743"/>
      <c r="S493" s="1743"/>
      <c r="T493" s="1743"/>
      <c r="U493" s="1743"/>
      <c r="V493" s="1743"/>
      <c r="W493" s="1743"/>
      <c r="X493" s="1743"/>
      <c r="Y493" s="1743"/>
      <c r="Z493" s="1743"/>
    </row>
    <row r="494" spans="5:26" s="1738" customFormat="1">
      <c r="E494" s="1743"/>
      <c r="F494" s="1743"/>
      <c r="I494" s="1743"/>
      <c r="J494" s="1743"/>
      <c r="K494" s="1743"/>
      <c r="L494" s="1743"/>
      <c r="M494" s="1743"/>
      <c r="N494" s="1743"/>
      <c r="O494" s="1743"/>
      <c r="P494" s="1743"/>
      <c r="Q494" s="1743"/>
      <c r="R494" s="1743"/>
      <c r="S494" s="1743"/>
      <c r="T494" s="1743"/>
      <c r="U494" s="1743"/>
      <c r="V494" s="1743"/>
      <c r="W494" s="1743"/>
      <c r="X494" s="1743"/>
      <c r="Y494" s="1743"/>
      <c r="Z494" s="1743"/>
    </row>
    <row r="495" spans="5:26" s="1738" customFormat="1">
      <c r="E495" s="1743"/>
      <c r="F495" s="1743"/>
      <c r="I495" s="1743"/>
      <c r="J495" s="1743"/>
      <c r="K495" s="1743"/>
      <c r="L495" s="1743"/>
      <c r="M495" s="1743"/>
      <c r="N495" s="1743"/>
      <c r="O495" s="1743"/>
      <c r="P495" s="1743"/>
      <c r="Q495" s="1743"/>
      <c r="R495" s="1743"/>
      <c r="S495" s="1743"/>
      <c r="T495" s="1743"/>
      <c r="U495" s="1743"/>
      <c r="V495" s="1743"/>
      <c r="W495" s="1743"/>
      <c r="X495" s="1743"/>
      <c r="Y495" s="1743"/>
      <c r="Z495" s="1743"/>
    </row>
    <row r="496" spans="5:26" s="1738" customFormat="1">
      <c r="E496" s="1743"/>
      <c r="F496" s="1743"/>
      <c r="I496" s="1743"/>
      <c r="J496" s="1743"/>
      <c r="K496" s="1743"/>
      <c r="L496" s="1743"/>
      <c r="M496" s="1743"/>
      <c r="N496" s="1743"/>
      <c r="O496" s="1743"/>
      <c r="P496" s="1743"/>
      <c r="Q496" s="1743"/>
      <c r="R496" s="1743"/>
      <c r="S496" s="1743"/>
      <c r="T496" s="1743"/>
      <c r="U496" s="1743"/>
      <c r="V496" s="1743"/>
      <c r="W496" s="1743"/>
      <c r="X496" s="1743"/>
      <c r="Y496" s="1743"/>
      <c r="Z496" s="1743"/>
    </row>
    <row r="497" spans="5:26" s="1738" customFormat="1">
      <c r="E497" s="1743"/>
      <c r="F497" s="1743"/>
      <c r="I497" s="1743"/>
      <c r="J497" s="1743"/>
      <c r="K497" s="1743"/>
      <c r="L497" s="1743"/>
      <c r="M497" s="1743"/>
      <c r="N497" s="1743"/>
      <c r="O497" s="1743"/>
      <c r="P497" s="1743"/>
      <c r="Q497" s="1743"/>
      <c r="R497" s="1743"/>
      <c r="S497" s="1743"/>
      <c r="T497" s="1743"/>
      <c r="U497" s="1743"/>
      <c r="V497" s="1743"/>
      <c r="W497" s="1743"/>
      <c r="X497" s="1743"/>
      <c r="Y497" s="1743"/>
      <c r="Z497" s="1743"/>
    </row>
    <row r="498" spans="5:26" s="1738" customFormat="1">
      <c r="E498" s="1743"/>
      <c r="F498" s="1743"/>
      <c r="I498" s="1743"/>
      <c r="J498" s="1743"/>
      <c r="K498" s="1743"/>
      <c r="L498" s="1743"/>
      <c r="M498" s="1743"/>
      <c r="N498" s="1743"/>
      <c r="O498" s="1743"/>
      <c r="P498" s="1743"/>
      <c r="Q498" s="1743"/>
      <c r="R498" s="1743"/>
      <c r="S498" s="1743"/>
      <c r="T498" s="1743"/>
      <c r="U498" s="1743"/>
      <c r="V498" s="1743"/>
      <c r="W498" s="1743"/>
      <c r="X498" s="1743"/>
      <c r="Y498" s="1743"/>
      <c r="Z498" s="1743"/>
    </row>
    <row r="499" spans="5:26" s="1738" customFormat="1">
      <c r="E499" s="1743"/>
      <c r="F499" s="1743"/>
      <c r="I499" s="1743"/>
      <c r="J499" s="1743"/>
      <c r="K499" s="1743"/>
      <c r="L499" s="1743"/>
      <c r="M499" s="1743"/>
      <c r="N499" s="1743"/>
      <c r="O499" s="1743"/>
      <c r="P499" s="1743"/>
      <c r="Q499" s="1743"/>
      <c r="R499" s="1743"/>
      <c r="S499" s="1743"/>
      <c r="T499" s="1743"/>
      <c r="U499" s="1743"/>
      <c r="V499" s="1743"/>
      <c r="W499" s="1743"/>
      <c r="X499" s="1743"/>
      <c r="Y499" s="1743"/>
      <c r="Z499" s="1743"/>
    </row>
    <row r="500" spans="5:26" s="1738" customFormat="1">
      <c r="E500" s="1743"/>
      <c r="F500" s="1743"/>
      <c r="I500" s="1743"/>
      <c r="J500" s="1743"/>
      <c r="K500" s="1743"/>
      <c r="L500" s="1743"/>
      <c r="M500" s="1743"/>
      <c r="N500" s="1743"/>
      <c r="O500" s="1743"/>
      <c r="P500" s="1743"/>
      <c r="Q500" s="1743"/>
      <c r="R500" s="1743"/>
      <c r="S500" s="1743"/>
      <c r="T500" s="1743"/>
      <c r="U500" s="1743"/>
      <c r="V500" s="1743"/>
      <c r="W500" s="1743"/>
      <c r="X500" s="1743"/>
      <c r="Y500" s="1743"/>
      <c r="Z500" s="1743"/>
    </row>
    <row r="501" spans="5:26" s="1738" customFormat="1">
      <c r="E501" s="1743"/>
      <c r="F501" s="1743"/>
      <c r="I501" s="1743"/>
      <c r="J501" s="1743"/>
      <c r="K501" s="1743"/>
      <c r="L501" s="1743"/>
      <c r="M501" s="1743"/>
      <c r="N501" s="1743"/>
      <c r="O501" s="1743"/>
      <c r="P501" s="1743"/>
      <c r="Q501" s="1743"/>
      <c r="R501" s="1743"/>
      <c r="S501" s="1743"/>
      <c r="T501" s="1743"/>
      <c r="U501" s="1743"/>
      <c r="V501" s="1743"/>
      <c r="W501" s="1743"/>
      <c r="X501" s="1743"/>
      <c r="Y501" s="1743"/>
      <c r="Z501" s="1743"/>
    </row>
    <row r="502" spans="5:26" s="1738" customFormat="1">
      <c r="E502" s="1743"/>
      <c r="F502" s="1743"/>
      <c r="I502" s="1743"/>
      <c r="J502" s="1743"/>
      <c r="K502" s="1743"/>
      <c r="L502" s="1743"/>
      <c r="M502" s="1743"/>
      <c r="N502" s="1743"/>
      <c r="O502" s="1743"/>
      <c r="P502" s="1743"/>
      <c r="Q502" s="1743"/>
      <c r="R502" s="1743"/>
      <c r="S502" s="1743"/>
      <c r="T502" s="1743"/>
      <c r="U502" s="1743"/>
      <c r="V502" s="1743"/>
      <c r="W502" s="1743"/>
      <c r="X502" s="1743"/>
      <c r="Y502" s="1743"/>
      <c r="Z502" s="1743"/>
    </row>
    <row r="503" spans="5:26" s="1738" customFormat="1">
      <c r="E503" s="1743"/>
      <c r="F503" s="1743"/>
      <c r="I503" s="1743"/>
      <c r="J503" s="1743"/>
      <c r="K503" s="1743"/>
      <c r="L503" s="1743"/>
      <c r="M503" s="1743"/>
      <c r="N503" s="1743"/>
      <c r="O503" s="1743"/>
      <c r="P503" s="1743"/>
      <c r="Q503" s="1743"/>
      <c r="R503" s="1743"/>
      <c r="S503" s="1743"/>
      <c r="T503" s="1743"/>
      <c r="U503" s="1743"/>
      <c r="V503" s="1743"/>
      <c r="W503" s="1743"/>
      <c r="X503" s="1743"/>
      <c r="Y503" s="1743"/>
      <c r="Z503" s="1743"/>
    </row>
    <row r="504" spans="5:26" s="1738" customFormat="1">
      <c r="E504" s="1743"/>
      <c r="F504" s="1743"/>
      <c r="I504" s="1743"/>
      <c r="J504" s="1743"/>
      <c r="K504" s="1743"/>
      <c r="L504" s="1743"/>
      <c r="M504" s="1743"/>
      <c r="N504" s="1743"/>
      <c r="O504" s="1743"/>
      <c r="P504" s="1743"/>
      <c r="Q504" s="1743"/>
      <c r="R504" s="1743"/>
      <c r="S504" s="1743"/>
      <c r="T504" s="1743"/>
      <c r="U504" s="1743"/>
      <c r="V504" s="1743"/>
      <c r="W504" s="1743"/>
      <c r="X504" s="1743"/>
      <c r="Y504" s="1743"/>
      <c r="Z504" s="1743"/>
    </row>
    <row r="505" spans="5:26" s="1738" customFormat="1">
      <c r="E505" s="1743"/>
      <c r="F505" s="1743"/>
      <c r="I505" s="1743"/>
      <c r="J505" s="1743"/>
      <c r="K505" s="1743"/>
      <c r="L505" s="1743"/>
      <c r="M505" s="1743"/>
      <c r="N505" s="1743"/>
      <c r="O505" s="1743"/>
      <c r="P505" s="1743"/>
      <c r="Q505" s="1743"/>
      <c r="R505" s="1743"/>
      <c r="S505" s="1743"/>
      <c r="T505" s="1743"/>
      <c r="U505" s="1743"/>
      <c r="V505" s="1743"/>
      <c r="W505" s="1743"/>
      <c r="X505" s="1743"/>
      <c r="Y505" s="1743"/>
      <c r="Z505" s="1743"/>
    </row>
    <row r="506" spans="5:26" s="1738" customFormat="1">
      <c r="E506" s="1743"/>
      <c r="F506" s="1743"/>
      <c r="I506" s="1743"/>
      <c r="J506" s="1743"/>
      <c r="K506" s="1743"/>
      <c r="L506" s="1743"/>
      <c r="M506" s="1743"/>
      <c r="N506" s="1743"/>
      <c r="O506" s="1743"/>
      <c r="P506" s="1743"/>
      <c r="Q506" s="1743"/>
      <c r="R506" s="1743"/>
      <c r="S506" s="1743"/>
      <c r="T506" s="1743"/>
      <c r="U506" s="1743"/>
      <c r="V506" s="1743"/>
      <c r="W506" s="1743"/>
      <c r="X506" s="1743"/>
      <c r="Y506" s="1743"/>
      <c r="Z506" s="1743"/>
    </row>
    <row r="507" spans="5:26" s="1738" customFormat="1">
      <c r="E507" s="1743"/>
      <c r="F507" s="1743"/>
      <c r="I507" s="1743"/>
      <c r="J507" s="1743"/>
      <c r="K507" s="1743"/>
      <c r="L507" s="1743"/>
      <c r="M507" s="1743"/>
      <c r="N507" s="1743"/>
      <c r="O507" s="1743"/>
      <c r="P507" s="1743"/>
      <c r="Q507" s="1743"/>
      <c r="R507" s="1743"/>
      <c r="S507" s="1743"/>
      <c r="T507" s="1743"/>
      <c r="U507" s="1743"/>
      <c r="V507" s="1743"/>
      <c r="W507" s="1743"/>
      <c r="X507" s="1743"/>
      <c r="Y507" s="1743"/>
      <c r="Z507" s="1743"/>
    </row>
    <row r="508" spans="5:26" s="1738" customFormat="1">
      <c r="E508" s="1743"/>
      <c r="F508" s="1743"/>
      <c r="I508" s="1743"/>
      <c r="J508" s="1743"/>
      <c r="K508" s="1743"/>
      <c r="L508" s="1743"/>
      <c r="M508" s="1743"/>
      <c r="N508" s="1743"/>
      <c r="O508" s="1743"/>
      <c r="P508" s="1743"/>
      <c r="Q508" s="1743"/>
      <c r="R508" s="1743"/>
      <c r="S508" s="1743"/>
      <c r="T508" s="1743"/>
      <c r="U508" s="1743"/>
      <c r="V508" s="1743"/>
      <c r="W508" s="1743"/>
      <c r="X508" s="1743"/>
      <c r="Y508" s="1743"/>
      <c r="Z508" s="1743"/>
    </row>
    <row r="509" spans="5:26" s="1738" customFormat="1">
      <c r="E509" s="1743"/>
      <c r="F509" s="1743"/>
      <c r="I509" s="1743"/>
      <c r="J509" s="1743"/>
      <c r="K509" s="1743"/>
      <c r="L509" s="1743"/>
      <c r="M509" s="1743"/>
      <c r="N509" s="1743"/>
      <c r="O509" s="1743"/>
      <c r="P509" s="1743"/>
      <c r="Q509" s="1743"/>
      <c r="R509" s="1743"/>
      <c r="S509" s="1743"/>
      <c r="T509" s="1743"/>
      <c r="U509" s="1743"/>
      <c r="V509" s="1743"/>
      <c r="W509" s="1743"/>
      <c r="X509" s="1743"/>
      <c r="Y509" s="1743"/>
      <c r="Z509" s="1743"/>
    </row>
    <row r="510" spans="5:26" s="1738" customFormat="1">
      <c r="E510" s="1743"/>
      <c r="F510" s="1743"/>
      <c r="I510" s="1743"/>
      <c r="J510" s="1743"/>
      <c r="K510" s="1743"/>
      <c r="L510" s="1743"/>
      <c r="M510" s="1743"/>
      <c r="N510" s="1743"/>
      <c r="O510" s="1743"/>
      <c r="P510" s="1743"/>
      <c r="Q510" s="1743"/>
      <c r="R510" s="1743"/>
      <c r="S510" s="1743"/>
      <c r="T510" s="1743"/>
      <c r="U510" s="1743"/>
      <c r="V510" s="1743"/>
      <c r="W510" s="1743"/>
      <c r="X510" s="1743"/>
      <c r="Y510" s="1743"/>
      <c r="Z510" s="1743"/>
    </row>
    <row r="511" spans="5:26" s="1738" customFormat="1">
      <c r="E511" s="1743"/>
      <c r="F511" s="1743"/>
      <c r="I511" s="1743"/>
      <c r="J511" s="1743"/>
      <c r="K511" s="1743"/>
      <c r="L511" s="1743"/>
      <c r="M511" s="1743"/>
      <c r="N511" s="1743"/>
      <c r="O511" s="1743"/>
      <c r="P511" s="1743"/>
      <c r="Q511" s="1743"/>
      <c r="R511" s="1743"/>
      <c r="S511" s="1743"/>
      <c r="T511" s="1743"/>
      <c r="U511" s="1743"/>
      <c r="V511" s="1743"/>
      <c r="W511" s="1743"/>
      <c r="X511" s="1743"/>
      <c r="Y511" s="1743"/>
      <c r="Z511" s="1743"/>
    </row>
    <row r="512" spans="5:26" s="1738" customFormat="1">
      <c r="E512" s="1743"/>
      <c r="F512" s="1743"/>
      <c r="I512" s="1743"/>
      <c r="J512" s="1743"/>
      <c r="K512" s="1743"/>
      <c r="L512" s="1743"/>
      <c r="M512" s="1743"/>
      <c r="N512" s="1743"/>
      <c r="O512" s="1743"/>
      <c r="P512" s="1743"/>
      <c r="Q512" s="1743"/>
      <c r="R512" s="1743"/>
      <c r="S512" s="1743"/>
      <c r="T512" s="1743"/>
      <c r="U512" s="1743"/>
      <c r="V512" s="1743"/>
      <c r="W512" s="1743"/>
      <c r="X512" s="1743"/>
      <c r="Y512" s="1743"/>
      <c r="Z512" s="1743"/>
    </row>
    <row r="513" spans="5:26" s="1738" customFormat="1">
      <c r="E513" s="1743"/>
      <c r="F513" s="1743"/>
      <c r="I513" s="1743"/>
      <c r="J513" s="1743"/>
      <c r="K513" s="1743"/>
      <c r="L513" s="1743"/>
      <c r="M513" s="1743"/>
      <c r="N513" s="1743"/>
      <c r="O513" s="1743"/>
      <c r="P513" s="1743"/>
      <c r="Q513" s="1743"/>
      <c r="R513" s="1743"/>
      <c r="S513" s="1743"/>
      <c r="T513" s="1743"/>
      <c r="U513" s="1743"/>
      <c r="V513" s="1743"/>
      <c r="W513" s="1743"/>
      <c r="X513" s="1743"/>
      <c r="Y513" s="1743"/>
      <c r="Z513" s="1743"/>
    </row>
    <row r="514" spans="5:26" s="1738" customFormat="1">
      <c r="E514" s="1743"/>
      <c r="F514" s="1743"/>
      <c r="I514" s="1743"/>
      <c r="J514" s="1743"/>
      <c r="K514" s="1743"/>
      <c r="L514" s="1743"/>
      <c r="M514" s="1743"/>
      <c r="N514" s="1743"/>
      <c r="O514" s="1743"/>
      <c r="P514" s="1743"/>
      <c r="Q514" s="1743"/>
      <c r="R514" s="1743"/>
      <c r="S514" s="1743"/>
      <c r="T514" s="1743"/>
      <c r="U514" s="1743"/>
      <c r="V514" s="1743"/>
      <c r="W514" s="1743"/>
      <c r="X514" s="1743"/>
      <c r="Y514" s="1743"/>
      <c r="Z514" s="1743"/>
    </row>
    <row r="515" spans="5:26" s="1738" customFormat="1">
      <c r="E515" s="1743"/>
      <c r="F515" s="1743"/>
      <c r="I515" s="1743"/>
      <c r="J515" s="1743"/>
      <c r="K515" s="1743"/>
      <c r="L515" s="1743"/>
      <c r="M515" s="1743"/>
      <c r="N515" s="1743"/>
      <c r="O515" s="1743"/>
      <c r="P515" s="1743"/>
      <c r="Q515" s="1743"/>
      <c r="R515" s="1743"/>
      <c r="S515" s="1743"/>
      <c r="T515" s="1743"/>
      <c r="U515" s="1743"/>
      <c r="V515" s="1743"/>
      <c r="W515" s="1743"/>
      <c r="X515" s="1743"/>
      <c r="Y515" s="1743"/>
      <c r="Z515" s="1743"/>
    </row>
    <row r="516" spans="5:26" s="1738" customFormat="1">
      <c r="E516" s="1743"/>
      <c r="F516" s="1743"/>
      <c r="I516" s="1743"/>
      <c r="J516" s="1743"/>
      <c r="K516" s="1743"/>
      <c r="L516" s="1743"/>
      <c r="M516" s="1743"/>
      <c r="N516" s="1743"/>
      <c r="O516" s="1743"/>
      <c r="P516" s="1743"/>
      <c r="Q516" s="1743"/>
      <c r="R516" s="1743"/>
      <c r="S516" s="1743"/>
      <c r="T516" s="1743"/>
      <c r="U516" s="1743"/>
      <c r="V516" s="1743"/>
      <c r="W516" s="1743"/>
      <c r="X516" s="1743"/>
      <c r="Y516" s="1743"/>
      <c r="Z516" s="1743"/>
    </row>
    <row r="517" spans="5:26" s="1738" customFormat="1">
      <c r="E517" s="1743"/>
      <c r="F517" s="1743"/>
      <c r="I517" s="1743"/>
      <c r="J517" s="1743"/>
      <c r="K517" s="1743"/>
      <c r="L517" s="1743"/>
      <c r="M517" s="1743"/>
      <c r="N517" s="1743"/>
      <c r="O517" s="1743"/>
      <c r="P517" s="1743"/>
      <c r="Q517" s="1743"/>
      <c r="R517" s="1743"/>
      <c r="S517" s="1743"/>
      <c r="T517" s="1743"/>
      <c r="U517" s="1743"/>
      <c r="V517" s="1743"/>
      <c r="W517" s="1743"/>
      <c r="X517" s="1743"/>
      <c r="Y517" s="1743"/>
      <c r="Z517" s="1743"/>
    </row>
    <row r="518" spans="5:26" s="1738" customFormat="1">
      <c r="E518" s="1743"/>
      <c r="F518" s="1743"/>
      <c r="I518" s="1743"/>
      <c r="J518" s="1743"/>
      <c r="K518" s="1743"/>
      <c r="L518" s="1743"/>
      <c r="M518" s="1743"/>
      <c r="N518" s="1743"/>
      <c r="O518" s="1743"/>
      <c r="P518" s="1743"/>
      <c r="Q518" s="1743"/>
      <c r="R518" s="1743"/>
      <c r="S518" s="1743"/>
      <c r="T518" s="1743"/>
      <c r="U518" s="1743"/>
      <c r="V518" s="1743"/>
      <c r="W518" s="1743"/>
      <c r="X518" s="1743"/>
      <c r="Y518" s="1743"/>
      <c r="Z518" s="1743"/>
    </row>
    <row r="519" spans="5:26" s="1738" customFormat="1">
      <c r="E519" s="1743"/>
      <c r="F519" s="1743"/>
      <c r="I519" s="1743"/>
      <c r="J519" s="1743"/>
      <c r="K519" s="1743"/>
      <c r="L519" s="1743"/>
      <c r="M519" s="1743"/>
      <c r="N519" s="1743"/>
      <c r="O519" s="1743"/>
      <c r="P519" s="1743"/>
      <c r="Q519" s="1743"/>
      <c r="R519" s="1743"/>
      <c r="S519" s="1743"/>
      <c r="T519" s="1743"/>
      <c r="U519" s="1743"/>
      <c r="V519" s="1743"/>
      <c r="W519" s="1743"/>
      <c r="X519" s="1743"/>
      <c r="Y519" s="1743"/>
      <c r="Z519" s="1743"/>
    </row>
    <row r="520" spans="5:26" s="1738" customFormat="1">
      <c r="E520" s="1743"/>
      <c r="F520" s="1743"/>
      <c r="I520" s="1743"/>
      <c r="J520" s="1743"/>
      <c r="K520" s="1743"/>
      <c r="L520" s="1743"/>
      <c r="M520" s="1743"/>
      <c r="N520" s="1743"/>
      <c r="O520" s="1743"/>
      <c r="P520" s="1743"/>
      <c r="Q520" s="1743"/>
      <c r="R520" s="1743"/>
      <c r="S520" s="1743"/>
      <c r="T520" s="1743"/>
      <c r="U520" s="1743"/>
      <c r="V520" s="1743"/>
      <c r="W520" s="1743"/>
      <c r="X520" s="1743"/>
      <c r="Y520" s="1743"/>
      <c r="Z520" s="1743"/>
    </row>
    <row r="521" spans="5:26" s="1738" customFormat="1">
      <c r="E521" s="1743"/>
      <c r="F521" s="1743"/>
      <c r="I521" s="1743"/>
      <c r="J521" s="1743"/>
      <c r="K521" s="1743"/>
      <c r="L521" s="1743"/>
      <c r="M521" s="1743"/>
      <c r="N521" s="1743"/>
      <c r="O521" s="1743"/>
      <c r="P521" s="1743"/>
      <c r="Q521" s="1743"/>
      <c r="R521" s="1743"/>
      <c r="S521" s="1743"/>
      <c r="T521" s="1743"/>
      <c r="U521" s="1743"/>
      <c r="V521" s="1743"/>
      <c r="W521" s="1743"/>
      <c r="X521" s="1743"/>
      <c r="Y521" s="1743"/>
      <c r="Z521" s="1743"/>
    </row>
    <row r="522" spans="5:26" s="1738" customFormat="1">
      <c r="E522" s="1743"/>
      <c r="F522" s="1743"/>
      <c r="I522" s="1743"/>
      <c r="J522" s="1743"/>
      <c r="K522" s="1743"/>
      <c r="L522" s="1743"/>
      <c r="M522" s="1743"/>
      <c r="N522" s="1743"/>
      <c r="O522" s="1743"/>
      <c r="P522" s="1743"/>
      <c r="Q522" s="1743"/>
      <c r="R522" s="1743"/>
      <c r="S522" s="1743"/>
      <c r="T522" s="1743"/>
      <c r="U522" s="1743"/>
      <c r="V522" s="1743"/>
      <c r="W522" s="1743"/>
      <c r="X522" s="1743"/>
      <c r="Y522" s="1743"/>
      <c r="Z522" s="1743"/>
    </row>
    <row r="523" spans="5:26" s="1738" customFormat="1">
      <c r="E523" s="1743"/>
      <c r="F523" s="1743"/>
      <c r="I523" s="1743"/>
      <c r="J523" s="1743"/>
      <c r="K523" s="1743"/>
      <c r="L523" s="1743"/>
      <c r="M523" s="1743"/>
      <c r="N523" s="1743"/>
      <c r="O523" s="1743"/>
      <c r="P523" s="1743"/>
      <c r="Q523" s="1743"/>
      <c r="R523" s="1743"/>
      <c r="S523" s="1743"/>
      <c r="T523" s="1743"/>
      <c r="U523" s="1743"/>
      <c r="V523" s="1743"/>
      <c r="W523" s="1743"/>
      <c r="X523" s="1743"/>
      <c r="Y523" s="1743"/>
      <c r="Z523" s="1743"/>
    </row>
    <row r="524" spans="5:26" s="1738" customFormat="1">
      <c r="E524" s="1743"/>
      <c r="F524" s="1743"/>
      <c r="I524" s="1743"/>
      <c r="J524" s="1743"/>
      <c r="K524" s="1743"/>
      <c r="L524" s="1743"/>
      <c r="M524" s="1743"/>
      <c r="N524" s="1743"/>
      <c r="O524" s="1743"/>
      <c r="P524" s="1743"/>
      <c r="Q524" s="1743"/>
      <c r="R524" s="1743"/>
      <c r="S524" s="1743"/>
      <c r="T524" s="1743"/>
      <c r="U524" s="1743"/>
      <c r="V524" s="1743"/>
      <c r="W524" s="1743"/>
      <c r="X524" s="1743"/>
      <c r="Y524" s="1743"/>
      <c r="Z524" s="1743"/>
    </row>
  </sheetData>
  <sheetProtection password="E8A2" sheet="1" objects="1" scenarios="1" formatCells="0" formatColumns="0" formatRows="0"/>
  <mergeCells count="20">
    <mergeCell ref="T132:U132"/>
    <mergeCell ref="Y10:Z10"/>
    <mergeCell ref="Y11:Z11"/>
    <mergeCell ref="Y43:Z43"/>
    <mergeCell ref="Y44:Z44"/>
    <mergeCell ref="B13:D13"/>
    <mergeCell ref="Y30:Z30"/>
    <mergeCell ref="Y31:Z31"/>
    <mergeCell ref="B14:D14"/>
    <mergeCell ref="B15:D15"/>
    <mergeCell ref="B16:D16"/>
    <mergeCell ref="B17:D17"/>
    <mergeCell ref="B18:D18"/>
    <mergeCell ref="N132:P132"/>
    <mergeCell ref="C127:L129"/>
    <mergeCell ref="C125:L126"/>
    <mergeCell ref="F192:Q194"/>
    <mergeCell ref="C195:Q197"/>
    <mergeCell ref="F132:H132"/>
    <mergeCell ref="Q132:R132"/>
  </mergeCells>
  <conditionalFormatting sqref="AC13:AC18">
    <cfRule type="expression" dxfId="11" priority="4">
      <formula>Nlang&gt;1</formula>
    </cfRule>
  </conditionalFormatting>
  <conditionalFormatting sqref="AE13:AE18">
    <cfRule type="expression" dxfId="10" priority="3">
      <formula>Nlang&gt;1</formula>
    </cfRule>
  </conditionalFormatting>
  <conditionalFormatting sqref="AG13:AG18">
    <cfRule type="expression" dxfId="9" priority="2">
      <formula>Nlang&gt;1</formula>
    </cfRule>
  </conditionalFormatting>
  <conditionalFormatting sqref="AI13:AI18">
    <cfRule type="expression" dxfId="8" priority="1">
      <formula>Nlang&gt;1</formula>
    </cfRule>
  </conditionalFormatting>
  <dataValidations count="6">
    <dataValidation type="list" allowBlank="1" showInputMessage="1" showErrorMessage="1" sqref="J13:J18 H13:H18 F13:F18">
      <formula1>deg_list</formula1>
    </dataValidation>
    <dataValidation type="list" allowBlank="1" showInputMessage="1" showErrorMessage="1" sqref="P13:P18 L13:L18">
      <formula1>YES_NO</formula1>
    </dataValidation>
    <dataValidation type="list" allowBlank="1" showInputMessage="1" showErrorMessage="1" prompt="Please specify the vegetation" sqref="B13:D18">
      <formula1>veg_type</formula1>
    </dataValidation>
    <dataValidation type="list" allowBlank="1" showInputMessage="1" showErrorMessage="1" sqref="X13:X18 V13:V18 K33:K36 K46:K47 I33:I36 I46:I47">
      <formula1>dyn_simple</formula1>
    </dataValidation>
    <dataValidation type="decimal" operator="greaterThanOrEqual" allowBlank="1" showInputMessage="1" showErrorMessage="1" sqref="H134:H141 L134:L141 U134:U141 R134:R141 P134:P141 H202:H205 H210:H211 N210:N211">
      <formula1>0</formula1>
    </dataValidation>
    <dataValidation type="decimal" allowBlank="1" showInputMessage="1" showErrorMessage="1" sqref="R124:R129">
      <formula1>0</formula1>
      <formula2>100</formula2>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4" id="{82E2ED88-A7F9-49BA-9DDB-533FF55C6098}">
            <xm:f>OR($B$13:$D$18=List!$A$51)</xm:f>
            <x14:dxf>
              <font>
                <color theme="1"/>
              </font>
              <fill>
                <patternFill>
                  <bgColor theme="7" tint="0.39994506668294322"/>
                </patternFill>
              </fill>
            </x14:dxf>
          </x14:cfRule>
          <xm:sqref>C134:G134 I134:K134 M134:O134 Q134 S134:T134</xm:sqref>
        </x14:conditionalFormatting>
        <x14:conditionalFormatting xmlns:xm="http://schemas.microsoft.com/office/excel/2006/main">
          <x14:cfRule type="expression" priority="13" id="{8A35CD63-D772-42F4-81AA-56C51934BBFC}">
            <xm:f>OR($B$13:$D$18=List!$A$52)</xm:f>
            <x14:dxf>
              <font>
                <color theme="1"/>
              </font>
              <fill>
                <patternFill>
                  <bgColor theme="7" tint="0.39994506668294322"/>
                </patternFill>
              </fill>
            </x14:dxf>
          </x14:cfRule>
          <xm:sqref>C135:G135 I135:K135 M135:O135 Q135 S135:T135</xm:sqref>
        </x14:conditionalFormatting>
        <x14:conditionalFormatting xmlns:xm="http://schemas.microsoft.com/office/excel/2006/main">
          <x14:cfRule type="expression" priority="11" id="{A03DF116-6F86-47B8-9ABD-23A7779BFEF9}">
            <xm:f>OR($B$13:$D$18=List!$A$53)</xm:f>
            <x14:dxf>
              <font>
                <color theme="1"/>
              </font>
              <fill>
                <patternFill>
                  <bgColor theme="7" tint="0.39994506668294322"/>
                </patternFill>
              </fill>
            </x14:dxf>
          </x14:cfRule>
          <xm:sqref>I136:K136 M136:O136 Q136 S136:T136 C136:G136</xm:sqref>
        </x14:conditionalFormatting>
        <x14:conditionalFormatting xmlns:xm="http://schemas.microsoft.com/office/excel/2006/main">
          <x14:cfRule type="expression" priority="10" id="{308B7DCB-D4C5-4843-A6D0-73671A0156E1}">
            <xm:f>OR($B$13:$D$18=List!$A$54)</xm:f>
            <x14:dxf>
              <font>
                <color theme="1"/>
              </font>
              <fill>
                <patternFill>
                  <bgColor theme="7" tint="0.39994506668294322"/>
                </patternFill>
              </fill>
            </x14:dxf>
          </x14:cfRule>
          <xm:sqref>C137:G137 I137:K137 M137:O137 Q137 S137:T137</xm:sqref>
        </x14:conditionalFormatting>
        <x14:conditionalFormatting xmlns:xm="http://schemas.microsoft.com/office/excel/2006/main">
          <x14:cfRule type="expression" priority="9" id="{0A43517A-1C30-4BEC-9F68-9BB617FE8BFC}">
            <xm:f>OR($B$13:$D$18=List!$A$55)</xm:f>
            <x14:dxf>
              <font>
                <color theme="1"/>
              </font>
              <fill>
                <patternFill>
                  <bgColor theme="7" tint="0.39994506668294322"/>
                </patternFill>
              </fill>
            </x14:dxf>
          </x14:cfRule>
          <xm:sqref>C138:G138 I138:K138 M138:O138 Q138 S138:T138</xm:sqref>
        </x14:conditionalFormatting>
        <x14:conditionalFormatting xmlns:xm="http://schemas.microsoft.com/office/excel/2006/main">
          <x14:cfRule type="expression" priority="8" id="{053FDAA1-1E14-4BB8-831E-1CB78CC74AC2}">
            <xm:f>OR($B$13:$D$18=List!$A$56)</xm:f>
            <x14:dxf>
              <font>
                <color theme="1"/>
              </font>
              <fill>
                <patternFill>
                  <bgColor theme="7" tint="0.39994506668294322"/>
                </patternFill>
              </fill>
            </x14:dxf>
          </x14:cfRule>
          <xm:sqref>C139:G139 I139:K139 M139:O139 Q139 S139:T139</xm:sqref>
        </x14:conditionalFormatting>
        <x14:conditionalFormatting xmlns:xm="http://schemas.microsoft.com/office/excel/2006/main">
          <x14:cfRule type="expression" priority="7" id="{11BB8591-B7EA-472F-969B-E774E4D90A0F}">
            <xm:f>OR($B$13:$D$18=List!$A$57)</xm:f>
            <x14:dxf>
              <font>
                <color theme="1"/>
              </font>
              <fill>
                <patternFill>
                  <bgColor theme="7" tint="0.39994506668294322"/>
                </patternFill>
              </fill>
            </x14:dxf>
          </x14:cfRule>
          <xm:sqref>C140:G140 I140:K140 M140:O140 Q140 S140:T140</xm:sqref>
        </x14:conditionalFormatting>
        <x14:conditionalFormatting xmlns:xm="http://schemas.microsoft.com/office/excel/2006/main">
          <x14:cfRule type="expression" priority="5" id="{2BE60DAA-CC8C-47A7-9852-5D5976E85C09}">
            <xm:f>OR($B$13:$D$18=List!$A$58)</xm:f>
            <x14:dxf>
              <font>
                <color theme="1"/>
              </font>
              <fill>
                <patternFill>
                  <bgColor theme="7" tint="0.39994506668294322"/>
                </patternFill>
              </fill>
            </x14:dxf>
          </x14:cfRule>
          <xm:sqref>C141:G141 I141:K141 M141:O141 Q141 S141:T141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HL2247"/>
  <sheetViews>
    <sheetView zoomScale="83" zoomScaleNormal="83" workbookViewId="0">
      <pane ySplit="6" topLeftCell="A7" activePane="bottomLeft" state="frozen"/>
      <selection activeCell="A5" sqref="A5:C5"/>
      <selection pane="bottomLeft" activeCell="T8" sqref="T8"/>
    </sheetView>
  </sheetViews>
  <sheetFormatPr baseColWidth="10" defaultColWidth="11.44140625" defaultRowHeight="13.8"/>
  <cols>
    <col min="1" max="1" width="3.44140625" style="840" customWidth="1"/>
    <col min="2" max="2" width="31" style="845" customWidth="1"/>
    <col min="3" max="5" width="7.33203125" style="887" customWidth="1"/>
    <col min="6" max="6" width="9.33203125" style="1152" customWidth="1"/>
    <col min="7" max="7" width="10" style="1152" customWidth="1"/>
    <col min="8" max="8" width="10.33203125" style="888" customWidth="1"/>
    <col min="9" max="9" width="2.44140625" style="845" customWidth="1"/>
    <col min="10" max="10" width="9.33203125" style="1152" customWidth="1"/>
    <col min="11" max="11" width="10.5546875" style="845" customWidth="1"/>
    <col min="12" max="12" width="1.6640625" style="845" customWidth="1"/>
    <col min="13" max="13" width="11.44140625" style="845"/>
    <col min="14" max="15" width="8.5546875" style="845" customWidth="1"/>
    <col min="16" max="16" width="1.5546875" style="845" customWidth="1"/>
    <col min="17" max="17" width="10" style="845" customWidth="1"/>
    <col min="18" max="18" width="9.44140625" style="845" customWidth="1"/>
    <col min="19" max="19" width="1.88671875" style="841" customWidth="1"/>
    <col min="20" max="20" width="10.5546875" style="1104" customWidth="1"/>
    <col min="21" max="21" width="3.88671875" style="841" customWidth="1"/>
    <col min="22" max="23" width="11.44140625" style="2909"/>
    <col min="24" max="24" width="3.33203125" style="2909" customWidth="1"/>
    <col min="25" max="26" width="11.44140625" style="2909"/>
    <col min="27" max="27" width="11.44140625" style="2910"/>
    <col min="28" max="34" width="11.44140625" style="2909"/>
    <col min="35" max="220" width="11.44140625" style="841"/>
    <col min="221" max="16384" width="11.44140625" style="845"/>
  </cols>
  <sheetData>
    <row r="1" spans="1:34" s="1690" customFormat="1" ht="22.95" customHeight="1">
      <c r="A1" s="1689"/>
      <c r="C1" s="1691"/>
      <c r="D1" s="1691"/>
      <c r="E1" s="1691"/>
      <c r="F1" s="1692"/>
      <c r="G1" s="1692"/>
      <c r="H1" s="1693"/>
      <c r="J1" s="1692"/>
      <c r="T1" s="1694"/>
      <c r="V1" s="2907"/>
      <c r="W1" s="2907"/>
      <c r="X1" s="2907"/>
      <c r="Y1" s="2907"/>
      <c r="Z1" s="2907"/>
      <c r="AA1" s="2908"/>
      <c r="AB1" s="2907"/>
      <c r="AC1" s="2907"/>
      <c r="AD1" s="2907"/>
      <c r="AE1" s="2907"/>
      <c r="AF1" s="2907"/>
      <c r="AG1" s="2907"/>
      <c r="AH1" s="2907"/>
    </row>
    <row r="2" spans="1:34" s="1690" customFormat="1" ht="22.95" customHeight="1">
      <c r="A2" s="1689"/>
      <c r="C2" s="1691"/>
      <c r="D2" s="1691"/>
      <c r="E2" s="1691"/>
      <c r="F2" s="1692"/>
      <c r="G2" s="1692"/>
      <c r="H2" s="1693"/>
      <c r="J2" s="1692"/>
      <c r="T2" s="1694"/>
      <c r="V2" s="2907"/>
      <c r="W2" s="2907"/>
      <c r="X2" s="2907"/>
      <c r="Y2" s="2907"/>
      <c r="Z2" s="2907"/>
      <c r="AA2" s="2908"/>
      <c r="AB2" s="2907"/>
      <c r="AC2" s="2907"/>
      <c r="AD2" s="2907"/>
      <c r="AE2" s="2907"/>
      <c r="AF2" s="2907"/>
      <c r="AG2" s="2907"/>
      <c r="AH2" s="2907"/>
    </row>
    <row r="3" spans="1:34" s="1690" customFormat="1" ht="22.95" customHeight="1">
      <c r="A3" s="1689"/>
      <c r="C3" s="1691"/>
      <c r="D3" s="1691"/>
      <c r="E3" s="1691"/>
      <c r="F3" s="1692"/>
      <c r="G3" s="1692"/>
      <c r="H3" s="1693"/>
      <c r="J3" s="1692"/>
      <c r="T3" s="1694"/>
      <c r="V3" s="2907"/>
      <c r="W3" s="2907"/>
      <c r="X3" s="2907"/>
      <c r="Y3" s="2907"/>
      <c r="Z3" s="2907"/>
      <c r="AA3" s="2908"/>
      <c r="AB3" s="2907"/>
      <c r="AC3" s="2907"/>
      <c r="AD3" s="2907"/>
      <c r="AE3" s="2907"/>
      <c r="AF3" s="2907"/>
      <c r="AG3" s="2907"/>
      <c r="AH3" s="2907"/>
    </row>
    <row r="4" spans="1:34" s="1690" customFormat="1" ht="22.95" customHeight="1">
      <c r="A4" s="1689"/>
      <c r="C4" s="1691"/>
      <c r="D4" s="1691"/>
      <c r="E4" s="1691"/>
      <c r="F4" s="1692"/>
      <c r="G4" s="1692"/>
      <c r="H4" s="1693"/>
      <c r="J4" s="1692"/>
      <c r="T4" s="1694"/>
      <c r="V4" s="2907"/>
      <c r="W4" s="2907"/>
      <c r="X4" s="2907"/>
      <c r="Y4" s="2907"/>
      <c r="Z4" s="2907"/>
      <c r="AA4" s="2908"/>
      <c r="AB4" s="2907"/>
      <c r="AC4" s="2907"/>
      <c r="AD4" s="2907"/>
      <c r="AE4" s="2907"/>
      <c r="AF4" s="2907"/>
      <c r="AG4" s="2907"/>
      <c r="AH4" s="2907"/>
    </row>
    <row r="5" spans="1:34" s="1697" customFormat="1" ht="22.95" customHeight="1">
      <c r="A5" s="1696" t="s">
        <v>476</v>
      </c>
      <c r="C5" s="1698"/>
      <c r="D5" s="1698"/>
      <c r="E5" s="1698"/>
      <c r="F5" s="1699"/>
      <c r="G5" s="3244" t="s">
        <v>479</v>
      </c>
      <c r="H5" s="3244"/>
      <c r="J5" s="1699"/>
      <c r="T5" s="1700"/>
      <c r="U5" s="1695"/>
      <c r="V5" s="2907"/>
      <c r="W5" s="2907"/>
      <c r="X5" s="2907"/>
      <c r="Y5" s="2907"/>
      <c r="Z5" s="2907"/>
      <c r="AA5" s="2908"/>
      <c r="AB5" s="2907"/>
      <c r="AC5" s="2907"/>
      <c r="AD5" s="2907"/>
      <c r="AE5" s="2907"/>
      <c r="AF5" s="2907"/>
      <c r="AG5" s="2907"/>
      <c r="AH5" s="2907"/>
    </row>
    <row r="6" spans="1:34">
      <c r="B6" s="841"/>
      <c r="C6" s="842"/>
      <c r="D6" s="842"/>
      <c r="E6" s="842"/>
      <c r="F6" s="1135"/>
      <c r="G6" s="1135"/>
      <c r="H6" s="843"/>
      <c r="I6" s="843"/>
      <c r="J6" s="1153"/>
      <c r="K6" s="843"/>
      <c r="L6" s="843"/>
      <c r="M6" s="843"/>
      <c r="N6" s="844"/>
      <c r="O6" s="841"/>
      <c r="P6" s="841"/>
      <c r="Q6" s="841"/>
      <c r="R6" s="841"/>
    </row>
    <row r="7" spans="1:34">
      <c r="B7" s="841"/>
      <c r="C7" s="842"/>
      <c r="D7" s="842"/>
      <c r="E7" s="842"/>
      <c r="F7" s="1135"/>
      <c r="G7" s="1135"/>
      <c r="H7" s="843"/>
      <c r="I7" s="841"/>
      <c r="J7" s="1135"/>
      <c r="K7" s="846"/>
      <c r="L7" s="846"/>
      <c r="M7" s="844"/>
      <c r="N7" s="844"/>
      <c r="O7" s="844"/>
      <c r="P7" s="844"/>
      <c r="Q7" s="1414"/>
      <c r="R7" s="1414"/>
      <c r="V7" s="2911"/>
      <c r="W7" s="2911"/>
    </row>
    <row r="8" spans="1:34">
      <c r="B8" s="847" t="s">
        <v>1272</v>
      </c>
      <c r="C8" s="848"/>
      <c r="D8" s="849"/>
      <c r="E8" s="849"/>
      <c r="F8" s="1145"/>
      <c r="G8" s="1145"/>
      <c r="H8" s="851"/>
      <c r="I8" s="850"/>
      <c r="J8" s="1145"/>
      <c r="K8" s="850"/>
      <c r="L8" s="850"/>
      <c r="M8" s="850"/>
      <c r="N8" s="850"/>
      <c r="O8" s="850"/>
      <c r="P8" s="850"/>
      <c r="Q8" s="1415"/>
      <c r="R8" s="1415"/>
      <c r="S8" s="1415"/>
      <c r="T8" s="1416"/>
      <c r="V8" s="2314"/>
      <c r="W8" s="2912"/>
    </row>
    <row r="9" spans="1:34" ht="14.4" thickBot="1">
      <c r="B9" s="841"/>
      <c r="C9" s="842"/>
      <c r="D9" s="842"/>
      <c r="E9" s="842"/>
      <c r="F9" s="3243" t="s">
        <v>371</v>
      </c>
      <c r="G9" s="3243"/>
      <c r="H9" s="3243"/>
      <c r="I9" s="3243"/>
      <c r="J9" s="3243"/>
      <c r="K9" s="3243"/>
      <c r="L9" s="846"/>
      <c r="M9" s="3245" t="s">
        <v>341</v>
      </c>
      <c r="N9" s="3245"/>
      <c r="O9" s="3245"/>
      <c r="P9" s="852"/>
      <c r="Q9" s="1407" t="s">
        <v>2</v>
      </c>
      <c r="R9" s="1407"/>
      <c r="S9" s="1407"/>
      <c r="T9" s="1408"/>
      <c r="V9" s="2913"/>
      <c r="W9" s="2913"/>
    </row>
    <row r="10" spans="1:34">
      <c r="B10" s="853" t="s">
        <v>372</v>
      </c>
      <c r="C10" s="854" t="s">
        <v>342</v>
      </c>
      <c r="D10" s="854" t="s">
        <v>343</v>
      </c>
      <c r="E10" s="855" t="s">
        <v>344</v>
      </c>
      <c r="F10" s="1146" t="s">
        <v>345</v>
      </c>
      <c r="G10" s="3241" t="s">
        <v>689</v>
      </c>
      <c r="H10" s="3241"/>
      <c r="I10" s="841"/>
      <c r="J10" s="3242" t="s">
        <v>688</v>
      </c>
      <c r="K10" s="3242"/>
      <c r="L10" s="846"/>
      <c r="M10" s="856" t="s">
        <v>345</v>
      </c>
      <c r="N10" s="3240" t="s">
        <v>346</v>
      </c>
      <c r="O10" s="3240"/>
      <c r="P10" s="841"/>
      <c r="Q10" s="3237"/>
      <c r="R10" s="3237"/>
      <c r="T10" s="1105" t="s">
        <v>348</v>
      </c>
      <c r="V10" s="2913"/>
      <c r="W10" s="2913"/>
      <c r="Y10" s="1922" t="s">
        <v>860</v>
      </c>
      <c r="Z10" s="1952"/>
    </row>
    <row r="11" spans="1:34" ht="14.4" thickBot="1">
      <c r="B11" s="853"/>
      <c r="C11" s="854" t="s">
        <v>350</v>
      </c>
      <c r="D11" s="854" t="s">
        <v>350</v>
      </c>
      <c r="E11" s="855" t="s">
        <v>351</v>
      </c>
      <c r="F11" s="1146" t="s">
        <v>352</v>
      </c>
      <c r="G11" s="1147" t="s">
        <v>346</v>
      </c>
      <c r="H11" s="858" t="s">
        <v>353</v>
      </c>
      <c r="I11" s="859"/>
      <c r="J11" s="1154" t="s">
        <v>346</v>
      </c>
      <c r="K11" s="861" t="s">
        <v>353</v>
      </c>
      <c r="L11" s="846"/>
      <c r="M11" s="862"/>
      <c r="N11" s="863" t="s">
        <v>690</v>
      </c>
      <c r="O11" s="860" t="s">
        <v>691</v>
      </c>
      <c r="P11" s="864"/>
      <c r="Q11" s="857" t="s">
        <v>690</v>
      </c>
      <c r="R11" s="860" t="s">
        <v>691</v>
      </c>
      <c r="S11" s="859"/>
      <c r="T11" s="1106"/>
      <c r="V11" s="2913"/>
      <c r="W11" s="2913"/>
      <c r="Y11" s="1963" t="s">
        <v>690</v>
      </c>
      <c r="Z11" s="1963" t="s">
        <v>691</v>
      </c>
    </row>
    <row r="12" spans="1:34" ht="14.4" thickBot="1">
      <c r="B12" s="853" t="s">
        <v>373</v>
      </c>
      <c r="C12" s="865">
        <v>0.12</v>
      </c>
      <c r="D12" s="2403">
        <f>IF('6. Inputs'!K133="",'6. Inputs'!I133,'6. Inputs'!K133)</f>
        <v>0.12</v>
      </c>
      <c r="E12" s="866" t="s">
        <v>359</v>
      </c>
      <c r="F12" s="2012">
        <f>'6. Inputs'!H12</f>
        <v>0</v>
      </c>
      <c r="G12" s="2012">
        <f>'6. Inputs'!I12</f>
        <v>0</v>
      </c>
      <c r="H12" s="2428" t="str">
        <f>VLOOKUP('6. Inputs'!J12,List!$D$35:$E$37,2,)</f>
        <v>Linear</v>
      </c>
      <c r="I12" s="841"/>
      <c r="J12" s="2013">
        <f>'6. Inputs'!K12</f>
        <v>0</v>
      </c>
      <c r="K12" s="2428" t="str">
        <f>VLOOKUP('6. Inputs'!L12,List!$D$35:$E$37,2,)</f>
        <v>Linear</v>
      </c>
      <c r="L12" s="846"/>
      <c r="M12" s="867">
        <f t="shared" ref="M12:N14" si="0">IF($E12="YES",$C12,$D12)*F12*44/12</f>
        <v>0</v>
      </c>
      <c r="N12" s="867">
        <f t="shared" si="0"/>
        <v>0</v>
      </c>
      <c r="O12" s="867">
        <f>IF($E12="YES",$C12,$D12)*J12*44/12</f>
        <v>0</v>
      </c>
      <c r="P12" s="841"/>
      <c r="Q12" s="1400">
        <f>MIN(M12,N12)*time_tot+ABS(N12-M12)*IF(N12&gt;M12,time2+time*(VLOOKUP(H12,List!$E$35:$F$37,2,)),time*(1-(VLOOKUP(H12,List!$E$35:$F$37,2,))))</f>
        <v>0</v>
      </c>
      <c r="R12" s="1400">
        <f>MIN(M12,O12)*time_tot+ABS(O12-M12)*IF(O12&gt;M12,time2+time*(VLOOKUP(K12,List!$E$35:$F$37,2,)),time*(1-(VLOOKUP(K12,List!$E$35:$F$37,2,))))</f>
        <v>0</v>
      </c>
      <c r="T12" s="1409">
        <f>R12-Q12</f>
        <v>0</v>
      </c>
      <c r="V12" s="2911"/>
      <c r="W12" s="2911"/>
      <c r="Y12" s="1964">
        <f>MIN(M12,N12)*time+ABS(N12-M12)*IF(N12&gt;M12,time*(VLOOKUP(H12,List!$E$35:$F$37,2,)),time*(1-(VLOOKUP(H12,List!$E$35:$F$37,2,))))</f>
        <v>0</v>
      </c>
      <c r="Z12" s="1964">
        <f>MIN(M12,O12)*time+ABS(O12-M12)*IF(O12&gt;M12,time*(VLOOKUP(K12,List!$E$35:$F$37,2,)),time*(1-(VLOOKUP(K12,List!$E$35:$F$37,2,))))</f>
        <v>0</v>
      </c>
    </row>
    <row r="13" spans="1:34" ht="14.4" thickBot="1">
      <c r="B13" s="853" t="s">
        <v>374</v>
      </c>
      <c r="C13" s="865">
        <v>0.13</v>
      </c>
      <c r="D13" s="2403">
        <f>IF('6. Inputs'!K134="",'6. Inputs'!I134,'6. Inputs'!K134)</f>
        <v>0.13</v>
      </c>
      <c r="E13" s="866" t="s">
        <v>359</v>
      </c>
      <c r="F13" s="2012">
        <f>'6. Inputs'!H13</f>
        <v>0</v>
      </c>
      <c r="G13" s="2012">
        <f>'6. Inputs'!I13</f>
        <v>0</v>
      </c>
      <c r="H13" s="2428" t="str">
        <f>VLOOKUP('6. Inputs'!J13,List!$D$35:$E$37,2,)</f>
        <v>Linear</v>
      </c>
      <c r="I13" s="841"/>
      <c r="J13" s="2013">
        <f>'6. Inputs'!K13</f>
        <v>0</v>
      </c>
      <c r="K13" s="2428" t="str">
        <f>VLOOKUP('6. Inputs'!L13,List!$D$35:$E$37,2,)</f>
        <v>Linear</v>
      </c>
      <c r="L13" s="846"/>
      <c r="M13" s="867">
        <f t="shared" si="0"/>
        <v>0</v>
      </c>
      <c r="N13" s="867">
        <f t="shared" si="0"/>
        <v>0</v>
      </c>
      <c r="O13" s="867">
        <f>IF($E13="YES",$C13,$D13)*J13*44/12</f>
        <v>0</v>
      </c>
      <c r="P13" s="841"/>
      <c r="Q13" s="1400">
        <f>MIN(M13,N13)*time_tot+ABS(N13-M13)*IF(N13&gt;M13,time2+time*(VLOOKUP(H13,List!$E$35:$F$37,2,)),time*(1-(VLOOKUP(H13,List!$E$35:$F$37,2,))))</f>
        <v>0</v>
      </c>
      <c r="R13" s="1400">
        <f>MIN(M13,O13)*time_tot+ABS(O13-M13)*IF(O13&gt;M13,time2+time*(VLOOKUP(K13,List!$E$35:$F$37,2,)),time*(1-(VLOOKUP(K13,List!$E$35:$F$37,2,))))</f>
        <v>0</v>
      </c>
      <c r="T13" s="1409">
        <f>R13-Q13</f>
        <v>0</v>
      </c>
      <c r="Y13" s="1964">
        <f>MIN(M13,N13)*time+ABS(N13-M13)*IF(N13&gt;M13,time*(VLOOKUP(H13,List!$E$35:$F$37,2,)),time*(1-(VLOOKUP(H13,List!$E$35:$F$37,2,))))</f>
        <v>0</v>
      </c>
      <c r="Z13" s="1964">
        <f>MIN(M13,O13)*time+ABS(O13-M13)*IF(O13&gt;M13,time*(VLOOKUP(K13,List!$E$35:$F$37,2,)),time*(1-(VLOOKUP(K13,List!$E$35:$F$37,2,))))</f>
        <v>0</v>
      </c>
    </row>
    <row r="14" spans="1:34">
      <c r="B14" s="853" t="s">
        <v>375</v>
      </c>
      <c r="C14" s="869">
        <v>0.125</v>
      </c>
      <c r="D14" s="2403">
        <f>IF('6. Inputs'!K135="",'6. Inputs'!I135,'6. Inputs'!K135)</f>
        <v>0.125</v>
      </c>
      <c r="E14" s="866" t="s">
        <v>359</v>
      </c>
      <c r="F14" s="2012">
        <f>'6. Inputs'!H14</f>
        <v>0</v>
      </c>
      <c r="G14" s="2012">
        <f>'6. Inputs'!I14</f>
        <v>0</v>
      </c>
      <c r="H14" s="2428" t="str">
        <f>VLOOKUP('6. Inputs'!J14,List!$D$35:$E$37,2,)</f>
        <v>Linear</v>
      </c>
      <c r="I14" s="841"/>
      <c r="J14" s="2013">
        <f>'6. Inputs'!K14</f>
        <v>0</v>
      </c>
      <c r="K14" s="2428" t="str">
        <f>VLOOKUP('6. Inputs'!L14,List!$D$35:$E$37,2,)</f>
        <v>Linear</v>
      </c>
      <c r="L14" s="846"/>
      <c r="M14" s="867">
        <f t="shared" si="0"/>
        <v>0</v>
      </c>
      <c r="N14" s="867">
        <f t="shared" si="0"/>
        <v>0</v>
      </c>
      <c r="O14" s="867">
        <f>IF($E14="YES",$C14,$D14)*J14*44/12</f>
        <v>0</v>
      </c>
      <c r="P14" s="841"/>
      <c r="Q14" s="1400">
        <f>MIN(M14,N14)*time_tot+ABS(N14-M14)*IF(N14&gt;M14,time2+time*(VLOOKUP(H14,List!$E$35:$F$37,2,)),time*(1-(VLOOKUP(H14,List!$E$35:$F$37,2,))))</f>
        <v>0</v>
      </c>
      <c r="R14" s="1400">
        <f>MIN(M14,O14)*time_tot+ABS(O14-M14)*IF(O14&gt;M14,time2+time*(VLOOKUP(K14,List!$E$35:$F$37,2,)),time*(1-(VLOOKUP(K14,List!$E$35:$F$37,2,))))</f>
        <v>0</v>
      </c>
      <c r="T14" s="1409">
        <f>R14-Q14</f>
        <v>0</v>
      </c>
      <c r="Y14" s="1964">
        <f>MIN(M14,N14)*time+ABS(N14-M14)*IF(N14&gt;M14,time*(VLOOKUP(H14,List!$E$35:$F$37,2,)),time*(1-(VLOOKUP(H14,List!$E$35:$F$37,2,))))</f>
        <v>0</v>
      </c>
      <c r="Z14" s="1964">
        <f>MIN(M14,O14)*time+ABS(O14-M14)*IF(O14&gt;M14,time*(VLOOKUP(K14,List!$E$35:$F$37,2,)),time*(1-(VLOOKUP(K14,List!$E$35:$F$37,2,))))</f>
        <v>0</v>
      </c>
    </row>
    <row r="15" spans="1:34">
      <c r="A15" s="841"/>
      <c r="B15" s="841"/>
      <c r="C15" s="841"/>
      <c r="D15" s="841"/>
      <c r="E15" s="841"/>
      <c r="F15" s="1135"/>
      <c r="G15" s="1135"/>
      <c r="H15" s="843"/>
      <c r="I15" s="841"/>
      <c r="J15" s="1135"/>
      <c r="K15" s="870" t="s">
        <v>696</v>
      </c>
      <c r="L15" s="871"/>
      <c r="M15" s="872">
        <f>SUM(M12:M14)</f>
        <v>0</v>
      </c>
      <c r="N15" s="872">
        <f>SUM(N12:N14)</f>
        <v>0</v>
      </c>
      <c r="O15" s="872">
        <f>SUM(O12:O14)</f>
        <v>0</v>
      </c>
      <c r="P15" s="872"/>
      <c r="Q15" s="1411">
        <f>SUM(Q12:Q14)</f>
        <v>0</v>
      </c>
      <c r="R15" s="1411">
        <f>SUM(R12:R14)</f>
        <v>0</v>
      </c>
      <c r="S15" s="1411"/>
      <c r="T15" s="1410">
        <f>SUM(T12:T14)</f>
        <v>0</v>
      </c>
      <c r="AA15" s="2914">
        <f>SUM(Z12:Z14)-SUM(Y12:Y14)</f>
        <v>0</v>
      </c>
    </row>
    <row r="16" spans="1:34">
      <c r="A16" s="841"/>
      <c r="B16" s="841"/>
      <c r="C16" s="841"/>
      <c r="D16" s="841"/>
      <c r="E16" s="841"/>
      <c r="F16" s="1135"/>
      <c r="G16" s="1135"/>
      <c r="H16" s="843"/>
      <c r="I16" s="841"/>
      <c r="J16" s="1135"/>
      <c r="K16" s="846"/>
      <c r="L16" s="846"/>
      <c r="M16" s="844"/>
      <c r="N16" s="844"/>
      <c r="O16" s="844"/>
      <c r="P16" s="844"/>
      <c r="Q16" s="1414"/>
      <c r="R16" s="1414"/>
      <c r="S16" s="844"/>
    </row>
    <row r="17" spans="1:27">
      <c r="B17" s="847" t="s">
        <v>376</v>
      </c>
      <c r="C17" s="848"/>
      <c r="D17" s="849"/>
      <c r="E17" s="849"/>
      <c r="F17" s="1145"/>
      <c r="G17" s="1145"/>
      <c r="H17" s="851"/>
      <c r="I17" s="850"/>
      <c r="J17" s="1145"/>
      <c r="K17" s="850"/>
      <c r="L17" s="850"/>
      <c r="M17" s="850"/>
      <c r="N17" s="850"/>
      <c r="O17" s="850"/>
      <c r="P17" s="850"/>
      <c r="Q17" s="1415"/>
      <c r="R17" s="1415"/>
      <c r="S17" s="1415"/>
      <c r="T17" s="1416"/>
    </row>
    <row r="18" spans="1:27" ht="14.4" thickBot="1">
      <c r="B18" s="841"/>
      <c r="C18" s="842"/>
      <c r="D18" s="842"/>
      <c r="E18" s="842"/>
      <c r="F18" s="3243" t="s">
        <v>377</v>
      </c>
      <c r="G18" s="3243"/>
      <c r="H18" s="3243"/>
      <c r="I18" s="3243"/>
      <c r="J18" s="3243"/>
      <c r="K18" s="3243"/>
      <c r="L18" s="846"/>
      <c r="M18" s="3245" t="s">
        <v>341</v>
      </c>
      <c r="N18" s="3245"/>
      <c r="O18" s="3245"/>
      <c r="P18" s="852"/>
      <c r="Q18" s="1407" t="s">
        <v>2</v>
      </c>
      <c r="R18" s="1407"/>
      <c r="S18" s="1407"/>
      <c r="T18" s="1408"/>
    </row>
    <row r="19" spans="1:27">
      <c r="B19" s="853"/>
      <c r="C19" s="854" t="s">
        <v>342</v>
      </c>
      <c r="D19" s="854" t="s">
        <v>343</v>
      </c>
      <c r="E19" s="855" t="s">
        <v>344</v>
      </c>
      <c r="F19" s="1146" t="s">
        <v>345</v>
      </c>
      <c r="G19" s="3241" t="s">
        <v>689</v>
      </c>
      <c r="H19" s="3241"/>
      <c r="I19" s="841"/>
      <c r="J19" s="3242" t="s">
        <v>688</v>
      </c>
      <c r="K19" s="3242"/>
      <c r="L19" s="846"/>
      <c r="M19" s="856" t="s">
        <v>345</v>
      </c>
      <c r="N19" s="3240" t="s">
        <v>346</v>
      </c>
      <c r="O19" s="3240"/>
      <c r="P19" s="841"/>
      <c r="Q19" s="3237"/>
      <c r="R19" s="3237"/>
      <c r="T19" s="1105" t="s">
        <v>348</v>
      </c>
      <c r="Y19" s="1922" t="s">
        <v>860</v>
      </c>
      <c r="Z19" s="1952"/>
    </row>
    <row r="20" spans="1:27" ht="14.4" thickBot="1">
      <c r="B20" s="853"/>
      <c r="C20" s="854" t="s">
        <v>350</v>
      </c>
      <c r="D20" s="854" t="s">
        <v>350</v>
      </c>
      <c r="E20" s="855" t="s">
        <v>351</v>
      </c>
      <c r="F20" s="1146" t="s">
        <v>352</v>
      </c>
      <c r="G20" s="1147" t="s">
        <v>346</v>
      </c>
      <c r="H20" s="858" t="s">
        <v>353</v>
      </c>
      <c r="I20" s="859"/>
      <c r="J20" s="1154" t="s">
        <v>346</v>
      </c>
      <c r="K20" s="861" t="s">
        <v>353</v>
      </c>
      <c r="L20" s="846"/>
      <c r="M20" s="862"/>
      <c r="N20" s="863" t="s">
        <v>690</v>
      </c>
      <c r="O20" s="860" t="s">
        <v>691</v>
      </c>
      <c r="P20" s="864"/>
      <c r="Q20" s="857" t="s">
        <v>690</v>
      </c>
      <c r="R20" s="860" t="s">
        <v>691</v>
      </c>
      <c r="S20" s="859"/>
      <c r="T20" s="1106"/>
      <c r="Y20" s="1963" t="s">
        <v>690</v>
      </c>
      <c r="Z20" s="1963" t="s">
        <v>691</v>
      </c>
    </row>
    <row r="21" spans="1:27" ht="14.4" thickBot="1">
      <c r="B21" s="853" t="s">
        <v>378</v>
      </c>
      <c r="C21" s="865">
        <v>0.2</v>
      </c>
      <c r="D21" s="2403">
        <f>IF('6. Inputs'!K137="",'6. Inputs'!I137,'6. Inputs'!K137)</f>
        <v>0.2</v>
      </c>
      <c r="E21" s="866" t="s">
        <v>359</v>
      </c>
      <c r="F21" s="2634">
        <f>'6. Inputs'!H16/0.467</f>
        <v>0</v>
      </c>
      <c r="G21" s="2634">
        <f>'6. Inputs'!I16/0.467</f>
        <v>0</v>
      </c>
      <c r="H21" s="2428" t="str">
        <f>VLOOKUP('6. Inputs'!J16,List!$D$35:$E$37,2,)</f>
        <v>Linear</v>
      </c>
      <c r="I21" s="841"/>
      <c r="J21" s="2635">
        <f>'6. Inputs'!K16/0.467</f>
        <v>0</v>
      </c>
      <c r="K21" s="2428" t="str">
        <f>VLOOKUP('6. Inputs'!L16,List!$D$35:$E$37,2,)</f>
        <v>Linear</v>
      </c>
      <c r="L21" s="846"/>
      <c r="M21" s="867">
        <f>IF($E21="YES",$C21,$D21)*F21*44/12</f>
        <v>0</v>
      </c>
      <c r="N21" s="1150">
        <f>IF($E21="YES",$C21,$D21)*G21*44/12</f>
        <v>0</v>
      </c>
      <c r="O21" s="1150">
        <f>IF($E21="YES",$C21,$D21)*J21*44/12</f>
        <v>0</v>
      </c>
      <c r="P21" s="841"/>
      <c r="Q21" s="1400">
        <f>MIN(M21,N21)*time_tot+ABS(N21-M21)*IF(N21&gt;M21,time2+time*(VLOOKUP(H21,List!$E$35:$F$37,2,)),time*(1-(VLOOKUP(H21,List!$E$35:$F$37,2,))))</f>
        <v>0</v>
      </c>
      <c r="R21" s="1400">
        <f>MIN(M21,O21)*time_tot+ABS(O21-M21)*IF(O21&gt;M21,time2+time*(VLOOKUP(K21,List!$E$35:$F$37,2,)),time*(1-(VLOOKUP(K21,List!$E$35:$F$37,2,))))</f>
        <v>0</v>
      </c>
      <c r="T21" s="1409">
        <f>R21-Q21</f>
        <v>0</v>
      </c>
      <c r="Y21" s="1964">
        <f>MIN(M21,N21)*time+ABS(N21-M21)*IF(N21&gt;M21,time*(VLOOKUP(H21,List!$E$35:$F$37,2,)),time*(1-(VLOOKUP(H21,List!$E$35:$F$37,2,))))</f>
        <v>0</v>
      </c>
      <c r="Z21" s="1964">
        <f>MIN(M21,O21)*time+ABS(O21-M21)*IF(O21&gt;M21,time*(VLOOKUP(K21,List!$E$35:$F$37,2,)),time*(1-(VLOOKUP(K21,List!$E$35:$F$37,2,))))</f>
        <v>0</v>
      </c>
    </row>
    <row r="22" spans="1:27">
      <c r="A22" s="841"/>
      <c r="B22" s="841"/>
      <c r="C22" s="841"/>
      <c r="D22" s="841"/>
      <c r="E22" s="841"/>
      <c r="F22" s="1135"/>
      <c r="G22" s="1135"/>
      <c r="H22" s="843"/>
      <c r="I22" s="841"/>
      <c r="J22" s="1135"/>
      <c r="K22" s="870" t="s">
        <v>697</v>
      </c>
      <c r="L22" s="871"/>
      <c r="M22" s="872">
        <f>SUM(M21:M21)</f>
        <v>0</v>
      </c>
      <c r="N22" s="1411">
        <f>SUM(N21:N21)</f>
        <v>0</v>
      </c>
      <c r="O22" s="1411">
        <f>SUM(O21:O21)</f>
        <v>0</v>
      </c>
      <c r="P22" s="1411"/>
      <c r="Q22" s="1411">
        <f>SUM(Q21:Q21)</f>
        <v>0</v>
      </c>
      <c r="R22" s="1411">
        <f>SUM(R21:R21)</f>
        <v>0</v>
      </c>
      <c r="S22" s="1411"/>
      <c r="T22" s="1410">
        <f>SUM(T21:T21)</f>
        <v>0</v>
      </c>
      <c r="AA22" s="2914">
        <f>Z21-Y21</f>
        <v>0</v>
      </c>
    </row>
    <row r="23" spans="1:27">
      <c r="B23" s="841"/>
      <c r="C23" s="842"/>
      <c r="D23" s="842"/>
      <c r="E23" s="842"/>
      <c r="F23" s="1135"/>
      <c r="G23" s="1135"/>
      <c r="H23" s="843"/>
      <c r="I23" s="873"/>
      <c r="J23" s="1135"/>
      <c r="K23" s="841"/>
      <c r="L23" s="841"/>
      <c r="M23" s="841"/>
      <c r="N23" s="841"/>
      <c r="O23" s="841"/>
      <c r="P23" s="841"/>
      <c r="Q23" s="841"/>
      <c r="R23" s="841"/>
    </row>
    <row r="24" spans="1:27" ht="15">
      <c r="B24" s="847" t="s">
        <v>1295</v>
      </c>
      <c r="C24" s="849"/>
      <c r="D24" s="849"/>
      <c r="E24" s="849"/>
      <c r="F24" s="1145"/>
      <c r="G24" s="1145"/>
      <c r="H24" s="851"/>
      <c r="I24" s="850"/>
      <c r="J24" s="1145"/>
      <c r="K24" s="850"/>
      <c r="L24" s="850"/>
      <c r="M24" s="850"/>
      <c r="N24" s="850"/>
      <c r="O24" s="850"/>
      <c r="P24" s="850"/>
      <c r="Q24" s="1415"/>
      <c r="R24" s="1415"/>
      <c r="S24" s="1415"/>
      <c r="T24" s="1416"/>
    </row>
    <row r="25" spans="1:27" ht="14.4" thickBot="1">
      <c r="B25" s="841"/>
      <c r="C25" s="842"/>
      <c r="D25" s="842"/>
      <c r="E25" s="842"/>
      <c r="F25" s="1263"/>
      <c r="G25" s="1148" t="s">
        <v>862</v>
      </c>
      <c r="H25" s="843"/>
      <c r="I25" s="841"/>
      <c r="J25" s="1135"/>
      <c r="K25" s="841"/>
      <c r="L25" s="841"/>
      <c r="M25" s="3245" t="s">
        <v>341</v>
      </c>
      <c r="N25" s="3245"/>
      <c r="O25" s="3245"/>
      <c r="P25" s="841"/>
      <c r="Q25" s="1407" t="s">
        <v>2</v>
      </c>
      <c r="R25" s="1407"/>
      <c r="S25" s="1407"/>
      <c r="T25" s="1408"/>
    </row>
    <row r="26" spans="1:27">
      <c r="B26" s="853" t="s">
        <v>379</v>
      </c>
      <c r="C26" s="854" t="s">
        <v>342</v>
      </c>
      <c r="D26" s="854" t="s">
        <v>343</v>
      </c>
      <c r="E26" s="855" t="s">
        <v>344</v>
      </c>
      <c r="F26" s="1146" t="s">
        <v>345</v>
      </c>
      <c r="G26" s="3238" t="s">
        <v>689</v>
      </c>
      <c r="H26" s="3238"/>
      <c r="I26" s="841"/>
      <c r="J26" s="3239" t="s">
        <v>688</v>
      </c>
      <c r="K26" s="3239"/>
      <c r="L26" s="841"/>
      <c r="M26" s="856" t="s">
        <v>345</v>
      </c>
      <c r="N26" s="3240" t="s">
        <v>346</v>
      </c>
      <c r="O26" s="3240"/>
      <c r="P26" s="841"/>
      <c r="Q26" s="3237"/>
      <c r="R26" s="3237"/>
      <c r="T26" s="1105" t="s">
        <v>348</v>
      </c>
      <c r="Y26" s="1922" t="s">
        <v>860</v>
      </c>
      <c r="Z26" s="1952"/>
    </row>
    <row r="27" spans="1:27">
      <c r="B27" s="853"/>
      <c r="C27" s="854" t="s">
        <v>350</v>
      </c>
      <c r="D27" s="854" t="s">
        <v>350</v>
      </c>
      <c r="E27" s="855" t="s">
        <v>351</v>
      </c>
      <c r="F27" s="1146" t="s">
        <v>352</v>
      </c>
      <c r="G27" s="1147" t="s">
        <v>346</v>
      </c>
      <c r="H27" s="858" t="s">
        <v>353</v>
      </c>
      <c r="I27" s="859"/>
      <c r="J27" s="1154">
        <v>0</v>
      </c>
      <c r="K27" s="861" t="s">
        <v>353</v>
      </c>
      <c r="L27" s="841"/>
      <c r="M27" s="862"/>
      <c r="N27" s="863" t="s">
        <v>690</v>
      </c>
      <c r="O27" s="860" t="s">
        <v>691</v>
      </c>
      <c r="P27" s="864"/>
      <c r="Q27" s="857" t="s">
        <v>690</v>
      </c>
      <c r="R27" s="860" t="s">
        <v>691</v>
      </c>
      <c r="S27" s="859"/>
      <c r="T27" s="1106"/>
      <c r="Y27" s="1963" t="s">
        <v>690</v>
      </c>
      <c r="Z27" s="1963" t="s">
        <v>691</v>
      </c>
    </row>
    <row r="28" spans="1:27" ht="14.4" thickBot="1">
      <c r="B28" s="853" t="s">
        <v>378</v>
      </c>
      <c r="C28" s="865">
        <v>0.01</v>
      </c>
      <c r="D28" s="2432">
        <f>IF('6. Inputs'!Q137="",'6. Inputs'!P137,'6. Inputs'!Q137)</f>
        <v>0.01</v>
      </c>
      <c r="E28" s="866" t="s">
        <v>359</v>
      </c>
      <c r="F28" s="1144">
        <f>28*F21/60</f>
        <v>0</v>
      </c>
      <c r="G28" s="1144">
        <f>28*G21/60</f>
        <v>0</v>
      </c>
      <c r="H28" s="1139" t="str">
        <f>H21</f>
        <v>Linear</v>
      </c>
      <c r="I28" s="859"/>
      <c r="J28" s="1144">
        <f>28*J21/60</f>
        <v>0</v>
      </c>
      <c r="K28" s="879" t="str">
        <f>K21</f>
        <v>Linear</v>
      </c>
      <c r="L28" s="841"/>
      <c r="M28" s="868">
        <f>IF($E28="YES",$C28,$D28)*(Nitrous*F28)*(44/28)</f>
        <v>0</v>
      </c>
      <c r="N28" s="868">
        <f t="shared" ref="M28:N32" si="1">IF($E28="YES",$C28,$D28)*(Nitrous*G28)*(44/28)</f>
        <v>0</v>
      </c>
      <c r="O28" s="868">
        <f>IF($E28="YES",$C28,$D28)*(Nitrous*J28)*(44/28)</f>
        <v>0</v>
      </c>
      <c r="P28" s="841"/>
      <c r="Q28" s="1400">
        <f>MIN(M28,N28)*time_tot+ABS(N28-M28)*IF(N28&gt;M28,time2+time*(VLOOKUP(H28,List!$E$35:$F$37,2,)),time*(1-(VLOOKUP(H28,List!$E$35:$F$37,2,))))</f>
        <v>0</v>
      </c>
      <c r="R28" s="1400">
        <f>MIN(M28,O28)*time_tot+ABS(O28-M28)*IF(O28&gt;M28,time2+time*(VLOOKUP(K28,List!$E$35:$F$37,2,)),time*(1-(VLOOKUP(K28,List!$E$35:$F$37,2,))))</f>
        <v>0</v>
      </c>
      <c r="T28" s="1409">
        <f>R28-Q28</f>
        <v>0</v>
      </c>
      <c r="Y28" s="1964">
        <f>MIN(M28,N28)*time+ABS(N28-M28)*IF(N28&gt;M28,time*(VLOOKUP(H28,List!$E$35:$F$37,2,)),time*(1-(VLOOKUP(H28,List!$E$35:$F$37,2,))))</f>
        <v>0</v>
      </c>
      <c r="Z28" s="1964">
        <f>MIN(M28,O28)*time+ABS(O28-M28)*IF(O28&gt;M28,time*(VLOOKUP(K28,List!$E$35:$F$37,2,)),time*(1-(VLOOKUP(K28,List!$E$35:$F$37,2,))))</f>
        <v>0</v>
      </c>
    </row>
    <row r="29" spans="1:27" ht="14.4" thickBot="1">
      <c r="B29" s="853" t="s">
        <v>87</v>
      </c>
      <c r="C29" s="865">
        <v>0.01</v>
      </c>
      <c r="D29" s="2432">
        <f>IF('6. Inputs'!Q138="",'6. Inputs'!P138,'6. Inputs'!Q138)</f>
        <v>0.01</v>
      </c>
      <c r="E29" s="866" t="s">
        <v>359</v>
      </c>
      <c r="F29" s="2012">
        <f>'6. Inputs'!H17</f>
        <v>0</v>
      </c>
      <c r="G29" s="2012">
        <f>'6. Inputs'!I17</f>
        <v>0</v>
      </c>
      <c r="H29" s="2428" t="str">
        <f>VLOOKUP('6. Inputs'!J17,List!$D$35:$E$37,2,)</f>
        <v>Linear</v>
      </c>
      <c r="I29" s="841"/>
      <c r="J29" s="2014">
        <f>'6. Inputs'!K17</f>
        <v>0</v>
      </c>
      <c r="K29" s="2428" t="str">
        <f>VLOOKUP('6. Inputs'!L17,List!$D$35:$E$37,2,)</f>
        <v>Linear</v>
      </c>
      <c r="L29" s="841"/>
      <c r="M29" s="868">
        <f t="shared" si="1"/>
        <v>0</v>
      </c>
      <c r="N29" s="868">
        <f t="shared" si="1"/>
        <v>0</v>
      </c>
      <c r="O29" s="868">
        <f>IF($E29="YES",$C29,$D29)*(Nitrous*J29)*(44/28)</f>
        <v>0</v>
      </c>
      <c r="P29" s="841"/>
      <c r="Q29" s="1400">
        <f>MIN(M29,N29)*time_tot+ABS(N29-M29)*IF(N29&gt;M29,time2+time*(VLOOKUP(H29,List!$E$35:$F$37,2,)),time*(1-(VLOOKUP(H29,List!$E$35:$F$37,2,))))</f>
        <v>0</v>
      </c>
      <c r="R29" s="1400">
        <f>MIN(M29,O29)*time_tot+ABS(O29-M29)*IF(O29&gt;M29,time2+time*(VLOOKUP(K29,List!$E$35:$F$37,2,)),time*(1-(VLOOKUP(K29,List!$E$35:$F$37,2,))))</f>
        <v>0</v>
      </c>
      <c r="T29" s="1409">
        <f>R29-Q29</f>
        <v>0</v>
      </c>
      <c r="Y29" s="1964">
        <f>MIN(M29,N29)*time+ABS(N29-M29)*IF(N29&gt;M29,time*(VLOOKUP(H29,List!$E$35:$F$37,2,)),time*(1-(VLOOKUP(H29,List!$E$35:$F$37,2,))))</f>
        <v>0</v>
      </c>
      <c r="Z29" s="1964">
        <f>MIN(M29,O29)*time+ABS(O29-M29)*IF(O29&gt;M29,time*(VLOOKUP(K29,List!$E$35:$F$37,2,)),time*(1-(VLOOKUP(K29,List!$E$35:$F$37,2,))))</f>
        <v>0</v>
      </c>
    </row>
    <row r="30" spans="1:27" ht="14.4" thickBot="1">
      <c r="B30" s="853" t="s">
        <v>693</v>
      </c>
      <c r="C30" s="865">
        <v>3.0000000000000001E-3</v>
      </c>
      <c r="D30" s="2432">
        <f>IF('6. Inputs'!Q139="",'6. Inputs'!P139,'6. Inputs'!Q139)</f>
        <v>3.0000000000000001E-3</v>
      </c>
      <c r="E30" s="866" t="s">
        <v>359</v>
      </c>
      <c r="F30" s="2012">
        <f>'6. Inputs'!H18</f>
        <v>0</v>
      </c>
      <c r="G30" s="2012">
        <f>'6. Inputs'!I18</f>
        <v>0</v>
      </c>
      <c r="H30" s="2428" t="str">
        <f>VLOOKUP('6. Inputs'!J18,List!$D$35:$E$37,2,)</f>
        <v>Linear</v>
      </c>
      <c r="I30" s="841"/>
      <c r="J30" s="2014">
        <f>'6. Inputs'!K18</f>
        <v>0</v>
      </c>
      <c r="K30" s="2428" t="str">
        <f>VLOOKUP('6. Inputs'!L18,List!$D$35:$E$37,2,)</f>
        <v>Linear</v>
      </c>
      <c r="L30" s="841"/>
      <c r="M30" s="868">
        <f t="shared" si="1"/>
        <v>0</v>
      </c>
      <c r="N30" s="868">
        <f t="shared" si="1"/>
        <v>0</v>
      </c>
      <c r="O30" s="868">
        <f>IF($E30="YES",$C30,$D30)*(Nitrous*J30)*(44/28)</f>
        <v>0</v>
      </c>
      <c r="P30" s="841"/>
      <c r="Q30" s="1400">
        <f>MIN(M30,N30)*time_tot+ABS(N30-M30)*IF(N30&gt;M30,time2+time*(VLOOKUP(H30,List!$E$35:$F$37,2,)),time*(1-(VLOOKUP(H30,List!$E$35:$F$37,2,))))</f>
        <v>0</v>
      </c>
      <c r="R30" s="1400">
        <f>MIN(M30,O30)*time_tot+ABS(O30-M30)*IF(O30&gt;M30,time2+time*(VLOOKUP(K30,List!$E$35:$F$37,2,)),time*(1-(VLOOKUP(K30,List!$E$35:$F$37,2,))))</f>
        <v>0</v>
      </c>
      <c r="T30" s="1409">
        <f>R30-Q30</f>
        <v>0</v>
      </c>
      <c r="Y30" s="1964">
        <f>MIN(M30,N30)*time+ABS(N30-M30)*IF(N30&gt;M30,time*(VLOOKUP(H30,List!$E$35:$F$37,2,)),time*(1-(VLOOKUP(H30,List!$E$35:$F$37,2,))))</f>
        <v>0</v>
      </c>
      <c r="Z30" s="1964">
        <f>MIN(M30,O30)*time+ABS(O30-M30)*IF(O30&gt;M30,time*(VLOOKUP(K30,List!$E$35:$F$37,2,)),time*(1-(VLOOKUP(K30,List!$E$35:$F$37,2,))))</f>
        <v>0</v>
      </c>
    </row>
    <row r="31" spans="1:27" ht="14.4" thickBot="1">
      <c r="B31" s="853" t="s">
        <v>380</v>
      </c>
      <c r="C31" s="865">
        <v>0.01</v>
      </c>
      <c r="D31" s="2432">
        <f>IF('6. Inputs'!Q140="",'6. Inputs'!P140,'6. Inputs'!Q140)</f>
        <v>0.01</v>
      </c>
      <c r="E31" s="866" t="s">
        <v>359</v>
      </c>
      <c r="F31" s="2012">
        <f>'6. Inputs'!H19</f>
        <v>0</v>
      </c>
      <c r="G31" s="2012">
        <f>'6. Inputs'!I19</f>
        <v>0</v>
      </c>
      <c r="H31" s="2428" t="str">
        <f>VLOOKUP('6. Inputs'!J19,List!$D$35:$E$37,2,)</f>
        <v>Linear</v>
      </c>
      <c r="I31" s="841"/>
      <c r="J31" s="2014">
        <f>'6. Inputs'!K19</f>
        <v>0</v>
      </c>
      <c r="K31" s="2428" t="str">
        <f>VLOOKUP('6. Inputs'!L19,List!$D$35:$E$37,2,)</f>
        <v>Linear</v>
      </c>
      <c r="L31" s="841"/>
      <c r="M31" s="868">
        <f t="shared" si="1"/>
        <v>0</v>
      </c>
      <c r="N31" s="868">
        <f t="shared" si="1"/>
        <v>0</v>
      </c>
      <c r="O31" s="868">
        <f>IF($E31="YES",$C31,$D31)*(Nitrous*J31)*(44/28)</f>
        <v>0</v>
      </c>
      <c r="P31" s="841"/>
      <c r="Q31" s="1400">
        <f>MIN(M31,N31)*time_tot+ABS(N31-M31)*IF(N31&gt;M31,time2+time*(VLOOKUP(H31,List!$E$35:$F$37,2,)),time*(1-(VLOOKUP(H31,List!$E$35:$F$37,2,))))</f>
        <v>0</v>
      </c>
      <c r="R31" s="1400">
        <f>MIN(M31,O31)*time_tot+ABS(O31-M31)*IF(O31&gt;M31,time2+time*(VLOOKUP(K31,List!$E$35:$F$37,2,)),time*(1-(VLOOKUP(K31,List!$E$35:$F$37,2,))))</f>
        <v>0</v>
      </c>
      <c r="T31" s="1409">
        <f>R31-Q31</f>
        <v>0</v>
      </c>
      <c r="Y31" s="1964">
        <f>MIN(M31,N31)*time+ABS(N31-M31)*IF(N31&gt;M31,time*(VLOOKUP(H31,List!$E$35:$F$37,2,)),time*(1-(VLOOKUP(H31,List!$E$35:$F$37,2,))))</f>
        <v>0</v>
      </c>
      <c r="Z31" s="1964">
        <f>MIN(M31,O31)*time+ABS(O31-M31)*IF(O31&gt;M31,time*(VLOOKUP(K31,List!$E$35:$F$37,2,)),time*(1-(VLOOKUP(K31,List!$E$35:$F$37,2,))))</f>
        <v>0</v>
      </c>
    </row>
    <row r="32" spans="1:27">
      <c r="B32" s="874" t="s">
        <v>381</v>
      </c>
      <c r="C32" s="865">
        <v>0.01</v>
      </c>
      <c r="D32" s="2432">
        <f>IF('6. Inputs'!Q141="",'6. Inputs'!P141,'6. Inputs'!Q141)</f>
        <v>0.01</v>
      </c>
      <c r="E32" s="866" t="s">
        <v>359</v>
      </c>
      <c r="F32" s="2012">
        <f>'6. Inputs'!H20</f>
        <v>0</v>
      </c>
      <c r="G32" s="2012">
        <f>'6. Inputs'!I20</f>
        <v>0</v>
      </c>
      <c r="H32" s="2428" t="str">
        <f>VLOOKUP('6. Inputs'!J20,List!$D$35:$E$37,2,)</f>
        <v>Linear</v>
      </c>
      <c r="I32" s="841"/>
      <c r="J32" s="2014">
        <f>'6. Inputs'!K20</f>
        <v>0</v>
      </c>
      <c r="K32" s="2428" t="str">
        <f>VLOOKUP('6. Inputs'!L20,List!$D$35:$E$37,2,)</f>
        <v>Linear</v>
      </c>
      <c r="L32" s="841"/>
      <c r="M32" s="868">
        <f t="shared" si="1"/>
        <v>0</v>
      </c>
      <c r="N32" s="868">
        <f t="shared" si="1"/>
        <v>0</v>
      </c>
      <c r="O32" s="868">
        <f>IF($E32="YES",$C32,$D32)*(Nitrous*J32)*(44/28)</f>
        <v>0</v>
      </c>
      <c r="P32" s="841"/>
      <c r="Q32" s="1400">
        <f>MIN(M32,N32)*time_tot+ABS(N32-M32)*IF(N32&gt;M32,time2+time*(VLOOKUP(H32,List!$E$35:$F$37,2,)),time*(1-(VLOOKUP(H32,List!$E$35:$F$37,2,))))</f>
        <v>0</v>
      </c>
      <c r="R32" s="1400">
        <f>MIN(M32,O32)*time_tot+ABS(O32-M32)*IF(O32&gt;M32,time2+time*(VLOOKUP(K32,List!$E$35:$F$37,2,)),time*(1-(VLOOKUP(K32,List!$E$35:$F$37,2,))))</f>
        <v>0</v>
      </c>
      <c r="T32" s="1409">
        <f>R32-Q32</f>
        <v>0</v>
      </c>
      <c r="Y32" s="1964">
        <f>MIN(M32,N32)*time+ABS(N32-M32)*IF(N32&gt;M32,time*(VLOOKUP(H32,List!$E$35:$F$37,2,)),time*(1-(VLOOKUP(H32,List!$E$35:$F$37,2,))))</f>
        <v>0</v>
      </c>
      <c r="Z32" s="1964">
        <f>MIN(M32,O32)*time+ABS(O32-M32)*IF(O32&gt;M32,time*(VLOOKUP(K32,List!$E$35:$F$37,2,)),time*(1-(VLOOKUP(K32,List!$E$35:$F$37,2,))))</f>
        <v>0</v>
      </c>
    </row>
    <row r="33" spans="2:27">
      <c r="B33" s="1136" t="s">
        <v>88</v>
      </c>
      <c r="C33" s="1137"/>
      <c r="D33" s="1137"/>
      <c r="E33" s="840"/>
      <c r="F33" s="1149"/>
      <c r="G33" s="1149"/>
      <c r="H33" s="843"/>
      <c r="I33" s="841"/>
      <c r="J33" s="1135"/>
      <c r="K33" s="870" t="s">
        <v>698</v>
      </c>
      <c r="L33" s="871"/>
      <c r="M33" s="875">
        <f>SUM(M28:M32)</f>
        <v>0</v>
      </c>
      <c r="N33" s="875">
        <f>SUM(N28:N32)</f>
        <v>0</v>
      </c>
      <c r="O33" s="875">
        <f>SUM(O28:O32)</f>
        <v>0</v>
      </c>
      <c r="P33" s="841"/>
      <c r="Q33" s="1411">
        <f>SUM(Q28:Q32)</f>
        <v>0</v>
      </c>
      <c r="R33" s="1411">
        <f>SUM(R28:R32)</f>
        <v>0</v>
      </c>
      <c r="S33" s="1413"/>
      <c r="T33" s="1410">
        <f>SUM(T28:T32)</f>
        <v>0</v>
      </c>
      <c r="AA33" s="2914">
        <f>SUM(Z28:Z32)-SUM(Y28:Y32)</f>
        <v>0</v>
      </c>
    </row>
    <row r="34" spans="2:27">
      <c r="B34" s="841"/>
      <c r="C34" s="842"/>
      <c r="D34" s="842"/>
      <c r="E34" s="842"/>
      <c r="F34" s="1135"/>
      <c r="G34" s="1135"/>
      <c r="H34" s="843"/>
      <c r="I34" s="841"/>
      <c r="J34" s="1135"/>
      <c r="K34" s="841"/>
      <c r="L34" s="841"/>
      <c r="M34" s="841"/>
      <c r="N34" s="841"/>
      <c r="O34" s="841"/>
      <c r="P34" s="841"/>
      <c r="Q34" s="841"/>
      <c r="R34" s="841"/>
    </row>
    <row r="35" spans="2:27" ht="15">
      <c r="B35" s="847" t="s">
        <v>1281</v>
      </c>
      <c r="C35" s="848"/>
      <c r="D35" s="849"/>
      <c r="E35" s="849"/>
      <c r="F35" s="1145"/>
      <c r="G35" s="1145"/>
      <c r="H35" s="851"/>
      <c r="I35" s="850"/>
      <c r="J35" s="1145"/>
      <c r="K35" s="850"/>
      <c r="L35" s="850"/>
      <c r="M35" s="850"/>
      <c r="N35" s="850"/>
      <c r="O35" s="850"/>
      <c r="P35" s="850"/>
      <c r="Q35" s="1415"/>
      <c r="R35" s="1415"/>
      <c r="S35" s="1415"/>
      <c r="T35" s="1416"/>
    </row>
    <row r="36" spans="2:27" ht="14.4" thickBot="1">
      <c r="B36" s="841"/>
      <c r="C36" s="842"/>
      <c r="D36" s="842"/>
      <c r="E36" s="842"/>
      <c r="F36" s="1263"/>
      <c r="G36" s="1148" t="s">
        <v>382</v>
      </c>
      <c r="H36" s="843"/>
      <c r="I36" s="841"/>
      <c r="J36" s="1135"/>
      <c r="K36" s="841"/>
      <c r="L36" s="841"/>
      <c r="M36" s="841"/>
      <c r="N36" s="841"/>
      <c r="O36" s="841"/>
      <c r="P36" s="841"/>
      <c r="Q36" s="841"/>
      <c r="R36" s="841"/>
    </row>
    <row r="37" spans="2:27">
      <c r="B37" s="853" t="s">
        <v>1279</v>
      </c>
      <c r="C37" s="854" t="s">
        <v>344</v>
      </c>
      <c r="D37" s="854" t="s">
        <v>343</v>
      </c>
      <c r="E37" s="855" t="s">
        <v>344</v>
      </c>
      <c r="F37" s="1146" t="s">
        <v>345</v>
      </c>
      <c r="G37" s="3238" t="s">
        <v>689</v>
      </c>
      <c r="H37" s="3238"/>
      <c r="I37" s="841"/>
      <c r="J37" s="3239" t="s">
        <v>688</v>
      </c>
      <c r="K37" s="3239"/>
      <c r="L37" s="841"/>
      <c r="M37" s="856" t="s">
        <v>345</v>
      </c>
      <c r="N37" s="3240" t="s">
        <v>346</v>
      </c>
      <c r="O37" s="3240"/>
      <c r="P37" s="841"/>
      <c r="Q37" s="3237" t="s">
        <v>3</v>
      </c>
      <c r="R37" s="3237"/>
      <c r="T37" s="1105" t="s">
        <v>348</v>
      </c>
      <c r="Y37" s="1922" t="s">
        <v>860</v>
      </c>
      <c r="Z37" s="1952"/>
    </row>
    <row r="38" spans="2:27">
      <c r="B38" s="853"/>
      <c r="C38" s="854" t="s">
        <v>945</v>
      </c>
      <c r="D38" s="854" t="s">
        <v>350</v>
      </c>
      <c r="E38" s="855" t="s">
        <v>351</v>
      </c>
      <c r="F38" s="1146" t="s">
        <v>352</v>
      </c>
      <c r="G38" s="1147" t="s">
        <v>346</v>
      </c>
      <c r="H38" s="858" t="s">
        <v>353</v>
      </c>
      <c r="I38" s="859"/>
      <c r="J38" s="1154" t="s">
        <v>346</v>
      </c>
      <c r="K38" s="861" t="s">
        <v>353</v>
      </c>
      <c r="L38" s="841"/>
      <c r="M38" s="862"/>
      <c r="N38" s="863" t="s">
        <v>690</v>
      </c>
      <c r="O38" s="860" t="s">
        <v>691</v>
      </c>
      <c r="P38" s="864"/>
      <c r="Q38" s="857" t="s">
        <v>690</v>
      </c>
      <c r="R38" s="860" t="s">
        <v>691</v>
      </c>
      <c r="S38" s="859"/>
      <c r="T38" s="1106"/>
      <c r="Y38" s="1963" t="s">
        <v>690</v>
      </c>
      <c r="Z38" s="1963" t="s">
        <v>691</v>
      </c>
    </row>
    <row r="39" spans="2:27">
      <c r="B39" s="853" t="str">
        <f>B28</f>
        <v>Urea</v>
      </c>
      <c r="C39" s="876">
        <f>44*1.3/12</f>
        <v>4.7666666666666666</v>
      </c>
      <c r="D39" s="2435">
        <f>IF('6. Inputs'!X137="",'6. Inputs'!W137,'6. Inputs'!X137)</f>
        <v>4.7666666666666666</v>
      </c>
      <c r="E39" s="878" t="s">
        <v>359</v>
      </c>
      <c r="F39" s="1150">
        <f>F28</f>
        <v>0</v>
      </c>
      <c r="G39" s="1150">
        <f t="shared" ref="F39:H41" si="2">G28</f>
        <v>0</v>
      </c>
      <c r="H39" s="879" t="str">
        <f t="shared" si="2"/>
        <v>Linear</v>
      </c>
      <c r="I39" s="841"/>
      <c r="J39" s="1150">
        <f t="shared" ref="J39:K41" si="3">J28</f>
        <v>0</v>
      </c>
      <c r="K39" s="879" t="str">
        <f t="shared" si="3"/>
        <v>Linear</v>
      </c>
      <c r="L39" s="841"/>
      <c r="M39" s="868">
        <f t="shared" ref="M39:N41" si="4">IF($E39="YES",$C39,$D39)*F39</f>
        <v>0</v>
      </c>
      <c r="N39" s="868">
        <f t="shared" si="4"/>
        <v>0</v>
      </c>
      <c r="O39" s="868">
        <f>IF($E39="YES",$C39,$D39)*J39</f>
        <v>0</v>
      </c>
      <c r="P39" s="880"/>
      <c r="Q39" s="1400">
        <f>MIN(M39,N39)*time_tot+ABS(N39-M39)*IF(N39&gt;M39,time2+time*(VLOOKUP(H39,List!$E$35:$F$37,2,)),time*(1-(VLOOKUP(H39,List!$E$35:$F$37,2,))))</f>
        <v>0</v>
      </c>
      <c r="R39" s="1400">
        <f>MIN(M39,O39)*time_tot+ABS(O39-M39)*IF(O39&gt;M39,time2+time*(VLOOKUP(K39,List!$E$35:$F$37,2,)),time*(1-(VLOOKUP(K39,List!$E$35:$F$37,2,))))</f>
        <v>0</v>
      </c>
      <c r="T39" s="1409">
        <f t="shared" ref="T39:T49" si="5">R39-Q39</f>
        <v>0</v>
      </c>
      <c r="Y39" s="1964">
        <f>MIN(M39,N39)*time+ABS(N39-M39)*IF(N39&gt;M39,time*(VLOOKUP(H39,List!$E$35:$F$37,2,)),time*(1-(VLOOKUP(H39,List!$E$35:$F$37,2,))))</f>
        <v>0</v>
      </c>
      <c r="Z39" s="1964">
        <f>MIN(M39,O39)*time+ABS(O39-M39)*IF(O39&gt;M39,time*(VLOOKUP(K39,List!$E$35:$F$37,2,)),time*(1-(VLOOKUP(K39,List!$E$35:$F$37,2,))))</f>
        <v>0</v>
      </c>
    </row>
    <row r="40" spans="2:27">
      <c r="B40" s="853" t="str">
        <f>B29</f>
        <v>N Fertiliser (other than Urea)</v>
      </c>
      <c r="C40" s="876">
        <f>C39</f>
        <v>4.7666666666666666</v>
      </c>
      <c r="D40" s="2435">
        <f>IF('6. Inputs'!X138="",'6. Inputs'!W138,'6. Inputs'!X138)</f>
        <v>4.7666666666666666</v>
      </c>
      <c r="E40" s="878" t="s">
        <v>359</v>
      </c>
      <c r="F40" s="1150">
        <f t="shared" si="2"/>
        <v>0</v>
      </c>
      <c r="G40" s="1150">
        <f t="shared" si="2"/>
        <v>0</v>
      </c>
      <c r="H40" s="879" t="str">
        <f t="shared" si="2"/>
        <v>Linear</v>
      </c>
      <c r="I40" s="841"/>
      <c r="J40" s="1150">
        <f t="shared" si="3"/>
        <v>0</v>
      </c>
      <c r="K40" s="879" t="str">
        <f t="shared" si="3"/>
        <v>Linear</v>
      </c>
      <c r="L40" s="841"/>
      <c r="M40" s="868">
        <f t="shared" si="4"/>
        <v>0</v>
      </c>
      <c r="N40" s="868">
        <f t="shared" si="4"/>
        <v>0</v>
      </c>
      <c r="O40" s="868">
        <f>IF($E40="YES",$C40,$D40)*J40</f>
        <v>0</v>
      </c>
      <c r="P40" s="880"/>
      <c r="Q40" s="1400">
        <f>MIN(M40,N40)*time_tot+ABS(N40-M40)*IF(N40&gt;M40,time2+time*(VLOOKUP(H40,List!$E$35:$F$37,2,)),time*(1-(VLOOKUP(H40,List!$E$35:$F$37,2,))))</f>
        <v>0</v>
      </c>
      <c r="R40" s="1400">
        <f>MIN(M40,O40)*time_tot+ABS(O40-M40)*IF(O40&gt;M40,time2+time*(VLOOKUP(K40,List!$E$35:$F$37,2,)),time*(1-(VLOOKUP(K40,List!$E$35:$F$37,2,))))</f>
        <v>0</v>
      </c>
      <c r="T40" s="1409">
        <f>R40-Q40</f>
        <v>0</v>
      </c>
      <c r="Y40" s="1964">
        <f>MIN(M40,N40)*time+ABS(N40-M40)*IF(N40&gt;M40,time*(VLOOKUP(H40,List!$E$35:$F$37,2,)),time*(1-(VLOOKUP(H40,List!$E$35:$F$37,2,))))</f>
        <v>0</v>
      </c>
      <c r="Z40" s="1964">
        <f>MIN(M40,O40)*time+ABS(O40-M40)*IF(O40&gt;M40,time*(VLOOKUP(K40,List!$E$35:$F$37,2,)),time*(1-(VLOOKUP(K40,List!$E$35:$F$37,2,))))</f>
        <v>0</v>
      </c>
    </row>
    <row r="41" spans="2:27" ht="14.4" thickBot="1">
      <c r="B41" s="853" t="str">
        <f>B30</f>
        <v>N Fertiliser in non-upland Rice*</v>
      </c>
      <c r="C41" s="876">
        <f>C40</f>
        <v>4.7666666666666666</v>
      </c>
      <c r="D41" s="2435">
        <f>IF('6. Inputs'!X139="",'6. Inputs'!W139,'6. Inputs'!X139)</f>
        <v>4.7666666666666666</v>
      </c>
      <c r="E41" s="878" t="s">
        <v>359</v>
      </c>
      <c r="F41" s="1150">
        <f t="shared" si="2"/>
        <v>0</v>
      </c>
      <c r="G41" s="1150">
        <f t="shared" si="2"/>
        <v>0</v>
      </c>
      <c r="H41" s="879" t="str">
        <f t="shared" si="2"/>
        <v>Linear</v>
      </c>
      <c r="I41" s="841"/>
      <c r="J41" s="1150">
        <f t="shared" si="3"/>
        <v>0</v>
      </c>
      <c r="K41" s="879" t="str">
        <f t="shared" si="3"/>
        <v>Linear</v>
      </c>
      <c r="L41" s="841"/>
      <c r="M41" s="868">
        <f t="shared" si="4"/>
        <v>0</v>
      </c>
      <c r="N41" s="868">
        <f t="shared" si="4"/>
        <v>0</v>
      </c>
      <c r="O41" s="868">
        <f>IF($E41="YES",$C41,$D41)*J41</f>
        <v>0</v>
      </c>
      <c r="P41" s="880"/>
      <c r="Q41" s="1400">
        <f>MIN(M41,N41)*time_tot+ABS(N41-M41)*IF(N41&gt;M41,time2+time*(VLOOKUP(H41,List!$E$35:$F$37,2,)),time*(1-(VLOOKUP(H41,List!$E$35:$F$37,2,))))</f>
        <v>0</v>
      </c>
      <c r="R41" s="1400">
        <f>MIN(M41,O41)*time_tot+ABS(O41-M41)*IF(O41&gt;M41,time2+time*(VLOOKUP(K41,List!$E$35:$F$37,2,)),time*(1-(VLOOKUP(K41,List!$E$35:$F$37,2,))))</f>
        <v>0</v>
      </c>
      <c r="T41" s="1409">
        <f>R41-Q41</f>
        <v>0</v>
      </c>
      <c r="Y41" s="1964">
        <f>MIN(M41,N41)*time+ABS(N41-M41)*IF(N41&gt;M41,time*(VLOOKUP(H41,List!$E$35:$F$37,2,)),time*(1-(VLOOKUP(H41,List!$E$35:$F$37,2,))))</f>
        <v>0</v>
      </c>
      <c r="Z41" s="1964">
        <f>MIN(M41,O41)*time+ABS(O41-M41)*IF(O41&gt;M41,time*(VLOOKUP(K41,List!$E$35:$F$37,2,)),time*(1-(VLOOKUP(K41,List!$E$35:$F$37,2,))))</f>
        <v>0</v>
      </c>
    </row>
    <row r="42" spans="2:27" ht="14.4" thickBot="1">
      <c r="B42" s="853" t="s">
        <v>383</v>
      </c>
      <c r="C42" s="876">
        <f>44*0.2/12</f>
        <v>0.73333333333333339</v>
      </c>
      <c r="D42" s="2435">
        <f>IF('6. Inputs'!X142="",'6. Inputs'!W142,'6. Inputs'!X142)</f>
        <v>0.73333333333333339</v>
      </c>
      <c r="E42" s="878" t="s">
        <v>359</v>
      </c>
      <c r="F42" s="2012">
        <f>'6. Inputs'!H21</f>
        <v>0</v>
      </c>
      <c r="G42" s="2012">
        <f>'6. Inputs'!I21</f>
        <v>0</v>
      </c>
      <c r="H42" s="2428" t="str">
        <f>VLOOKUP('6. Inputs'!J21,List!$D$35:$E$37,2,)</f>
        <v>Linear</v>
      </c>
      <c r="I42" s="841"/>
      <c r="J42" s="2014">
        <f>'6. Inputs'!K21</f>
        <v>0</v>
      </c>
      <c r="K42" s="2428" t="str">
        <f>VLOOKUP('6. Inputs'!L21,List!$D$35:$E$37,2,)</f>
        <v>Linear</v>
      </c>
      <c r="L42" s="841"/>
      <c r="M42" s="868">
        <f t="shared" ref="M42:M49" si="6">IF($E42="YES",$C42,$D42)*F42</f>
        <v>0</v>
      </c>
      <c r="N42" s="868">
        <f t="shared" ref="N42:N49" si="7">IF($E42="YES",$C42,$D42)*G42</f>
        <v>0</v>
      </c>
      <c r="O42" s="868">
        <f t="shared" ref="O42:O49" si="8">IF($E42="YES",$C42,$D42)*J42</f>
        <v>0</v>
      </c>
      <c r="P42" s="880"/>
      <c r="Q42" s="1400">
        <f>MIN(M42,N42)*time_tot+ABS(N42-M42)*IF(N42&gt;M42,time2+time*(VLOOKUP(H42,List!$E$35:$F$37,2,)),time*(1-(VLOOKUP(H42,List!$E$35:$F$37,2,))))</f>
        <v>0</v>
      </c>
      <c r="R42" s="1400">
        <f>MIN(M42,O42)*time_tot+ABS(O42-M42)*IF(O42&gt;M42,time2+time*(VLOOKUP(K42,List!$E$35:$F$37,2,)),time*(1-(VLOOKUP(K42,List!$E$35:$F$37,2,))))</f>
        <v>0</v>
      </c>
      <c r="T42" s="1409">
        <f t="shared" si="5"/>
        <v>0</v>
      </c>
      <c r="Y42" s="1964">
        <f>MIN(M42,N42)*time+ABS(N42-M42)*IF(N42&gt;M42,time*(VLOOKUP(H42,List!$E$35:$F$37,2,)),time*(1-(VLOOKUP(H42,List!$E$35:$F$37,2,))))</f>
        <v>0</v>
      </c>
      <c r="Z42" s="1964">
        <f>MIN(M42,O42)*time+ABS(O42-M42)*IF(O42&gt;M42,time*(VLOOKUP(K42,List!$E$35:$F$37,2,)),time*(1-(VLOOKUP(K42,List!$E$35:$F$37,2,))))</f>
        <v>0</v>
      </c>
    </row>
    <row r="43" spans="2:27">
      <c r="B43" s="853" t="s">
        <v>384</v>
      </c>
      <c r="C43" s="876">
        <f>0.15*44/12</f>
        <v>0.54999999999999993</v>
      </c>
      <c r="D43" s="2435">
        <f>IF('6. Inputs'!X143="",'6. Inputs'!W143,'6. Inputs'!X143)</f>
        <v>0.54999999999999993</v>
      </c>
      <c r="E43" s="878" t="s">
        <v>359</v>
      </c>
      <c r="F43" s="2012">
        <f>'6. Inputs'!H22</f>
        <v>0</v>
      </c>
      <c r="G43" s="2012">
        <f>'6. Inputs'!I22</f>
        <v>0</v>
      </c>
      <c r="H43" s="2428" t="str">
        <f>VLOOKUP('6. Inputs'!J22,List!$D$35:$E$37,2,)</f>
        <v>Linear</v>
      </c>
      <c r="I43" s="841"/>
      <c r="J43" s="2014">
        <f>'6. Inputs'!K22</f>
        <v>0</v>
      </c>
      <c r="K43" s="2428" t="str">
        <f>VLOOKUP('6. Inputs'!L22,List!$D$35:$E$37,2,)</f>
        <v>Linear</v>
      </c>
      <c r="L43" s="841"/>
      <c r="M43" s="868">
        <f t="shared" si="6"/>
        <v>0</v>
      </c>
      <c r="N43" s="868">
        <f t="shared" si="7"/>
        <v>0</v>
      </c>
      <c r="O43" s="868">
        <f t="shared" si="8"/>
        <v>0</v>
      </c>
      <c r="P43" s="880"/>
      <c r="Q43" s="1400">
        <f>MIN(M43,N43)*time_tot+ABS(N43-M43)*IF(N43&gt;M43,time2+time*(VLOOKUP(H43,List!$E$35:$F$37,2,)),time*(1-(VLOOKUP(H43,List!$E$35:$F$37,2,))))</f>
        <v>0</v>
      </c>
      <c r="R43" s="1400">
        <f>MIN(M43,O43)*time_tot+ABS(O43-M43)*IF(O43&gt;M43,time2+time*(VLOOKUP(K43,List!$E$35:$F$37,2,)),time*(1-(VLOOKUP(K43,List!$E$35:$F$37,2,))))</f>
        <v>0</v>
      </c>
      <c r="T43" s="1409">
        <f t="shared" si="5"/>
        <v>0</v>
      </c>
      <c r="Y43" s="1964">
        <f>MIN(M43,N43)*time+ABS(N43-M43)*IF(N43&gt;M43,time*(VLOOKUP(H43,List!$E$35:$F$37,2,)),time*(1-(VLOOKUP(H43,List!$E$35:$F$37,2,))))</f>
        <v>0</v>
      </c>
      <c r="Z43" s="1964">
        <f>MIN(M43,O43)*time+ABS(O43-M43)*IF(O43&gt;M43,time*(VLOOKUP(K43,List!$E$35:$F$37,2,)),time*(1-(VLOOKUP(K43,List!$E$35:$F$37,2,))))</f>
        <v>0</v>
      </c>
    </row>
    <row r="44" spans="2:27">
      <c r="B44" s="853" t="s">
        <v>385</v>
      </c>
      <c r="C44" s="876">
        <f>0.16*44/12</f>
        <v>0.58666666666666667</v>
      </c>
      <c r="D44" s="2435">
        <f>IF('6. Inputs'!X133="",'6. Inputs'!W133,'6. Inputs'!X133)</f>
        <v>0.58666666666666667</v>
      </c>
      <c r="E44" s="878" t="s">
        <v>359</v>
      </c>
      <c r="F44" s="1150">
        <f t="shared" ref="F44:H46" si="9">F12</f>
        <v>0</v>
      </c>
      <c r="G44" s="1150">
        <f t="shared" si="9"/>
        <v>0</v>
      </c>
      <c r="H44" s="879" t="str">
        <f t="shared" si="9"/>
        <v>Linear</v>
      </c>
      <c r="I44" s="841"/>
      <c r="J44" s="1150">
        <f t="shared" ref="J44:K46" si="10">J12</f>
        <v>0</v>
      </c>
      <c r="K44" s="879" t="str">
        <f t="shared" si="10"/>
        <v>Linear</v>
      </c>
      <c r="L44" s="841"/>
      <c r="M44" s="868">
        <f t="shared" si="6"/>
        <v>0</v>
      </c>
      <c r="N44" s="868">
        <f t="shared" si="7"/>
        <v>0</v>
      </c>
      <c r="O44" s="868">
        <f t="shared" si="8"/>
        <v>0</v>
      </c>
      <c r="P44" s="880"/>
      <c r="Q44" s="1400">
        <f>MIN(M44,N44)*time_tot+ABS(N44-M44)*IF(N44&gt;M44,time2+time*(VLOOKUP(H44,List!$E$35:$F$37,2,)),time*(1-(VLOOKUP(H44,List!$E$35:$F$37,2,))))</f>
        <v>0</v>
      </c>
      <c r="R44" s="1400">
        <f>MIN(M44,O44)*time_tot+ABS(O44-M44)*IF(O44&gt;M44,time2+time*(VLOOKUP(K44,List!$E$35:$F$37,2,)),time*(1-(VLOOKUP(K44,List!$E$35:$F$37,2,))))</f>
        <v>0</v>
      </c>
      <c r="T44" s="1409">
        <f t="shared" si="5"/>
        <v>0</v>
      </c>
      <c r="Y44" s="1964">
        <f>MIN(M44,N44)*time+ABS(N44-M44)*IF(N44&gt;M44,time*(VLOOKUP(H44,List!$E$35:$F$37,2,)),time*(1-(VLOOKUP(H44,List!$E$35:$F$37,2,))))</f>
        <v>0</v>
      </c>
      <c r="Z44" s="1964">
        <f>MIN(M44,O44)*time+ABS(O44-M44)*IF(O44&gt;M44,time*(VLOOKUP(K44,List!$E$35:$F$37,2,)),time*(1-(VLOOKUP(K44,List!$E$35:$F$37,2,))))</f>
        <v>0</v>
      </c>
    </row>
    <row r="45" spans="2:27">
      <c r="B45" s="853" t="s">
        <v>386</v>
      </c>
      <c r="C45" s="876">
        <f>0.16*44/12</f>
        <v>0.58666666666666667</v>
      </c>
      <c r="D45" s="2435">
        <f>IF('6. Inputs'!X134="",'6. Inputs'!W134,'6. Inputs'!X134)</f>
        <v>0.58666666666666667</v>
      </c>
      <c r="E45" s="878" t="s">
        <v>359</v>
      </c>
      <c r="F45" s="1150">
        <f t="shared" si="9"/>
        <v>0</v>
      </c>
      <c r="G45" s="1150">
        <f t="shared" si="9"/>
        <v>0</v>
      </c>
      <c r="H45" s="879" t="str">
        <f t="shared" si="9"/>
        <v>Linear</v>
      </c>
      <c r="I45" s="841"/>
      <c r="J45" s="1150">
        <f t="shared" si="10"/>
        <v>0</v>
      </c>
      <c r="K45" s="879" t="str">
        <f t="shared" si="10"/>
        <v>Linear</v>
      </c>
      <c r="L45" s="841"/>
      <c r="M45" s="868">
        <f t="shared" si="6"/>
        <v>0</v>
      </c>
      <c r="N45" s="868">
        <f t="shared" si="7"/>
        <v>0</v>
      </c>
      <c r="O45" s="868">
        <f t="shared" si="8"/>
        <v>0</v>
      </c>
      <c r="P45" s="880"/>
      <c r="Q45" s="1400">
        <f>MIN(M45,N45)*time_tot+ABS(N45-M45)*IF(N45&gt;M45,time2+time*(VLOOKUP(H45,List!$E$35:$F$37,2,)),time*(1-(VLOOKUP(H45,List!$E$35:$F$37,2,))))</f>
        <v>0</v>
      </c>
      <c r="R45" s="1400">
        <f>MIN(M45,O45)*time_tot+ABS(O45-M45)*IF(O45&gt;M45,time2+time*(VLOOKUP(K45,List!$E$35:$F$37,2,)),time*(1-(VLOOKUP(K45,List!$E$35:$F$37,2,))))</f>
        <v>0</v>
      </c>
      <c r="T45" s="1409">
        <f t="shared" si="5"/>
        <v>0</v>
      </c>
      <c r="Y45" s="1964">
        <f>MIN(M45,N45)*time+ABS(N45-M45)*IF(N45&gt;M45,time*(VLOOKUP(H45,List!$E$35:$F$37,2,)),time*(1-(VLOOKUP(H45,List!$E$35:$F$37,2,))))</f>
        <v>0</v>
      </c>
      <c r="Z45" s="1964">
        <f>MIN(M45,O45)*time+ABS(O45-M45)*IF(O45&gt;M45,time*(VLOOKUP(K45,List!$E$35:$F$37,2,)),time*(1-(VLOOKUP(K45,List!$E$35:$F$37,2,))))</f>
        <v>0</v>
      </c>
    </row>
    <row r="46" spans="2:27" ht="14.4" thickBot="1">
      <c r="B46" s="853" t="s">
        <v>1296</v>
      </c>
      <c r="C46" s="876">
        <f>0.16*44/12</f>
        <v>0.58666666666666667</v>
      </c>
      <c r="D46" s="2435">
        <f>IF('6. Inputs'!X135="",'6. Inputs'!W135,'6. Inputs'!X135)</f>
        <v>0.58666666666666667</v>
      </c>
      <c r="E46" s="878" t="s">
        <v>359</v>
      </c>
      <c r="F46" s="1150">
        <f t="shared" si="9"/>
        <v>0</v>
      </c>
      <c r="G46" s="1150">
        <f t="shared" si="9"/>
        <v>0</v>
      </c>
      <c r="H46" s="879" t="str">
        <f t="shared" si="9"/>
        <v>Linear</v>
      </c>
      <c r="I46" s="841"/>
      <c r="J46" s="1150">
        <f t="shared" si="10"/>
        <v>0</v>
      </c>
      <c r="K46" s="879" t="str">
        <f t="shared" si="10"/>
        <v>Linear</v>
      </c>
      <c r="L46" s="841"/>
      <c r="M46" s="868">
        <f t="shared" si="6"/>
        <v>0</v>
      </c>
      <c r="N46" s="868">
        <f t="shared" si="7"/>
        <v>0</v>
      </c>
      <c r="O46" s="868">
        <f t="shared" si="8"/>
        <v>0</v>
      </c>
      <c r="P46" s="880"/>
      <c r="Q46" s="1400">
        <f>MIN(M46,N46)*time_tot+ABS(N46-M46)*IF(N46&gt;M46,time2+time*(VLOOKUP(H46,List!$E$35:$F$37,2,)),time*(1-(VLOOKUP(H46,List!$E$35:$F$37,2,))))</f>
        <v>0</v>
      </c>
      <c r="R46" s="1400">
        <f>MIN(M46,O46)*time_tot+ABS(O46-M46)*IF(O46&gt;M46,time2+time*(VLOOKUP(K46,List!$E$35:$F$37,2,)),time*(1-(VLOOKUP(K46,List!$E$35:$F$37,2,))))</f>
        <v>0</v>
      </c>
      <c r="T46" s="1409">
        <f t="shared" si="5"/>
        <v>0</v>
      </c>
      <c r="Y46" s="1964">
        <f>MIN(M46,N46)*time+ABS(N46-M46)*IF(N46&gt;M46,time*(VLOOKUP(H46,List!$E$35:$F$37,2,)),time*(1-(VLOOKUP(H46,List!$E$35:$F$37,2,))))</f>
        <v>0</v>
      </c>
      <c r="Z46" s="1964">
        <f>MIN(M46,O46)*time+ABS(O46-M46)*IF(O46&gt;M46,time*(VLOOKUP(K46,List!$E$35:$F$37,2,)),time*(1-(VLOOKUP(K46,List!$E$35:$F$37,2,))))</f>
        <v>0</v>
      </c>
    </row>
    <row r="47" spans="2:27" ht="14.4" thickBot="1">
      <c r="B47" s="853" t="s">
        <v>387</v>
      </c>
      <c r="C47" s="881">
        <f>44*6.3/12</f>
        <v>23.099999999999998</v>
      </c>
      <c r="D47" s="877">
        <f>IF('6. Inputs'!X145="",'6. Inputs'!W145,'6. Inputs'!X145)</f>
        <v>23.099999999999998</v>
      </c>
      <c r="E47" s="878" t="s">
        <v>359</v>
      </c>
      <c r="F47" s="2015">
        <f>'6. Inputs'!H24</f>
        <v>0</v>
      </c>
      <c r="G47" s="2015">
        <f>'6. Inputs'!I24</f>
        <v>0</v>
      </c>
      <c r="H47" s="2428" t="str">
        <f>VLOOKUP('6. Inputs'!J24,List!$D$35:$E$37,2,)</f>
        <v>Linear</v>
      </c>
      <c r="I47" s="841"/>
      <c r="J47" s="2014">
        <f>'6. Inputs'!K24</f>
        <v>0</v>
      </c>
      <c r="K47" s="2428" t="str">
        <f>VLOOKUP('6. Inputs'!L24,List!$D$35:$E$37,2,)</f>
        <v>Linear</v>
      </c>
      <c r="L47" s="841"/>
      <c r="M47" s="868">
        <f t="shared" si="6"/>
        <v>0</v>
      </c>
      <c r="N47" s="868">
        <f t="shared" si="7"/>
        <v>0</v>
      </c>
      <c r="O47" s="868">
        <f t="shared" si="8"/>
        <v>0</v>
      </c>
      <c r="P47" s="880"/>
      <c r="Q47" s="1400">
        <f>MIN(M47,N47)*time_tot+ABS(N47-M47)*IF(N47&gt;M47,time2+time*(VLOOKUP(H47,List!$E$35:$F$37,2,)),time*(1-(VLOOKUP(H47,List!$E$35:$F$37,2,))))</f>
        <v>0</v>
      </c>
      <c r="R47" s="1400">
        <f>MIN(M47,O47)*time_tot+ABS(O47-M47)*IF(O47&gt;M47,time2+time*(VLOOKUP(K47,List!$E$35:$F$37,2,)),time*(1-(VLOOKUP(K47,List!$E$35:$F$37,2,))))</f>
        <v>0</v>
      </c>
      <c r="T47" s="1409">
        <f t="shared" si="5"/>
        <v>0</v>
      </c>
      <c r="Y47" s="1964">
        <f>MIN(M47,N47)*time+ABS(N47-M47)*IF(N47&gt;M47,time*(VLOOKUP(H47,List!$E$35:$F$37,2,)),time*(1-(VLOOKUP(H47,List!$E$35:$F$37,2,))))</f>
        <v>0</v>
      </c>
      <c r="Z47" s="1964">
        <f>MIN(M47,O47)*time+ABS(O47-M47)*IF(O47&gt;M47,time*(VLOOKUP(K47,List!$E$35:$F$37,2,)),time*(1-(VLOOKUP(K47,List!$E$35:$F$37,2,))))</f>
        <v>0</v>
      </c>
    </row>
    <row r="48" spans="2:27" ht="14.4" thickBot="1">
      <c r="B48" s="853" t="s">
        <v>388</v>
      </c>
      <c r="C48" s="881">
        <f>44*5.1/12</f>
        <v>18.7</v>
      </c>
      <c r="D48" s="877">
        <f>IF('6. Inputs'!X146="",'6. Inputs'!W146,'6. Inputs'!X146)</f>
        <v>18.7</v>
      </c>
      <c r="E48" s="878" t="s">
        <v>359</v>
      </c>
      <c r="F48" s="2015">
        <f>'6. Inputs'!H25</f>
        <v>0</v>
      </c>
      <c r="G48" s="2015">
        <f>'6. Inputs'!I25</f>
        <v>0</v>
      </c>
      <c r="H48" s="2428" t="str">
        <f>VLOOKUP('6. Inputs'!J25,List!$D$35:$E$37,2,)</f>
        <v>Linear</v>
      </c>
      <c r="I48" s="841"/>
      <c r="J48" s="2014">
        <f>'6. Inputs'!K25</f>
        <v>0</v>
      </c>
      <c r="K48" s="2428" t="str">
        <f>VLOOKUP('6. Inputs'!L25,List!$D$35:$E$37,2,)</f>
        <v>Linear</v>
      </c>
      <c r="L48" s="841"/>
      <c r="M48" s="868">
        <f t="shared" si="6"/>
        <v>0</v>
      </c>
      <c r="N48" s="868">
        <f t="shared" si="7"/>
        <v>0</v>
      </c>
      <c r="O48" s="868">
        <f t="shared" si="8"/>
        <v>0</v>
      </c>
      <c r="P48" s="880"/>
      <c r="Q48" s="1400">
        <f>MIN(M48,N48)*time_tot+ABS(N48-M48)*IF(N48&gt;M48,time2+time*(VLOOKUP(H48,List!$E$35:$F$37,2,)),time*(1-(VLOOKUP(H48,List!$E$35:$F$37,2,))))</f>
        <v>0</v>
      </c>
      <c r="R48" s="1400">
        <f>MIN(M48,O48)*time_tot+ABS(O48-M48)*IF(O48&gt;M48,time2+time*(VLOOKUP(K48,List!$E$35:$F$37,2,)),time*(1-(VLOOKUP(K48,List!$E$35:$F$37,2,))))</f>
        <v>0</v>
      </c>
      <c r="T48" s="1409">
        <f t="shared" si="5"/>
        <v>0</v>
      </c>
      <c r="Y48" s="1964">
        <f>MIN(M48,N48)*time+ABS(N48-M48)*IF(N48&gt;M48,time*(VLOOKUP(H48,List!$E$35:$F$37,2,)),time*(1-(VLOOKUP(H48,List!$E$35:$F$37,2,))))</f>
        <v>0</v>
      </c>
      <c r="Z48" s="1964">
        <f>MIN(M48,O48)*time+ABS(O48-M48)*IF(O48&gt;M48,time*(VLOOKUP(K48,List!$E$35:$F$37,2,)),time*(1-(VLOOKUP(K48,List!$E$35:$F$37,2,))))</f>
        <v>0</v>
      </c>
    </row>
    <row r="49" spans="2:28">
      <c r="B49" s="853" t="s">
        <v>389</v>
      </c>
      <c r="C49" s="881">
        <f>44*3.9/12</f>
        <v>14.299999999999999</v>
      </c>
      <c r="D49" s="877">
        <f>IF('6. Inputs'!X147="",'6. Inputs'!W147,'6. Inputs'!X147)</f>
        <v>14.299999999999999</v>
      </c>
      <c r="E49" s="878" t="s">
        <v>359</v>
      </c>
      <c r="F49" s="2015">
        <f>'6. Inputs'!H26</f>
        <v>0</v>
      </c>
      <c r="G49" s="2015">
        <f>'6. Inputs'!I26</f>
        <v>0</v>
      </c>
      <c r="H49" s="2428" t="str">
        <f>VLOOKUP('6. Inputs'!J26,List!$D$35:$E$37,2,)</f>
        <v>Linear</v>
      </c>
      <c r="I49" s="841"/>
      <c r="J49" s="2014">
        <f>'6. Inputs'!K26</f>
        <v>0</v>
      </c>
      <c r="K49" s="2428" t="str">
        <f>VLOOKUP('6. Inputs'!L26,List!$D$35:$E$37,2,)</f>
        <v>Linear</v>
      </c>
      <c r="L49" s="841"/>
      <c r="M49" s="868">
        <f t="shared" si="6"/>
        <v>0</v>
      </c>
      <c r="N49" s="868">
        <f t="shared" si="7"/>
        <v>0</v>
      </c>
      <c r="O49" s="868">
        <f t="shared" si="8"/>
        <v>0</v>
      </c>
      <c r="P49" s="880"/>
      <c r="Q49" s="1400">
        <f>MIN(M49,N49)*time_tot+ABS(N49-M49)*IF(N49&gt;M49,time2+time*(VLOOKUP(H49,List!$E$35:$F$37,2,)),time*(1-(VLOOKUP(H49,List!$E$35:$F$37,2,))))</f>
        <v>0</v>
      </c>
      <c r="R49" s="1400">
        <f>MIN(M49,O49)*time_tot+ABS(O49-M49)*IF(O49&gt;M49,time2+time*(VLOOKUP(K49,List!$E$35:$F$37,2,)),time*(1-(VLOOKUP(K49,List!$E$35:$F$37,2,))))</f>
        <v>0</v>
      </c>
      <c r="T49" s="1409">
        <f t="shared" si="5"/>
        <v>0</v>
      </c>
      <c r="Y49" s="1964">
        <f>MIN(M49,N49)*time+ABS(N49-M49)*IF(N49&gt;M49,time*(VLOOKUP(H49,List!$E$35:$F$37,2,)),time*(1-(VLOOKUP(H49,List!$E$35:$F$37,2,))))</f>
        <v>0</v>
      </c>
      <c r="Z49" s="1964">
        <f>MIN(M49,O49)*time+ABS(O49-M49)*IF(O49&gt;M49,time*(VLOOKUP(K49,List!$E$35:$F$37,2,)),time*(1-(VLOOKUP(K49,List!$E$35:$F$37,2,))))</f>
        <v>0</v>
      </c>
    </row>
    <row r="50" spans="2:28">
      <c r="B50" s="841" t="s">
        <v>947</v>
      </c>
      <c r="C50" s="842"/>
      <c r="D50" s="842"/>
      <c r="E50" s="882"/>
      <c r="F50" s="1135"/>
      <c r="G50" s="1135"/>
      <c r="H50" s="883"/>
      <c r="I50" s="841"/>
      <c r="J50" s="1135"/>
      <c r="K50" s="870" t="s">
        <v>699</v>
      </c>
      <c r="L50" s="871"/>
      <c r="M50" s="875">
        <f>SUM(M39:M49)</f>
        <v>0</v>
      </c>
      <c r="N50" s="875">
        <f>SUM(N39:N49)</f>
        <v>0</v>
      </c>
      <c r="O50" s="875">
        <f>SUM(O39:O49)</f>
        <v>0</v>
      </c>
      <c r="P50" s="875"/>
      <c r="Q50" s="1411">
        <f>SUM(Q39:Q49)</f>
        <v>0</v>
      </c>
      <c r="R50" s="1411">
        <f>SUM(R39:R49)</f>
        <v>0</v>
      </c>
      <c r="S50" s="1411"/>
      <c r="T50" s="1410">
        <f>SUM(T39:T49)</f>
        <v>0</v>
      </c>
      <c r="AA50" s="2914">
        <f>SUM(Z39:Z49)-SUM(Y39:Y49)</f>
        <v>0</v>
      </c>
    </row>
    <row r="51" spans="2:28" ht="14.4" thickBot="1">
      <c r="B51" s="844" t="s">
        <v>1280</v>
      </c>
      <c r="C51" s="882"/>
      <c r="D51" s="882"/>
      <c r="E51" s="882"/>
      <c r="F51" s="1151"/>
      <c r="G51" s="1151"/>
      <c r="H51" s="884"/>
      <c r="I51" s="844"/>
      <c r="J51" s="1151"/>
      <c r="K51" s="844"/>
      <c r="L51" s="844"/>
      <c r="M51" s="844"/>
      <c r="N51" s="844"/>
      <c r="O51" s="844"/>
      <c r="P51" s="844"/>
      <c r="Q51" s="844"/>
      <c r="R51" s="844"/>
      <c r="S51" s="844"/>
      <c r="T51" s="1107"/>
    </row>
    <row r="52" spans="2:28" ht="14.4" thickBot="1">
      <c r="B52" s="841"/>
      <c r="C52" s="842"/>
      <c r="D52" s="842"/>
      <c r="E52" s="842"/>
      <c r="F52" s="1135"/>
      <c r="G52" s="1135"/>
      <c r="H52" s="843"/>
      <c r="I52" s="841"/>
      <c r="J52" s="1135"/>
      <c r="K52" s="841"/>
      <c r="L52" s="841"/>
      <c r="M52" s="841"/>
      <c r="N52" s="885" t="s">
        <v>700</v>
      </c>
      <c r="O52" s="886"/>
      <c r="P52" s="886"/>
      <c r="Q52" s="1412">
        <f>IF('6. Inputs'!$X$150="YES",Q15+Q22+Q33+Q50-Q22,Q15+Q22+Q33+Q50)</f>
        <v>0</v>
      </c>
      <c r="R52" s="1412">
        <f>IF('6. Inputs'!$X$150="YES",R15+R22+R33+R50-R22,R15+R22+R33+R50)</f>
        <v>0</v>
      </c>
      <c r="S52" s="1412"/>
      <c r="T52" s="1412">
        <f>IF('6. Inputs'!$X$150="YES",T15+T22+T33+T50-T22,T15+T22+T33+T50)</f>
        <v>0</v>
      </c>
      <c r="AA52" s="2914">
        <f>AA50+AA33+AA22+AA15-AA22</f>
        <v>0</v>
      </c>
      <c r="AB52" s="2915">
        <f>T52-AA52</f>
        <v>0</v>
      </c>
    </row>
    <row r="53" spans="2:28">
      <c r="B53" s="841"/>
      <c r="C53" s="842"/>
      <c r="D53" s="842"/>
      <c r="E53" s="842"/>
      <c r="F53" s="1135"/>
      <c r="G53" s="1135"/>
      <c r="H53" s="843"/>
      <c r="I53" s="841"/>
      <c r="J53" s="1135"/>
      <c r="K53" s="841"/>
      <c r="L53" s="841"/>
      <c r="M53" s="841"/>
      <c r="N53" s="841"/>
      <c r="O53" s="841"/>
      <c r="P53" s="841"/>
      <c r="Q53" s="841"/>
      <c r="R53" s="841"/>
      <c r="S53" s="844"/>
    </row>
    <row r="54" spans="2:28">
      <c r="B54" s="841"/>
      <c r="C54" s="842"/>
      <c r="D54" s="842"/>
      <c r="E54" s="842"/>
      <c r="F54" s="1135"/>
      <c r="G54" s="1135"/>
      <c r="H54" s="843"/>
      <c r="I54" s="841"/>
      <c r="J54" s="1135"/>
      <c r="K54" s="841"/>
      <c r="L54" s="841"/>
      <c r="M54" s="841"/>
      <c r="N54" s="841"/>
      <c r="O54" s="841"/>
      <c r="P54" s="841"/>
      <c r="Q54" s="841"/>
      <c r="R54" s="841"/>
    </row>
    <row r="55" spans="2:28">
      <c r="B55" s="841"/>
      <c r="C55" s="842"/>
      <c r="D55" s="842"/>
      <c r="E55" s="842"/>
      <c r="F55" s="1135"/>
      <c r="G55" s="1135"/>
      <c r="H55" s="843"/>
      <c r="I55" s="841"/>
      <c r="J55" s="1135"/>
      <c r="K55" s="841"/>
      <c r="L55" s="841"/>
      <c r="M55" s="841"/>
      <c r="N55" s="841"/>
      <c r="O55" s="841"/>
      <c r="P55" s="841"/>
      <c r="Q55" s="841"/>
      <c r="R55" s="841"/>
    </row>
    <row r="56" spans="2:28">
      <c r="B56" s="841"/>
      <c r="C56" s="842"/>
      <c r="D56" s="842"/>
      <c r="E56" s="842"/>
      <c r="F56" s="1135"/>
      <c r="G56" s="1135"/>
      <c r="H56" s="843"/>
      <c r="I56" s="841"/>
      <c r="J56" s="1135"/>
      <c r="K56" s="841"/>
      <c r="L56" s="841"/>
      <c r="M56" s="841"/>
      <c r="N56" s="841"/>
      <c r="O56" s="841"/>
      <c r="P56" s="841"/>
      <c r="Q56" s="841"/>
      <c r="R56" s="841"/>
    </row>
    <row r="57" spans="2:28">
      <c r="B57" s="841"/>
      <c r="C57" s="842"/>
      <c r="D57" s="842"/>
      <c r="E57" s="842"/>
      <c r="F57" s="1135"/>
      <c r="G57" s="1135"/>
      <c r="H57" s="843"/>
      <c r="I57" s="841"/>
      <c r="J57" s="1135"/>
      <c r="K57" s="841"/>
      <c r="L57" s="841"/>
      <c r="M57" s="841"/>
      <c r="N57" s="841"/>
      <c r="O57" s="841"/>
      <c r="P57" s="841"/>
      <c r="Q57" s="841"/>
      <c r="R57" s="841"/>
    </row>
    <row r="58" spans="2:28">
      <c r="B58" s="841"/>
      <c r="C58" s="842"/>
      <c r="D58" s="842"/>
      <c r="E58" s="842"/>
      <c r="F58" s="1135"/>
      <c r="G58" s="1135"/>
      <c r="H58" s="843"/>
      <c r="I58" s="841"/>
      <c r="J58" s="1135"/>
      <c r="K58" s="841"/>
      <c r="L58" s="841"/>
      <c r="M58" s="841"/>
      <c r="N58" s="841"/>
      <c r="O58" s="841"/>
      <c r="P58" s="841"/>
      <c r="Q58" s="841"/>
      <c r="R58" s="841"/>
    </row>
    <row r="59" spans="2:28">
      <c r="B59" s="841"/>
      <c r="C59" s="842"/>
      <c r="D59" s="842"/>
      <c r="E59" s="842"/>
      <c r="F59" s="1135"/>
      <c r="G59" s="1135"/>
      <c r="H59" s="843"/>
      <c r="I59" s="841"/>
      <c r="J59" s="1135"/>
      <c r="K59" s="841"/>
      <c r="L59" s="841"/>
      <c r="M59" s="841"/>
      <c r="N59" s="841"/>
      <c r="O59" s="841"/>
      <c r="P59" s="841"/>
      <c r="Q59" s="841"/>
      <c r="R59" s="841"/>
    </row>
    <row r="60" spans="2:28">
      <c r="B60" s="841"/>
      <c r="C60" s="842"/>
      <c r="D60" s="842"/>
      <c r="E60" s="842"/>
      <c r="F60" s="1135"/>
      <c r="G60" s="1135"/>
      <c r="H60" s="843"/>
      <c r="I60" s="841"/>
      <c r="J60" s="1135"/>
      <c r="K60" s="841"/>
      <c r="L60" s="841"/>
      <c r="M60" s="841"/>
      <c r="N60" s="841"/>
      <c r="O60" s="841"/>
      <c r="P60" s="841"/>
      <c r="Q60" s="841"/>
      <c r="R60" s="841"/>
    </row>
    <row r="61" spans="2:28">
      <c r="B61" s="841"/>
      <c r="C61" s="842"/>
      <c r="D61" s="842"/>
      <c r="E61" s="842"/>
      <c r="F61" s="1135"/>
      <c r="G61" s="1135"/>
      <c r="H61" s="843"/>
      <c r="I61" s="841"/>
      <c r="J61" s="1135"/>
      <c r="K61" s="841"/>
      <c r="L61" s="841"/>
      <c r="M61" s="841"/>
      <c r="N61" s="841"/>
      <c r="O61" s="841"/>
      <c r="P61" s="841"/>
      <c r="Q61" s="841"/>
      <c r="R61" s="841"/>
    </row>
    <row r="62" spans="2:28">
      <c r="B62" s="841"/>
      <c r="C62" s="842"/>
      <c r="D62" s="842"/>
      <c r="E62" s="842"/>
      <c r="F62" s="1135"/>
      <c r="G62" s="1135"/>
      <c r="H62" s="843"/>
      <c r="I62" s="841"/>
      <c r="J62" s="1135"/>
      <c r="K62" s="841"/>
      <c r="L62" s="841"/>
      <c r="M62" s="841"/>
      <c r="N62" s="841"/>
      <c r="O62" s="841"/>
      <c r="P62" s="841"/>
      <c r="Q62" s="841"/>
      <c r="R62" s="841"/>
    </row>
    <row r="63" spans="2:28">
      <c r="B63" s="841"/>
      <c r="C63" s="842"/>
      <c r="D63" s="842"/>
      <c r="E63" s="842"/>
      <c r="F63" s="1135"/>
      <c r="G63" s="1135"/>
      <c r="H63" s="843"/>
      <c r="I63" s="841"/>
      <c r="J63" s="1135"/>
      <c r="K63" s="841"/>
      <c r="L63" s="841"/>
      <c r="M63" s="841"/>
      <c r="N63" s="841"/>
      <c r="O63" s="841"/>
      <c r="P63" s="841"/>
      <c r="Q63" s="841"/>
      <c r="R63" s="841"/>
    </row>
    <row r="64" spans="2:28">
      <c r="B64" s="841"/>
      <c r="C64" s="842"/>
      <c r="D64" s="842"/>
      <c r="E64" s="842"/>
      <c r="F64" s="1135"/>
      <c r="G64" s="1135"/>
      <c r="H64" s="843"/>
      <c r="I64" s="841"/>
      <c r="J64" s="1135"/>
      <c r="K64" s="841"/>
      <c r="L64" s="841"/>
      <c r="M64" s="841"/>
      <c r="N64" s="841"/>
      <c r="O64" s="841"/>
      <c r="P64" s="841"/>
      <c r="Q64" s="841"/>
      <c r="R64" s="841"/>
    </row>
    <row r="65" spans="2:18">
      <c r="B65" s="841"/>
      <c r="C65" s="842"/>
      <c r="D65" s="842"/>
      <c r="E65" s="842"/>
      <c r="F65" s="1135"/>
      <c r="G65" s="1135"/>
      <c r="H65" s="843"/>
      <c r="I65" s="841"/>
      <c r="J65" s="1135"/>
      <c r="K65" s="841"/>
      <c r="L65" s="841"/>
      <c r="M65" s="841"/>
      <c r="N65" s="841"/>
      <c r="O65" s="841"/>
      <c r="P65" s="841"/>
      <c r="Q65" s="841"/>
      <c r="R65" s="841"/>
    </row>
    <row r="66" spans="2:18">
      <c r="B66" s="841"/>
      <c r="C66" s="842"/>
      <c r="D66" s="842"/>
      <c r="E66" s="842"/>
      <c r="F66" s="1135"/>
      <c r="G66" s="1135"/>
      <c r="H66" s="843"/>
      <c r="I66" s="841"/>
      <c r="J66" s="1135"/>
      <c r="K66" s="841"/>
      <c r="L66" s="841"/>
      <c r="M66" s="841"/>
      <c r="N66" s="841"/>
      <c r="O66" s="841"/>
      <c r="P66" s="841"/>
      <c r="Q66" s="841"/>
      <c r="R66" s="841"/>
    </row>
    <row r="67" spans="2:18">
      <c r="B67" s="841"/>
      <c r="C67" s="842"/>
      <c r="D67" s="842"/>
      <c r="E67" s="842"/>
      <c r="F67" s="1135"/>
      <c r="G67" s="1135"/>
      <c r="H67" s="843"/>
      <c r="I67" s="841"/>
      <c r="J67" s="1135"/>
      <c r="K67" s="841"/>
      <c r="L67" s="841"/>
      <c r="M67" s="841"/>
      <c r="N67" s="841"/>
      <c r="O67" s="841"/>
      <c r="P67" s="841"/>
      <c r="Q67" s="841"/>
      <c r="R67" s="841"/>
    </row>
    <row r="68" spans="2:18">
      <c r="B68" s="841"/>
      <c r="C68" s="842"/>
      <c r="D68" s="842"/>
      <c r="E68" s="842"/>
      <c r="F68" s="1135"/>
      <c r="G68" s="1135"/>
      <c r="H68" s="843"/>
      <c r="I68" s="841"/>
      <c r="J68" s="1135"/>
      <c r="K68" s="841"/>
      <c r="L68" s="841"/>
      <c r="M68" s="841"/>
      <c r="N68" s="841"/>
      <c r="O68" s="841"/>
      <c r="P68" s="841"/>
      <c r="Q68" s="841"/>
      <c r="R68" s="841"/>
    </row>
    <row r="69" spans="2:18">
      <c r="B69" s="841"/>
      <c r="C69" s="842"/>
      <c r="D69" s="842"/>
      <c r="E69" s="842"/>
      <c r="F69" s="1135"/>
      <c r="G69" s="1135"/>
      <c r="H69" s="843"/>
      <c r="I69" s="841"/>
      <c r="J69" s="1135"/>
      <c r="K69" s="841"/>
      <c r="L69" s="841"/>
      <c r="M69" s="841"/>
      <c r="N69" s="841"/>
      <c r="O69" s="841"/>
      <c r="P69" s="841"/>
      <c r="Q69" s="841"/>
      <c r="R69" s="841"/>
    </row>
    <row r="70" spans="2:18">
      <c r="B70" s="841"/>
      <c r="C70" s="842"/>
      <c r="D70" s="842"/>
      <c r="E70" s="842"/>
      <c r="F70" s="1135"/>
      <c r="G70" s="1135"/>
      <c r="H70" s="843"/>
      <c r="I70" s="841"/>
      <c r="J70" s="1135"/>
      <c r="K70" s="841"/>
      <c r="L70" s="841"/>
      <c r="M70" s="841"/>
      <c r="N70" s="841"/>
      <c r="O70" s="841"/>
      <c r="P70" s="841"/>
      <c r="Q70" s="841"/>
      <c r="R70" s="841"/>
    </row>
    <row r="71" spans="2:18">
      <c r="B71" s="841"/>
      <c r="C71" s="842"/>
      <c r="D71" s="842"/>
      <c r="E71" s="842"/>
      <c r="F71" s="1135"/>
      <c r="G71" s="1135"/>
      <c r="H71" s="843"/>
      <c r="I71" s="841"/>
      <c r="J71" s="1135"/>
      <c r="K71" s="841"/>
      <c r="L71" s="841"/>
      <c r="M71" s="841"/>
      <c r="N71" s="841"/>
      <c r="O71" s="841"/>
      <c r="P71" s="841"/>
      <c r="Q71" s="841"/>
      <c r="R71" s="841"/>
    </row>
    <row r="72" spans="2:18">
      <c r="B72" s="841"/>
      <c r="C72" s="842"/>
      <c r="D72" s="842"/>
      <c r="E72" s="842"/>
      <c r="F72" s="1135"/>
      <c r="G72" s="1135"/>
      <c r="H72" s="843"/>
      <c r="I72" s="841"/>
      <c r="J72" s="1135"/>
      <c r="K72" s="841"/>
      <c r="L72" s="841"/>
      <c r="M72" s="841"/>
      <c r="N72" s="841"/>
      <c r="O72" s="841"/>
      <c r="P72" s="841"/>
      <c r="Q72" s="841"/>
      <c r="R72" s="841"/>
    </row>
    <row r="73" spans="2:18">
      <c r="B73" s="841"/>
      <c r="C73" s="842"/>
      <c r="D73" s="842"/>
      <c r="E73" s="842"/>
      <c r="F73" s="1135"/>
      <c r="G73" s="1135"/>
      <c r="H73" s="843"/>
      <c r="I73" s="841"/>
      <c r="J73" s="1135"/>
      <c r="K73" s="841"/>
      <c r="L73" s="841"/>
      <c r="M73" s="841"/>
      <c r="N73" s="841"/>
      <c r="O73" s="841"/>
      <c r="P73" s="841"/>
      <c r="Q73" s="841"/>
      <c r="R73" s="841"/>
    </row>
    <row r="74" spans="2:18">
      <c r="B74" s="841"/>
      <c r="C74" s="842"/>
      <c r="D74" s="842"/>
      <c r="E74" s="842"/>
      <c r="F74" s="1135"/>
      <c r="G74" s="1135"/>
      <c r="H74" s="843"/>
      <c r="I74" s="841"/>
      <c r="J74" s="1135"/>
      <c r="K74" s="841"/>
      <c r="L74" s="841"/>
      <c r="M74" s="841"/>
      <c r="N74" s="841"/>
      <c r="O74" s="841"/>
      <c r="P74" s="841"/>
      <c r="Q74" s="841"/>
      <c r="R74" s="841"/>
    </row>
    <row r="75" spans="2:18">
      <c r="B75" s="841"/>
      <c r="C75" s="842"/>
      <c r="D75" s="842"/>
      <c r="E75" s="842"/>
      <c r="F75" s="1135"/>
      <c r="G75" s="1135"/>
      <c r="H75" s="843"/>
      <c r="I75" s="841"/>
      <c r="J75" s="1135"/>
      <c r="K75" s="841"/>
      <c r="L75" s="841"/>
      <c r="M75" s="841"/>
      <c r="N75" s="841"/>
      <c r="O75" s="841"/>
      <c r="P75" s="841"/>
      <c r="Q75" s="841"/>
      <c r="R75" s="841"/>
    </row>
    <row r="76" spans="2:18">
      <c r="B76" s="841"/>
      <c r="C76" s="842"/>
      <c r="D76" s="842"/>
      <c r="E76" s="842"/>
      <c r="F76" s="1135"/>
      <c r="G76" s="1135"/>
      <c r="H76" s="843"/>
      <c r="I76" s="841"/>
      <c r="J76" s="1135"/>
      <c r="K76" s="841"/>
      <c r="L76" s="841"/>
      <c r="M76" s="841"/>
      <c r="N76" s="841"/>
      <c r="O76" s="841"/>
      <c r="P76" s="841"/>
      <c r="Q76" s="841"/>
      <c r="R76" s="841"/>
    </row>
    <row r="77" spans="2:18">
      <c r="B77" s="841"/>
      <c r="C77" s="842"/>
      <c r="D77" s="842"/>
      <c r="E77" s="842"/>
      <c r="F77" s="1135"/>
      <c r="G77" s="1135"/>
      <c r="H77" s="843"/>
      <c r="I77" s="841"/>
      <c r="J77" s="1135"/>
      <c r="K77" s="841"/>
      <c r="L77" s="841"/>
      <c r="M77" s="841"/>
      <c r="N77" s="841"/>
      <c r="O77" s="841"/>
      <c r="P77" s="841"/>
      <c r="Q77" s="841"/>
      <c r="R77" s="841"/>
    </row>
    <row r="78" spans="2:18">
      <c r="B78" s="841"/>
      <c r="C78" s="842"/>
      <c r="D78" s="842"/>
      <c r="E78" s="842"/>
      <c r="F78" s="1135"/>
      <c r="G78" s="1135"/>
      <c r="H78" s="843"/>
      <c r="I78" s="841"/>
      <c r="J78" s="1135"/>
      <c r="K78" s="841"/>
      <c r="L78" s="841"/>
      <c r="M78" s="841"/>
      <c r="N78" s="841"/>
      <c r="O78" s="841"/>
      <c r="P78" s="841"/>
      <c r="Q78" s="841"/>
      <c r="R78" s="841"/>
    </row>
    <row r="79" spans="2:18">
      <c r="B79" s="841"/>
      <c r="C79" s="842"/>
      <c r="D79" s="842"/>
      <c r="E79" s="842"/>
      <c r="F79" s="1135"/>
      <c r="G79" s="1135"/>
      <c r="H79" s="843"/>
      <c r="I79" s="841"/>
      <c r="J79" s="1135"/>
      <c r="K79" s="841"/>
      <c r="L79" s="841"/>
      <c r="M79" s="841"/>
      <c r="N79" s="841"/>
      <c r="O79" s="841"/>
      <c r="P79" s="841"/>
      <c r="Q79" s="841"/>
      <c r="R79" s="841"/>
    </row>
    <row r="80" spans="2:18">
      <c r="B80" s="841"/>
      <c r="C80" s="842"/>
      <c r="D80" s="842"/>
      <c r="E80" s="842"/>
      <c r="F80" s="1135"/>
      <c r="G80" s="1135"/>
      <c r="H80" s="843"/>
      <c r="I80" s="841"/>
      <c r="J80" s="1135"/>
      <c r="K80" s="841"/>
      <c r="L80" s="841"/>
      <c r="M80" s="841"/>
      <c r="N80" s="841"/>
      <c r="O80" s="841"/>
      <c r="P80" s="841"/>
      <c r="Q80" s="841"/>
      <c r="R80" s="841"/>
    </row>
    <row r="81" spans="2:18">
      <c r="B81" s="841"/>
      <c r="C81" s="842"/>
      <c r="D81" s="842"/>
      <c r="E81" s="842"/>
      <c r="F81" s="1135"/>
      <c r="G81" s="1135"/>
      <c r="H81" s="843"/>
      <c r="I81" s="841"/>
      <c r="J81" s="1135"/>
      <c r="K81" s="841"/>
      <c r="L81" s="841"/>
      <c r="M81" s="841"/>
      <c r="N81" s="841"/>
      <c r="O81" s="841"/>
      <c r="P81" s="841"/>
      <c r="Q81" s="841"/>
      <c r="R81" s="841"/>
    </row>
    <row r="82" spans="2:18">
      <c r="B82" s="841"/>
      <c r="C82" s="842"/>
      <c r="D82" s="842"/>
      <c r="E82" s="842"/>
      <c r="F82" s="1135"/>
      <c r="G82" s="1135"/>
      <c r="H82" s="843"/>
      <c r="I82" s="841"/>
      <c r="J82" s="1135"/>
      <c r="K82" s="841"/>
      <c r="L82" s="841"/>
      <c r="M82" s="841"/>
      <c r="N82" s="841"/>
      <c r="O82" s="841"/>
      <c r="P82" s="841"/>
      <c r="Q82" s="841"/>
      <c r="R82" s="841"/>
    </row>
    <row r="83" spans="2:18">
      <c r="B83" s="841"/>
      <c r="C83" s="842"/>
      <c r="D83" s="842"/>
      <c r="E83" s="842"/>
      <c r="F83" s="1135"/>
      <c r="G83" s="1135"/>
      <c r="H83" s="843"/>
      <c r="I83" s="841"/>
      <c r="J83" s="1135"/>
      <c r="K83" s="841"/>
      <c r="L83" s="841"/>
      <c r="M83" s="841"/>
      <c r="N83" s="841"/>
      <c r="O83" s="841"/>
      <c r="P83" s="841"/>
      <c r="Q83" s="841"/>
      <c r="R83" s="841"/>
    </row>
    <row r="84" spans="2:18">
      <c r="B84" s="841"/>
      <c r="C84" s="842"/>
      <c r="D84" s="842"/>
      <c r="E84" s="842"/>
      <c r="F84" s="1135"/>
      <c r="G84" s="1135"/>
      <c r="H84" s="843"/>
      <c r="I84" s="841"/>
      <c r="J84" s="1135"/>
      <c r="K84" s="841"/>
      <c r="L84" s="841"/>
      <c r="M84" s="841"/>
      <c r="N84" s="841"/>
      <c r="O84" s="841"/>
      <c r="P84" s="841"/>
      <c r="Q84" s="841"/>
      <c r="R84" s="841"/>
    </row>
    <row r="85" spans="2:18">
      <c r="B85" s="841"/>
      <c r="C85" s="842"/>
      <c r="D85" s="842"/>
      <c r="E85" s="842"/>
      <c r="F85" s="1135"/>
      <c r="G85" s="1135"/>
      <c r="H85" s="843"/>
      <c r="I85" s="841"/>
      <c r="J85" s="1135"/>
      <c r="K85" s="841"/>
      <c r="L85" s="841"/>
      <c r="M85" s="841"/>
      <c r="N85" s="841"/>
      <c r="O85" s="841"/>
      <c r="P85" s="841"/>
      <c r="Q85" s="841"/>
      <c r="R85" s="841"/>
    </row>
    <row r="86" spans="2:18">
      <c r="B86" s="841"/>
      <c r="C86" s="842"/>
      <c r="D86" s="842"/>
      <c r="E86" s="842"/>
      <c r="F86" s="1135"/>
      <c r="G86" s="1135"/>
      <c r="H86" s="843"/>
      <c r="I86" s="841"/>
      <c r="J86" s="1135"/>
      <c r="K86" s="841"/>
      <c r="L86" s="841"/>
      <c r="M86" s="841"/>
      <c r="N86" s="841"/>
      <c r="O86" s="841"/>
      <c r="P86" s="841"/>
      <c r="Q86" s="841"/>
      <c r="R86" s="841"/>
    </row>
    <row r="87" spans="2:18">
      <c r="B87" s="841"/>
      <c r="C87" s="842"/>
      <c r="D87" s="842"/>
      <c r="E87" s="842"/>
      <c r="F87" s="1135"/>
      <c r="G87" s="1135"/>
      <c r="H87" s="843"/>
      <c r="I87" s="841"/>
      <c r="J87" s="1135"/>
      <c r="K87" s="841"/>
      <c r="L87" s="841"/>
      <c r="M87" s="841"/>
      <c r="N87" s="841"/>
      <c r="O87" s="841"/>
      <c r="P87" s="841"/>
      <c r="Q87" s="841"/>
      <c r="R87" s="841"/>
    </row>
    <row r="88" spans="2:18">
      <c r="B88" s="841"/>
      <c r="C88" s="842"/>
      <c r="D88" s="842"/>
      <c r="E88" s="842"/>
      <c r="F88" s="1135"/>
      <c r="G88" s="1135"/>
      <c r="H88" s="843"/>
      <c r="I88" s="841"/>
      <c r="J88" s="1135"/>
      <c r="K88" s="841"/>
      <c r="L88" s="841"/>
      <c r="M88" s="841"/>
      <c r="N88" s="841"/>
      <c r="O88" s="841"/>
      <c r="P88" s="841"/>
      <c r="Q88" s="841"/>
      <c r="R88" s="841"/>
    </row>
    <row r="89" spans="2:18">
      <c r="B89" s="841"/>
      <c r="C89" s="842"/>
      <c r="D89" s="842"/>
      <c r="E89" s="842"/>
      <c r="F89" s="1135"/>
      <c r="G89" s="1135"/>
      <c r="H89" s="843"/>
      <c r="I89" s="841"/>
      <c r="J89" s="1135"/>
      <c r="K89" s="841"/>
      <c r="L89" s="841"/>
      <c r="M89" s="841"/>
      <c r="N89" s="841"/>
      <c r="O89" s="841"/>
      <c r="P89" s="841"/>
      <c r="Q89" s="841"/>
      <c r="R89" s="841"/>
    </row>
    <row r="90" spans="2:18">
      <c r="B90" s="841"/>
      <c r="C90" s="842"/>
      <c r="D90" s="842"/>
      <c r="E90" s="842"/>
      <c r="F90" s="1135"/>
      <c r="G90" s="1135"/>
      <c r="H90" s="843"/>
      <c r="I90" s="841"/>
      <c r="J90" s="1135"/>
      <c r="K90" s="841"/>
      <c r="L90" s="841"/>
      <c r="M90" s="841"/>
      <c r="N90" s="841"/>
      <c r="O90" s="841"/>
      <c r="P90" s="841"/>
      <c r="Q90" s="841"/>
      <c r="R90" s="841"/>
    </row>
    <row r="91" spans="2:18">
      <c r="B91" s="841"/>
      <c r="C91" s="842"/>
      <c r="D91" s="842"/>
      <c r="E91" s="842"/>
      <c r="F91" s="1135"/>
      <c r="G91" s="1135"/>
      <c r="H91" s="843"/>
      <c r="I91" s="841"/>
      <c r="J91" s="1135"/>
      <c r="K91" s="841"/>
      <c r="L91" s="841"/>
      <c r="M91" s="841"/>
      <c r="N91" s="841"/>
      <c r="O91" s="841"/>
      <c r="P91" s="841"/>
      <c r="Q91" s="841"/>
      <c r="R91" s="841"/>
    </row>
    <row r="92" spans="2:18">
      <c r="B92" s="841"/>
      <c r="C92" s="842"/>
      <c r="D92" s="842"/>
      <c r="E92" s="842"/>
      <c r="F92" s="1135"/>
      <c r="G92" s="1135"/>
      <c r="H92" s="843"/>
      <c r="I92" s="841"/>
      <c r="J92" s="1135"/>
      <c r="K92" s="841"/>
      <c r="L92" s="841"/>
      <c r="M92" s="841"/>
      <c r="N92" s="841"/>
      <c r="O92" s="841"/>
      <c r="P92" s="841"/>
      <c r="Q92" s="841"/>
      <c r="R92" s="841"/>
    </row>
    <row r="93" spans="2:18">
      <c r="B93" s="841"/>
      <c r="C93" s="842"/>
      <c r="D93" s="842"/>
      <c r="E93" s="842"/>
      <c r="F93" s="1135"/>
      <c r="G93" s="1135"/>
      <c r="H93" s="843"/>
      <c r="I93" s="841"/>
      <c r="J93" s="1135"/>
      <c r="K93" s="841"/>
      <c r="L93" s="841"/>
      <c r="M93" s="841"/>
      <c r="N93" s="841"/>
      <c r="O93" s="841"/>
      <c r="P93" s="841"/>
      <c r="Q93" s="841"/>
      <c r="R93" s="841"/>
    </row>
    <row r="94" spans="2:18">
      <c r="B94" s="841"/>
      <c r="C94" s="842"/>
      <c r="D94" s="842"/>
      <c r="E94" s="842"/>
      <c r="F94" s="1135"/>
      <c r="G94" s="1135"/>
      <c r="H94" s="843"/>
      <c r="I94" s="841"/>
      <c r="J94" s="1135"/>
      <c r="K94" s="841"/>
      <c r="L94" s="841"/>
      <c r="M94" s="841"/>
      <c r="N94" s="841"/>
      <c r="O94" s="841"/>
      <c r="P94" s="841"/>
      <c r="Q94" s="841"/>
      <c r="R94" s="841"/>
    </row>
    <row r="95" spans="2:18">
      <c r="B95" s="841"/>
      <c r="C95" s="842"/>
      <c r="D95" s="842"/>
      <c r="E95" s="842"/>
      <c r="F95" s="1135"/>
      <c r="G95" s="1135"/>
      <c r="H95" s="843"/>
      <c r="I95" s="841"/>
      <c r="J95" s="1135"/>
      <c r="K95" s="841"/>
      <c r="L95" s="841"/>
      <c r="M95" s="841"/>
      <c r="N95" s="841"/>
      <c r="O95" s="841"/>
      <c r="P95" s="841"/>
      <c r="Q95" s="841"/>
      <c r="R95" s="841"/>
    </row>
    <row r="96" spans="2:18">
      <c r="B96" s="841"/>
      <c r="C96" s="842"/>
      <c r="D96" s="842"/>
      <c r="E96" s="842"/>
      <c r="F96" s="1135"/>
      <c r="G96" s="1135"/>
      <c r="H96" s="843"/>
      <c r="I96" s="841"/>
      <c r="J96" s="1135"/>
      <c r="K96" s="841"/>
      <c r="L96" s="841"/>
      <c r="M96" s="841"/>
      <c r="N96" s="841"/>
      <c r="O96" s="841"/>
      <c r="P96" s="841"/>
      <c r="Q96" s="841"/>
      <c r="R96" s="841"/>
    </row>
    <row r="97" spans="2:18">
      <c r="B97" s="841"/>
      <c r="C97" s="842"/>
      <c r="D97" s="842"/>
      <c r="E97" s="842"/>
      <c r="F97" s="1135"/>
      <c r="G97" s="1135"/>
      <c r="H97" s="843"/>
      <c r="I97" s="841"/>
      <c r="J97" s="1135"/>
      <c r="K97" s="841"/>
      <c r="L97" s="841"/>
      <c r="M97" s="841"/>
      <c r="N97" s="841"/>
      <c r="O97" s="841"/>
      <c r="P97" s="841"/>
      <c r="Q97" s="841"/>
      <c r="R97" s="841"/>
    </row>
    <row r="98" spans="2:18">
      <c r="B98" s="841"/>
      <c r="C98" s="842"/>
      <c r="D98" s="842"/>
      <c r="E98" s="842"/>
      <c r="F98" s="1135"/>
      <c r="G98" s="1135"/>
      <c r="H98" s="843"/>
      <c r="I98" s="841"/>
      <c r="J98" s="1135"/>
      <c r="K98" s="841"/>
      <c r="L98" s="841"/>
      <c r="M98" s="841"/>
      <c r="N98" s="841"/>
      <c r="O98" s="841"/>
      <c r="P98" s="841"/>
      <c r="Q98" s="841"/>
      <c r="R98" s="841"/>
    </row>
    <row r="99" spans="2:18">
      <c r="B99" s="841"/>
      <c r="C99" s="842"/>
      <c r="D99" s="842"/>
      <c r="E99" s="842"/>
      <c r="F99" s="1135"/>
      <c r="G99" s="1135"/>
      <c r="H99" s="843"/>
      <c r="I99" s="841"/>
      <c r="J99" s="1135"/>
      <c r="K99" s="841"/>
      <c r="L99" s="841"/>
      <c r="M99" s="841"/>
      <c r="N99" s="841"/>
      <c r="O99" s="841"/>
      <c r="P99" s="841"/>
      <c r="Q99" s="841"/>
      <c r="R99" s="841"/>
    </row>
    <row r="100" spans="2:18">
      <c r="B100" s="841"/>
      <c r="C100" s="842"/>
      <c r="D100" s="842"/>
      <c r="E100" s="842"/>
      <c r="F100" s="1135"/>
      <c r="G100" s="1135"/>
      <c r="H100" s="843"/>
      <c r="I100" s="841"/>
      <c r="J100" s="1135"/>
      <c r="K100" s="841"/>
      <c r="L100" s="841"/>
      <c r="M100" s="841"/>
      <c r="N100" s="841"/>
      <c r="O100" s="841"/>
      <c r="P100" s="841"/>
      <c r="Q100" s="841"/>
      <c r="R100" s="841"/>
    </row>
    <row r="101" spans="2:18">
      <c r="B101" s="841"/>
      <c r="C101" s="842"/>
      <c r="D101" s="842"/>
      <c r="E101" s="842"/>
      <c r="F101" s="1135"/>
      <c r="G101" s="1135"/>
      <c r="H101" s="843"/>
      <c r="I101" s="841"/>
      <c r="J101" s="1135"/>
      <c r="K101" s="841"/>
      <c r="L101" s="841"/>
      <c r="M101" s="841"/>
      <c r="N101" s="841"/>
      <c r="O101" s="841"/>
      <c r="P101" s="841"/>
      <c r="Q101" s="841"/>
      <c r="R101" s="841"/>
    </row>
    <row r="102" spans="2:18">
      <c r="B102" s="841"/>
      <c r="C102" s="842"/>
      <c r="D102" s="842"/>
      <c r="E102" s="842"/>
      <c r="F102" s="1135"/>
      <c r="G102" s="1135"/>
      <c r="H102" s="843"/>
      <c r="I102" s="841"/>
      <c r="J102" s="1135"/>
      <c r="K102" s="841"/>
      <c r="L102" s="841"/>
      <c r="M102" s="841"/>
      <c r="N102" s="841"/>
      <c r="O102" s="841"/>
      <c r="P102" s="841"/>
      <c r="Q102" s="841"/>
      <c r="R102" s="841"/>
    </row>
    <row r="103" spans="2:18">
      <c r="B103" s="841"/>
      <c r="C103" s="842"/>
      <c r="D103" s="842"/>
      <c r="E103" s="842"/>
      <c r="F103" s="1135"/>
      <c r="G103" s="1135"/>
      <c r="H103" s="843"/>
      <c r="I103" s="841"/>
      <c r="J103" s="1135"/>
      <c r="K103" s="841"/>
      <c r="L103" s="841"/>
      <c r="M103" s="841"/>
      <c r="N103" s="841"/>
      <c r="O103" s="841"/>
      <c r="P103" s="841"/>
      <c r="Q103" s="841"/>
      <c r="R103" s="841"/>
    </row>
    <row r="104" spans="2:18">
      <c r="B104" s="841"/>
      <c r="C104" s="842"/>
      <c r="D104" s="842"/>
      <c r="E104" s="842"/>
      <c r="F104" s="1135"/>
      <c r="G104" s="1135"/>
      <c r="H104" s="843"/>
      <c r="I104" s="841"/>
      <c r="J104" s="1135"/>
      <c r="K104" s="841"/>
      <c r="L104" s="841"/>
      <c r="M104" s="841"/>
      <c r="N104" s="841"/>
      <c r="O104" s="841"/>
      <c r="P104" s="841"/>
      <c r="Q104" s="841"/>
      <c r="R104" s="841"/>
    </row>
    <row r="105" spans="2:18">
      <c r="B105" s="841"/>
      <c r="C105" s="842"/>
      <c r="D105" s="842"/>
      <c r="E105" s="842"/>
      <c r="F105" s="1135"/>
      <c r="G105" s="1135"/>
      <c r="H105" s="843"/>
      <c r="I105" s="841"/>
      <c r="J105" s="1135"/>
      <c r="K105" s="841"/>
      <c r="L105" s="841"/>
      <c r="M105" s="841"/>
      <c r="N105" s="841"/>
      <c r="O105" s="841"/>
      <c r="P105" s="841"/>
      <c r="Q105" s="841"/>
      <c r="R105" s="841"/>
    </row>
    <row r="106" spans="2:18">
      <c r="B106" s="841"/>
      <c r="C106" s="842"/>
      <c r="D106" s="842"/>
      <c r="E106" s="842"/>
      <c r="F106" s="1135"/>
      <c r="G106" s="1135"/>
      <c r="H106" s="843"/>
      <c r="I106" s="841"/>
      <c r="J106" s="1135"/>
      <c r="K106" s="841"/>
      <c r="L106" s="841"/>
      <c r="M106" s="841"/>
      <c r="N106" s="841"/>
      <c r="O106" s="841"/>
      <c r="P106" s="841"/>
      <c r="Q106" s="841"/>
      <c r="R106" s="841"/>
    </row>
    <row r="107" spans="2:18">
      <c r="B107" s="841"/>
      <c r="C107" s="842"/>
      <c r="D107" s="842"/>
      <c r="E107" s="842"/>
      <c r="F107" s="1135"/>
      <c r="G107" s="1135"/>
      <c r="H107" s="843"/>
      <c r="I107" s="841"/>
      <c r="J107" s="1135"/>
      <c r="K107" s="841"/>
      <c r="L107" s="841"/>
      <c r="M107" s="841"/>
      <c r="N107" s="841"/>
      <c r="O107" s="841"/>
      <c r="P107" s="841"/>
      <c r="Q107" s="841"/>
      <c r="R107" s="841"/>
    </row>
    <row r="108" spans="2:18">
      <c r="B108" s="841"/>
      <c r="C108" s="842"/>
      <c r="D108" s="842"/>
      <c r="E108" s="842"/>
      <c r="F108" s="1135"/>
      <c r="G108" s="1135"/>
      <c r="H108" s="843"/>
      <c r="I108" s="841"/>
      <c r="J108" s="1135"/>
      <c r="K108" s="841"/>
      <c r="L108" s="841"/>
      <c r="M108" s="841"/>
      <c r="N108" s="841"/>
      <c r="O108" s="841"/>
      <c r="P108" s="841"/>
      <c r="Q108" s="841"/>
      <c r="R108" s="841"/>
    </row>
    <row r="109" spans="2:18">
      <c r="B109" s="841"/>
      <c r="C109" s="842"/>
      <c r="D109" s="842"/>
      <c r="E109" s="842"/>
      <c r="F109" s="1135"/>
      <c r="G109" s="1135"/>
      <c r="H109" s="843"/>
      <c r="I109" s="841"/>
      <c r="J109" s="1135"/>
      <c r="K109" s="841"/>
      <c r="L109" s="841"/>
      <c r="M109" s="841"/>
      <c r="N109" s="841"/>
      <c r="O109" s="841"/>
      <c r="P109" s="841"/>
      <c r="Q109" s="841"/>
      <c r="R109" s="841"/>
    </row>
    <row r="110" spans="2:18">
      <c r="B110" s="841"/>
      <c r="C110" s="842"/>
      <c r="D110" s="842"/>
      <c r="E110" s="842"/>
      <c r="F110" s="1135"/>
      <c r="G110" s="1135"/>
      <c r="H110" s="843"/>
      <c r="I110" s="841"/>
      <c r="J110" s="1135"/>
      <c r="K110" s="841"/>
      <c r="L110" s="841"/>
      <c r="M110" s="841"/>
      <c r="N110" s="841"/>
      <c r="O110" s="841"/>
      <c r="P110" s="841"/>
      <c r="Q110" s="841"/>
      <c r="R110" s="841"/>
    </row>
    <row r="111" spans="2:18">
      <c r="B111" s="841"/>
      <c r="C111" s="842"/>
      <c r="D111" s="842"/>
      <c r="E111" s="842"/>
      <c r="F111" s="1135"/>
      <c r="G111" s="1135"/>
      <c r="H111" s="843"/>
      <c r="I111" s="841"/>
      <c r="J111" s="1135"/>
      <c r="K111" s="841"/>
      <c r="L111" s="841"/>
      <c r="M111" s="841"/>
      <c r="N111" s="841"/>
      <c r="O111" s="841"/>
      <c r="P111" s="841"/>
      <c r="Q111" s="841"/>
      <c r="R111" s="841"/>
    </row>
    <row r="112" spans="2:18">
      <c r="B112" s="841"/>
      <c r="C112" s="842"/>
      <c r="D112" s="842"/>
      <c r="E112" s="842"/>
      <c r="F112" s="1135"/>
      <c r="G112" s="1135"/>
      <c r="H112" s="843"/>
      <c r="I112" s="841"/>
      <c r="J112" s="1135"/>
      <c r="K112" s="841"/>
      <c r="L112" s="841"/>
      <c r="M112" s="841"/>
      <c r="N112" s="841"/>
      <c r="O112" s="841"/>
      <c r="P112" s="841"/>
      <c r="Q112" s="841"/>
      <c r="R112" s="841"/>
    </row>
    <row r="113" spans="2:18">
      <c r="B113" s="841"/>
      <c r="C113" s="842"/>
      <c r="D113" s="842"/>
      <c r="E113" s="842"/>
      <c r="F113" s="1135"/>
      <c r="G113" s="1135"/>
      <c r="H113" s="843"/>
      <c r="I113" s="841"/>
      <c r="J113" s="1135"/>
      <c r="K113" s="841"/>
      <c r="L113" s="841"/>
      <c r="M113" s="841"/>
      <c r="N113" s="841"/>
      <c r="O113" s="841"/>
      <c r="P113" s="841"/>
      <c r="Q113" s="841"/>
      <c r="R113" s="841"/>
    </row>
    <row r="114" spans="2:18">
      <c r="B114" s="841"/>
      <c r="C114" s="842"/>
      <c r="D114" s="842"/>
      <c r="E114" s="842"/>
      <c r="F114" s="1135"/>
      <c r="G114" s="1135"/>
      <c r="H114" s="843"/>
      <c r="I114" s="841"/>
      <c r="J114" s="1135"/>
      <c r="K114" s="841"/>
      <c r="L114" s="841"/>
      <c r="M114" s="841"/>
      <c r="N114" s="841"/>
      <c r="O114" s="841"/>
      <c r="P114" s="841"/>
      <c r="Q114" s="841"/>
      <c r="R114" s="841"/>
    </row>
    <row r="115" spans="2:18">
      <c r="B115" s="841"/>
      <c r="C115" s="842"/>
      <c r="D115" s="842"/>
      <c r="E115" s="842"/>
      <c r="F115" s="1135"/>
      <c r="G115" s="1135"/>
      <c r="H115" s="843"/>
      <c r="I115" s="841"/>
      <c r="J115" s="1135"/>
      <c r="K115" s="841"/>
      <c r="L115" s="841"/>
      <c r="M115" s="841"/>
      <c r="N115" s="841"/>
      <c r="O115" s="841"/>
      <c r="P115" s="841"/>
      <c r="Q115" s="841"/>
      <c r="R115" s="841"/>
    </row>
    <row r="116" spans="2:18">
      <c r="B116" s="841"/>
      <c r="C116" s="842"/>
      <c r="D116" s="842"/>
      <c r="E116" s="842"/>
      <c r="F116" s="1135"/>
      <c r="G116" s="1135"/>
      <c r="H116" s="843"/>
      <c r="I116" s="841"/>
      <c r="J116" s="1135"/>
      <c r="K116" s="841"/>
      <c r="L116" s="841"/>
      <c r="M116" s="841"/>
      <c r="N116" s="841"/>
      <c r="O116" s="841"/>
      <c r="P116" s="841"/>
      <c r="Q116" s="841"/>
      <c r="R116" s="841"/>
    </row>
    <row r="117" spans="2:18">
      <c r="B117" s="841"/>
      <c r="C117" s="842"/>
      <c r="D117" s="842"/>
      <c r="E117" s="842"/>
      <c r="F117" s="1135"/>
      <c r="G117" s="1135"/>
      <c r="H117" s="843"/>
      <c r="I117" s="841"/>
      <c r="J117" s="1135"/>
      <c r="K117" s="841"/>
      <c r="L117" s="841"/>
      <c r="M117" s="841"/>
      <c r="N117" s="841"/>
      <c r="O117" s="841"/>
      <c r="P117" s="841"/>
      <c r="Q117" s="841"/>
      <c r="R117" s="841"/>
    </row>
    <row r="118" spans="2:18">
      <c r="B118" s="841"/>
      <c r="C118" s="842"/>
      <c r="D118" s="842"/>
      <c r="E118" s="842"/>
      <c r="F118" s="1135"/>
      <c r="G118" s="1135"/>
      <c r="H118" s="843"/>
      <c r="I118" s="841"/>
      <c r="J118" s="1135"/>
      <c r="K118" s="841"/>
      <c r="L118" s="841"/>
      <c r="M118" s="841"/>
      <c r="N118" s="841"/>
      <c r="O118" s="841"/>
      <c r="P118" s="841"/>
      <c r="Q118" s="841"/>
      <c r="R118" s="841"/>
    </row>
    <row r="119" spans="2:18">
      <c r="B119" s="841"/>
      <c r="C119" s="842"/>
      <c r="D119" s="842"/>
      <c r="E119" s="842"/>
      <c r="F119" s="1135"/>
      <c r="G119" s="1135"/>
      <c r="H119" s="843"/>
      <c r="I119" s="841"/>
      <c r="J119" s="1135"/>
      <c r="K119" s="841"/>
      <c r="L119" s="841"/>
      <c r="M119" s="841"/>
      <c r="N119" s="841"/>
      <c r="O119" s="841"/>
      <c r="P119" s="841"/>
      <c r="Q119" s="841"/>
      <c r="R119" s="841"/>
    </row>
    <row r="120" spans="2:18">
      <c r="B120" s="841"/>
      <c r="C120" s="842"/>
      <c r="D120" s="842"/>
      <c r="E120" s="842"/>
      <c r="F120" s="1135"/>
      <c r="G120" s="1135"/>
      <c r="H120" s="843"/>
      <c r="I120" s="841"/>
      <c r="J120" s="1135"/>
      <c r="K120" s="841"/>
      <c r="L120" s="841"/>
      <c r="M120" s="841"/>
      <c r="N120" s="841"/>
      <c r="O120" s="841"/>
      <c r="P120" s="841"/>
      <c r="Q120" s="841"/>
      <c r="R120" s="841"/>
    </row>
    <row r="121" spans="2:18">
      <c r="B121" s="841"/>
      <c r="C121" s="842"/>
      <c r="D121" s="842"/>
      <c r="E121" s="842"/>
      <c r="F121" s="1135"/>
      <c r="G121" s="1135"/>
      <c r="H121" s="843"/>
      <c r="I121" s="841"/>
      <c r="J121" s="1135"/>
      <c r="K121" s="841"/>
      <c r="L121" s="841"/>
      <c r="M121" s="841"/>
      <c r="N121" s="841"/>
      <c r="O121" s="841"/>
      <c r="P121" s="841"/>
      <c r="Q121" s="841"/>
      <c r="R121" s="841"/>
    </row>
    <row r="122" spans="2:18">
      <c r="B122" s="841"/>
      <c r="C122" s="842"/>
      <c r="D122" s="842"/>
      <c r="E122" s="842"/>
      <c r="F122" s="1135"/>
      <c r="G122" s="1135"/>
      <c r="H122" s="843"/>
      <c r="I122" s="841"/>
      <c r="J122" s="1135"/>
      <c r="K122" s="841"/>
      <c r="L122" s="841"/>
      <c r="M122" s="841"/>
      <c r="N122" s="841"/>
      <c r="O122" s="841"/>
      <c r="P122" s="841"/>
      <c r="Q122" s="841"/>
      <c r="R122" s="841"/>
    </row>
    <row r="123" spans="2:18">
      <c r="B123" s="841"/>
      <c r="C123" s="842"/>
      <c r="D123" s="842"/>
      <c r="E123" s="842"/>
      <c r="F123" s="1135"/>
      <c r="G123" s="1135"/>
      <c r="H123" s="843"/>
      <c r="I123" s="841"/>
      <c r="J123" s="1135"/>
      <c r="K123" s="841"/>
      <c r="L123" s="841"/>
      <c r="M123" s="841"/>
      <c r="N123" s="841"/>
      <c r="O123" s="841"/>
      <c r="P123" s="841"/>
      <c r="Q123" s="841"/>
      <c r="R123" s="841"/>
    </row>
    <row r="124" spans="2:18">
      <c r="B124" s="841"/>
      <c r="C124" s="842"/>
      <c r="D124" s="842"/>
      <c r="E124" s="842"/>
      <c r="F124" s="1135"/>
      <c r="G124" s="1135"/>
      <c r="H124" s="843"/>
      <c r="I124" s="841"/>
      <c r="J124" s="1135"/>
      <c r="K124" s="841"/>
      <c r="L124" s="841"/>
      <c r="M124" s="841"/>
      <c r="N124" s="841"/>
      <c r="O124" s="841"/>
      <c r="P124" s="841"/>
      <c r="Q124" s="841"/>
      <c r="R124" s="841"/>
    </row>
    <row r="125" spans="2:18">
      <c r="B125" s="841"/>
      <c r="C125" s="842"/>
      <c r="D125" s="842"/>
      <c r="E125" s="842"/>
      <c r="F125" s="1135"/>
      <c r="G125" s="1135"/>
      <c r="H125" s="843"/>
      <c r="I125" s="841"/>
      <c r="J125" s="1135"/>
      <c r="K125" s="841"/>
      <c r="L125" s="841"/>
      <c r="M125" s="841"/>
      <c r="N125" s="841"/>
      <c r="O125" s="841"/>
      <c r="P125" s="841"/>
      <c r="Q125" s="841"/>
      <c r="R125" s="841"/>
    </row>
    <row r="126" spans="2:18">
      <c r="B126" s="841"/>
      <c r="C126" s="842"/>
      <c r="D126" s="842"/>
      <c r="E126" s="842"/>
      <c r="F126" s="1135"/>
      <c r="G126" s="1135"/>
      <c r="H126" s="843"/>
      <c r="I126" s="841"/>
      <c r="J126" s="1135"/>
      <c r="K126" s="841"/>
      <c r="L126" s="841"/>
      <c r="M126" s="841"/>
      <c r="N126" s="841"/>
      <c r="O126" s="841"/>
      <c r="P126" s="841"/>
      <c r="Q126" s="841"/>
      <c r="R126" s="841"/>
    </row>
    <row r="127" spans="2:18">
      <c r="B127" s="841"/>
      <c r="C127" s="842"/>
      <c r="D127" s="842"/>
      <c r="E127" s="842"/>
      <c r="F127" s="1135"/>
      <c r="G127" s="1135"/>
      <c r="H127" s="843"/>
      <c r="I127" s="841"/>
      <c r="J127" s="1135"/>
      <c r="K127" s="841"/>
      <c r="L127" s="841"/>
      <c r="M127" s="841"/>
      <c r="N127" s="841"/>
      <c r="O127" s="841"/>
      <c r="P127" s="841"/>
      <c r="Q127" s="841"/>
      <c r="R127" s="841"/>
    </row>
    <row r="128" spans="2:18">
      <c r="B128" s="841"/>
      <c r="C128" s="842"/>
      <c r="D128" s="842"/>
      <c r="E128" s="842"/>
      <c r="F128" s="1135"/>
      <c r="G128" s="1135"/>
      <c r="H128" s="843"/>
      <c r="I128" s="841"/>
      <c r="J128" s="1135"/>
      <c r="K128" s="841"/>
      <c r="L128" s="841"/>
      <c r="M128" s="841"/>
      <c r="N128" s="841"/>
      <c r="O128" s="841"/>
      <c r="P128" s="841"/>
      <c r="Q128" s="841"/>
      <c r="R128" s="841"/>
    </row>
    <row r="129" spans="2:18">
      <c r="B129" s="841"/>
      <c r="C129" s="842"/>
      <c r="D129" s="842"/>
      <c r="E129" s="842"/>
      <c r="F129" s="1135"/>
      <c r="G129" s="1135"/>
      <c r="H129" s="843"/>
      <c r="I129" s="841"/>
      <c r="J129" s="1135"/>
      <c r="K129" s="841"/>
      <c r="L129" s="841"/>
      <c r="M129" s="841"/>
      <c r="N129" s="841"/>
      <c r="O129" s="841"/>
      <c r="P129" s="841"/>
      <c r="Q129" s="841"/>
      <c r="R129" s="841"/>
    </row>
    <row r="130" spans="2:18">
      <c r="B130" s="841"/>
      <c r="C130" s="842"/>
      <c r="D130" s="842"/>
      <c r="E130" s="842"/>
      <c r="F130" s="1135"/>
      <c r="G130" s="1135"/>
      <c r="H130" s="843"/>
      <c r="I130" s="841"/>
      <c r="J130" s="1135"/>
      <c r="K130" s="841"/>
      <c r="L130" s="841"/>
      <c r="M130" s="841"/>
      <c r="N130" s="841"/>
      <c r="O130" s="841"/>
      <c r="P130" s="841"/>
      <c r="Q130" s="841"/>
      <c r="R130" s="841"/>
    </row>
    <row r="131" spans="2:18">
      <c r="B131" s="841"/>
      <c r="C131" s="842"/>
      <c r="D131" s="842"/>
      <c r="E131" s="842"/>
      <c r="F131" s="1135"/>
      <c r="G131" s="1135"/>
      <c r="H131" s="843"/>
      <c r="I131" s="841"/>
      <c r="J131" s="1135"/>
      <c r="K131" s="841"/>
      <c r="L131" s="841"/>
      <c r="M131" s="841"/>
      <c r="N131" s="841"/>
      <c r="O131" s="841"/>
      <c r="P131" s="841"/>
      <c r="Q131" s="841"/>
      <c r="R131" s="841"/>
    </row>
    <row r="132" spans="2:18">
      <c r="B132" s="841"/>
      <c r="C132" s="842"/>
      <c r="D132" s="842"/>
      <c r="E132" s="842"/>
      <c r="F132" s="1135"/>
      <c r="G132" s="1135"/>
      <c r="H132" s="843"/>
      <c r="I132" s="841"/>
      <c r="J132" s="1135"/>
      <c r="K132" s="841"/>
      <c r="L132" s="841"/>
      <c r="M132" s="841"/>
      <c r="N132" s="841"/>
      <c r="O132" s="841"/>
      <c r="P132" s="841"/>
      <c r="Q132" s="841"/>
      <c r="R132" s="841"/>
    </row>
    <row r="133" spans="2:18">
      <c r="B133" s="841"/>
      <c r="C133" s="842"/>
      <c r="D133" s="842"/>
      <c r="E133" s="842"/>
      <c r="F133" s="1135"/>
      <c r="G133" s="1135"/>
      <c r="H133" s="843"/>
      <c r="I133" s="841"/>
      <c r="J133" s="1135"/>
      <c r="K133" s="841"/>
      <c r="L133" s="841"/>
      <c r="M133" s="841"/>
      <c r="N133" s="841"/>
      <c r="O133" s="841"/>
      <c r="P133" s="841"/>
      <c r="Q133" s="841"/>
      <c r="R133" s="841"/>
    </row>
    <row r="134" spans="2:18">
      <c r="B134" s="841"/>
      <c r="C134" s="842"/>
      <c r="D134" s="842"/>
      <c r="E134" s="842"/>
      <c r="F134" s="1135"/>
      <c r="G134" s="1135"/>
      <c r="H134" s="843"/>
      <c r="I134" s="841"/>
      <c r="J134" s="1135"/>
      <c r="K134" s="841"/>
      <c r="L134" s="841"/>
      <c r="M134" s="841"/>
      <c r="N134" s="841"/>
      <c r="O134" s="841"/>
      <c r="P134" s="841"/>
      <c r="Q134" s="841"/>
      <c r="R134" s="841"/>
    </row>
    <row r="135" spans="2:18">
      <c r="B135" s="841"/>
      <c r="C135" s="842"/>
      <c r="D135" s="842"/>
      <c r="E135" s="842"/>
      <c r="F135" s="1135"/>
      <c r="G135" s="1135"/>
      <c r="H135" s="843"/>
      <c r="I135" s="841"/>
      <c r="J135" s="1135"/>
      <c r="K135" s="841"/>
      <c r="L135" s="841"/>
      <c r="M135" s="841"/>
      <c r="N135" s="841"/>
      <c r="O135" s="841"/>
      <c r="P135" s="841"/>
      <c r="Q135" s="841"/>
      <c r="R135" s="841"/>
    </row>
    <row r="136" spans="2:18">
      <c r="B136" s="841"/>
      <c r="C136" s="842"/>
      <c r="D136" s="842"/>
      <c r="E136" s="842"/>
      <c r="F136" s="1135"/>
      <c r="G136" s="1135"/>
      <c r="H136" s="843"/>
      <c r="I136" s="841"/>
      <c r="J136" s="1135"/>
      <c r="K136" s="841"/>
      <c r="L136" s="841"/>
      <c r="M136" s="841"/>
      <c r="N136" s="841"/>
      <c r="O136" s="841"/>
      <c r="P136" s="841"/>
      <c r="Q136" s="841"/>
      <c r="R136" s="841"/>
    </row>
    <row r="137" spans="2:18">
      <c r="B137" s="841"/>
      <c r="C137" s="842"/>
      <c r="D137" s="842"/>
      <c r="E137" s="842"/>
      <c r="F137" s="1135"/>
      <c r="G137" s="1135"/>
      <c r="H137" s="843"/>
      <c r="I137" s="841"/>
      <c r="J137" s="1135"/>
      <c r="K137" s="841"/>
      <c r="L137" s="841"/>
      <c r="M137" s="841"/>
      <c r="N137" s="841"/>
      <c r="O137" s="841"/>
      <c r="P137" s="841"/>
      <c r="Q137" s="841"/>
      <c r="R137" s="841"/>
    </row>
    <row r="138" spans="2:18">
      <c r="B138" s="841"/>
      <c r="C138" s="842"/>
      <c r="D138" s="842"/>
      <c r="E138" s="842"/>
      <c r="F138" s="1135"/>
      <c r="G138" s="1135"/>
      <c r="H138" s="843"/>
      <c r="I138" s="841"/>
      <c r="J138" s="1135"/>
      <c r="K138" s="841"/>
      <c r="L138" s="841"/>
      <c r="M138" s="841"/>
      <c r="N138" s="841"/>
      <c r="O138" s="841"/>
      <c r="P138" s="841"/>
      <c r="Q138" s="841"/>
      <c r="R138" s="841"/>
    </row>
    <row r="139" spans="2:18">
      <c r="B139" s="841"/>
      <c r="C139" s="842"/>
      <c r="D139" s="842"/>
      <c r="E139" s="842"/>
      <c r="F139" s="1135"/>
      <c r="G139" s="1135"/>
      <c r="H139" s="843"/>
      <c r="I139" s="841"/>
      <c r="J139" s="1135"/>
      <c r="K139" s="841"/>
      <c r="L139" s="841"/>
      <c r="M139" s="841"/>
      <c r="N139" s="841"/>
      <c r="O139" s="841"/>
      <c r="P139" s="841"/>
      <c r="Q139" s="841"/>
      <c r="R139" s="841"/>
    </row>
    <row r="140" spans="2:18">
      <c r="B140" s="841"/>
      <c r="C140" s="842"/>
      <c r="D140" s="842"/>
      <c r="E140" s="842"/>
      <c r="F140" s="1135"/>
      <c r="G140" s="1135"/>
      <c r="H140" s="843"/>
      <c r="I140" s="841"/>
      <c r="J140" s="1135"/>
      <c r="K140" s="841"/>
      <c r="L140" s="841"/>
      <c r="M140" s="841"/>
      <c r="N140" s="841"/>
      <c r="O140" s="841"/>
      <c r="P140" s="841"/>
      <c r="Q140" s="841"/>
      <c r="R140" s="841"/>
    </row>
    <row r="141" spans="2:18">
      <c r="B141" s="841"/>
      <c r="C141" s="842"/>
      <c r="D141" s="842"/>
      <c r="E141" s="842"/>
      <c r="F141" s="1135"/>
      <c r="G141" s="1135"/>
      <c r="H141" s="843"/>
      <c r="I141" s="841"/>
      <c r="J141" s="1135"/>
      <c r="K141" s="841"/>
      <c r="L141" s="841"/>
      <c r="M141" s="841"/>
      <c r="N141" s="841"/>
      <c r="O141" s="841"/>
      <c r="P141" s="841"/>
      <c r="Q141" s="841"/>
      <c r="R141" s="841"/>
    </row>
    <row r="142" spans="2:18">
      <c r="B142" s="841"/>
      <c r="C142" s="842"/>
      <c r="D142" s="842"/>
      <c r="E142" s="842"/>
      <c r="F142" s="1135"/>
      <c r="G142" s="1135"/>
      <c r="H142" s="843"/>
      <c r="I142" s="841"/>
      <c r="J142" s="1135"/>
      <c r="K142" s="841"/>
      <c r="L142" s="841"/>
      <c r="M142" s="841"/>
      <c r="N142" s="841"/>
      <c r="O142" s="841"/>
      <c r="P142" s="841"/>
      <c r="Q142" s="841"/>
      <c r="R142" s="841"/>
    </row>
    <row r="143" spans="2:18">
      <c r="B143" s="841"/>
      <c r="C143" s="842"/>
      <c r="D143" s="842"/>
      <c r="E143" s="842"/>
      <c r="F143" s="1135"/>
      <c r="G143" s="1135"/>
      <c r="H143" s="843"/>
      <c r="I143" s="841"/>
      <c r="J143" s="1135"/>
      <c r="K143" s="841"/>
      <c r="L143" s="841"/>
      <c r="M143" s="841"/>
      <c r="N143" s="841"/>
      <c r="O143" s="841"/>
      <c r="P143" s="841"/>
      <c r="Q143" s="841"/>
      <c r="R143" s="841"/>
    </row>
    <row r="144" spans="2:18">
      <c r="B144" s="841"/>
      <c r="C144" s="842"/>
      <c r="D144" s="842"/>
      <c r="E144" s="842"/>
      <c r="F144" s="1135"/>
      <c r="G144" s="1135"/>
      <c r="H144" s="843"/>
      <c r="I144" s="841"/>
      <c r="J144" s="1135"/>
      <c r="K144" s="841"/>
      <c r="L144" s="841"/>
      <c r="M144" s="841"/>
      <c r="N144" s="841"/>
      <c r="O144" s="841"/>
      <c r="P144" s="841"/>
      <c r="Q144" s="841"/>
      <c r="R144" s="841"/>
    </row>
    <row r="145" spans="2:18">
      <c r="B145" s="841"/>
      <c r="C145" s="842"/>
      <c r="D145" s="842"/>
      <c r="E145" s="842"/>
      <c r="F145" s="1135"/>
      <c r="G145" s="1135"/>
      <c r="H145" s="843"/>
      <c r="I145" s="841"/>
      <c r="J145" s="1135"/>
      <c r="K145" s="841"/>
      <c r="L145" s="841"/>
      <c r="M145" s="841"/>
      <c r="N145" s="841"/>
      <c r="O145" s="841"/>
      <c r="P145" s="841"/>
      <c r="Q145" s="841"/>
      <c r="R145" s="841"/>
    </row>
    <row r="146" spans="2:18">
      <c r="B146" s="841"/>
      <c r="C146" s="842"/>
      <c r="D146" s="842"/>
      <c r="E146" s="842"/>
      <c r="F146" s="1135"/>
      <c r="G146" s="1135"/>
      <c r="H146" s="843"/>
      <c r="I146" s="841"/>
      <c r="J146" s="1135"/>
      <c r="K146" s="841"/>
      <c r="L146" s="841"/>
      <c r="M146" s="841"/>
      <c r="N146" s="841"/>
      <c r="O146" s="841"/>
      <c r="P146" s="841"/>
      <c r="Q146" s="841"/>
      <c r="R146" s="841"/>
    </row>
    <row r="147" spans="2:18">
      <c r="B147" s="841"/>
      <c r="C147" s="842"/>
      <c r="D147" s="842"/>
      <c r="E147" s="842"/>
      <c r="F147" s="1135"/>
      <c r="G147" s="1135"/>
      <c r="H147" s="843"/>
      <c r="I147" s="841"/>
      <c r="J147" s="1135"/>
      <c r="K147" s="841"/>
      <c r="L147" s="841"/>
      <c r="M147" s="841"/>
      <c r="N147" s="841"/>
      <c r="O147" s="841"/>
      <c r="P147" s="841"/>
      <c r="Q147" s="841"/>
      <c r="R147" s="841"/>
    </row>
    <row r="148" spans="2:18">
      <c r="B148" s="841"/>
      <c r="C148" s="842"/>
      <c r="D148" s="842"/>
      <c r="E148" s="842"/>
      <c r="F148" s="1135"/>
      <c r="G148" s="1135"/>
      <c r="H148" s="843"/>
      <c r="I148" s="841"/>
      <c r="J148" s="1135"/>
      <c r="K148" s="841"/>
      <c r="L148" s="841"/>
      <c r="M148" s="841"/>
      <c r="N148" s="841"/>
      <c r="O148" s="841"/>
      <c r="P148" s="841"/>
      <c r="Q148" s="841"/>
      <c r="R148" s="841"/>
    </row>
    <row r="149" spans="2:18">
      <c r="B149" s="841"/>
      <c r="C149" s="842"/>
      <c r="D149" s="842"/>
      <c r="E149" s="842"/>
      <c r="F149" s="1135"/>
      <c r="G149" s="1135"/>
      <c r="H149" s="843"/>
      <c r="I149" s="841"/>
      <c r="J149" s="1135"/>
      <c r="K149" s="841"/>
      <c r="L149" s="841"/>
      <c r="M149" s="841"/>
      <c r="N149" s="841"/>
      <c r="O149" s="841"/>
      <c r="P149" s="841"/>
      <c r="Q149" s="841"/>
      <c r="R149" s="841"/>
    </row>
    <row r="150" spans="2:18">
      <c r="B150" s="841"/>
      <c r="C150" s="842"/>
      <c r="D150" s="842"/>
      <c r="E150" s="842"/>
      <c r="F150" s="1135"/>
      <c r="G150" s="1135"/>
      <c r="H150" s="843"/>
      <c r="I150" s="841"/>
      <c r="J150" s="1135"/>
      <c r="K150" s="841"/>
      <c r="L150" s="841"/>
      <c r="M150" s="841"/>
      <c r="N150" s="841"/>
      <c r="O150" s="841"/>
      <c r="P150" s="841"/>
      <c r="Q150" s="841"/>
      <c r="R150" s="841"/>
    </row>
    <row r="151" spans="2:18">
      <c r="B151" s="841"/>
      <c r="C151" s="842"/>
      <c r="D151" s="842"/>
      <c r="E151" s="842"/>
      <c r="F151" s="1135"/>
      <c r="G151" s="1135"/>
      <c r="H151" s="843"/>
      <c r="I151" s="841"/>
      <c r="J151" s="1135"/>
      <c r="K151" s="841"/>
      <c r="L151" s="841"/>
      <c r="M151" s="841"/>
      <c r="N151" s="841"/>
      <c r="O151" s="841"/>
      <c r="P151" s="841"/>
      <c r="Q151" s="841"/>
      <c r="R151" s="841"/>
    </row>
    <row r="152" spans="2:18">
      <c r="B152" s="841"/>
      <c r="C152" s="842"/>
      <c r="D152" s="842"/>
      <c r="E152" s="842"/>
      <c r="F152" s="1135"/>
      <c r="G152" s="1135"/>
      <c r="H152" s="843"/>
      <c r="I152" s="841"/>
      <c r="J152" s="1135"/>
      <c r="K152" s="841"/>
      <c r="L152" s="841"/>
      <c r="M152" s="841"/>
      <c r="N152" s="841"/>
      <c r="O152" s="841"/>
      <c r="P152" s="841"/>
      <c r="Q152" s="841"/>
      <c r="R152" s="841"/>
    </row>
    <row r="153" spans="2:18">
      <c r="B153" s="841"/>
      <c r="C153" s="842"/>
      <c r="D153" s="842"/>
      <c r="E153" s="842"/>
      <c r="F153" s="1135"/>
      <c r="G153" s="1135"/>
      <c r="H153" s="843"/>
      <c r="I153" s="841"/>
      <c r="J153" s="1135"/>
      <c r="K153" s="841"/>
      <c r="L153" s="841"/>
      <c r="M153" s="841"/>
      <c r="N153" s="841"/>
      <c r="O153" s="841"/>
      <c r="P153" s="841"/>
      <c r="Q153" s="841"/>
      <c r="R153" s="841"/>
    </row>
    <row r="154" spans="2:18">
      <c r="B154" s="841"/>
      <c r="C154" s="842"/>
      <c r="D154" s="842"/>
      <c r="E154" s="842"/>
      <c r="F154" s="1135"/>
      <c r="G154" s="1135"/>
      <c r="H154" s="843"/>
      <c r="I154" s="841"/>
      <c r="J154" s="1135"/>
      <c r="K154" s="841"/>
      <c r="L154" s="841"/>
      <c r="M154" s="841"/>
      <c r="N154" s="841"/>
      <c r="O154" s="841"/>
      <c r="P154" s="841"/>
      <c r="Q154" s="841"/>
      <c r="R154" s="841"/>
    </row>
    <row r="155" spans="2:18">
      <c r="B155" s="841"/>
      <c r="C155" s="842"/>
      <c r="D155" s="842"/>
      <c r="E155" s="842"/>
      <c r="F155" s="1135"/>
      <c r="G155" s="1135"/>
      <c r="H155" s="843"/>
      <c r="I155" s="841"/>
      <c r="J155" s="1135"/>
      <c r="K155" s="841"/>
      <c r="L155" s="841"/>
      <c r="M155" s="841"/>
      <c r="N155" s="841"/>
      <c r="O155" s="841"/>
      <c r="P155" s="841"/>
      <c r="Q155" s="841"/>
      <c r="R155" s="841"/>
    </row>
    <row r="156" spans="2:18">
      <c r="B156" s="841"/>
      <c r="C156" s="842"/>
      <c r="D156" s="842"/>
      <c r="E156" s="842"/>
      <c r="F156" s="1135"/>
      <c r="G156" s="1135"/>
      <c r="H156" s="843"/>
      <c r="I156" s="841"/>
      <c r="J156" s="1135"/>
      <c r="K156" s="841"/>
      <c r="L156" s="841"/>
      <c r="M156" s="841"/>
      <c r="N156" s="841"/>
      <c r="O156" s="841"/>
      <c r="P156" s="841"/>
      <c r="Q156" s="841"/>
      <c r="R156" s="841"/>
    </row>
    <row r="157" spans="2:18">
      <c r="B157" s="841"/>
      <c r="C157" s="842"/>
      <c r="D157" s="842"/>
      <c r="E157" s="842"/>
      <c r="F157" s="1135"/>
      <c r="G157" s="1135"/>
      <c r="H157" s="843"/>
      <c r="I157" s="841"/>
      <c r="J157" s="1135"/>
      <c r="K157" s="841"/>
      <c r="L157" s="841"/>
      <c r="M157" s="841"/>
      <c r="N157" s="841"/>
      <c r="O157" s="841"/>
      <c r="P157" s="841"/>
      <c r="Q157" s="841"/>
      <c r="R157" s="841"/>
    </row>
    <row r="158" spans="2:18">
      <c r="B158" s="841"/>
      <c r="C158" s="842"/>
      <c r="D158" s="842"/>
      <c r="E158" s="842"/>
      <c r="F158" s="1135"/>
      <c r="G158" s="1135"/>
      <c r="H158" s="843"/>
      <c r="I158" s="841"/>
      <c r="J158" s="1135"/>
      <c r="K158" s="841"/>
      <c r="L158" s="841"/>
      <c r="M158" s="841"/>
      <c r="N158" s="841"/>
      <c r="O158" s="841"/>
      <c r="P158" s="841"/>
      <c r="Q158" s="841"/>
      <c r="R158" s="841"/>
    </row>
    <row r="159" spans="2:18">
      <c r="B159" s="841"/>
      <c r="C159" s="842"/>
      <c r="D159" s="842"/>
      <c r="E159" s="842"/>
      <c r="F159" s="1135"/>
      <c r="G159" s="1135"/>
      <c r="H159" s="843"/>
      <c r="I159" s="841"/>
      <c r="J159" s="1135"/>
      <c r="K159" s="841"/>
      <c r="L159" s="841"/>
      <c r="M159" s="841"/>
      <c r="N159" s="841"/>
      <c r="O159" s="841"/>
      <c r="P159" s="841"/>
      <c r="Q159" s="841"/>
      <c r="R159" s="841"/>
    </row>
    <row r="160" spans="2:18">
      <c r="B160" s="841"/>
      <c r="C160" s="842"/>
      <c r="D160" s="842"/>
      <c r="E160" s="842"/>
      <c r="F160" s="1135"/>
      <c r="G160" s="1135"/>
      <c r="H160" s="843"/>
      <c r="I160" s="841"/>
      <c r="J160" s="1135"/>
      <c r="K160" s="841"/>
      <c r="L160" s="841"/>
      <c r="M160" s="841"/>
      <c r="N160" s="841"/>
      <c r="O160" s="841"/>
      <c r="P160" s="841"/>
      <c r="Q160" s="841"/>
      <c r="R160" s="841"/>
    </row>
    <row r="161" spans="2:18">
      <c r="B161" s="841"/>
      <c r="C161" s="842"/>
      <c r="D161" s="842"/>
      <c r="E161" s="842"/>
      <c r="F161" s="1135"/>
      <c r="G161" s="1135"/>
      <c r="H161" s="843"/>
      <c r="I161" s="841"/>
      <c r="J161" s="1135"/>
      <c r="K161" s="841"/>
      <c r="L161" s="841"/>
      <c r="M161" s="841"/>
      <c r="N161" s="841"/>
      <c r="O161" s="841"/>
      <c r="P161" s="841"/>
      <c r="Q161" s="841"/>
      <c r="R161" s="841"/>
    </row>
    <row r="162" spans="2:18">
      <c r="B162" s="841"/>
      <c r="C162" s="842"/>
      <c r="D162" s="842"/>
      <c r="E162" s="842"/>
      <c r="F162" s="1135"/>
      <c r="G162" s="1135"/>
      <c r="H162" s="843"/>
      <c r="I162" s="841"/>
      <c r="J162" s="1135"/>
      <c r="K162" s="841"/>
      <c r="L162" s="841"/>
      <c r="M162" s="841"/>
      <c r="N162" s="841"/>
      <c r="O162" s="841"/>
      <c r="P162" s="841"/>
      <c r="Q162" s="841"/>
      <c r="R162" s="841"/>
    </row>
    <row r="163" spans="2:18">
      <c r="B163" s="841"/>
      <c r="C163" s="842"/>
      <c r="D163" s="842"/>
      <c r="E163" s="842"/>
      <c r="F163" s="1135"/>
      <c r="G163" s="1135"/>
      <c r="H163" s="843"/>
      <c r="I163" s="841"/>
      <c r="J163" s="1135"/>
      <c r="K163" s="841"/>
      <c r="L163" s="841"/>
      <c r="M163" s="841"/>
      <c r="N163" s="841"/>
      <c r="O163" s="841"/>
      <c r="P163" s="841"/>
      <c r="Q163" s="841"/>
      <c r="R163" s="841"/>
    </row>
    <row r="164" spans="2:18">
      <c r="B164" s="841"/>
      <c r="C164" s="842"/>
      <c r="D164" s="842"/>
      <c r="E164" s="842"/>
      <c r="F164" s="1135"/>
      <c r="G164" s="1135"/>
      <c r="H164" s="843"/>
      <c r="I164" s="841"/>
      <c r="J164" s="1135"/>
      <c r="K164" s="841"/>
      <c r="L164" s="841"/>
      <c r="M164" s="841"/>
      <c r="N164" s="841"/>
      <c r="O164" s="841"/>
      <c r="P164" s="841"/>
      <c r="Q164" s="841"/>
      <c r="R164" s="841"/>
    </row>
    <row r="165" spans="2:18">
      <c r="B165" s="841"/>
      <c r="C165" s="842"/>
      <c r="D165" s="842"/>
      <c r="E165" s="842"/>
      <c r="F165" s="1135"/>
      <c r="G165" s="1135"/>
      <c r="H165" s="843"/>
      <c r="I165" s="841"/>
      <c r="J165" s="1135"/>
      <c r="K165" s="841"/>
      <c r="L165" s="841"/>
      <c r="M165" s="841"/>
      <c r="N165" s="841"/>
      <c r="O165" s="841"/>
      <c r="P165" s="841"/>
      <c r="Q165" s="841"/>
      <c r="R165" s="841"/>
    </row>
    <row r="166" spans="2:18">
      <c r="B166" s="841"/>
      <c r="C166" s="842"/>
      <c r="D166" s="842"/>
      <c r="E166" s="842"/>
      <c r="F166" s="1135"/>
      <c r="G166" s="1135"/>
      <c r="H166" s="843"/>
      <c r="I166" s="841"/>
      <c r="J166" s="1135"/>
      <c r="K166" s="841"/>
      <c r="L166" s="841"/>
      <c r="M166" s="841"/>
      <c r="N166" s="841"/>
      <c r="O166" s="841"/>
      <c r="P166" s="841"/>
      <c r="Q166" s="841"/>
      <c r="R166" s="841"/>
    </row>
    <row r="167" spans="2:18">
      <c r="B167" s="841"/>
      <c r="C167" s="842"/>
      <c r="D167" s="842"/>
      <c r="E167" s="842"/>
      <c r="F167" s="1135"/>
      <c r="G167" s="1135"/>
      <c r="H167" s="843"/>
      <c r="I167" s="841"/>
      <c r="J167" s="1135"/>
      <c r="K167" s="841"/>
      <c r="L167" s="841"/>
      <c r="M167" s="841"/>
      <c r="N167" s="841"/>
      <c r="O167" s="841"/>
      <c r="P167" s="841"/>
      <c r="Q167" s="841"/>
      <c r="R167" s="841"/>
    </row>
    <row r="168" spans="2:18">
      <c r="B168" s="841"/>
      <c r="C168" s="842"/>
      <c r="D168" s="842"/>
      <c r="E168" s="842"/>
      <c r="F168" s="1135"/>
      <c r="G168" s="1135"/>
      <c r="H168" s="843"/>
      <c r="I168" s="841"/>
      <c r="J168" s="1135"/>
      <c r="K168" s="841"/>
      <c r="L168" s="841"/>
      <c r="M168" s="841"/>
      <c r="N168" s="841"/>
      <c r="O168" s="841"/>
      <c r="P168" s="841"/>
      <c r="Q168" s="841"/>
      <c r="R168" s="841"/>
    </row>
    <row r="169" spans="2:18">
      <c r="B169" s="841"/>
      <c r="C169" s="842"/>
      <c r="D169" s="842"/>
      <c r="E169" s="842"/>
      <c r="F169" s="1135"/>
      <c r="G169" s="1135"/>
      <c r="H169" s="843"/>
      <c r="I169" s="841"/>
      <c r="J169" s="1135"/>
      <c r="K169" s="841"/>
      <c r="L169" s="841"/>
      <c r="M169" s="841"/>
      <c r="N169" s="841"/>
      <c r="O169" s="841"/>
      <c r="P169" s="841"/>
      <c r="Q169" s="841"/>
      <c r="R169" s="841"/>
    </row>
    <row r="170" spans="2:18">
      <c r="B170" s="841"/>
      <c r="C170" s="842"/>
      <c r="D170" s="842"/>
      <c r="E170" s="842"/>
      <c r="F170" s="1135"/>
      <c r="G170" s="1135"/>
      <c r="H170" s="843"/>
      <c r="I170" s="841"/>
      <c r="J170" s="1135"/>
      <c r="K170" s="841"/>
      <c r="L170" s="841"/>
      <c r="M170" s="841"/>
      <c r="N170" s="841"/>
      <c r="O170" s="841"/>
      <c r="P170" s="841"/>
      <c r="Q170" s="841"/>
      <c r="R170" s="841"/>
    </row>
    <row r="171" spans="2:18">
      <c r="B171" s="841"/>
      <c r="C171" s="842"/>
      <c r="D171" s="842"/>
      <c r="E171" s="842"/>
      <c r="F171" s="1135"/>
      <c r="G171" s="1135"/>
      <c r="H171" s="843"/>
      <c r="I171" s="841"/>
      <c r="J171" s="1135"/>
      <c r="K171" s="841"/>
      <c r="L171" s="841"/>
      <c r="M171" s="841"/>
      <c r="N171" s="841"/>
      <c r="O171" s="841"/>
      <c r="P171" s="841"/>
      <c r="Q171" s="841"/>
      <c r="R171" s="841"/>
    </row>
    <row r="172" spans="2:18">
      <c r="B172" s="841"/>
      <c r="C172" s="842"/>
      <c r="D172" s="842"/>
      <c r="E172" s="842"/>
      <c r="F172" s="1135"/>
      <c r="G172" s="1135"/>
      <c r="H172" s="843"/>
      <c r="I172" s="841"/>
      <c r="J172" s="1135"/>
      <c r="K172" s="841"/>
      <c r="L172" s="841"/>
      <c r="M172" s="841"/>
      <c r="N172" s="841"/>
      <c r="O172" s="841"/>
      <c r="P172" s="841"/>
      <c r="Q172" s="841"/>
      <c r="R172" s="841"/>
    </row>
    <row r="173" spans="2:18">
      <c r="B173" s="841"/>
      <c r="C173" s="842"/>
      <c r="D173" s="842"/>
      <c r="E173" s="842"/>
      <c r="F173" s="1135"/>
      <c r="G173" s="1135"/>
      <c r="H173" s="843"/>
      <c r="I173" s="841"/>
      <c r="J173" s="1135"/>
      <c r="K173" s="841"/>
      <c r="L173" s="841"/>
      <c r="M173" s="841"/>
      <c r="N173" s="841"/>
      <c r="O173" s="841"/>
      <c r="P173" s="841"/>
      <c r="Q173" s="841"/>
      <c r="R173" s="841"/>
    </row>
    <row r="174" spans="2:18">
      <c r="B174" s="841"/>
      <c r="C174" s="842"/>
      <c r="D174" s="842"/>
      <c r="E174" s="842"/>
      <c r="F174" s="1135"/>
      <c r="G174" s="1135"/>
      <c r="H174" s="843"/>
      <c r="I174" s="841"/>
      <c r="J174" s="1135"/>
      <c r="K174" s="841"/>
      <c r="L174" s="841"/>
      <c r="M174" s="841"/>
      <c r="N174" s="841"/>
      <c r="O174" s="841"/>
      <c r="P174" s="841"/>
      <c r="Q174" s="841"/>
      <c r="R174" s="841"/>
    </row>
    <row r="175" spans="2:18">
      <c r="B175" s="841"/>
      <c r="C175" s="842"/>
      <c r="D175" s="842"/>
      <c r="E175" s="842"/>
      <c r="F175" s="1135"/>
      <c r="G175" s="1135"/>
      <c r="H175" s="843"/>
      <c r="I175" s="841"/>
      <c r="J175" s="1135"/>
      <c r="K175" s="841"/>
      <c r="L175" s="841"/>
      <c r="M175" s="841"/>
      <c r="N175" s="841"/>
      <c r="O175" s="841"/>
      <c r="P175" s="841"/>
      <c r="Q175" s="841"/>
      <c r="R175" s="841"/>
    </row>
    <row r="176" spans="2:18">
      <c r="B176" s="841"/>
      <c r="C176" s="842"/>
      <c r="D176" s="842"/>
      <c r="E176" s="842"/>
      <c r="F176" s="1135"/>
      <c r="G176" s="1135"/>
      <c r="H176" s="843"/>
      <c r="I176" s="841"/>
      <c r="J176" s="1135"/>
      <c r="K176" s="841"/>
      <c r="L176" s="841"/>
      <c r="M176" s="841"/>
      <c r="N176" s="841"/>
      <c r="O176" s="841"/>
      <c r="P176" s="841"/>
      <c r="Q176" s="841"/>
      <c r="R176" s="841"/>
    </row>
    <row r="177" spans="2:18">
      <c r="B177" s="841"/>
      <c r="C177" s="842"/>
      <c r="D177" s="842"/>
      <c r="E177" s="842"/>
      <c r="F177" s="1135"/>
      <c r="G177" s="1135"/>
      <c r="H177" s="843"/>
      <c r="I177" s="841"/>
      <c r="J177" s="1135"/>
      <c r="K177" s="841"/>
      <c r="L177" s="841"/>
      <c r="M177" s="841"/>
      <c r="N177" s="841"/>
      <c r="O177" s="841"/>
      <c r="P177" s="841"/>
      <c r="Q177" s="841"/>
      <c r="R177" s="841"/>
    </row>
    <row r="178" spans="2:18">
      <c r="B178" s="841"/>
      <c r="C178" s="842"/>
      <c r="D178" s="842"/>
      <c r="E178" s="842"/>
      <c r="F178" s="1135"/>
      <c r="G178" s="1135"/>
      <c r="H178" s="843"/>
      <c r="I178" s="841"/>
      <c r="J178" s="1135"/>
      <c r="K178" s="841"/>
      <c r="L178" s="841"/>
      <c r="M178" s="841"/>
      <c r="N178" s="841"/>
      <c r="O178" s="841"/>
      <c r="P178" s="841"/>
      <c r="Q178" s="841"/>
      <c r="R178" s="841"/>
    </row>
    <row r="179" spans="2:18">
      <c r="B179" s="841"/>
      <c r="C179" s="842"/>
      <c r="D179" s="842"/>
      <c r="E179" s="842"/>
      <c r="F179" s="1135"/>
      <c r="G179" s="1135"/>
      <c r="H179" s="843"/>
      <c r="I179" s="841"/>
      <c r="J179" s="1135"/>
      <c r="K179" s="841"/>
      <c r="L179" s="841"/>
      <c r="M179" s="841"/>
      <c r="N179" s="841"/>
      <c r="O179" s="841"/>
      <c r="P179" s="841"/>
      <c r="Q179" s="841"/>
      <c r="R179" s="841"/>
    </row>
    <row r="180" spans="2:18">
      <c r="B180" s="841"/>
      <c r="C180" s="842"/>
      <c r="D180" s="842"/>
      <c r="E180" s="842"/>
      <c r="F180" s="1135"/>
      <c r="G180" s="1135"/>
      <c r="H180" s="843"/>
      <c r="I180" s="841"/>
      <c r="J180" s="1135"/>
      <c r="K180" s="841"/>
      <c r="L180" s="841"/>
      <c r="M180" s="841"/>
      <c r="N180" s="841"/>
      <c r="O180" s="841"/>
      <c r="P180" s="841"/>
      <c r="Q180" s="841"/>
      <c r="R180" s="841"/>
    </row>
    <row r="181" spans="2:18">
      <c r="B181" s="841"/>
      <c r="C181" s="842"/>
      <c r="D181" s="842"/>
      <c r="E181" s="842"/>
      <c r="F181" s="1135"/>
      <c r="G181" s="1135"/>
      <c r="H181" s="843"/>
      <c r="I181" s="841"/>
      <c r="J181" s="1135"/>
      <c r="K181" s="841"/>
      <c r="L181" s="841"/>
      <c r="M181" s="841"/>
      <c r="N181" s="841"/>
      <c r="O181" s="841"/>
      <c r="P181" s="841"/>
      <c r="Q181" s="841"/>
      <c r="R181" s="841"/>
    </row>
    <row r="182" spans="2:18">
      <c r="B182" s="841"/>
      <c r="C182" s="842"/>
      <c r="D182" s="842"/>
      <c r="E182" s="842"/>
      <c r="F182" s="1135"/>
      <c r="G182" s="1135"/>
      <c r="H182" s="843"/>
      <c r="I182" s="841"/>
      <c r="J182" s="1135"/>
      <c r="K182" s="841"/>
      <c r="L182" s="841"/>
      <c r="M182" s="841"/>
      <c r="N182" s="841"/>
      <c r="O182" s="841"/>
      <c r="P182" s="841"/>
      <c r="Q182" s="841"/>
      <c r="R182" s="841"/>
    </row>
    <row r="183" spans="2:18">
      <c r="B183" s="841"/>
      <c r="C183" s="842"/>
      <c r="D183" s="842"/>
      <c r="E183" s="842"/>
      <c r="F183" s="1135"/>
      <c r="G183" s="1135"/>
      <c r="H183" s="843"/>
      <c r="I183" s="841"/>
      <c r="J183" s="1135"/>
      <c r="K183" s="841"/>
      <c r="L183" s="841"/>
      <c r="M183" s="841"/>
      <c r="N183" s="841"/>
      <c r="O183" s="841"/>
      <c r="P183" s="841"/>
      <c r="Q183" s="841"/>
      <c r="R183" s="841"/>
    </row>
    <row r="184" spans="2:18">
      <c r="B184" s="841"/>
      <c r="C184" s="842"/>
      <c r="D184" s="842"/>
      <c r="E184" s="842"/>
      <c r="F184" s="1135"/>
      <c r="G184" s="1135"/>
      <c r="H184" s="843"/>
      <c r="I184" s="841"/>
      <c r="J184" s="1135"/>
      <c r="K184" s="841"/>
      <c r="L184" s="841"/>
      <c r="M184" s="841"/>
      <c r="N184" s="841"/>
      <c r="O184" s="841"/>
      <c r="P184" s="841"/>
      <c r="Q184" s="841"/>
      <c r="R184" s="841"/>
    </row>
    <row r="185" spans="2:18">
      <c r="B185" s="841"/>
      <c r="C185" s="842"/>
      <c r="D185" s="842"/>
      <c r="E185" s="842"/>
      <c r="F185" s="1135"/>
      <c r="G185" s="1135"/>
      <c r="H185" s="843"/>
      <c r="I185" s="841"/>
      <c r="J185" s="1135"/>
      <c r="K185" s="841"/>
      <c r="L185" s="841"/>
      <c r="M185" s="841"/>
      <c r="N185" s="841"/>
      <c r="O185" s="841"/>
      <c r="P185" s="841"/>
      <c r="Q185" s="841"/>
      <c r="R185" s="841"/>
    </row>
    <row r="186" spans="2:18">
      <c r="B186" s="841"/>
      <c r="C186" s="842"/>
      <c r="D186" s="842"/>
      <c r="E186" s="842"/>
      <c r="F186" s="1135"/>
      <c r="G186" s="1135"/>
      <c r="H186" s="843"/>
      <c r="I186" s="841"/>
      <c r="J186" s="1135"/>
      <c r="K186" s="841"/>
      <c r="L186" s="841"/>
      <c r="M186" s="841"/>
      <c r="N186" s="841"/>
      <c r="O186" s="841"/>
      <c r="P186" s="841"/>
      <c r="Q186" s="841"/>
      <c r="R186" s="841"/>
    </row>
    <row r="187" spans="2:18">
      <c r="B187" s="841"/>
      <c r="C187" s="842"/>
      <c r="D187" s="842"/>
      <c r="E187" s="842"/>
      <c r="F187" s="1135"/>
      <c r="G187" s="1135"/>
      <c r="H187" s="843"/>
      <c r="I187" s="841"/>
      <c r="J187" s="1135"/>
      <c r="K187" s="841"/>
      <c r="L187" s="841"/>
      <c r="M187" s="841"/>
      <c r="N187" s="841"/>
      <c r="O187" s="841"/>
      <c r="P187" s="841"/>
      <c r="Q187" s="841"/>
      <c r="R187" s="841"/>
    </row>
    <row r="188" spans="2:18">
      <c r="B188" s="841"/>
      <c r="C188" s="842"/>
      <c r="D188" s="842"/>
      <c r="E188" s="842"/>
      <c r="F188" s="1135"/>
      <c r="G188" s="1135"/>
      <c r="H188" s="843"/>
      <c r="I188" s="841"/>
      <c r="J188" s="1135"/>
      <c r="K188" s="841"/>
      <c r="L188" s="841"/>
      <c r="M188" s="841"/>
      <c r="N188" s="841"/>
      <c r="O188" s="841"/>
      <c r="P188" s="841"/>
      <c r="Q188" s="841"/>
      <c r="R188" s="841"/>
    </row>
    <row r="189" spans="2:18">
      <c r="B189" s="841"/>
      <c r="C189" s="842"/>
      <c r="D189" s="842"/>
      <c r="E189" s="842"/>
      <c r="F189" s="1135"/>
      <c r="G189" s="1135"/>
      <c r="H189" s="843"/>
      <c r="I189" s="841"/>
      <c r="J189" s="1135"/>
      <c r="K189" s="841"/>
      <c r="L189" s="841"/>
      <c r="M189" s="841"/>
      <c r="N189" s="841"/>
      <c r="O189" s="841"/>
      <c r="P189" s="841"/>
      <c r="Q189" s="841"/>
      <c r="R189" s="841"/>
    </row>
    <row r="190" spans="2:18">
      <c r="B190" s="841"/>
      <c r="C190" s="842"/>
      <c r="D190" s="842"/>
      <c r="E190" s="842"/>
      <c r="F190" s="1135"/>
      <c r="G190" s="1135"/>
      <c r="H190" s="843"/>
      <c r="I190" s="841"/>
      <c r="J190" s="1135"/>
      <c r="K190" s="841"/>
      <c r="L190" s="841"/>
      <c r="M190" s="841"/>
      <c r="N190" s="841"/>
      <c r="O190" s="841"/>
      <c r="P190" s="841"/>
      <c r="Q190" s="841"/>
      <c r="R190" s="841"/>
    </row>
    <row r="191" spans="2:18">
      <c r="B191" s="841"/>
      <c r="C191" s="842"/>
      <c r="D191" s="842"/>
      <c r="E191" s="842"/>
      <c r="F191" s="1135"/>
      <c r="G191" s="1135"/>
      <c r="H191" s="843"/>
      <c r="I191" s="841"/>
      <c r="J191" s="1135"/>
      <c r="K191" s="841"/>
      <c r="L191" s="841"/>
      <c r="M191" s="841"/>
      <c r="N191" s="841"/>
      <c r="O191" s="841"/>
      <c r="P191" s="841"/>
      <c r="Q191" s="841"/>
      <c r="R191" s="841"/>
    </row>
    <row r="192" spans="2:18">
      <c r="B192" s="841"/>
      <c r="C192" s="842"/>
      <c r="D192" s="842"/>
      <c r="E192" s="842"/>
      <c r="F192" s="1135"/>
      <c r="G192" s="1135"/>
      <c r="H192" s="843"/>
      <c r="I192" s="841"/>
      <c r="J192" s="1135"/>
      <c r="K192" s="841"/>
      <c r="L192" s="841"/>
      <c r="M192" s="841"/>
      <c r="N192" s="841"/>
      <c r="O192" s="841"/>
      <c r="P192" s="841"/>
      <c r="Q192" s="841"/>
      <c r="R192" s="841"/>
    </row>
    <row r="193" spans="2:18">
      <c r="B193" s="841"/>
      <c r="C193" s="842"/>
      <c r="D193" s="842"/>
      <c r="E193" s="842"/>
      <c r="F193" s="1135"/>
      <c r="G193" s="1135"/>
      <c r="H193" s="843"/>
      <c r="I193" s="841"/>
      <c r="J193" s="1135"/>
      <c r="K193" s="841"/>
      <c r="L193" s="841"/>
      <c r="M193" s="841"/>
      <c r="N193" s="841"/>
      <c r="O193" s="841"/>
      <c r="P193" s="841"/>
      <c r="Q193" s="841"/>
      <c r="R193" s="841"/>
    </row>
    <row r="194" spans="2:18">
      <c r="B194" s="841"/>
      <c r="C194" s="842"/>
      <c r="D194" s="842"/>
      <c r="E194" s="842"/>
      <c r="F194" s="1135"/>
      <c r="G194" s="1135"/>
      <c r="H194" s="843"/>
      <c r="I194" s="841"/>
      <c r="J194" s="1135"/>
      <c r="K194" s="841"/>
      <c r="L194" s="841"/>
      <c r="M194" s="841"/>
      <c r="N194" s="841"/>
      <c r="O194" s="841"/>
      <c r="P194" s="841"/>
      <c r="Q194" s="841"/>
      <c r="R194" s="841"/>
    </row>
    <row r="195" spans="2:18">
      <c r="B195" s="841"/>
      <c r="C195" s="842"/>
      <c r="D195" s="842"/>
      <c r="E195" s="842"/>
      <c r="F195" s="1135"/>
      <c r="G195" s="1135"/>
      <c r="H195" s="843"/>
      <c r="I195" s="841"/>
      <c r="J195" s="1135"/>
      <c r="K195" s="841"/>
      <c r="L195" s="841"/>
      <c r="M195" s="841"/>
      <c r="N195" s="841"/>
      <c r="O195" s="841"/>
      <c r="P195" s="841"/>
      <c r="Q195" s="841"/>
      <c r="R195" s="841"/>
    </row>
    <row r="196" spans="2:18">
      <c r="B196" s="841"/>
      <c r="C196" s="842"/>
      <c r="D196" s="842"/>
      <c r="E196" s="842"/>
      <c r="F196" s="1135"/>
      <c r="G196" s="1135"/>
      <c r="H196" s="843"/>
      <c r="I196" s="841"/>
      <c r="J196" s="1135"/>
      <c r="K196" s="841"/>
      <c r="L196" s="841"/>
      <c r="M196" s="841"/>
      <c r="N196" s="841"/>
      <c r="O196" s="841"/>
      <c r="P196" s="841"/>
      <c r="Q196" s="841"/>
      <c r="R196" s="841"/>
    </row>
    <row r="197" spans="2:18">
      <c r="B197" s="841"/>
      <c r="C197" s="842"/>
      <c r="D197" s="842"/>
      <c r="E197" s="842"/>
      <c r="F197" s="1135"/>
      <c r="G197" s="1135"/>
      <c r="H197" s="843"/>
      <c r="I197" s="841"/>
      <c r="J197" s="1135"/>
      <c r="K197" s="841"/>
      <c r="L197" s="841"/>
      <c r="M197" s="841"/>
      <c r="N197" s="841"/>
      <c r="O197" s="841"/>
      <c r="P197" s="841"/>
      <c r="Q197" s="841"/>
      <c r="R197" s="841"/>
    </row>
    <row r="198" spans="2:18">
      <c r="B198" s="841"/>
      <c r="C198" s="842"/>
      <c r="D198" s="842"/>
      <c r="E198" s="842"/>
      <c r="F198" s="1135"/>
      <c r="G198" s="1135"/>
      <c r="H198" s="843"/>
      <c r="I198" s="841"/>
      <c r="J198" s="1135"/>
      <c r="K198" s="841"/>
      <c r="L198" s="841"/>
      <c r="M198" s="841"/>
      <c r="N198" s="841"/>
      <c r="O198" s="841"/>
      <c r="P198" s="841"/>
      <c r="Q198" s="841"/>
      <c r="R198" s="841"/>
    </row>
    <row r="199" spans="2:18">
      <c r="B199" s="841"/>
      <c r="C199" s="842"/>
      <c r="D199" s="842"/>
      <c r="E199" s="842"/>
      <c r="F199" s="1135"/>
      <c r="G199" s="1135"/>
      <c r="H199" s="843"/>
      <c r="I199" s="841"/>
      <c r="J199" s="1135"/>
      <c r="K199" s="841"/>
      <c r="L199" s="841"/>
      <c r="M199" s="841"/>
      <c r="N199" s="841"/>
      <c r="O199" s="841"/>
      <c r="P199" s="841"/>
      <c r="Q199" s="841"/>
      <c r="R199" s="841"/>
    </row>
    <row r="200" spans="2:18">
      <c r="B200" s="841"/>
      <c r="C200" s="842"/>
      <c r="D200" s="842"/>
      <c r="E200" s="842"/>
      <c r="F200" s="1135"/>
      <c r="G200" s="1135"/>
      <c r="H200" s="843"/>
      <c r="I200" s="841"/>
      <c r="J200" s="1135"/>
      <c r="K200" s="841"/>
      <c r="L200" s="841"/>
      <c r="M200" s="841"/>
      <c r="N200" s="841"/>
      <c r="O200" s="841"/>
      <c r="P200" s="841"/>
      <c r="Q200" s="841"/>
      <c r="R200" s="841"/>
    </row>
    <row r="201" spans="2:18">
      <c r="B201" s="841"/>
      <c r="C201" s="842"/>
      <c r="D201" s="842"/>
      <c r="E201" s="842"/>
      <c r="F201" s="1135"/>
      <c r="G201" s="1135"/>
      <c r="H201" s="843"/>
      <c r="I201" s="841"/>
      <c r="J201" s="1135"/>
      <c r="K201" s="841"/>
      <c r="L201" s="841"/>
      <c r="M201" s="841"/>
      <c r="N201" s="841"/>
      <c r="O201" s="841"/>
      <c r="P201" s="841"/>
      <c r="Q201" s="841"/>
      <c r="R201" s="841"/>
    </row>
    <row r="202" spans="2:18">
      <c r="B202" s="841"/>
      <c r="C202" s="842"/>
      <c r="D202" s="842"/>
      <c r="E202" s="842"/>
      <c r="F202" s="1135"/>
      <c r="G202" s="1135"/>
      <c r="H202" s="843"/>
      <c r="I202" s="841"/>
      <c r="J202" s="1135"/>
      <c r="K202" s="841"/>
      <c r="L202" s="841"/>
      <c r="M202" s="841"/>
      <c r="N202" s="841"/>
      <c r="O202" s="841"/>
      <c r="P202" s="841"/>
      <c r="Q202" s="841"/>
      <c r="R202" s="841"/>
    </row>
    <row r="203" spans="2:18">
      <c r="B203" s="841"/>
      <c r="C203" s="842"/>
      <c r="D203" s="842"/>
      <c r="E203" s="842"/>
      <c r="F203" s="1135"/>
      <c r="G203" s="1135"/>
      <c r="H203" s="843"/>
      <c r="I203" s="841"/>
      <c r="J203" s="1135"/>
      <c r="K203" s="841"/>
      <c r="L203" s="841"/>
      <c r="M203" s="841"/>
      <c r="N203" s="841"/>
      <c r="O203" s="841"/>
      <c r="P203" s="841"/>
      <c r="Q203" s="841"/>
      <c r="R203" s="841"/>
    </row>
    <row r="204" spans="2:18">
      <c r="B204" s="841"/>
      <c r="C204" s="842"/>
      <c r="D204" s="842"/>
      <c r="E204" s="842"/>
      <c r="F204" s="1135"/>
      <c r="G204" s="1135"/>
      <c r="H204" s="843"/>
      <c r="I204" s="841"/>
      <c r="J204" s="1135"/>
      <c r="K204" s="841"/>
      <c r="L204" s="841"/>
      <c r="M204" s="841"/>
      <c r="N204" s="841"/>
      <c r="O204" s="841"/>
      <c r="P204" s="841"/>
      <c r="Q204" s="841"/>
      <c r="R204" s="841"/>
    </row>
    <row r="205" spans="2:18">
      <c r="B205" s="841"/>
      <c r="C205" s="842"/>
      <c r="D205" s="842"/>
      <c r="E205" s="842"/>
      <c r="F205" s="1135"/>
      <c r="G205" s="1135"/>
      <c r="H205" s="843"/>
      <c r="I205" s="841"/>
      <c r="J205" s="1135"/>
      <c r="K205" s="841"/>
      <c r="L205" s="841"/>
      <c r="M205" s="841"/>
      <c r="N205" s="841"/>
      <c r="O205" s="841"/>
      <c r="P205" s="841"/>
      <c r="Q205" s="841"/>
      <c r="R205" s="841"/>
    </row>
    <row r="206" spans="2:18">
      <c r="B206" s="841"/>
      <c r="C206" s="842"/>
      <c r="D206" s="842"/>
      <c r="E206" s="842"/>
      <c r="F206" s="1135"/>
      <c r="G206" s="1135"/>
      <c r="H206" s="843"/>
      <c r="I206" s="841"/>
      <c r="J206" s="1135"/>
      <c r="K206" s="841"/>
      <c r="L206" s="841"/>
      <c r="M206" s="841"/>
      <c r="N206" s="841"/>
      <c r="O206" s="841"/>
      <c r="P206" s="841"/>
      <c r="Q206" s="841"/>
      <c r="R206" s="841"/>
    </row>
    <row r="207" spans="2:18">
      <c r="B207" s="841"/>
      <c r="C207" s="842"/>
      <c r="D207" s="842"/>
      <c r="E207" s="842"/>
      <c r="F207" s="1135"/>
      <c r="G207" s="1135"/>
      <c r="H207" s="843"/>
      <c r="I207" s="841"/>
      <c r="J207" s="1135"/>
      <c r="K207" s="841"/>
      <c r="L207" s="841"/>
      <c r="M207" s="841"/>
      <c r="N207" s="841"/>
      <c r="O207" s="841"/>
      <c r="P207" s="841"/>
      <c r="Q207" s="841"/>
      <c r="R207" s="841"/>
    </row>
    <row r="208" spans="2:18">
      <c r="B208" s="841"/>
      <c r="C208" s="842"/>
      <c r="D208" s="842"/>
      <c r="E208" s="842"/>
      <c r="F208" s="1135"/>
      <c r="G208" s="1135"/>
      <c r="H208" s="843"/>
      <c r="I208" s="841"/>
      <c r="J208" s="1135"/>
      <c r="K208" s="841"/>
      <c r="L208" s="841"/>
      <c r="M208" s="841"/>
      <c r="N208" s="841"/>
      <c r="O208" s="841"/>
      <c r="P208" s="841"/>
      <c r="Q208" s="841"/>
      <c r="R208" s="841"/>
    </row>
    <row r="209" spans="2:18">
      <c r="B209" s="841"/>
      <c r="C209" s="842"/>
      <c r="D209" s="842"/>
      <c r="E209" s="842"/>
      <c r="F209" s="1135"/>
      <c r="G209" s="1135"/>
      <c r="H209" s="843"/>
      <c r="I209" s="841"/>
      <c r="J209" s="1135"/>
      <c r="K209" s="841"/>
      <c r="L209" s="841"/>
      <c r="M209" s="841"/>
      <c r="N209" s="841"/>
      <c r="O209" s="841"/>
      <c r="P209" s="841"/>
      <c r="Q209" s="841"/>
      <c r="R209" s="841"/>
    </row>
    <row r="210" spans="2:18">
      <c r="B210" s="841"/>
      <c r="C210" s="842"/>
      <c r="D210" s="842"/>
      <c r="E210" s="842"/>
      <c r="F210" s="1135"/>
      <c r="G210" s="1135"/>
      <c r="H210" s="843"/>
      <c r="I210" s="841"/>
      <c r="J210" s="1135"/>
      <c r="K210" s="841"/>
      <c r="L210" s="841"/>
      <c r="M210" s="841"/>
      <c r="N210" s="841"/>
      <c r="O210" s="841"/>
      <c r="P210" s="841"/>
      <c r="Q210" s="841"/>
      <c r="R210" s="841"/>
    </row>
    <row r="211" spans="2:18">
      <c r="B211" s="841"/>
      <c r="C211" s="842"/>
      <c r="D211" s="842"/>
      <c r="E211" s="842"/>
      <c r="F211" s="1135"/>
      <c r="G211" s="1135"/>
      <c r="H211" s="843"/>
      <c r="I211" s="841"/>
      <c r="J211" s="1135"/>
      <c r="K211" s="841"/>
      <c r="L211" s="841"/>
      <c r="M211" s="841"/>
      <c r="N211" s="841"/>
      <c r="O211" s="841"/>
      <c r="P211" s="841"/>
      <c r="Q211" s="841"/>
      <c r="R211" s="841"/>
    </row>
    <row r="212" spans="2:18">
      <c r="B212" s="841"/>
      <c r="C212" s="842"/>
      <c r="D212" s="842"/>
      <c r="E212" s="842"/>
      <c r="F212" s="1135"/>
      <c r="G212" s="1135"/>
      <c r="H212" s="843"/>
      <c r="I212" s="841"/>
      <c r="J212" s="1135"/>
      <c r="K212" s="841"/>
      <c r="L212" s="841"/>
      <c r="M212" s="841"/>
      <c r="N212" s="841"/>
      <c r="O212" s="841"/>
      <c r="P212" s="841"/>
      <c r="Q212" s="841"/>
      <c r="R212" s="841"/>
    </row>
    <row r="213" spans="2:18">
      <c r="B213" s="841"/>
      <c r="C213" s="842"/>
      <c r="D213" s="842"/>
      <c r="E213" s="842"/>
      <c r="F213" s="1135"/>
      <c r="G213" s="1135"/>
      <c r="H213" s="843"/>
      <c r="I213" s="841"/>
      <c r="J213" s="1135"/>
      <c r="K213" s="841"/>
      <c r="L213" s="841"/>
      <c r="M213" s="841"/>
      <c r="N213" s="841"/>
      <c r="O213" s="841"/>
      <c r="P213" s="841"/>
      <c r="Q213" s="841"/>
      <c r="R213" s="841"/>
    </row>
    <row r="214" spans="2:18">
      <c r="B214" s="841"/>
      <c r="C214" s="842"/>
      <c r="D214" s="842"/>
      <c r="E214" s="842"/>
      <c r="F214" s="1135"/>
      <c r="G214" s="1135"/>
      <c r="H214" s="843"/>
      <c r="I214" s="841"/>
      <c r="J214" s="1135"/>
      <c r="K214" s="841"/>
      <c r="L214" s="841"/>
      <c r="M214" s="841"/>
      <c r="N214" s="841"/>
      <c r="O214" s="841"/>
      <c r="P214" s="841"/>
      <c r="Q214" s="841"/>
      <c r="R214" s="841"/>
    </row>
    <row r="215" spans="2:18">
      <c r="B215" s="841"/>
      <c r="C215" s="842"/>
      <c r="D215" s="842"/>
      <c r="E215" s="842"/>
      <c r="F215" s="1135"/>
      <c r="G215" s="1135"/>
      <c r="H215" s="843"/>
      <c r="I215" s="841"/>
      <c r="J215" s="1135"/>
      <c r="K215" s="841"/>
      <c r="L215" s="841"/>
      <c r="M215" s="841"/>
      <c r="N215" s="841"/>
      <c r="O215" s="841"/>
      <c r="P215" s="841"/>
      <c r="Q215" s="841"/>
      <c r="R215" s="841"/>
    </row>
    <row r="216" spans="2:18">
      <c r="B216" s="841"/>
      <c r="C216" s="842"/>
      <c r="D216" s="842"/>
      <c r="E216" s="842"/>
      <c r="F216" s="1135"/>
      <c r="G216" s="1135"/>
      <c r="H216" s="843"/>
      <c r="I216" s="841"/>
      <c r="J216" s="1135"/>
      <c r="K216" s="841"/>
      <c r="L216" s="841"/>
      <c r="M216" s="841"/>
      <c r="N216" s="841"/>
      <c r="O216" s="841"/>
      <c r="P216" s="841"/>
      <c r="Q216" s="841"/>
      <c r="R216" s="841"/>
    </row>
    <row r="217" spans="2:18">
      <c r="B217" s="841"/>
      <c r="C217" s="842"/>
      <c r="D217" s="842"/>
      <c r="E217" s="842"/>
      <c r="F217" s="1135"/>
      <c r="G217" s="1135"/>
      <c r="H217" s="843"/>
      <c r="I217" s="841"/>
      <c r="J217" s="1135"/>
      <c r="K217" s="841"/>
      <c r="L217" s="841"/>
      <c r="M217" s="841"/>
      <c r="N217" s="841"/>
      <c r="O217" s="841"/>
      <c r="P217" s="841"/>
      <c r="Q217" s="841"/>
      <c r="R217" s="841"/>
    </row>
    <row r="218" spans="2:18">
      <c r="B218" s="841"/>
      <c r="C218" s="842"/>
      <c r="D218" s="842"/>
      <c r="E218" s="842"/>
      <c r="F218" s="1135"/>
      <c r="G218" s="1135"/>
      <c r="H218" s="843"/>
      <c r="I218" s="841"/>
      <c r="J218" s="1135"/>
      <c r="K218" s="841"/>
      <c r="L218" s="841"/>
      <c r="M218" s="841"/>
      <c r="N218" s="841"/>
      <c r="O218" s="841"/>
      <c r="P218" s="841"/>
      <c r="Q218" s="841"/>
      <c r="R218" s="841"/>
    </row>
    <row r="219" spans="2:18">
      <c r="B219" s="841"/>
      <c r="C219" s="842"/>
      <c r="D219" s="842"/>
      <c r="E219" s="842"/>
      <c r="F219" s="1135"/>
      <c r="G219" s="1135"/>
      <c r="H219" s="843"/>
      <c r="I219" s="841"/>
      <c r="J219" s="1135"/>
      <c r="K219" s="841"/>
      <c r="L219" s="841"/>
      <c r="M219" s="841"/>
      <c r="N219" s="841"/>
      <c r="O219" s="841"/>
      <c r="P219" s="841"/>
      <c r="Q219" s="841"/>
      <c r="R219" s="841"/>
    </row>
    <row r="220" spans="2:18">
      <c r="B220" s="841"/>
      <c r="C220" s="842"/>
      <c r="D220" s="842"/>
      <c r="E220" s="842"/>
      <c r="F220" s="1135"/>
      <c r="G220" s="1135"/>
      <c r="H220" s="843"/>
      <c r="I220" s="841"/>
      <c r="J220" s="1135"/>
      <c r="K220" s="841"/>
      <c r="L220" s="841"/>
      <c r="M220" s="841"/>
      <c r="N220" s="841"/>
      <c r="O220" s="841"/>
      <c r="P220" s="841"/>
      <c r="Q220" s="841"/>
      <c r="R220" s="841"/>
    </row>
    <row r="221" spans="2:18">
      <c r="B221" s="841"/>
      <c r="C221" s="842"/>
      <c r="D221" s="842"/>
      <c r="E221" s="842"/>
      <c r="F221" s="1135"/>
      <c r="G221" s="1135"/>
      <c r="H221" s="843"/>
      <c r="I221" s="841"/>
      <c r="J221" s="1135"/>
      <c r="K221" s="841"/>
      <c r="L221" s="841"/>
      <c r="M221" s="841"/>
      <c r="N221" s="841"/>
      <c r="O221" s="841"/>
      <c r="P221" s="841"/>
      <c r="Q221" s="841"/>
      <c r="R221" s="841"/>
    </row>
    <row r="222" spans="2:18">
      <c r="B222" s="841"/>
      <c r="C222" s="842"/>
      <c r="D222" s="842"/>
      <c r="E222" s="842"/>
      <c r="F222" s="1135"/>
      <c r="G222" s="1135"/>
      <c r="H222" s="843"/>
      <c r="I222" s="841"/>
      <c r="J222" s="1135"/>
      <c r="K222" s="841"/>
      <c r="L222" s="841"/>
      <c r="M222" s="841"/>
      <c r="N222" s="841"/>
      <c r="O222" s="841"/>
      <c r="P222" s="841"/>
      <c r="Q222" s="841"/>
      <c r="R222" s="841"/>
    </row>
    <row r="223" spans="2:18">
      <c r="B223" s="841"/>
      <c r="C223" s="842"/>
      <c r="D223" s="842"/>
      <c r="E223" s="842"/>
      <c r="F223" s="1135"/>
      <c r="G223" s="1135"/>
      <c r="H223" s="843"/>
      <c r="I223" s="841"/>
      <c r="J223" s="1135"/>
      <c r="K223" s="841"/>
      <c r="L223" s="841"/>
      <c r="M223" s="841"/>
      <c r="N223" s="841"/>
      <c r="O223" s="841"/>
      <c r="P223" s="841"/>
      <c r="Q223" s="841"/>
      <c r="R223" s="841"/>
    </row>
    <row r="224" spans="2:18">
      <c r="B224" s="841"/>
      <c r="C224" s="842"/>
      <c r="D224" s="842"/>
      <c r="E224" s="842"/>
      <c r="F224" s="1135"/>
      <c r="G224" s="1135"/>
      <c r="H224" s="843"/>
      <c r="I224" s="841"/>
      <c r="J224" s="1135"/>
      <c r="K224" s="841"/>
      <c r="L224" s="841"/>
      <c r="M224" s="841"/>
      <c r="N224" s="841"/>
      <c r="O224" s="841"/>
      <c r="P224" s="841"/>
      <c r="Q224" s="841"/>
      <c r="R224" s="841"/>
    </row>
    <row r="225" spans="2:18">
      <c r="B225" s="841"/>
      <c r="C225" s="842"/>
      <c r="D225" s="842"/>
      <c r="E225" s="842"/>
      <c r="F225" s="1135"/>
      <c r="G225" s="1135"/>
      <c r="H225" s="843"/>
      <c r="I225" s="841"/>
      <c r="J225" s="1135"/>
      <c r="K225" s="841"/>
      <c r="L225" s="841"/>
      <c r="M225" s="841"/>
      <c r="N225" s="841"/>
      <c r="O225" s="841"/>
      <c r="P225" s="841"/>
      <c r="Q225" s="841"/>
      <c r="R225" s="841"/>
    </row>
    <row r="226" spans="2:18">
      <c r="B226" s="841"/>
      <c r="C226" s="842"/>
      <c r="D226" s="842"/>
      <c r="E226" s="842"/>
      <c r="F226" s="1135"/>
      <c r="G226" s="1135"/>
      <c r="H226" s="843"/>
      <c r="I226" s="841"/>
      <c r="J226" s="1135"/>
      <c r="K226" s="841"/>
      <c r="L226" s="841"/>
      <c r="M226" s="841"/>
      <c r="N226" s="841"/>
      <c r="O226" s="841"/>
      <c r="P226" s="841"/>
      <c r="Q226" s="841"/>
      <c r="R226" s="841"/>
    </row>
    <row r="227" spans="2:18">
      <c r="B227" s="841"/>
      <c r="C227" s="842"/>
      <c r="D227" s="842"/>
      <c r="E227" s="842"/>
      <c r="F227" s="1135"/>
      <c r="G227" s="1135"/>
      <c r="H227" s="843"/>
      <c r="I227" s="841"/>
      <c r="J227" s="1135"/>
      <c r="K227" s="841"/>
      <c r="L227" s="841"/>
      <c r="M227" s="841"/>
      <c r="N227" s="841"/>
      <c r="O227" s="841"/>
      <c r="P227" s="841"/>
      <c r="Q227" s="841"/>
      <c r="R227" s="841"/>
    </row>
    <row r="228" spans="2:18">
      <c r="B228" s="841"/>
      <c r="C228" s="842"/>
      <c r="D228" s="842"/>
      <c r="E228" s="842"/>
      <c r="F228" s="1135"/>
      <c r="G228" s="1135"/>
      <c r="H228" s="843"/>
      <c r="I228" s="841"/>
      <c r="J228" s="1135"/>
      <c r="K228" s="841"/>
      <c r="L228" s="841"/>
      <c r="M228" s="841"/>
      <c r="N228" s="841"/>
      <c r="O228" s="841"/>
      <c r="P228" s="841"/>
      <c r="Q228" s="841"/>
      <c r="R228" s="841"/>
    </row>
    <row r="229" spans="2:18">
      <c r="B229" s="841"/>
      <c r="C229" s="842"/>
      <c r="D229" s="842"/>
      <c r="E229" s="842"/>
      <c r="F229" s="1135"/>
      <c r="G229" s="1135"/>
      <c r="H229" s="843"/>
      <c r="I229" s="841"/>
      <c r="J229" s="1135"/>
      <c r="K229" s="841"/>
      <c r="L229" s="841"/>
      <c r="M229" s="841"/>
      <c r="N229" s="841"/>
      <c r="O229" s="841"/>
      <c r="P229" s="841"/>
      <c r="Q229" s="841"/>
      <c r="R229" s="841"/>
    </row>
    <row r="230" spans="2:18">
      <c r="B230" s="841"/>
      <c r="C230" s="842"/>
      <c r="D230" s="842"/>
      <c r="E230" s="842"/>
      <c r="F230" s="1135"/>
      <c r="G230" s="1135"/>
      <c r="H230" s="843"/>
      <c r="I230" s="841"/>
      <c r="J230" s="1135"/>
      <c r="K230" s="841"/>
      <c r="L230" s="841"/>
      <c r="M230" s="841"/>
      <c r="N230" s="841"/>
      <c r="O230" s="841"/>
      <c r="P230" s="841"/>
      <c r="Q230" s="841"/>
      <c r="R230" s="841"/>
    </row>
    <row r="231" spans="2:18">
      <c r="B231" s="841"/>
      <c r="C231" s="842"/>
      <c r="D231" s="842"/>
      <c r="E231" s="842"/>
      <c r="F231" s="1135"/>
      <c r="G231" s="1135"/>
      <c r="H231" s="843"/>
      <c r="I231" s="841"/>
      <c r="J231" s="1135"/>
      <c r="K231" s="841"/>
      <c r="L231" s="841"/>
      <c r="M231" s="841"/>
      <c r="N231" s="841"/>
      <c r="O231" s="841"/>
      <c r="P231" s="841"/>
      <c r="Q231" s="841"/>
      <c r="R231" s="841"/>
    </row>
    <row r="232" spans="2:18">
      <c r="B232" s="841"/>
      <c r="C232" s="842"/>
      <c r="D232" s="842"/>
      <c r="E232" s="842"/>
      <c r="F232" s="1135"/>
      <c r="G232" s="1135"/>
      <c r="H232" s="843"/>
      <c r="I232" s="841"/>
      <c r="J232" s="1135"/>
      <c r="K232" s="841"/>
      <c r="L232" s="841"/>
      <c r="M232" s="841"/>
      <c r="N232" s="841"/>
      <c r="O232" s="841"/>
      <c r="P232" s="841"/>
      <c r="Q232" s="841"/>
      <c r="R232" s="841"/>
    </row>
    <row r="233" spans="2:18">
      <c r="B233" s="841"/>
      <c r="C233" s="842"/>
      <c r="D233" s="842"/>
      <c r="E233" s="842"/>
      <c r="F233" s="1135"/>
      <c r="G233" s="1135"/>
      <c r="H233" s="843"/>
      <c r="I233" s="841"/>
      <c r="J233" s="1135"/>
      <c r="K233" s="841"/>
      <c r="L233" s="841"/>
      <c r="M233" s="841"/>
      <c r="N233" s="841"/>
      <c r="O233" s="841"/>
      <c r="P233" s="841"/>
      <c r="Q233" s="841"/>
      <c r="R233" s="841"/>
    </row>
    <row r="234" spans="2:18">
      <c r="B234" s="841"/>
      <c r="C234" s="842"/>
      <c r="D234" s="842"/>
      <c r="E234" s="842"/>
      <c r="F234" s="1135"/>
      <c r="G234" s="1135"/>
      <c r="H234" s="843"/>
      <c r="I234" s="841"/>
      <c r="J234" s="1135"/>
      <c r="K234" s="841"/>
      <c r="L234" s="841"/>
      <c r="M234" s="841"/>
      <c r="N234" s="841"/>
      <c r="O234" s="841"/>
      <c r="P234" s="841"/>
      <c r="Q234" s="841"/>
      <c r="R234" s="841"/>
    </row>
    <row r="235" spans="2:18">
      <c r="B235" s="841"/>
      <c r="C235" s="842"/>
      <c r="D235" s="842"/>
      <c r="E235" s="842"/>
      <c r="F235" s="1135"/>
      <c r="G235" s="1135"/>
      <c r="H235" s="843"/>
      <c r="I235" s="841"/>
      <c r="J235" s="1135"/>
      <c r="K235" s="841"/>
      <c r="L235" s="841"/>
      <c r="M235" s="841"/>
      <c r="N235" s="841"/>
      <c r="O235" s="841"/>
      <c r="P235" s="841"/>
      <c r="Q235" s="841"/>
      <c r="R235" s="841"/>
    </row>
    <row r="236" spans="2:18">
      <c r="B236" s="841"/>
      <c r="C236" s="842"/>
      <c r="D236" s="842"/>
      <c r="E236" s="842"/>
      <c r="F236" s="1135"/>
      <c r="G236" s="1135"/>
      <c r="H236" s="843"/>
      <c r="I236" s="841"/>
      <c r="J236" s="1135"/>
      <c r="K236" s="841"/>
      <c r="L236" s="841"/>
      <c r="M236" s="841"/>
      <c r="N236" s="841"/>
      <c r="O236" s="841"/>
      <c r="P236" s="841"/>
      <c r="Q236" s="841"/>
      <c r="R236" s="841"/>
    </row>
    <row r="237" spans="2:18">
      <c r="B237" s="841"/>
      <c r="C237" s="842"/>
      <c r="D237" s="842"/>
      <c r="E237" s="842"/>
      <c r="F237" s="1135"/>
      <c r="G237" s="1135"/>
      <c r="H237" s="843"/>
      <c r="I237" s="841"/>
      <c r="J237" s="1135"/>
      <c r="K237" s="841"/>
      <c r="L237" s="841"/>
      <c r="M237" s="841"/>
      <c r="N237" s="841"/>
      <c r="O237" s="841"/>
      <c r="P237" s="841"/>
      <c r="Q237" s="841"/>
      <c r="R237" s="841"/>
    </row>
    <row r="238" spans="2:18">
      <c r="B238" s="841"/>
      <c r="C238" s="842"/>
      <c r="D238" s="842"/>
      <c r="E238" s="842"/>
      <c r="F238" s="1135"/>
      <c r="G238" s="1135"/>
      <c r="H238" s="843"/>
      <c r="I238" s="841"/>
      <c r="J238" s="1135"/>
      <c r="K238" s="841"/>
      <c r="L238" s="841"/>
      <c r="M238" s="841"/>
      <c r="N238" s="841"/>
      <c r="O238" s="841"/>
      <c r="P238" s="841"/>
      <c r="Q238" s="841"/>
      <c r="R238" s="841"/>
    </row>
    <row r="239" spans="2:18">
      <c r="B239" s="841"/>
      <c r="C239" s="842"/>
      <c r="D239" s="842"/>
      <c r="E239" s="842"/>
      <c r="F239" s="1135"/>
      <c r="G239" s="1135"/>
      <c r="H239" s="843"/>
      <c r="I239" s="841"/>
      <c r="J239" s="1135"/>
      <c r="K239" s="841"/>
      <c r="L239" s="841"/>
      <c r="M239" s="841"/>
      <c r="N239" s="841"/>
      <c r="O239" s="841"/>
      <c r="P239" s="841"/>
      <c r="Q239" s="841"/>
      <c r="R239" s="841"/>
    </row>
    <row r="240" spans="2:18">
      <c r="B240" s="841"/>
      <c r="C240" s="842"/>
      <c r="D240" s="842"/>
      <c r="E240" s="842"/>
      <c r="F240" s="1135"/>
      <c r="G240" s="1135"/>
      <c r="H240" s="843"/>
      <c r="I240" s="841"/>
      <c r="J240" s="1135"/>
      <c r="K240" s="841"/>
      <c r="L240" s="841"/>
      <c r="M240" s="841"/>
      <c r="N240" s="841"/>
      <c r="O240" s="841"/>
      <c r="P240" s="841"/>
      <c r="Q240" s="841"/>
      <c r="R240" s="841"/>
    </row>
    <row r="241" spans="2:18">
      <c r="B241" s="841"/>
      <c r="C241" s="842"/>
      <c r="D241" s="842"/>
      <c r="E241" s="842"/>
      <c r="F241" s="1135"/>
      <c r="G241" s="1135"/>
      <c r="H241" s="843"/>
      <c r="I241" s="841"/>
      <c r="J241" s="1135"/>
      <c r="K241" s="841"/>
      <c r="L241" s="841"/>
      <c r="M241" s="841"/>
      <c r="N241" s="841"/>
      <c r="O241" s="841"/>
      <c r="P241" s="841"/>
      <c r="Q241" s="841"/>
      <c r="R241" s="841"/>
    </row>
    <row r="242" spans="2:18">
      <c r="B242" s="841"/>
      <c r="C242" s="842"/>
      <c r="D242" s="842"/>
      <c r="E242" s="842"/>
      <c r="F242" s="1135"/>
      <c r="G242" s="1135"/>
      <c r="H242" s="843"/>
      <c r="I242" s="841"/>
      <c r="J242" s="1135"/>
      <c r="K242" s="841"/>
      <c r="L242" s="841"/>
      <c r="M242" s="841"/>
      <c r="N242" s="841"/>
      <c r="O242" s="841"/>
      <c r="P242" s="841"/>
      <c r="Q242" s="841"/>
      <c r="R242" s="841"/>
    </row>
    <row r="243" spans="2:18">
      <c r="B243" s="841"/>
      <c r="C243" s="842"/>
      <c r="D243" s="842"/>
      <c r="E243" s="842"/>
      <c r="F243" s="1135"/>
      <c r="G243" s="1135"/>
      <c r="H243" s="843"/>
      <c r="I243" s="841"/>
      <c r="J243" s="1135"/>
      <c r="K243" s="841"/>
      <c r="L243" s="841"/>
      <c r="M243" s="841"/>
      <c r="N243" s="841"/>
      <c r="O243" s="841"/>
      <c r="P243" s="841"/>
      <c r="Q243" s="841"/>
      <c r="R243" s="841"/>
    </row>
    <row r="244" spans="2:18">
      <c r="B244" s="841"/>
      <c r="C244" s="842"/>
      <c r="D244" s="842"/>
      <c r="E244" s="842"/>
      <c r="F244" s="1135"/>
      <c r="G244" s="1135"/>
      <c r="H244" s="843"/>
      <c r="I244" s="841"/>
      <c r="J244" s="1135"/>
      <c r="K244" s="841"/>
      <c r="L244" s="841"/>
      <c r="M244" s="841"/>
      <c r="N244" s="841"/>
      <c r="O244" s="841"/>
      <c r="P244" s="841"/>
      <c r="Q244" s="841"/>
      <c r="R244" s="841"/>
    </row>
    <row r="245" spans="2:18">
      <c r="B245" s="841"/>
      <c r="C245" s="842"/>
      <c r="D245" s="842"/>
      <c r="E245" s="842"/>
      <c r="F245" s="1135"/>
      <c r="G245" s="1135"/>
      <c r="H245" s="843"/>
      <c r="I245" s="841"/>
      <c r="J245" s="1135"/>
      <c r="K245" s="841"/>
      <c r="L245" s="841"/>
      <c r="M245" s="841"/>
      <c r="N245" s="841"/>
      <c r="O245" s="841"/>
      <c r="P245" s="841"/>
      <c r="Q245" s="841"/>
      <c r="R245" s="841"/>
    </row>
    <row r="246" spans="2:18">
      <c r="B246" s="841"/>
      <c r="C246" s="842"/>
      <c r="D246" s="842"/>
      <c r="E246" s="842"/>
      <c r="F246" s="1135"/>
      <c r="G246" s="1135"/>
      <c r="H246" s="843"/>
      <c r="I246" s="841"/>
      <c r="J246" s="1135"/>
      <c r="K246" s="841"/>
      <c r="L246" s="841"/>
      <c r="M246" s="841"/>
      <c r="N246" s="841"/>
      <c r="O246" s="841"/>
      <c r="P246" s="841"/>
      <c r="Q246" s="841"/>
      <c r="R246" s="841"/>
    </row>
    <row r="247" spans="2:18">
      <c r="B247" s="841"/>
      <c r="C247" s="842"/>
      <c r="D247" s="842"/>
      <c r="E247" s="842"/>
      <c r="F247" s="1135"/>
      <c r="G247" s="1135"/>
      <c r="H247" s="843"/>
      <c r="I247" s="841"/>
      <c r="J247" s="1135"/>
      <c r="K247" s="841"/>
      <c r="L247" s="841"/>
      <c r="M247" s="841"/>
      <c r="N247" s="841"/>
      <c r="O247" s="841"/>
      <c r="P247" s="841"/>
      <c r="Q247" s="841"/>
      <c r="R247" s="841"/>
    </row>
    <row r="248" spans="2:18">
      <c r="B248" s="841"/>
      <c r="C248" s="842"/>
      <c r="D248" s="842"/>
      <c r="E248" s="842"/>
      <c r="F248" s="1135"/>
      <c r="G248" s="1135"/>
      <c r="H248" s="843"/>
      <c r="I248" s="841"/>
      <c r="J248" s="1135"/>
      <c r="K248" s="841"/>
      <c r="L248" s="841"/>
      <c r="M248" s="841"/>
      <c r="N248" s="841"/>
      <c r="O248" s="841"/>
      <c r="P248" s="841"/>
      <c r="Q248" s="841"/>
      <c r="R248" s="841"/>
    </row>
    <row r="249" spans="2:18">
      <c r="B249" s="841"/>
      <c r="C249" s="842"/>
      <c r="D249" s="842"/>
      <c r="E249" s="842"/>
      <c r="F249" s="1135"/>
      <c r="G249" s="1135"/>
      <c r="H249" s="843"/>
      <c r="I249" s="841"/>
      <c r="J249" s="1135"/>
      <c r="K249" s="841"/>
      <c r="L249" s="841"/>
      <c r="M249" s="841"/>
      <c r="N249" s="841"/>
      <c r="O249" s="841"/>
      <c r="P249" s="841"/>
      <c r="Q249" s="841"/>
      <c r="R249" s="841"/>
    </row>
    <row r="250" spans="2:18">
      <c r="B250" s="841"/>
      <c r="C250" s="842"/>
      <c r="D250" s="842"/>
      <c r="E250" s="842"/>
      <c r="F250" s="1135"/>
      <c r="G250" s="1135"/>
      <c r="H250" s="843"/>
      <c r="I250" s="841"/>
      <c r="J250" s="1135"/>
      <c r="K250" s="841"/>
      <c r="L250" s="841"/>
      <c r="M250" s="841"/>
      <c r="N250" s="841"/>
      <c r="O250" s="841"/>
      <c r="P250" s="841"/>
      <c r="Q250" s="841"/>
      <c r="R250" s="841"/>
    </row>
    <row r="251" spans="2:18">
      <c r="B251" s="841"/>
      <c r="C251" s="842"/>
      <c r="D251" s="842"/>
      <c r="E251" s="842"/>
      <c r="F251" s="1135"/>
      <c r="G251" s="1135"/>
      <c r="H251" s="843"/>
      <c r="I251" s="841"/>
      <c r="J251" s="1135"/>
      <c r="K251" s="841"/>
      <c r="L251" s="841"/>
      <c r="M251" s="841"/>
      <c r="N251" s="841"/>
      <c r="O251" s="841"/>
      <c r="P251" s="841"/>
      <c r="Q251" s="841"/>
      <c r="R251" s="841"/>
    </row>
    <row r="252" spans="2:18">
      <c r="B252" s="841"/>
      <c r="C252" s="842"/>
      <c r="D252" s="842"/>
      <c r="E252" s="842"/>
      <c r="F252" s="1135"/>
      <c r="G252" s="1135"/>
      <c r="H252" s="843"/>
      <c r="I252" s="841"/>
      <c r="J252" s="1135"/>
      <c r="K252" s="841"/>
      <c r="L252" s="841"/>
      <c r="M252" s="841"/>
      <c r="N252" s="841"/>
      <c r="O252" s="841"/>
      <c r="P252" s="841"/>
      <c r="Q252" s="841"/>
      <c r="R252" s="841"/>
    </row>
    <row r="253" spans="2:18">
      <c r="B253" s="841"/>
      <c r="C253" s="842"/>
      <c r="D253" s="842"/>
      <c r="E253" s="842"/>
      <c r="F253" s="1135"/>
      <c r="G253" s="1135"/>
      <c r="H253" s="843"/>
      <c r="I253" s="841"/>
      <c r="J253" s="1135"/>
      <c r="K253" s="841"/>
      <c r="L253" s="841"/>
      <c r="M253" s="841"/>
      <c r="N253" s="841"/>
      <c r="O253" s="841"/>
      <c r="P253" s="841"/>
      <c r="Q253" s="841"/>
      <c r="R253" s="841"/>
    </row>
    <row r="254" spans="2:18">
      <c r="B254" s="841"/>
      <c r="C254" s="842"/>
      <c r="D254" s="842"/>
      <c r="E254" s="842"/>
      <c r="F254" s="1135"/>
      <c r="G254" s="1135"/>
      <c r="H254" s="843"/>
      <c r="I254" s="841"/>
      <c r="J254" s="1135"/>
      <c r="K254" s="841"/>
      <c r="L254" s="841"/>
      <c r="M254" s="841"/>
      <c r="N254" s="841"/>
      <c r="O254" s="841"/>
      <c r="P254" s="841"/>
      <c r="Q254" s="841"/>
      <c r="R254" s="841"/>
    </row>
    <row r="255" spans="2:18">
      <c r="B255" s="841"/>
      <c r="C255" s="842"/>
      <c r="D255" s="842"/>
      <c r="E255" s="842"/>
      <c r="F255" s="1135"/>
      <c r="G255" s="1135"/>
      <c r="H255" s="843"/>
      <c r="I255" s="841"/>
      <c r="J255" s="1135"/>
      <c r="K255" s="841"/>
      <c r="L255" s="841"/>
      <c r="M255" s="841"/>
      <c r="N255" s="841"/>
      <c r="O255" s="841"/>
      <c r="P255" s="841"/>
      <c r="Q255" s="841"/>
      <c r="R255" s="841"/>
    </row>
    <row r="256" spans="2:18">
      <c r="B256" s="841"/>
      <c r="C256" s="842"/>
      <c r="D256" s="842"/>
      <c r="E256" s="842"/>
      <c r="F256" s="1135"/>
      <c r="G256" s="1135"/>
      <c r="H256" s="843"/>
      <c r="I256" s="841"/>
      <c r="J256" s="1135"/>
      <c r="K256" s="841"/>
      <c r="L256" s="841"/>
      <c r="M256" s="841"/>
      <c r="N256" s="841"/>
      <c r="O256" s="841"/>
      <c r="P256" s="841"/>
      <c r="Q256" s="841"/>
      <c r="R256" s="841"/>
    </row>
    <row r="257" spans="2:18">
      <c r="B257" s="841"/>
      <c r="C257" s="842"/>
      <c r="D257" s="842"/>
      <c r="E257" s="842"/>
      <c r="F257" s="1135"/>
      <c r="G257" s="1135"/>
      <c r="H257" s="843"/>
      <c r="I257" s="841"/>
      <c r="J257" s="1135"/>
      <c r="K257" s="841"/>
      <c r="L257" s="841"/>
      <c r="M257" s="841"/>
      <c r="N257" s="841"/>
      <c r="O257" s="841"/>
      <c r="P257" s="841"/>
      <c r="Q257" s="841"/>
      <c r="R257" s="841"/>
    </row>
    <row r="258" spans="2:18">
      <c r="B258" s="841"/>
      <c r="C258" s="842"/>
      <c r="D258" s="842"/>
      <c r="E258" s="842"/>
      <c r="F258" s="1135"/>
      <c r="G258" s="1135"/>
      <c r="H258" s="843"/>
      <c r="I258" s="841"/>
      <c r="J258" s="1135"/>
      <c r="K258" s="841"/>
      <c r="L258" s="841"/>
      <c r="M258" s="841"/>
      <c r="N258" s="841"/>
      <c r="O258" s="841"/>
      <c r="P258" s="841"/>
      <c r="Q258" s="841"/>
      <c r="R258" s="841"/>
    </row>
    <row r="259" spans="2:18">
      <c r="B259" s="841"/>
      <c r="C259" s="842"/>
      <c r="D259" s="842"/>
      <c r="E259" s="842"/>
      <c r="F259" s="1135"/>
      <c r="G259" s="1135"/>
      <c r="H259" s="843"/>
      <c r="I259" s="841"/>
      <c r="J259" s="1135"/>
      <c r="K259" s="841"/>
      <c r="L259" s="841"/>
      <c r="M259" s="841"/>
      <c r="N259" s="841"/>
      <c r="O259" s="841"/>
      <c r="P259" s="841"/>
      <c r="Q259" s="841"/>
      <c r="R259" s="841"/>
    </row>
    <row r="260" spans="2:18">
      <c r="B260" s="841"/>
      <c r="C260" s="842"/>
      <c r="D260" s="842"/>
      <c r="E260" s="842"/>
      <c r="F260" s="1135"/>
      <c r="G260" s="1135"/>
      <c r="H260" s="843"/>
      <c r="I260" s="841"/>
      <c r="J260" s="1135"/>
      <c r="K260" s="841"/>
      <c r="L260" s="841"/>
      <c r="M260" s="841"/>
      <c r="N260" s="841"/>
      <c r="O260" s="841"/>
      <c r="P260" s="841"/>
      <c r="Q260" s="841"/>
      <c r="R260" s="841"/>
    </row>
    <row r="261" spans="2:18">
      <c r="B261" s="841"/>
      <c r="C261" s="842"/>
      <c r="D261" s="842"/>
      <c r="E261" s="842"/>
      <c r="F261" s="1135"/>
      <c r="G261" s="1135"/>
      <c r="H261" s="843"/>
      <c r="I261" s="841"/>
      <c r="J261" s="1135"/>
      <c r="K261" s="841"/>
      <c r="L261" s="841"/>
      <c r="M261" s="841"/>
      <c r="N261" s="841"/>
      <c r="O261" s="841"/>
      <c r="P261" s="841"/>
      <c r="Q261" s="841"/>
      <c r="R261" s="841"/>
    </row>
    <row r="262" spans="2:18">
      <c r="B262" s="841"/>
      <c r="C262" s="842"/>
      <c r="D262" s="842"/>
      <c r="E262" s="842"/>
      <c r="F262" s="1135"/>
      <c r="G262" s="1135"/>
      <c r="H262" s="843"/>
      <c r="I262" s="841"/>
      <c r="J262" s="1135"/>
      <c r="K262" s="841"/>
      <c r="L262" s="841"/>
      <c r="M262" s="841"/>
      <c r="N262" s="841"/>
      <c r="O262" s="841"/>
      <c r="P262" s="841"/>
      <c r="Q262" s="841"/>
      <c r="R262" s="841"/>
    </row>
    <row r="263" spans="2:18">
      <c r="B263" s="841"/>
      <c r="C263" s="842"/>
      <c r="D263" s="842"/>
      <c r="E263" s="842"/>
      <c r="F263" s="1135"/>
      <c r="G263" s="1135"/>
      <c r="H263" s="843"/>
      <c r="I263" s="841"/>
      <c r="J263" s="1135"/>
      <c r="K263" s="841"/>
      <c r="L263" s="841"/>
      <c r="M263" s="841"/>
      <c r="N263" s="841"/>
      <c r="O263" s="841"/>
      <c r="P263" s="841"/>
      <c r="Q263" s="841"/>
      <c r="R263" s="841"/>
    </row>
    <row r="264" spans="2:18">
      <c r="B264" s="841"/>
      <c r="C264" s="842"/>
      <c r="D264" s="842"/>
      <c r="E264" s="842"/>
      <c r="F264" s="1135"/>
      <c r="G264" s="1135"/>
      <c r="H264" s="843"/>
      <c r="I264" s="841"/>
      <c r="J264" s="1135"/>
      <c r="K264" s="841"/>
      <c r="L264" s="841"/>
      <c r="M264" s="841"/>
      <c r="N264" s="841"/>
      <c r="O264" s="841"/>
      <c r="P264" s="841"/>
      <c r="Q264" s="841"/>
      <c r="R264" s="841"/>
    </row>
    <row r="265" spans="2:18">
      <c r="B265" s="841"/>
      <c r="C265" s="842"/>
      <c r="D265" s="842"/>
      <c r="E265" s="842"/>
      <c r="F265" s="1135"/>
      <c r="G265" s="1135"/>
      <c r="H265" s="843"/>
      <c r="I265" s="841"/>
      <c r="J265" s="1135"/>
      <c r="K265" s="841"/>
      <c r="L265" s="841"/>
      <c r="M265" s="841"/>
      <c r="N265" s="841"/>
      <c r="O265" s="841"/>
      <c r="P265" s="841"/>
      <c r="Q265" s="841"/>
      <c r="R265" s="841"/>
    </row>
    <row r="266" spans="2:18">
      <c r="B266" s="841"/>
      <c r="C266" s="842"/>
      <c r="D266" s="842"/>
      <c r="E266" s="842"/>
      <c r="F266" s="1135"/>
      <c r="G266" s="1135"/>
      <c r="H266" s="843"/>
      <c r="I266" s="841"/>
      <c r="J266" s="1135"/>
      <c r="K266" s="841"/>
      <c r="L266" s="841"/>
      <c r="M266" s="841"/>
      <c r="N266" s="841"/>
      <c r="O266" s="841"/>
      <c r="P266" s="841"/>
      <c r="Q266" s="841"/>
      <c r="R266" s="841"/>
    </row>
    <row r="267" spans="2:18">
      <c r="B267" s="841"/>
      <c r="C267" s="842"/>
      <c r="D267" s="842"/>
      <c r="E267" s="842"/>
      <c r="F267" s="1135"/>
      <c r="G267" s="1135"/>
      <c r="H267" s="843"/>
      <c r="I267" s="841"/>
      <c r="J267" s="1135"/>
      <c r="K267" s="841"/>
      <c r="L267" s="841"/>
      <c r="M267" s="841"/>
      <c r="N267" s="841"/>
      <c r="O267" s="841"/>
      <c r="P267" s="841"/>
      <c r="Q267" s="841"/>
      <c r="R267" s="841"/>
    </row>
    <row r="268" spans="2:18">
      <c r="B268" s="841"/>
      <c r="C268" s="842"/>
      <c r="D268" s="842"/>
      <c r="E268" s="842"/>
      <c r="F268" s="1135"/>
      <c r="G268" s="1135"/>
      <c r="H268" s="843"/>
      <c r="I268" s="841"/>
      <c r="J268" s="1135"/>
      <c r="K268" s="841"/>
      <c r="L268" s="841"/>
      <c r="M268" s="841"/>
      <c r="N268" s="841"/>
      <c r="O268" s="841"/>
      <c r="P268" s="841"/>
      <c r="Q268" s="841"/>
      <c r="R268" s="841"/>
    </row>
    <row r="269" spans="2:18">
      <c r="B269" s="841"/>
      <c r="C269" s="842"/>
      <c r="D269" s="842"/>
      <c r="E269" s="842"/>
      <c r="F269" s="1135"/>
      <c r="G269" s="1135"/>
      <c r="H269" s="843"/>
      <c r="I269" s="841"/>
      <c r="J269" s="1135"/>
      <c r="K269" s="841"/>
      <c r="L269" s="841"/>
      <c r="M269" s="841"/>
      <c r="N269" s="841"/>
      <c r="O269" s="841"/>
      <c r="P269" s="841"/>
      <c r="Q269" s="841"/>
      <c r="R269" s="841"/>
    </row>
    <row r="270" spans="2:18">
      <c r="B270" s="841"/>
      <c r="C270" s="842"/>
      <c r="D270" s="842"/>
      <c r="E270" s="842"/>
      <c r="F270" s="1135"/>
      <c r="G270" s="1135"/>
      <c r="H270" s="843"/>
      <c r="I270" s="841"/>
      <c r="J270" s="1135"/>
      <c r="K270" s="841"/>
      <c r="L270" s="841"/>
      <c r="M270" s="841"/>
      <c r="N270" s="841"/>
      <c r="O270" s="841"/>
      <c r="P270" s="841"/>
      <c r="Q270" s="841"/>
      <c r="R270" s="841"/>
    </row>
    <row r="271" spans="2:18">
      <c r="B271" s="841"/>
      <c r="C271" s="842"/>
      <c r="D271" s="842"/>
      <c r="E271" s="842"/>
      <c r="F271" s="1135"/>
      <c r="G271" s="1135"/>
      <c r="H271" s="843"/>
      <c r="I271" s="841"/>
      <c r="J271" s="1135"/>
      <c r="K271" s="841"/>
      <c r="L271" s="841"/>
      <c r="M271" s="841"/>
      <c r="N271" s="841"/>
      <c r="O271" s="841"/>
      <c r="P271" s="841"/>
      <c r="Q271" s="841"/>
      <c r="R271" s="841"/>
    </row>
    <row r="272" spans="2:18">
      <c r="B272" s="841"/>
      <c r="C272" s="842"/>
      <c r="D272" s="842"/>
      <c r="E272" s="842"/>
      <c r="F272" s="1135"/>
      <c r="G272" s="1135"/>
      <c r="H272" s="843"/>
      <c r="I272" s="841"/>
      <c r="J272" s="1135"/>
      <c r="K272" s="841"/>
      <c r="L272" s="841"/>
      <c r="M272" s="841"/>
      <c r="N272" s="841"/>
      <c r="O272" s="841"/>
      <c r="P272" s="841"/>
      <c r="Q272" s="841"/>
      <c r="R272" s="841"/>
    </row>
    <row r="273" spans="2:18">
      <c r="B273" s="841"/>
      <c r="C273" s="842"/>
      <c r="D273" s="842"/>
      <c r="E273" s="842"/>
      <c r="F273" s="1135"/>
      <c r="G273" s="1135"/>
      <c r="H273" s="843"/>
      <c r="I273" s="841"/>
      <c r="J273" s="1135"/>
      <c r="K273" s="841"/>
      <c r="L273" s="841"/>
      <c r="M273" s="841"/>
      <c r="N273" s="841"/>
      <c r="O273" s="841"/>
      <c r="P273" s="841"/>
      <c r="Q273" s="841"/>
      <c r="R273" s="841"/>
    </row>
    <row r="274" spans="2:18">
      <c r="B274" s="841"/>
      <c r="C274" s="842"/>
      <c r="D274" s="842"/>
      <c r="E274" s="842"/>
      <c r="F274" s="1135"/>
      <c r="G274" s="1135"/>
      <c r="H274" s="843"/>
      <c r="I274" s="841"/>
      <c r="J274" s="1135"/>
      <c r="K274" s="841"/>
      <c r="L274" s="841"/>
      <c r="M274" s="841"/>
      <c r="N274" s="841"/>
      <c r="O274" s="841"/>
      <c r="P274" s="841"/>
      <c r="Q274" s="841"/>
      <c r="R274" s="841"/>
    </row>
    <row r="275" spans="2:18">
      <c r="B275" s="841"/>
      <c r="C275" s="842"/>
      <c r="D275" s="842"/>
      <c r="E275" s="842"/>
      <c r="F275" s="1135"/>
      <c r="G275" s="1135"/>
      <c r="H275" s="843"/>
      <c r="I275" s="841"/>
      <c r="J275" s="1135"/>
      <c r="K275" s="841"/>
      <c r="L275" s="841"/>
      <c r="M275" s="841"/>
      <c r="N275" s="841"/>
      <c r="O275" s="841"/>
      <c r="P275" s="841"/>
      <c r="Q275" s="841"/>
      <c r="R275" s="841"/>
    </row>
    <row r="276" spans="2:18">
      <c r="B276" s="841"/>
      <c r="C276" s="842"/>
      <c r="D276" s="842"/>
      <c r="E276" s="842"/>
      <c r="F276" s="1135"/>
      <c r="G276" s="1135"/>
      <c r="H276" s="843"/>
      <c r="I276" s="841"/>
      <c r="J276" s="1135"/>
      <c r="K276" s="841"/>
      <c r="L276" s="841"/>
      <c r="M276" s="841"/>
      <c r="N276" s="841"/>
      <c r="O276" s="841"/>
      <c r="P276" s="841"/>
      <c r="Q276" s="841"/>
      <c r="R276" s="841"/>
    </row>
    <row r="277" spans="2:18">
      <c r="B277" s="841"/>
      <c r="C277" s="842"/>
      <c r="D277" s="842"/>
      <c r="E277" s="842"/>
      <c r="F277" s="1135"/>
      <c r="G277" s="1135"/>
      <c r="H277" s="843"/>
      <c r="I277" s="841"/>
      <c r="J277" s="1135"/>
      <c r="K277" s="841"/>
      <c r="L277" s="841"/>
      <c r="M277" s="841"/>
      <c r="N277" s="841"/>
      <c r="O277" s="841"/>
      <c r="P277" s="841"/>
      <c r="Q277" s="841"/>
      <c r="R277" s="841"/>
    </row>
    <row r="278" spans="2:18">
      <c r="B278" s="841"/>
      <c r="C278" s="842"/>
      <c r="D278" s="842"/>
      <c r="E278" s="842"/>
      <c r="F278" s="1135"/>
      <c r="G278" s="1135"/>
      <c r="H278" s="843"/>
      <c r="I278" s="841"/>
      <c r="J278" s="1135"/>
      <c r="K278" s="841"/>
      <c r="L278" s="841"/>
      <c r="M278" s="841"/>
      <c r="N278" s="841"/>
      <c r="O278" s="841"/>
      <c r="P278" s="841"/>
      <c r="Q278" s="841"/>
      <c r="R278" s="841"/>
    </row>
    <row r="279" spans="2:18">
      <c r="B279" s="841"/>
      <c r="C279" s="842"/>
      <c r="D279" s="842"/>
      <c r="E279" s="842"/>
      <c r="F279" s="1135"/>
      <c r="G279" s="1135"/>
      <c r="H279" s="843"/>
      <c r="I279" s="841"/>
      <c r="J279" s="1135"/>
      <c r="K279" s="841"/>
      <c r="L279" s="841"/>
      <c r="M279" s="841"/>
      <c r="N279" s="841"/>
      <c r="O279" s="841"/>
      <c r="P279" s="841"/>
      <c r="Q279" s="841"/>
      <c r="R279" s="841"/>
    </row>
    <row r="280" spans="2:18">
      <c r="B280" s="841"/>
      <c r="C280" s="842"/>
      <c r="D280" s="842"/>
      <c r="E280" s="842"/>
      <c r="F280" s="1135"/>
      <c r="G280" s="1135"/>
      <c r="H280" s="843"/>
      <c r="I280" s="841"/>
      <c r="J280" s="1135"/>
      <c r="K280" s="841"/>
      <c r="L280" s="841"/>
      <c r="M280" s="841"/>
      <c r="N280" s="841"/>
      <c r="O280" s="841"/>
      <c r="P280" s="841"/>
      <c r="Q280" s="841"/>
      <c r="R280" s="841"/>
    </row>
    <row r="281" spans="2:18">
      <c r="B281" s="841"/>
      <c r="C281" s="842"/>
      <c r="D281" s="842"/>
      <c r="E281" s="842"/>
      <c r="F281" s="1135"/>
      <c r="G281" s="1135"/>
      <c r="H281" s="843"/>
      <c r="I281" s="841"/>
      <c r="J281" s="1135"/>
      <c r="K281" s="841"/>
      <c r="L281" s="841"/>
      <c r="M281" s="841"/>
      <c r="N281" s="841"/>
      <c r="O281" s="841"/>
      <c r="P281" s="841"/>
      <c r="Q281" s="841"/>
      <c r="R281" s="841"/>
    </row>
    <row r="282" spans="2:18">
      <c r="B282" s="841"/>
      <c r="C282" s="842"/>
      <c r="D282" s="842"/>
      <c r="E282" s="842"/>
      <c r="F282" s="1135"/>
      <c r="G282" s="1135"/>
      <c r="H282" s="843"/>
      <c r="I282" s="841"/>
      <c r="J282" s="1135"/>
      <c r="K282" s="841"/>
      <c r="L282" s="841"/>
      <c r="M282" s="841"/>
      <c r="N282" s="841"/>
      <c r="O282" s="841"/>
      <c r="P282" s="841"/>
      <c r="Q282" s="841"/>
      <c r="R282" s="841"/>
    </row>
    <row r="283" spans="2:18">
      <c r="B283" s="841"/>
      <c r="C283" s="842"/>
      <c r="D283" s="842"/>
      <c r="E283" s="842"/>
      <c r="F283" s="1135"/>
      <c r="G283" s="1135"/>
      <c r="H283" s="843"/>
      <c r="I283" s="841"/>
      <c r="J283" s="1135"/>
      <c r="K283" s="841"/>
      <c r="L283" s="841"/>
      <c r="M283" s="841"/>
      <c r="N283" s="841"/>
      <c r="O283" s="841"/>
      <c r="P283" s="841"/>
      <c r="Q283" s="841"/>
      <c r="R283" s="841"/>
    </row>
    <row r="284" spans="2:18">
      <c r="B284" s="841"/>
      <c r="C284" s="842"/>
      <c r="D284" s="842"/>
      <c r="E284" s="842"/>
      <c r="F284" s="1135"/>
      <c r="G284" s="1135"/>
      <c r="H284" s="843"/>
      <c r="I284" s="841"/>
      <c r="J284" s="1135"/>
      <c r="K284" s="841"/>
      <c r="L284" s="841"/>
      <c r="M284" s="841"/>
      <c r="N284" s="841"/>
      <c r="O284" s="841"/>
      <c r="P284" s="841"/>
      <c r="Q284" s="841"/>
      <c r="R284" s="841"/>
    </row>
    <row r="285" spans="2:18">
      <c r="B285" s="841"/>
      <c r="C285" s="842"/>
      <c r="D285" s="842"/>
      <c r="E285" s="842"/>
      <c r="F285" s="1135"/>
      <c r="G285" s="1135"/>
      <c r="H285" s="843"/>
      <c r="I285" s="841"/>
      <c r="J285" s="1135"/>
      <c r="K285" s="841"/>
      <c r="L285" s="841"/>
      <c r="M285" s="841"/>
      <c r="N285" s="841"/>
      <c r="O285" s="841"/>
      <c r="P285" s="841"/>
      <c r="Q285" s="841"/>
      <c r="R285" s="841"/>
    </row>
    <row r="286" spans="2:18">
      <c r="B286" s="841"/>
      <c r="C286" s="842"/>
      <c r="D286" s="842"/>
      <c r="E286" s="842"/>
      <c r="F286" s="1135"/>
      <c r="G286" s="1135"/>
      <c r="H286" s="843"/>
      <c r="I286" s="841"/>
      <c r="J286" s="1135"/>
      <c r="K286" s="841"/>
      <c r="L286" s="841"/>
      <c r="M286" s="841"/>
      <c r="N286" s="841"/>
      <c r="O286" s="841"/>
      <c r="P286" s="841"/>
      <c r="Q286" s="841"/>
      <c r="R286" s="841"/>
    </row>
    <row r="287" spans="2:18">
      <c r="B287" s="841"/>
      <c r="C287" s="842"/>
      <c r="D287" s="842"/>
      <c r="E287" s="842"/>
      <c r="F287" s="1135"/>
      <c r="G287" s="1135"/>
      <c r="H287" s="843"/>
      <c r="I287" s="841"/>
      <c r="J287" s="1135"/>
      <c r="K287" s="841"/>
      <c r="L287" s="841"/>
      <c r="M287" s="841"/>
      <c r="N287" s="841"/>
      <c r="O287" s="841"/>
      <c r="P287" s="841"/>
      <c r="Q287" s="841"/>
      <c r="R287" s="841"/>
    </row>
    <row r="288" spans="2:18">
      <c r="B288" s="841"/>
      <c r="C288" s="842"/>
      <c r="D288" s="842"/>
      <c r="E288" s="842"/>
      <c r="F288" s="1135"/>
      <c r="G288" s="1135"/>
      <c r="H288" s="843"/>
      <c r="I288" s="841"/>
      <c r="J288" s="1135"/>
      <c r="K288" s="841"/>
      <c r="L288" s="841"/>
      <c r="M288" s="841"/>
      <c r="N288" s="841"/>
      <c r="O288" s="841"/>
      <c r="P288" s="841"/>
      <c r="Q288" s="841"/>
      <c r="R288" s="841"/>
    </row>
    <row r="289" spans="2:18">
      <c r="B289" s="841"/>
      <c r="C289" s="842"/>
      <c r="D289" s="842"/>
      <c r="E289" s="842"/>
      <c r="F289" s="1135"/>
      <c r="G289" s="1135"/>
      <c r="H289" s="843"/>
      <c r="I289" s="841"/>
      <c r="J289" s="1135"/>
      <c r="K289" s="841"/>
      <c r="L289" s="841"/>
      <c r="M289" s="841"/>
      <c r="N289" s="841"/>
      <c r="O289" s="841"/>
      <c r="P289" s="841"/>
      <c r="Q289" s="841"/>
      <c r="R289" s="841"/>
    </row>
    <row r="290" spans="2:18">
      <c r="B290" s="841"/>
      <c r="C290" s="842"/>
      <c r="D290" s="842"/>
      <c r="E290" s="842"/>
      <c r="F290" s="1135"/>
      <c r="G290" s="1135"/>
      <c r="H290" s="843"/>
      <c r="I290" s="841"/>
      <c r="J290" s="1135"/>
      <c r="K290" s="841"/>
      <c r="L290" s="841"/>
      <c r="M290" s="841"/>
      <c r="N290" s="841"/>
      <c r="O290" s="841"/>
      <c r="P290" s="841"/>
      <c r="Q290" s="841"/>
      <c r="R290" s="841"/>
    </row>
    <row r="291" spans="2:18">
      <c r="B291" s="841"/>
      <c r="C291" s="842"/>
      <c r="D291" s="842"/>
      <c r="E291" s="842"/>
      <c r="F291" s="1135"/>
      <c r="G291" s="1135"/>
      <c r="H291" s="843"/>
      <c r="I291" s="841"/>
      <c r="J291" s="1135"/>
      <c r="K291" s="841"/>
      <c r="L291" s="841"/>
      <c r="M291" s="841"/>
      <c r="N291" s="841"/>
      <c r="O291" s="841"/>
      <c r="P291" s="841"/>
      <c r="Q291" s="841"/>
      <c r="R291" s="841"/>
    </row>
    <row r="292" spans="2:18">
      <c r="B292" s="841"/>
      <c r="C292" s="842"/>
      <c r="D292" s="842"/>
      <c r="E292" s="842"/>
      <c r="F292" s="1135"/>
      <c r="G292" s="1135"/>
      <c r="H292" s="843"/>
      <c r="I292" s="841"/>
      <c r="J292" s="1135"/>
      <c r="K292" s="841"/>
      <c r="L292" s="841"/>
      <c r="M292" s="841"/>
      <c r="N292" s="841"/>
      <c r="O292" s="841"/>
      <c r="P292" s="841"/>
      <c r="Q292" s="841"/>
      <c r="R292" s="841"/>
    </row>
    <row r="293" spans="2:18">
      <c r="B293" s="841"/>
      <c r="C293" s="842"/>
      <c r="D293" s="842"/>
      <c r="E293" s="842"/>
      <c r="F293" s="1135"/>
      <c r="G293" s="1135"/>
      <c r="H293" s="843"/>
      <c r="I293" s="841"/>
      <c r="J293" s="1135"/>
      <c r="K293" s="841"/>
      <c r="L293" s="841"/>
      <c r="M293" s="841"/>
      <c r="N293" s="841"/>
      <c r="O293" s="841"/>
      <c r="P293" s="841"/>
      <c r="Q293" s="841"/>
      <c r="R293" s="841"/>
    </row>
    <row r="294" spans="2:18">
      <c r="B294" s="841"/>
      <c r="C294" s="842"/>
      <c r="D294" s="842"/>
      <c r="E294" s="842"/>
      <c r="F294" s="1135"/>
      <c r="G294" s="1135"/>
      <c r="H294" s="843"/>
      <c r="I294" s="841"/>
      <c r="J294" s="1135"/>
      <c r="K294" s="841"/>
      <c r="L294" s="841"/>
      <c r="M294" s="841"/>
      <c r="N294" s="841"/>
      <c r="O294" s="841"/>
      <c r="P294" s="841"/>
      <c r="Q294" s="841"/>
      <c r="R294" s="841"/>
    </row>
    <row r="295" spans="2:18">
      <c r="B295" s="841"/>
      <c r="C295" s="842"/>
      <c r="D295" s="842"/>
      <c r="E295" s="842"/>
      <c r="F295" s="1135"/>
      <c r="G295" s="1135"/>
      <c r="H295" s="843"/>
      <c r="I295" s="841"/>
      <c r="J295" s="1135"/>
      <c r="K295" s="841"/>
      <c r="L295" s="841"/>
      <c r="M295" s="841"/>
      <c r="N295" s="841"/>
      <c r="O295" s="841"/>
      <c r="P295" s="841"/>
      <c r="Q295" s="841"/>
      <c r="R295" s="841"/>
    </row>
    <row r="296" spans="2:18">
      <c r="B296" s="841"/>
      <c r="C296" s="842"/>
      <c r="D296" s="842"/>
      <c r="E296" s="842"/>
      <c r="F296" s="1135"/>
      <c r="G296" s="1135"/>
      <c r="H296" s="843"/>
      <c r="I296" s="841"/>
      <c r="J296" s="1135"/>
      <c r="K296" s="841"/>
      <c r="L296" s="841"/>
      <c r="M296" s="841"/>
      <c r="N296" s="841"/>
      <c r="O296" s="841"/>
      <c r="P296" s="841"/>
      <c r="Q296" s="841"/>
      <c r="R296" s="841"/>
    </row>
    <row r="297" spans="2:18">
      <c r="B297" s="841"/>
      <c r="C297" s="842"/>
      <c r="D297" s="842"/>
      <c r="E297" s="842"/>
      <c r="F297" s="1135"/>
      <c r="G297" s="1135"/>
      <c r="H297" s="843"/>
      <c r="I297" s="841"/>
      <c r="J297" s="1135"/>
      <c r="K297" s="841"/>
      <c r="L297" s="841"/>
      <c r="M297" s="841"/>
      <c r="N297" s="841"/>
      <c r="O297" s="841"/>
      <c r="P297" s="841"/>
      <c r="Q297" s="841"/>
      <c r="R297" s="841"/>
    </row>
    <row r="298" spans="2:18">
      <c r="B298" s="841"/>
      <c r="C298" s="842"/>
      <c r="D298" s="842"/>
      <c r="E298" s="842"/>
      <c r="F298" s="1135"/>
      <c r="G298" s="1135"/>
      <c r="H298" s="843"/>
      <c r="I298" s="841"/>
      <c r="J298" s="1135"/>
      <c r="K298" s="841"/>
      <c r="L298" s="841"/>
      <c r="M298" s="841"/>
      <c r="N298" s="841"/>
      <c r="O298" s="841"/>
      <c r="P298" s="841"/>
      <c r="Q298" s="841"/>
      <c r="R298" s="841"/>
    </row>
    <row r="299" spans="2:18">
      <c r="B299" s="841"/>
      <c r="C299" s="842"/>
      <c r="D299" s="842"/>
      <c r="E299" s="842"/>
      <c r="F299" s="1135"/>
      <c r="G299" s="1135"/>
      <c r="H299" s="843"/>
      <c r="I299" s="841"/>
      <c r="J299" s="1135"/>
      <c r="K299" s="841"/>
      <c r="L299" s="841"/>
      <c r="M299" s="841"/>
      <c r="N299" s="841"/>
      <c r="O299" s="841"/>
      <c r="P299" s="841"/>
      <c r="Q299" s="841"/>
      <c r="R299" s="841"/>
    </row>
    <row r="300" spans="2:18">
      <c r="B300" s="841"/>
      <c r="C300" s="842"/>
      <c r="D300" s="842"/>
      <c r="E300" s="842"/>
      <c r="F300" s="1135"/>
      <c r="G300" s="1135"/>
      <c r="H300" s="843"/>
      <c r="I300" s="841"/>
      <c r="J300" s="1135"/>
      <c r="K300" s="841"/>
      <c r="L300" s="841"/>
      <c r="M300" s="841"/>
      <c r="N300" s="841"/>
      <c r="O300" s="841"/>
      <c r="P300" s="841"/>
      <c r="Q300" s="841"/>
      <c r="R300" s="841"/>
    </row>
    <row r="301" spans="2:18">
      <c r="B301" s="841"/>
      <c r="C301" s="842"/>
      <c r="D301" s="842"/>
      <c r="E301" s="842"/>
      <c r="F301" s="1135"/>
      <c r="G301" s="1135"/>
      <c r="H301" s="843"/>
      <c r="I301" s="841"/>
      <c r="J301" s="1135"/>
      <c r="K301" s="841"/>
      <c r="L301" s="841"/>
      <c r="M301" s="841"/>
      <c r="N301" s="841"/>
      <c r="O301" s="841"/>
      <c r="P301" s="841"/>
      <c r="Q301" s="841"/>
      <c r="R301" s="841"/>
    </row>
    <row r="302" spans="2:18">
      <c r="B302" s="841"/>
      <c r="C302" s="842"/>
      <c r="D302" s="842"/>
      <c r="E302" s="842"/>
      <c r="F302" s="1135"/>
      <c r="G302" s="1135"/>
      <c r="H302" s="843"/>
      <c r="I302" s="841"/>
      <c r="J302" s="1135"/>
      <c r="K302" s="841"/>
      <c r="L302" s="841"/>
      <c r="M302" s="841"/>
      <c r="N302" s="841"/>
      <c r="O302" s="841"/>
      <c r="P302" s="841"/>
      <c r="Q302" s="841"/>
      <c r="R302" s="841"/>
    </row>
    <row r="303" spans="2:18">
      <c r="B303" s="841"/>
      <c r="C303" s="842"/>
      <c r="D303" s="842"/>
      <c r="E303" s="842"/>
      <c r="F303" s="1135"/>
      <c r="G303" s="1135"/>
      <c r="H303" s="843"/>
      <c r="I303" s="841"/>
      <c r="J303" s="1135"/>
      <c r="K303" s="841"/>
      <c r="L303" s="841"/>
      <c r="M303" s="841"/>
      <c r="N303" s="841"/>
      <c r="O303" s="841"/>
      <c r="P303" s="841"/>
      <c r="Q303" s="841"/>
      <c r="R303" s="841"/>
    </row>
    <row r="304" spans="2:18">
      <c r="B304" s="841"/>
      <c r="C304" s="842"/>
      <c r="D304" s="842"/>
      <c r="E304" s="842"/>
      <c r="F304" s="1135"/>
      <c r="G304" s="1135"/>
      <c r="H304" s="843"/>
      <c r="I304" s="841"/>
      <c r="J304" s="1135"/>
      <c r="K304" s="841"/>
      <c r="L304" s="841"/>
      <c r="M304" s="841"/>
      <c r="N304" s="841"/>
      <c r="O304" s="841"/>
      <c r="P304" s="841"/>
      <c r="Q304" s="841"/>
      <c r="R304" s="841"/>
    </row>
    <row r="305" spans="2:18">
      <c r="B305" s="841"/>
      <c r="C305" s="842"/>
      <c r="D305" s="842"/>
      <c r="E305" s="842"/>
      <c r="F305" s="1135"/>
      <c r="G305" s="1135"/>
      <c r="H305" s="843"/>
      <c r="I305" s="841"/>
      <c r="J305" s="1135"/>
      <c r="K305" s="841"/>
      <c r="L305" s="841"/>
      <c r="M305" s="841"/>
      <c r="N305" s="841"/>
      <c r="O305" s="841"/>
      <c r="P305" s="841"/>
      <c r="Q305" s="841"/>
      <c r="R305" s="841"/>
    </row>
    <row r="306" spans="2:18">
      <c r="B306" s="841"/>
      <c r="C306" s="842"/>
      <c r="D306" s="842"/>
      <c r="E306" s="842"/>
      <c r="F306" s="1135"/>
      <c r="G306" s="1135"/>
      <c r="H306" s="843"/>
      <c r="I306" s="841"/>
      <c r="J306" s="1135"/>
      <c r="K306" s="841"/>
      <c r="L306" s="841"/>
      <c r="M306" s="841"/>
      <c r="N306" s="841"/>
      <c r="O306" s="841"/>
      <c r="P306" s="841"/>
      <c r="Q306" s="841"/>
      <c r="R306" s="841"/>
    </row>
    <row r="307" spans="2:18">
      <c r="B307" s="841"/>
      <c r="C307" s="842"/>
      <c r="D307" s="842"/>
      <c r="E307" s="842"/>
      <c r="F307" s="1135"/>
      <c r="G307" s="1135"/>
      <c r="H307" s="843"/>
      <c r="I307" s="841"/>
      <c r="J307" s="1135"/>
      <c r="K307" s="841"/>
      <c r="L307" s="841"/>
      <c r="M307" s="841"/>
      <c r="N307" s="841"/>
      <c r="O307" s="841"/>
      <c r="P307" s="841"/>
      <c r="Q307" s="841"/>
      <c r="R307" s="841"/>
    </row>
    <row r="308" spans="2:18">
      <c r="B308" s="841"/>
      <c r="C308" s="842"/>
      <c r="D308" s="842"/>
      <c r="E308" s="842"/>
      <c r="F308" s="1135"/>
      <c r="G308" s="1135"/>
      <c r="H308" s="843"/>
      <c r="I308" s="841"/>
      <c r="J308" s="1135"/>
      <c r="K308" s="841"/>
      <c r="L308" s="841"/>
      <c r="M308" s="841"/>
      <c r="N308" s="841"/>
      <c r="O308" s="841"/>
      <c r="P308" s="841"/>
      <c r="Q308" s="841"/>
      <c r="R308" s="841"/>
    </row>
    <row r="309" spans="2:18">
      <c r="B309" s="841"/>
      <c r="C309" s="842"/>
      <c r="D309" s="842"/>
      <c r="E309" s="842"/>
      <c r="F309" s="1135"/>
      <c r="G309" s="1135"/>
      <c r="H309" s="843"/>
      <c r="I309" s="841"/>
      <c r="J309" s="1135"/>
      <c r="K309" s="841"/>
      <c r="L309" s="841"/>
      <c r="M309" s="841"/>
      <c r="N309" s="841"/>
      <c r="O309" s="841"/>
      <c r="P309" s="841"/>
      <c r="Q309" s="841"/>
      <c r="R309" s="841"/>
    </row>
    <row r="310" spans="2:18">
      <c r="B310" s="841"/>
      <c r="C310" s="842"/>
      <c r="D310" s="842"/>
      <c r="E310" s="842"/>
      <c r="F310" s="1135"/>
      <c r="G310" s="1135"/>
      <c r="H310" s="843"/>
      <c r="I310" s="841"/>
      <c r="J310" s="1135"/>
      <c r="K310" s="841"/>
      <c r="L310" s="841"/>
      <c r="M310" s="841"/>
      <c r="N310" s="841"/>
      <c r="O310" s="841"/>
      <c r="P310" s="841"/>
      <c r="Q310" s="841"/>
      <c r="R310" s="841"/>
    </row>
    <row r="311" spans="2:18">
      <c r="B311" s="841"/>
      <c r="C311" s="842"/>
      <c r="D311" s="842"/>
      <c r="E311" s="842"/>
      <c r="F311" s="1135"/>
      <c r="G311" s="1135"/>
      <c r="H311" s="843"/>
      <c r="I311" s="841"/>
      <c r="J311" s="1135"/>
      <c r="K311" s="841"/>
      <c r="L311" s="841"/>
      <c r="M311" s="841"/>
      <c r="N311" s="841"/>
      <c r="O311" s="841"/>
      <c r="P311" s="841"/>
      <c r="Q311" s="841"/>
      <c r="R311" s="841"/>
    </row>
    <row r="312" spans="2:18">
      <c r="B312" s="841"/>
      <c r="C312" s="842"/>
      <c r="D312" s="842"/>
      <c r="E312" s="842"/>
      <c r="F312" s="1135"/>
      <c r="G312" s="1135"/>
      <c r="H312" s="843"/>
      <c r="I312" s="841"/>
      <c r="J312" s="1135"/>
      <c r="K312" s="841"/>
      <c r="L312" s="841"/>
      <c r="M312" s="841"/>
      <c r="N312" s="841"/>
      <c r="O312" s="841"/>
      <c r="P312" s="841"/>
      <c r="Q312" s="841"/>
      <c r="R312" s="841"/>
    </row>
    <row r="313" spans="2:18">
      <c r="B313" s="841"/>
      <c r="C313" s="842"/>
      <c r="D313" s="842"/>
      <c r="E313" s="842"/>
      <c r="F313" s="1135"/>
      <c r="G313" s="1135"/>
      <c r="H313" s="843"/>
      <c r="I313" s="841"/>
      <c r="J313" s="1135"/>
      <c r="K313" s="841"/>
      <c r="L313" s="841"/>
      <c r="M313" s="841"/>
      <c r="N313" s="841"/>
      <c r="O313" s="841"/>
      <c r="P313" s="841"/>
      <c r="Q313" s="841"/>
      <c r="R313" s="841"/>
    </row>
    <row r="314" spans="2:18">
      <c r="B314" s="841"/>
      <c r="C314" s="842"/>
      <c r="D314" s="842"/>
      <c r="E314" s="842"/>
      <c r="F314" s="1135"/>
      <c r="G314" s="1135"/>
      <c r="H314" s="843"/>
      <c r="I314" s="841"/>
      <c r="J314" s="1135"/>
      <c r="K314" s="841"/>
      <c r="L314" s="841"/>
      <c r="M314" s="841"/>
      <c r="N314" s="841"/>
      <c r="O314" s="841"/>
      <c r="P314" s="841"/>
      <c r="Q314" s="841"/>
      <c r="R314" s="841"/>
    </row>
    <row r="315" spans="2:18">
      <c r="B315" s="841"/>
      <c r="C315" s="842"/>
      <c r="D315" s="842"/>
      <c r="E315" s="842"/>
      <c r="F315" s="1135"/>
      <c r="G315" s="1135"/>
      <c r="H315" s="843"/>
      <c r="I315" s="841"/>
      <c r="J315" s="1135"/>
      <c r="K315" s="841"/>
      <c r="L315" s="841"/>
      <c r="M315" s="841"/>
      <c r="N315" s="841"/>
      <c r="O315" s="841"/>
      <c r="P315" s="841"/>
      <c r="Q315" s="841"/>
      <c r="R315" s="841"/>
    </row>
    <row r="316" spans="2:18">
      <c r="B316" s="841"/>
      <c r="C316" s="842"/>
      <c r="D316" s="842"/>
      <c r="E316" s="842"/>
      <c r="F316" s="1135"/>
      <c r="G316" s="1135"/>
      <c r="H316" s="843"/>
      <c r="I316" s="841"/>
      <c r="J316" s="1135"/>
      <c r="K316" s="841"/>
      <c r="L316" s="841"/>
      <c r="M316" s="841"/>
      <c r="N316" s="841"/>
      <c r="O316" s="841"/>
      <c r="P316" s="841"/>
      <c r="Q316" s="841"/>
      <c r="R316" s="841"/>
    </row>
    <row r="317" spans="2:18">
      <c r="B317" s="841"/>
      <c r="C317" s="842"/>
      <c r="D317" s="842"/>
      <c r="E317" s="842"/>
      <c r="F317" s="1135"/>
      <c r="G317" s="1135"/>
      <c r="H317" s="843"/>
      <c r="I317" s="841"/>
      <c r="J317" s="1135"/>
      <c r="K317" s="841"/>
      <c r="L317" s="841"/>
      <c r="M317" s="841"/>
      <c r="N317" s="841"/>
      <c r="O317" s="841"/>
      <c r="P317" s="841"/>
      <c r="Q317" s="841"/>
      <c r="R317" s="841"/>
    </row>
    <row r="318" spans="2:18">
      <c r="B318" s="841"/>
      <c r="C318" s="842"/>
      <c r="D318" s="842"/>
      <c r="E318" s="842"/>
      <c r="F318" s="1135"/>
      <c r="G318" s="1135"/>
      <c r="H318" s="843"/>
      <c r="I318" s="841"/>
      <c r="J318" s="1135"/>
      <c r="K318" s="841"/>
      <c r="L318" s="841"/>
      <c r="M318" s="841"/>
      <c r="N318" s="841"/>
      <c r="O318" s="841"/>
      <c r="P318" s="841"/>
      <c r="Q318" s="841"/>
      <c r="R318" s="841"/>
    </row>
    <row r="319" spans="2:18">
      <c r="B319" s="841"/>
      <c r="C319" s="842"/>
      <c r="D319" s="842"/>
      <c r="E319" s="842"/>
      <c r="F319" s="1135"/>
      <c r="G319" s="1135"/>
      <c r="H319" s="843"/>
      <c r="I319" s="841"/>
      <c r="J319" s="1135"/>
      <c r="K319" s="841"/>
      <c r="L319" s="841"/>
      <c r="M319" s="841"/>
      <c r="N319" s="841"/>
      <c r="O319" s="841"/>
      <c r="P319" s="841"/>
      <c r="Q319" s="841"/>
      <c r="R319" s="841"/>
    </row>
    <row r="320" spans="2:18">
      <c r="B320" s="841"/>
      <c r="C320" s="842"/>
      <c r="D320" s="842"/>
      <c r="E320" s="842"/>
      <c r="F320" s="1135"/>
      <c r="G320" s="1135"/>
      <c r="H320" s="843"/>
      <c r="I320" s="841"/>
      <c r="J320" s="1135"/>
      <c r="K320" s="841"/>
      <c r="L320" s="841"/>
      <c r="M320" s="841"/>
      <c r="N320" s="841"/>
      <c r="O320" s="841"/>
      <c r="P320" s="841"/>
      <c r="Q320" s="841"/>
      <c r="R320" s="841"/>
    </row>
    <row r="321" spans="2:18">
      <c r="B321" s="841"/>
      <c r="C321" s="842"/>
      <c r="D321" s="842"/>
      <c r="E321" s="842"/>
      <c r="F321" s="1135"/>
      <c r="G321" s="1135"/>
      <c r="H321" s="843"/>
      <c r="I321" s="841"/>
      <c r="J321" s="1135"/>
      <c r="K321" s="841"/>
      <c r="L321" s="841"/>
      <c r="M321" s="841"/>
      <c r="N321" s="841"/>
      <c r="O321" s="841"/>
      <c r="P321" s="841"/>
      <c r="Q321" s="841"/>
      <c r="R321" s="841"/>
    </row>
    <row r="322" spans="2:18">
      <c r="B322" s="841"/>
      <c r="C322" s="842"/>
      <c r="D322" s="842"/>
      <c r="E322" s="842"/>
      <c r="F322" s="1135"/>
      <c r="G322" s="1135"/>
      <c r="H322" s="843"/>
      <c r="I322" s="841"/>
      <c r="J322" s="1135"/>
      <c r="K322" s="841"/>
      <c r="L322" s="841"/>
      <c r="M322" s="841"/>
      <c r="N322" s="841"/>
      <c r="O322" s="841"/>
      <c r="P322" s="841"/>
      <c r="Q322" s="841"/>
      <c r="R322" s="841"/>
    </row>
    <row r="323" spans="2:18">
      <c r="B323" s="841"/>
      <c r="C323" s="842"/>
      <c r="D323" s="842"/>
      <c r="E323" s="842"/>
      <c r="F323" s="1135"/>
      <c r="G323" s="1135"/>
      <c r="H323" s="843"/>
      <c r="I323" s="841"/>
      <c r="J323" s="1135"/>
      <c r="K323" s="841"/>
      <c r="L323" s="841"/>
      <c r="M323" s="841"/>
      <c r="N323" s="841"/>
      <c r="O323" s="841"/>
      <c r="P323" s="841"/>
      <c r="Q323" s="841"/>
      <c r="R323" s="841"/>
    </row>
    <row r="324" spans="2:18">
      <c r="B324" s="841"/>
      <c r="C324" s="842"/>
      <c r="D324" s="842"/>
      <c r="E324" s="842"/>
      <c r="F324" s="1135"/>
      <c r="G324" s="1135"/>
      <c r="H324" s="843"/>
      <c r="I324" s="841"/>
      <c r="J324" s="1135"/>
      <c r="K324" s="841"/>
      <c r="L324" s="841"/>
      <c r="M324" s="841"/>
      <c r="N324" s="841"/>
      <c r="O324" s="841"/>
      <c r="P324" s="841"/>
      <c r="Q324" s="841"/>
      <c r="R324" s="841"/>
    </row>
    <row r="325" spans="2:18">
      <c r="B325" s="841"/>
      <c r="C325" s="842"/>
      <c r="D325" s="842"/>
      <c r="E325" s="842"/>
      <c r="F325" s="1135"/>
      <c r="G325" s="1135"/>
      <c r="H325" s="843"/>
      <c r="I325" s="841"/>
      <c r="J325" s="1135"/>
      <c r="K325" s="841"/>
      <c r="L325" s="841"/>
      <c r="M325" s="841"/>
      <c r="N325" s="841"/>
      <c r="O325" s="841"/>
      <c r="P325" s="841"/>
      <c r="Q325" s="841"/>
      <c r="R325" s="841"/>
    </row>
    <row r="326" spans="2:18">
      <c r="B326" s="841"/>
      <c r="C326" s="842"/>
      <c r="D326" s="842"/>
      <c r="E326" s="842"/>
      <c r="F326" s="1135"/>
      <c r="G326" s="1135"/>
      <c r="H326" s="843"/>
      <c r="I326" s="841"/>
      <c r="J326" s="1135"/>
      <c r="K326" s="841"/>
      <c r="L326" s="841"/>
      <c r="M326" s="841"/>
      <c r="N326" s="841"/>
      <c r="O326" s="841"/>
      <c r="P326" s="841"/>
      <c r="Q326" s="841"/>
      <c r="R326" s="841"/>
    </row>
    <row r="327" spans="2:18">
      <c r="B327" s="841"/>
      <c r="C327" s="842"/>
      <c r="D327" s="842"/>
      <c r="E327" s="842"/>
      <c r="F327" s="1135"/>
      <c r="G327" s="1135"/>
      <c r="H327" s="843"/>
      <c r="I327" s="841"/>
      <c r="J327" s="1135"/>
      <c r="K327" s="841"/>
      <c r="L327" s="841"/>
      <c r="M327" s="841"/>
      <c r="N327" s="841"/>
      <c r="O327" s="841"/>
      <c r="P327" s="841"/>
      <c r="Q327" s="841"/>
      <c r="R327" s="841"/>
    </row>
    <row r="328" spans="2:18">
      <c r="B328" s="841"/>
      <c r="C328" s="842"/>
      <c r="D328" s="842"/>
      <c r="E328" s="842"/>
      <c r="F328" s="1135"/>
      <c r="G328" s="1135"/>
      <c r="H328" s="843"/>
      <c r="I328" s="841"/>
      <c r="J328" s="1135"/>
      <c r="K328" s="841"/>
      <c r="L328" s="841"/>
      <c r="M328" s="841"/>
      <c r="N328" s="841"/>
      <c r="O328" s="841"/>
      <c r="P328" s="841"/>
      <c r="Q328" s="841"/>
      <c r="R328" s="841"/>
    </row>
    <row r="329" spans="2:18">
      <c r="B329" s="841"/>
      <c r="C329" s="842"/>
      <c r="D329" s="842"/>
      <c r="E329" s="842"/>
      <c r="F329" s="1135"/>
      <c r="G329" s="1135"/>
      <c r="H329" s="843"/>
      <c r="I329" s="841"/>
      <c r="J329" s="1135"/>
      <c r="K329" s="841"/>
      <c r="L329" s="841"/>
      <c r="M329" s="841"/>
      <c r="N329" s="841"/>
      <c r="O329" s="841"/>
      <c r="P329" s="841"/>
      <c r="Q329" s="841"/>
      <c r="R329" s="841"/>
    </row>
    <row r="330" spans="2:18">
      <c r="B330" s="841"/>
      <c r="C330" s="842"/>
      <c r="D330" s="842"/>
      <c r="E330" s="842"/>
      <c r="F330" s="1135"/>
      <c r="G330" s="1135"/>
      <c r="H330" s="843"/>
      <c r="I330" s="841"/>
      <c r="J330" s="1135"/>
      <c r="K330" s="841"/>
      <c r="L330" s="841"/>
      <c r="M330" s="841"/>
      <c r="N330" s="841"/>
      <c r="O330" s="841"/>
      <c r="P330" s="841"/>
      <c r="Q330" s="841"/>
      <c r="R330" s="841"/>
    </row>
    <row r="331" spans="2:18">
      <c r="B331" s="841"/>
      <c r="C331" s="842"/>
      <c r="D331" s="842"/>
      <c r="E331" s="842"/>
      <c r="F331" s="1135"/>
      <c r="G331" s="1135"/>
      <c r="H331" s="843"/>
      <c r="I331" s="841"/>
      <c r="J331" s="1135"/>
      <c r="K331" s="841"/>
      <c r="L331" s="841"/>
      <c r="M331" s="841"/>
      <c r="N331" s="841"/>
      <c r="O331" s="841"/>
      <c r="P331" s="841"/>
      <c r="Q331" s="841"/>
      <c r="R331" s="841"/>
    </row>
    <row r="332" spans="2:18">
      <c r="B332" s="841"/>
      <c r="C332" s="842"/>
      <c r="D332" s="842"/>
      <c r="E332" s="842"/>
      <c r="F332" s="1135"/>
      <c r="G332" s="1135"/>
      <c r="H332" s="843"/>
      <c r="I332" s="841"/>
      <c r="J332" s="1135"/>
      <c r="K332" s="841"/>
      <c r="L332" s="841"/>
      <c r="M332" s="841"/>
      <c r="N332" s="841"/>
      <c r="O332" s="841"/>
      <c r="P332" s="841"/>
      <c r="Q332" s="841"/>
      <c r="R332" s="841"/>
    </row>
    <row r="333" spans="2:18">
      <c r="B333" s="841"/>
      <c r="C333" s="842"/>
      <c r="D333" s="842"/>
      <c r="E333" s="842"/>
      <c r="F333" s="1135"/>
      <c r="G333" s="1135"/>
      <c r="H333" s="843"/>
      <c r="I333" s="841"/>
      <c r="J333" s="1135"/>
      <c r="K333" s="841"/>
      <c r="L333" s="841"/>
      <c r="M333" s="841"/>
      <c r="N333" s="841"/>
      <c r="O333" s="841"/>
      <c r="P333" s="841"/>
      <c r="Q333" s="841"/>
      <c r="R333" s="841"/>
    </row>
    <row r="334" spans="2:18">
      <c r="B334" s="841"/>
      <c r="C334" s="842"/>
      <c r="D334" s="842"/>
      <c r="E334" s="842"/>
      <c r="F334" s="1135"/>
      <c r="G334" s="1135"/>
      <c r="H334" s="843"/>
      <c r="I334" s="841"/>
      <c r="J334" s="1135"/>
      <c r="K334" s="841"/>
      <c r="L334" s="841"/>
      <c r="M334" s="841"/>
      <c r="N334" s="841"/>
      <c r="O334" s="841"/>
      <c r="P334" s="841"/>
      <c r="Q334" s="841"/>
      <c r="R334" s="841"/>
    </row>
    <row r="335" spans="2:18">
      <c r="B335" s="841"/>
      <c r="C335" s="842"/>
      <c r="D335" s="842"/>
      <c r="E335" s="842"/>
      <c r="F335" s="1135"/>
      <c r="G335" s="1135"/>
      <c r="H335" s="843"/>
      <c r="I335" s="841"/>
      <c r="J335" s="1135"/>
      <c r="K335" s="841"/>
      <c r="L335" s="841"/>
      <c r="M335" s="841"/>
      <c r="N335" s="841"/>
      <c r="O335" s="841"/>
      <c r="P335" s="841"/>
      <c r="Q335" s="841"/>
      <c r="R335" s="841"/>
    </row>
    <row r="336" spans="2:18">
      <c r="B336" s="841"/>
      <c r="C336" s="842"/>
      <c r="D336" s="842"/>
      <c r="E336" s="842"/>
      <c r="F336" s="1135"/>
      <c r="G336" s="1135"/>
      <c r="H336" s="843"/>
      <c r="I336" s="841"/>
      <c r="J336" s="1135"/>
      <c r="K336" s="841"/>
      <c r="L336" s="841"/>
      <c r="M336" s="841"/>
      <c r="N336" s="841"/>
      <c r="O336" s="841"/>
      <c r="P336" s="841"/>
      <c r="Q336" s="841"/>
      <c r="R336" s="841"/>
    </row>
    <row r="337" spans="2:18">
      <c r="B337" s="841"/>
      <c r="C337" s="842"/>
      <c r="D337" s="842"/>
      <c r="E337" s="842"/>
      <c r="F337" s="1135"/>
      <c r="G337" s="1135"/>
      <c r="H337" s="843"/>
      <c r="I337" s="841"/>
      <c r="J337" s="1135"/>
      <c r="K337" s="841"/>
      <c r="L337" s="841"/>
      <c r="M337" s="841"/>
      <c r="N337" s="841"/>
      <c r="O337" s="841"/>
      <c r="P337" s="841"/>
      <c r="Q337" s="841"/>
      <c r="R337" s="841"/>
    </row>
    <row r="338" spans="2:18">
      <c r="B338" s="841"/>
      <c r="C338" s="842"/>
      <c r="D338" s="842"/>
      <c r="E338" s="842"/>
      <c r="F338" s="1135"/>
      <c r="G338" s="1135"/>
      <c r="H338" s="843"/>
      <c r="I338" s="841"/>
      <c r="J338" s="1135"/>
      <c r="K338" s="841"/>
      <c r="L338" s="841"/>
      <c r="M338" s="841"/>
      <c r="N338" s="841"/>
      <c r="O338" s="841"/>
      <c r="P338" s="841"/>
      <c r="Q338" s="841"/>
      <c r="R338" s="841"/>
    </row>
    <row r="339" spans="2:18">
      <c r="B339" s="841"/>
      <c r="C339" s="842"/>
      <c r="D339" s="842"/>
      <c r="E339" s="842"/>
      <c r="F339" s="1135"/>
      <c r="G339" s="1135"/>
      <c r="H339" s="843"/>
      <c r="I339" s="841"/>
      <c r="J339" s="1135"/>
      <c r="K339" s="841"/>
      <c r="L339" s="841"/>
      <c r="M339" s="841"/>
      <c r="N339" s="841"/>
      <c r="O339" s="841"/>
      <c r="P339" s="841"/>
      <c r="Q339" s="841"/>
      <c r="R339" s="841"/>
    </row>
    <row r="340" spans="2:18">
      <c r="B340" s="841"/>
      <c r="C340" s="842"/>
      <c r="D340" s="842"/>
      <c r="E340" s="842"/>
      <c r="F340" s="1135"/>
      <c r="G340" s="1135"/>
      <c r="H340" s="843"/>
      <c r="I340" s="841"/>
      <c r="J340" s="1135"/>
      <c r="K340" s="841"/>
      <c r="L340" s="841"/>
      <c r="M340" s="841"/>
      <c r="N340" s="841"/>
      <c r="O340" s="841"/>
      <c r="P340" s="841"/>
      <c r="Q340" s="841"/>
      <c r="R340" s="841"/>
    </row>
    <row r="341" spans="2:18">
      <c r="B341" s="841"/>
      <c r="C341" s="842"/>
      <c r="D341" s="842"/>
      <c r="E341" s="842"/>
      <c r="F341" s="1135"/>
      <c r="G341" s="1135"/>
      <c r="H341" s="843"/>
      <c r="I341" s="841"/>
      <c r="J341" s="1135"/>
      <c r="K341" s="841"/>
      <c r="L341" s="841"/>
      <c r="M341" s="841"/>
      <c r="N341" s="841"/>
      <c r="O341" s="841"/>
      <c r="P341" s="841"/>
      <c r="Q341" s="841"/>
      <c r="R341" s="841"/>
    </row>
    <row r="342" spans="2:18">
      <c r="B342" s="841"/>
      <c r="C342" s="842"/>
      <c r="D342" s="842"/>
      <c r="E342" s="842"/>
      <c r="F342" s="1135"/>
      <c r="G342" s="1135"/>
      <c r="H342" s="843"/>
      <c r="I342" s="841"/>
      <c r="J342" s="1135"/>
      <c r="K342" s="841"/>
      <c r="L342" s="841"/>
      <c r="M342" s="841"/>
      <c r="N342" s="841"/>
      <c r="O342" s="841"/>
      <c r="P342" s="841"/>
      <c r="Q342" s="841"/>
      <c r="R342" s="841"/>
    </row>
    <row r="343" spans="2:18">
      <c r="B343" s="841"/>
      <c r="C343" s="842"/>
      <c r="D343" s="842"/>
      <c r="E343" s="842"/>
      <c r="F343" s="1135"/>
      <c r="G343" s="1135"/>
      <c r="H343" s="843"/>
      <c r="I343" s="841"/>
      <c r="J343" s="1135"/>
      <c r="K343" s="841"/>
      <c r="L343" s="841"/>
      <c r="M343" s="841"/>
      <c r="N343" s="841"/>
      <c r="O343" s="841"/>
      <c r="P343" s="841"/>
      <c r="Q343" s="841"/>
      <c r="R343" s="841"/>
    </row>
    <row r="344" spans="2:18">
      <c r="B344" s="841"/>
      <c r="C344" s="842"/>
      <c r="D344" s="842"/>
      <c r="E344" s="842"/>
      <c r="F344" s="1135"/>
      <c r="G344" s="1135"/>
      <c r="H344" s="843"/>
      <c r="I344" s="841"/>
      <c r="J344" s="1135"/>
      <c r="K344" s="841"/>
      <c r="L344" s="841"/>
      <c r="M344" s="841"/>
      <c r="N344" s="841"/>
      <c r="O344" s="841"/>
      <c r="P344" s="841"/>
      <c r="Q344" s="841"/>
      <c r="R344" s="841"/>
    </row>
    <row r="345" spans="2:18">
      <c r="B345" s="841"/>
      <c r="C345" s="842"/>
      <c r="D345" s="842"/>
      <c r="E345" s="842"/>
      <c r="F345" s="1135"/>
      <c r="G345" s="1135"/>
      <c r="H345" s="843"/>
      <c r="I345" s="841"/>
      <c r="J345" s="1135"/>
      <c r="K345" s="841"/>
      <c r="L345" s="841"/>
      <c r="M345" s="841"/>
      <c r="N345" s="841"/>
      <c r="O345" s="841"/>
      <c r="P345" s="841"/>
      <c r="Q345" s="841"/>
      <c r="R345" s="841"/>
    </row>
    <row r="346" spans="2:18">
      <c r="B346" s="841"/>
      <c r="C346" s="842"/>
      <c r="D346" s="842"/>
      <c r="E346" s="842"/>
      <c r="F346" s="1135"/>
      <c r="G346" s="1135"/>
      <c r="H346" s="843"/>
      <c r="I346" s="841"/>
      <c r="J346" s="1135"/>
      <c r="K346" s="841"/>
      <c r="L346" s="841"/>
      <c r="M346" s="841"/>
      <c r="N346" s="841"/>
      <c r="O346" s="841"/>
      <c r="P346" s="841"/>
      <c r="Q346" s="841"/>
      <c r="R346" s="841"/>
    </row>
    <row r="347" spans="2:18">
      <c r="B347" s="841"/>
      <c r="C347" s="842"/>
      <c r="D347" s="842"/>
      <c r="E347" s="842"/>
      <c r="F347" s="1135"/>
      <c r="G347" s="1135"/>
      <c r="H347" s="843"/>
      <c r="I347" s="841"/>
      <c r="J347" s="1135"/>
      <c r="K347" s="841"/>
      <c r="L347" s="841"/>
      <c r="M347" s="841"/>
      <c r="N347" s="841"/>
      <c r="O347" s="841"/>
      <c r="P347" s="841"/>
      <c r="Q347" s="841"/>
      <c r="R347" s="841"/>
    </row>
    <row r="348" spans="2:18">
      <c r="B348" s="841"/>
      <c r="C348" s="842"/>
      <c r="D348" s="842"/>
      <c r="E348" s="842"/>
      <c r="F348" s="1135"/>
      <c r="G348" s="1135"/>
      <c r="H348" s="843"/>
      <c r="I348" s="841"/>
      <c r="J348" s="1135"/>
      <c r="K348" s="841"/>
      <c r="L348" s="841"/>
      <c r="M348" s="841"/>
      <c r="N348" s="841"/>
      <c r="O348" s="841"/>
      <c r="P348" s="841"/>
      <c r="Q348" s="841"/>
      <c r="R348" s="841"/>
    </row>
    <row r="349" spans="2:18">
      <c r="B349" s="841"/>
      <c r="C349" s="842"/>
      <c r="D349" s="842"/>
      <c r="E349" s="842"/>
      <c r="F349" s="1135"/>
      <c r="G349" s="1135"/>
      <c r="H349" s="843"/>
      <c r="I349" s="841"/>
      <c r="J349" s="1135"/>
      <c r="K349" s="841"/>
      <c r="L349" s="841"/>
      <c r="M349" s="841"/>
      <c r="N349" s="841"/>
      <c r="O349" s="841"/>
      <c r="P349" s="841"/>
      <c r="Q349" s="841"/>
      <c r="R349" s="841"/>
    </row>
    <row r="350" spans="2:18">
      <c r="B350" s="841"/>
      <c r="C350" s="842"/>
      <c r="D350" s="842"/>
      <c r="E350" s="842"/>
      <c r="F350" s="1135"/>
      <c r="G350" s="1135"/>
      <c r="H350" s="843"/>
      <c r="I350" s="841"/>
      <c r="J350" s="1135"/>
      <c r="K350" s="841"/>
      <c r="L350" s="841"/>
      <c r="M350" s="841"/>
      <c r="N350" s="841"/>
      <c r="O350" s="841"/>
      <c r="P350" s="841"/>
      <c r="Q350" s="841"/>
      <c r="R350" s="841"/>
    </row>
    <row r="351" spans="2:18">
      <c r="B351" s="841"/>
      <c r="C351" s="842"/>
      <c r="D351" s="842"/>
      <c r="E351" s="842"/>
      <c r="F351" s="1135"/>
      <c r="G351" s="1135"/>
      <c r="H351" s="843"/>
      <c r="I351" s="841"/>
      <c r="J351" s="1135"/>
      <c r="K351" s="841"/>
      <c r="L351" s="841"/>
      <c r="M351" s="841"/>
      <c r="N351" s="841"/>
      <c r="O351" s="841"/>
      <c r="P351" s="841"/>
      <c r="Q351" s="841"/>
      <c r="R351" s="841"/>
    </row>
    <row r="352" spans="2:18">
      <c r="B352" s="841"/>
      <c r="C352" s="842"/>
      <c r="D352" s="842"/>
      <c r="E352" s="842"/>
      <c r="F352" s="1135"/>
      <c r="G352" s="1135"/>
      <c r="H352" s="843"/>
      <c r="I352" s="841"/>
      <c r="J352" s="1135"/>
      <c r="K352" s="841"/>
      <c r="L352" s="841"/>
      <c r="M352" s="841"/>
      <c r="N352" s="841"/>
      <c r="O352" s="841"/>
      <c r="P352" s="841"/>
      <c r="Q352" s="841"/>
      <c r="R352" s="841"/>
    </row>
    <row r="353" spans="2:18">
      <c r="B353" s="841"/>
      <c r="C353" s="842"/>
      <c r="D353" s="842"/>
      <c r="E353" s="842"/>
      <c r="F353" s="1135"/>
      <c r="G353" s="1135"/>
      <c r="H353" s="843"/>
      <c r="I353" s="841"/>
      <c r="J353" s="1135"/>
      <c r="K353" s="841"/>
      <c r="L353" s="841"/>
      <c r="M353" s="841"/>
      <c r="N353" s="841"/>
      <c r="O353" s="841"/>
      <c r="P353" s="841"/>
      <c r="Q353" s="841"/>
      <c r="R353" s="841"/>
    </row>
    <row r="354" spans="2:18">
      <c r="B354" s="841"/>
      <c r="C354" s="842"/>
      <c r="D354" s="842"/>
      <c r="E354" s="842"/>
      <c r="F354" s="1135"/>
      <c r="G354" s="1135"/>
      <c r="H354" s="843"/>
      <c r="I354" s="841"/>
      <c r="J354" s="1135"/>
      <c r="K354" s="841"/>
      <c r="L354" s="841"/>
      <c r="M354" s="841"/>
      <c r="N354" s="841"/>
      <c r="O354" s="841"/>
      <c r="P354" s="841"/>
      <c r="Q354" s="841"/>
      <c r="R354" s="841"/>
    </row>
    <row r="355" spans="2:18">
      <c r="B355" s="841"/>
      <c r="C355" s="842"/>
      <c r="D355" s="842"/>
      <c r="E355" s="842"/>
      <c r="F355" s="1135"/>
      <c r="G355" s="1135"/>
      <c r="H355" s="843"/>
      <c r="I355" s="841"/>
      <c r="J355" s="1135"/>
      <c r="K355" s="841"/>
      <c r="L355" s="841"/>
      <c r="M355" s="841"/>
      <c r="N355" s="841"/>
      <c r="O355" s="841"/>
      <c r="P355" s="841"/>
      <c r="Q355" s="841"/>
      <c r="R355" s="841"/>
    </row>
    <row r="356" spans="2:18">
      <c r="B356" s="841"/>
      <c r="C356" s="842"/>
      <c r="D356" s="842"/>
      <c r="E356" s="842"/>
      <c r="F356" s="1135"/>
      <c r="G356" s="1135"/>
      <c r="H356" s="843"/>
      <c r="I356" s="841"/>
      <c r="J356" s="1135"/>
      <c r="K356" s="841"/>
      <c r="L356" s="841"/>
      <c r="M356" s="841"/>
      <c r="N356" s="841"/>
      <c r="O356" s="841"/>
      <c r="P356" s="841"/>
      <c r="Q356" s="841"/>
      <c r="R356" s="841"/>
    </row>
    <row r="357" spans="2:18">
      <c r="B357" s="841"/>
      <c r="C357" s="842"/>
      <c r="D357" s="842"/>
      <c r="E357" s="842"/>
      <c r="F357" s="1135"/>
      <c r="G357" s="1135"/>
      <c r="H357" s="843"/>
      <c r="I357" s="841"/>
      <c r="J357" s="1135"/>
      <c r="K357" s="841"/>
      <c r="L357" s="841"/>
      <c r="M357" s="841"/>
      <c r="N357" s="841"/>
      <c r="O357" s="841"/>
      <c r="P357" s="841"/>
      <c r="Q357" s="841"/>
      <c r="R357" s="841"/>
    </row>
    <row r="358" spans="2:18">
      <c r="B358" s="841"/>
      <c r="C358" s="842"/>
      <c r="D358" s="842"/>
      <c r="E358" s="842"/>
      <c r="F358" s="1135"/>
      <c r="G358" s="1135"/>
      <c r="H358" s="843"/>
      <c r="I358" s="841"/>
      <c r="J358" s="1135"/>
      <c r="K358" s="841"/>
      <c r="L358" s="841"/>
      <c r="M358" s="841"/>
      <c r="N358" s="841"/>
      <c r="O358" s="841"/>
      <c r="P358" s="841"/>
      <c r="Q358" s="841"/>
      <c r="R358" s="841"/>
    </row>
    <row r="359" spans="2:18">
      <c r="B359" s="841"/>
      <c r="C359" s="842"/>
      <c r="D359" s="842"/>
      <c r="E359" s="842"/>
      <c r="F359" s="1135"/>
      <c r="G359" s="1135"/>
      <c r="H359" s="843"/>
      <c r="I359" s="841"/>
      <c r="J359" s="1135"/>
      <c r="K359" s="841"/>
      <c r="L359" s="841"/>
      <c r="M359" s="841"/>
      <c r="N359" s="841"/>
      <c r="O359" s="841"/>
      <c r="P359" s="841"/>
      <c r="Q359" s="841"/>
      <c r="R359" s="841"/>
    </row>
    <row r="360" spans="2:18">
      <c r="B360" s="841"/>
      <c r="C360" s="842"/>
      <c r="D360" s="842"/>
      <c r="E360" s="842"/>
      <c r="F360" s="1135"/>
      <c r="G360" s="1135"/>
      <c r="H360" s="843"/>
      <c r="I360" s="841"/>
      <c r="J360" s="1135"/>
      <c r="K360" s="841"/>
      <c r="L360" s="841"/>
      <c r="M360" s="841"/>
      <c r="N360" s="841"/>
      <c r="O360" s="841"/>
      <c r="P360" s="841"/>
      <c r="Q360" s="841"/>
      <c r="R360" s="841"/>
    </row>
    <row r="361" spans="2:18">
      <c r="B361" s="841"/>
      <c r="C361" s="842"/>
      <c r="D361" s="842"/>
      <c r="E361" s="842"/>
      <c r="F361" s="1135"/>
      <c r="G361" s="1135"/>
      <c r="H361" s="843"/>
      <c r="I361" s="841"/>
      <c r="J361" s="1135"/>
      <c r="K361" s="841"/>
      <c r="L361" s="841"/>
      <c r="M361" s="841"/>
      <c r="N361" s="841"/>
      <c r="O361" s="841"/>
      <c r="P361" s="841"/>
      <c r="Q361" s="841"/>
      <c r="R361" s="841"/>
    </row>
    <row r="362" spans="2:18">
      <c r="B362" s="841"/>
      <c r="C362" s="842"/>
      <c r="D362" s="842"/>
      <c r="E362" s="842"/>
      <c r="F362" s="1135"/>
      <c r="G362" s="1135"/>
      <c r="H362" s="843"/>
      <c r="I362" s="841"/>
      <c r="J362" s="1135"/>
      <c r="K362" s="841"/>
      <c r="L362" s="841"/>
      <c r="M362" s="841"/>
      <c r="N362" s="841"/>
      <c r="O362" s="841"/>
      <c r="P362" s="841"/>
      <c r="Q362" s="841"/>
      <c r="R362" s="841"/>
    </row>
    <row r="363" spans="2:18">
      <c r="B363" s="841"/>
      <c r="C363" s="842"/>
      <c r="D363" s="842"/>
      <c r="E363" s="842"/>
      <c r="F363" s="1135"/>
      <c r="G363" s="1135"/>
      <c r="H363" s="843"/>
      <c r="I363" s="841"/>
      <c r="J363" s="1135"/>
      <c r="K363" s="841"/>
      <c r="L363" s="841"/>
      <c r="M363" s="841"/>
      <c r="N363" s="841"/>
      <c r="O363" s="841"/>
      <c r="P363" s="841"/>
      <c r="Q363" s="841"/>
      <c r="R363" s="841"/>
    </row>
    <row r="364" spans="2:18">
      <c r="B364" s="841"/>
      <c r="C364" s="842"/>
      <c r="D364" s="842"/>
      <c r="E364" s="842"/>
      <c r="F364" s="1135"/>
      <c r="G364" s="1135"/>
      <c r="H364" s="843"/>
      <c r="I364" s="841"/>
      <c r="J364" s="1135"/>
      <c r="K364" s="841"/>
      <c r="L364" s="841"/>
      <c r="M364" s="841"/>
      <c r="N364" s="841"/>
      <c r="O364" s="841"/>
      <c r="P364" s="841"/>
      <c r="Q364" s="841"/>
      <c r="R364" s="841"/>
    </row>
    <row r="365" spans="2:18">
      <c r="B365" s="841"/>
      <c r="C365" s="842"/>
      <c r="D365" s="842"/>
      <c r="E365" s="842"/>
      <c r="F365" s="1135"/>
      <c r="G365" s="1135"/>
      <c r="H365" s="843"/>
      <c r="I365" s="841"/>
      <c r="J365" s="1135"/>
      <c r="K365" s="841"/>
      <c r="L365" s="841"/>
      <c r="M365" s="841"/>
      <c r="N365" s="841"/>
      <c r="O365" s="841"/>
      <c r="P365" s="841"/>
      <c r="Q365" s="841"/>
      <c r="R365" s="841"/>
    </row>
    <row r="366" spans="2:18">
      <c r="B366" s="841"/>
      <c r="C366" s="842"/>
      <c r="D366" s="842"/>
      <c r="E366" s="842"/>
      <c r="F366" s="1135"/>
      <c r="G366" s="1135"/>
      <c r="H366" s="843"/>
      <c r="I366" s="841"/>
      <c r="J366" s="1135"/>
      <c r="K366" s="841"/>
      <c r="L366" s="841"/>
      <c r="M366" s="841"/>
      <c r="N366" s="841"/>
      <c r="O366" s="841"/>
      <c r="P366" s="841"/>
      <c r="Q366" s="841"/>
      <c r="R366" s="841"/>
    </row>
    <row r="367" spans="2:18">
      <c r="B367" s="841"/>
      <c r="C367" s="842"/>
      <c r="D367" s="842"/>
      <c r="E367" s="842"/>
      <c r="F367" s="1135"/>
      <c r="G367" s="1135"/>
      <c r="H367" s="843"/>
      <c r="I367" s="841"/>
      <c r="J367" s="1135"/>
      <c r="K367" s="841"/>
      <c r="L367" s="841"/>
      <c r="M367" s="841"/>
      <c r="N367" s="841"/>
      <c r="O367" s="841"/>
      <c r="P367" s="841"/>
      <c r="Q367" s="841"/>
      <c r="R367" s="841"/>
    </row>
    <row r="368" spans="2:18">
      <c r="B368" s="841"/>
      <c r="C368" s="842"/>
      <c r="D368" s="842"/>
      <c r="E368" s="842"/>
      <c r="F368" s="1135"/>
      <c r="G368" s="1135"/>
      <c r="H368" s="843"/>
      <c r="I368" s="841"/>
      <c r="J368" s="1135"/>
      <c r="K368" s="841"/>
      <c r="L368" s="841"/>
      <c r="M368" s="841"/>
      <c r="N368" s="841"/>
      <c r="O368" s="841"/>
      <c r="P368" s="841"/>
      <c r="Q368" s="841"/>
      <c r="R368" s="841"/>
    </row>
    <row r="369" spans="2:18">
      <c r="B369" s="841"/>
      <c r="C369" s="842"/>
      <c r="D369" s="842"/>
      <c r="E369" s="842"/>
      <c r="F369" s="1135"/>
      <c r="G369" s="1135"/>
      <c r="H369" s="843"/>
      <c r="I369" s="841"/>
      <c r="J369" s="1135"/>
      <c r="K369" s="841"/>
      <c r="L369" s="841"/>
      <c r="M369" s="841"/>
      <c r="N369" s="841"/>
      <c r="O369" s="841"/>
      <c r="P369" s="841"/>
      <c r="Q369" s="841"/>
      <c r="R369" s="841"/>
    </row>
    <row r="370" spans="2:18">
      <c r="B370" s="841"/>
      <c r="C370" s="842"/>
      <c r="D370" s="842"/>
      <c r="E370" s="842"/>
      <c r="F370" s="1135"/>
      <c r="G370" s="1135"/>
      <c r="H370" s="843"/>
      <c r="I370" s="841"/>
      <c r="J370" s="1135"/>
      <c r="K370" s="841"/>
      <c r="L370" s="841"/>
      <c r="M370" s="841"/>
      <c r="N370" s="841"/>
      <c r="O370" s="841"/>
      <c r="P370" s="841"/>
      <c r="Q370" s="841"/>
      <c r="R370" s="841"/>
    </row>
    <row r="371" spans="2:18">
      <c r="B371" s="841"/>
      <c r="C371" s="842"/>
      <c r="D371" s="842"/>
      <c r="E371" s="842"/>
      <c r="F371" s="1135"/>
      <c r="G371" s="1135"/>
      <c r="H371" s="843"/>
      <c r="I371" s="841"/>
      <c r="J371" s="1135"/>
      <c r="K371" s="841"/>
      <c r="L371" s="841"/>
      <c r="M371" s="841"/>
      <c r="N371" s="841"/>
      <c r="O371" s="841"/>
      <c r="P371" s="841"/>
      <c r="Q371" s="841"/>
      <c r="R371" s="841"/>
    </row>
    <row r="372" spans="2:18">
      <c r="B372" s="841"/>
      <c r="C372" s="842"/>
      <c r="D372" s="842"/>
      <c r="E372" s="842"/>
      <c r="F372" s="1135"/>
      <c r="G372" s="1135"/>
      <c r="H372" s="843"/>
      <c r="I372" s="841"/>
      <c r="J372" s="1135"/>
      <c r="K372" s="841"/>
      <c r="L372" s="841"/>
      <c r="M372" s="841"/>
      <c r="N372" s="841"/>
      <c r="O372" s="841"/>
      <c r="P372" s="841"/>
      <c r="Q372" s="841"/>
      <c r="R372" s="841"/>
    </row>
    <row r="373" spans="2:18">
      <c r="B373" s="841"/>
      <c r="C373" s="842"/>
      <c r="D373" s="842"/>
      <c r="E373" s="842"/>
      <c r="F373" s="1135"/>
      <c r="G373" s="1135"/>
      <c r="H373" s="843"/>
      <c r="I373" s="841"/>
      <c r="J373" s="1135"/>
      <c r="K373" s="841"/>
      <c r="L373" s="841"/>
      <c r="M373" s="841"/>
      <c r="N373" s="841"/>
      <c r="O373" s="841"/>
      <c r="P373" s="841"/>
      <c r="Q373" s="841"/>
      <c r="R373" s="841"/>
    </row>
    <row r="374" spans="2:18">
      <c r="B374" s="841"/>
      <c r="C374" s="842"/>
      <c r="D374" s="842"/>
      <c r="E374" s="842"/>
      <c r="F374" s="1135"/>
      <c r="G374" s="1135"/>
      <c r="H374" s="843"/>
      <c r="I374" s="841"/>
      <c r="J374" s="1135"/>
      <c r="K374" s="841"/>
      <c r="L374" s="841"/>
      <c r="M374" s="841"/>
      <c r="N374" s="841"/>
      <c r="O374" s="841"/>
      <c r="P374" s="841"/>
      <c r="Q374" s="841"/>
      <c r="R374" s="841"/>
    </row>
    <row r="375" spans="2:18">
      <c r="B375" s="841"/>
      <c r="C375" s="842"/>
      <c r="D375" s="842"/>
      <c r="E375" s="842"/>
      <c r="F375" s="1135"/>
      <c r="G375" s="1135"/>
      <c r="H375" s="843"/>
      <c r="I375" s="841"/>
      <c r="J375" s="1135"/>
      <c r="K375" s="841"/>
      <c r="L375" s="841"/>
      <c r="M375" s="841"/>
      <c r="N375" s="841"/>
      <c r="O375" s="841"/>
      <c r="P375" s="841"/>
      <c r="Q375" s="841"/>
      <c r="R375" s="841"/>
    </row>
    <row r="376" spans="2:18">
      <c r="B376" s="841"/>
      <c r="C376" s="842"/>
      <c r="D376" s="842"/>
      <c r="E376" s="842"/>
      <c r="F376" s="1135"/>
      <c r="G376" s="1135"/>
      <c r="H376" s="843"/>
      <c r="I376" s="841"/>
      <c r="J376" s="1135"/>
      <c r="K376" s="841"/>
      <c r="L376" s="841"/>
      <c r="M376" s="841"/>
      <c r="N376" s="841"/>
      <c r="O376" s="841"/>
      <c r="P376" s="841"/>
      <c r="Q376" s="841"/>
      <c r="R376" s="841"/>
    </row>
    <row r="377" spans="2:18">
      <c r="B377" s="841"/>
      <c r="C377" s="842"/>
      <c r="D377" s="842"/>
      <c r="E377" s="842"/>
      <c r="F377" s="1135"/>
      <c r="G377" s="1135"/>
      <c r="H377" s="843"/>
      <c r="I377" s="841"/>
      <c r="J377" s="1135"/>
      <c r="K377" s="841"/>
      <c r="L377" s="841"/>
      <c r="M377" s="841"/>
      <c r="N377" s="841"/>
      <c r="O377" s="841"/>
      <c r="P377" s="841"/>
      <c r="Q377" s="841"/>
      <c r="R377" s="841"/>
    </row>
    <row r="378" spans="2:18">
      <c r="B378" s="841"/>
      <c r="C378" s="842"/>
      <c r="D378" s="842"/>
      <c r="E378" s="842"/>
      <c r="F378" s="1135"/>
      <c r="G378" s="1135"/>
      <c r="H378" s="843"/>
      <c r="I378" s="841"/>
      <c r="J378" s="1135"/>
      <c r="K378" s="841"/>
      <c r="L378" s="841"/>
      <c r="M378" s="841"/>
      <c r="N378" s="841"/>
      <c r="O378" s="841"/>
      <c r="P378" s="841"/>
      <c r="Q378" s="841"/>
      <c r="R378" s="841"/>
    </row>
    <row r="379" spans="2:18">
      <c r="B379" s="841"/>
      <c r="C379" s="842"/>
      <c r="D379" s="842"/>
      <c r="E379" s="842"/>
      <c r="F379" s="1135"/>
      <c r="G379" s="1135"/>
      <c r="H379" s="843"/>
      <c r="I379" s="841"/>
      <c r="J379" s="1135"/>
      <c r="K379" s="841"/>
      <c r="L379" s="841"/>
      <c r="M379" s="841"/>
      <c r="N379" s="841"/>
      <c r="O379" s="841"/>
      <c r="P379" s="841"/>
      <c r="Q379" s="841"/>
      <c r="R379" s="841"/>
    </row>
    <row r="380" spans="2:18">
      <c r="B380" s="841"/>
      <c r="C380" s="842"/>
      <c r="D380" s="842"/>
      <c r="E380" s="842"/>
      <c r="F380" s="1135"/>
      <c r="G380" s="1135"/>
      <c r="H380" s="843"/>
      <c r="I380" s="841"/>
      <c r="J380" s="1135"/>
      <c r="K380" s="841"/>
      <c r="L380" s="841"/>
      <c r="M380" s="841"/>
      <c r="N380" s="841"/>
      <c r="O380" s="841"/>
      <c r="P380" s="841"/>
      <c r="Q380" s="841"/>
      <c r="R380" s="841"/>
    </row>
    <row r="381" spans="2:18">
      <c r="B381" s="841"/>
      <c r="C381" s="842"/>
      <c r="D381" s="842"/>
      <c r="E381" s="842"/>
      <c r="F381" s="1135"/>
      <c r="G381" s="1135"/>
      <c r="H381" s="843"/>
      <c r="I381" s="841"/>
      <c r="J381" s="1135"/>
      <c r="K381" s="841"/>
      <c r="L381" s="841"/>
      <c r="M381" s="841"/>
      <c r="N381" s="841"/>
      <c r="O381" s="841"/>
      <c r="P381" s="841"/>
      <c r="Q381" s="841"/>
      <c r="R381" s="841"/>
    </row>
    <row r="382" spans="2:18">
      <c r="B382" s="841"/>
      <c r="C382" s="842"/>
      <c r="D382" s="842"/>
      <c r="E382" s="842"/>
      <c r="F382" s="1135"/>
      <c r="G382" s="1135"/>
      <c r="H382" s="843"/>
      <c r="I382" s="841"/>
      <c r="J382" s="1135"/>
      <c r="K382" s="841"/>
      <c r="L382" s="841"/>
      <c r="M382" s="841"/>
      <c r="N382" s="841"/>
      <c r="O382" s="841"/>
      <c r="P382" s="841"/>
      <c r="Q382" s="841"/>
      <c r="R382" s="841"/>
    </row>
    <row r="383" spans="2:18">
      <c r="B383" s="841"/>
      <c r="C383" s="842"/>
      <c r="D383" s="842"/>
      <c r="E383" s="842"/>
      <c r="F383" s="1135"/>
      <c r="G383" s="1135"/>
      <c r="H383" s="843"/>
      <c r="I383" s="841"/>
      <c r="J383" s="1135"/>
      <c r="K383" s="841"/>
      <c r="L383" s="841"/>
      <c r="M383" s="841"/>
      <c r="N383" s="841"/>
      <c r="O383" s="841"/>
      <c r="P383" s="841"/>
      <c r="Q383" s="841"/>
      <c r="R383" s="841"/>
    </row>
    <row r="384" spans="2:18">
      <c r="B384" s="841"/>
      <c r="C384" s="842"/>
      <c r="D384" s="842"/>
      <c r="E384" s="842"/>
      <c r="F384" s="1135"/>
      <c r="G384" s="1135"/>
      <c r="H384" s="843"/>
      <c r="I384" s="841"/>
      <c r="J384" s="1135"/>
      <c r="K384" s="841"/>
      <c r="L384" s="841"/>
      <c r="M384" s="841"/>
      <c r="N384" s="841"/>
      <c r="O384" s="841"/>
      <c r="P384" s="841"/>
      <c r="Q384" s="841"/>
      <c r="R384" s="841"/>
    </row>
    <row r="385" spans="2:18">
      <c r="B385" s="841"/>
      <c r="C385" s="842"/>
      <c r="D385" s="842"/>
      <c r="E385" s="842"/>
      <c r="F385" s="1135"/>
      <c r="G385" s="1135"/>
      <c r="H385" s="843"/>
      <c r="I385" s="841"/>
      <c r="J385" s="1135"/>
      <c r="K385" s="841"/>
      <c r="L385" s="841"/>
      <c r="M385" s="841"/>
      <c r="N385" s="841"/>
      <c r="O385" s="841"/>
      <c r="P385" s="841"/>
      <c r="Q385" s="841"/>
      <c r="R385" s="841"/>
    </row>
    <row r="386" spans="2:18">
      <c r="B386" s="841"/>
      <c r="C386" s="842"/>
      <c r="D386" s="842"/>
      <c r="E386" s="842"/>
      <c r="F386" s="1135"/>
      <c r="G386" s="1135"/>
      <c r="H386" s="843"/>
      <c r="I386" s="841"/>
      <c r="J386" s="1135"/>
      <c r="K386" s="841"/>
      <c r="L386" s="841"/>
      <c r="M386" s="841"/>
      <c r="N386" s="841"/>
      <c r="O386" s="841"/>
      <c r="P386" s="841"/>
      <c r="Q386" s="841"/>
      <c r="R386" s="841"/>
    </row>
    <row r="387" spans="2:18">
      <c r="B387" s="841"/>
      <c r="C387" s="842"/>
      <c r="D387" s="842"/>
      <c r="E387" s="842"/>
      <c r="F387" s="1135"/>
      <c r="G387" s="1135"/>
      <c r="H387" s="843"/>
      <c r="I387" s="841"/>
      <c r="J387" s="1135"/>
      <c r="K387" s="841"/>
      <c r="L387" s="841"/>
      <c r="M387" s="841"/>
      <c r="N387" s="841"/>
      <c r="O387" s="841"/>
      <c r="P387" s="841"/>
      <c r="Q387" s="841"/>
      <c r="R387" s="841"/>
    </row>
    <row r="388" spans="2:18">
      <c r="B388" s="841"/>
      <c r="C388" s="842"/>
      <c r="D388" s="842"/>
      <c r="E388" s="842"/>
      <c r="F388" s="1135"/>
      <c r="G388" s="1135"/>
      <c r="H388" s="843"/>
      <c r="I388" s="841"/>
      <c r="J388" s="1135"/>
      <c r="K388" s="841"/>
      <c r="L388" s="841"/>
      <c r="M388" s="841"/>
      <c r="N388" s="841"/>
      <c r="O388" s="841"/>
      <c r="P388" s="841"/>
      <c r="Q388" s="841"/>
      <c r="R388" s="841"/>
    </row>
    <row r="389" spans="2:18">
      <c r="B389" s="841"/>
      <c r="C389" s="842"/>
      <c r="D389" s="842"/>
      <c r="E389" s="842"/>
      <c r="F389" s="1135"/>
      <c r="G389" s="1135"/>
      <c r="H389" s="843"/>
      <c r="I389" s="841"/>
      <c r="J389" s="1135"/>
      <c r="K389" s="841"/>
      <c r="L389" s="841"/>
      <c r="M389" s="841"/>
      <c r="N389" s="841"/>
      <c r="O389" s="841"/>
      <c r="P389" s="841"/>
      <c r="Q389" s="841"/>
      <c r="R389" s="841"/>
    </row>
    <row r="390" spans="2:18">
      <c r="B390" s="841"/>
      <c r="C390" s="842"/>
      <c r="D390" s="842"/>
      <c r="E390" s="842"/>
      <c r="F390" s="1135"/>
      <c r="G390" s="1135"/>
      <c r="H390" s="843"/>
      <c r="I390" s="841"/>
      <c r="J390" s="1135"/>
      <c r="K390" s="841"/>
      <c r="L390" s="841"/>
      <c r="M390" s="841"/>
      <c r="N390" s="841"/>
      <c r="O390" s="841"/>
      <c r="P390" s="841"/>
      <c r="Q390" s="841"/>
      <c r="R390" s="841"/>
    </row>
    <row r="391" spans="2:18">
      <c r="B391" s="841"/>
      <c r="C391" s="842"/>
      <c r="D391" s="842"/>
      <c r="E391" s="842"/>
      <c r="F391" s="1135"/>
      <c r="G391" s="1135"/>
      <c r="H391" s="843"/>
      <c r="I391" s="841"/>
      <c r="J391" s="1135"/>
      <c r="K391" s="841"/>
      <c r="L391" s="841"/>
      <c r="M391" s="841"/>
      <c r="N391" s="841"/>
      <c r="O391" s="841"/>
      <c r="P391" s="841"/>
      <c r="Q391" s="841"/>
      <c r="R391" s="841"/>
    </row>
    <row r="392" spans="2:18">
      <c r="B392" s="841"/>
      <c r="C392" s="842"/>
      <c r="D392" s="842"/>
      <c r="E392" s="842"/>
      <c r="F392" s="1135"/>
      <c r="G392" s="1135"/>
      <c r="H392" s="843"/>
      <c r="I392" s="841"/>
      <c r="J392" s="1135"/>
      <c r="K392" s="841"/>
      <c r="L392" s="841"/>
      <c r="M392" s="841"/>
      <c r="N392" s="841"/>
      <c r="O392" s="841"/>
      <c r="P392" s="841"/>
      <c r="Q392" s="841"/>
      <c r="R392" s="841"/>
    </row>
    <row r="393" spans="2:18">
      <c r="B393" s="841"/>
      <c r="C393" s="842"/>
      <c r="D393" s="842"/>
      <c r="E393" s="842"/>
      <c r="F393" s="1135"/>
      <c r="G393" s="1135"/>
      <c r="H393" s="843"/>
      <c r="I393" s="841"/>
      <c r="J393" s="1135"/>
      <c r="K393" s="841"/>
      <c r="L393" s="841"/>
      <c r="M393" s="841"/>
      <c r="N393" s="841"/>
      <c r="O393" s="841"/>
      <c r="P393" s="841"/>
      <c r="Q393" s="841"/>
      <c r="R393" s="841"/>
    </row>
    <row r="394" spans="2:18">
      <c r="B394" s="841"/>
      <c r="C394" s="842"/>
      <c r="D394" s="842"/>
      <c r="E394" s="842"/>
      <c r="F394" s="1135"/>
      <c r="G394" s="1135"/>
      <c r="H394" s="843"/>
      <c r="I394" s="841"/>
      <c r="J394" s="1135"/>
      <c r="K394" s="841"/>
      <c r="L394" s="841"/>
      <c r="M394" s="841"/>
      <c r="N394" s="841"/>
      <c r="O394" s="841"/>
      <c r="P394" s="841"/>
      <c r="Q394" s="841"/>
      <c r="R394" s="841"/>
    </row>
    <row r="395" spans="2:18">
      <c r="B395" s="841"/>
      <c r="C395" s="842"/>
      <c r="D395" s="842"/>
      <c r="E395" s="842"/>
      <c r="F395" s="1135"/>
      <c r="G395" s="1135"/>
      <c r="H395" s="843"/>
      <c r="I395" s="841"/>
      <c r="J395" s="1135"/>
      <c r="K395" s="841"/>
      <c r="L395" s="841"/>
      <c r="M395" s="841"/>
      <c r="N395" s="841"/>
      <c r="O395" s="841"/>
      <c r="P395" s="841"/>
      <c r="Q395" s="841"/>
      <c r="R395" s="841"/>
    </row>
    <row r="396" spans="2:18">
      <c r="B396" s="841"/>
      <c r="C396" s="842"/>
      <c r="D396" s="842"/>
      <c r="E396" s="842"/>
      <c r="F396" s="1135"/>
      <c r="G396" s="1135"/>
      <c r="H396" s="843"/>
      <c r="I396" s="841"/>
      <c r="J396" s="1135"/>
      <c r="K396" s="841"/>
      <c r="L396" s="841"/>
      <c r="M396" s="841"/>
      <c r="N396" s="841"/>
      <c r="O396" s="841"/>
      <c r="P396" s="841"/>
      <c r="Q396" s="841"/>
      <c r="R396" s="841"/>
    </row>
    <row r="397" spans="2:18">
      <c r="B397" s="841"/>
      <c r="C397" s="842"/>
      <c r="D397" s="842"/>
      <c r="E397" s="842"/>
      <c r="F397" s="1135"/>
      <c r="G397" s="1135"/>
      <c r="H397" s="843"/>
      <c r="I397" s="841"/>
      <c r="J397" s="1135"/>
      <c r="K397" s="841"/>
      <c r="L397" s="841"/>
      <c r="M397" s="841"/>
      <c r="N397" s="841"/>
      <c r="O397" s="841"/>
      <c r="P397" s="841"/>
      <c r="Q397" s="841"/>
      <c r="R397" s="841"/>
    </row>
    <row r="398" spans="2:18">
      <c r="B398" s="841"/>
      <c r="C398" s="842"/>
      <c r="D398" s="842"/>
      <c r="E398" s="842"/>
      <c r="F398" s="1135"/>
      <c r="G398" s="1135"/>
      <c r="H398" s="843"/>
      <c r="I398" s="841"/>
      <c r="J398" s="1135"/>
      <c r="K398" s="841"/>
      <c r="L398" s="841"/>
      <c r="M398" s="841"/>
      <c r="N398" s="841"/>
      <c r="O398" s="841"/>
      <c r="P398" s="841"/>
      <c r="Q398" s="841"/>
      <c r="R398" s="841"/>
    </row>
    <row r="399" spans="2:18">
      <c r="B399" s="841"/>
      <c r="C399" s="842"/>
      <c r="D399" s="842"/>
      <c r="E399" s="842"/>
      <c r="F399" s="1135"/>
      <c r="G399" s="1135"/>
      <c r="H399" s="843"/>
      <c r="I399" s="841"/>
      <c r="J399" s="1135"/>
      <c r="K399" s="841"/>
      <c r="L399" s="841"/>
      <c r="M399" s="841"/>
      <c r="N399" s="841"/>
      <c r="O399" s="841"/>
      <c r="P399" s="841"/>
      <c r="Q399" s="841"/>
      <c r="R399" s="841"/>
    </row>
    <row r="400" spans="2:18">
      <c r="B400" s="841"/>
      <c r="C400" s="842"/>
      <c r="D400" s="842"/>
      <c r="E400" s="842"/>
      <c r="F400" s="1135"/>
      <c r="G400" s="1135"/>
      <c r="H400" s="843"/>
      <c r="I400" s="841"/>
      <c r="J400" s="1135"/>
      <c r="K400" s="841"/>
      <c r="L400" s="841"/>
      <c r="M400" s="841"/>
      <c r="N400" s="841"/>
      <c r="O400" s="841"/>
      <c r="P400" s="841"/>
      <c r="Q400" s="841"/>
      <c r="R400" s="841"/>
    </row>
    <row r="401" spans="2:18">
      <c r="B401" s="841"/>
      <c r="C401" s="842"/>
      <c r="D401" s="842"/>
      <c r="E401" s="842"/>
      <c r="F401" s="1135"/>
      <c r="G401" s="1135"/>
      <c r="H401" s="843"/>
      <c r="I401" s="841"/>
      <c r="J401" s="1135"/>
      <c r="K401" s="841"/>
      <c r="L401" s="841"/>
      <c r="M401" s="841"/>
      <c r="N401" s="841"/>
      <c r="O401" s="841"/>
      <c r="P401" s="841"/>
      <c r="Q401" s="841"/>
      <c r="R401" s="841"/>
    </row>
    <row r="402" spans="2:18">
      <c r="B402" s="841"/>
      <c r="C402" s="842"/>
      <c r="D402" s="842"/>
      <c r="E402" s="842"/>
      <c r="F402" s="1135"/>
      <c r="G402" s="1135"/>
      <c r="H402" s="843"/>
      <c r="I402" s="841"/>
      <c r="J402" s="1135"/>
      <c r="K402" s="841"/>
      <c r="L402" s="841"/>
      <c r="M402" s="841"/>
      <c r="N402" s="841"/>
      <c r="O402" s="841"/>
      <c r="P402" s="841"/>
      <c r="Q402" s="841"/>
      <c r="R402" s="841"/>
    </row>
    <row r="403" spans="2:18">
      <c r="B403" s="841"/>
      <c r="C403" s="842"/>
      <c r="D403" s="842"/>
      <c r="E403" s="842"/>
      <c r="F403" s="1135"/>
      <c r="G403" s="1135"/>
      <c r="H403" s="843"/>
      <c r="I403" s="841"/>
      <c r="J403" s="1135"/>
      <c r="K403" s="841"/>
      <c r="L403" s="841"/>
      <c r="M403" s="841"/>
      <c r="N403" s="841"/>
      <c r="O403" s="841"/>
      <c r="P403" s="841"/>
      <c r="Q403" s="841"/>
      <c r="R403" s="841"/>
    </row>
    <row r="404" spans="2:18">
      <c r="B404" s="841"/>
      <c r="C404" s="842"/>
      <c r="D404" s="842"/>
      <c r="E404" s="842"/>
      <c r="F404" s="1135"/>
      <c r="G404" s="1135"/>
      <c r="H404" s="843"/>
      <c r="I404" s="841"/>
      <c r="J404" s="1135"/>
      <c r="K404" s="841"/>
      <c r="L404" s="841"/>
      <c r="M404" s="841"/>
      <c r="N404" s="841"/>
      <c r="O404" s="841"/>
      <c r="P404" s="841"/>
      <c r="Q404" s="841"/>
      <c r="R404" s="841"/>
    </row>
    <row r="405" spans="2:18">
      <c r="B405" s="841"/>
      <c r="C405" s="842"/>
      <c r="D405" s="842"/>
      <c r="E405" s="842"/>
      <c r="F405" s="1135"/>
      <c r="G405" s="1135"/>
      <c r="H405" s="843"/>
      <c r="I405" s="841"/>
      <c r="J405" s="1135"/>
      <c r="K405" s="841"/>
      <c r="L405" s="841"/>
      <c r="M405" s="841"/>
      <c r="N405" s="841"/>
      <c r="O405" s="841"/>
      <c r="P405" s="841"/>
      <c r="Q405" s="841"/>
      <c r="R405" s="841"/>
    </row>
    <row r="406" spans="2:18">
      <c r="B406" s="841"/>
      <c r="C406" s="842"/>
      <c r="D406" s="842"/>
      <c r="E406" s="842"/>
      <c r="F406" s="1135"/>
      <c r="G406" s="1135"/>
      <c r="H406" s="843"/>
      <c r="I406" s="841"/>
      <c r="J406" s="1135"/>
      <c r="K406" s="841"/>
      <c r="L406" s="841"/>
      <c r="M406" s="841"/>
      <c r="N406" s="841"/>
      <c r="O406" s="841"/>
      <c r="P406" s="841"/>
      <c r="Q406" s="841"/>
      <c r="R406" s="841"/>
    </row>
    <row r="407" spans="2:18">
      <c r="B407" s="841"/>
      <c r="C407" s="842"/>
      <c r="D407" s="842"/>
      <c r="E407" s="842"/>
      <c r="F407" s="1135"/>
      <c r="G407" s="1135"/>
      <c r="H407" s="843"/>
      <c r="I407" s="841"/>
      <c r="J407" s="1135"/>
      <c r="K407" s="841"/>
      <c r="L407" s="841"/>
      <c r="M407" s="841"/>
      <c r="N407" s="841"/>
      <c r="O407" s="841"/>
      <c r="P407" s="841"/>
      <c r="Q407" s="841"/>
      <c r="R407" s="841"/>
    </row>
    <row r="408" spans="2:18">
      <c r="B408" s="841"/>
      <c r="C408" s="842"/>
      <c r="D408" s="842"/>
      <c r="E408" s="842"/>
      <c r="F408" s="1135"/>
      <c r="G408" s="1135"/>
      <c r="H408" s="843"/>
      <c r="I408" s="841"/>
      <c r="J408" s="1135"/>
      <c r="K408" s="841"/>
      <c r="L408" s="841"/>
      <c r="M408" s="841"/>
      <c r="N408" s="841"/>
      <c r="O408" s="841"/>
      <c r="P408" s="841"/>
      <c r="Q408" s="841"/>
      <c r="R408" s="841"/>
    </row>
    <row r="409" spans="2:18">
      <c r="B409" s="841"/>
      <c r="C409" s="842"/>
      <c r="D409" s="842"/>
      <c r="E409" s="842"/>
      <c r="F409" s="1135"/>
      <c r="G409" s="1135"/>
      <c r="H409" s="843"/>
      <c r="I409" s="841"/>
      <c r="J409" s="1135"/>
      <c r="K409" s="841"/>
      <c r="L409" s="841"/>
      <c r="M409" s="841"/>
      <c r="N409" s="841"/>
      <c r="O409" s="841"/>
      <c r="P409" s="841"/>
      <c r="Q409" s="841"/>
      <c r="R409" s="841"/>
    </row>
    <row r="410" spans="2:18">
      <c r="B410" s="841"/>
      <c r="C410" s="842"/>
      <c r="D410" s="842"/>
      <c r="E410" s="842"/>
      <c r="F410" s="1135"/>
      <c r="G410" s="1135"/>
      <c r="H410" s="843"/>
      <c r="I410" s="841"/>
      <c r="J410" s="1135"/>
      <c r="K410" s="841"/>
      <c r="L410" s="841"/>
      <c r="M410" s="841"/>
      <c r="N410" s="841"/>
      <c r="O410" s="841"/>
      <c r="P410" s="841"/>
      <c r="Q410" s="841"/>
      <c r="R410" s="841"/>
    </row>
    <row r="411" spans="2:18">
      <c r="B411" s="841"/>
      <c r="C411" s="842"/>
      <c r="D411" s="842"/>
      <c r="E411" s="842"/>
      <c r="F411" s="1135"/>
      <c r="G411" s="1135"/>
      <c r="H411" s="843"/>
      <c r="I411" s="841"/>
      <c r="J411" s="1135"/>
      <c r="K411" s="841"/>
      <c r="L411" s="841"/>
      <c r="M411" s="841"/>
      <c r="N411" s="841"/>
      <c r="O411" s="841"/>
      <c r="P411" s="841"/>
      <c r="Q411" s="841"/>
      <c r="R411" s="841"/>
    </row>
    <row r="412" spans="2:18">
      <c r="B412" s="841"/>
      <c r="C412" s="842"/>
      <c r="D412" s="842"/>
      <c r="E412" s="842"/>
      <c r="F412" s="1135"/>
      <c r="G412" s="1135"/>
      <c r="H412" s="843"/>
      <c r="I412" s="841"/>
      <c r="J412" s="1135"/>
      <c r="K412" s="841"/>
      <c r="L412" s="841"/>
      <c r="M412" s="841"/>
      <c r="N412" s="841"/>
      <c r="O412" s="841"/>
      <c r="P412" s="841"/>
      <c r="Q412" s="841"/>
      <c r="R412" s="841"/>
    </row>
    <row r="413" spans="2:18">
      <c r="B413" s="841"/>
      <c r="C413" s="842"/>
      <c r="D413" s="842"/>
      <c r="E413" s="842"/>
      <c r="F413" s="1135"/>
      <c r="G413" s="1135"/>
      <c r="H413" s="843"/>
      <c r="I413" s="841"/>
      <c r="J413" s="1135"/>
      <c r="K413" s="841"/>
      <c r="L413" s="841"/>
      <c r="M413" s="841"/>
      <c r="N413" s="841"/>
      <c r="O413" s="841"/>
      <c r="P413" s="841"/>
      <c r="Q413" s="841"/>
      <c r="R413" s="841"/>
    </row>
    <row r="414" spans="2:18">
      <c r="B414" s="841"/>
      <c r="C414" s="842"/>
      <c r="D414" s="842"/>
      <c r="E414" s="842"/>
      <c r="F414" s="1135"/>
      <c r="G414" s="1135"/>
      <c r="H414" s="843"/>
      <c r="I414" s="841"/>
      <c r="J414" s="1135"/>
      <c r="K414" s="841"/>
      <c r="L414" s="841"/>
      <c r="M414" s="841"/>
      <c r="N414" s="841"/>
      <c r="O414" s="841"/>
      <c r="P414" s="841"/>
      <c r="Q414" s="841"/>
      <c r="R414" s="841"/>
    </row>
    <row r="415" spans="2:18">
      <c r="B415" s="841"/>
      <c r="C415" s="842"/>
      <c r="D415" s="842"/>
      <c r="E415" s="842"/>
      <c r="F415" s="1135"/>
      <c r="G415" s="1135"/>
      <c r="H415" s="843"/>
      <c r="I415" s="841"/>
      <c r="J415" s="1135"/>
      <c r="K415" s="841"/>
      <c r="L415" s="841"/>
      <c r="M415" s="841"/>
      <c r="N415" s="841"/>
      <c r="O415" s="841"/>
      <c r="P415" s="841"/>
      <c r="Q415" s="841"/>
      <c r="R415" s="841"/>
    </row>
    <row r="416" spans="2:18">
      <c r="B416" s="841"/>
      <c r="C416" s="842"/>
      <c r="D416" s="842"/>
      <c r="E416" s="842"/>
      <c r="F416" s="1135"/>
      <c r="G416" s="1135"/>
      <c r="H416" s="843"/>
      <c r="I416" s="841"/>
      <c r="J416" s="1135"/>
      <c r="K416" s="841"/>
      <c r="L416" s="841"/>
      <c r="M416" s="841"/>
      <c r="N416" s="841"/>
      <c r="O416" s="841"/>
      <c r="P416" s="841"/>
      <c r="Q416" s="841"/>
      <c r="R416" s="841"/>
    </row>
    <row r="417" spans="2:18">
      <c r="B417" s="841"/>
      <c r="C417" s="842"/>
      <c r="D417" s="842"/>
      <c r="E417" s="842"/>
      <c r="F417" s="1135"/>
      <c r="G417" s="1135"/>
      <c r="H417" s="843"/>
      <c r="I417" s="841"/>
      <c r="J417" s="1135"/>
      <c r="K417" s="841"/>
      <c r="L417" s="841"/>
      <c r="M417" s="841"/>
      <c r="N417" s="841"/>
      <c r="O417" s="841"/>
      <c r="P417" s="841"/>
      <c r="Q417" s="841"/>
      <c r="R417" s="841"/>
    </row>
    <row r="418" spans="2:18">
      <c r="B418" s="841"/>
      <c r="C418" s="842"/>
      <c r="D418" s="842"/>
      <c r="E418" s="842"/>
      <c r="F418" s="1135"/>
      <c r="G418" s="1135"/>
      <c r="H418" s="843"/>
      <c r="I418" s="841"/>
      <c r="J418" s="1135"/>
      <c r="K418" s="841"/>
      <c r="L418" s="841"/>
      <c r="M418" s="841"/>
      <c r="N418" s="841"/>
      <c r="O418" s="841"/>
      <c r="P418" s="841"/>
      <c r="Q418" s="841"/>
      <c r="R418" s="841"/>
    </row>
    <row r="419" spans="2:18">
      <c r="B419" s="841"/>
      <c r="C419" s="842"/>
      <c r="D419" s="842"/>
      <c r="E419" s="842"/>
      <c r="F419" s="1135"/>
      <c r="G419" s="1135"/>
      <c r="H419" s="843"/>
      <c r="I419" s="841"/>
      <c r="J419" s="1135"/>
      <c r="K419" s="841"/>
      <c r="L419" s="841"/>
      <c r="M419" s="841"/>
      <c r="N419" s="841"/>
      <c r="O419" s="841"/>
      <c r="P419" s="841"/>
      <c r="Q419" s="841"/>
      <c r="R419" s="841"/>
    </row>
    <row r="420" spans="2:18">
      <c r="B420" s="841"/>
      <c r="C420" s="842"/>
      <c r="D420" s="842"/>
      <c r="E420" s="842"/>
      <c r="F420" s="1135"/>
      <c r="G420" s="1135"/>
      <c r="H420" s="843"/>
      <c r="I420" s="841"/>
      <c r="J420" s="1135"/>
      <c r="K420" s="841"/>
      <c r="L420" s="841"/>
      <c r="M420" s="841"/>
      <c r="N420" s="841"/>
      <c r="O420" s="841"/>
      <c r="P420" s="841"/>
      <c r="Q420" s="841"/>
      <c r="R420" s="841"/>
    </row>
    <row r="421" spans="2:18">
      <c r="B421" s="841"/>
      <c r="C421" s="842"/>
      <c r="D421" s="842"/>
      <c r="E421" s="842"/>
      <c r="F421" s="1135"/>
      <c r="G421" s="1135"/>
      <c r="H421" s="843"/>
      <c r="I421" s="841"/>
      <c r="J421" s="1135"/>
      <c r="K421" s="841"/>
      <c r="L421" s="841"/>
      <c r="M421" s="841"/>
      <c r="N421" s="841"/>
      <c r="O421" s="841"/>
      <c r="P421" s="841"/>
      <c r="Q421" s="841"/>
      <c r="R421" s="841"/>
    </row>
    <row r="422" spans="2:18">
      <c r="B422" s="841"/>
      <c r="C422" s="842"/>
      <c r="D422" s="842"/>
      <c r="E422" s="842"/>
      <c r="F422" s="1135"/>
      <c r="G422" s="1135"/>
      <c r="H422" s="843"/>
      <c r="I422" s="841"/>
      <c r="J422" s="1135"/>
      <c r="K422" s="841"/>
      <c r="L422" s="841"/>
      <c r="M422" s="841"/>
      <c r="N422" s="841"/>
      <c r="O422" s="841"/>
      <c r="P422" s="841"/>
      <c r="Q422" s="841"/>
      <c r="R422" s="841"/>
    </row>
    <row r="423" spans="2:18">
      <c r="B423" s="841"/>
      <c r="C423" s="842"/>
      <c r="D423" s="842"/>
      <c r="E423" s="842"/>
      <c r="F423" s="1135"/>
      <c r="G423" s="1135"/>
      <c r="H423" s="843"/>
      <c r="I423" s="841"/>
      <c r="J423" s="1135"/>
      <c r="K423" s="841"/>
      <c r="L423" s="841"/>
      <c r="M423" s="841"/>
      <c r="N423" s="841"/>
      <c r="O423" s="841"/>
      <c r="P423" s="841"/>
      <c r="Q423" s="841"/>
      <c r="R423" s="841"/>
    </row>
    <row r="424" spans="2:18">
      <c r="B424" s="841"/>
      <c r="C424" s="842"/>
      <c r="D424" s="842"/>
      <c r="E424" s="842"/>
      <c r="F424" s="1135"/>
      <c r="G424" s="1135"/>
      <c r="H424" s="843"/>
      <c r="I424" s="841"/>
      <c r="J424" s="1135"/>
      <c r="K424" s="841"/>
      <c r="L424" s="841"/>
      <c r="M424" s="841"/>
      <c r="N424" s="841"/>
      <c r="O424" s="841"/>
      <c r="P424" s="841"/>
      <c r="Q424" s="841"/>
      <c r="R424" s="841"/>
    </row>
    <row r="425" spans="2:18">
      <c r="B425" s="841"/>
      <c r="C425" s="842"/>
      <c r="D425" s="842"/>
      <c r="E425" s="842"/>
      <c r="F425" s="1135"/>
      <c r="G425" s="1135"/>
      <c r="H425" s="843"/>
      <c r="I425" s="841"/>
      <c r="J425" s="1135"/>
      <c r="K425" s="841"/>
      <c r="L425" s="841"/>
      <c r="M425" s="841"/>
      <c r="N425" s="841"/>
      <c r="O425" s="841"/>
      <c r="P425" s="841"/>
      <c r="Q425" s="841"/>
      <c r="R425" s="841"/>
    </row>
    <row r="426" spans="2:18">
      <c r="B426" s="841"/>
      <c r="C426" s="842"/>
      <c r="D426" s="842"/>
      <c r="E426" s="842"/>
      <c r="F426" s="1135"/>
      <c r="G426" s="1135"/>
      <c r="H426" s="843"/>
      <c r="I426" s="841"/>
      <c r="J426" s="1135"/>
      <c r="K426" s="841"/>
      <c r="L426" s="841"/>
      <c r="M426" s="841"/>
      <c r="N426" s="841"/>
      <c r="O426" s="841"/>
      <c r="P426" s="841"/>
      <c r="Q426" s="841"/>
      <c r="R426" s="841"/>
    </row>
    <row r="427" spans="2:18">
      <c r="B427" s="841"/>
      <c r="C427" s="842"/>
      <c r="D427" s="842"/>
      <c r="E427" s="842"/>
      <c r="F427" s="1135"/>
      <c r="G427" s="1135"/>
      <c r="H427" s="843"/>
      <c r="I427" s="841"/>
      <c r="J427" s="1135"/>
      <c r="K427" s="841"/>
      <c r="L427" s="841"/>
      <c r="M427" s="841"/>
      <c r="N427" s="841"/>
      <c r="O427" s="841"/>
      <c r="P427" s="841"/>
      <c r="Q427" s="841"/>
      <c r="R427" s="841"/>
    </row>
    <row r="428" spans="2:18">
      <c r="B428" s="841"/>
      <c r="C428" s="842"/>
      <c r="D428" s="842"/>
      <c r="E428" s="842"/>
      <c r="F428" s="1135"/>
      <c r="G428" s="1135"/>
      <c r="H428" s="843"/>
      <c r="I428" s="841"/>
      <c r="J428" s="1135"/>
      <c r="K428" s="841"/>
      <c r="L428" s="841"/>
      <c r="M428" s="841"/>
      <c r="N428" s="841"/>
      <c r="O428" s="841"/>
      <c r="P428" s="841"/>
      <c r="Q428" s="841"/>
      <c r="R428" s="841"/>
    </row>
    <row r="429" spans="2:18">
      <c r="B429" s="841"/>
      <c r="C429" s="842"/>
      <c r="D429" s="842"/>
      <c r="E429" s="842"/>
      <c r="F429" s="1135"/>
      <c r="G429" s="1135"/>
      <c r="H429" s="843"/>
      <c r="I429" s="841"/>
      <c r="J429" s="1135"/>
      <c r="K429" s="841"/>
      <c r="L429" s="841"/>
      <c r="M429" s="841"/>
      <c r="N429" s="841"/>
      <c r="O429" s="841"/>
      <c r="P429" s="841"/>
      <c r="Q429" s="841"/>
      <c r="R429" s="841"/>
    </row>
    <row r="430" spans="2:18">
      <c r="B430" s="841"/>
      <c r="C430" s="842"/>
      <c r="D430" s="842"/>
      <c r="E430" s="842"/>
      <c r="F430" s="1135"/>
      <c r="G430" s="1135"/>
      <c r="H430" s="843"/>
      <c r="I430" s="841"/>
      <c r="J430" s="1135"/>
      <c r="K430" s="841"/>
      <c r="L430" s="841"/>
      <c r="M430" s="841"/>
      <c r="N430" s="841"/>
      <c r="O430" s="841"/>
      <c r="P430" s="841"/>
      <c r="Q430" s="841"/>
      <c r="R430" s="841"/>
    </row>
    <row r="431" spans="2:18">
      <c r="B431" s="841"/>
      <c r="C431" s="842"/>
      <c r="D431" s="842"/>
      <c r="E431" s="842"/>
      <c r="F431" s="1135"/>
      <c r="G431" s="1135"/>
      <c r="H431" s="843"/>
      <c r="I431" s="841"/>
      <c r="J431" s="1135"/>
      <c r="K431" s="841"/>
      <c r="L431" s="841"/>
      <c r="M431" s="841"/>
      <c r="N431" s="841"/>
      <c r="O431" s="841"/>
      <c r="P431" s="841"/>
      <c r="Q431" s="841"/>
      <c r="R431" s="841"/>
    </row>
    <row r="432" spans="2:18">
      <c r="B432" s="841"/>
      <c r="C432" s="842"/>
      <c r="D432" s="842"/>
      <c r="E432" s="842"/>
      <c r="F432" s="1135"/>
      <c r="G432" s="1135"/>
      <c r="H432" s="843"/>
      <c r="I432" s="841"/>
      <c r="J432" s="1135"/>
      <c r="K432" s="841"/>
      <c r="L432" s="841"/>
      <c r="M432" s="841"/>
      <c r="N432" s="841"/>
      <c r="O432" s="841"/>
      <c r="P432" s="841"/>
      <c r="Q432" s="841"/>
      <c r="R432" s="841"/>
    </row>
    <row r="433" spans="2:18">
      <c r="B433" s="841"/>
      <c r="C433" s="842"/>
      <c r="D433" s="842"/>
      <c r="E433" s="842"/>
      <c r="F433" s="1135"/>
      <c r="G433" s="1135"/>
      <c r="H433" s="843"/>
      <c r="I433" s="841"/>
      <c r="J433" s="1135"/>
      <c r="K433" s="841"/>
      <c r="L433" s="841"/>
      <c r="M433" s="841"/>
      <c r="N433" s="841"/>
      <c r="O433" s="841"/>
      <c r="P433" s="841"/>
      <c r="Q433" s="841"/>
      <c r="R433" s="841"/>
    </row>
    <row r="434" spans="2:18">
      <c r="B434" s="841"/>
      <c r="C434" s="842"/>
      <c r="D434" s="842"/>
      <c r="E434" s="842"/>
      <c r="F434" s="1135"/>
      <c r="G434" s="1135"/>
      <c r="H434" s="843"/>
      <c r="I434" s="841"/>
      <c r="J434" s="1135"/>
      <c r="K434" s="841"/>
      <c r="L434" s="841"/>
      <c r="M434" s="841"/>
      <c r="N434" s="841"/>
      <c r="O434" s="841"/>
      <c r="P434" s="841"/>
      <c r="Q434" s="841"/>
      <c r="R434" s="841"/>
    </row>
    <row r="435" spans="2:18">
      <c r="B435" s="841"/>
      <c r="C435" s="842"/>
      <c r="D435" s="842"/>
      <c r="E435" s="842"/>
      <c r="F435" s="1135"/>
      <c r="G435" s="1135"/>
      <c r="H435" s="843"/>
      <c r="I435" s="841"/>
      <c r="J435" s="1135"/>
      <c r="K435" s="841"/>
      <c r="L435" s="841"/>
      <c r="M435" s="841"/>
      <c r="N435" s="841"/>
      <c r="O435" s="841"/>
      <c r="P435" s="841"/>
      <c r="Q435" s="841"/>
      <c r="R435" s="841"/>
    </row>
    <row r="436" spans="2:18">
      <c r="B436" s="841"/>
      <c r="C436" s="842"/>
      <c r="D436" s="842"/>
      <c r="E436" s="842"/>
      <c r="F436" s="1135"/>
      <c r="G436" s="1135"/>
      <c r="H436" s="843"/>
      <c r="I436" s="841"/>
      <c r="J436" s="1135"/>
      <c r="K436" s="841"/>
      <c r="L436" s="841"/>
      <c r="M436" s="841"/>
      <c r="N436" s="841"/>
      <c r="O436" s="841"/>
      <c r="P436" s="841"/>
      <c r="Q436" s="841"/>
      <c r="R436" s="841"/>
    </row>
    <row r="437" spans="2:18">
      <c r="B437" s="841"/>
      <c r="C437" s="842"/>
      <c r="D437" s="842"/>
      <c r="E437" s="842"/>
      <c r="F437" s="1135"/>
      <c r="G437" s="1135"/>
      <c r="H437" s="843"/>
      <c r="I437" s="841"/>
      <c r="J437" s="1135"/>
      <c r="K437" s="841"/>
      <c r="L437" s="841"/>
      <c r="M437" s="841"/>
      <c r="N437" s="841"/>
      <c r="O437" s="841"/>
      <c r="P437" s="841"/>
      <c r="Q437" s="841"/>
      <c r="R437" s="841"/>
    </row>
    <row r="438" spans="2:18">
      <c r="B438" s="841"/>
      <c r="C438" s="842"/>
      <c r="D438" s="842"/>
      <c r="E438" s="842"/>
      <c r="F438" s="1135"/>
      <c r="G438" s="1135"/>
      <c r="H438" s="843"/>
      <c r="I438" s="841"/>
      <c r="J438" s="1135"/>
      <c r="K438" s="841"/>
      <c r="L438" s="841"/>
      <c r="M438" s="841"/>
      <c r="N438" s="841"/>
      <c r="O438" s="841"/>
      <c r="P438" s="841"/>
      <c r="Q438" s="841"/>
      <c r="R438" s="841"/>
    </row>
    <row r="439" spans="2:18">
      <c r="B439" s="841"/>
      <c r="C439" s="842"/>
      <c r="D439" s="842"/>
      <c r="E439" s="842"/>
      <c r="F439" s="1135"/>
      <c r="G439" s="1135"/>
      <c r="H439" s="843"/>
      <c r="I439" s="841"/>
      <c r="J439" s="1135"/>
      <c r="K439" s="841"/>
      <c r="L439" s="841"/>
      <c r="M439" s="841"/>
      <c r="N439" s="841"/>
      <c r="O439" s="841"/>
      <c r="P439" s="841"/>
      <c r="Q439" s="841"/>
      <c r="R439" s="841"/>
    </row>
    <row r="440" spans="2:18">
      <c r="B440" s="841"/>
      <c r="C440" s="842"/>
      <c r="D440" s="842"/>
      <c r="E440" s="842"/>
      <c r="F440" s="1135"/>
      <c r="G440" s="1135"/>
      <c r="H440" s="843"/>
      <c r="I440" s="841"/>
      <c r="J440" s="1135"/>
      <c r="K440" s="841"/>
      <c r="L440" s="841"/>
      <c r="M440" s="841"/>
      <c r="N440" s="841"/>
      <c r="O440" s="841"/>
      <c r="P440" s="841"/>
      <c r="Q440" s="841"/>
      <c r="R440" s="841"/>
    </row>
    <row r="441" spans="2:18">
      <c r="B441" s="841"/>
      <c r="C441" s="842"/>
      <c r="D441" s="842"/>
      <c r="E441" s="842"/>
      <c r="F441" s="1135"/>
      <c r="G441" s="1135"/>
      <c r="H441" s="843"/>
      <c r="I441" s="841"/>
      <c r="J441" s="1135"/>
      <c r="K441" s="841"/>
      <c r="L441" s="841"/>
      <c r="M441" s="841"/>
      <c r="N441" s="841"/>
      <c r="O441" s="841"/>
      <c r="P441" s="841"/>
      <c r="Q441" s="841"/>
      <c r="R441" s="841"/>
    </row>
    <row r="442" spans="2:18">
      <c r="B442" s="841"/>
      <c r="C442" s="842"/>
      <c r="D442" s="842"/>
      <c r="E442" s="842"/>
      <c r="F442" s="1135"/>
      <c r="G442" s="1135"/>
      <c r="H442" s="843"/>
      <c r="I442" s="841"/>
      <c r="J442" s="1135"/>
      <c r="K442" s="841"/>
      <c r="L442" s="841"/>
      <c r="M442" s="841"/>
      <c r="N442" s="841"/>
      <c r="O442" s="841"/>
      <c r="P442" s="841"/>
      <c r="Q442" s="841"/>
      <c r="R442" s="841"/>
    </row>
    <row r="443" spans="2:18">
      <c r="B443" s="841"/>
      <c r="C443" s="842"/>
      <c r="D443" s="842"/>
      <c r="E443" s="842"/>
      <c r="F443" s="1135"/>
      <c r="G443" s="1135"/>
      <c r="H443" s="843"/>
      <c r="I443" s="841"/>
      <c r="J443" s="1135"/>
      <c r="K443" s="841"/>
      <c r="L443" s="841"/>
      <c r="M443" s="841"/>
      <c r="N443" s="841"/>
      <c r="O443" s="841"/>
      <c r="P443" s="841"/>
      <c r="Q443" s="841"/>
      <c r="R443" s="841"/>
    </row>
    <row r="444" spans="2:18">
      <c r="B444" s="841"/>
      <c r="C444" s="842"/>
      <c r="D444" s="842"/>
      <c r="E444" s="842"/>
      <c r="F444" s="1135"/>
      <c r="G444" s="1135"/>
      <c r="H444" s="843"/>
      <c r="I444" s="841"/>
      <c r="J444" s="1135"/>
      <c r="K444" s="841"/>
      <c r="L444" s="841"/>
      <c r="M444" s="841"/>
      <c r="N444" s="841"/>
      <c r="O444" s="841"/>
      <c r="P444" s="841"/>
      <c r="Q444" s="841"/>
      <c r="R444" s="841"/>
    </row>
    <row r="445" spans="2:18">
      <c r="B445" s="841"/>
      <c r="C445" s="842"/>
      <c r="D445" s="842"/>
      <c r="E445" s="842"/>
      <c r="F445" s="1135"/>
      <c r="G445" s="1135"/>
      <c r="H445" s="843"/>
      <c r="I445" s="841"/>
      <c r="J445" s="1135"/>
      <c r="K445" s="841"/>
      <c r="L445" s="841"/>
      <c r="M445" s="841"/>
      <c r="N445" s="841"/>
      <c r="O445" s="841"/>
      <c r="P445" s="841"/>
      <c r="Q445" s="841"/>
      <c r="R445" s="841"/>
    </row>
    <row r="446" spans="2:18">
      <c r="B446" s="841"/>
      <c r="C446" s="842"/>
      <c r="D446" s="842"/>
      <c r="E446" s="842"/>
      <c r="F446" s="1135"/>
      <c r="G446" s="1135"/>
      <c r="H446" s="843"/>
      <c r="I446" s="841"/>
      <c r="J446" s="1135"/>
      <c r="K446" s="841"/>
      <c r="L446" s="841"/>
      <c r="M446" s="841"/>
      <c r="N446" s="841"/>
      <c r="O446" s="841"/>
      <c r="P446" s="841"/>
      <c r="Q446" s="841"/>
      <c r="R446" s="841"/>
    </row>
    <row r="447" spans="2:18">
      <c r="B447" s="841"/>
      <c r="C447" s="842"/>
      <c r="D447" s="842"/>
      <c r="E447" s="842"/>
      <c r="F447" s="1135"/>
      <c r="G447" s="1135"/>
      <c r="H447" s="843"/>
      <c r="I447" s="841"/>
      <c r="J447" s="1135"/>
      <c r="K447" s="841"/>
      <c r="L447" s="841"/>
      <c r="M447" s="841"/>
      <c r="N447" s="841"/>
      <c r="O447" s="841"/>
      <c r="P447" s="841"/>
      <c r="Q447" s="841"/>
      <c r="R447" s="841"/>
    </row>
    <row r="448" spans="2:18">
      <c r="B448" s="841"/>
      <c r="C448" s="842"/>
      <c r="D448" s="842"/>
      <c r="E448" s="842"/>
      <c r="F448" s="1135"/>
      <c r="G448" s="1135"/>
      <c r="H448" s="843"/>
      <c r="I448" s="841"/>
      <c r="J448" s="1135"/>
      <c r="K448" s="841"/>
      <c r="L448" s="841"/>
      <c r="M448" s="841"/>
      <c r="N448" s="841"/>
      <c r="O448" s="841"/>
      <c r="P448" s="841"/>
      <c r="Q448" s="841"/>
      <c r="R448" s="841"/>
    </row>
    <row r="449" spans="2:18">
      <c r="B449" s="841"/>
      <c r="C449" s="842"/>
      <c r="D449" s="842"/>
      <c r="E449" s="842"/>
      <c r="F449" s="1135"/>
      <c r="G449" s="1135"/>
      <c r="H449" s="843"/>
      <c r="I449" s="841"/>
      <c r="J449" s="1135"/>
      <c r="K449" s="841"/>
      <c r="L449" s="841"/>
      <c r="M449" s="841"/>
      <c r="N449" s="841"/>
      <c r="O449" s="841"/>
      <c r="P449" s="841"/>
      <c r="Q449" s="841"/>
      <c r="R449" s="841"/>
    </row>
    <row r="450" spans="2:18">
      <c r="B450" s="841"/>
      <c r="C450" s="842"/>
      <c r="D450" s="842"/>
      <c r="E450" s="842"/>
      <c r="F450" s="1135"/>
      <c r="G450" s="1135"/>
      <c r="H450" s="843"/>
      <c r="I450" s="841"/>
      <c r="J450" s="1135"/>
      <c r="K450" s="841"/>
      <c r="L450" s="841"/>
      <c r="M450" s="841"/>
      <c r="N450" s="841"/>
      <c r="O450" s="841"/>
      <c r="P450" s="841"/>
      <c r="Q450" s="841"/>
      <c r="R450" s="841"/>
    </row>
    <row r="451" spans="2:18">
      <c r="B451" s="841"/>
      <c r="C451" s="842"/>
      <c r="D451" s="842"/>
      <c r="E451" s="842"/>
      <c r="F451" s="1135"/>
      <c r="G451" s="1135"/>
      <c r="H451" s="843"/>
      <c r="I451" s="841"/>
      <c r="J451" s="1135"/>
      <c r="K451" s="841"/>
      <c r="L451" s="841"/>
      <c r="M451" s="841"/>
      <c r="N451" s="841"/>
      <c r="O451" s="841"/>
      <c r="P451" s="841"/>
      <c r="Q451" s="841"/>
      <c r="R451" s="841"/>
    </row>
    <row r="452" spans="2:18">
      <c r="B452" s="841"/>
      <c r="C452" s="842"/>
      <c r="D452" s="842"/>
      <c r="E452" s="842"/>
      <c r="F452" s="1135"/>
      <c r="G452" s="1135"/>
      <c r="H452" s="843"/>
      <c r="I452" s="841"/>
      <c r="J452" s="1135"/>
      <c r="K452" s="841"/>
      <c r="L452" s="841"/>
      <c r="M452" s="841"/>
      <c r="N452" s="841"/>
      <c r="O452" s="841"/>
      <c r="P452" s="841"/>
      <c r="Q452" s="841"/>
      <c r="R452" s="841"/>
    </row>
    <row r="453" spans="2:18">
      <c r="B453" s="841"/>
      <c r="C453" s="842"/>
      <c r="D453" s="842"/>
      <c r="E453" s="842"/>
      <c r="F453" s="1135"/>
      <c r="G453" s="1135"/>
      <c r="H453" s="843"/>
      <c r="I453" s="841"/>
      <c r="J453" s="1135"/>
      <c r="K453" s="841"/>
      <c r="L453" s="841"/>
      <c r="M453" s="841"/>
      <c r="N453" s="841"/>
      <c r="O453" s="841"/>
      <c r="P453" s="841"/>
      <c r="Q453" s="841"/>
      <c r="R453" s="841"/>
    </row>
    <row r="454" spans="2:18">
      <c r="B454" s="841"/>
      <c r="C454" s="842"/>
      <c r="D454" s="842"/>
      <c r="E454" s="842"/>
      <c r="F454" s="1135"/>
      <c r="G454" s="1135"/>
      <c r="H454" s="843"/>
      <c r="I454" s="841"/>
      <c r="J454" s="1135"/>
      <c r="K454" s="841"/>
      <c r="L454" s="841"/>
      <c r="M454" s="841"/>
      <c r="N454" s="841"/>
      <c r="O454" s="841"/>
      <c r="P454" s="841"/>
      <c r="Q454" s="841"/>
      <c r="R454" s="841"/>
    </row>
    <row r="455" spans="2:18">
      <c r="B455" s="841"/>
      <c r="C455" s="842"/>
      <c r="D455" s="842"/>
      <c r="E455" s="842"/>
      <c r="F455" s="1135"/>
      <c r="G455" s="1135"/>
      <c r="H455" s="843"/>
      <c r="I455" s="841"/>
      <c r="J455" s="1135"/>
      <c r="K455" s="841"/>
      <c r="L455" s="841"/>
      <c r="M455" s="841"/>
      <c r="N455" s="841"/>
      <c r="O455" s="841"/>
      <c r="P455" s="841"/>
      <c r="Q455" s="841"/>
      <c r="R455" s="841"/>
    </row>
    <row r="456" spans="2:18">
      <c r="B456" s="841"/>
      <c r="C456" s="842"/>
      <c r="D456" s="842"/>
      <c r="E456" s="842"/>
      <c r="F456" s="1135"/>
      <c r="G456" s="1135"/>
      <c r="H456" s="843"/>
      <c r="I456" s="841"/>
      <c r="J456" s="1135"/>
      <c r="K456" s="841"/>
      <c r="L456" s="841"/>
      <c r="M456" s="841"/>
      <c r="N456" s="841"/>
      <c r="O456" s="841"/>
      <c r="P456" s="841"/>
      <c r="Q456" s="841"/>
      <c r="R456" s="841"/>
    </row>
    <row r="457" spans="2:18">
      <c r="B457" s="841"/>
      <c r="C457" s="842"/>
      <c r="D457" s="842"/>
      <c r="E457" s="842"/>
      <c r="F457" s="1135"/>
      <c r="G457" s="1135"/>
      <c r="H457" s="843"/>
      <c r="I457" s="841"/>
      <c r="J457" s="1135"/>
      <c r="K457" s="841"/>
      <c r="L457" s="841"/>
      <c r="M457" s="841"/>
      <c r="N457" s="841"/>
      <c r="O457" s="841"/>
      <c r="P457" s="841"/>
      <c r="Q457" s="841"/>
      <c r="R457" s="841"/>
    </row>
    <row r="458" spans="2:18">
      <c r="B458" s="841"/>
      <c r="C458" s="842"/>
      <c r="D458" s="842"/>
      <c r="E458" s="842"/>
      <c r="F458" s="1135"/>
      <c r="G458" s="1135"/>
      <c r="H458" s="843"/>
      <c r="I458" s="841"/>
      <c r="J458" s="1135"/>
      <c r="K458" s="841"/>
      <c r="L458" s="841"/>
      <c r="M458" s="841"/>
      <c r="N458" s="841"/>
      <c r="O458" s="841"/>
      <c r="P458" s="841"/>
      <c r="Q458" s="841"/>
      <c r="R458" s="841"/>
    </row>
    <row r="459" spans="2:18">
      <c r="B459" s="841"/>
      <c r="C459" s="842"/>
      <c r="D459" s="842"/>
      <c r="E459" s="842"/>
      <c r="F459" s="1135"/>
      <c r="G459" s="1135"/>
      <c r="H459" s="843"/>
      <c r="I459" s="841"/>
      <c r="J459" s="1135"/>
      <c r="K459" s="841"/>
      <c r="L459" s="841"/>
      <c r="M459" s="841"/>
      <c r="N459" s="841"/>
      <c r="O459" s="841"/>
      <c r="P459" s="841"/>
      <c r="Q459" s="841"/>
      <c r="R459" s="841"/>
    </row>
    <row r="460" spans="2:18">
      <c r="B460" s="841"/>
      <c r="C460" s="842"/>
      <c r="D460" s="842"/>
      <c r="E460" s="842"/>
      <c r="F460" s="1135"/>
      <c r="G460" s="1135"/>
      <c r="H460" s="843"/>
      <c r="I460" s="841"/>
      <c r="J460" s="1135"/>
      <c r="K460" s="841"/>
      <c r="L460" s="841"/>
      <c r="M460" s="841"/>
      <c r="N460" s="841"/>
      <c r="O460" s="841"/>
      <c r="P460" s="841"/>
      <c r="Q460" s="841"/>
      <c r="R460" s="841"/>
    </row>
    <row r="461" spans="2:18">
      <c r="B461" s="841"/>
      <c r="C461" s="842"/>
      <c r="D461" s="842"/>
      <c r="E461" s="842"/>
      <c r="F461" s="1135"/>
      <c r="G461" s="1135"/>
      <c r="H461" s="843"/>
      <c r="I461" s="841"/>
      <c r="J461" s="1135"/>
      <c r="K461" s="841"/>
      <c r="L461" s="841"/>
      <c r="M461" s="841"/>
      <c r="N461" s="841"/>
      <c r="O461" s="841"/>
      <c r="P461" s="841"/>
      <c r="Q461" s="841"/>
      <c r="R461" s="841"/>
    </row>
    <row r="462" spans="2:18">
      <c r="B462" s="841"/>
      <c r="C462" s="842"/>
      <c r="D462" s="842"/>
      <c r="E462" s="842"/>
      <c r="F462" s="1135"/>
      <c r="G462" s="1135"/>
      <c r="H462" s="843"/>
      <c r="I462" s="841"/>
      <c r="J462" s="1135"/>
      <c r="K462" s="841"/>
      <c r="L462" s="841"/>
      <c r="M462" s="841"/>
      <c r="N462" s="841"/>
      <c r="O462" s="841"/>
      <c r="P462" s="841"/>
      <c r="Q462" s="841"/>
      <c r="R462" s="841"/>
    </row>
    <row r="463" spans="2:18">
      <c r="B463" s="841"/>
      <c r="C463" s="842"/>
      <c r="D463" s="842"/>
      <c r="E463" s="842"/>
      <c r="F463" s="1135"/>
      <c r="G463" s="1135"/>
      <c r="H463" s="843"/>
      <c r="I463" s="841"/>
      <c r="J463" s="1135"/>
      <c r="K463" s="841"/>
      <c r="L463" s="841"/>
      <c r="M463" s="841"/>
      <c r="N463" s="841"/>
      <c r="O463" s="841"/>
      <c r="P463" s="841"/>
      <c r="Q463" s="841"/>
      <c r="R463" s="841"/>
    </row>
    <row r="464" spans="2:18">
      <c r="B464" s="841"/>
      <c r="C464" s="842"/>
      <c r="D464" s="842"/>
      <c r="E464" s="842"/>
      <c r="F464" s="1135"/>
      <c r="G464" s="1135"/>
      <c r="H464" s="843"/>
      <c r="I464" s="841"/>
      <c r="J464" s="1135"/>
      <c r="K464" s="841"/>
      <c r="L464" s="841"/>
      <c r="M464" s="841"/>
      <c r="N464" s="841"/>
      <c r="O464" s="841"/>
      <c r="P464" s="841"/>
      <c r="Q464" s="841"/>
      <c r="R464" s="841"/>
    </row>
    <row r="465" spans="2:18">
      <c r="B465" s="841"/>
      <c r="C465" s="842"/>
      <c r="D465" s="842"/>
      <c r="E465" s="842"/>
      <c r="F465" s="1135"/>
      <c r="G465" s="1135"/>
      <c r="H465" s="843"/>
      <c r="I465" s="841"/>
      <c r="J465" s="1135"/>
      <c r="K465" s="841"/>
      <c r="L465" s="841"/>
      <c r="M465" s="841"/>
      <c r="N465" s="841"/>
      <c r="O465" s="841"/>
      <c r="P465" s="841"/>
      <c r="Q465" s="841"/>
      <c r="R465" s="841"/>
    </row>
    <row r="466" spans="2:18">
      <c r="B466" s="841"/>
      <c r="C466" s="842"/>
      <c r="D466" s="842"/>
      <c r="E466" s="842"/>
      <c r="F466" s="1135"/>
      <c r="G466" s="1135"/>
      <c r="H466" s="843"/>
      <c r="I466" s="841"/>
      <c r="J466" s="1135"/>
      <c r="K466" s="841"/>
      <c r="L466" s="841"/>
      <c r="M466" s="841"/>
      <c r="N466" s="841"/>
      <c r="O466" s="841"/>
      <c r="P466" s="841"/>
      <c r="Q466" s="841"/>
      <c r="R466" s="841"/>
    </row>
    <row r="467" spans="2:18">
      <c r="B467" s="841"/>
      <c r="C467" s="842"/>
      <c r="D467" s="842"/>
      <c r="E467" s="842"/>
      <c r="F467" s="1135"/>
      <c r="G467" s="1135"/>
      <c r="H467" s="843"/>
      <c r="I467" s="841"/>
      <c r="J467" s="1135"/>
      <c r="K467" s="841"/>
      <c r="L467" s="841"/>
      <c r="M467" s="841"/>
      <c r="N467" s="841"/>
      <c r="O467" s="841"/>
      <c r="P467" s="841"/>
      <c r="Q467" s="841"/>
      <c r="R467" s="841"/>
    </row>
    <row r="468" spans="2:18">
      <c r="B468" s="841"/>
      <c r="C468" s="842"/>
      <c r="D468" s="842"/>
      <c r="E468" s="842"/>
      <c r="F468" s="1135"/>
      <c r="G468" s="1135"/>
      <c r="H468" s="843"/>
      <c r="I468" s="841"/>
      <c r="J468" s="1135"/>
      <c r="K468" s="841"/>
      <c r="L468" s="841"/>
      <c r="M468" s="841"/>
      <c r="N468" s="841"/>
      <c r="O468" s="841"/>
      <c r="P468" s="841"/>
      <c r="Q468" s="841"/>
      <c r="R468" s="841"/>
    </row>
    <row r="469" spans="2:18">
      <c r="B469" s="841"/>
      <c r="C469" s="842"/>
      <c r="D469" s="842"/>
      <c r="E469" s="842"/>
      <c r="F469" s="1135"/>
      <c r="G469" s="1135"/>
      <c r="H469" s="843"/>
      <c r="I469" s="841"/>
      <c r="J469" s="1135"/>
      <c r="K469" s="841"/>
      <c r="L469" s="841"/>
      <c r="M469" s="841"/>
      <c r="N469" s="841"/>
      <c r="O469" s="841"/>
      <c r="P469" s="841"/>
      <c r="Q469" s="841"/>
      <c r="R469" s="841"/>
    </row>
    <row r="470" spans="2:18">
      <c r="B470" s="841"/>
      <c r="C470" s="842"/>
      <c r="D470" s="842"/>
      <c r="E470" s="842"/>
      <c r="F470" s="1135"/>
      <c r="G470" s="1135"/>
      <c r="H470" s="843"/>
      <c r="I470" s="841"/>
      <c r="J470" s="1135"/>
      <c r="K470" s="841"/>
      <c r="L470" s="841"/>
      <c r="M470" s="841"/>
      <c r="N470" s="841"/>
      <c r="O470" s="841"/>
      <c r="P470" s="841"/>
      <c r="Q470" s="841"/>
      <c r="R470" s="841"/>
    </row>
    <row r="471" spans="2:18">
      <c r="B471" s="841"/>
      <c r="C471" s="842"/>
      <c r="D471" s="842"/>
      <c r="E471" s="842"/>
      <c r="F471" s="1135"/>
      <c r="G471" s="1135"/>
      <c r="H471" s="843"/>
      <c r="I471" s="841"/>
      <c r="J471" s="1135"/>
      <c r="K471" s="841"/>
      <c r="L471" s="841"/>
      <c r="M471" s="841"/>
      <c r="N471" s="841"/>
      <c r="O471" s="841"/>
      <c r="P471" s="841"/>
      <c r="Q471" s="841"/>
      <c r="R471" s="841"/>
    </row>
    <row r="472" spans="2:18">
      <c r="B472" s="841"/>
      <c r="C472" s="842"/>
      <c r="D472" s="842"/>
      <c r="E472" s="842"/>
      <c r="F472" s="1135"/>
      <c r="G472" s="1135"/>
      <c r="H472" s="843"/>
      <c r="I472" s="841"/>
      <c r="J472" s="1135"/>
      <c r="K472" s="841"/>
      <c r="L472" s="841"/>
      <c r="M472" s="841"/>
      <c r="N472" s="841"/>
      <c r="O472" s="841"/>
      <c r="P472" s="841"/>
      <c r="Q472" s="841"/>
      <c r="R472" s="841"/>
    </row>
    <row r="473" spans="2:18">
      <c r="B473" s="841"/>
      <c r="C473" s="842"/>
      <c r="D473" s="842"/>
      <c r="E473" s="842"/>
      <c r="F473" s="1135"/>
      <c r="G473" s="1135"/>
      <c r="H473" s="843"/>
      <c r="I473" s="841"/>
      <c r="J473" s="1135"/>
      <c r="K473" s="841"/>
      <c r="L473" s="841"/>
      <c r="M473" s="841"/>
      <c r="N473" s="841"/>
      <c r="O473" s="841"/>
      <c r="P473" s="841"/>
      <c r="Q473" s="841"/>
      <c r="R473" s="841"/>
    </row>
    <row r="474" spans="2:18">
      <c r="B474" s="841"/>
      <c r="C474" s="842"/>
      <c r="D474" s="842"/>
      <c r="E474" s="842"/>
      <c r="F474" s="1135"/>
      <c r="G474" s="1135"/>
      <c r="H474" s="843"/>
      <c r="I474" s="841"/>
      <c r="J474" s="1135"/>
      <c r="K474" s="841"/>
      <c r="L474" s="841"/>
      <c r="M474" s="841"/>
      <c r="N474" s="841"/>
      <c r="O474" s="841"/>
      <c r="P474" s="841"/>
      <c r="Q474" s="841"/>
      <c r="R474" s="841"/>
    </row>
    <row r="475" spans="2:18">
      <c r="B475" s="841"/>
      <c r="C475" s="842"/>
      <c r="D475" s="842"/>
      <c r="E475" s="842"/>
      <c r="F475" s="1135"/>
      <c r="G475" s="1135"/>
      <c r="H475" s="843"/>
      <c r="I475" s="841"/>
      <c r="J475" s="1135"/>
      <c r="K475" s="841"/>
      <c r="L475" s="841"/>
      <c r="M475" s="841"/>
      <c r="N475" s="841"/>
      <c r="O475" s="841"/>
      <c r="P475" s="841"/>
      <c r="Q475" s="841"/>
      <c r="R475" s="841"/>
    </row>
    <row r="476" spans="2:18">
      <c r="B476" s="841"/>
      <c r="C476" s="842"/>
      <c r="D476" s="842"/>
      <c r="E476" s="842"/>
      <c r="F476" s="1135"/>
      <c r="G476" s="1135"/>
      <c r="H476" s="843"/>
      <c r="I476" s="841"/>
      <c r="J476" s="1135"/>
      <c r="K476" s="841"/>
      <c r="L476" s="841"/>
      <c r="M476" s="841"/>
      <c r="N476" s="841"/>
      <c r="O476" s="841"/>
      <c r="P476" s="841"/>
      <c r="Q476" s="841"/>
      <c r="R476" s="841"/>
    </row>
    <row r="477" spans="2:18">
      <c r="B477" s="841"/>
      <c r="C477" s="842"/>
      <c r="D477" s="842"/>
      <c r="E477" s="842"/>
      <c r="F477" s="1135"/>
      <c r="G477" s="1135"/>
      <c r="H477" s="843"/>
      <c r="I477" s="841"/>
      <c r="J477" s="1135"/>
      <c r="K477" s="841"/>
      <c r="L477" s="841"/>
      <c r="M477" s="841"/>
      <c r="N477" s="841"/>
      <c r="O477" s="841"/>
      <c r="P477" s="841"/>
      <c r="Q477" s="841"/>
      <c r="R477" s="841"/>
    </row>
    <row r="478" spans="2:18">
      <c r="B478" s="841"/>
      <c r="C478" s="842"/>
      <c r="D478" s="842"/>
      <c r="E478" s="842"/>
      <c r="F478" s="1135"/>
      <c r="G478" s="1135"/>
      <c r="H478" s="843"/>
      <c r="I478" s="841"/>
      <c r="J478" s="1135"/>
      <c r="K478" s="841"/>
      <c r="L478" s="841"/>
      <c r="M478" s="841"/>
      <c r="N478" s="841"/>
      <c r="O478" s="841"/>
      <c r="P478" s="841"/>
      <c r="Q478" s="841"/>
      <c r="R478" s="841"/>
    </row>
    <row r="479" spans="2:18">
      <c r="B479" s="841"/>
      <c r="C479" s="842"/>
      <c r="D479" s="842"/>
      <c r="E479" s="842"/>
      <c r="F479" s="1135"/>
      <c r="G479" s="1135"/>
      <c r="H479" s="843"/>
      <c r="I479" s="841"/>
      <c r="J479" s="1135"/>
      <c r="K479" s="841"/>
      <c r="L479" s="841"/>
      <c r="M479" s="841"/>
      <c r="N479" s="841"/>
      <c r="O479" s="841"/>
      <c r="P479" s="841"/>
      <c r="Q479" s="841"/>
      <c r="R479" s="841"/>
    </row>
    <row r="480" spans="2:18">
      <c r="B480" s="841"/>
      <c r="C480" s="842"/>
      <c r="D480" s="842"/>
      <c r="E480" s="842"/>
      <c r="F480" s="1135"/>
      <c r="G480" s="1135"/>
      <c r="H480" s="843"/>
      <c r="I480" s="841"/>
      <c r="J480" s="1135"/>
      <c r="K480" s="841"/>
      <c r="L480" s="841"/>
      <c r="M480" s="841"/>
      <c r="N480" s="841"/>
      <c r="O480" s="841"/>
      <c r="P480" s="841"/>
      <c r="Q480" s="841"/>
      <c r="R480" s="841"/>
    </row>
    <row r="481" spans="2:18">
      <c r="B481" s="841"/>
      <c r="C481" s="842"/>
      <c r="D481" s="842"/>
      <c r="E481" s="842"/>
      <c r="F481" s="1135"/>
      <c r="G481" s="1135"/>
      <c r="H481" s="843"/>
      <c r="I481" s="841"/>
      <c r="J481" s="1135"/>
      <c r="K481" s="841"/>
      <c r="L481" s="841"/>
      <c r="M481" s="841"/>
      <c r="N481" s="841"/>
      <c r="O481" s="841"/>
      <c r="P481" s="841"/>
      <c r="Q481" s="841"/>
      <c r="R481" s="841"/>
    </row>
    <row r="482" spans="2:18">
      <c r="B482" s="841"/>
      <c r="C482" s="842"/>
      <c r="D482" s="842"/>
      <c r="E482" s="842"/>
      <c r="F482" s="1135"/>
      <c r="G482" s="1135"/>
      <c r="H482" s="843"/>
      <c r="I482" s="841"/>
      <c r="J482" s="1135"/>
      <c r="K482" s="841"/>
      <c r="L482" s="841"/>
      <c r="M482" s="841"/>
      <c r="N482" s="841"/>
      <c r="O482" s="841"/>
      <c r="P482" s="841"/>
      <c r="Q482" s="841"/>
      <c r="R482" s="841"/>
    </row>
    <row r="483" spans="2:18">
      <c r="B483" s="841"/>
      <c r="C483" s="842"/>
      <c r="D483" s="842"/>
      <c r="E483" s="842"/>
      <c r="F483" s="1135"/>
      <c r="G483" s="1135"/>
      <c r="H483" s="843"/>
      <c r="I483" s="841"/>
      <c r="J483" s="1135"/>
      <c r="K483" s="841"/>
      <c r="L483" s="841"/>
      <c r="M483" s="841"/>
      <c r="N483" s="841"/>
      <c r="O483" s="841"/>
      <c r="P483" s="841"/>
      <c r="Q483" s="841"/>
      <c r="R483" s="841"/>
    </row>
    <row r="484" spans="2:18">
      <c r="B484" s="841"/>
      <c r="C484" s="842"/>
      <c r="D484" s="842"/>
      <c r="E484" s="842"/>
      <c r="F484" s="1135"/>
      <c r="G484" s="1135"/>
      <c r="H484" s="843"/>
      <c r="I484" s="841"/>
      <c r="J484" s="1135"/>
      <c r="K484" s="841"/>
      <c r="L484" s="841"/>
      <c r="M484" s="841"/>
      <c r="N484" s="841"/>
      <c r="O484" s="841"/>
      <c r="P484" s="841"/>
      <c r="Q484" s="841"/>
      <c r="R484" s="841"/>
    </row>
    <row r="485" spans="2:18">
      <c r="B485" s="841"/>
      <c r="C485" s="842"/>
      <c r="D485" s="842"/>
      <c r="E485" s="842"/>
      <c r="F485" s="1135"/>
      <c r="G485" s="1135"/>
      <c r="H485" s="843"/>
      <c r="I485" s="841"/>
      <c r="J485" s="1135"/>
      <c r="K485" s="841"/>
      <c r="L485" s="841"/>
      <c r="M485" s="841"/>
      <c r="N485" s="841"/>
      <c r="O485" s="841"/>
      <c r="P485" s="841"/>
      <c r="Q485" s="841"/>
      <c r="R485" s="841"/>
    </row>
    <row r="486" spans="2:18">
      <c r="B486" s="841"/>
      <c r="C486" s="842"/>
      <c r="D486" s="842"/>
      <c r="E486" s="842"/>
      <c r="F486" s="1135"/>
      <c r="G486" s="1135"/>
      <c r="H486" s="843"/>
      <c r="I486" s="841"/>
      <c r="J486" s="1135"/>
      <c r="K486" s="841"/>
      <c r="L486" s="841"/>
      <c r="M486" s="841"/>
      <c r="N486" s="841"/>
      <c r="O486" s="841"/>
      <c r="P486" s="841"/>
      <c r="Q486" s="841"/>
      <c r="R486" s="841"/>
    </row>
    <row r="487" spans="2:18">
      <c r="B487" s="841"/>
      <c r="C487" s="842"/>
      <c r="D487" s="842"/>
      <c r="E487" s="842"/>
      <c r="F487" s="1135"/>
      <c r="G487" s="1135"/>
      <c r="H487" s="843"/>
      <c r="I487" s="841"/>
      <c r="J487" s="1135"/>
      <c r="K487" s="841"/>
      <c r="L487" s="841"/>
      <c r="M487" s="841"/>
      <c r="N487" s="841"/>
      <c r="O487" s="841"/>
      <c r="P487" s="841"/>
      <c r="Q487" s="841"/>
      <c r="R487" s="841"/>
    </row>
    <row r="488" spans="2:18">
      <c r="B488" s="841"/>
      <c r="C488" s="842"/>
      <c r="D488" s="842"/>
      <c r="E488" s="842"/>
      <c r="F488" s="1135"/>
      <c r="G488" s="1135"/>
      <c r="H488" s="843"/>
      <c r="I488" s="841"/>
      <c r="J488" s="1135"/>
      <c r="K488" s="841"/>
      <c r="L488" s="841"/>
      <c r="M488" s="841"/>
      <c r="N488" s="841"/>
      <c r="O488" s="841"/>
      <c r="P488" s="841"/>
      <c r="Q488" s="841"/>
      <c r="R488" s="841"/>
    </row>
    <row r="489" spans="2:18">
      <c r="B489" s="841"/>
      <c r="C489" s="842"/>
      <c r="D489" s="842"/>
      <c r="E489" s="842"/>
      <c r="F489" s="1135"/>
      <c r="G489" s="1135"/>
      <c r="H489" s="843"/>
      <c r="I489" s="841"/>
      <c r="J489" s="1135"/>
      <c r="K489" s="841"/>
      <c r="L489" s="841"/>
      <c r="M489" s="841"/>
      <c r="N489" s="841"/>
      <c r="O489" s="841"/>
      <c r="P489" s="841"/>
      <c r="Q489" s="841"/>
      <c r="R489" s="841"/>
    </row>
    <row r="490" spans="2:18">
      <c r="B490" s="841"/>
      <c r="C490" s="842"/>
      <c r="D490" s="842"/>
      <c r="E490" s="842"/>
      <c r="F490" s="1135"/>
      <c r="G490" s="1135"/>
      <c r="H490" s="843"/>
      <c r="I490" s="841"/>
      <c r="J490" s="1135"/>
      <c r="K490" s="841"/>
      <c r="L490" s="841"/>
      <c r="M490" s="841"/>
      <c r="N490" s="841"/>
      <c r="O490" s="841"/>
      <c r="P490" s="841"/>
      <c r="Q490" s="841"/>
      <c r="R490" s="841"/>
    </row>
    <row r="491" spans="2:18">
      <c r="B491" s="841"/>
      <c r="C491" s="842"/>
      <c r="D491" s="842"/>
      <c r="E491" s="842"/>
      <c r="F491" s="1135"/>
      <c r="G491" s="1135"/>
      <c r="H491" s="843"/>
      <c r="I491" s="841"/>
      <c r="J491" s="1135"/>
      <c r="K491" s="841"/>
      <c r="L491" s="841"/>
      <c r="M491" s="841"/>
      <c r="N491" s="841"/>
      <c r="O491" s="841"/>
      <c r="P491" s="841"/>
      <c r="Q491" s="841"/>
      <c r="R491" s="841"/>
    </row>
    <row r="492" spans="2:18">
      <c r="B492" s="841"/>
      <c r="C492" s="842"/>
      <c r="D492" s="842"/>
      <c r="E492" s="842"/>
      <c r="F492" s="1135"/>
      <c r="G492" s="1135"/>
      <c r="H492" s="843"/>
      <c r="I492" s="841"/>
      <c r="J492" s="1135"/>
      <c r="K492" s="841"/>
      <c r="L492" s="841"/>
      <c r="M492" s="841"/>
      <c r="N492" s="841"/>
      <c r="O492" s="841"/>
      <c r="P492" s="841"/>
      <c r="Q492" s="841"/>
      <c r="R492" s="841"/>
    </row>
    <row r="493" spans="2:18">
      <c r="B493" s="841"/>
      <c r="C493" s="842"/>
      <c r="D493" s="842"/>
      <c r="E493" s="842"/>
      <c r="F493" s="1135"/>
      <c r="G493" s="1135"/>
      <c r="H493" s="843"/>
      <c r="I493" s="841"/>
      <c r="J493" s="1135"/>
      <c r="K493" s="841"/>
      <c r="L493" s="841"/>
      <c r="M493" s="841"/>
      <c r="N493" s="841"/>
      <c r="O493" s="841"/>
      <c r="P493" s="841"/>
      <c r="Q493" s="841"/>
      <c r="R493" s="841"/>
    </row>
    <row r="494" spans="2:18">
      <c r="B494" s="841"/>
      <c r="C494" s="842"/>
      <c r="D494" s="842"/>
      <c r="E494" s="842"/>
      <c r="F494" s="1135"/>
      <c r="G494" s="1135"/>
      <c r="H494" s="843"/>
      <c r="I494" s="841"/>
      <c r="J494" s="1135"/>
      <c r="K494" s="841"/>
      <c r="L494" s="841"/>
      <c r="M494" s="841"/>
      <c r="N494" s="841"/>
      <c r="O494" s="841"/>
      <c r="P494" s="841"/>
      <c r="Q494" s="841"/>
      <c r="R494" s="841"/>
    </row>
    <row r="495" spans="2:18">
      <c r="B495" s="841"/>
      <c r="C495" s="842"/>
      <c r="D495" s="842"/>
      <c r="E495" s="842"/>
      <c r="F495" s="1135"/>
      <c r="G495" s="1135"/>
      <c r="H495" s="843"/>
      <c r="I495" s="841"/>
      <c r="J495" s="1135"/>
      <c r="K495" s="841"/>
      <c r="L495" s="841"/>
      <c r="M495" s="841"/>
      <c r="N495" s="841"/>
      <c r="O495" s="841"/>
      <c r="P495" s="841"/>
      <c r="Q495" s="841"/>
      <c r="R495" s="841"/>
    </row>
    <row r="496" spans="2:18">
      <c r="B496" s="841"/>
      <c r="C496" s="842"/>
      <c r="D496" s="842"/>
      <c r="E496" s="842"/>
      <c r="F496" s="1135"/>
      <c r="G496" s="1135"/>
      <c r="H496" s="843"/>
      <c r="I496" s="841"/>
      <c r="J496" s="1135"/>
      <c r="K496" s="841"/>
      <c r="L496" s="841"/>
      <c r="M496" s="841"/>
      <c r="N496" s="841"/>
      <c r="O496" s="841"/>
      <c r="P496" s="841"/>
      <c r="Q496" s="841"/>
      <c r="R496" s="841"/>
    </row>
    <row r="497" spans="2:18">
      <c r="B497" s="841"/>
      <c r="C497" s="842"/>
      <c r="D497" s="842"/>
      <c r="E497" s="842"/>
      <c r="F497" s="1135"/>
      <c r="G497" s="1135"/>
      <c r="H497" s="843"/>
      <c r="I497" s="841"/>
      <c r="J497" s="1135"/>
      <c r="K497" s="841"/>
      <c r="L497" s="841"/>
      <c r="M497" s="841"/>
      <c r="N497" s="841"/>
      <c r="O497" s="841"/>
      <c r="P497" s="841"/>
      <c r="Q497" s="841"/>
      <c r="R497" s="841"/>
    </row>
    <row r="498" spans="2:18">
      <c r="B498" s="841"/>
      <c r="C498" s="842"/>
      <c r="D498" s="842"/>
      <c r="E498" s="842"/>
      <c r="F498" s="1135"/>
      <c r="G498" s="1135"/>
      <c r="H498" s="843"/>
      <c r="I498" s="841"/>
      <c r="J498" s="1135"/>
      <c r="K498" s="841"/>
      <c r="L498" s="841"/>
      <c r="M498" s="841"/>
      <c r="N498" s="841"/>
      <c r="O498" s="841"/>
      <c r="P498" s="841"/>
      <c r="Q498" s="841"/>
      <c r="R498" s="841"/>
    </row>
    <row r="499" spans="2:18">
      <c r="B499" s="841"/>
      <c r="C499" s="842"/>
      <c r="D499" s="842"/>
      <c r="E499" s="842"/>
      <c r="F499" s="1135"/>
      <c r="G499" s="1135"/>
      <c r="H499" s="843"/>
      <c r="I499" s="841"/>
      <c r="J499" s="1135"/>
      <c r="K499" s="841"/>
      <c r="L499" s="841"/>
      <c r="M499" s="841"/>
      <c r="N499" s="841"/>
      <c r="O499" s="841"/>
      <c r="P499" s="841"/>
      <c r="Q499" s="841"/>
      <c r="R499" s="841"/>
    </row>
    <row r="500" spans="2:18">
      <c r="B500" s="841"/>
      <c r="C500" s="842"/>
      <c r="D500" s="842"/>
      <c r="E500" s="842"/>
      <c r="F500" s="1135"/>
      <c r="G500" s="1135"/>
      <c r="H500" s="843"/>
      <c r="I500" s="841"/>
      <c r="J500" s="1135"/>
      <c r="K500" s="841"/>
      <c r="L500" s="841"/>
      <c r="M500" s="841"/>
      <c r="N500" s="841"/>
      <c r="O500" s="841"/>
      <c r="P500" s="841"/>
      <c r="Q500" s="841"/>
      <c r="R500" s="841"/>
    </row>
    <row r="501" spans="2:18">
      <c r="B501" s="841"/>
      <c r="C501" s="842"/>
      <c r="D501" s="842"/>
      <c r="E501" s="842"/>
      <c r="F501" s="1135"/>
      <c r="G501" s="1135"/>
      <c r="H501" s="843"/>
      <c r="I501" s="841"/>
      <c r="J501" s="1135"/>
      <c r="K501" s="841"/>
      <c r="L501" s="841"/>
      <c r="M501" s="841"/>
      <c r="N501" s="841"/>
      <c r="O501" s="841"/>
      <c r="P501" s="841"/>
      <c r="Q501" s="841"/>
      <c r="R501" s="841"/>
    </row>
    <row r="502" spans="2:18">
      <c r="B502" s="841"/>
      <c r="C502" s="842"/>
      <c r="D502" s="842"/>
      <c r="E502" s="842"/>
      <c r="F502" s="1135"/>
      <c r="G502" s="1135"/>
      <c r="H502" s="843"/>
      <c r="I502" s="841"/>
      <c r="J502" s="1135"/>
      <c r="K502" s="841"/>
      <c r="L502" s="841"/>
      <c r="M502" s="841"/>
      <c r="N502" s="841"/>
      <c r="O502" s="841"/>
      <c r="P502" s="841"/>
      <c r="Q502" s="841"/>
      <c r="R502" s="841"/>
    </row>
    <row r="503" spans="2:18">
      <c r="B503" s="841"/>
      <c r="C503" s="842"/>
      <c r="D503" s="842"/>
      <c r="E503" s="842"/>
      <c r="F503" s="1135"/>
      <c r="G503" s="1135"/>
      <c r="H503" s="843"/>
      <c r="I503" s="841"/>
      <c r="J503" s="1135"/>
      <c r="K503" s="841"/>
      <c r="L503" s="841"/>
      <c r="M503" s="841"/>
      <c r="N503" s="841"/>
      <c r="O503" s="841"/>
      <c r="P503" s="841"/>
      <c r="Q503" s="841"/>
      <c r="R503" s="841"/>
    </row>
    <row r="504" spans="2:18">
      <c r="B504" s="841"/>
      <c r="C504" s="842"/>
      <c r="D504" s="842"/>
      <c r="E504" s="842"/>
      <c r="F504" s="1135"/>
      <c r="G504" s="1135"/>
      <c r="H504" s="843"/>
      <c r="I504" s="841"/>
      <c r="J504" s="1135"/>
      <c r="K504" s="841"/>
      <c r="L504" s="841"/>
      <c r="M504" s="841"/>
      <c r="N504" s="841"/>
      <c r="O504" s="841"/>
      <c r="P504" s="841"/>
      <c r="Q504" s="841"/>
      <c r="R504" s="841"/>
    </row>
    <row r="505" spans="2:18">
      <c r="B505" s="841"/>
      <c r="C505" s="842"/>
      <c r="D505" s="842"/>
      <c r="E505" s="842"/>
      <c r="F505" s="1135"/>
      <c r="G505" s="1135"/>
      <c r="H505" s="843"/>
      <c r="I505" s="841"/>
      <c r="J505" s="1135"/>
      <c r="K505" s="841"/>
      <c r="L505" s="841"/>
      <c r="M505" s="841"/>
      <c r="N505" s="841"/>
      <c r="O505" s="841"/>
      <c r="P505" s="841"/>
      <c r="Q505" s="841"/>
      <c r="R505" s="841"/>
    </row>
    <row r="506" spans="2:18">
      <c r="B506" s="841"/>
      <c r="C506" s="842"/>
      <c r="D506" s="842"/>
      <c r="E506" s="842"/>
      <c r="F506" s="1135"/>
      <c r="G506" s="1135"/>
      <c r="H506" s="843"/>
      <c r="I506" s="841"/>
      <c r="J506" s="1135"/>
      <c r="K506" s="841"/>
      <c r="L506" s="841"/>
      <c r="M506" s="841"/>
      <c r="N506" s="841"/>
      <c r="O506" s="841"/>
      <c r="P506" s="841"/>
      <c r="Q506" s="841"/>
      <c r="R506" s="841"/>
    </row>
    <row r="507" spans="2:18">
      <c r="B507" s="841"/>
      <c r="C507" s="842"/>
      <c r="D507" s="842"/>
      <c r="E507" s="842"/>
      <c r="F507" s="1135"/>
      <c r="G507" s="1135"/>
      <c r="H507" s="843"/>
      <c r="I507" s="841"/>
      <c r="J507" s="1135"/>
      <c r="K507" s="841"/>
      <c r="L507" s="841"/>
      <c r="M507" s="841"/>
      <c r="N507" s="841"/>
      <c r="O507" s="841"/>
      <c r="P507" s="841"/>
      <c r="Q507" s="841"/>
      <c r="R507" s="841"/>
    </row>
    <row r="508" spans="2:18">
      <c r="B508" s="841"/>
      <c r="C508" s="842"/>
      <c r="D508" s="842"/>
      <c r="E508" s="842"/>
      <c r="F508" s="1135"/>
      <c r="G508" s="1135"/>
      <c r="H508" s="843"/>
      <c r="I508" s="841"/>
      <c r="J508" s="1135"/>
      <c r="K508" s="841"/>
      <c r="L508" s="841"/>
      <c r="M508" s="841"/>
      <c r="N508" s="841"/>
      <c r="O508" s="841"/>
      <c r="P508" s="841"/>
      <c r="Q508" s="841"/>
      <c r="R508" s="841"/>
    </row>
    <row r="509" spans="2:18">
      <c r="B509" s="841"/>
      <c r="C509" s="842"/>
      <c r="D509" s="842"/>
      <c r="E509" s="842"/>
      <c r="F509" s="1135"/>
      <c r="G509" s="1135"/>
      <c r="H509" s="843"/>
      <c r="I509" s="841"/>
      <c r="J509" s="1135"/>
      <c r="K509" s="841"/>
      <c r="L509" s="841"/>
      <c r="M509" s="841"/>
      <c r="N509" s="841"/>
      <c r="O509" s="841"/>
      <c r="P509" s="841"/>
      <c r="Q509" s="841"/>
      <c r="R509" s="841"/>
    </row>
    <row r="510" spans="2:18">
      <c r="B510" s="841"/>
      <c r="C510" s="842"/>
      <c r="D510" s="842"/>
      <c r="E510" s="842"/>
      <c r="F510" s="1135"/>
      <c r="G510" s="1135"/>
      <c r="H510" s="843"/>
      <c r="I510" s="841"/>
      <c r="J510" s="1135"/>
      <c r="K510" s="841"/>
      <c r="L510" s="841"/>
      <c r="M510" s="841"/>
      <c r="N510" s="841"/>
      <c r="O510" s="841"/>
      <c r="P510" s="841"/>
      <c r="Q510" s="841"/>
      <c r="R510" s="841"/>
    </row>
    <row r="511" spans="2:18">
      <c r="B511" s="841"/>
      <c r="C511" s="842"/>
      <c r="D511" s="842"/>
      <c r="E511" s="842"/>
      <c r="F511" s="1135"/>
      <c r="G511" s="1135"/>
      <c r="H511" s="843"/>
      <c r="I511" s="841"/>
      <c r="J511" s="1135"/>
      <c r="K511" s="841"/>
      <c r="L511" s="841"/>
      <c r="M511" s="841"/>
      <c r="N511" s="841"/>
      <c r="O511" s="841"/>
      <c r="P511" s="841"/>
      <c r="Q511" s="841"/>
      <c r="R511" s="841"/>
    </row>
    <row r="512" spans="2:18">
      <c r="B512" s="841"/>
      <c r="C512" s="842"/>
      <c r="D512" s="842"/>
      <c r="E512" s="842"/>
      <c r="F512" s="1135"/>
      <c r="G512" s="1135"/>
      <c r="H512" s="843"/>
      <c r="I512" s="841"/>
      <c r="J512" s="1135"/>
      <c r="K512" s="841"/>
      <c r="L512" s="841"/>
      <c r="M512" s="841"/>
      <c r="N512" s="841"/>
      <c r="O512" s="841"/>
      <c r="P512" s="841"/>
      <c r="Q512" s="841"/>
      <c r="R512" s="841"/>
    </row>
    <row r="513" spans="2:18">
      <c r="B513" s="841"/>
      <c r="C513" s="842"/>
      <c r="D513" s="842"/>
      <c r="E513" s="842"/>
      <c r="F513" s="1135"/>
      <c r="G513" s="1135"/>
      <c r="H513" s="843"/>
      <c r="I513" s="841"/>
      <c r="J513" s="1135"/>
      <c r="K513" s="841"/>
      <c r="L513" s="841"/>
      <c r="M513" s="841"/>
      <c r="N513" s="841"/>
      <c r="O513" s="841"/>
      <c r="P513" s="841"/>
      <c r="Q513" s="841"/>
      <c r="R513" s="841"/>
    </row>
    <row r="514" spans="2:18">
      <c r="B514" s="841"/>
      <c r="C514" s="842"/>
      <c r="D514" s="842"/>
      <c r="E514" s="842"/>
      <c r="F514" s="1135"/>
      <c r="G514" s="1135"/>
      <c r="H514" s="843"/>
      <c r="I514" s="841"/>
      <c r="J514" s="1135"/>
      <c r="K514" s="841"/>
      <c r="L514" s="841"/>
      <c r="M514" s="841"/>
      <c r="N514" s="841"/>
      <c r="O514" s="841"/>
      <c r="P514" s="841"/>
      <c r="Q514" s="841"/>
      <c r="R514" s="841"/>
    </row>
    <row r="515" spans="2:18">
      <c r="B515" s="841"/>
      <c r="C515" s="842"/>
      <c r="D515" s="842"/>
      <c r="E515" s="842"/>
      <c r="F515" s="1135"/>
      <c r="G515" s="1135"/>
      <c r="H515" s="843"/>
      <c r="I515" s="841"/>
      <c r="J515" s="1135"/>
      <c r="K515" s="841"/>
      <c r="L515" s="841"/>
      <c r="M515" s="841"/>
      <c r="N515" s="841"/>
      <c r="O515" s="841"/>
      <c r="P515" s="841"/>
      <c r="Q515" s="841"/>
      <c r="R515" s="841"/>
    </row>
    <row r="516" spans="2:18">
      <c r="B516" s="841"/>
      <c r="C516" s="842"/>
      <c r="D516" s="842"/>
      <c r="E516" s="842"/>
      <c r="F516" s="1135"/>
      <c r="G516" s="1135"/>
      <c r="H516" s="843"/>
      <c r="I516" s="841"/>
      <c r="J516" s="1135"/>
      <c r="K516" s="841"/>
      <c r="L516" s="841"/>
      <c r="M516" s="841"/>
      <c r="N516" s="841"/>
      <c r="O516" s="841"/>
      <c r="P516" s="841"/>
      <c r="Q516" s="841"/>
      <c r="R516" s="841"/>
    </row>
    <row r="517" spans="2:18">
      <c r="B517" s="841"/>
      <c r="C517" s="842"/>
      <c r="D517" s="842"/>
      <c r="E517" s="842"/>
      <c r="F517" s="1135"/>
      <c r="G517" s="1135"/>
      <c r="H517" s="843"/>
      <c r="I517" s="841"/>
      <c r="J517" s="1135"/>
      <c r="K517" s="841"/>
      <c r="L517" s="841"/>
      <c r="M517" s="841"/>
      <c r="N517" s="841"/>
      <c r="O517" s="841"/>
      <c r="P517" s="841"/>
      <c r="Q517" s="841"/>
      <c r="R517" s="841"/>
    </row>
    <row r="518" spans="2:18">
      <c r="B518" s="841"/>
      <c r="C518" s="842"/>
      <c r="D518" s="842"/>
      <c r="E518" s="842"/>
      <c r="F518" s="1135"/>
      <c r="G518" s="1135"/>
      <c r="H518" s="843"/>
      <c r="I518" s="841"/>
      <c r="J518" s="1135"/>
      <c r="K518" s="841"/>
      <c r="L518" s="841"/>
      <c r="M518" s="841"/>
      <c r="N518" s="841"/>
      <c r="O518" s="841"/>
      <c r="P518" s="841"/>
      <c r="Q518" s="841"/>
      <c r="R518" s="841"/>
    </row>
    <row r="519" spans="2:18">
      <c r="B519" s="841"/>
      <c r="C519" s="842"/>
      <c r="D519" s="842"/>
      <c r="E519" s="842"/>
      <c r="F519" s="1135"/>
      <c r="G519" s="1135"/>
      <c r="H519" s="843"/>
      <c r="I519" s="841"/>
      <c r="J519" s="1135"/>
      <c r="K519" s="841"/>
      <c r="L519" s="841"/>
      <c r="M519" s="841"/>
      <c r="N519" s="841"/>
      <c r="O519" s="841"/>
      <c r="P519" s="841"/>
      <c r="Q519" s="841"/>
      <c r="R519" s="841"/>
    </row>
    <row r="520" spans="2:18">
      <c r="B520" s="841"/>
      <c r="C520" s="842"/>
      <c r="D520" s="842"/>
      <c r="E520" s="842"/>
      <c r="F520" s="1135"/>
      <c r="G520" s="1135"/>
      <c r="H520" s="843"/>
      <c r="I520" s="841"/>
      <c r="J520" s="1135"/>
      <c r="K520" s="841"/>
      <c r="L520" s="841"/>
      <c r="M520" s="841"/>
      <c r="N520" s="841"/>
      <c r="O520" s="841"/>
      <c r="P520" s="841"/>
      <c r="Q520" s="841"/>
      <c r="R520" s="841"/>
    </row>
    <row r="521" spans="2:18">
      <c r="B521" s="841"/>
      <c r="C521" s="842"/>
      <c r="D521" s="842"/>
      <c r="E521" s="842"/>
      <c r="F521" s="1135"/>
      <c r="G521" s="1135"/>
      <c r="H521" s="843"/>
      <c r="I521" s="841"/>
      <c r="J521" s="1135"/>
      <c r="K521" s="841"/>
      <c r="L521" s="841"/>
      <c r="M521" s="841"/>
      <c r="N521" s="841"/>
      <c r="O521" s="841"/>
      <c r="P521" s="841"/>
      <c r="Q521" s="841"/>
      <c r="R521" s="841"/>
    </row>
    <row r="522" spans="2:18">
      <c r="B522" s="841"/>
      <c r="C522" s="842"/>
      <c r="D522" s="842"/>
      <c r="E522" s="842"/>
      <c r="F522" s="1135"/>
      <c r="G522" s="1135"/>
      <c r="H522" s="843"/>
      <c r="I522" s="841"/>
      <c r="J522" s="1135"/>
      <c r="K522" s="841"/>
      <c r="L522" s="841"/>
      <c r="M522" s="841"/>
      <c r="N522" s="841"/>
      <c r="O522" s="841"/>
      <c r="P522" s="841"/>
      <c r="Q522" s="841"/>
      <c r="R522" s="841"/>
    </row>
    <row r="523" spans="2:18">
      <c r="B523" s="841"/>
      <c r="C523" s="842"/>
      <c r="D523" s="842"/>
      <c r="E523" s="842"/>
      <c r="F523" s="1135"/>
      <c r="G523" s="1135"/>
      <c r="H523" s="843"/>
      <c r="I523" s="841"/>
      <c r="J523" s="1135"/>
      <c r="K523" s="841"/>
      <c r="L523" s="841"/>
      <c r="M523" s="841"/>
      <c r="N523" s="841"/>
      <c r="O523" s="841"/>
      <c r="P523" s="841"/>
      <c r="Q523" s="841"/>
      <c r="R523" s="841"/>
    </row>
    <row r="524" spans="2:18">
      <c r="B524" s="841"/>
      <c r="C524" s="842"/>
      <c r="D524" s="842"/>
      <c r="E524" s="842"/>
      <c r="F524" s="1135"/>
      <c r="G524" s="1135"/>
      <c r="H524" s="843"/>
      <c r="I524" s="841"/>
      <c r="J524" s="1135"/>
      <c r="K524" s="841"/>
      <c r="L524" s="841"/>
      <c r="M524" s="841"/>
      <c r="N524" s="841"/>
      <c r="O524" s="841"/>
      <c r="P524" s="841"/>
      <c r="Q524" s="841"/>
      <c r="R524" s="841"/>
    </row>
    <row r="525" spans="2:18">
      <c r="B525" s="841"/>
      <c r="C525" s="842"/>
      <c r="D525" s="842"/>
      <c r="E525" s="842"/>
      <c r="F525" s="1135"/>
      <c r="G525" s="1135"/>
      <c r="H525" s="843"/>
      <c r="I525" s="841"/>
      <c r="J525" s="1135"/>
      <c r="K525" s="841"/>
      <c r="L525" s="841"/>
      <c r="M525" s="841"/>
      <c r="N525" s="841"/>
      <c r="O525" s="841"/>
      <c r="P525" s="841"/>
      <c r="Q525" s="841"/>
      <c r="R525" s="841"/>
    </row>
    <row r="526" spans="2:18">
      <c r="B526" s="841"/>
      <c r="C526" s="842"/>
      <c r="D526" s="842"/>
      <c r="E526" s="842"/>
      <c r="F526" s="1135"/>
      <c r="G526" s="1135"/>
      <c r="H526" s="843"/>
      <c r="I526" s="841"/>
      <c r="J526" s="1135"/>
      <c r="K526" s="841"/>
      <c r="L526" s="841"/>
      <c r="M526" s="841"/>
      <c r="N526" s="841"/>
      <c r="O526" s="841"/>
      <c r="P526" s="841"/>
      <c r="Q526" s="841"/>
      <c r="R526" s="841"/>
    </row>
    <row r="527" spans="2:18">
      <c r="B527" s="841"/>
      <c r="C527" s="842"/>
      <c r="D527" s="842"/>
      <c r="E527" s="842"/>
      <c r="F527" s="1135"/>
      <c r="G527" s="1135"/>
      <c r="H527" s="843"/>
      <c r="I527" s="841"/>
      <c r="J527" s="1135"/>
      <c r="K527" s="841"/>
      <c r="L527" s="841"/>
      <c r="M527" s="841"/>
      <c r="N527" s="841"/>
      <c r="O527" s="841"/>
      <c r="P527" s="841"/>
      <c r="Q527" s="841"/>
      <c r="R527" s="841"/>
    </row>
    <row r="528" spans="2:18">
      <c r="B528" s="841"/>
      <c r="C528" s="842"/>
      <c r="D528" s="842"/>
      <c r="E528" s="842"/>
      <c r="F528" s="1135"/>
      <c r="G528" s="1135"/>
      <c r="H528" s="843"/>
      <c r="I528" s="841"/>
      <c r="J528" s="1135"/>
      <c r="K528" s="841"/>
      <c r="L528" s="841"/>
      <c r="M528" s="841"/>
      <c r="N528" s="841"/>
      <c r="O528" s="841"/>
      <c r="P528" s="841"/>
      <c r="Q528" s="841"/>
      <c r="R528" s="841"/>
    </row>
    <row r="529" spans="2:18">
      <c r="B529" s="841"/>
      <c r="C529" s="842"/>
      <c r="D529" s="842"/>
      <c r="E529" s="842"/>
      <c r="F529" s="1135"/>
      <c r="G529" s="1135"/>
      <c r="H529" s="843"/>
      <c r="I529" s="841"/>
      <c r="J529" s="1135"/>
      <c r="K529" s="841"/>
      <c r="L529" s="841"/>
      <c r="M529" s="841"/>
      <c r="N529" s="841"/>
      <c r="O529" s="841"/>
      <c r="P529" s="841"/>
      <c r="Q529" s="841"/>
      <c r="R529" s="841"/>
    </row>
    <row r="530" spans="2:18">
      <c r="B530" s="841"/>
      <c r="C530" s="842"/>
      <c r="D530" s="842"/>
      <c r="E530" s="842"/>
      <c r="F530" s="1135"/>
      <c r="G530" s="1135"/>
      <c r="H530" s="843"/>
      <c r="I530" s="841"/>
      <c r="J530" s="1135"/>
      <c r="K530" s="841"/>
      <c r="L530" s="841"/>
      <c r="M530" s="841"/>
      <c r="N530" s="841"/>
      <c r="O530" s="841"/>
      <c r="P530" s="841"/>
      <c r="Q530" s="841"/>
      <c r="R530" s="841"/>
    </row>
    <row r="531" spans="2:18">
      <c r="B531" s="841"/>
      <c r="C531" s="842"/>
      <c r="D531" s="842"/>
      <c r="E531" s="842"/>
      <c r="F531" s="1135"/>
      <c r="G531" s="1135"/>
      <c r="H531" s="843"/>
      <c r="I531" s="841"/>
      <c r="J531" s="1135"/>
      <c r="K531" s="841"/>
      <c r="L531" s="841"/>
      <c r="M531" s="841"/>
      <c r="N531" s="841"/>
      <c r="O531" s="841"/>
      <c r="P531" s="841"/>
      <c r="Q531" s="841"/>
      <c r="R531" s="841"/>
    </row>
    <row r="532" spans="2:18">
      <c r="B532" s="841"/>
      <c r="C532" s="842"/>
      <c r="D532" s="842"/>
      <c r="E532" s="842"/>
      <c r="F532" s="1135"/>
      <c r="G532" s="1135"/>
      <c r="H532" s="843"/>
      <c r="I532" s="841"/>
      <c r="J532" s="1135"/>
      <c r="K532" s="841"/>
      <c r="L532" s="841"/>
      <c r="M532" s="841"/>
      <c r="N532" s="841"/>
      <c r="O532" s="841"/>
      <c r="P532" s="841"/>
      <c r="Q532" s="841"/>
      <c r="R532" s="841"/>
    </row>
    <row r="533" spans="2:18">
      <c r="B533" s="841"/>
      <c r="C533" s="842"/>
      <c r="D533" s="842"/>
      <c r="E533" s="842"/>
      <c r="F533" s="1135"/>
      <c r="G533" s="1135"/>
      <c r="H533" s="843"/>
      <c r="I533" s="841"/>
      <c r="J533" s="1135"/>
      <c r="K533" s="841"/>
      <c r="L533" s="841"/>
      <c r="M533" s="841"/>
      <c r="N533" s="841"/>
      <c r="O533" s="841"/>
      <c r="P533" s="841"/>
      <c r="Q533" s="841"/>
      <c r="R533" s="841"/>
    </row>
    <row r="534" spans="2:18">
      <c r="B534" s="841"/>
      <c r="C534" s="842"/>
      <c r="D534" s="842"/>
      <c r="E534" s="842"/>
      <c r="F534" s="1135"/>
      <c r="G534" s="1135"/>
      <c r="H534" s="843"/>
      <c r="I534" s="841"/>
      <c r="J534" s="1135"/>
      <c r="K534" s="841"/>
      <c r="L534" s="841"/>
      <c r="M534" s="841"/>
      <c r="N534" s="841"/>
      <c r="O534" s="841"/>
      <c r="P534" s="841"/>
      <c r="Q534" s="841"/>
      <c r="R534" s="841"/>
    </row>
    <row r="535" spans="2:18">
      <c r="B535" s="841"/>
      <c r="C535" s="842"/>
      <c r="D535" s="842"/>
      <c r="E535" s="842"/>
      <c r="F535" s="1135"/>
      <c r="G535" s="1135"/>
      <c r="H535" s="843"/>
      <c r="I535" s="841"/>
      <c r="J535" s="1135"/>
      <c r="K535" s="841"/>
      <c r="L535" s="841"/>
      <c r="M535" s="841"/>
      <c r="N535" s="841"/>
      <c r="O535" s="841"/>
      <c r="P535" s="841"/>
      <c r="Q535" s="841"/>
      <c r="R535" s="841"/>
    </row>
    <row r="536" spans="2:18">
      <c r="B536" s="841"/>
      <c r="C536" s="842"/>
      <c r="D536" s="842"/>
      <c r="E536" s="842"/>
      <c r="F536" s="1135"/>
      <c r="G536" s="1135"/>
      <c r="H536" s="843"/>
      <c r="I536" s="841"/>
      <c r="J536" s="1135"/>
      <c r="K536" s="841"/>
      <c r="L536" s="841"/>
      <c r="M536" s="841"/>
      <c r="N536" s="841"/>
      <c r="O536" s="841"/>
      <c r="P536" s="841"/>
      <c r="Q536" s="841"/>
      <c r="R536" s="841"/>
    </row>
    <row r="537" spans="2:18">
      <c r="B537" s="841"/>
      <c r="C537" s="842"/>
      <c r="D537" s="842"/>
      <c r="E537" s="842"/>
      <c r="F537" s="1135"/>
      <c r="G537" s="1135"/>
      <c r="H537" s="843"/>
      <c r="I537" s="841"/>
      <c r="J537" s="1135"/>
      <c r="K537" s="841"/>
      <c r="L537" s="841"/>
      <c r="M537" s="841"/>
      <c r="N537" s="841"/>
      <c r="O537" s="841"/>
      <c r="P537" s="841"/>
      <c r="Q537" s="841"/>
      <c r="R537" s="841"/>
    </row>
    <row r="538" spans="2:18">
      <c r="B538" s="841"/>
      <c r="C538" s="842"/>
      <c r="D538" s="842"/>
      <c r="E538" s="842"/>
      <c r="F538" s="1135"/>
      <c r="G538" s="1135"/>
      <c r="H538" s="843"/>
      <c r="I538" s="841"/>
      <c r="J538" s="1135"/>
      <c r="K538" s="841"/>
      <c r="L538" s="841"/>
      <c r="M538" s="841"/>
      <c r="N538" s="841"/>
      <c r="O538" s="841"/>
      <c r="P538" s="841"/>
      <c r="Q538" s="841"/>
      <c r="R538" s="841"/>
    </row>
    <row r="539" spans="2:18">
      <c r="B539" s="841"/>
      <c r="C539" s="842"/>
      <c r="D539" s="842"/>
      <c r="E539" s="842"/>
      <c r="F539" s="1135"/>
      <c r="G539" s="1135"/>
      <c r="H539" s="843"/>
      <c r="I539" s="841"/>
      <c r="J539" s="1135"/>
      <c r="K539" s="841"/>
      <c r="L539" s="841"/>
      <c r="M539" s="841"/>
      <c r="N539" s="841"/>
      <c r="O539" s="841"/>
      <c r="P539" s="841"/>
      <c r="Q539" s="841"/>
      <c r="R539" s="841"/>
    </row>
    <row r="540" spans="2:18">
      <c r="B540" s="841"/>
      <c r="C540" s="842"/>
      <c r="D540" s="842"/>
      <c r="E540" s="842"/>
      <c r="F540" s="1135"/>
      <c r="G540" s="1135"/>
      <c r="H540" s="843"/>
      <c r="I540" s="841"/>
      <c r="J540" s="1135"/>
      <c r="K540" s="841"/>
      <c r="L540" s="841"/>
      <c r="M540" s="841"/>
      <c r="N540" s="841"/>
      <c r="O540" s="841"/>
      <c r="P540" s="841"/>
      <c r="Q540" s="841"/>
      <c r="R540" s="841"/>
    </row>
    <row r="541" spans="2:18">
      <c r="B541" s="841"/>
      <c r="C541" s="842"/>
      <c r="D541" s="842"/>
      <c r="E541" s="842"/>
      <c r="F541" s="1135"/>
      <c r="G541" s="1135"/>
      <c r="H541" s="843"/>
      <c r="I541" s="841"/>
      <c r="J541" s="1135"/>
      <c r="K541" s="841"/>
      <c r="L541" s="841"/>
      <c r="M541" s="841"/>
      <c r="N541" s="841"/>
      <c r="O541" s="841"/>
      <c r="P541" s="841"/>
      <c r="Q541" s="841"/>
      <c r="R541" s="841"/>
    </row>
    <row r="542" spans="2:18">
      <c r="B542" s="841"/>
      <c r="C542" s="842"/>
      <c r="D542" s="842"/>
      <c r="E542" s="842"/>
      <c r="F542" s="1135"/>
      <c r="G542" s="1135"/>
      <c r="H542" s="843"/>
      <c r="I542" s="841"/>
      <c r="J542" s="1135"/>
      <c r="K542" s="841"/>
      <c r="L542" s="841"/>
      <c r="M542" s="841"/>
      <c r="N542" s="841"/>
      <c r="O542" s="841"/>
      <c r="P542" s="841"/>
      <c r="Q542" s="841"/>
      <c r="R542" s="841"/>
    </row>
    <row r="543" spans="2:18">
      <c r="B543" s="841"/>
      <c r="C543" s="842"/>
      <c r="D543" s="842"/>
      <c r="E543" s="842"/>
      <c r="F543" s="1135"/>
      <c r="G543" s="1135"/>
      <c r="H543" s="843"/>
      <c r="I543" s="841"/>
      <c r="J543" s="1135"/>
      <c r="K543" s="841"/>
      <c r="L543" s="841"/>
      <c r="M543" s="841"/>
      <c r="N543" s="841"/>
      <c r="O543" s="841"/>
      <c r="P543" s="841"/>
      <c r="Q543" s="841"/>
      <c r="R543" s="841"/>
    </row>
    <row r="544" spans="2:18">
      <c r="B544" s="841"/>
      <c r="C544" s="842"/>
      <c r="D544" s="842"/>
      <c r="E544" s="842"/>
      <c r="F544" s="1135"/>
      <c r="G544" s="1135"/>
      <c r="H544" s="843"/>
      <c r="I544" s="841"/>
      <c r="J544" s="1135"/>
      <c r="K544" s="841"/>
      <c r="L544" s="841"/>
      <c r="M544" s="841"/>
      <c r="N544" s="841"/>
      <c r="O544" s="841"/>
      <c r="P544" s="841"/>
      <c r="Q544" s="841"/>
      <c r="R544" s="841"/>
    </row>
    <row r="545" spans="2:18">
      <c r="B545" s="841"/>
      <c r="C545" s="842"/>
      <c r="D545" s="842"/>
      <c r="E545" s="842"/>
      <c r="F545" s="1135"/>
      <c r="G545" s="1135"/>
      <c r="H545" s="843"/>
      <c r="I545" s="841"/>
      <c r="J545" s="1135"/>
      <c r="K545" s="841"/>
      <c r="L545" s="841"/>
      <c r="M545" s="841"/>
      <c r="N545" s="841"/>
      <c r="O545" s="841"/>
      <c r="P545" s="841"/>
      <c r="Q545" s="841"/>
      <c r="R545" s="841"/>
    </row>
    <row r="546" spans="2:18">
      <c r="B546" s="841"/>
      <c r="C546" s="842"/>
      <c r="D546" s="842"/>
      <c r="E546" s="842"/>
      <c r="F546" s="1135"/>
      <c r="G546" s="1135"/>
      <c r="H546" s="843"/>
      <c r="I546" s="841"/>
      <c r="J546" s="1135"/>
      <c r="K546" s="841"/>
      <c r="L546" s="841"/>
      <c r="M546" s="841"/>
      <c r="N546" s="841"/>
      <c r="O546" s="841"/>
      <c r="P546" s="841"/>
      <c r="Q546" s="841"/>
      <c r="R546" s="841"/>
    </row>
    <row r="547" spans="2:18">
      <c r="B547" s="841"/>
      <c r="C547" s="842"/>
      <c r="D547" s="842"/>
      <c r="E547" s="842"/>
      <c r="F547" s="1135"/>
      <c r="G547" s="1135"/>
      <c r="H547" s="843"/>
      <c r="I547" s="841"/>
      <c r="J547" s="1135"/>
      <c r="K547" s="841"/>
      <c r="L547" s="841"/>
      <c r="M547" s="841"/>
      <c r="N547" s="841"/>
      <c r="O547" s="841"/>
      <c r="P547" s="841"/>
      <c r="Q547" s="841"/>
      <c r="R547" s="841"/>
    </row>
    <row r="548" spans="2:18">
      <c r="B548" s="841"/>
      <c r="C548" s="842"/>
      <c r="D548" s="842"/>
      <c r="E548" s="842"/>
      <c r="F548" s="1135"/>
      <c r="G548" s="1135"/>
      <c r="H548" s="843"/>
      <c r="I548" s="841"/>
      <c r="J548" s="1135"/>
      <c r="K548" s="841"/>
      <c r="L548" s="841"/>
      <c r="M548" s="841"/>
      <c r="N548" s="841"/>
      <c r="O548" s="841"/>
      <c r="P548" s="841"/>
      <c r="Q548" s="841"/>
      <c r="R548" s="841"/>
    </row>
    <row r="549" spans="2:18">
      <c r="B549" s="841"/>
      <c r="C549" s="842"/>
      <c r="D549" s="842"/>
      <c r="E549" s="842"/>
      <c r="F549" s="1135"/>
      <c r="G549" s="1135"/>
      <c r="H549" s="843"/>
      <c r="I549" s="841"/>
      <c r="J549" s="1135"/>
      <c r="K549" s="841"/>
      <c r="L549" s="841"/>
      <c r="M549" s="841"/>
      <c r="N549" s="841"/>
      <c r="O549" s="841"/>
      <c r="P549" s="841"/>
      <c r="Q549" s="841"/>
      <c r="R549" s="841"/>
    </row>
    <row r="550" spans="2:18">
      <c r="B550" s="841"/>
      <c r="C550" s="842"/>
      <c r="D550" s="842"/>
      <c r="E550" s="842"/>
      <c r="F550" s="1135"/>
      <c r="G550" s="1135"/>
      <c r="H550" s="843"/>
      <c r="I550" s="841"/>
      <c r="J550" s="1135"/>
      <c r="K550" s="841"/>
      <c r="L550" s="841"/>
      <c r="M550" s="841"/>
      <c r="N550" s="841"/>
      <c r="O550" s="841"/>
      <c r="P550" s="841"/>
      <c r="Q550" s="841"/>
      <c r="R550" s="841"/>
    </row>
    <row r="551" spans="2:18">
      <c r="B551" s="841"/>
      <c r="C551" s="842"/>
      <c r="D551" s="842"/>
      <c r="E551" s="842"/>
      <c r="F551" s="1135"/>
      <c r="G551" s="1135"/>
      <c r="H551" s="843"/>
      <c r="I551" s="841"/>
      <c r="J551" s="1135"/>
      <c r="K551" s="841"/>
      <c r="L551" s="841"/>
      <c r="M551" s="841"/>
      <c r="N551" s="841"/>
      <c r="O551" s="841"/>
      <c r="P551" s="841"/>
      <c r="Q551" s="841"/>
      <c r="R551" s="841"/>
    </row>
    <row r="552" spans="2:18">
      <c r="B552" s="841"/>
      <c r="C552" s="842"/>
      <c r="D552" s="842"/>
      <c r="E552" s="842"/>
      <c r="F552" s="1135"/>
      <c r="G552" s="1135"/>
      <c r="H552" s="843"/>
      <c r="I552" s="841"/>
      <c r="J552" s="1135"/>
      <c r="K552" s="841"/>
      <c r="L552" s="841"/>
      <c r="M552" s="841"/>
      <c r="N552" s="841"/>
      <c r="O552" s="841"/>
      <c r="P552" s="841"/>
      <c r="Q552" s="841"/>
      <c r="R552" s="841"/>
    </row>
    <row r="553" spans="2:18">
      <c r="B553" s="841"/>
      <c r="C553" s="842"/>
      <c r="D553" s="842"/>
      <c r="E553" s="842"/>
      <c r="F553" s="1135"/>
      <c r="G553" s="1135"/>
      <c r="H553" s="843"/>
      <c r="I553" s="841"/>
      <c r="J553" s="1135"/>
      <c r="K553" s="841"/>
      <c r="L553" s="841"/>
      <c r="M553" s="841"/>
      <c r="N553" s="841"/>
      <c r="O553" s="841"/>
      <c r="P553" s="841"/>
      <c r="Q553" s="841"/>
      <c r="R553" s="841"/>
    </row>
    <row r="554" spans="2:18">
      <c r="B554" s="841"/>
      <c r="C554" s="842"/>
      <c r="D554" s="842"/>
      <c r="E554" s="842"/>
      <c r="F554" s="1135"/>
      <c r="G554" s="1135"/>
      <c r="H554" s="843"/>
      <c r="I554" s="841"/>
      <c r="J554" s="1135"/>
      <c r="K554" s="841"/>
      <c r="L554" s="841"/>
      <c r="M554" s="841"/>
      <c r="N554" s="841"/>
      <c r="O554" s="841"/>
      <c r="P554" s="841"/>
      <c r="Q554" s="841"/>
      <c r="R554" s="841"/>
    </row>
    <row r="555" spans="2:18">
      <c r="B555" s="841"/>
      <c r="C555" s="842"/>
      <c r="D555" s="842"/>
      <c r="E555" s="842"/>
      <c r="F555" s="1135"/>
      <c r="G555" s="1135"/>
      <c r="H555" s="843"/>
      <c r="I555" s="841"/>
      <c r="J555" s="1135"/>
      <c r="K555" s="841"/>
      <c r="L555" s="841"/>
      <c r="M555" s="841"/>
      <c r="N555" s="841"/>
      <c r="O555" s="841"/>
      <c r="P555" s="841"/>
      <c r="Q555" s="841"/>
      <c r="R555" s="841"/>
    </row>
    <row r="556" spans="2:18">
      <c r="B556" s="841"/>
      <c r="C556" s="842"/>
      <c r="D556" s="842"/>
      <c r="E556" s="842"/>
      <c r="F556" s="1135"/>
      <c r="G556" s="1135"/>
      <c r="H556" s="843"/>
      <c r="I556" s="841"/>
      <c r="J556" s="1135"/>
      <c r="K556" s="841"/>
      <c r="L556" s="841"/>
      <c r="M556" s="841"/>
      <c r="N556" s="841"/>
      <c r="O556" s="841"/>
      <c r="P556" s="841"/>
      <c r="Q556" s="841"/>
      <c r="R556" s="841"/>
    </row>
    <row r="557" spans="2:18">
      <c r="B557" s="841"/>
      <c r="C557" s="842"/>
      <c r="D557" s="842"/>
      <c r="E557" s="842"/>
      <c r="F557" s="1135"/>
      <c r="G557" s="1135"/>
      <c r="H557" s="843"/>
      <c r="I557" s="841"/>
      <c r="J557" s="1135"/>
      <c r="K557" s="841"/>
      <c r="L557" s="841"/>
      <c r="M557" s="841"/>
      <c r="N557" s="841"/>
      <c r="O557" s="841"/>
      <c r="P557" s="841"/>
      <c r="Q557" s="841"/>
      <c r="R557" s="841"/>
    </row>
    <row r="558" spans="2:18">
      <c r="B558" s="841"/>
      <c r="C558" s="842"/>
      <c r="D558" s="842"/>
      <c r="E558" s="842"/>
      <c r="F558" s="1135"/>
      <c r="G558" s="1135"/>
      <c r="H558" s="843"/>
      <c r="I558" s="841"/>
      <c r="J558" s="1135"/>
      <c r="K558" s="841"/>
      <c r="L558" s="841"/>
      <c r="M558" s="841"/>
      <c r="N558" s="841"/>
      <c r="O558" s="841"/>
      <c r="P558" s="841"/>
      <c r="Q558" s="841"/>
      <c r="R558" s="841"/>
    </row>
    <row r="559" spans="2:18">
      <c r="B559" s="841"/>
      <c r="C559" s="842"/>
      <c r="D559" s="842"/>
      <c r="E559" s="842"/>
      <c r="F559" s="1135"/>
      <c r="G559" s="1135"/>
      <c r="H559" s="843"/>
      <c r="I559" s="841"/>
      <c r="J559" s="1135"/>
      <c r="K559" s="841"/>
      <c r="L559" s="841"/>
      <c r="M559" s="841"/>
      <c r="N559" s="841"/>
      <c r="O559" s="841"/>
      <c r="P559" s="841"/>
      <c r="Q559" s="841"/>
      <c r="R559" s="841"/>
    </row>
    <row r="560" spans="2:18">
      <c r="B560" s="841"/>
      <c r="C560" s="842"/>
      <c r="D560" s="842"/>
      <c r="E560" s="842"/>
      <c r="F560" s="1135"/>
      <c r="G560" s="1135"/>
      <c r="H560" s="843"/>
      <c r="I560" s="841"/>
      <c r="J560" s="1135"/>
      <c r="K560" s="841"/>
      <c r="L560" s="841"/>
      <c r="M560" s="841"/>
      <c r="N560" s="841"/>
      <c r="O560" s="841"/>
      <c r="P560" s="841"/>
      <c r="Q560" s="841"/>
      <c r="R560" s="841"/>
    </row>
    <row r="561" spans="2:18">
      <c r="B561" s="841"/>
      <c r="C561" s="842"/>
      <c r="D561" s="842"/>
      <c r="E561" s="842"/>
      <c r="F561" s="1135"/>
      <c r="G561" s="1135"/>
      <c r="H561" s="843"/>
      <c r="I561" s="841"/>
      <c r="J561" s="1135"/>
      <c r="K561" s="841"/>
      <c r="L561" s="841"/>
      <c r="M561" s="841"/>
      <c r="N561" s="841"/>
      <c r="O561" s="841"/>
      <c r="P561" s="841"/>
      <c r="Q561" s="841"/>
      <c r="R561" s="841"/>
    </row>
    <row r="562" spans="2:18">
      <c r="B562" s="841"/>
      <c r="C562" s="842"/>
      <c r="D562" s="842"/>
      <c r="E562" s="842"/>
      <c r="F562" s="1135"/>
      <c r="G562" s="1135"/>
      <c r="H562" s="843"/>
      <c r="I562" s="841"/>
      <c r="J562" s="1135"/>
      <c r="K562" s="841"/>
      <c r="L562" s="841"/>
      <c r="M562" s="841"/>
      <c r="N562" s="841"/>
      <c r="O562" s="841"/>
      <c r="P562" s="841"/>
      <c r="Q562" s="841"/>
      <c r="R562" s="841"/>
    </row>
    <row r="563" spans="2:18">
      <c r="B563" s="841"/>
      <c r="C563" s="842"/>
      <c r="D563" s="842"/>
      <c r="E563" s="842"/>
      <c r="F563" s="1135"/>
      <c r="G563" s="1135"/>
      <c r="H563" s="843"/>
      <c r="I563" s="841"/>
      <c r="J563" s="1135"/>
      <c r="K563" s="841"/>
      <c r="L563" s="841"/>
      <c r="M563" s="841"/>
      <c r="N563" s="841"/>
      <c r="O563" s="841"/>
      <c r="P563" s="841"/>
      <c r="Q563" s="841"/>
      <c r="R563" s="841"/>
    </row>
    <row r="564" spans="2:18">
      <c r="B564" s="841"/>
      <c r="C564" s="842"/>
      <c r="D564" s="842"/>
      <c r="E564" s="842"/>
      <c r="F564" s="1135"/>
      <c r="G564" s="1135"/>
      <c r="H564" s="843"/>
      <c r="I564" s="841"/>
      <c r="J564" s="1135"/>
      <c r="K564" s="841"/>
      <c r="L564" s="841"/>
      <c r="M564" s="841"/>
      <c r="N564" s="841"/>
      <c r="O564" s="841"/>
      <c r="P564" s="841"/>
      <c r="Q564" s="841"/>
      <c r="R564" s="841"/>
    </row>
    <row r="565" spans="2:18">
      <c r="B565" s="841"/>
      <c r="C565" s="842"/>
      <c r="D565" s="842"/>
      <c r="E565" s="842"/>
      <c r="F565" s="1135"/>
      <c r="G565" s="1135"/>
      <c r="H565" s="843"/>
      <c r="I565" s="841"/>
      <c r="J565" s="1135"/>
      <c r="K565" s="841"/>
      <c r="L565" s="841"/>
      <c r="M565" s="841"/>
      <c r="N565" s="841"/>
      <c r="O565" s="841"/>
      <c r="P565" s="841"/>
      <c r="Q565" s="841"/>
      <c r="R565" s="841"/>
    </row>
    <row r="566" spans="2:18">
      <c r="B566" s="841"/>
      <c r="C566" s="842"/>
      <c r="D566" s="842"/>
      <c r="E566" s="842"/>
      <c r="F566" s="1135"/>
      <c r="G566" s="1135"/>
      <c r="H566" s="843"/>
      <c r="I566" s="841"/>
      <c r="J566" s="1135"/>
      <c r="K566" s="841"/>
      <c r="L566" s="841"/>
      <c r="M566" s="841"/>
      <c r="N566" s="841"/>
      <c r="O566" s="841"/>
      <c r="P566" s="841"/>
      <c r="Q566" s="841"/>
      <c r="R566" s="841"/>
    </row>
    <row r="567" spans="2:18">
      <c r="B567" s="841"/>
      <c r="C567" s="842"/>
      <c r="D567" s="842"/>
      <c r="E567" s="842"/>
      <c r="F567" s="1135"/>
      <c r="G567" s="1135"/>
      <c r="H567" s="843"/>
      <c r="I567" s="841"/>
      <c r="J567" s="1135"/>
      <c r="K567" s="841"/>
      <c r="L567" s="841"/>
      <c r="M567" s="841"/>
      <c r="N567" s="841"/>
      <c r="O567" s="841"/>
      <c r="P567" s="841"/>
      <c r="Q567" s="841"/>
      <c r="R567" s="841"/>
    </row>
    <row r="568" spans="2:18">
      <c r="B568" s="841"/>
      <c r="C568" s="842"/>
      <c r="D568" s="842"/>
      <c r="E568" s="842"/>
      <c r="F568" s="1135"/>
      <c r="G568" s="1135"/>
      <c r="H568" s="843"/>
      <c r="I568" s="841"/>
      <c r="J568" s="1135"/>
      <c r="K568" s="841"/>
      <c r="L568" s="841"/>
      <c r="M568" s="841"/>
      <c r="N568" s="841"/>
      <c r="O568" s="841"/>
      <c r="P568" s="841"/>
      <c r="Q568" s="841"/>
      <c r="R568" s="841"/>
    </row>
    <row r="569" spans="2:18">
      <c r="B569" s="841"/>
      <c r="C569" s="842"/>
      <c r="D569" s="842"/>
      <c r="E569" s="842"/>
      <c r="F569" s="1135"/>
      <c r="G569" s="1135"/>
      <c r="H569" s="843"/>
      <c r="I569" s="841"/>
      <c r="J569" s="1135"/>
      <c r="K569" s="841"/>
      <c r="L569" s="841"/>
      <c r="M569" s="841"/>
      <c r="N569" s="841"/>
      <c r="O569" s="841"/>
      <c r="P569" s="841"/>
      <c r="Q569" s="841"/>
      <c r="R569" s="841"/>
    </row>
    <row r="570" spans="2:18">
      <c r="B570" s="841"/>
      <c r="C570" s="842"/>
      <c r="D570" s="842"/>
      <c r="E570" s="842"/>
      <c r="F570" s="1135"/>
      <c r="G570" s="1135"/>
      <c r="H570" s="843"/>
      <c r="I570" s="841"/>
      <c r="J570" s="1135"/>
      <c r="K570" s="841"/>
      <c r="L570" s="841"/>
      <c r="M570" s="841"/>
      <c r="N570" s="841"/>
      <c r="O570" s="841"/>
      <c r="P570" s="841"/>
      <c r="Q570" s="841"/>
      <c r="R570" s="841"/>
    </row>
    <row r="571" spans="2:18">
      <c r="B571" s="841"/>
      <c r="C571" s="842"/>
      <c r="D571" s="842"/>
      <c r="E571" s="842"/>
      <c r="F571" s="1135"/>
      <c r="G571" s="1135"/>
      <c r="H571" s="843"/>
      <c r="I571" s="841"/>
      <c r="J571" s="1135"/>
      <c r="K571" s="841"/>
      <c r="L571" s="841"/>
      <c r="M571" s="841"/>
      <c r="N571" s="841"/>
      <c r="O571" s="841"/>
      <c r="P571" s="841"/>
      <c r="Q571" s="841"/>
      <c r="R571" s="841"/>
    </row>
    <row r="572" spans="2:18">
      <c r="B572" s="841"/>
      <c r="C572" s="842"/>
      <c r="D572" s="842"/>
      <c r="E572" s="842"/>
      <c r="F572" s="1135"/>
      <c r="G572" s="1135"/>
      <c r="H572" s="843"/>
      <c r="I572" s="841"/>
      <c r="J572" s="1135"/>
      <c r="K572" s="841"/>
      <c r="L572" s="841"/>
      <c r="M572" s="841"/>
      <c r="N572" s="841"/>
      <c r="O572" s="841"/>
      <c r="P572" s="841"/>
      <c r="Q572" s="841"/>
      <c r="R572" s="841"/>
    </row>
    <row r="573" spans="2:18">
      <c r="B573" s="841"/>
      <c r="C573" s="842"/>
      <c r="D573" s="842"/>
      <c r="E573" s="842"/>
      <c r="F573" s="1135"/>
      <c r="G573" s="1135"/>
      <c r="H573" s="843"/>
      <c r="I573" s="841"/>
      <c r="J573" s="1135"/>
      <c r="K573" s="841"/>
      <c r="L573" s="841"/>
      <c r="M573" s="841"/>
      <c r="N573" s="841"/>
      <c r="O573" s="841"/>
      <c r="P573" s="841"/>
      <c r="Q573" s="841"/>
      <c r="R573" s="841"/>
    </row>
    <row r="574" spans="2:18">
      <c r="B574" s="841"/>
      <c r="C574" s="842"/>
      <c r="D574" s="842"/>
      <c r="E574" s="842"/>
      <c r="F574" s="1135"/>
      <c r="G574" s="1135"/>
      <c r="H574" s="843"/>
      <c r="I574" s="841"/>
      <c r="J574" s="1135"/>
      <c r="K574" s="841"/>
      <c r="L574" s="841"/>
      <c r="M574" s="841"/>
      <c r="N574" s="841"/>
      <c r="O574" s="841"/>
      <c r="P574" s="841"/>
      <c r="Q574" s="841"/>
      <c r="R574" s="841"/>
    </row>
    <row r="575" spans="2:18">
      <c r="B575" s="841"/>
      <c r="C575" s="842"/>
      <c r="D575" s="842"/>
      <c r="E575" s="842"/>
      <c r="F575" s="1135"/>
      <c r="G575" s="1135"/>
      <c r="H575" s="843"/>
      <c r="I575" s="841"/>
      <c r="J575" s="1135"/>
      <c r="K575" s="841"/>
      <c r="L575" s="841"/>
      <c r="M575" s="841"/>
      <c r="N575" s="841"/>
      <c r="O575" s="841"/>
      <c r="P575" s="841"/>
      <c r="Q575" s="841"/>
      <c r="R575" s="841"/>
    </row>
    <row r="576" spans="2:18">
      <c r="B576" s="841"/>
      <c r="C576" s="842"/>
      <c r="D576" s="842"/>
      <c r="E576" s="842"/>
      <c r="F576" s="1135"/>
      <c r="G576" s="1135"/>
      <c r="H576" s="843"/>
      <c r="I576" s="841"/>
      <c r="J576" s="1135"/>
      <c r="K576" s="841"/>
      <c r="L576" s="841"/>
      <c r="M576" s="841"/>
      <c r="N576" s="841"/>
      <c r="O576" s="841"/>
      <c r="P576" s="841"/>
      <c r="Q576" s="841"/>
      <c r="R576" s="841"/>
    </row>
    <row r="577" spans="2:18">
      <c r="B577" s="841"/>
      <c r="C577" s="842"/>
      <c r="D577" s="842"/>
      <c r="E577" s="842"/>
      <c r="F577" s="1135"/>
      <c r="G577" s="1135"/>
      <c r="H577" s="843"/>
      <c r="I577" s="841"/>
      <c r="J577" s="1135"/>
      <c r="K577" s="841"/>
      <c r="L577" s="841"/>
      <c r="M577" s="841"/>
      <c r="N577" s="841"/>
      <c r="O577" s="841"/>
      <c r="P577" s="841"/>
      <c r="Q577" s="841"/>
      <c r="R577" s="841"/>
    </row>
    <row r="578" spans="2:18">
      <c r="B578" s="841"/>
      <c r="C578" s="842"/>
      <c r="D578" s="842"/>
      <c r="E578" s="842"/>
      <c r="F578" s="1135"/>
      <c r="G578" s="1135"/>
      <c r="H578" s="843"/>
      <c r="I578" s="841"/>
      <c r="J578" s="1135"/>
      <c r="K578" s="841"/>
      <c r="L578" s="841"/>
      <c r="M578" s="841"/>
      <c r="N578" s="841"/>
      <c r="O578" s="841"/>
      <c r="P578" s="841"/>
      <c r="Q578" s="841"/>
      <c r="R578" s="841"/>
    </row>
    <row r="579" spans="2:18">
      <c r="B579" s="841"/>
      <c r="C579" s="842"/>
      <c r="D579" s="842"/>
      <c r="E579" s="842"/>
      <c r="F579" s="1135"/>
      <c r="G579" s="1135"/>
      <c r="H579" s="843"/>
      <c r="I579" s="841"/>
      <c r="J579" s="1135"/>
      <c r="K579" s="841"/>
      <c r="L579" s="841"/>
      <c r="M579" s="841"/>
      <c r="N579" s="841"/>
      <c r="O579" s="841"/>
      <c r="P579" s="841"/>
      <c r="Q579" s="841"/>
      <c r="R579" s="841"/>
    </row>
    <row r="580" spans="2:18">
      <c r="B580" s="841"/>
      <c r="C580" s="842"/>
      <c r="D580" s="842"/>
      <c r="E580" s="842"/>
      <c r="F580" s="1135"/>
      <c r="G580" s="1135"/>
      <c r="H580" s="843"/>
      <c r="I580" s="841"/>
      <c r="J580" s="1135"/>
      <c r="K580" s="841"/>
      <c r="L580" s="841"/>
      <c r="M580" s="841"/>
      <c r="N580" s="841"/>
      <c r="O580" s="841"/>
      <c r="P580" s="841"/>
      <c r="Q580" s="841"/>
      <c r="R580" s="841"/>
    </row>
    <row r="581" spans="2:18">
      <c r="B581" s="841"/>
      <c r="C581" s="842"/>
      <c r="D581" s="842"/>
      <c r="E581" s="842"/>
      <c r="F581" s="1135"/>
      <c r="G581" s="1135"/>
      <c r="H581" s="843"/>
      <c r="I581" s="841"/>
      <c r="J581" s="1135"/>
      <c r="K581" s="841"/>
      <c r="L581" s="841"/>
      <c r="M581" s="841"/>
      <c r="N581" s="841"/>
      <c r="O581" s="841"/>
      <c r="P581" s="841"/>
      <c r="Q581" s="841"/>
      <c r="R581" s="841"/>
    </row>
    <row r="582" spans="2:18">
      <c r="B582" s="841"/>
      <c r="C582" s="842"/>
      <c r="D582" s="842"/>
      <c r="E582" s="842"/>
      <c r="F582" s="1135"/>
      <c r="G582" s="1135"/>
      <c r="H582" s="843"/>
      <c r="I582" s="841"/>
      <c r="J582" s="1135"/>
      <c r="K582" s="841"/>
      <c r="L582" s="841"/>
      <c r="M582" s="841"/>
      <c r="N582" s="841"/>
      <c r="O582" s="841"/>
      <c r="P582" s="841"/>
      <c r="Q582" s="841"/>
      <c r="R582" s="841"/>
    </row>
    <row r="583" spans="2:18">
      <c r="B583" s="841"/>
      <c r="C583" s="842"/>
      <c r="D583" s="842"/>
      <c r="E583" s="842"/>
      <c r="F583" s="1135"/>
      <c r="G583" s="1135"/>
      <c r="H583" s="843"/>
      <c r="I583" s="841"/>
      <c r="J583" s="1135"/>
      <c r="K583" s="841"/>
      <c r="L583" s="841"/>
      <c r="M583" s="841"/>
      <c r="N583" s="841"/>
      <c r="O583" s="841"/>
      <c r="P583" s="841"/>
      <c r="Q583" s="841"/>
      <c r="R583" s="841"/>
    </row>
    <row r="584" spans="2:18">
      <c r="B584" s="841"/>
      <c r="C584" s="842"/>
      <c r="D584" s="842"/>
      <c r="E584" s="842"/>
      <c r="F584" s="1135"/>
      <c r="G584" s="1135"/>
      <c r="H584" s="843"/>
      <c r="I584" s="841"/>
      <c r="J584" s="1135"/>
      <c r="K584" s="841"/>
      <c r="L584" s="841"/>
      <c r="M584" s="841"/>
      <c r="N584" s="841"/>
      <c r="O584" s="841"/>
      <c r="P584" s="841"/>
      <c r="Q584" s="841"/>
      <c r="R584" s="841"/>
    </row>
    <row r="585" spans="2:18">
      <c r="B585" s="841"/>
      <c r="C585" s="842"/>
      <c r="D585" s="842"/>
      <c r="E585" s="842"/>
      <c r="F585" s="1135"/>
      <c r="G585" s="1135"/>
      <c r="H585" s="843"/>
      <c r="I585" s="841"/>
      <c r="J585" s="1135"/>
      <c r="K585" s="841"/>
      <c r="L585" s="841"/>
      <c r="M585" s="841"/>
      <c r="N585" s="841"/>
      <c r="O585" s="841"/>
      <c r="P585" s="841"/>
      <c r="Q585" s="841"/>
      <c r="R585" s="841"/>
    </row>
    <row r="586" spans="2:18">
      <c r="B586" s="841"/>
      <c r="C586" s="842"/>
      <c r="D586" s="842"/>
      <c r="E586" s="842"/>
      <c r="F586" s="1135"/>
      <c r="G586" s="1135"/>
      <c r="H586" s="843"/>
      <c r="I586" s="841"/>
      <c r="J586" s="1135"/>
      <c r="K586" s="841"/>
      <c r="L586" s="841"/>
      <c r="M586" s="841"/>
      <c r="N586" s="841"/>
      <c r="O586" s="841"/>
      <c r="P586" s="841"/>
      <c r="Q586" s="841"/>
      <c r="R586" s="841"/>
    </row>
    <row r="587" spans="2:18">
      <c r="B587" s="841"/>
      <c r="C587" s="842"/>
      <c r="D587" s="842"/>
      <c r="E587" s="842"/>
      <c r="F587" s="1135"/>
      <c r="G587" s="1135"/>
      <c r="H587" s="843"/>
      <c r="I587" s="841"/>
      <c r="J587" s="1135"/>
      <c r="K587" s="841"/>
      <c r="L587" s="841"/>
      <c r="M587" s="841"/>
      <c r="N587" s="841"/>
      <c r="O587" s="841"/>
      <c r="P587" s="841"/>
      <c r="Q587" s="841"/>
      <c r="R587" s="841"/>
    </row>
    <row r="588" spans="2:18">
      <c r="B588" s="841"/>
      <c r="C588" s="842"/>
      <c r="D588" s="842"/>
      <c r="E588" s="842"/>
      <c r="F588" s="1135"/>
      <c r="G588" s="1135"/>
      <c r="H588" s="843"/>
      <c r="I588" s="841"/>
      <c r="J588" s="1135"/>
      <c r="K588" s="841"/>
      <c r="L588" s="841"/>
      <c r="M588" s="841"/>
      <c r="N588" s="841"/>
      <c r="O588" s="841"/>
      <c r="P588" s="841"/>
      <c r="Q588" s="841"/>
      <c r="R588" s="841"/>
    </row>
    <row r="589" spans="2:18">
      <c r="B589" s="841"/>
      <c r="C589" s="842"/>
      <c r="D589" s="842"/>
      <c r="E589" s="842"/>
      <c r="F589" s="1135"/>
      <c r="G589" s="1135"/>
      <c r="H589" s="843"/>
      <c r="I589" s="841"/>
      <c r="J589" s="1135"/>
      <c r="K589" s="841"/>
      <c r="L589" s="841"/>
      <c r="M589" s="841"/>
      <c r="N589" s="841"/>
      <c r="O589" s="841"/>
      <c r="P589" s="841"/>
      <c r="Q589" s="841"/>
      <c r="R589" s="841"/>
    </row>
    <row r="590" spans="2:18">
      <c r="B590" s="841"/>
      <c r="C590" s="842"/>
      <c r="D590" s="842"/>
      <c r="E590" s="842"/>
      <c r="F590" s="1135"/>
      <c r="G590" s="1135"/>
      <c r="H590" s="843"/>
      <c r="I590" s="841"/>
      <c r="J590" s="1135"/>
      <c r="K590" s="841"/>
      <c r="L590" s="841"/>
      <c r="M590" s="841"/>
      <c r="N590" s="841"/>
      <c r="O590" s="841"/>
      <c r="P590" s="841"/>
      <c r="Q590" s="841"/>
      <c r="R590" s="841"/>
    </row>
    <row r="591" spans="2:18">
      <c r="B591" s="841"/>
      <c r="C591" s="842"/>
      <c r="D591" s="842"/>
      <c r="E591" s="842"/>
      <c r="F591" s="1135"/>
      <c r="G591" s="1135"/>
      <c r="H591" s="843"/>
      <c r="I591" s="841"/>
      <c r="J591" s="1135"/>
      <c r="K591" s="841"/>
      <c r="L591" s="841"/>
      <c r="M591" s="841"/>
      <c r="N591" s="841"/>
      <c r="O591" s="841"/>
      <c r="P591" s="841"/>
      <c r="Q591" s="841"/>
      <c r="R591" s="841"/>
    </row>
    <row r="592" spans="2:18">
      <c r="B592" s="841"/>
      <c r="C592" s="842"/>
      <c r="D592" s="842"/>
      <c r="E592" s="842"/>
      <c r="F592" s="1135"/>
      <c r="G592" s="1135"/>
      <c r="H592" s="843"/>
      <c r="I592" s="841"/>
      <c r="J592" s="1135"/>
      <c r="K592" s="841"/>
      <c r="L592" s="841"/>
      <c r="M592" s="841"/>
      <c r="N592" s="841"/>
      <c r="O592" s="841"/>
      <c r="P592" s="841"/>
      <c r="Q592" s="841"/>
      <c r="R592" s="841"/>
    </row>
    <row r="593" spans="2:18">
      <c r="B593" s="841"/>
      <c r="C593" s="842"/>
      <c r="D593" s="842"/>
      <c r="E593" s="842"/>
      <c r="F593" s="1135"/>
      <c r="G593" s="1135"/>
      <c r="H593" s="843"/>
      <c r="I593" s="841"/>
      <c r="J593" s="1135"/>
      <c r="K593" s="841"/>
      <c r="L593" s="841"/>
      <c r="M593" s="841"/>
      <c r="N593" s="841"/>
      <c r="O593" s="841"/>
      <c r="P593" s="841"/>
      <c r="Q593" s="841"/>
      <c r="R593" s="841"/>
    </row>
    <row r="594" spans="2:18">
      <c r="B594" s="841"/>
      <c r="C594" s="842"/>
      <c r="D594" s="842"/>
      <c r="E594" s="842"/>
      <c r="F594" s="1135"/>
      <c r="G594" s="1135"/>
      <c r="H594" s="843"/>
      <c r="I594" s="841"/>
      <c r="J594" s="1135"/>
      <c r="K594" s="841"/>
      <c r="L594" s="841"/>
      <c r="M594" s="841"/>
      <c r="N594" s="841"/>
      <c r="O594" s="841"/>
      <c r="P594" s="841"/>
      <c r="Q594" s="841"/>
      <c r="R594" s="841"/>
    </row>
    <row r="595" spans="2:18">
      <c r="B595" s="841"/>
      <c r="C595" s="842"/>
      <c r="D595" s="842"/>
      <c r="E595" s="842"/>
      <c r="F595" s="1135"/>
      <c r="G595" s="1135"/>
      <c r="H595" s="843"/>
      <c r="I595" s="841"/>
      <c r="J595" s="1135"/>
      <c r="K595" s="841"/>
      <c r="L595" s="841"/>
      <c r="M595" s="841"/>
      <c r="N595" s="841"/>
      <c r="O595" s="841"/>
      <c r="P595" s="841"/>
      <c r="Q595" s="841"/>
      <c r="R595" s="841"/>
    </row>
    <row r="596" spans="2:18">
      <c r="B596" s="841"/>
      <c r="C596" s="842"/>
      <c r="D596" s="842"/>
      <c r="E596" s="842"/>
      <c r="F596" s="1135"/>
      <c r="G596" s="1135"/>
      <c r="H596" s="843"/>
      <c r="I596" s="841"/>
      <c r="J596" s="1135"/>
      <c r="K596" s="841"/>
      <c r="L596" s="841"/>
      <c r="M596" s="841"/>
      <c r="N596" s="841"/>
      <c r="O596" s="841"/>
      <c r="P596" s="841"/>
      <c r="Q596" s="841"/>
      <c r="R596" s="841"/>
    </row>
    <row r="597" spans="2:18">
      <c r="B597" s="841"/>
      <c r="C597" s="842"/>
      <c r="D597" s="842"/>
      <c r="E597" s="842"/>
      <c r="F597" s="1135"/>
      <c r="G597" s="1135"/>
      <c r="H597" s="843"/>
      <c r="I597" s="841"/>
      <c r="J597" s="1135"/>
      <c r="K597" s="841"/>
      <c r="L597" s="841"/>
      <c r="M597" s="841"/>
      <c r="N597" s="841"/>
      <c r="O597" s="841"/>
      <c r="P597" s="841"/>
      <c r="Q597" s="841"/>
      <c r="R597" s="841"/>
    </row>
    <row r="598" spans="2:18">
      <c r="B598" s="841"/>
      <c r="C598" s="842"/>
      <c r="D598" s="842"/>
      <c r="E598" s="842"/>
      <c r="F598" s="1135"/>
      <c r="G598" s="1135"/>
      <c r="H598" s="843"/>
      <c r="I598" s="841"/>
      <c r="J598" s="1135"/>
      <c r="K598" s="841"/>
      <c r="L598" s="841"/>
      <c r="M598" s="841"/>
      <c r="N598" s="841"/>
      <c r="O598" s="841"/>
      <c r="P598" s="841"/>
      <c r="Q598" s="841"/>
      <c r="R598" s="841"/>
    </row>
    <row r="599" spans="2:18">
      <c r="B599" s="841"/>
      <c r="C599" s="842"/>
      <c r="D599" s="842"/>
      <c r="E599" s="842"/>
      <c r="F599" s="1135"/>
      <c r="G599" s="1135"/>
      <c r="H599" s="843"/>
      <c r="I599" s="841"/>
      <c r="J599" s="1135"/>
      <c r="K599" s="841"/>
      <c r="L599" s="841"/>
      <c r="M599" s="841"/>
      <c r="N599" s="841"/>
      <c r="O599" s="841"/>
      <c r="P599" s="841"/>
      <c r="Q599" s="841"/>
      <c r="R599" s="841"/>
    </row>
    <row r="600" spans="2:18">
      <c r="B600" s="841"/>
      <c r="C600" s="842"/>
      <c r="D600" s="842"/>
      <c r="E600" s="842"/>
      <c r="F600" s="1135"/>
      <c r="G600" s="1135"/>
      <c r="H600" s="843"/>
      <c r="I600" s="841"/>
      <c r="J600" s="1135"/>
      <c r="K600" s="841"/>
      <c r="L600" s="841"/>
      <c r="M600" s="841"/>
      <c r="N600" s="841"/>
      <c r="O600" s="841"/>
      <c r="P600" s="841"/>
      <c r="Q600" s="841"/>
      <c r="R600" s="841"/>
    </row>
    <row r="601" spans="2:18">
      <c r="B601" s="841"/>
      <c r="C601" s="842"/>
      <c r="D601" s="842"/>
      <c r="E601" s="842"/>
      <c r="F601" s="1135"/>
      <c r="G601" s="1135"/>
      <c r="H601" s="843"/>
      <c r="I601" s="841"/>
      <c r="J601" s="1135"/>
      <c r="K601" s="841"/>
      <c r="L601" s="841"/>
      <c r="M601" s="841"/>
      <c r="N601" s="841"/>
      <c r="O601" s="841"/>
      <c r="P601" s="841"/>
      <c r="Q601" s="841"/>
      <c r="R601" s="841"/>
    </row>
    <row r="602" spans="2:18">
      <c r="B602" s="841"/>
      <c r="C602" s="842"/>
      <c r="D602" s="842"/>
      <c r="E602" s="842"/>
      <c r="F602" s="1135"/>
      <c r="G602" s="1135"/>
      <c r="H602" s="843"/>
      <c r="I602" s="841"/>
      <c r="J602" s="1135"/>
      <c r="K602" s="841"/>
      <c r="L602" s="841"/>
      <c r="M602" s="841"/>
      <c r="N602" s="841"/>
      <c r="O602" s="841"/>
      <c r="P602" s="841"/>
      <c r="Q602" s="841"/>
      <c r="R602" s="841"/>
    </row>
    <row r="603" spans="2:18">
      <c r="B603" s="841"/>
      <c r="C603" s="842"/>
      <c r="D603" s="842"/>
      <c r="E603" s="842"/>
      <c r="F603" s="1135"/>
      <c r="G603" s="1135"/>
      <c r="H603" s="843"/>
      <c r="I603" s="841"/>
      <c r="J603" s="1135"/>
      <c r="K603" s="841"/>
      <c r="L603" s="841"/>
      <c r="M603" s="841"/>
      <c r="N603" s="841"/>
      <c r="O603" s="841"/>
      <c r="P603" s="841"/>
      <c r="Q603" s="841"/>
      <c r="R603" s="841"/>
    </row>
    <row r="604" spans="2:18">
      <c r="B604" s="841"/>
      <c r="C604" s="842"/>
      <c r="D604" s="842"/>
      <c r="E604" s="842"/>
      <c r="F604" s="1135"/>
      <c r="G604" s="1135"/>
      <c r="H604" s="843"/>
      <c r="I604" s="841"/>
      <c r="J604" s="1135"/>
      <c r="K604" s="841"/>
      <c r="L604" s="841"/>
      <c r="M604" s="841"/>
      <c r="N604" s="841"/>
      <c r="O604" s="841"/>
      <c r="P604" s="841"/>
      <c r="Q604" s="841"/>
      <c r="R604" s="841"/>
    </row>
    <row r="605" spans="2:18">
      <c r="B605" s="841"/>
      <c r="C605" s="842"/>
      <c r="D605" s="842"/>
      <c r="E605" s="842"/>
      <c r="F605" s="1135"/>
      <c r="G605" s="1135"/>
      <c r="H605" s="843"/>
      <c r="I605" s="841"/>
      <c r="J605" s="1135"/>
      <c r="K605" s="841"/>
      <c r="L605" s="841"/>
      <c r="M605" s="841"/>
      <c r="N605" s="841"/>
      <c r="O605" s="841"/>
      <c r="P605" s="841"/>
      <c r="Q605" s="841"/>
      <c r="R605" s="841"/>
    </row>
    <row r="606" spans="2:18">
      <c r="B606" s="841"/>
      <c r="C606" s="842"/>
      <c r="D606" s="842"/>
      <c r="E606" s="842"/>
      <c r="F606" s="1135"/>
      <c r="G606" s="1135"/>
      <c r="H606" s="843"/>
      <c r="I606" s="841"/>
      <c r="J606" s="1135"/>
      <c r="K606" s="841"/>
      <c r="L606" s="841"/>
      <c r="M606" s="841"/>
      <c r="N606" s="841"/>
      <c r="O606" s="841"/>
      <c r="P606" s="841"/>
      <c r="Q606" s="841"/>
      <c r="R606" s="841"/>
    </row>
    <row r="607" spans="2:18">
      <c r="B607" s="841"/>
      <c r="C607" s="842"/>
      <c r="D607" s="842"/>
      <c r="E607" s="842"/>
      <c r="F607" s="1135"/>
      <c r="G607" s="1135"/>
      <c r="H607" s="843"/>
      <c r="I607" s="841"/>
      <c r="J607" s="1135"/>
      <c r="K607" s="841"/>
      <c r="L607" s="841"/>
      <c r="M607" s="841"/>
      <c r="N607" s="841"/>
      <c r="O607" s="841"/>
      <c r="P607" s="841"/>
      <c r="Q607" s="841"/>
      <c r="R607" s="841"/>
    </row>
    <row r="608" spans="2:18">
      <c r="B608" s="841"/>
      <c r="C608" s="842"/>
      <c r="D608" s="842"/>
      <c r="E608" s="842"/>
      <c r="F608" s="1135"/>
      <c r="G608" s="1135"/>
      <c r="H608" s="843"/>
      <c r="I608" s="841"/>
      <c r="J608" s="1135"/>
      <c r="K608" s="841"/>
      <c r="L608" s="841"/>
      <c r="M608" s="841"/>
      <c r="N608" s="841"/>
      <c r="O608" s="841"/>
      <c r="P608" s="841"/>
      <c r="Q608" s="841"/>
      <c r="R608" s="841"/>
    </row>
    <row r="609" spans="2:18">
      <c r="B609" s="841"/>
      <c r="C609" s="842"/>
      <c r="D609" s="842"/>
      <c r="E609" s="842"/>
      <c r="F609" s="1135"/>
      <c r="G609" s="1135"/>
      <c r="H609" s="843"/>
      <c r="I609" s="841"/>
      <c r="J609" s="1135"/>
      <c r="K609" s="841"/>
      <c r="L609" s="841"/>
      <c r="M609" s="841"/>
      <c r="N609" s="841"/>
      <c r="O609" s="841"/>
      <c r="P609" s="841"/>
      <c r="Q609" s="841"/>
      <c r="R609" s="841"/>
    </row>
    <row r="610" spans="2:18">
      <c r="B610" s="841"/>
      <c r="C610" s="842"/>
      <c r="D610" s="842"/>
      <c r="E610" s="842"/>
      <c r="F610" s="1135"/>
      <c r="G610" s="1135"/>
      <c r="H610" s="843"/>
      <c r="I610" s="841"/>
      <c r="J610" s="1135"/>
      <c r="K610" s="841"/>
      <c r="L610" s="841"/>
      <c r="M610" s="841"/>
      <c r="N610" s="841"/>
      <c r="O610" s="841"/>
      <c r="P610" s="841"/>
      <c r="Q610" s="841"/>
      <c r="R610" s="841"/>
    </row>
    <row r="611" spans="2:18">
      <c r="B611" s="841"/>
      <c r="C611" s="842"/>
      <c r="D611" s="842"/>
      <c r="E611" s="842"/>
      <c r="F611" s="1135"/>
      <c r="G611" s="1135"/>
      <c r="H611" s="843"/>
      <c r="I611" s="841"/>
      <c r="J611" s="1135"/>
      <c r="K611" s="841"/>
      <c r="L611" s="841"/>
      <c r="M611" s="841"/>
      <c r="N611" s="841"/>
      <c r="O611" s="841"/>
      <c r="P611" s="841"/>
      <c r="Q611" s="841"/>
      <c r="R611" s="841"/>
    </row>
    <row r="612" spans="2:18">
      <c r="B612" s="841"/>
      <c r="C612" s="842"/>
      <c r="D612" s="842"/>
      <c r="E612" s="842"/>
      <c r="F612" s="1135"/>
      <c r="G612" s="1135"/>
      <c r="H612" s="843"/>
      <c r="I612" s="841"/>
      <c r="J612" s="1135"/>
      <c r="K612" s="841"/>
      <c r="L612" s="841"/>
      <c r="M612" s="841"/>
      <c r="N612" s="841"/>
      <c r="O612" s="841"/>
      <c r="P612" s="841"/>
      <c r="Q612" s="841"/>
      <c r="R612" s="841"/>
    </row>
    <row r="613" spans="2:18">
      <c r="B613" s="841"/>
      <c r="C613" s="842"/>
      <c r="D613" s="842"/>
      <c r="E613" s="842"/>
      <c r="F613" s="1135"/>
      <c r="G613" s="1135"/>
      <c r="H613" s="843"/>
      <c r="I613" s="841"/>
      <c r="J613" s="1135"/>
      <c r="K613" s="841"/>
      <c r="L613" s="841"/>
      <c r="M613" s="841"/>
      <c r="N613" s="841"/>
      <c r="O613" s="841"/>
      <c r="P613" s="841"/>
      <c r="Q613" s="841"/>
      <c r="R613" s="841"/>
    </row>
    <row r="614" spans="2:18">
      <c r="B614" s="841"/>
      <c r="C614" s="842"/>
      <c r="D614" s="842"/>
      <c r="E614" s="842"/>
      <c r="F614" s="1135"/>
      <c r="G614" s="1135"/>
      <c r="H614" s="843"/>
      <c r="I614" s="841"/>
      <c r="J614" s="1135"/>
      <c r="K614" s="841"/>
      <c r="L614" s="841"/>
      <c r="M614" s="841"/>
      <c r="N614" s="841"/>
      <c r="O614" s="841"/>
      <c r="P614" s="841"/>
      <c r="Q614" s="841"/>
      <c r="R614" s="841"/>
    </row>
    <row r="615" spans="2:18">
      <c r="B615" s="841"/>
      <c r="C615" s="842"/>
      <c r="D615" s="842"/>
      <c r="E615" s="842"/>
      <c r="F615" s="1135"/>
      <c r="G615" s="1135"/>
      <c r="H615" s="843"/>
      <c r="I615" s="841"/>
      <c r="J615" s="1135"/>
      <c r="K615" s="841"/>
      <c r="L615" s="841"/>
      <c r="M615" s="841"/>
      <c r="N615" s="841"/>
      <c r="O615" s="841"/>
      <c r="P615" s="841"/>
      <c r="Q615" s="841"/>
      <c r="R615" s="841"/>
    </row>
    <row r="616" spans="2:18">
      <c r="B616" s="841"/>
      <c r="C616" s="842"/>
      <c r="D616" s="842"/>
      <c r="E616" s="842"/>
      <c r="F616" s="1135"/>
      <c r="G616" s="1135"/>
      <c r="H616" s="843"/>
      <c r="I616" s="841"/>
      <c r="J616" s="1135"/>
      <c r="K616" s="841"/>
      <c r="L616" s="841"/>
      <c r="M616" s="841"/>
      <c r="N616" s="841"/>
      <c r="O616" s="841"/>
      <c r="P616" s="841"/>
      <c r="Q616" s="841"/>
      <c r="R616" s="841"/>
    </row>
    <row r="617" spans="2:18">
      <c r="B617" s="841"/>
      <c r="C617" s="842"/>
      <c r="D617" s="842"/>
      <c r="E617" s="842"/>
      <c r="F617" s="1135"/>
      <c r="G617" s="1135"/>
      <c r="H617" s="843"/>
      <c r="I617" s="841"/>
      <c r="J617" s="1135"/>
      <c r="K617" s="841"/>
      <c r="L617" s="841"/>
      <c r="M617" s="841"/>
      <c r="N617" s="841"/>
      <c r="O617" s="841"/>
      <c r="P617" s="841"/>
      <c r="Q617" s="841"/>
      <c r="R617" s="841"/>
    </row>
    <row r="618" spans="2:18">
      <c r="B618" s="841"/>
      <c r="C618" s="842"/>
      <c r="D618" s="842"/>
      <c r="E618" s="842"/>
      <c r="F618" s="1135"/>
      <c r="G618" s="1135"/>
      <c r="H618" s="843"/>
      <c r="I618" s="841"/>
      <c r="J618" s="1135"/>
      <c r="K618" s="841"/>
      <c r="L618" s="841"/>
      <c r="M618" s="841"/>
      <c r="N618" s="841"/>
      <c r="O618" s="841"/>
      <c r="P618" s="841"/>
      <c r="Q618" s="841"/>
      <c r="R618" s="841"/>
    </row>
    <row r="619" spans="2:18">
      <c r="B619" s="841"/>
      <c r="C619" s="842"/>
      <c r="D619" s="842"/>
      <c r="E619" s="842"/>
      <c r="F619" s="1135"/>
      <c r="G619" s="1135"/>
      <c r="H619" s="843"/>
      <c r="I619" s="841"/>
      <c r="J619" s="1135"/>
      <c r="K619" s="841"/>
      <c r="L619" s="841"/>
      <c r="M619" s="841"/>
      <c r="N619" s="841"/>
      <c r="O619" s="841"/>
      <c r="P619" s="841"/>
      <c r="Q619" s="841"/>
      <c r="R619" s="841"/>
    </row>
    <row r="620" spans="2:18">
      <c r="B620" s="841"/>
      <c r="C620" s="842"/>
      <c r="D620" s="842"/>
      <c r="E620" s="842"/>
      <c r="F620" s="1135"/>
      <c r="G620" s="1135"/>
      <c r="H620" s="843"/>
      <c r="I620" s="841"/>
      <c r="J620" s="1135"/>
      <c r="K620" s="841"/>
      <c r="L620" s="841"/>
      <c r="M620" s="841"/>
      <c r="N620" s="841"/>
      <c r="O620" s="841"/>
      <c r="P620" s="841"/>
      <c r="Q620" s="841"/>
      <c r="R620" s="841"/>
    </row>
    <row r="621" spans="2:18">
      <c r="B621" s="841"/>
      <c r="C621" s="842"/>
      <c r="D621" s="842"/>
      <c r="E621" s="842"/>
      <c r="F621" s="1135"/>
      <c r="G621" s="1135"/>
      <c r="H621" s="843"/>
      <c r="I621" s="841"/>
      <c r="J621" s="1135"/>
      <c r="K621" s="841"/>
      <c r="L621" s="841"/>
      <c r="M621" s="841"/>
      <c r="N621" s="841"/>
      <c r="O621" s="841"/>
      <c r="P621" s="841"/>
      <c r="Q621" s="841"/>
      <c r="R621" s="841"/>
    </row>
    <row r="622" spans="2:18">
      <c r="B622" s="841"/>
      <c r="C622" s="842"/>
      <c r="D622" s="842"/>
      <c r="E622" s="842"/>
      <c r="F622" s="1135"/>
      <c r="G622" s="1135"/>
      <c r="H622" s="843"/>
      <c r="I622" s="841"/>
      <c r="J622" s="1135"/>
      <c r="K622" s="841"/>
      <c r="L622" s="841"/>
      <c r="M622" s="841"/>
      <c r="N622" s="841"/>
      <c r="O622" s="841"/>
      <c r="P622" s="841"/>
      <c r="Q622" s="841"/>
      <c r="R622" s="841"/>
    </row>
    <row r="623" spans="2:18">
      <c r="B623" s="841"/>
      <c r="C623" s="842"/>
      <c r="D623" s="842"/>
      <c r="E623" s="842"/>
      <c r="F623" s="1135"/>
      <c r="G623" s="1135"/>
      <c r="H623" s="843"/>
      <c r="I623" s="841"/>
      <c r="J623" s="1135"/>
      <c r="K623" s="841"/>
      <c r="L623" s="841"/>
      <c r="M623" s="841"/>
      <c r="N623" s="841"/>
      <c r="O623" s="841"/>
      <c r="P623" s="841"/>
      <c r="Q623" s="841"/>
      <c r="R623" s="841"/>
    </row>
    <row r="624" spans="2:18">
      <c r="B624" s="841"/>
      <c r="C624" s="842"/>
      <c r="D624" s="842"/>
      <c r="E624" s="842"/>
      <c r="F624" s="1135"/>
      <c r="G624" s="1135"/>
      <c r="H624" s="843"/>
      <c r="I624" s="841"/>
      <c r="J624" s="1135"/>
      <c r="K624" s="841"/>
      <c r="L624" s="841"/>
      <c r="M624" s="841"/>
      <c r="N624" s="841"/>
      <c r="O624" s="841"/>
      <c r="P624" s="841"/>
      <c r="Q624" s="841"/>
      <c r="R624" s="841"/>
    </row>
    <row r="625" spans="2:18">
      <c r="B625" s="841"/>
      <c r="C625" s="842"/>
      <c r="D625" s="842"/>
      <c r="E625" s="842"/>
      <c r="F625" s="1135"/>
      <c r="G625" s="1135"/>
      <c r="H625" s="843"/>
      <c r="I625" s="841"/>
      <c r="J625" s="1135"/>
      <c r="K625" s="841"/>
      <c r="L625" s="841"/>
      <c r="M625" s="841"/>
      <c r="N625" s="841"/>
      <c r="O625" s="841"/>
      <c r="P625" s="841"/>
      <c r="Q625" s="841"/>
      <c r="R625" s="841"/>
    </row>
    <row r="626" spans="2:18">
      <c r="B626" s="841"/>
      <c r="C626" s="842"/>
      <c r="D626" s="842"/>
      <c r="E626" s="842"/>
      <c r="F626" s="1135"/>
      <c r="G626" s="1135"/>
      <c r="H626" s="843"/>
      <c r="I626" s="841"/>
      <c r="J626" s="1135"/>
      <c r="K626" s="841"/>
      <c r="L626" s="841"/>
      <c r="M626" s="841"/>
      <c r="N626" s="841"/>
      <c r="O626" s="841"/>
      <c r="P626" s="841"/>
      <c r="Q626" s="841"/>
      <c r="R626" s="841"/>
    </row>
    <row r="627" spans="2:18">
      <c r="B627" s="841"/>
      <c r="C627" s="842"/>
      <c r="D627" s="842"/>
      <c r="E627" s="842"/>
      <c r="F627" s="1135"/>
      <c r="G627" s="1135"/>
      <c r="H627" s="843"/>
      <c r="I627" s="841"/>
      <c r="J627" s="1135"/>
      <c r="K627" s="841"/>
      <c r="L627" s="841"/>
      <c r="M627" s="841"/>
      <c r="N627" s="841"/>
      <c r="O627" s="841"/>
      <c r="P627" s="841"/>
      <c r="Q627" s="841"/>
      <c r="R627" s="841"/>
    </row>
    <row r="628" spans="2:18">
      <c r="B628" s="841"/>
      <c r="C628" s="842"/>
      <c r="D628" s="842"/>
      <c r="E628" s="842"/>
      <c r="F628" s="1135"/>
      <c r="G628" s="1135"/>
      <c r="H628" s="843"/>
      <c r="I628" s="841"/>
      <c r="J628" s="1135"/>
      <c r="K628" s="841"/>
      <c r="L628" s="841"/>
      <c r="M628" s="841"/>
      <c r="N628" s="841"/>
      <c r="O628" s="841"/>
      <c r="P628" s="841"/>
      <c r="Q628" s="841"/>
      <c r="R628" s="841"/>
    </row>
    <row r="629" spans="2:18">
      <c r="B629" s="841"/>
      <c r="C629" s="842"/>
      <c r="D629" s="842"/>
      <c r="E629" s="842"/>
      <c r="F629" s="1135"/>
      <c r="G629" s="1135"/>
      <c r="H629" s="843"/>
      <c r="I629" s="841"/>
      <c r="J629" s="1135"/>
      <c r="K629" s="841"/>
      <c r="L629" s="841"/>
      <c r="M629" s="841"/>
      <c r="N629" s="841"/>
      <c r="O629" s="841"/>
      <c r="P629" s="841"/>
      <c r="Q629" s="841"/>
      <c r="R629" s="841"/>
    </row>
    <row r="630" spans="2:18">
      <c r="B630" s="841"/>
      <c r="C630" s="842"/>
      <c r="D630" s="842"/>
      <c r="E630" s="842"/>
      <c r="F630" s="1135"/>
      <c r="G630" s="1135"/>
      <c r="H630" s="843"/>
      <c r="I630" s="841"/>
      <c r="J630" s="1135"/>
      <c r="K630" s="841"/>
      <c r="L630" s="841"/>
      <c r="M630" s="841"/>
      <c r="N630" s="841"/>
      <c r="O630" s="841"/>
      <c r="P630" s="841"/>
      <c r="Q630" s="841"/>
      <c r="R630" s="841"/>
    </row>
    <row r="631" spans="2:18">
      <c r="B631" s="841"/>
      <c r="C631" s="842"/>
      <c r="D631" s="842"/>
      <c r="E631" s="842"/>
      <c r="F631" s="1135"/>
      <c r="G631" s="1135"/>
      <c r="H631" s="843"/>
      <c r="I631" s="841"/>
      <c r="J631" s="1135"/>
      <c r="K631" s="841"/>
      <c r="L631" s="841"/>
      <c r="M631" s="841"/>
      <c r="N631" s="841"/>
      <c r="O631" s="841"/>
      <c r="P631" s="841"/>
      <c r="Q631" s="841"/>
      <c r="R631" s="841"/>
    </row>
    <row r="632" spans="2:18">
      <c r="B632" s="841"/>
      <c r="C632" s="842"/>
      <c r="D632" s="842"/>
      <c r="E632" s="842"/>
      <c r="F632" s="1135"/>
      <c r="G632" s="1135"/>
      <c r="H632" s="843"/>
      <c r="I632" s="841"/>
      <c r="J632" s="1135"/>
      <c r="K632" s="841"/>
      <c r="L632" s="841"/>
      <c r="M632" s="841"/>
      <c r="N632" s="841"/>
      <c r="O632" s="841"/>
      <c r="P632" s="841"/>
      <c r="Q632" s="841"/>
      <c r="R632" s="841"/>
    </row>
    <row r="633" spans="2:18">
      <c r="B633" s="841"/>
      <c r="C633" s="842"/>
      <c r="D633" s="842"/>
      <c r="E633" s="842"/>
      <c r="F633" s="1135"/>
      <c r="G633" s="1135"/>
      <c r="H633" s="843"/>
      <c r="I633" s="841"/>
      <c r="J633" s="1135"/>
      <c r="K633" s="841"/>
      <c r="L633" s="841"/>
      <c r="M633" s="841"/>
      <c r="N633" s="841"/>
      <c r="O633" s="841"/>
      <c r="P633" s="841"/>
      <c r="Q633" s="841"/>
      <c r="R633" s="841"/>
    </row>
    <row r="634" spans="2:18">
      <c r="B634" s="841"/>
      <c r="C634" s="842"/>
      <c r="D634" s="842"/>
      <c r="E634" s="842"/>
      <c r="F634" s="1135"/>
      <c r="G634" s="1135"/>
      <c r="H634" s="843"/>
      <c r="I634" s="841"/>
      <c r="J634" s="1135"/>
      <c r="K634" s="841"/>
      <c r="L634" s="841"/>
      <c r="M634" s="841"/>
      <c r="N634" s="841"/>
      <c r="O634" s="841"/>
      <c r="P634" s="841"/>
      <c r="Q634" s="841"/>
      <c r="R634" s="841"/>
    </row>
    <row r="635" spans="2:18">
      <c r="B635" s="841"/>
      <c r="C635" s="842"/>
      <c r="D635" s="842"/>
      <c r="E635" s="842"/>
      <c r="F635" s="1135"/>
      <c r="G635" s="1135"/>
      <c r="H635" s="843"/>
      <c r="I635" s="841"/>
      <c r="J635" s="1135"/>
      <c r="K635" s="841"/>
      <c r="L635" s="841"/>
      <c r="M635" s="841"/>
      <c r="N635" s="841"/>
      <c r="O635" s="841"/>
      <c r="P635" s="841"/>
      <c r="Q635" s="841"/>
      <c r="R635" s="841"/>
    </row>
    <row r="636" spans="2:18">
      <c r="B636" s="841"/>
      <c r="C636" s="842"/>
      <c r="D636" s="842"/>
      <c r="E636" s="842"/>
      <c r="F636" s="1135"/>
      <c r="G636" s="1135"/>
      <c r="H636" s="843"/>
      <c r="I636" s="841"/>
      <c r="J636" s="1135"/>
      <c r="K636" s="841"/>
      <c r="L636" s="841"/>
      <c r="M636" s="841"/>
      <c r="N636" s="841"/>
      <c r="O636" s="841"/>
      <c r="P636" s="841"/>
      <c r="Q636" s="841"/>
      <c r="R636" s="841"/>
    </row>
    <row r="637" spans="2:18">
      <c r="B637" s="841"/>
      <c r="C637" s="842"/>
      <c r="D637" s="842"/>
      <c r="E637" s="842"/>
      <c r="F637" s="1135"/>
      <c r="G637" s="1135"/>
      <c r="H637" s="843"/>
      <c r="I637" s="841"/>
      <c r="J637" s="1135"/>
      <c r="K637" s="841"/>
      <c r="L637" s="841"/>
      <c r="M637" s="841"/>
      <c r="N637" s="841"/>
      <c r="O637" s="841"/>
      <c r="P637" s="841"/>
      <c r="Q637" s="841"/>
      <c r="R637" s="841"/>
    </row>
    <row r="638" spans="2:18">
      <c r="B638" s="841"/>
      <c r="C638" s="842"/>
      <c r="D638" s="842"/>
      <c r="E638" s="842"/>
      <c r="F638" s="1135"/>
      <c r="G638" s="1135"/>
      <c r="H638" s="843"/>
      <c r="I638" s="841"/>
      <c r="J638" s="1135"/>
      <c r="K638" s="841"/>
      <c r="L638" s="841"/>
      <c r="M638" s="841"/>
      <c r="N638" s="841"/>
      <c r="O638" s="841"/>
      <c r="P638" s="841"/>
      <c r="Q638" s="841"/>
      <c r="R638" s="841"/>
    </row>
    <row r="639" spans="2:18">
      <c r="B639" s="841"/>
      <c r="C639" s="842"/>
      <c r="D639" s="842"/>
      <c r="E639" s="842"/>
      <c r="F639" s="1135"/>
      <c r="G639" s="1135"/>
      <c r="H639" s="843"/>
      <c r="I639" s="841"/>
      <c r="J639" s="1135"/>
      <c r="K639" s="841"/>
      <c r="L639" s="841"/>
      <c r="M639" s="841"/>
      <c r="N639" s="841"/>
      <c r="O639" s="841"/>
      <c r="P639" s="841"/>
      <c r="Q639" s="841"/>
      <c r="R639" s="841"/>
    </row>
    <row r="640" spans="2:18">
      <c r="B640" s="841"/>
      <c r="C640" s="842"/>
      <c r="D640" s="842"/>
      <c r="E640" s="842"/>
      <c r="F640" s="1135"/>
      <c r="G640" s="1135"/>
      <c r="H640" s="843"/>
      <c r="I640" s="841"/>
      <c r="J640" s="1135"/>
      <c r="K640" s="841"/>
      <c r="L640" s="841"/>
      <c r="M640" s="841"/>
      <c r="N640" s="841"/>
      <c r="O640" s="841"/>
      <c r="P640" s="841"/>
      <c r="Q640" s="841"/>
      <c r="R640" s="841"/>
    </row>
    <row r="641" spans="2:18">
      <c r="B641" s="841"/>
      <c r="C641" s="842"/>
      <c r="D641" s="842"/>
      <c r="E641" s="842"/>
      <c r="F641" s="1135"/>
      <c r="G641" s="1135"/>
      <c r="H641" s="843"/>
      <c r="I641" s="841"/>
      <c r="J641" s="1135"/>
      <c r="K641" s="841"/>
      <c r="L641" s="841"/>
      <c r="M641" s="841"/>
      <c r="N641" s="841"/>
      <c r="O641" s="841"/>
      <c r="P641" s="841"/>
      <c r="Q641" s="841"/>
      <c r="R641" s="841"/>
    </row>
    <row r="642" spans="2:18">
      <c r="B642" s="841"/>
      <c r="C642" s="842"/>
      <c r="D642" s="842"/>
      <c r="E642" s="842"/>
      <c r="F642" s="1135"/>
      <c r="G642" s="1135"/>
      <c r="H642" s="843"/>
      <c r="I642" s="841"/>
      <c r="J642" s="1135"/>
      <c r="K642" s="841"/>
      <c r="L642" s="841"/>
      <c r="M642" s="841"/>
      <c r="N642" s="841"/>
      <c r="O642" s="841"/>
      <c r="P642" s="841"/>
      <c r="Q642" s="841"/>
      <c r="R642" s="841"/>
    </row>
    <row r="643" spans="2:18">
      <c r="B643" s="841"/>
      <c r="C643" s="842"/>
      <c r="D643" s="842"/>
      <c r="E643" s="842"/>
      <c r="F643" s="1135"/>
      <c r="G643" s="1135"/>
      <c r="H643" s="843"/>
      <c r="I643" s="841"/>
      <c r="J643" s="1135"/>
      <c r="K643" s="841"/>
      <c r="L643" s="841"/>
      <c r="M643" s="841"/>
      <c r="N643" s="841"/>
      <c r="O643" s="841"/>
      <c r="P643" s="841"/>
      <c r="Q643" s="841"/>
      <c r="R643" s="841"/>
    </row>
    <row r="644" spans="2:18">
      <c r="B644" s="841"/>
      <c r="C644" s="842"/>
      <c r="D644" s="842"/>
      <c r="E644" s="842"/>
      <c r="F644" s="1135"/>
      <c r="G644" s="1135"/>
      <c r="H644" s="843"/>
      <c r="I644" s="841"/>
      <c r="J644" s="1135"/>
      <c r="K644" s="841"/>
      <c r="L644" s="841"/>
      <c r="M644" s="841"/>
      <c r="N644" s="841"/>
      <c r="O644" s="841"/>
      <c r="P644" s="841"/>
      <c r="Q644" s="841"/>
      <c r="R644" s="841"/>
    </row>
    <row r="645" spans="2:18">
      <c r="B645" s="841"/>
      <c r="C645" s="842"/>
      <c r="D645" s="842"/>
      <c r="E645" s="842"/>
      <c r="F645" s="1135"/>
      <c r="G645" s="1135"/>
      <c r="H645" s="843"/>
      <c r="I645" s="841"/>
      <c r="J645" s="1135"/>
      <c r="K645" s="841"/>
      <c r="L645" s="841"/>
      <c r="M645" s="841"/>
      <c r="N645" s="841"/>
      <c r="O645" s="841"/>
      <c r="P645" s="841"/>
      <c r="Q645" s="841"/>
      <c r="R645" s="841"/>
    </row>
    <row r="646" spans="2:18">
      <c r="B646" s="841"/>
      <c r="C646" s="842"/>
      <c r="D646" s="842"/>
      <c r="E646" s="842"/>
      <c r="F646" s="1135"/>
      <c r="G646" s="1135"/>
      <c r="H646" s="843"/>
      <c r="I646" s="841"/>
      <c r="J646" s="1135"/>
      <c r="K646" s="841"/>
      <c r="L646" s="841"/>
      <c r="M646" s="841"/>
      <c r="N646" s="841"/>
      <c r="O646" s="841"/>
      <c r="P646" s="841"/>
      <c r="Q646" s="841"/>
      <c r="R646" s="841"/>
    </row>
    <row r="647" spans="2:18">
      <c r="B647" s="841"/>
      <c r="C647" s="842"/>
      <c r="D647" s="842"/>
      <c r="E647" s="842"/>
      <c r="F647" s="1135"/>
      <c r="G647" s="1135"/>
      <c r="H647" s="843"/>
      <c r="I647" s="841"/>
      <c r="J647" s="1135"/>
      <c r="K647" s="841"/>
      <c r="L647" s="841"/>
      <c r="M647" s="841"/>
      <c r="N647" s="841"/>
      <c r="O647" s="841"/>
      <c r="P647" s="841"/>
      <c r="Q647" s="841"/>
      <c r="R647" s="841"/>
    </row>
    <row r="648" spans="2:18">
      <c r="B648" s="841"/>
      <c r="C648" s="842"/>
      <c r="D648" s="842"/>
      <c r="E648" s="842"/>
      <c r="F648" s="1135"/>
      <c r="G648" s="1135"/>
      <c r="H648" s="843"/>
      <c r="I648" s="841"/>
      <c r="J648" s="1135"/>
      <c r="K648" s="841"/>
      <c r="L648" s="841"/>
      <c r="M648" s="841"/>
      <c r="N648" s="841"/>
      <c r="O648" s="841"/>
      <c r="P648" s="841"/>
      <c r="Q648" s="841"/>
      <c r="R648" s="841"/>
    </row>
    <row r="649" spans="2:18">
      <c r="B649" s="841"/>
      <c r="C649" s="842"/>
      <c r="D649" s="842"/>
      <c r="E649" s="842"/>
      <c r="F649" s="1135"/>
      <c r="G649" s="1135"/>
      <c r="H649" s="843"/>
      <c r="I649" s="841"/>
      <c r="J649" s="1135"/>
      <c r="K649" s="841"/>
      <c r="L649" s="841"/>
      <c r="M649" s="841"/>
      <c r="N649" s="841"/>
      <c r="O649" s="841"/>
      <c r="P649" s="841"/>
      <c r="Q649" s="841"/>
      <c r="R649" s="841"/>
    </row>
    <row r="650" spans="2:18">
      <c r="B650" s="841"/>
      <c r="C650" s="842"/>
      <c r="D650" s="842"/>
      <c r="E650" s="842"/>
      <c r="F650" s="1135"/>
      <c r="G650" s="1135"/>
      <c r="H650" s="843"/>
      <c r="I650" s="841"/>
      <c r="J650" s="1135"/>
      <c r="K650" s="841"/>
      <c r="L650" s="841"/>
      <c r="M650" s="841"/>
      <c r="N650" s="841"/>
      <c r="O650" s="841"/>
      <c r="P650" s="841"/>
      <c r="Q650" s="841"/>
      <c r="R650" s="841"/>
    </row>
    <row r="651" spans="2:18">
      <c r="B651" s="841"/>
      <c r="C651" s="842"/>
      <c r="D651" s="842"/>
      <c r="E651" s="842"/>
      <c r="F651" s="1135"/>
      <c r="G651" s="1135"/>
      <c r="H651" s="843"/>
      <c r="I651" s="841"/>
      <c r="J651" s="1135"/>
      <c r="K651" s="841"/>
      <c r="L651" s="841"/>
      <c r="M651" s="841"/>
      <c r="N651" s="841"/>
      <c r="O651" s="841"/>
      <c r="P651" s="841"/>
      <c r="Q651" s="841"/>
      <c r="R651" s="841"/>
    </row>
    <row r="652" spans="2:18">
      <c r="B652" s="841"/>
      <c r="C652" s="842"/>
      <c r="D652" s="842"/>
      <c r="E652" s="842"/>
      <c r="F652" s="1135"/>
      <c r="G652" s="1135"/>
      <c r="H652" s="843"/>
      <c r="I652" s="841"/>
      <c r="J652" s="1135"/>
      <c r="K652" s="841"/>
      <c r="L652" s="841"/>
      <c r="M652" s="841"/>
      <c r="N652" s="841"/>
      <c r="O652" s="841"/>
      <c r="P652" s="841"/>
      <c r="Q652" s="841"/>
      <c r="R652" s="841"/>
    </row>
    <row r="653" spans="2:18">
      <c r="B653" s="841"/>
      <c r="C653" s="842"/>
      <c r="D653" s="842"/>
      <c r="E653" s="842"/>
      <c r="F653" s="1135"/>
      <c r="G653" s="1135"/>
      <c r="H653" s="843"/>
      <c r="I653" s="841"/>
      <c r="J653" s="1135"/>
      <c r="K653" s="841"/>
      <c r="L653" s="841"/>
      <c r="M653" s="841"/>
      <c r="N653" s="841"/>
      <c r="O653" s="841"/>
      <c r="P653" s="841"/>
      <c r="Q653" s="841"/>
      <c r="R653" s="841"/>
    </row>
    <row r="654" spans="2:18">
      <c r="B654" s="841"/>
      <c r="C654" s="842"/>
      <c r="D654" s="842"/>
      <c r="E654" s="842"/>
      <c r="F654" s="1135"/>
      <c r="G654" s="1135"/>
      <c r="H654" s="843"/>
      <c r="I654" s="841"/>
      <c r="J654" s="1135"/>
      <c r="K654" s="841"/>
      <c r="L654" s="841"/>
      <c r="M654" s="841"/>
      <c r="N654" s="841"/>
      <c r="O654" s="841"/>
      <c r="P654" s="841"/>
      <c r="Q654" s="841"/>
      <c r="R654" s="841"/>
    </row>
    <row r="655" spans="2:18">
      <c r="B655" s="841"/>
      <c r="C655" s="842"/>
      <c r="D655" s="842"/>
      <c r="E655" s="842"/>
      <c r="F655" s="1135"/>
      <c r="G655" s="1135"/>
      <c r="H655" s="843"/>
      <c r="I655" s="841"/>
      <c r="J655" s="1135"/>
      <c r="K655" s="841"/>
      <c r="L655" s="841"/>
      <c r="M655" s="841"/>
      <c r="N655" s="841"/>
      <c r="O655" s="841"/>
      <c r="P655" s="841"/>
      <c r="Q655" s="841"/>
      <c r="R655" s="841"/>
    </row>
    <row r="656" spans="2:18">
      <c r="B656" s="841"/>
      <c r="C656" s="842"/>
      <c r="D656" s="842"/>
      <c r="E656" s="842"/>
      <c r="F656" s="1135"/>
      <c r="G656" s="1135"/>
      <c r="H656" s="843"/>
      <c r="I656" s="841"/>
      <c r="J656" s="1135"/>
      <c r="K656" s="841"/>
      <c r="L656" s="841"/>
      <c r="M656" s="841"/>
      <c r="N656" s="841"/>
      <c r="O656" s="841"/>
      <c r="P656" s="841"/>
      <c r="Q656" s="841"/>
      <c r="R656" s="841"/>
    </row>
    <row r="657" spans="2:18">
      <c r="B657" s="841"/>
      <c r="C657" s="842"/>
      <c r="D657" s="842"/>
      <c r="E657" s="842"/>
      <c r="F657" s="1135"/>
      <c r="G657" s="1135"/>
      <c r="H657" s="843"/>
      <c r="I657" s="841"/>
      <c r="J657" s="1135"/>
      <c r="K657" s="841"/>
      <c r="L657" s="841"/>
      <c r="M657" s="841"/>
      <c r="N657" s="841"/>
      <c r="O657" s="841"/>
      <c r="P657" s="841"/>
      <c r="Q657" s="841"/>
      <c r="R657" s="841"/>
    </row>
    <row r="658" spans="2:18">
      <c r="B658" s="841"/>
      <c r="C658" s="842"/>
      <c r="D658" s="842"/>
      <c r="E658" s="842"/>
      <c r="F658" s="1135"/>
      <c r="G658" s="1135"/>
      <c r="H658" s="843"/>
      <c r="I658" s="841"/>
      <c r="J658" s="1135"/>
      <c r="K658" s="841"/>
      <c r="L658" s="841"/>
      <c r="M658" s="841"/>
      <c r="N658" s="841"/>
      <c r="O658" s="841"/>
      <c r="P658" s="841"/>
      <c r="Q658" s="841"/>
      <c r="R658" s="841"/>
    </row>
    <row r="659" spans="2:18">
      <c r="B659" s="841"/>
      <c r="C659" s="842"/>
      <c r="D659" s="842"/>
      <c r="E659" s="842"/>
      <c r="F659" s="1135"/>
      <c r="G659" s="1135"/>
      <c r="H659" s="843"/>
      <c r="I659" s="841"/>
      <c r="J659" s="1135"/>
      <c r="K659" s="841"/>
      <c r="L659" s="841"/>
      <c r="M659" s="841"/>
      <c r="N659" s="841"/>
      <c r="O659" s="841"/>
      <c r="P659" s="841"/>
      <c r="Q659" s="841"/>
      <c r="R659" s="841"/>
    </row>
    <row r="660" spans="2:18">
      <c r="B660" s="841"/>
      <c r="C660" s="842"/>
      <c r="D660" s="842"/>
      <c r="E660" s="842"/>
      <c r="F660" s="1135"/>
      <c r="G660" s="1135"/>
      <c r="H660" s="843"/>
      <c r="I660" s="841"/>
      <c r="J660" s="1135"/>
      <c r="K660" s="841"/>
      <c r="L660" s="841"/>
      <c r="M660" s="841"/>
      <c r="N660" s="841"/>
      <c r="O660" s="841"/>
      <c r="P660" s="841"/>
      <c r="Q660" s="841"/>
      <c r="R660" s="841"/>
    </row>
    <row r="661" spans="2:18">
      <c r="B661" s="841"/>
      <c r="C661" s="842"/>
      <c r="D661" s="842"/>
      <c r="E661" s="842"/>
      <c r="F661" s="1135"/>
      <c r="G661" s="1135"/>
      <c r="H661" s="843"/>
      <c r="I661" s="841"/>
      <c r="J661" s="1135"/>
      <c r="K661" s="841"/>
      <c r="L661" s="841"/>
      <c r="M661" s="841"/>
      <c r="N661" s="841"/>
      <c r="O661" s="841"/>
      <c r="P661" s="841"/>
      <c r="Q661" s="841"/>
      <c r="R661" s="841"/>
    </row>
    <row r="662" spans="2:18">
      <c r="B662" s="841"/>
      <c r="C662" s="842"/>
      <c r="D662" s="842"/>
      <c r="E662" s="842"/>
      <c r="F662" s="1135"/>
      <c r="G662" s="1135"/>
      <c r="H662" s="843"/>
      <c r="I662" s="841"/>
      <c r="J662" s="1135"/>
      <c r="K662" s="841"/>
      <c r="L662" s="841"/>
      <c r="M662" s="841"/>
      <c r="N662" s="841"/>
      <c r="O662" s="841"/>
      <c r="P662" s="841"/>
      <c r="Q662" s="841"/>
      <c r="R662" s="841"/>
    </row>
    <row r="663" spans="2:18">
      <c r="B663" s="841"/>
      <c r="C663" s="842"/>
      <c r="D663" s="842"/>
      <c r="E663" s="842"/>
      <c r="F663" s="1135"/>
      <c r="G663" s="1135"/>
      <c r="H663" s="843"/>
      <c r="I663" s="841"/>
      <c r="J663" s="1135"/>
      <c r="K663" s="841"/>
      <c r="L663" s="841"/>
      <c r="M663" s="841"/>
      <c r="N663" s="841"/>
      <c r="O663" s="841"/>
      <c r="P663" s="841"/>
      <c r="Q663" s="841"/>
      <c r="R663" s="841"/>
    </row>
    <row r="664" spans="2:18">
      <c r="B664" s="841"/>
      <c r="C664" s="842"/>
      <c r="D664" s="842"/>
      <c r="E664" s="842"/>
      <c r="F664" s="1135"/>
      <c r="G664" s="1135"/>
      <c r="H664" s="843"/>
      <c r="I664" s="841"/>
      <c r="J664" s="1135"/>
      <c r="K664" s="841"/>
      <c r="L664" s="841"/>
      <c r="M664" s="841"/>
      <c r="N664" s="841"/>
      <c r="O664" s="841"/>
      <c r="P664" s="841"/>
      <c r="Q664" s="841"/>
      <c r="R664" s="841"/>
    </row>
    <row r="665" spans="2:18">
      <c r="B665" s="841"/>
      <c r="C665" s="842"/>
      <c r="D665" s="842"/>
      <c r="E665" s="842"/>
      <c r="F665" s="1135"/>
      <c r="G665" s="1135"/>
      <c r="H665" s="843"/>
      <c r="I665" s="841"/>
      <c r="J665" s="1135"/>
      <c r="K665" s="841"/>
      <c r="L665" s="841"/>
      <c r="M665" s="841"/>
      <c r="N665" s="841"/>
      <c r="O665" s="841"/>
      <c r="P665" s="841"/>
      <c r="Q665" s="841"/>
      <c r="R665" s="841"/>
    </row>
    <row r="666" spans="2:18">
      <c r="B666" s="841"/>
      <c r="C666" s="842"/>
      <c r="D666" s="842"/>
      <c r="E666" s="842"/>
      <c r="F666" s="1135"/>
      <c r="G666" s="1135"/>
      <c r="H666" s="843"/>
      <c r="I666" s="841"/>
      <c r="J666" s="1135"/>
      <c r="K666" s="841"/>
      <c r="L666" s="841"/>
      <c r="M666" s="841"/>
      <c r="N666" s="841"/>
      <c r="O666" s="841"/>
      <c r="P666" s="841"/>
      <c r="Q666" s="841"/>
      <c r="R666" s="841"/>
    </row>
    <row r="667" spans="2:18">
      <c r="B667" s="841"/>
      <c r="C667" s="842"/>
      <c r="D667" s="842"/>
      <c r="E667" s="842"/>
      <c r="F667" s="1135"/>
      <c r="G667" s="1135"/>
      <c r="H667" s="843"/>
      <c r="I667" s="841"/>
      <c r="J667" s="1135"/>
      <c r="K667" s="841"/>
      <c r="L667" s="841"/>
      <c r="M667" s="841"/>
      <c r="N667" s="841"/>
      <c r="O667" s="841"/>
      <c r="P667" s="841"/>
      <c r="Q667" s="841"/>
      <c r="R667" s="841"/>
    </row>
    <row r="668" spans="2:18">
      <c r="B668" s="841"/>
      <c r="C668" s="842"/>
      <c r="D668" s="842"/>
      <c r="E668" s="842"/>
      <c r="F668" s="1135"/>
      <c r="G668" s="1135"/>
      <c r="H668" s="843"/>
      <c r="I668" s="841"/>
      <c r="J668" s="1135"/>
      <c r="K668" s="841"/>
      <c r="L668" s="841"/>
      <c r="M668" s="841"/>
      <c r="N668" s="841"/>
      <c r="O668" s="841"/>
      <c r="P668" s="841"/>
      <c r="Q668" s="841"/>
      <c r="R668" s="841"/>
    </row>
    <row r="669" spans="2:18">
      <c r="B669" s="841"/>
      <c r="C669" s="842"/>
      <c r="D669" s="842"/>
      <c r="E669" s="842"/>
      <c r="F669" s="1135"/>
      <c r="G669" s="1135"/>
      <c r="H669" s="843"/>
      <c r="I669" s="841"/>
      <c r="J669" s="1135"/>
      <c r="K669" s="841"/>
      <c r="L669" s="841"/>
      <c r="M669" s="841"/>
      <c r="N669" s="841"/>
      <c r="O669" s="841"/>
      <c r="P669" s="841"/>
      <c r="Q669" s="841"/>
      <c r="R669" s="841"/>
    </row>
    <row r="670" spans="2:18">
      <c r="B670" s="841"/>
      <c r="C670" s="842"/>
      <c r="D670" s="842"/>
      <c r="E670" s="842"/>
      <c r="F670" s="1135"/>
      <c r="G670" s="1135"/>
      <c r="H670" s="843"/>
      <c r="I670" s="841"/>
      <c r="J670" s="1135"/>
      <c r="K670" s="841"/>
      <c r="L670" s="841"/>
      <c r="M670" s="841"/>
      <c r="N670" s="841"/>
      <c r="O670" s="841"/>
      <c r="P670" s="841"/>
      <c r="Q670" s="841"/>
      <c r="R670" s="841"/>
    </row>
    <row r="671" spans="2:18">
      <c r="B671" s="841"/>
      <c r="C671" s="842"/>
      <c r="D671" s="842"/>
      <c r="E671" s="842"/>
      <c r="F671" s="1135"/>
      <c r="G671" s="1135"/>
      <c r="H671" s="843"/>
      <c r="I671" s="841"/>
      <c r="J671" s="1135"/>
      <c r="K671" s="841"/>
      <c r="L671" s="841"/>
      <c r="M671" s="841"/>
      <c r="N671" s="841"/>
      <c r="O671" s="841"/>
      <c r="P671" s="841"/>
      <c r="Q671" s="841"/>
      <c r="R671" s="841"/>
    </row>
    <row r="672" spans="2:18">
      <c r="B672" s="841"/>
      <c r="C672" s="842"/>
      <c r="D672" s="842"/>
      <c r="E672" s="842"/>
      <c r="F672" s="1135"/>
      <c r="G672" s="1135"/>
      <c r="H672" s="843"/>
      <c r="I672" s="841"/>
      <c r="J672" s="1135"/>
      <c r="K672" s="841"/>
      <c r="L672" s="841"/>
      <c r="M672" s="841"/>
      <c r="N672" s="841"/>
      <c r="O672" s="841"/>
      <c r="P672" s="841"/>
      <c r="Q672" s="841"/>
      <c r="R672" s="841"/>
    </row>
    <row r="673" spans="2:18">
      <c r="B673" s="841"/>
      <c r="C673" s="842"/>
      <c r="D673" s="842"/>
      <c r="E673" s="842"/>
      <c r="F673" s="1135"/>
      <c r="G673" s="1135"/>
      <c r="H673" s="843"/>
      <c r="I673" s="841"/>
      <c r="J673" s="1135"/>
      <c r="K673" s="841"/>
      <c r="L673" s="841"/>
      <c r="M673" s="841"/>
      <c r="N673" s="841"/>
      <c r="O673" s="841"/>
      <c r="P673" s="841"/>
      <c r="Q673" s="841"/>
      <c r="R673" s="841"/>
    </row>
    <row r="674" spans="2:18">
      <c r="B674" s="841"/>
      <c r="C674" s="842"/>
      <c r="D674" s="842"/>
      <c r="E674" s="842"/>
      <c r="F674" s="1135"/>
      <c r="G674" s="1135"/>
      <c r="H674" s="843"/>
      <c r="I674" s="841"/>
      <c r="J674" s="1135"/>
      <c r="K674" s="841"/>
      <c r="L674" s="841"/>
      <c r="M674" s="841"/>
      <c r="N674" s="841"/>
      <c r="O674" s="841"/>
      <c r="P674" s="841"/>
      <c r="Q674" s="841"/>
      <c r="R674" s="841"/>
    </row>
    <row r="675" spans="2:18">
      <c r="B675" s="841"/>
      <c r="C675" s="842"/>
      <c r="D675" s="842"/>
      <c r="E675" s="842"/>
      <c r="F675" s="1135"/>
      <c r="G675" s="1135"/>
      <c r="H675" s="843"/>
      <c r="I675" s="841"/>
      <c r="J675" s="1135"/>
      <c r="K675" s="841"/>
      <c r="L675" s="841"/>
      <c r="M675" s="841"/>
      <c r="N675" s="841"/>
      <c r="O675" s="841"/>
      <c r="P675" s="841"/>
      <c r="Q675" s="841"/>
      <c r="R675" s="841"/>
    </row>
    <row r="676" spans="2:18">
      <c r="B676" s="841"/>
      <c r="C676" s="842"/>
      <c r="D676" s="842"/>
      <c r="E676" s="842"/>
      <c r="F676" s="1135"/>
      <c r="G676" s="1135"/>
      <c r="H676" s="843"/>
      <c r="I676" s="841"/>
      <c r="J676" s="1135"/>
      <c r="K676" s="841"/>
      <c r="L676" s="841"/>
      <c r="M676" s="841"/>
      <c r="N676" s="841"/>
      <c r="O676" s="841"/>
      <c r="P676" s="841"/>
      <c r="Q676" s="841"/>
      <c r="R676" s="841"/>
    </row>
    <row r="677" spans="2:18">
      <c r="B677" s="841"/>
      <c r="C677" s="842"/>
      <c r="D677" s="842"/>
      <c r="E677" s="842"/>
      <c r="F677" s="1135"/>
      <c r="G677" s="1135"/>
      <c r="H677" s="843"/>
      <c r="I677" s="841"/>
      <c r="J677" s="1135"/>
      <c r="K677" s="841"/>
      <c r="L677" s="841"/>
      <c r="M677" s="841"/>
      <c r="N677" s="841"/>
      <c r="O677" s="841"/>
      <c r="P677" s="841"/>
      <c r="Q677" s="841"/>
      <c r="R677" s="841"/>
    </row>
    <row r="678" spans="2:18">
      <c r="B678" s="841"/>
      <c r="C678" s="842"/>
      <c r="D678" s="842"/>
      <c r="E678" s="842"/>
      <c r="F678" s="1135"/>
      <c r="G678" s="1135"/>
      <c r="H678" s="843"/>
      <c r="I678" s="841"/>
      <c r="J678" s="1135"/>
      <c r="K678" s="841"/>
      <c r="L678" s="841"/>
      <c r="M678" s="841"/>
      <c r="N678" s="841"/>
      <c r="O678" s="841"/>
      <c r="P678" s="841"/>
      <c r="Q678" s="841"/>
      <c r="R678" s="841"/>
    </row>
    <row r="679" spans="2:18">
      <c r="B679" s="841"/>
      <c r="C679" s="842"/>
      <c r="D679" s="842"/>
      <c r="E679" s="842"/>
      <c r="F679" s="1135"/>
      <c r="G679" s="1135"/>
      <c r="H679" s="843"/>
      <c r="I679" s="841"/>
      <c r="J679" s="1135"/>
      <c r="K679" s="841"/>
      <c r="L679" s="841"/>
      <c r="M679" s="841"/>
      <c r="N679" s="841"/>
      <c r="O679" s="841"/>
      <c r="P679" s="841"/>
      <c r="Q679" s="841"/>
      <c r="R679" s="841"/>
    </row>
    <row r="680" spans="2:18">
      <c r="B680" s="841"/>
      <c r="C680" s="842"/>
      <c r="D680" s="842"/>
      <c r="E680" s="842"/>
      <c r="F680" s="1135"/>
      <c r="G680" s="1135"/>
      <c r="H680" s="843"/>
      <c r="I680" s="841"/>
      <c r="J680" s="1135"/>
      <c r="K680" s="841"/>
      <c r="L680" s="841"/>
      <c r="M680" s="841"/>
      <c r="N680" s="841"/>
      <c r="O680" s="841"/>
      <c r="P680" s="841"/>
      <c r="Q680" s="841"/>
      <c r="R680" s="841"/>
    </row>
    <row r="681" spans="2:18">
      <c r="B681" s="841"/>
      <c r="C681" s="842"/>
      <c r="D681" s="842"/>
      <c r="E681" s="842"/>
      <c r="F681" s="1135"/>
      <c r="G681" s="1135"/>
      <c r="H681" s="843"/>
      <c r="I681" s="841"/>
      <c r="J681" s="1135"/>
      <c r="K681" s="841"/>
      <c r="L681" s="841"/>
      <c r="M681" s="841"/>
      <c r="N681" s="841"/>
      <c r="O681" s="841"/>
      <c r="P681" s="841"/>
      <c r="Q681" s="841"/>
      <c r="R681" s="841"/>
    </row>
    <row r="682" spans="2:18">
      <c r="B682" s="841"/>
      <c r="C682" s="842"/>
      <c r="D682" s="842"/>
      <c r="E682" s="842"/>
      <c r="F682" s="1135"/>
      <c r="G682" s="1135"/>
      <c r="H682" s="843"/>
      <c r="I682" s="841"/>
      <c r="J682" s="1135"/>
      <c r="K682" s="841"/>
      <c r="L682" s="841"/>
      <c r="M682" s="841"/>
      <c r="N682" s="841"/>
      <c r="O682" s="841"/>
      <c r="P682" s="841"/>
      <c r="Q682" s="841"/>
      <c r="R682" s="841"/>
    </row>
    <row r="683" spans="2:18">
      <c r="B683" s="841"/>
      <c r="C683" s="842"/>
      <c r="D683" s="842"/>
      <c r="E683" s="842"/>
      <c r="F683" s="1135"/>
      <c r="G683" s="1135"/>
      <c r="H683" s="843"/>
      <c r="I683" s="841"/>
      <c r="J683" s="1135"/>
      <c r="K683" s="841"/>
      <c r="L683" s="841"/>
      <c r="M683" s="841"/>
      <c r="N683" s="841"/>
      <c r="O683" s="841"/>
      <c r="P683" s="841"/>
      <c r="Q683" s="841"/>
      <c r="R683" s="841"/>
    </row>
    <row r="684" spans="2:18">
      <c r="B684" s="841"/>
      <c r="C684" s="842"/>
      <c r="D684" s="842"/>
      <c r="E684" s="842"/>
      <c r="F684" s="1135"/>
      <c r="G684" s="1135"/>
      <c r="H684" s="843"/>
      <c r="I684" s="841"/>
      <c r="J684" s="1135"/>
      <c r="K684" s="841"/>
      <c r="L684" s="841"/>
      <c r="M684" s="841"/>
      <c r="N684" s="841"/>
      <c r="O684" s="841"/>
      <c r="P684" s="841"/>
      <c r="Q684" s="841"/>
      <c r="R684" s="841"/>
    </row>
    <row r="685" spans="2:18">
      <c r="B685" s="841"/>
      <c r="C685" s="842"/>
      <c r="D685" s="842"/>
      <c r="E685" s="842"/>
      <c r="F685" s="1135"/>
      <c r="G685" s="1135"/>
      <c r="H685" s="843"/>
      <c r="I685" s="841"/>
      <c r="J685" s="1135"/>
      <c r="K685" s="841"/>
      <c r="L685" s="841"/>
      <c r="M685" s="841"/>
      <c r="N685" s="841"/>
      <c r="O685" s="841"/>
      <c r="P685" s="841"/>
      <c r="Q685" s="841"/>
      <c r="R685" s="841"/>
    </row>
    <row r="686" spans="2:18">
      <c r="B686" s="841"/>
      <c r="C686" s="842"/>
      <c r="D686" s="842"/>
      <c r="E686" s="842"/>
      <c r="F686" s="1135"/>
      <c r="G686" s="1135"/>
      <c r="H686" s="843"/>
      <c r="I686" s="841"/>
      <c r="J686" s="1135"/>
      <c r="K686" s="841"/>
      <c r="L686" s="841"/>
      <c r="M686" s="841"/>
      <c r="N686" s="841"/>
      <c r="O686" s="841"/>
      <c r="P686" s="841"/>
      <c r="Q686" s="841"/>
      <c r="R686" s="841"/>
    </row>
    <row r="687" spans="2:18">
      <c r="B687" s="841"/>
      <c r="C687" s="842"/>
      <c r="D687" s="842"/>
      <c r="E687" s="842"/>
      <c r="F687" s="1135"/>
      <c r="G687" s="1135"/>
      <c r="H687" s="843"/>
      <c r="I687" s="841"/>
      <c r="J687" s="1135"/>
      <c r="K687" s="841"/>
      <c r="L687" s="841"/>
      <c r="M687" s="841"/>
      <c r="N687" s="841"/>
      <c r="O687" s="841"/>
      <c r="P687" s="841"/>
      <c r="Q687" s="841"/>
      <c r="R687" s="841"/>
    </row>
    <row r="688" spans="2:18">
      <c r="B688" s="841"/>
      <c r="C688" s="842"/>
      <c r="D688" s="842"/>
      <c r="E688" s="842"/>
      <c r="F688" s="1135"/>
      <c r="G688" s="1135"/>
      <c r="H688" s="843"/>
      <c r="I688" s="841"/>
      <c r="J688" s="1135"/>
      <c r="K688" s="841"/>
      <c r="L688" s="841"/>
      <c r="M688" s="841"/>
      <c r="N688" s="841"/>
      <c r="O688" s="841"/>
      <c r="P688" s="841"/>
      <c r="Q688" s="841"/>
      <c r="R688" s="841"/>
    </row>
    <row r="689" spans="2:18">
      <c r="B689" s="841"/>
      <c r="C689" s="842"/>
      <c r="D689" s="842"/>
      <c r="E689" s="842"/>
      <c r="F689" s="1135"/>
      <c r="G689" s="1135"/>
      <c r="H689" s="843"/>
      <c r="I689" s="841"/>
      <c r="J689" s="1135"/>
      <c r="K689" s="841"/>
      <c r="L689" s="841"/>
      <c r="M689" s="841"/>
      <c r="N689" s="841"/>
      <c r="O689" s="841"/>
      <c r="P689" s="841"/>
      <c r="Q689" s="841"/>
      <c r="R689" s="841"/>
    </row>
    <row r="690" spans="2:18">
      <c r="B690" s="841"/>
      <c r="C690" s="842"/>
      <c r="D690" s="842"/>
      <c r="E690" s="842"/>
      <c r="F690" s="1135"/>
      <c r="G690" s="1135"/>
      <c r="H690" s="843"/>
      <c r="I690" s="841"/>
      <c r="J690" s="1135"/>
      <c r="K690" s="841"/>
      <c r="L690" s="841"/>
      <c r="M690" s="841"/>
      <c r="N690" s="841"/>
      <c r="O690" s="841"/>
      <c r="P690" s="841"/>
      <c r="Q690" s="841"/>
      <c r="R690" s="841"/>
    </row>
    <row r="691" spans="2:18">
      <c r="B691" s="841"/>
      <c r="C691" s="842"/>
      <c r="D691" s="842"/>
      <c r="E691" s="842"/>
      <c r="F691" s="1135"/>
      <c r="G691" s="1135"/>
      <c r="H691" s="843"/>
      <c r="I691" s="841"/>
      <c r="J691" s="1135"/>
      <c r="K691" s="841"/>
      <c r="L691" s="841"/>
      <c r="M691" s="841"/>
      <c r="N691" s="841"/>
      <c r="O691" s="841"/>
      <c r="P691" s="841"/>
      <c r="Q691" s="841"/>
      <c r="R691" s="841"/>
    </row>
    <row r="692" spans="2:18">
      <c r="B692" s="841"/>
      <c r="C692" s="842"/>
      <c r="D692" s="842"/>
      <c r="E692" s="842"/>
      <c r="F692" s="1135"/>
      <c r="G692" s="1135"/>
      <c r="H692" s="843"/>
      <c r="I692" s="841"/>
      <c r="J692" s="1135"/>
      <c r="K692" s="841"/>
      <c r="L692" s="841"/>
      <c r="M692" s="841"/>
      <c r="N692" s="841"/>
      <c r="O692" s="841"/>
      <c r="P692" s="841"/>
      <c r="Q692" s="841"/>
      <c r="R692" s="841"/>
    </row>
    <row r="693" spans="2:18">
      <c r="B693" s="841"/>
      <c r="C693" s="842"/>
      <c r="D693" s="842"/>
      <c r="E693" s="842"/>
      <c r="F693" s="1135"/>
      <c r="G693" s="1135"/>
      <c r="H693" s="843"/>
      <c r="I693" s="841"/>
      <c r="J693" s="1135"/>
      <c r="K693" s="841"/>
      <c r="L693" s="841"/>
      <c r="M693" s="841"/>
      <c r="N693" s="841"/>
      <c r="O693" s="841"/>
      <c r="P693" s="841"/>
      <c r="Q693" s="841"/>
      <c r="R693" s="841"/>
    </row>
    <row r="694" spans="2:18">
      <c r="B694" s="841"/>
      <c r="C694" s="842"/>
      <c r="D694" s="842"/>
      <c r="E694" s="842"/>
      <c r="F694" s="1135"/>
      <c r="G694" s="1135"/>
      <c r="H694" s="843"/>
      <c r="I694" s="841"/>
      <c r="J694" s="1135"/>
      <c r="K694" s="841"/>
      <c r="L694" s="841"/>
      <c r="M694" s="841"/>
      <c r="N694" s="841"/>
      <c r="O694" s="841"/>
      <c r="P694" s="841"/>
      <c r="Q694" s="841"/>
      <c r="R694" s="841"/>
    </row>
    <row r="695" spans="2:18">
      <c r="B695" s="841"/>
      <c r="C695" s="842"/>
      <c r="D695" s="842"/>
      <c r="E695" s="842"/>
      <c r="F695" s="1135"/>
      <c r="G695" s="1135"/>
      <c r="H695" s="843"/>
      <c r="I695" s="841"/>
      <c r="J695" s="1135"/>
      <c r="K695" s="841"/>
      <c r="L695" s="841"/>
      <c r="M695" s="841"/>
      <c r="N695" s="841"/>
      <c r="O695" s="841"/>
      <c r="P695" s="841"/>
      <c r="Q695" s="841"/>
      <c r="R695" s="841"/>
    </row>
    <row r="696" spans="2:18">
      <c r="B696" s="841"/>
      <c r="C696" s="842"/>
      <c r="D696" s="842"/>
      <c r="E696" s="842"/>
      <c r="F696" s="1135"/>
      <c r="G696" s="1135"/>
      <c r="H696" s="843"/>
      <c r="I696" s="841"/>
      <c r="J696" s="1135"/>
      <c r="K696" s="841"/>
      <c r="L696" s="841"/>
      <c r="M696" s="841"/>
      <c r="N696" s="841"/>
      <c r="O696" s="841"/>
      <c r="P696" s="841"/>
      <c r="Q696" s="841"/>
      <c r="R696" s="841"/>
    </row>
    <row r="697" spans="2:18">
      <c r="B697" s="841"/>
      <c r="C697" s="842"/>
      <c r="D697" s="842"/>
      <c r="E697" s="842"/>
      <c r="F697" s="1135"/>
      <c r="G697" s="1135"/>
      <c r="H697" s="843"/>
      <c r="I697" s="841"/>
      <c r="J697" s="1135"/>
      <c r="K697" s="841"/>
      <c r="L697" s="841"/>
      <c r="M697" s="841"/>
      <c r="N697" s="841"/>
      <c r="O697" s="841"/>
      <c r="P697" s="841"/>
      <c r="Q697" s="841"/>
      <c r="R697" s="841"/>
    </row>
    <row r="698" spans="2:18">
      <c r="B698" s="841"/>
      <c r="C698" s="842"/>
      <c r="D698" s="842"/>
      <c r="E698" s="842"/>
      <c r="F698" s="1135"/>
      <c r="G698" s="1135"/>
      <c r="H698" s="843"/>
      <c r="I698" s="841"/>
      <c r="J698" s="1135"/>
      <c r="K698" s="841"/>
      <c r="L698" s="841"/>
      <c r="M698" s="841"/>
      <c r="N698" s="841"/>
      <c r="O698" s="841"/>
      <c r="P698" s="841"/>
      <c r="Q698" s="841"/>
      <c r="R698" s="841"/>
    </row>
    <row r="699" spans="2:18">
      <c r="B699" s="841"/>
      <c r="C699" s="842"/>
      <c r="D699" s="842"/>
      <c r="E699" s="842"/>
      <c r="F699" s="1135"/>
      <c r="G699" s="1135"/>
      <c r="H699" s="843"/>
      <c r="I699" s="841"/>
      <c r="J699" s="1135"/>
      <c r="K699" s="841"/>
      <c r="L699" s="841"/>
      <c r="M699" s="841"/>
      <c r="N699" s="841"/>
      <c r="O699" s="841"/>
      <c r="P699" s="841"/>
      <c r="Q699" s="841"/>
      <c r="R699" s="841"/>
    </row>
    <row r="700" spans="2:18">
      <c r="B700" s="841"/>
      <c r="C700" s="842"/>
      <c r="D700" s="842"/>
      <c r="E700" s="842"/>
      <c r="F700" s="1135"/>
      <c r="G700" s="1135"/>
      <c r="H700" s="843"/>
      <c r="I700" s="841"/>
      <c r="J700" s="1135"/>
      <c r="K700" s="841"/>
      <c r="L700" s="841"/>
      <c r="M700" s="841"/>
      <c r="N700" s="841"/>
      <c r="O700" s="841"/>
      <c r="P700" s="841"/>
      <c r="Q700" s="841"/>
      <c r="R700" s="841"/>
    </row>
    <row r="701" spans="2:18">
      <c r="B701" s="841"/>
      <c r="C701" s="842"/>
      <c r="D701" s="842"/>
      <c r="E701" s="842"/>
      <c r="F701" s="1135"/>
      <c r="G701" s="1135"/>
      <c r="H701" s="843"/>
      <c r="I701" s="841"/>
      <c r="J701" s="1135"/>
      <c r="K701" s="841"/>
      <c r="L701" s="841"/>
      <c r="M701" s="841"/>
      <c r="N701" s="841"/>
      <c r="O701" s="841"/>
      <c r="P701" s="841"/>
      <c r="Q701" s="841"/>
      <c r="R701" s="841"/>
    </row>
    <row r="702" spans="2:18">
      <c r="B702" s="841"/>
      <c r="C702" s="842"/>
      <c r="D702" s="842"/>
      <c r="E702" s="842"/>
      <c r="F702" s="1135"/>
      <c r="G702" s="1135"/>
      <c r="H702" s="843"/>
      <c r="I702" s="841"/>
      <c r="J702" s="1135"/>
      <c r="K702" s="841"/>
      <c r="L702" s="841"/>
      <c r="M702" s="841"/>
      <c r="N702" s="841"/>
      <c r="O702" s="841"/>
      <c r="P702" s="841"/>
      <c r="Q702" s="841"/>
      <c r="R702" s="841"/>
    </row>
    <row r="703" spans="2:18">
      <c r="B703" s="841"/>
      <c r="C703" s="842"/>
      <c r="D703" s="842"/>
      <c r="E703" s="842"/>
      <c r="F703" s="1135"/>
      <c r="G703" s="1135"/>
      <c r="H703" s="843"/>
      <c r="I703" s="841"/>
      <c r="J703" s="1135"/>
      <c r="K703" s="841"/>
      <c r="L703" s="841"/>
      <c r="M703" s="841"/>
      <c r="N703" s="841"/>
      <c r="O703" s="841"/>
      <c r="P703" s="841"/>
      <c r="Q703" s="841"/>
      <c r="R703" s="841"/>
    </row>
    <row r="704" spans="2:18">
      <c r="B704" s="841"/>
      <c r="C704" s="842"/>
      <c r="D704" s="842"/>
      <c r="E704" s="842"/>
      <c r="F704" s="1135"/>
      <c r="G704" s="1135"/>
      <c r="H704" s="843"/>
      <c r="I704" s="841"/>
      <c r="J704" s="1135"/>
      <c r="K704" s="841"/>
      <c r="L704" s="841"/>
      <c r="M704" s="841"/>
      <c r="N704" s="841"/>
      <c r="O704" s="841"/>
      <c r="P704" s="841"/>
      <c r="Q704" s="841"/>
      <c r="R704" s="841"/>
    </row>
    <row r="705" spans="2:18">
      <c r="B705" s="841"/>
      <c r="C705" s="842"/>
      <c r="D705" s="842"/>
      <c r="E705" s="842"/>
      <c r="F705" s="1135"/>
      <c r="G705" s="1135"/>
      <c r="H705" s="843"/>
      <c r="I705" s="841"/>
      <c r="J705" s="1135"/>
      <c r="K705" s="841"/>
      <c r="L705" s="841"/>
      <c r="M705" s="841"/>
      <c r="N705" s="841"/>
      <c r="O705" s="841"/>
      <c r="P705" s="841"/>
      <c r="Q705" s="841"/>
      <c r="R705" s="841"/>
    </row>
    <row r="706" spans="2:18">
      <c r="B706" s="841"/>
      <c r="C706" s="842"/>
      <c r="D706" s="842"/>
      <c r="E706" s="842"/>
      <c r="F706" s="1135"/>
      <c r="G706" s="1135"/>
      <c r="H706" s="843"/>
      <c r="I706" s="841"/>
      <c r="J706" s="1135"/>
      <c r="K706" s="841"/>
      <c r="L706" s="841"/>
      <c r="M706" s="841"/>
      <c r="N706" s="841"/>
      <c r="O706" s="841"/>
      <c r="P706" s="841"/>
      <c r="Q706" s="841"/>
      <c r="R706" s="841"/>
    </row>
    <row r="707" spans="2:18">
      <c r="B707" s="841"/>
      <c r="C707" s="842"/>
      <c r="D707" s="842"/>
      <c r="E707" s="842"/>
      <c r="F707" s="1135"/>
      <c r="G707" s="1135"/>
      <c r="H707" s="843"/>
      <c r="I707" s="841"/>
      <c r="J707" s="1135"/>
      <c r="K707" s="841"/>
      <c r="L707" s="841"/>
      <c r="M707" s="841"/>
      <c r="N707" s="841"/>
      <c r="O707" s="841"/>
      <c r="P707" s="841"/>
      <c r="Q707" s="841"/>
      <c r="R707" s="841"/>
    </row>
    <row r="708" spans="2:18">
      <c r="B708" s="841"/>
      <c r="C708" s="842"/>
      <c r="D708" s="842"/>
      <c r="E708" s="842"/>
      <c r="F708" s="1135"/>
      <c r="G708" s="1135"/>
      <c r="H708" s="843"/>
      <c r="I708" s="841"/>
      <c r="J708" s="1135"/>
      <c r="K708" s="841"/>
      <c r="L708" s="841"/>
      <c r="M708" s="841"/>
      <c r="N708" s="841"/>
      <c r="O708" s="841"/>
      <c r="P708" s="841"/>
      <c r="Q708" s="841"/>
      <c r="R708" s="841"/>
    </row>
    <row r="709" spans="2:18">
      <c r="B709" s="841"/>
      <c r="C709" s="842"/>
      <c r="D709" s="842"/>
      <c r="E709" s="842"/>
      <c r="F709" s="1135"/>
      <c r="G709" s="1135"/>
      <c r="H709" s="843"/>
      <c r="I709" s="841"/>
      <c r="J709" s="1135"/>
      <c r="K709" s="841"/>
      <c r="L709" s="841"/>
      <c r="M709" s="841"/>
      <c r="N709" s="841"/>
      <c r="O709" s="841"/>
      <c r="P709" s="841"/>
      <c r="Q709" s="841"/>
      <c r="R709" s="841"/>
    </row>
    <row r="710" spans="2:18">
      <c r="B710" s="841"/>
      <c r="C710" s="842"/>
      <c r="D710" s="842"/>
      <c r="E710" s="842"/>
      <c r="F710" s="1135"/>
      <c r="G710" s="1135"/>
      <c r="H710" s="843"/>
      <c r="I710" s="841"/>
      <c r="J710" s="1135"/>
      <c r="K710" s="841"/>
      <c r="L710" s="841"/>
      <c r="M710" s="841"/>
      <c r="N710" s="841"/>
      <c r="O710" s="841"/>
      <c r="P710" s="841"/>
      <c r="Q710" s="841"/>
      <c r="R710" s="841"/>
    </row>
    <row r="711" spans="2:18">
      <c r="B711" s="841"/>
      <c r="C711" s="842"/>
      <c r="D711" s="842"/>
      <c r="E711" s="842"/>
      <c r="F711" s="1135"/>
      <c r="G711" s="1135"/>
      <c r="H711" s="843"/>
      <c r="I711" s="841"/>
      <c r="J711" s="1135"/>
      <c r="K711" s="841"/>
      <c r="L711" s="841"/>
      <c r="M711" s="841"/>
      <c r="N711" s="841"/>
      <c r="O711" s="841"/>
      <c r="P711" s="841"/>
      <c r="Q711" s="841"/>
      <c r="R711" s="841"/>
    </row>
    <row r="712" spans="2:18">
      <c r="B712" s="841"/>
      <c r="C712" s="842"/>
      <c r="D712" s="842"/>
      <c r="E712" s="842"/>
      <c r="F712" s="1135"/>
      <c r="G712" s="1135"/>
      <c r="H712" s="843"/>
      <c r="I712" s="841"/>
      <c r="J712" s="1135"/>
      <c r="K712" s="841"/>
      <c r="L712" s="841"/>
      <c r="M712" s="841"/>
      <c r="N712" s="841"/>
      <c r="O712" s="841"/>
      <c r="P712" s="841"/>
      <c r="Q712" s="841"/>
      <c r="R712" s="841"/>
    </row>
    <row r="713" spans="2:18">
      <c r="B713" s="841"/>
      <c r="C713" s="842"/>
      <c r="D713" s="842"/>
      <c r="E713" s="842"/>
      <c r="F713" s="1135"/>
      <c r="G713" s="1135"/>
      <c r="H713" s="843"/>
      <c r="I713" s="841"/>
      <c r="J713" s="1135"/>
      <c r="K713" s="841"/>
      <c r="L713" s="841"/>
      <c r="M713" s="841"/>
      <c r="N713" s="841"/>
      <c r="O713" s="841"/>
      <c r="P713" s="841"/>
      <c r="Q713" s="841"/>
      <c r="R713" s="841"/>
    </row>
    <row r="714" spans="2:18">
      <c r="B714" s="841"/>
      <c r="C714" s="842"/>
      <c r="D714" s="842"/>
      <c r="E714" s="842"/>
      <c r="F714" s="1135"/>
      <c r="G714" s="1135"/>
      <c r="H714" s="843"/>
      <c r="I714" s="841"/>
      <c r="J714" s="1135"/>
      <c r="K714" s="841"/>
      <c r="L714" s="841"/>
      <c r="M714" s="841"/>
      <c r="N714" s="841"/>
      <c r="O714" s="841"/>
      <c r="P714" s="841"/>
      <c r="Q714" s="841"/>
      <c r="R714" s="841"/>
    </row>
    <row r="715" spans="2:18">
      <c r="B715" s="841"/>
      <c r="C715" s="842"/>
      <c r="D715" s="842"/>
      <c r="E715" s="842"/>
      <c r="F715" s="1135"/>
      <c r="G715" s="1135"/>
      <c r="H715" s="843"/>
      <c r="I715" s="841"/>
      <c r="J715" s="1135"/>
      <c r="K715" s="841"/>
      <c r="L715" s="841"/>
      <c r="M715" s="841"/>
      <c r="N715" s="841"/>
      <c r="O715" s="841"/>
      <c r="P715" s="841"/>
      <c r="Q715" s="841"/>
      <c r="R715" s="841"/>
    </row>
    <row r="716" spans="2:18">
      <c r="B716" s="841"/>
      <c r="C716" s="842"/>
      <c r="D716" s="842"/>
      <c r="E716" s="842"/>
      <c r="F716" s="1135"/>
      <c r="G716" s="1135"/>
      <c r="H716" s="843"/>
      <c r="I716" s="841"/>
      <c r="J716" s="1135"/>
      <c r="K716" s="841"/>
      <c r="L716" s="841"/>
      <c r="M716" s="841"/>
      <c r="N716" s="841"/>
      <c r="O716" s="841"/>
      <c r="P716" s="841"/>
      <c r="Q716" s="841"/>
      <c r="R716" s="841"/>
    </row>
    <row r="717" spans="2:18">
      <c r="B717" s="841"/>
      <c r="C717" s="842"/>
      <c r="D717" s="842"/>
      <c r="E717" s="842"/>
      <c r="F717" s="1135"/>
      <c r="G717" s="1135"/>
      <c r="H717" s="843"/>
      <c r="I717" s="841"/>
      <c r="J717" s="1135"/>
      <c r="K717" s="841"/>
      <c r="L717" s="841"/>
      <c r="M717" s="841"/>
      <c r="N717" s="841"/>
      <c r="O717" s="841"/>
      <c r="P717" s="841"/>
      <c r="Q717" s="841"/>
      <c r="R717" s="841"/>
    </row>
    <row r="718" spans="2:18">
      <c r="B718" s="841"/>
      <c r="C718" s="842"/>
      <c r="D718" s="842"/>
      <c r="E718" s="842"/>
      <c r="F718" s="1135"/>
      <c r="G718" s="1135"/>
      <c r="H718" s="843"/>
      <c r="I718" s="841"/>
      <c r="J718" s="1135"/>
      <c r="K718" s="841"/>
      <c r="L718" s="841"/>
      <c r="M718" s="841"/>
      <c r="N718" s="841"/>
      <c r="O718" s="841"/>
      <c r="P718" s="841"/>
      <c r="Q718" s="841"/>
      <c r="R718" s="841"/>
    </row>
    <row r="719" spans="2:18">
      <c r="B719" s="841"/>
      <c r="C719" s="842"/>
      <c r="D719" s="842"/>
      <c r="E719" s="842"/>
      <c r="F719" s="1135"/>
      <c r="G719" s="1135"/>
      <c r="H719" s="843"/>
      <c r="I719" s="841"/>
      <c r="J719" s="1135"/>
      <c r="K719" s="841"/>
      <c r="L719" s="841"/>
      <c r="M719" s="841"/>
      <c r="N719" s="841"/>
      <c r="O719" s="841"/>
      <c r="P719" s="841"/>
      <c r="Q719" s="841"/>
      <c r="R719" s="841"/>
    </row>
    <row r="720" spans="2:18">
      <c r="B720" s="841"/>
      <c r="C720" s="842"/>
      <c r="D720" s="842"/>
      <c r="E720" s="842"/>
      <c r="F720" s="1135"/>
      <c r="G720" s="1135"/>
      <c r="H720" s="843"/>
      <c r="I720" s="841"/>
      <c r="J720" s="1135"/>
      <c r="K720" s="841"/>
      <c r="L720" s="841"/>
      <c r="M720" s="841"/>
      <c r="N720" s="841"/>
      <c r="O720" s="841"/>
      <c r="P720" s="841"/>
      <c r="Q720" s="841"/>
      <c r="R720" s="841"/>
    </row>
    <row r="721" spans="2:18">
      <c r="B721" s="841"/>
      <c r="C721" s="842"/>
      <c r="D721" s="842"/>
      <c r="E721" s="842"/>
      <c r="F721" s="1135"/>
      <c r="G721" s="1135"/>
      <c r="H721" s="843"/>
      <c r="I721" s="841"/>
      <c r="J721" s="1135"/>
      <c r="K721" s="841"/>
      <c r="L721" s="841"/>
      <c r="M721" s="841"/>
      <c r="N721" s="841"/>
      <c r="O721" s="841"/>
      <c r="P721" s="841"/>
      <c r="Q721" s="841"/>
      <c r="R721" s="841"/>
    </row>
    <row r="722" spans="2:18">
      <c r="B722" s="841"/>
      <c r="C722" s="842"/>
      <c r="D722" s="842"/>
      <c r="E722" s="842"/>
      <c r="F722" s="1135"/>
      <c r="G722" s="1135"/>
      <c r="H722" s="843"/>
      <c r="I722" s="841"/>
      <c r="J722" s="1135"/>
      <c r="K722" s="841"/>
      <c r="L722" s="841"/>
      <c r="M722" s="841"/>
      <c r="N722" s="841"/>
      <c r="O722" s="841"/>
      <c r="P722" s="841"/>
      <c r="Q722" s="841"/>
      <c r="R722" s="841"/>
    </row>
    <row r="723" spans="2:18">
      <c r="B723" s="841"/>
      <c r="C723" s="842"/>
      <c r="D723" s="842"/>
      <c r="E723" s="842"/>
      <c r="F723" s="1135"/>
      <c r="G723" s="1135"/>
      <c r="H723" s="843"/>
      <c r="I723" s="841"/>
      <c r="J723" s="1135"/>
      <c r="K723" s="841"/>
      <c r="L723" s="841"/>
      <c r="M723" s="841"/>
      <c r="N723" s="841"/>
      <c r="O723" s="841"/>
      <c r="P723" s="841"/>
      <c r="Q723" s="841"/>
      <c r="R723" s="841"/>
    </row>
    <row r="724" spans="2:18">
      <c r="B724" s="841"/>
      <c r="C724" s="842"/>
      <c r="D724" s="842"/>
      <c r="E724" s="842"/>
      <c r="F724" s="1135"/>
      <c r="G724" s="1135"/>
      <c r="H724" s="843"/>
      <c r="I724" s="841"/>
      <c r="J724" s="1135"/>
      <c r="K724" s="841"/>
      <c r="L724" s="841"/>
      <c r="M724" s="841"/>
      <c r="N724" s="841"/>
      <c r="O724" s="841"/>
      <c r="P724" s="841"/>
      <c r="Q724" s="841"/>
      <c r="R724" s="841"/>
    </row>
    <row r="725" spans="2:18">
      <c r="B725" s="841"/>
      <c r="C725" s="842"/>
      <c r="D725" s="842"/>
      <c r="E725" s="842"/>
      <c r="F725" s="1135"/>
      <c r="G725" s="1135"/>
      <c r="H725" s="843"/>
      <c r="I725" s="841"/>
      <c r="J725" s="1135"/>
      <c r="K725" s="841"/>
      <c r="L725" s="841"/>
      <c r="M725" s="841"/>
      <c r="N725" s="841"/>
      <c r="O725" s="841"/>
      <c r="P725" s="841"/>
      <c r="Q725" s="841"/>
      <c r="R725" s="841"/>
    </row>
    <row r="726" spans="2:18">
      <c r="B726" s="841"/>
      <c r="C726" s="842"/>
      <c r="D726" s="842"/>
      <c r="E726" s="842"/>
      <c r="F726" s="1135"/>
      <c r="G726" s="1135"/>
      <c r="H726" s="843"/>
      <c r="I726" s="841"/>
      <c r="J726" s="1135"/>
      <c r="K726" s="841"/>
      <c r="L726" s="841"/>
      <c r="M726" s="841"/>
      <c r="N726" s="841"/>
      <c r="O726" s="841"/>
      <c r="P726" s="841"/>
      <c r="Q726" s="841"/>
      <c r="R726" s="841"/>
    </row>
    <row r="727" spans="2:18">
      <c r="B727" s="841"/>
      <c r="C727" s="842"/>
      <c r="D727" s="842"/>
      <c r="E727" s="842"/>
      <c r="F727" s="1135"/>
      <c r="G727" s="1135"/>
      <c r="H727" s="843"/>
      <c r="I727" s="841"/>
      <c r="J727" s="1135"/>
      <c r="K727" s="841"/>
      <c r="L727" s="841"/>
      <c r="M727" s="841"/>
      <c r="N727" s="841"/>
      <c r="O727" s="841"/>
      <c r="P727" s="841"/>
      <c r="Q727" s="841"/>
      <c r="R727" s="841"/>
    </row>
    <row r="728" spans="2:18">
      <c r="B728" s="841"/>
      <c r="C728" s="842"/>
      <c r="D728" s="842"/>
      <c r="E728" s="842"/>
      <c r="F728" s="1135"/>
      <c r="G728" s="1135"/>
      <c r="H728" s="843"/>
      <c r="I728" s="841"/>
      <c r="J728" s="1135"/>
      <c r="K728" s="841"/>
      <c r="L728" s="841"/>
      <c r="M728" s="841"/>
      <c r="N728" s="841"/>
      <c r="O728" s="841"/>
      <c r="P728" s="841"/>
      <c r="Q728" s="841"/>
      <c r="R728" s="841"/>
    </row>
    <row r="729" spans="2:18">
      <c r="B729" s="841"/>
      <c r="C729" s="842"/>
      <c r="D729" s="842"/>
      <c r="E729" s="842"/>
      <c r="F729" s="1135"/>
      <c r="G729" s="1135"/>
      <c r="H729" s="843"/>
      <c r="I729" s="841"/>
      <c r="J729" s="1135"/>
      <c r="K729" s="841"/>
      <c r="L729" s="841"/>
      <c r="M729" s="841"/>
      <c r="N729" s="841"/>
      <c r="O729" s="841"/>
      <c r="P729" s="841"/>
      <c r="Q729" s="841"/>
      <c r="R729" s="841"/>
    </row>
    <row r="730" spans="2:18">
      <c r="B730" s="841"/>
      <c r="C730" s="842"/>
      <c r="D730" s="842"/>
      <c r="E730" s="842"/>
      <c r="F730" s="1135"/>
      <c r="G730" s="1135"/>
      <c r="H730" s="843"/>
      <c r="I730" s="841"/>
      <c r="J730" s="1135"/>
      <c r="K730" s="841"/>
      <c r="L730" s="841"/>
      <c r="M730" s="841"/>
      <c r="N730" s="841"/>
      <c r="O730" s="841"/>
      <c r="P730" s="841"/>
      <c r="Q730" s="841"/>
      <c r="R730" s="841"/>
    </row>
    <row r="731" spans="2:18">
      <c r="B731" s="841"/>
      <c r="C731" s="842"/>
      <c r="D731" s="842"/>
      <c r="E731" s="842"/>
      <c r="F731" s="1135"/>
      <c r="G731" s="1135"/>
      <c r="H731" s="843"/>
      <c r="I731" s="841"/>
      <c r="J731" s="1135"/>
      <c r="K731" s="841"/>
      <c r="L731" s="841"/>
      <c r="M731" s="841"/>
      <c r="N731" s="841"/>
      <c r="O731" s="841"/>
      <c r="P731" s="841"/>
      <c r="Q731" s="841"/>
      <c r="R731" s="841"/>
    </row>
    <row r="732" spans="2:18">
      <c r="B732" s="841"/>
      <c r="C732" s="842"/>
      <c r="D732" s="842"/>
      <c r="E732" s="842"/>
      <c r="F732" s="1135"/>
      <c r="G732" s="1135"/>
      <c r="H732" s="843"/>
      <c r="I732" s="841"/>
      <c r="J732" s="1135"/>
      <c r="K732" s="841"/>
      <c r="L732" s="841"/>
      <c r="M732" s="841"/>
      <c r="N732" s="841"/>
      <c r="O732" s="841"/>
      <c r="P732" s="841"/>
      <c r="Q732" s="841"/>
      <c r="R732" s="841"/>
    </row>
    <row r="733" spans="2:18">
      <c r="B733" s="841"/>
      <c r="C733" s="842"/>
      <c r="D733" s="842"/>
      <c r="E733" s="842"/>
      <c r="F733" s="1135"/>
      <c r="G733" s="1135"/>
      <c r="H733" s="843"/>
      <c r="I733" s="841"/>
      <c r="J733" s="1135"/>
      <c r="K733" s="841"/>
      <c r="L733" s="841"/>
      <c r="M733" s="841"/>
      <c r="N733" s="841"/>
      <c r="O733" s="841"/>
      <c r="P733" s="841"/>
      <c r="Q733" s="841"/>
      <c r="R733" s="841"/>
    </row>
    <row r="734" spans="2:18">
      <c r="B734" s="841"/>
      <c r="C734" s="842"/>
      <c r="D734" s="842"/>
      <c r="E734" s="842"/>
      <c r="F734" s="1135"/>
      <c r="G734" s="1135"/>
      <c r="H734" s="843"/>
      <c r="I734" s="841"/>
      <c r="J734" s="1135"/>
      <c r="K734" s="841"/>
      <c r="L734" s="841"/>
      <c r="M734" s="841"/>
      <c r="N734" s="841"/>
      <c r="O734" s="841"/>
      <c r="P734" s="841"/>
      <c r="Q734" s="841"/>
      <c r="R734" s="841"/>
    </row>
    <row r="735" spans="2:18">
      <c r="B735" s="841"/>
      <c r="C735" s="842"/>
      <c r="D735" s="842"/>
      <c r="E735" s="842"/>
      <c r="F735" s="1135"/>
      <c r="G735" s="1135"/>
      <c r="H735" s="843"/>
      <c r="I735" s="841"/>
      <c r="J735" s="1135"/>
      <c r="K735" s="841"/>
      <c r="L735" s="841"/>
      <c r="M735" s="841"/>
      <c r="N735" s="841"/>
      <c r="O735" s="841"/>
      <c r="P735" s="841"/>
      <c r="Q735" s="841"/>
      <c r="R735" s="841"/>
    </row>
    <row r="736" spans="2:18">
      <c r="B736" s="841"/>
      <c r="C736" s="842"/>
      <c r="D736" s="842"/>
      <c r="E736" s="842"/>
      <c r="F736" s="1135"/>
      <c r="G736" s="1135"/>
      <c r="H736" s="843"/>
      <c r="I736" s="841"/>
      <c r="J736" s="1135"/>
      <c r="K736" s="841"/>
      <c r="L736" s="841"/>
      <c r="M736" s="841"/>
      <c r="N736" s="841"/>
      <c r="O736" s="841"/>
      <c r="P736" s="841"/>
      <c r="Q736" s="841"/>
      <c r="R736" s="841"/>
    </row>
    <row r="737" spans="2:18">
      <c r="B737" s="841"/>
      <c r="C737" s="842"/>
      <c r="D737" s="842"/>
      <c r="E737" s="842"/>
      <c r="F737" s="1135"/>
      <c r="G737" s="1135"/>
      <c r="H737" s="843"/>
      <c r="I737" s="841"/>
      <c r="J737" s="1135"/>
      <c r="K737" s="841"/>
      <c r="L737" s="841"/>
      <c r="M737" s="841"/>
      <c r="N737" s="841"/>
      <c r="O737" s="841"/>
      <c r="P737" s="841"/>
      <c r="Q737" s="841"/>
      <c r="R737" s="841"/>
    </row>
    <row r="738" spans="2:18">
      <c r="B738" s="841"/>
      <c r="C738" s="842"/>
      <c r="D738" s="842"/>
      <c r="E738" s="842"/>
      <c r="F738" s="1135"/>
      <c r="G738" s="1135"/>
      <c r="H738" s="843"/>
      <c r="I738" s="841"/>
      <c r="J738" s="1135"/>
      <c r="K738" s="841"/>
      <c r="L738" s="841"/>
      <c r="M738" s="841"/>
      <c r="N738" s="841"/>
      <c r="O738" s="841"/>
      <c r="P738" s="841"/>
      <c r="Q738" s="841"/>
      <c r="R738" s="841"/>
    </row>
    <row r="739" spans="2:18">
      <c r="B739" s="841"/>
      <c r="C739" s="842"/>
      <c r="D739" s="842"/>
      <c r="E739" s="842"/>
      <c r="F739" s="1135"/>
      <c r="G739" s="1135"/>
      <c r="H739" s="843"/>
      <c r="I739" s="841"/>
      <c r="J739" s="1135"/>
      <c r="K739" s="841"/>
      <c r="L739" s="841"/>
      <c r="M739" s="841"/>
      <c r="N739" s="841"/>
      <c r="O739" s="841"/>
      <c r="P739" s="841"/>
      <c r="Q739" s="841"/>
      <c r="R739" s="841"/>
    </row>
    <row r="740" spans="2:18">
      <c r="B740" s="841"/>
      <c r="C740" s="842"/>
      <c r="D740" s="842"/>
      <c r="E740" s="842"/>
      <c r="F740" s="1135"/>
      <c r="G740" s="1135"/>
      <c r="H740" s="843"/>
      <c r="I740" s="841"/>
      <c r="J740" s="1135"/>
      <c r="K740" s="841"/>
      <c r="L740" s="841"/>
      <c r="M740" s="841"/>
      <c r="N740" s="841"/>
      <c r="O740" s="841"/>
      <c r="P740" s="841"/>
      <c r="Q740" s="841"/>
      <c r="R740" s="841"/>
    </row>
    <row r="741" spans="2:18">
      <c r="B741" s="841"/>
      <c r="C741" s="842"/>
      <c r="D741" s="842"/>
      <c r="E741" s="842"/>
      <c r="F741" s="1135"/>
      <c r="G741" s="1135"/>
      <c r="H741" s="843"/>
      <c r="I741" s="841"/>
      <c r="J741" s="1135"/>
      <c r="K741" s="841"/>
      <c r="L741" s="841"/>
      <c r="M741" s="841"/>
      <c r="N741" s="841"/>
      <c r="O741" s="841"/>
      <c r="P741" s="841"/>
      <c r="Q741" s="841"/>
      <c r="R741" s="841"/>
    </row>
    <row r="742" spans="2:18">
      <c r="B742" s="841"/>
      <c r="C742" s="842"/>
      <c r="D742" s="842"/>
      <c r="E742" s="842"/>
      <c r="F742" s="1135"/>
      <c r="G742" s="1135"/>
      <c r="H742" s="843"/>
      <c r="I742" s="841"/>
      <c r="J742" s="1135"/>
      <c r="K742" s="841"/>
      <c r="L742" s="841"/>
      <c r="M742" s="841"/>
      <c r="N742" s="841"/>
      <c r="O742" s="841"/>
      <c r="P742" s="841"/>
      <c r="Q742" s="841"/>
      <c r="R742" s="841"/>
    </row>
    <row r="743" spans="2:18">
      <c r="B743" s="841"/>
      <c r="C743" s="842"/>
      <c r="D743" s="842"/>
      <c r="E743" s="842"/>
      <c r="F743" s="1135"/>
      <c r="G743" s="1135"/>
      <c r="H743" s="843"/>
      <c r="I743" s="841"/>
      <c r="J743" s="1135"/>
      <c r="K743" s="841"/>
      <c r="L743" s="841"/>
      <c r="M743" s="841"/>
      <c r="N743" s="841"/>
      <c r="O743" s="841"/>
      <c r="P743" s="841"/>
      <c r="Q743" s="841"/>
      <c r="R743" s="841"/>
    </row>
    <row r="744" spans="2:18">
      <c r="B744" s="841"/>
      <c r="C744" s="842"/>
      <c r="D744" s="842"/>
      <c r="E744" s="842"/>
      <c r="F744" s="1135"/>
      <c r="G744" s="1135"/>
      <c r="H744" s="843"/>
      <c r="I744" s="841"/>
      <c r="J744" s="1135"/>
      <c r="K744" s="841"/>
      <c r="L744" s="841"/>
      <c r="M744" s="841"/>
      <c r="N744" s="841"/>
      <c r="O744" s="841"/>
      <c r="P744" s="841"/>
      <c r="Q744" s="841"/>
      <c r="R744" s="841"/>
    </row>
    <row r="745" spans="2:18">
      <c r="B745" s="841"/>
      <c r="C745" s="842"/>
      <c r="D745" s="842"/>
      <c r="E745" s="842"/>
      <c r="F745" s="1135"/>
      <c r="G745" s="1135"/>
      <c r="H745" s="843"/>
      <c r="I745" s="841"/>
      <c r="J745" s="1135"/>
      <c r="K745" s="841"/>
      <c r="L745" s="841"/>
      <c r="M745" s="841"/>
      <c r="N745" s="841"/>
      <c r="O745" s="841"/>
      <c r="P745" s="841"/>
      <c r="Q745" s="841"/>
      <c r="R745" s="841"/>
    </row>
    <row r="746" spans="2:18">
      <c r="B746" s="841"/>
      <c r="C746" s="842"/>
      <c r="D746" s="842"/>
      <c r="E746" s="842"/>
      <c r="F746" s="1135"/>
      <c r="G746" s="1135"/>
      <c r="H746" s="843"/>
      <c r="I746" s="841"/>
      <c r="J746" s="1135"/>
      <c r="K746" s="841"/>
      <c r="L746" s="841"/>
      <c r="M746" s="841"/>
      <c r="N746" s="841"/>
      <c r="O746" s="841"/>
      <c r="P746" s="841"/>
      <c r="Q746" s="841"/>
      <c r="R746" s="841"/>
    </row>
    <row r="747" spans="2:18">
      <c r="B747" s="841"/>
      <c r="C747" s="842"/>
      <c r="D747" s="842"/>
      <c r="E747" s="842"/>
      <c r="F747" s="1135"/>
      <c r="G747" s="1135"/>
      <c r="H747" s="843"/>
      <c r="I747" s="841"/>
      <c r="J747" s="1135"/>
      <c r="K747" s="841"/>
      <c r="L747" s="841"/>
      <c r="M747" s="841"/>
      <c r="N747" s="841"/>
      <c r="O747" s="841"/>
      <c r="P747" s="841"/>
      <c r="Q747" s="841"/>
      <c r="R747" s="841"/>
    </row>
    <row r="748" spans="2:18">
      <c r="B748" s="841"/>
      <c r="C748" s="842"/>
      <c r="D748" s="842"/>
      <c r="E748" s="842"/>
      <c r="F748" s="1135"/>
      <c r="G748" s="1135"/>
      <c r="H748" s="843"/>
      <c r="I748" s="841"/>
      <c r="J748" s="1135"/>
      <c r="K748" s="841"/>
      <c r="L748" s="841"/>
      <c r="M748" s="841"/>
      <c r="N748" s="841"/>
      <c r="O748" s="841"/>
      <c r="P748" s="841"/>
      <c r="Q748" s="841"/>
      <c r="R748" s="841"/>
    </row>
    <row r="749" spans="2:18">
      <c r="B749" s="841"/>
      <c r="C749" s="842"/>
      <c r="D749" s="842"/>
      <c r="E749" s="842"/>
      <c r="F749" s="1135"/>
      <c r="G749" s="1135"/>
      <c r="H749" s="843"/>
      <c r="I749" s="841"/>
      <c r="J749" s="1135"/>
      <c r="K749" s="841"/>
      <c r="L749" s="841"/>
      <c r="M749" s="841"/>
      <c r="N749" s="841"/>
      <c r="O749" s="841"/>
      <c r="P749" s="841"/>
      <c r="Q749" s="841"/>
      <c r="R749" s="841"/>
    </row>
    <row r="750" spans="2:18">
      <c r="B750" s="841"/>
      <c r="C750" s="842"/>
      <c r="D750" s="842"/>
      <c r="E750" s="842"/>
      <c r="F750" s="1135"/>
      <c r="G750" s="1135"/>
      <c r="H750" s="843"/>
      <c r="I750" s="841"/>
      <c r="J750" s="1135"/>
      <c r="K750" s="841"/>
      <c r="L750" s="841"/>
      <c r="M750" s="841"/>
      <c r="N750" s="841"/>
      <c r="O750" s="841"/>
      <c r="P750" s="841"/>
      <c r="Q750" s="841"/>
      <c r="R750" s="841"/>
    </row>
    <row r="751" spans="2:18">
      <c r="B751" s="841"/>
      <c r="C751" s="842"/>
      <c r="D751" s="842"/>
      <c r="E751" s="842"/>
      <c r="F751" s="1135"/>
      <c r="G751" s="1135"/>
      <c r="H751" s="843"/>
      <c r="I751" s="841"/>
      <c r="J751" s="1135"/>
      <c r="K751" s="841"/>
      <c r="L751" s="841"/>
      <c r="M751" s="841"/>
      <c r="N751" s="841"/>
      <c r="O751" s="841"/>
      <c r="P751" s="841"/>
      <c r="Q751" s="841"/>
      <c r="R751" s="841"/>
    </row>
    <row r="752" spans="2:18">
      <c r="B752" s="841"/>
      <c r="C752" s="842"/>
      <c r="D752" s="842"/>
      <c r="E752" s="842"/>
      <c r="F752" s="1135"/>
      <c r="G752" s="1135"/>
      <c r="H752" s="843"/>
      <c r="I752" s="841"/>
      <c r="J752" s="1135"/>
      <c r="K752" s="841"/>
      <c r="L752" s="841"/>
      <c r="M752" s="841"/>
      <c r="N752" s="841"/>
      <c r="O752" s="841"/>
      <c r="P752" s="841"/>
      <c r="Q752" s="841"/>
      <c r="R752" s="841"/>
    </row>
    <row r="753" spans="2:18">
      <c r="B753" s="841"/>
      <c r="C753" s="842"/>
      <c r="D753" s="842"/>
      <c r="E753" s="842"/>
      <c r="F753" s="1135"/>
      <c r="G753" s="1135"/>
      <c r="H753" s="843"/>
      <c r="I753" s="841"/>
      <c r="J753" s="1135"/>
      <c r="K753" s="841"/>
      <c r="L753" s="841"/>
      <c r="M753" s="841"/>
      <c r="N753" s="841"/>
      <c r="O753" s="841"/>
      <c r="P753" s="841"/>
      <c r="Q753" s="841"/>
      <c r="R753" s="841"/>
    </row>
    <row r="754" spans="2:18">
      <c r="B754" s="841"/>
      <c r="C754" s="842"/>
      <c r="D754" s="842"/>
      <c r="E754" s="842"/>
      <c r="F754" s="1135"/>
      <c r="G754" s="1135"/>
      <c r="H754" s="843"/>
      <c r="I754" s="841"/>
      <c r="J754" s="1135"/>
      <c r="K754" s="841"/>
      <c r="L754" s="841"/>
      <c r="M754" s="841"/>
      <c r="N754" s="841"/>
      <c r="O754" s="841"/>
      <c r="P754" s="841"/>
      <c r="Q754" s="841"/>
      <c r="R754" s="841"/>
    </row>
    <row r="755" spans="2:18">
      <c r="B755" s="841"/>
      <c r="C755" s="842"/>
      <c r="D755" s="842"/>
      <c r="E755" s="842"/>
      <c r="F755" s="1135"/>
      <c r="G755" s="1135"/>
      <c r="H755" s="843"/>
      <c r="I755" s="841"/>
      <c r="J755" s="1135"/>
      <c r="K755" s="841"/>
      <c r="L755" s="841"/>
      <c r="M755" s="841"/>
      <c r="N755" s="841"/>
      <c r="O755" s="841"/>
      <c r="P755" s="841"/>
      <c r="Q755" s="841"/>
      <c r="R755" s="841"/>
    </row>
    <row r="756" spans="2:18">
      <c r="B756" s="841"/>
      <c r="C756" s="842"/>
      <c r="D756" s="842"/>
      <c r="E756" s="842"/>
      <c r="F756" s="1135"/>
      <c r="G756" s="1135"/>
      <c r="H756" s="843"/>
      <c r="I756" s="841"/>
      <c r="J756" s="1135"/>
      <c r="K756" s="841"/>
      <c r="L756" s="841"/>
      <c r="M756" s="841"/>
      <c r="N756" s="841"/>
      <c r="O756" s="841"/>
      <c r="P756" s="841"/>
      <c r="Q756" s="841"/>
      <c r="R756" s="841"/>
    </row>
    <row r="757" spans="2:18">
      <c r="B757" s="841"/>
      <c r="C757" s="842"/>
      <c r="D757" s="842"/>
      <c r="E757" s="842"/>
      <c r="F757" s="1135"/>
      <c r="G757" s="1135"/>
      <c r="H757" s="843"/>
      <c r="I757" s="841"/>
      <c r="J757" s="1135"/>
      <c r="K757" s="841"/>
      <c r="L757" s="841"/>
      <c r="M757" s="841"/>
      <c r="N757" s="841"/>
      <c r="O757" s="841"/>
      <c r="P757" s="841"/>
      <c r="Q757" s="841"/>
      <c r="R757" s="841"/>
    </row>
    <row r="758" spans="2:18">
      <c r="B758" s="841"/>
      <c r="C758" s="842"/>
      <c r="D758" s="842"/>
      <c r="E758" s="842"/>
      <c r="F758" s="1135"/>
      <c r="G758" s="1135"/>
      <c r="H758" s="843"/>
      <c r="I758" s="841"/>
      <c r="J758" s="1135"/>
      <c r="K758" s="841"/>
      <c r="L758" s="841"/>
      <c r="M758" s="841"/>
      <c r="N758" s="841"/>
      <c r="O758" s="841"/>
      <c r="P758" s="841"/>
      <c r="Q758" s="841"/>
      <c r="R758" s="841"/>
    </row>
    <row r="759" spans="2:18">
      <c r="B759" s="841"/>
      <c r="C759" s="842"/>
      <c r="D759" s="842"/>
      <c r="E759" s="842"/>
      <c r="F759" s="1135"/>
      <c r="G759" s="1135"/>
      <c r="H759" s="843"/>
      <c r="I759" s="841"/>
      <c r="J759" s="1135"/>
      <c r="K759" s="841"/>
      <c r="L759" s="841"/>
      <c r="M759" s="841"/>
      <c r="N759" s="841"/>
      <c r="O759" s="841"/>
      <c r="P759" s="841"/>
      <c r="Q759" s="841"/>
      <c r="R759" s="841"/>
    </row>
    <row r="760" spans="2:18">
      <c r="B760" s="841"/>
      <c r="C760" s="842"/>
      <c r="D760" s="842"/>
      <c r="E760" s="842"/>
      <c r="F760" s="1135"/>
      <c r="G760" s="1135"/>
      <c r="H760" s="843"/>
      <c r="I760" s="841"/>
      <c r="J760" s="1135"/>
      <c r="K760" s="841"/>
      <c r="L760" s="841"/>
      <c r="M760" s="841"/>
      <c r="N760" s="841"/>
      <c r="O760" s="841"/>
      <c r="P760" s="841"/>
      <c r="Q760" s="841"/>
      <c r="R760" s="841"/>
    </row>
    <row r="761" spans="2:18">
      <c r="B761" s="841"/>
      <c r="C761" s="842"/>
      <c r="D761" s="842"/>
      <c r="E761" s="842"/>
      <c r="F761" s="1135"/>
      <c r="G761" s="1135"/>
      <c r="H761" s="843"/>
      <c r="I761" s="841"/>
      <c r="J761" s="1135"/>
      <c r="K761" s="841"/>
      <c r="L761" s="841"/>
      <c r="M761" s="841"/>
      <c r="N761" s="841"/>
      <c r="O761" s="841"/>
      <c r="P761" s="841"/>
      <c r="Q761" s="841"/>
      <c r="R761" s="841"/>
    </row>
    <row r="762" spans="2:18">
      <c r="B762" s="841"/>
      <c r="C762" s="842"/>
      <c r="D762" s="842"/>
      <c r="E762" s="842"/>
      <c r="F762" s="1135"/>
      <c r="G762" s="1135"/>
      <c r="H762" s="843"/>
      <c r="I762" s="841"/>
      <c r="J762" s="1135"/>
      <c r="K762" s="841"/>
      <c r="L762" s="841"/>
      <c r="M762" s="841"/>
      <c r="N762" s="841"/>
      <c r="O762" s="841"/>
      <c r="P762" s="841"/>
      <c r="Q762" s="841"/>
      <c r="R762" s="841"/>
    </row>
    <row r="763" spans="2:18">
      <c r="B763" s="841"/>
      <c r="C763" s="842"/>
      <c r="D763" s="842"/>
      <c r="E763" s="842"/>
      <c r="F763" s="1135"/>
      <c r="G763" s="1135"/>
      <c r="H763" s="843"/>
      <c r="I763" s="841"/>
      <c r="J763" s="1135"/>
      <c r="K763" s="841"/>
      <c r="L763" s="841"/>
      <c r="M763" s="841"/>
      <c r="N763" s="841"/>
      <c r="O763" s="841"/>
      <c r="P763" s="841"/>
      <c r="Q763" s="841"/>
      <c r="R763" s="841"/>
    </row>
    <row r="764" spans="2:18">
      <c r="B764" s="841"/>
      <c r="C764" s="842"/>
      <c r="D764" s="842"/>
      <c r="E764" s="842"/>
      <c r="F764" s="1135"/>
      <c r="G764" s="1135"/>
      <c r="H764" s="843"/>
      <c r="I764" s="841"/>
      <c r="J764" s="1135"/>
      <c r="K764" s="841"/>
      <c r="L764" s="841"/>
      <c r="M764" s="841"/>
      <c r="N764" s="841"/>
      <c r="O764" s="841"/>
      <c r="P764" s="841"/>
      <c r="Q764" s="841"/>
      <c r="R764" s="841"/>
    </row>
    <row r="765" spans="2:18">
      <c r="B765" s="841"/>
      <c r="C765" s="842"/>
      <c r="D765" s="842"/>
      <c r="E765" s="842"/>
      <c r="F765" s="1135"/>
      <c r="G765" s="1135"/>
      <c r="H765" s="843"/>
      <c r="I765" s="841"/>
      <c r="J765" s="1135"/>
      <c r="K765" s="841"/>
      <c r="L765" s="841"/>
      <c r="M765" s="841"/>
      <c r="N765" s="841"/>
      <c r="O765" s="841"/>
      <c r="P765" s="841"/>
      <c r="Q765" s="841"/>
      <c r="R765" s="841"/>
    </row>
    <row r="766" spans="2:18">
      <c r="B766" s="841"/>
      <c r="C766" s="842"/>
      <c r="D766" s="842"/>
      <c r="E766" s="842"/>
      <c r="F766" s="1135"/>
      <c r="G766" s="1135"/>
      <c r="H766" s="843"/>
      <c r="I766" s="841"/>
      <c r="J766" s="1135"/>
      <c r="K766" s="841"/>
      <c r="L766" s="841"/>
      <c r="M766" s="841"/>
      <c r="N766" s="841"/>
      <c r="O766" s="841"/>
      <c r="P766" s="841"/>
      <c r="Q766" s="841"/>
      <c r="R766" s="841"/>
    </row>
    <row r="767" spans="2:18">
      <c r="B767" s="841"/>
      <c r="C767" s="842"/>
      <c r="D767" s="842"/>
      <c r="E767" s="842"/>
      <c r="F767" s="1135"/>
      <c r="G767" s="1135"/>
      <c r="H767" s="843"/>
      <c r="I767" s="841"/>
      <c r="J767" s="1135"/>
      <c r="K767" s="841"/>
      <c r="L767" s="841"/>
      <c r="M767" s="841"/>
      <c r="N767" s="841"/>
      <c r="O767" s="841"/>
      <c r="P767" s="841"/>
      <c r="Q767" s="841"/>
      <c r="R767" s="841"/>
    </row>
    <row r="768" spans="2:18">
      <c r="B768" s="841"/>
      <c r="C768" s="842"/>
      <c r="D768" s="842"/>
      <c r="E768" s="842"/>
      <c r="F768" s="1135"/>
      <c r="G768" s="1135"/>
      <c r="H768" s="843"/>
      <c r="I768" s="841"/>
      <c r="J768" s="1135"/>
      <c r="K768" s="841"/>
      <c r="L768" s="841"/>
      <c r="M768" s="841"/>
      <c r="N768" s="841"/>
      <c r="O768" s="841"/>
      <c r="P768" s="841"/>
      <c r="Q768" s="841"/>
      <c r="R768" s="841"/>
    </row>
    <row r="769" spans="2:18">
      <c r="B769" s="841"/>
      <c r="C769" s="842"/>
      <c r="D769" s="842"/>
      <c r="E769" s="842"/>
      <c r="F769" s="1135"/>
      <c r="G769" s="1135"/>
      <c r="H769" s="843"/>
      <c r="I769" s="841"/>
      <c r="J769" s="1135"/>
      <c r="K769" s="841"/>
      <c r="L769" s="841"/>
      <c r="M769" s="841"/>
      <c r="N769" s="841"/>
      <c r="O769" s="841"/>
      <c r="P769" s="841"/>
      <c r="Q769" s="841"/>
      <c r="R769" s="841"/>
    </row>
    <row r="770" spans="2:18">
      <c r="B770" s="841"/>
      <c r="C770" s="842"/>
      <c r="D770" s="842"/>
      <c r="E770" s="842"/>
      <c r="F770" s="1135"/>
      <c r="G770" s="1135"/>
      <c r="H770" s="843"/>
      <c r="I770" s="841"/>
      <c r="J770" s="1135"/>
      <c r="K770" s="841"/>
      <c r="L770" s="841"/>
      <c r="M770" s="841"/>
      <c r="N770" s="841"/>
      <c r="O770" s="841"/>
      <c r="P770" s="841"/>
      <c r="Q770" s="841"/>
      <c r="R770" s="841"/>
    </row>
    <row r="771" spans="2:18">
      <c r="B771" s="841"/>
      <c r="C771" s="842"/>
      <c r="D771" s="842"/>
      <c r="E771" s="842"/>
      <c r="F771" s="1135"/>
      <c r="G771" s="1135"/>
      <c r="H771" s="843"/>
      <c r="I771" s="841"/>
      <c r="J771" s="1135"/>
      <c r="K771" s="841"/>
      <c r="L771" s="841"/>
      <c r="M771" s="841"/>
      <c r="N771" s="841"/>
      <c r="O771" s="841"/>
      <c r="P771" s="841"/>
      <c r="Q771" s="841"/>
      <c r="R771" s="841"/>
    </row>
    <row r="772" spans="2:18">
      <c r="B772" s="841"/>
      <c r="C772" s="842"/>
      <c r="D772" s="842"/>
      <c r="E772" s="842"/>
      <c r="F772" s="1135"/>
      <c r="G772" s="1135"/>
      <c r="H772" s="843"/>
      <c r="I772" s="841"/>
      <c r="J772" s="1135"/>
      <c r="K772" s="841"/>
      <c r="L772" s="841"/>
      <c r="M772" s="841"/>
      <c r="N772" s="841"/>
      <c r="O772" s="841"/>
      <c r="P772" s="841"/>
      <c r="Q772" s="841"/>
      <c r="R772" s="841"/>
    </row>
    <row r="773" spans="2:18">
      <c r="B773" s="841"/>
      <c r="C773" s="842"/>
      <c r="D773" s="842"/>
      <c r="E773" s="842"/>
      <c r="F773" s="1135"/>
      <c r="G773" s="1135"/>
      <c r="H773" s="843"/>
      <c r="I773" s="841"/>
      <c r="J773" s="1135"/>
      <c r="K773" s="841"/>
      <c r="L773" s="841"/>
      <c r="M773" s="841"/>
      <c r="N773" s="841"/>
      <c r="O773" s="841"/>
      <c r="P773" s="841"/>
      <c r="Q773" s="841"/>
      <c r="R773" s="841"/>
    </row>
    <row r="774" spans="2:18">
      <c r="B774" s="841"/>
      <c r="C774" s="842"/>
      <c r="D774" s="842"/>
      <c r="E774" s="842"/>
      <c r="F774" s="1135"/>
      <c r="G774" s="1135"/>
      <c r="H774" s="843"/>
      <c r="I774" s="841"/>
      <c r="J774" s="1135"/>
      <c r="K774" s="841"/>
      <c r="L774" s="841"/>
      <c r="M774" s="841"/>
      <c r="N774" s="841"/>
      <c r="O774" s="841"/>
      <c r="P774" s="841"/>
      <c r="Q774" s="841"/>
      <c r="R774" s="841"/>
    </row>
    <row r="775" spans="2:18">
      <c r="B775" s="841"/>
      <c r="C775" s="842"/>
      <c r="D775" s="842"/>
      <c r="E775" s="842"/>
      <c r="F775" s="1135"/>
      <c r="G775" s="1135"/>
      <c r="H775" s="843"/>
      <c r="I775" s="841"/>
      <c r="J775" s="1135"/>
      <c r="K775" s="841"/>
      <c r="L775" s="841"/>
      <c r="M775" s="841"/>
      <c r="N775" s="841"/>
      <c r="O775" s="841"/>
      <c r="P775" s="841"/>
      <c r="Q775" s="841"/>
      <c r="R775" s="841"/>
    </row>
    <row r="776" spans="2:18">
      <c r="B776" s="841"/>
      <c r="C776" s="842"/>
      <c r="D776" s="842"/>
      <c r="E776" s="842"/>
      <c r="F776" s="1135"/>
      <c r="G776" s="1135"/>
      <c r="H776" s="843"/>
      <c r="I776" s="841"/>
      <c r="J776" s="1135"/>
      <c r="K776" s="841"/>
      <c r="L776" s="841"/>
      <c r="M776" s="841"/>
      <c r="N776" s="841"/>
      <c r="O776" s="841"/>
      <c r="P776" s="841"/>
      <c r="Q776" s="841"/>
      <c r="R776" s="841"/>
    </row>
    <row r="777" spans="2:18">
      <c r="B777" s="841"/>
      <c r="C777" s="842"/>
      <c r="D777" s="842"/>
      <c r="E777" s="842"/>
      <c r="F777" s="1135"/>
      <c r="G777" s="1135"/>
      <c r="H777" s="843"/>
      <c r="I777" s="841"/>
      <c r="J777" s="1135"/>
      <c r="K777" s="841"/>
      <c r="L777" s="841"/>
      <c r="M777" s="841"/>
      <c r="N777" s="841"/>
      <c r="O777" s="841"/>
      <c r="P777" s="841"/>
      <c r="Q777" s="841"/>
      <c r="R777" s="841"/>
    </row>
    <row r="778" spans="2:18">
      <c r="B778" s="841"/>
      <c r="C778" s="842"/>
      <c r="D778" s="842"/>
      <c r="E778" s="842"/>
      <c r="F778" s="1135"/>
      <c r="G778" s="1135"/>
      <c r="H778" s="843"/>
      <c r="I778" s="841"/>
      <c r="J778" s="1135"/>
      <c r="K778" s="841"/>
      <c r="L778" s="841"/>
      <c r="M778" s="841"/>
      <c r="N778" s="841"/>
      <c r="O778" s="841"/>
      <c r="P778" s="841"/>
      <c r="Q778" s="841"/>
      <c r="R778" s="841"/>
    </row>
    <row r="779" spans="2:18">
      <c r="B779" s="841"/>
      <c r="C779" s="842"/>
      <c r="D779" s="842"/>
      <c r="E779" s="842"/>
      <c r="F779" s="1135"/>
      <c r="G779" s="1135"/>
      <c r="H779" s="843"/>
      <c r="I779" s="841"/>
      <c r="J779" s="1135"/>
      <c r="K779" s="841"/>
      <c r="L779" s="841"/>
      <c r="M779" s="841"/>
      <c r="N779" s="841"/>
      <c r="O779" s="841"/>
      <c r="P779" s="841"/>
      <c r="Q779" s="841"/>
      <c r="R779" s="841"/>
    </row>
    <row r="780" spans="2:18">
      <c r="B780" s="841"/>
      <c r="C780" s="842"/>
      <c r="D780" s="842"/>
      <c r="E780" s="842"/>
      <c r="F780" s="1135"/>
      <c r="G780" s="1135"/>
      <c r="H780" s="843"/>
      <c r="I780" s="841"/>
      <c r="J780" s="1135"/>
      <c r="K780" s="841"/>
      <c r="L780" s="841"/>
      <c r="M780" s="841"/>
      <c r="N780" s="841"/>
      <c r="O780" s="841"/>
      <c r="P780" s="841"/>
      <c r="Q780" s="841"/>
      <c r="R780" s="841"/>
    </row>
    <row r="781" spans="2:18">
      <c r="B781" s="841"/>
      <c r="C781" s="842"/>
      <c r="D781" s="842"/>
      <c r="E781" s="842"/>
      <c r="F781" s="1135"/>
      <c r="G781" s="1135"/>
      <c r="H781" s="843"/>
      <c r="I781" s="841"/>
      <c r="J781" s="1135"/>
      <c r="K781" s="841"/>
      <c r="L781" s="841"/>
      <c r="M781" s="841"/>
      <c r="N781" s="841"/>
      <c r="O781" s="841"/>
      <c r="P781" s="841"/>
      <c r="Q781" s="841"/>
      <c r="R781" s="841"/>
    </row>
    <row r="782" spans="2:18">
      <c r="B782" s="841"/>
      <c r="C782" s="842"/>
      <c r="D782" s="842"/>
      <c r="E782" s="842"/>
      <c r="F782" s="1135"/>
      <c r="G782" s="1135"/>
      <c r="H782" s="843"/>
      <c r="I782" s="841"/>
      <c r="J782" s="1135"/>
      <c r="K782" s="841"/>
      <c r="L782" s="841"/>
      <c r="M782" s="841"/>
      <c r="N782" s="841"/>
      <c r="O782" s="841"/>
      <c r="P782" s="841"/>
      <c r="Q782" s="841"/>
      <c r="R782" s="841"/>
    </row>
    <row r="783" spans="2:18">
      <c r="B783" s="841"/>
      <c r="C783" s="842"/>
      <c r="D783" s="842"/>
      <c r="E783" s="842"/>
      <c r="F783" s="1135"/>
      <c r="G783" s="1135"/>
      <c r="H783" s="843"/>
      <c r="I783" s="841"/>
      <c r="J783" s="1135"/>
      <c r="K783" s="841"/>
      <c r="L783" s="841"/>
      <c r="M783" s="841"/>
      <c r="N783" s="841"/>
      <c r="O783" s="841"/>
      <c r="P783" s="841"/>
      <c r="Q783" s="841"/>
      <c r="R783" s="841"/>
    </row>
    <row r="784" spans="2:18">
      <c r="B784" s="841"/>
      <c r="C784" s="842"/>
      <c r="D784" s="842"/>
      <c r="E784" s="842"/>
      <c r="F784" s="1135"/>
      <c r="G784" s="1135"/>
      <c r="H784" s="843"/>
      <c r="I784" s="841"/>
      <c r="J784" s="1135"/>
      <c r="K784" s="841"/>
      <c r="L784" s="841"/>
      <c r="M784" s="841"/>
      <c r="N784" s="841"/>
      <c r="O784" s="841"/>
      <c r="P784" s="841"/>
      <c r="Q784" s="841"/>
      <c r="R784" s="841"/>
    </row>
    <row r="785" spans="2:18">
      <c r="B785" s="841"/>
      <c r="C785" s="842"/>
      <c r="D785" s="842"/>
      <c r="E785" s="842"/>
      <c r="F785" s="1135"/>
      <c r="G785" s="1135"/>
      <c r="H785" s="843"/>
      <c r="I785" s="841"/>
      <c r="J785" s="1135"/>
      <c r="K785" s="841"/>
      <c r="L785" s="841"/>
      <c r="M785" s="841"/>
      <c r="N785" s="841"/>
      <c r="O785" s="841"/>
      <c r="P785" s="841"/>
      <c r="Q785" s="841"/>
      <c r="R785" s="841"/>
    </row>
    <row r="786" spans="2:18">
      <c r="B786" s="841"/>
      <c r="C786" s="842"/>
      <c r="D786" s="842"/>
      <c r="E786" s="842"/>
      <c r="F786" s="1135"/>
      <c r="G786" s="1135"/>
      <c r="H786" s="843"/>
      <c r="I786" s="841"/>
      <c r="J786" s="1135"/>
      <c r="K786" s="841"/>
      <c r="L786" s="841"/>
      <c r="M786" s="841"/>
      <c r="N786" s="841"/>
      <c r="O786" s="841"/>
      <c r="P786" s="841"/>
      <c r="Q786" s="841"/>
      <c r="R786" s="841"/>
    </row>
    <row r="787" spans="2:18">
      <c r="B787" s="841"/>
      <c r="C787" s="842"/>
      <c r="D787" s="842"/>
      <c r="E787" s="842"/>
      <c r="F787" s="1135"/>
      <c r="G787" s="1135"/>
      <c r="H787" s="843"/>
      <c r="I787" s="841"/>
      <c r="J787" s="1135"/>
      <c r="K787" s="841"/>
      <c r="L787" s="841"/>
      <c r="M787" s="841"/>
      <c r="N787" s="841"/>
      <c r="O787" s="841"/>
      <c r="P787" s="841"/>
      <c r="Q787" s="841"/>
      <c r="R787" s="841"/>
    </row>
    <row r="788" spans="2:18">
      <c r="B788" s="841"/>
      <c r="C788" s="842"/>
      <c r="D788" s="842"/>
      <c r="E788" s="842"/>
      <c r="F788" s="1135"/>
      <c r="G788" s="1135"/>
      <c r="H788" s="843"/>
      <c r="I788" s="841"/>
      <c r="J788" s="1135"/>
      <c r="K788" s="841"/>
      <c r="L788" s="841"/>
      <c r="M788" s="841"/>
      <c r="N788" s="841"/>
      <c r="O788" s="841"/>
      <c r="P788" s="841"/>
      <c r="Q788" s="841"/>
      <c r="R788" s="841"/>
    </row>
    <row r="789" spans="2:18">
      <c r="B789" s="841"/>
      <c r="C789" s="842"/>
      <c r="D789" s="842"/>
      <c r="E789" s="842"/>
      <c r="F789" s="1135"/>
      <c r="G789" s="1135"/>
      <c r="H789" s="843"/>
      <c r="I789" s="841"/>
      <c r="J789" s="1135"/>
      <c r="K789" s="841"/>
      <c r="L789" s="841"/>
      <c r="M789" s="841"/>
      <c r="N789" s="841"/>
      <c r="O789" s="841"/>
      <c r="P789" s="841"/>
      <c r="Q789" s="841"/>
      <c r="R789" s="841"/>
    </row>
    <row r="790" spans="2:18">
      <c r="B790" s="841"/>
      <c r="C790" s="842"/>
      <c r="D790" s="842"/>
      <c r="E790" s="842"/>
      <c r="F790" s="1135"/>
      <c r="G790" s="1135"/>
      <c r="H790" s="843"/>
      <c r="I790" s="841"/>
      <c r="J790" s="1135"/>
      <c r="K790" s="841"/>
      <c r="L790" s="841"/>
      <c r="M790" s="841"/>
      <c r="N790" s="841"/>
      <c r="O790" s="841"/>
      <c r="P790" s="841"/>
      <c r="Q790" s="841"/>
      <c r="R790" s="841"/>
    </row>
    <row r="791" spans="2:18">
      <c r="B791" s="841"/>
      <c r="C791" s="842"/>
      <c r="D791" s="842"/>
      <c r="E791" s="842"/>
      <c r="F791" s="1135"/>
      <c r="G791" s="1135"/>
      <c r="H791" s="843"/>
      <c r="I791" s="841"/>
      <c r="J791" s="1135"/>
      <c r="K791" s="841"/>
      <c r="L791" s="841"/>
      <c r="M791" s="841"/>
      <c r="N791" s="841"/>
      <c r="O791" s="841"/>
      <c r="P791" s="841"/>
      <c r="Q791" s="841"/>
      <c r="R791" s="841"/>
    </row>
    <row r="792" spans="2:18">
      <c r="B792" s="841"/>
      <c r="C792" s="842"/>
      <c r="D792" s="842"/>
      <c r="E792" s="842"/>
      <c r="F792" s="1135"/>
      <c r="G792" s="1135"/>
      <c r="H792" s="843"/>
      <c r="I792" s="841"/>
      <c r="J792" s="1135"/>
      <c r="K792" s="841"/>
      <c r="L792" s="841"/>
      <c r="M792" s="841"/>
      <c r="N792" s="841"/>
      <c r="O792" s="841"/>
      <c r="P792" s="841"/>
      <c r="Q792" s="841"/>
      <c r="R792" s="841"/>
    </row>
    <row r="793" spans="2:18">
      <c r="B793" s="841"/>
      <c r="C793" s="842"/>
      <c r="D793" s="842"/>
      <c r="E793" s="842"/>
      <c r="F793" s="1135"/>
      <c r="G793" s="1135"/>
      <c r="H793" s="843"/>
      <c r="I793" s="841"/>
      <c r="J793" s="1135"/>
      <c r="K793" s="841"/>
      <c r="L793" s="841"/>
      <c r="M793" s="841"/>
      <c r="N793" s="841"/>
      <c r="O793" s="841"/>
      <c r="P793" s="841"/>
      <c r="Q793" s="841"/>
      <c r="R793" s="841"/>
    </row>
    <row r="794" spans="2:18">
      <c r="B794" s="841"/>
      <c r="C794" s="842"/>
      <c r="D794" s="842"/>
      <c r="E794" s="842"/>
      <c r="F794" s="1135"/>
      <c r="G794" s="1135"/>
      <c r="H794" s="843"/>
      <c r="I794" s="841"/>
      <c r="J794" s="1135"/>
      <c r="K794" s="841"/>
      <c r="L794" s="841"/>
      <c r="M794" s="841"/>
      <c r="N794" s="841"/>
      <c r="O794" s="841"/>
      <c r="P794" s="841"/>
      <c r="Q794" s="841"/>
      <c r="R794" s="841"/>
    </row>
    <row r="795" spans="2:18">
      <c r="B795" s="841"/>
      <c r="C795" s="842"/>
      <c r="D795" s="842"/>
      <c r="E795" s="842"/>
      <c r="F795" s="1135"/>
      <c r="G795" s="1135"/>
      <c r="H795" s="843"/>
      <c r="I795" s="841"/>
      <c r="J795" s="1135"/>
      <c r="K795" s="841"/>
      <c r="L795" s="841"/>
      <c r="M795" s="841"/>
      <c r="N795" s="841"/>
      <c r="O795" s="841"/>
      <c r="P795" s="841"/>
      <c r="Q795" s="841"/>
      <c r="R795" s="841"/>
    </row>
    <row r="796" spans="2:18">
      <c r="B796" s="841"/>
      <c r="C796" s="842"/>
      <c r="D796" s="842"/>
      <c r="E796" s="842"/>
      <c r="F796" s="1135"/>
      <c r="G796" s="1135"/>
      <c r="H796" s="843"/>
      <c r="I796" s="841"/>
      <c r="J796" s="1135"/>
      <c r="K796" s="841"/>
      <c r="L796" s="841"/>
      <c r="M796" s="841"/>
      <c r="N796" s="841"/>
      <c r="O796" s="841"/>
      <c r="P796" s="841"/>
      <c r="Q796" s="841"/>
      <c r="R796" s="841"/>
    </row>
    <row r="797" spans="2:18">
      <c r="B797" s="841"/>
      <c r="C797" s="842"/>
      <c r="D797" s="842"/>
      <c r="E797" s="842"/>
      <c r="F797" s="1135"/>
      <c r="G797" s="1135"/>
      <c r="H797" s="843"/>
      <c r="I797" s="841"/>
      <c r="J797" s="1135"/>
      <c r="K797" s="841"/>
      <c r="L797" s="841"/>
      <c r="M797" s="841"/>
      <c r="N797" s="841"/>
      <c r="O797" s="841"/>
      <c r="P797" s="841"/>
      <c r="Q797" s="841"/>
      <c r="R797" s="841"/>
    </row>
    <row r="798" spans="2:18">
      <c r="B798" s="841"/>
      <c r="C798" s="842"/>
      <c r="D798" s="842"/>
      <c r="E798" s="842"/>
      <c r="F798" s="1135"/>
      <c r="G798" s="1135"/>
      <c r="H798" s="843"/>
      <c r="I798" s="841"/>
      <c r="J798" s="1135"/>
      <c r="K798" s="841"/>
      <c r="L798" s="841"/>
      <c r="M798" s="841"/>
      <c r="N798" s="841"/>
      <c r="O798" s="841"/>
      <c r="P798" s="841"/>
      <c r="Q798" s="841"/>
      <c r="R798" s="841"/>
    </row>
    <row r="799" spans="2:18">
      <c r="B799" s="841"/>
      <c r="C799" s="842"/>
      <c r="D799" s="842"/>
      <c r="E799" s="842"/>
      <c r="F799" s="1135"/>
      <c r="G799" s="1135"/>
      <c r="H799" s="843"/>
      <c r="I799" s="841"/>
      <c r="J799" s="1135"/>
      <c r="K799" s="841"/>
      <c r="L799" s="841"/>
      <c r="M799" s="841"/>
      <c r="N799" s="841"/>
      <c r="O799" s="841"/>
      <c r="P799" s="841"/>
      <c r="Q799" s="841"/>
      <c r="R799" s="841"/>
    </row>
    <row r="800" spans="2:18">
      <c r="B800" s="841"/>
      <c r="C800" s="842"/>
      <c r="D800" s="842"/>
      <c r="E800" s="842"/>
      <c r="F800" s="1135"/>
      <c r="G800" s="1135"/>
      <c r="H800" s="843"/>
      <c r="I800" s="841"/>
      <c r="J800" s="1135"/>
      <c r="K800" s="841"/>
      <c r="L800" s="841"/>
      <c r="M800" s="841"/>
      <c r="N800" s="841"/>
      <c r="O800" s="841"/>
      <c r="P800" s="841"/>
      <c r="Q800" s="841"/>
      <c r="R800" s="841"/>
    </row>
    <row r="801" spans="2:18">
      <c r="B801" s="841"/>
      <c r="C801" s="842"/>
      <c r="D801" s="842"/>
      <c r="E801" s="842"/>
      <c r="F801" s="1135"/>
      <c r="G801" s="1135"/>
      <c r="H801" s="843"/>
      <c r="I801" s="841"/>
      <c r="J801" s="1135"/>
      <c r="K801" s="841"/>
      <c r="L801" s="841"/>
      <c r="M801" s="841"/>
      <c r="N801" s="841"/>
      <c r="O801" s="841"/>
      <c r="P801" s="841"/>
      <c r="Q801" s="841"/>
      <c r="R801" s="841"/>
    </row>
    <row r="802" spans="2:18">
      <c r="B802" s="841"/>
      <c r="C802" s="842"/>
      <c r="D802" s="842"/>
      <c r="E802" s="842"/>
      <c r="F802" s="1135"/>
      <c r="G802" s="1135"/>
      <c r="H802" s="843"/>
      <c r="I802" s="841"/>
      <c r="J802" s="1135"/>
      <c r="K802" s="841"/>
      <c r="L802" s="841"/>
      <c r="M802" s="841"/>
      <c r="N802" s="841"/>
      <c r="O802" s="841"/>
      <c r="P802" s="841"/>
      <c r="Q802" s="841"/>
      <c r="R802" s="841"/>
    </row>
    <row r="803" spans="2:18">
      <c r="B803" s="841"/>
      <c r="C803" s="842"/>
      <c r="D803" s="842"/>
      <c r="E803" s="842"/>
      <c r="F803" s="1135"/>
      <c r="G803" s="1135"/>
      <c r="H803" s="843"/>
      <c r="I803" s="841"/>
      <c r="J803" s="1135"/>
      <c r="K803" s="841"/>
      <c r="L803" s="841"/>
      <c r="M803" s="841"/>
      <c r="N803" s="841"/>
      <c r="O803" s="841"/>
      <c r="P803" s="841"/>
      <c r="Q803" s="841"/>
      <c r="R803" s="841"/>
    </row>
    <row r="804" spans="2:18">
      <c r="B804" s="841"/>
      <c r="C804" s="842"/>
      <c r="D804" s="842"/>
      <c r="E804" s="842"/>
      <c r="F804" s="1135"/>
      <c r="G804" s="1135"/>
      <c r="H804" s="843"/>
      <c r="I804" s="841"/>
      <c r="J804" s="1135"/>
      <c r="K804" s="841"/>
      <c r="L804" s="841"/>
      <c r="M804" s="841"/>
      <c r="N804" s="841"/>
      <c r="O804" s="841"/>
      <c r="P804" s="841"/>
      <c r="Q804" s="841"/>
      <c r="R804" s="841"/>
    </row>
    <row r="805" spans="2:18">
      <c r="B805" s="841"/>
      <c r="C805" s="842"/>
      <c r="D805" s="842"/>
      <c r="E805" s="842"/>
      <c r="F805" s="1135"/>
      <c r="G805" s="1135"/>
      <c r="H805" s="843"/>
      <c r="I805" s="841"/>
      <c r="J805" s="1135"/>
      <c r="K805" s="841"/>
      <c r="L805" s="841"/>
      <c r="M805" s="841"/>
      <c r="N805" s="841"/>
      <c r="O805" s="841"/>
      <c r="P805" s="841"/>
      <c r="Q805" s="841"/>
      <c r="R805" s="841"/>
    </row>
    <row r="806" spans="2:18">
      <c r="B806" s="841"/>
      <c r="C806" s="842"/>
      <c r="D806" s="842"/>
      <c r="E806" s="842"/>
      <c r="F806" s="1135"/>
      <c r="G806" s="1135"/>
      <c r="H806" s="843"/>
      <c r="I806" s="841"/>
      <c r="J806" s="1135"/>
      <c r="K806" s="841"/>
      <c r="L806" s="841"/>
      <c r="M806" s="841"/>
      <c r="N806" s="841"/>
      <c r="O806" s="841"/>
      <c r="P806" s="841"/>
      <c r="Q806" s="841"/>
      <c r="R806" s="841"/>
    </row>
    <row r="807" spans="2:18">
      <c r="B807" s="841"/>
      <c r="C807" s="842"/>
      <c r="D807" s="842"/>
      <c r="E807" s="842"/>
      <c r="F807" s="1135"/>
      <c r="G807" s="1135"/>
      <c r="H807" s="843"/>
      <c r="I807" s="841"/>
      <c r="J807" s="1135"/>
      <c r="K807" s="841"/>
      <c r="L807" s="841"/>
      <c r="M807" s="841"/>
      <c r="N807" s="841"/>
      <c r="O807" s="841"/>
      <c r="P807" s="841"/>
      <c r="Q807" s="841"/>
      <c r="R807" s="841"/>
    </row>
    <row r="808" spans="2:18">
      <c r="B808" s="841"/>
      <c r="C808" s="842"/>
      <c r="D808" s="842"/>
      <c r="E808" s="842"/>
      <c r="F808" s="1135"/>
      <c r="G808" s="1135"/>
      <c r="H808" s="843"/>
      <c r="I808" s="841"/>
      <c r="J808" s="1135"/>
      <c r="K808" s="841"/>
      <c r="L808" s="841"/>
      <c r="M808" s="841"/>
      <c r="N808" s="841"/>
      <c r="O808" s="841"/>
      <c r="P808" s="841"/>
      <c r="Q808" s="841"/>
      <c r="R808" s="841"/>
    </row>
    <row r="809" spans="2:18">
      <c r="B809" s="841"/>
      <c r="C809" s="842"/>
      <c r="D809" s="842"/>
      <c r="E809" s="842"/>
      <c r="F809" s="1135"/>
      <c r="G809" s="1135"/>
      <c r="H809" s="843"/>
      <c r="I809" s="841"/>
      <c r="J809" s="1135"/>
      <c r="K809" s="841"/>
      <c r="L809" s="841"/>
      <c r="M809" s="841"/>
      <c r="N809" s="841"/>
      <c r="O809" s="841"/>
      <c r="P809" s="841"/>
      <c r="Q809" s="841"/>
      <c r="R809" s="841"/>
    </row>
    <row r="810" spans="2:18">
      <c r="B810" s="841"/>
      <c r="C810" s="842"/>
      <c r="D810" s="842"/>
      <c r="E810" s="842"/>
      <c r="F810" s="1135"/>
      <c r="G810" s="1135"/>
      <c r="H810" s="843"/>
      <c r="I810" s="841"/>
      <c r="J810" s="1135"/>
      <c r="K810" s="841"/>
      <c r="L810" s="841"/>
      <c r="M810" s="841"/>
      <c r="N810" s="841"/>
      <c r="O810" s="841"/>
      <c r="P810" s="841"/>
      <c r="Q810" s="841"/>
      <c r="R810" s="841"/>
    </row>
    <row r="811" spans="2:18">
      <c r="B811" s="841"/>
      <c r="C811" s="842"/>
      <c r="D811" s="842"/>
      <c r="E811" s="842"/>
      <c r="F811" s="1135"/>
      <c r="G811" s="1135"/>
      <c r="H811" s="843"/>
      <c r="I811" s="841"/>
      <c r="J811" s="1135"/>
      <c r="K811" s="841"/>
      <c r="L811" s="841"/>
      <c r="M811" s="841"/>
      <c r="N811" s="841"/>
      <c r="O811" s="841"/>
      <c r="P811" s="841"/>
      <c r="Q811" s="841"/>
      <c r="R811" s="841"/>
    </row>
    <row r="812" spans="2:18">
      <c r="B812" s="841"/>
      <c r="C812" s="842"/>
      <c r="D812" s="842"/>
      <c r="E812" s="842"/>
      <c r="F812" s="1135"/>
      <c r="G812" s="1135"/>
      <c r="H812" s="843"/>
      <c r="I812" s="841"/>
      <c r="J812" s="1135"/>
      <c r="K812" s="841"/>
      <c r="L812" s="841"/>
      <c r="M812" s="841"/>
      <c r="N812" s="841"/>
      <c r="O812" s="841"/>
      <c r="P812" s="841"/>
      <c r="Q812" s="841"/>
      <c r="R812" s="841"/>
    </row>
    <row r="813" spans="2:18">
      <c r="B813" s="841"/>
      <c r="C813" s="842"/>
      <c r="D813" s="842"/>
      <c r="E813" s="842"/>
      <c r="F813" s="1135"/>
      <c r="G813" s="1135"/>
      <c r="H813" s="843"/>
      <c r="I813" s="841"/>
      <c r="J813" s="1135"/>
      <c r="K813" s="841"/>
      <c r="L813" s="841"/>
      <c r="M813" s="841"/>
      <c r="N813" s="841"/>
      <c r="O813" s="841"/>
      <c r="P813" s="841"/>
      <c r="Q813" s="841"/>
      <c r="R813" s="841"/>
    </row>
    <row r="814" spans="2:18">
      <c r="B814" s="841"/>
      <c r="C814" s="842"/>
      <c r="D814" s="842"/>
      <c r="E814" s="842"/>
      <c r="F814" s="1135"/>
      <c r="G814" s="1135"/>
      <c r="H814" s="843"/>
      <c r="I814" s="841"/>
      <c r="J814" s="1135"/>
      <c r="K814" s="841"/>
      <c r="L814" s="841"/>
      <c r="M814" s="841"/>
      <c r="N814" s="841"/>
      <c r="O814" s="841"/>
      <c r="P814" s="841"/>
      <c r="Q814" s="841"/>
      <c r="R814" s="841"/>
    </row>
    <row r="815" spans="2:18">
      <c r="B815" s="841"/>
      <c r="C815" s="842"/>
      <c r="D815" s="842"/>
      <c r="E815" s="842"/>
      <c r="F815" s="1135"/>
      <c r="G815" s="1135"/>
      <c r="H815" s="843"/>
      <c r="I815" s="841"/>
      <c r="J815" s="1135"/>
      <c r="K815" s="841"/>
      <c r="L815" s="841"/>
      <c r="M815" s="841"/>
      <c r="N815" s="841"/>
      <c r="O815" s="841"/>
      <c r="P815" s="841"/>
      <c r="Q815" s="841"/>
      <c r="R815" s="841"/>
    </row>
    <row r="816" spans="2:18">
      <c r="B816" s="841"/>
      <c r="C816" s="842"/>
      <c r="D816" s="842"/>
      <c r="E816" s="842"/>
      <c r="F816" s="1135"/>
      <c r="G816" s="1135"/>
      <c r="H816" s="843"/>
      <c r="I816" s="841"/>
      <c r="J816" s="1135"/>
      <c r="K816" s="841"/>
      <c r="L816" s="841"/>
      <c r="M816" s="841"/>
      <c r="N816" s="841"/>
      <c r="O816" s="841"/>
      <c r="P816" s="841"/>
      <c r="Q816" s="841"/>
      <c r="R816" s="841"/>
    </row>
    <row r="817" spans="2:18">
      <c r="B817" s="841"/>
      <c r="C817" s="842"/>
      <c r="D817" s="842"/>
      <c r="E817" s="842"/>
      <c r="F817" s="1135"/>
      <c r="G817" s="1135"/>
      <c r="H817" s="843"/>
      <c r="I817" s="841"/>
      <c r="J817" s="1135"/>
      <c r="K817" s="841"/>
      <c r="L817" s="841"/>
      <c r="M817" s="841"/>
      <c r="N817" s="841"/>
      <c r="O817" s="841"/>
      <c r="P817" s="841"/>
      <c r="Q817" s="841"/>
      <c r="R817" s="841"/>
    </row>
    <row r="818" spans="2:18">
      <c r="B818" s="841"/>
      <c r="C818" s="842"/>
      <c r="D818" s="842"/>
      <c r="E818" s="842"/>
      <c r="F818" s="1135"/>
      <c r="G818" s="1135"/>
      <c r="H818" s="843"/>
      <c r="I818" s="841"/>
      <c r="J818" s="1135"/>
      <c r="K818" s="841"/>
      <c r="L818" s="841"/>
      <c r="M818" s="841"/>
      <c r="N818" s="841"/>
      <c r="O818" s="841"/>
      <c r="P818" s="841"/>
      <c r="Q818" s="841"/>
      <c r="R818" s="841"/>
    </row>
    <row r="819" spans="2:18">
      <c r="B819" s="841"/>
      <c r="C819" s="842"/>
      <c r="D819" s="842"/>
      <c r="E819" s="842"/>
      <c r="F819" s="1135"/>
      <c r="G819" s="1135"/>
      <c r="H819" s="843"/>
      <c r="I819" s="841"/>
      <c r="J819" s="1135"/>
      <c r="K819" s="841"/>
      <c r="L819" s="841"/>
      <c r="M819" s="841"/>
      <c r="N819" s="841"/>
      <c r="O819" s="841"/>
      <c r="P819" s="841"/>
      <c r="Q819" s="841"/>
      <c r="R819" s="841"/>
    </row>
    <row r="820" spans="2:18">
      <c r="B820" s="841"/>
      <c r="C820" s="842"/>
      <c r="D820" s="842"/>
      <c r="E820" s="842"/>
      <c r="F820" s="1135"/>
      <c r="G820" s="1135"/>
      <c r="H820" s="843"/>
      <c r="I820" s="841"/>
      <c r="J820" s="1135"/>
      <c r="K820" s="841"/>
      <c r="L820" s="841"/>
      <c r="M820" s="841"/>
      <c r="N820" s="841"/>
      <c r="O820" s="841"/>
      <c r="P820" s="841"/>
      <c r="Q820" s="841"/>
      <c r="R820" s="841"/>
    </row>
    <row r="821" spans="2:18">
      <c r="B821" s="841"/>
      <c r="C821" s="842"/>
      <c r="D821" s="842"/>
      <c r="E821" s="842"/>
      <c r="F821" s="1135"/>
      <c r="G821" s="1135"/>
      <c r="H821" s="843"/>
      <c r="I821" s="841"/>
      <c r="J821" s="1135"/>
      <c r="K821" s="841"/>
      <c r="L821" s="841"/>
      <c r="M821" s="841"/>
      <c r="N821" s="841"/>
      <c r="O821" s="841"/>
      <c r="P821" s="841"/>
      <c r="Q821" s="841"/>
      <c r="R821" s="841"/>
    </row>
    <row r="822" spans="2:18">
      <c r="B822" s="841"/>
      <c r="C822" s="842"/>
      <c r="D822" s="842"/>
      <c r="E822" s="842"/>
      <c r="F822" s="1135"/>
      <c r="G822" s="1135"/>
      <c r="H822" s="843"/>
      <c r="I822" s="841"/>
      <c r="J822" s="1135"/>
      <c r="K822" s="841"/>
      <c r="L822" s="841"/>
      <c r="M822" s="841"/>
      <c r="N822" s="841"/>
      <c r="O822" s="841"/>
      <c r="P822" s="841"/>
      <c r="Q822" s="841"/>
      <c r="R822" s="841"/>
    </row>
    <row r="823" spans="2:18">
      <c r="B823" s="841"/>
      <c r="C823" s="842"/>
      <c r="D823" s="842"/>
      <c r="E823" s="842"/>
      <c r="F823" s="1135"/>
      <c r="G823" s="1135"/>
      <c r="H823" s="843"/>
      <c r="I823" s="841"/>
      <c r="J823" s="1135"/>
      <c r="K823" s="841"/>
      <c r="L823" s="841"/>
      <c r="M823" s="841"/>
      <c r="N823" s="841"/>
      <c r="O823" s="841"/>
      <c r="P823" s="841"/>
      <c r="Q823" s="841"/>
      <c r="R823" s="841"/>
    </row>
    <row r="824" spans="2:18">
      <c r="B824" s="841"/>
      <c r="C824" s="842"/>
      <c r="D824" s="842"/>
      <c r="E824" s="842"/>
      <c r="F824" s="1135"/>
      <c r="G824" s="1135"/>
      <c r="H824" s="843"/>
      <c r="I824" s="841"/>
      <c r="J824" s="1135"/>
      <c r="K824" s="841"/>
      <c r="L824" s="841"/>
      <c r="M824" s="841"/>
      <c r="N824" s="841"/>
      <c r="O824" s="841"/>
      <c r="P824" s="841"/>
      <c r="Q824" s="841"/>
      <c r="R824" s="841"/>
    </row>
    <row r="825" spans="2:18">
      <c r="B825" s="841"/>
      <c r="C825" s="842"/>
      <c r="D825" s="842"/>
      <c r="E825" s="842"/>
      <c r="F825" s="1135"/>
      <c r="G825" s="1135"/>
      <c r="H825" s="843"/>
      <c r="I825" s="841"/>
      <c r="J825" s="1135"/>
      <c r="K825" s="841"/>
      <c r="L825" s="841"/>
      <c r="M825" s="841"/>
      <c r="N825" s="841"/>
      <c r="O825" s="841"/>
      <c r="P825" s="841"/>
      <c r="Q825" s="841"/>
      <c r="R825" s="841"/>
    </row>
    <row r="826" spans="2:18">
      <c r="B826" s="841"/>
      <c r="C826" s="842"/>
      <c r="D826" s="842"/>
      <c r="E826" s="842"/>
      <c r="F826" s="1135"/>
      <c r="G826" s="1135"/>
      <c r="H826" s="843"/>
      <c r="I826" s="841"/>
      <c r="J826" s="1135"/>
      <c r="K826" s="841"/>
      <c r="L826" s="841"/>
      <c r="M826" s="841"/>
      <c r="N826" s="841"/>
      <c r="O826" s="841"/>
      <c r="P826" s="841"/>
      <c r="Q826" s="841"/>
      <c r="R826" s="841"/>
    </row>
    <row r="827" spans="2:18">
      <c r="B827" s="841"/>
      <c r="C827" s="842"/>
      <c r="D827" s="842"/>
      <c r="E827" s="842"/>
      <c r="F827" s="1135"/>
      <c r="G827" s="1135"/>
      <c r="H827" s="843"/>
      <c r="I827" s="841"/>
      <c r="J827" s="1135"/>
      <c r="K827" s="841"/>
      <c r="L827" s="841"/>
      <c r="M827" s="841"/>
      <c r="N827" s="841"/>
      <c r="O827" s="841"/>
      <c r="P827" s="841"/>
      <c r="Q827" s="841"/>
      <c r="R827" s="841"/>
    </row>
    <row r="828" spans="2:18">
      <c r="B828" s="841"/>
      <c r="C828" s="842"/>
      <c r="D828" s="842"/>
      <c r="E828" s="842"/>
      <c r="F828" s="1135"/>
      <c r="G828" s="1135"/>
      <c r="H828" s="843"/>
      <c r="I828" s="841"/>
      <c r="J828" s="1135"/>
      <c r="K828" s="841"/>
      <c r="L828" s="841"/>
      <c r="M828" s="841"/>
      <c r="N828" s="841"/>
      <c r="O828" s="841"/>
      <c r="P828" s="841"/>
      <c r="Q828" s="841"/>
      <c r="R828" s="841"/>
    </row>
    <row r="829" spans="2:18">
      <c r="B829" s="841"/>
      <c r="C829" s="842"/>
      <c r="D829" s="842"/>
      <c r="E829" s="842"/>
      <c r="F829" s="1135"/>
      <c r="G829" s="1135"/>
      <c r="H829" s="843"/>
      <c r="I829" s="841"/>
      <c r="J829" s="1135"/>
      <c r="K829" s="841"/>
      <c r="L829" s="841"/>
      <c r="M829" s="841"/>
      <c r="N829" s="841"/>
      <c r="O829" s="841"/>
      <c r="P829" s="841"/>
      <c r="Q829" s="841"/>
      <c r="R829" s="841"/>
    </row>
    <row r="830" spans="2:18">
      <c r="B830" s="841"/>
      <c r="C830" s="842"/>
      <c r="D830" s="842"/>
      <c r="E830" s="842"/>
      <c r="F830" s="1135"/>
      <c r="G830" s="1135"/>
      <c r="H830" s="843"/>
      <c r="I830" s="841"/>
      <c r="J830" s="1135"/>
      <c r="K830" s="841"/>
      <c r="L830" s="841"/>
      <c r="M830" s="841"/>
      <c r="N830" s="841"/>
      <c r="O830" s="841"/>
      <c r="P830" s="841"/>
      <c r="Q830" s="841"/>
      <c r="R830" s="841"/>
    </row>
    <row r="831" spans="2:18">
      <c r="B831" s="841"/>
      <c r="C831" s="842"/>
      <c r="D831" s="842"/>
      <c r="E831" s="842"/>
      <c r="F831" s="1135"/>
      <c r="G831" s="1135"/>
      <c r="H831" s="843"/>
      <c r="I831" s="841"/>
      <c r="J831" s="1135"/>
      <c r="K831" s="841"/>
      <c r="L831" s="841"/>
      <c r="M831" s="841"/>
      <c r="N831" s="841"/>
      <c r="O831" s="841"/>
      <c r="P831" s="841"/>
      <c r="Q831" s="841"/>
      <c r="R831" s="841"/>
    </row>
    <row r="832" spans="2:18">
      <c r="B832" s="841"/>
      <c r="C832" s="842"/>
      <c r="D832" s="842"/>
      <c r="E832" s="842"/>
      <c r="F832" s="1135"/>
      <c r="G832" s="1135"/>
      <c r="H832" s="843"/>
      <c r="I832" s="841"/>
      <c r="J832" s="1135"/>
      <c r="K832" s="841"/>
      <c r="L832" s="841"/>
      <c r="M832" s="841"/>
      <c r="N832" s="841"/>
      <c r="O832" s="841"/>
      <c r="P832" s="841"/>
      <c r="Q832" s="841"/>
      <c r="R832" s="841"/>
    </row>
    <row r="833" spans="2:18">
      <c r="B833" s="841"/>
      <c r="C833" s="842"/>
      <c r="D833" s="842"/>
      <c r="E833" s="842"/>
      <c r="F833" s="1135"/>
      <c r="G833" s="1135"/>
      <c r="H833" s="843"/>
      <c r="I833" s="841"/>
      <c r="J833" s="1135"/>
      <c r="K833" s="841"/>
      <c r="L833" s="841"/>
      <c r="M833" s="841"/>
      <c r="N833" s="841"/>
      <c r="O833" s="841"/>
      <c r="P833" s="841"/>
      <c r="Q833" s="841"/>
      <c r="R833" s="841"/>
    </row>
    <row r="834" spans="2:18">
      <c r="B834" s="841"/>
      <c r="C834" s="842"/>
      <c r="D834" s="842"/>
      <c r="E834" s="842"/>
      <c r="F834" s="1135"/>
      <c r="G834" s="1135"/>
      <c r="H834" s="843"/>
      <c r="I834" s="841"/>
      <c r="J834" s="1135"/>
      <c r="K834" s="841"/>
      <c r="L834" s="841"/>
      <c r="M834" s="841"/>
      <c r="N834" s="841"/>
      <c r="O834" s="841"/>
      <c r="P834" s="841"/>
      <c r="Q834" s="841"/>
      <c r="R834" s="841"/>
    </row>
    <row r="835" spans="2:18">
      <c r="B835" s="841"/>
      <c r="C835" s="842"/>
      <c r="D835" s="842"/>
      <c r="E835" s="842"/>
      <c r="F835" s="1135"/>
      <c r="G835" s="1135"/>
      <c r="H835" s="843"/>
      <c r="I835" s="841"/>
      <c r="J835" s="1135"/>
      <c r="K835" s="841"/>
      <c r="L835" s="841"/>
      <c r="M835" s="841"/>
      <c r="N835" s="841"/>
      <c r="O835" s="841"/>
      <c r="P835" s="841"/>
      <c r="Q835" s="841"/>
      <c r="R835" s="841"/>
    </row>
    <row r="836" spans="2:18">
      <c r="B836" s="841"/>
      <c r="C836" s="842"/>
      <c r="D836" s="842"/>
      <c r="E836" s="842"/>
      <c r="F836" s="1135"/>
      <c r="G836" s="1135"/>
      <c r="H836" s="843"/>
      <c r="I836" s="841"/>
      <c r="J836" s="1135"/>
      <c r="K836" s="841"/>
      <c r="L836" s="841"/>
      <c r="M836" s="841"/>
      <c r="N836" s="841"/>
      <c r="O836" s="841"/>
      <c r="P836" s="841"/>
      <c r="Q836" s="841"/>
      <c r="R836" s="841"/>
    </row>
    <row r="837" spans="2:18">
      <c r="B837" s="841"/>
      <c r="C837" s="842"/>
      <c r="D837" s="842"/>
      <c r="E837" s="842"/>
      <c r="F837" s="1135"/>
      <c r="G837" s="1135"/>
      <c r="H837" s="843"/>
      <c r="I837" s="841"/>
      <c r="J837" s="1135"/>
      <c r="K837" s="841"/>
      <c r="L837" s="841"/>
      <c r="M837" s="841"/>
      <c r="N837" s="841"/>
      <c r="O837" s="841"/>
      <c r="P837" s="841"/>
      <c r="Q837" s="841"/>
      <c r="R837" s="841"/>
    </row>
    <row r="838" spans="2:18">
      <c r="B838" s="841"/>
      <c r="C838" s="842"/>
      <c r="D838" s="842"/>
      <c r="E838" s="842"/>
      <c r="F838" s="1135"/>
      <c r="G838" s="1135"/>
      <c r="H838" s="843"/>
      <c r="I838" s="841"/>
      <c r="J838" s="1135"/>
      <c r="K838" s="841"/>
      <c r="L838" s="841"/>
      <c r="M838" s="841"/>
      <c r="N838" s="841"/>
      <c r="O838" s="841"/>
      <c r="P838" s="841"/>
      <c r="Q838" s="841"/>
      <c r="R838" s="841"/>
    </row>
    <row r="839" spans="2:18">
      <c r="B839" s="841"/>
      <c r="C839" s="842"/>
      <c r="D839" s="842"/>
      <c r="E839" s="842"/>
      <c r="F839" s="1135"/>
      <c r="G839" s="1135"/>
      <c r="H839" s="843"/>
      <c r="I839" s="841"/>
      <c r="J839" s="1135"/>
      <c r="K839" s="841"/>
      <c r="L839" s="841"/>
      <c r="M839" s="841"/>
      <c r="N839" s="841"/>
      <c r="O839" s="841"/>
      <c r="P839" s="841"/>
      <c r="Q839" s="841"/>
      <c r="R839" s="841"/>
    </row>
    <row r="840" spans="2:18">
      <c r="B840" s="841"/>
      <c r="C840" s="842"/>
      <c r="D840" s="842"/>
      <c r="E840" s="842"/>
      <c r="F840" s="1135"/>
      <c r="G840" s="1135"/>
      <c r="H840" s="843"/>
      <c r="I840" s="841"/>
      <c r="J840" s="1135"/>
      <c r="K840" s="841"/>
      <c r="L840" s="841"/>
      <c r="M840" s="841"/>
      <c r="N840" s="841"/>
      <c r="O840" s="841"/>
      <c r="P840" s="841"/>
      <c r="Q840" s="841"/>
      <c r="R840" s="841"/>
    </row>
    <row r="841" spans="2:18">
      <c r="B841" s="841"/>
      <c r="C841" s="842"/>
      <c r="D841" s="842"/>
      <c r="E841" s="842"/>
      <c r="F841" s="1135"/>
      <c r="G841" s="1135"/>
      <c r="H841" s="843"/>
      <c r="I841" s="841"/>
      <c r="J841" s="1135"/>
      <c r="K841" s="841"/>
      <c r="L841" s="841"/>
      <c r="M841" s="841"/>
      <c r="N841" s="841"/>
      <c r="O841" s="841"/>
      <c r="P841" s="841"/>
      <c r="Q841" s="841"/>
      <c r="R841" s="841"/>
    </row>
    <row r="842" spans="2:18">
      <c r="B842" s="841"/>
      <c r="C842" s="842"/>
      <c r="D842" s="842"/>
      <c r="E842" s="842"/>
      <c r="F842" s="1135"/>
      <c r="G842" s="1135"/>
      <c r="H842" s="843"/>
      <c r="I842" s="841"/>
      <c r="J842" s="1135"/>
      <c r="K842" s="841"/>
      <c r="L842" s="841"/>
      <c r="M842" s="841"/>
      <c r="N842" s="841"/>
      <c r="O842" s="841"/>
      <c r="P842" s="841"/>
      <c r="Q842" s="841"/>
      <c r="R842" s="841"/>
    </row>
    <row r="843" spans="2:18">
      <c r="B843" s="841"/>
      <c r="C843" s="842"/>
      <c r="D843" s="842"/>
      <c r="E843" s="842"/>
      <c r="F843" s="1135"/>
      <c r="G843" s="1135"/>
      <c r="H843" s="843"/>
      <c r="I843" s="841"/>
      <c r="J843" s="1135"/>
      <c r="K843" s="841"/>
      <c r="L843" s="841"/>
      <c r="M843" s="841"/>
      <c r="N843" s="841"/>
      <c r="O843" s="841"/>
      <c r="P843" s="841"/>
      <c r="Q843" s="841"/>
      <c r="R843" s="841"/>
    </row>
    <row r="844" spans="2:18">
      <c r="B844" s="841"/>
      <c r="C844" s="842"/>
      <c r="D844" s="842"/>
      <c r="E844" s="842"/>
      <c r="F844" s="1135"/>
      <c r="G844" s="1135"/>
      <c r="H844" s="843"/>
      <c r="I844" s="841"/>
      <c r="J844" s="1135"/>
      <c r="K844" s="841"/>
      <c r="L844" s="841"/>
      <c r="M844" s="841"/>
      <c r="N844" s="841"/>
      <c r="O844" s="841"/>
      <c r="P844" s="841"/>
      <c r="Q844" s="841"/>
      <c r="R844" s="841"/>
    </row>
    <row r="845" spans="2:18">
      <c r="B845" s="841"/>
      <c r="C845" s="842"/>
      <c r="D845" s="842"/>
      <c r="E845" s="842"/>
      <c r="F845" s="1135"/>
      <c r="G845" s="1135"/>
      <c r="H845" s="843"/>
      <c r="I845" s="841"/>
      <c r="J845" s="1135"/>
      <c r="K845" s="841"/>
      <c r="L845" s="841"/>
      <c r="M845" s="841"/>
      <c r="N845" s="841"/>
      <c r="O845" s="841"/>
      <c r="P845" s="841"/>
      <c r="Q845" s="841"/>
      <c r="R845" s="841"/>
    </row>
    <row r="846" spans="2:18">
      <c r="B846" s="841"/>
      <c r="C846" s="842"/>
      <c r="D846" s="842"/>
      <c r="E846" s="842"/>
      <c r="F846" s="1135"/>
      <c r="G846" s="1135"/>
      <c r="H846" s="843"/>
      <c r="I846" s="841"/>
      <c r="J846" s="1135"/>
      <c r="K846" s="841"/>
      <c r="L846" s="841"/>
      <c r="M846" s="841"/>
      <c r="N846" s="841"/>
      <c r="O846" s="841"/>
      <c r="P846" s="841"/>
      <c r="Q846" s="841"/>
      <c r="R846" s="841"/>
    </row>
    <row r="847" spans="2:18">
      <c r="B847" s="841"/>
      <c r="C847" s="842"/>
      <c r="D847" s="842"/>
      <c r="E847" s="842"/>
      <c r="F847" s="1135"/>
      <c r="G847" s="1135"/>
      <c r="H847" s="843"/>
      <c r="I847" s="841"/>
      <c r="J847" s="1135"/>
      <c r="K847" s="841"/>
      <c r="L847" s="841"/>
      <c r="M847" s="841"/>
      <c r="N847" s="841"/>
      <c r="O847" s="841"/>
      <c r="P847" s="841"/>
      <c r="Q847" s="841"/>
      <c r="R847" s="841"/>
    </row>
    <row r="848" spans="2:18">
      <c r="B848" s="841"/>
      <c r="C848" s="842"/>
      <c r="D848" s="842"/>
      <c r="E848" s="842"/>
      <c r="F848" s="1135"/>
      <c r="G848" s="1135"/>
      <c r="H848" s="843"/>
      <c r="I848" s="841"/>
      <c r="J848" s="1135"/>
      <c r="K848" s="841"/>
      <c r="L848" s="841"/>
      <c r="M848" s="841"/>
      <c r="N848" s="841"/>
      <c r="O848" s="841"/>
      <c r="P848" s="841"/>
      <c r="Q848" s="841"/>
      <c r="R848" s="841"/>
    </row>
    <row r="849" spans="2:18">
      <c r="B849" s="841"/>
      <c r="C849" s="842"/>
      <c r="D849" s="842"/>
      <c r="E849" s="842"/>
      <c r="F849" s="1135"/>
      <c r="G849" s="1135"/>
      <c r="H849" s="843"/>
      <c r="I849" s="841"/>
      <c r="J849" s="1135"/>
      <c r="K849" s="841"/>
      <c r="L849" s="841"/>
      <c r="M849" s="841"/>
      <c r="N849" s="841"/>
      <c r="O849" s="841"/>
      <c r="P849" s="841"/>
      <c r="Q849" s="841"/>
      <c r="R849" s="841"/>
    </row>
    <row r="850" spans="2:18">
      <c r="B850" s="841"/>
      <c r="C850" s="842"/>
      <c r="D850" s="842"/>
      <c r="E850" s="842"/>
      <c r="F850" s="1135"/>
      <c r="G850" s="1135"/>
      <c r="H850" s="843"/>
      <c r="I850" s="841"/>
      <c r="J850" s="1135"/>
      <c r="K850" s="841"/>
      <c r="L850" s="841"/>
      <c r="M850" s="841"/>
      <c r="N850" s="841"/>
      <c r="O850" s="841"/>
      <c r="P850" s="841"/>
      <c r="Q850" s="841"/>
      <c r="R850" s="841"/>
    </row>
    <row r="851" spans="2:18">
      <c r="B851" s="841"/>
      <c r="C851" s="842"/>
      <c r="D851" s="842"/>
      <c r="E851" s="842"/>
      <c r="F851" s="1135"/>
      <c r="G851" s="1135"/>
      <c r="H851" s="843"/>
      <c r="I851" s="841"/>
      <c r="J851" s="1135"/>
      <c r="K851" s="841"/>
      <c r="L851" s="841"/>
      <c r="M851" s="841"/>
      <c r="N851" s="841"/>
      <c r="O851" s="841"/>
      <c r="P851" s="841"/>
      <c r="Q851" s="841"/>
      <c r="R851" s="841"/>
    </row>
    <row r="852" spans="2:18">
      <c r="B852" s="841"/>
      <c r="C852" s="842"/>
      <c r="D852" s="842"/>
      <c r="E852" s="842"/>
      <c r="F852" s="1135"/>
      <c r="G852" s="1135"/>
      <c r="H852" s="843"/>
      <c r="I852" s="841"/>
      <c r="J852" s="1135"/>
      <c r="K852" s="841"/>
      <c r="L852" s="841"/>
      <c r="M852" s="841"/>
      <c r="N852" s="841"/>
      <c r="O852" s="841"/>
      <c r="P852" s="841"/>
      <c r="Q852" s="841"/>
      <c r="R852" s="841"/>
    </row>
    <row r="853" spans="2:18">
      <c r="B853" s="841"/>
      <c r="C853" s="842"/>
      <c r="D853" s="842"/>
      <c r="E853" s="842"/>
      <c r="F853" s="1135"/>
      <c r="G853" s="1135"/>
      <c r="H853" s="843"/>
      <c r="I853" s="841"/>
      <c r="J853" s="1135"/>
      <c r="K853" s="841"/>
      <c r="L853" s="841"/>
      <c r="M853" s="841"/>
      <c r="N853" s="841"/>
      <c r="O853" s="841"/>
      <c r="P853" s="841"/>
      <c r="Q853" s="841"/>
      <c r="R853" s="841"/>
    </row>
    <row r="854" spans="2:18">
      <c r="B854" s="841"/>
      <c r="C854" s="842"/>
      <c r="D854" s="842"/>
      <c r="E854" s="842"/>
      <c r="F854" s="1135"/>
      <c r="G854" s="1135"/>
      <c r="H854" s="843"/>
      <c r="I854" s="841"/>
      <c r="J854" s="1135"/>
      <c r="K854" s="841"/>
      <c r="L854" s="841"/>
      <c r="M854" s="841"/>
      <c r="N854" s="841"/>
      <c r="O854" s="841"/>
      <c r="P854" s="841"/>
      <c r="Q854" s="841"/>
      <c r="R854" s="841"/>
    </row>
    <row r="855" spans="2:18">
      <c r="B855" s="841"/>
      <c r="C855" s="842"/>
      <c r="D855" s="842"/>
      <c r="E855" s="842"/>
      <c r="F855" s="1135"/>
      <c r="G855" s="1135"/>
      <c r="H855" s="843"/>
      <c r="I855" s="841"/>
      <c r="J855" s="1135"/>
      <c r="K855" s="841"/>
      <c r="L855" s="841"/>
      <c r="M855" s="841"/>
      <c r="N855" s="841"/>
      <c r="O855" s="841"/>
      <c r="P855" s="841"/>
      <c r="Q855" s="841"/>
      <c r="R855" s="841"/>
    </row>
    <row r="856" spans="2:18">
      <c r="B856" s="841"/>
      <c r="C856" s="842"/>
      <c r="D856" s="842"/>
      <c r="E856" s="842"/>
      <c r="F856" s="1135"/>
      <c r="G856" s="1135"/>
      <c r="H856" s="843"/>
      <c r="I856" s="841"/>
      <c r="J856" s="1135"/>
      <c r="K856" s="841"/>
      <c r="L856" s="841"/>
      <c r="M856" s="841"/>
      <c r="N856" s="841"/>
      <c r="O856" s="841"/>
      <c r="P856" s="841"/>
      <c r="Q856" s="841"/>
      <c r="R856" s="841"/>
    </row>
    <row r="857" spans="2:18">
      <c r="B857" s="841"/>
      <c r="C857" s="842"/>
      <c r="D857" s="842"/>
      <c r="E857" s="842"/>
      <c r="F857" s="1135"/>
      <c r="G857" s="1135"/>
      <c r="H857" s="843"/>
      <c r="I857" s="841"/>
      <c r="J857" s="1135"/>
      <c r="K857" s="841"/>
      <c r="L857" s="841"/>
      <c r="M857" s="841"/>
      <c r="N857" s="841"/>
      <c r="O857" s="841"/>
      <c r="P857" s="841"/>
      <c r="Q857" s="841"/>
      <c r="R857" s="841"/>
    </row>
    <row r="858" spans="2:18">
      <c r="B858" s="841"/>
      <c r="C858" s="842"/>
      <c r="D858" s="842"/>
      <c r="E858" s="842"/>
      <c r="F858" s="1135"/>
      <c r="G858" s="1135"/>
      <c r="H858" s="843"/>
      <c r="I858" s="841"/>
      <c r="J858" s="1135"/>
      <c r="K858" s="841"/>
      <c r="L858" s="841"/>
      <c r="M858" s="841"/>
      <c r="N858" s="841"/>
      <c r="O858" s="841"/>
      <c r="P858" s="841"/>
      <c r="Q858" s="841"/>
      <c r="R858" s="841"/>
    </row>
    <row r="859" spans="2:18">
      <c r="B859" s="841"/>
      <c r="C859" s="842"/>
      <c r="D859" s="842"/>
      <c r="E859" s="842"/>
      <c r="F859" s="1135"/>
      <c r="G859" s="1135"/>
      <c r="H859" s="843"/>
      <c r="I859" s="841"/>
      <c r="J859" s="1135"/>
      <c r="K859" s="841"/>
      <c r="L859" s="841"/>
      <c r="M859" s="841"/>
      <c r="N859" s="841"/>
      <c r="O859" s="841"/>
      <c r="P859" s="841"/>
      <c r="Q859" s="841"/>
      <c r="R859" s="841"/>
    </row>
    <row r="860" spans="2:18">
      <c r="B860" s="841"/>
      <c r="C860" s="842"/>
      <c r="D860" s="842"/>
      <c r="E860" s="842"/>
      <c r="F860" s="1135"/>
      <c r="G860" s="1135"/>
      <c r="H860" s="843"/>
      <c r="I860" s="841"/>
      <c r="J860" s="1135"/>
      <c r="K860" s="841"/>
      <c r="L860" s="841"/>
      <c r="M860" s="841"/>
      <c r="N860" s="841"/>
      <c r="O860" s="841"/>
      <c r="P860" s="841"/>
      <c r="Q860" s="841"/>
      <c r="R860" s="841"/>
    </row>
    <row r="861" spans="2:18">
      <c r="B861" s="841"/>
      <c r="C861" s="842"/>
      <c r="D861" s="842"/>
      <c r="E861" s="842"/>
      <c r="F861" s="1135"/>
      <c r="G861" s="1135"/>
      <c r="H861" s="843"/>
      <c r="I861" s="841"/>
      <c r="J861" s="1135"/>
      <c r="K861" s="841"/>
      <c r="L861" s="841"/>
      <c r="M861" s="841"/>
      <c r="N861" s="841"/>
      <c r="O861" s="841"/>
      <c r="P861" s="841"/>
      <c r="Q861" s="841"/>
      <c r="R861" s="841"/>
    </row>
    <row r="862" spans="2:18">
      <c r="B862" s="841"/>
      <c r="C862" s="842"/>
      <c r="D862" s="842"/>
      <c r="E862" s="842"/>
      <c r="F862" s="1135"/>
      <c r="G862" s="1135"/>
      <c r="H862" s="843"/>
      <c r="I862" s="841"/>
      <c r="J862" s="1135"/>
      <c r="K862" s="841"/>
      <c r="L862" s="841"/>
      <c r="M862" s="841"/>
      <c r="N862" s="841"/>
      <c r="O862" s="841"/>
      <c r="P862" s="841"/>
      <c r="Q862" s="841"/>
      <c r="R862" s="841"/>
    </row>
    <row r="863" spans="2:18">
      <c r="B863" s="841"/>
      <c r="C863" s="842"/>
      <c r="D863" s="842"/>
      <c r="E863" s="842"/>
      <c r="F863" s="1135"/>
      <c r="G863" s="1135"/>
      <c r="H863" s="843"/>
      <c r="I863" s="841"/>
      <c r="J863" s="1135"/>
      <c r="K863" s="841"/>
      <c r="L863" s="841"/>
      <c r="M863" s="841"/>
      <c r="N863" s="841"/>
      <c r="O863" s="841"/>
      <c r="P863" s="841"/>
      <c r="Q863" s="841"/>
      <c r="R863" s="841"/>
    </row>
    <row r="864" spans="2:18">
      <c r="B864" s="841"/>
      <c r="C864" s="842"/>
      <c r="D864" s="842"/>
      <c r="E864" s="842"/>
      <c r="F864" s="1135"/>
      <c r="G864" s="1135"/>
      <c r="H864" s="843"/>
      <c r="I864" s="841"/>
      <c r="J864" s="1135"/>
      <c r="K864" s="841"/>
      <c r="L864" s="841"/>
      <c r="M864" s="841"/>
      <c r="N864" s="841"/>
      <c r="O864" s="841"/>
      <c r="P864" s="841"/>
      <c r="Q864" s="841"/>
      <c r="R864" s="841"/>
    </row>
    <row r="865" spans="2:18">
      <c r="B865" s="841"/>
      <c r="C865" s="842"/>
      <c r="D865" s="842"/>
      <c r="E865" s="842"/>
      <c r="F865" s="1135"/>
      <c r="G865" s="1135"/>
      <c r="H865" s="843"/>
      <c r="I865" s="841"/>
      <c r="J865" s="1135"/>
      <c r="K865" s="841"/>
      <c r="L865" s="841"/>
      <c r="M865" s="841"/>
      <c r="N865" s="841"/>
      <c r="O865" s="841"/>
      <c r="P865" s="841"/>
      <c r="Q865" s="841"/>
      <c r="R865" s="841"/>
    </row>
    <row r="866" spans="2:18">
      <c r="B866" s="841"/>
      <c r="C866" s="842"/>
      <c r="D866" s="842"/>
      <c r="E866" s="842"/>
      <c r="F866" s="1135"/>
      <c r="G866" s="1135"/>
      <c r="H866" s="843"/>
      <c r="I866" s="841"/>
      <c r="J866" s="1135"/>
      <c r="K866" s="841"/>
      <c r="L866" s="841"/>
      <c r="M866" s="841"/>
      <c r="N866" s="841"/>
      <c r="O866" s="841"/>
      <c r="P866" s="841"/>
      <c r="Q866" s="841"/>
      <c r="R866" s="841"/>
    </row>
    <row r="867" spans="2:18">
      <c r="B867" s="841"/>
      <c r="C867" s="842"/>
      <c r="D867" s="842"/>
      <c r="E867" s="842"/>
      <c r="F867" s="1135"/>
      <c r="G867" s="1135"/>
      <c r="H867" s="843"/>
      <c r="I867" s="841"/>
      <c r="J867" s="1135"/>
      <c r="K867" s="841"/>
      <c r="L867" s="841"/>
      <c r="M867" s="841"/>
      <c r="N867" s="841"/>
      <c r="O867" s="841"/>
      <c r="P867" s="841"/>
      <c r="Q867" s="841"/>
      <c r="R867" s="841"/>
    </row>
    <row r="868" spans="2:18">
      <c r="B868" s="841"/>
      <c r="C868" s="842"/>
      <c r="D868" s="842"/>
      <c r="E868" s="842"/>
      <c r="F868" s="1135"/>
      <c r="G868" s="1135"/>
      <c r="H868" s="843"/>
      <c r="I868" s="841"/>
      <c r="J868" s="1135"/>
      <c r="K868" s="841"/>
      <c r="L868" s="841"/>
      <c r="M868" s="841"/>
      <c r="N868" s="841"/>
      <c r="O868" s="841"/>
      <c r="P868" s="841"/>
      <c r="Q868" s="841"/>
      <c r="R868" s="841"/>
    </row>
    <row r="869" spans="2:18">
      <c r="B869" s="841"/>
      <c r="C869" s="842"/>
      <c r="D869" s="842"/>
      <c r="E869" s="842"/>
      <c r="F869" s="1135"/>
      <c r="G869" s="1135"/>
      <c r="H869" s="843"/>
      <c r="I869" s="841"/>
      <c r="J869" s="1135"/>
      <c r="K869" s="841"/>
      <c r="L869" s="841"/>
      <c r="M869" s="841"/>
      <c r="N869" s="841"/>
      <c r="O869" s="841"/>
      <c r="P869" s="841"/>
      <c r="Q869" s="841"/>
      <c r="R869" s="841"/>
    </row>
    <row r="870" spans="2:18">
      <c r="B870" s="841"/>
      <c r="C870" s="842"/>
      <c r="D870" s="842"/>
      <c r="E870" s="842"/>
      <c r="F870" s="1135"/>
      <c r="G870" s="1135"/>
      <c r="H870" s="843"/>
      <c r="I870" s="841"/>
      <c r="J870" s="1135"/>
      <c r="K870" s="841"/>
      <c r="L870" s="841"/>
      <c r="M870" s="841"/>
      <c r="N870" s="841"/>
      <c r="O870" s="841"/>
      <c r="P870" s="841"/>
      <c r="Q870" s="841"/>
      <c r="R870" s="841"/>
    </row>
    <row r="871" spans="2:18">
      <c r="B871" s="841"/>
      <c r="C871" s="842"/>
      <c r="D871" s="842"/>
      <c r="E871" s="842"/>
      <c r="F871" s="1135"/>
      <c r="G871" s="1135"/>
      <c r="H871" s="843"/>
      <c r="I871" s="841"/>
      <c r="J871" s="1135"/>
      <c r="K871" s="841"/>
      <c r="L871" s="841"/>
      <c r="M871" s="841"/>
      <c r="N871" s="841"/>
      <c r="O871" s="841"/>
      <c r="P871" s="841"/>
      <c r="Q871" s="841"/>
      <c r="R871" s="841"/>
    </row>
    <row r="872" spans="2:18">
      <c r="B872" s="841"/>
      <c r="C872" s="842"/>
      <c r="D872" s="842"/>
      <c r="E872" s="842"/>
      <c r="F872" s="1135"/>
      <c r="G872" s="1135"/>
      <c r="H872" s="843"/>
      <c r="I872" s="841"/>
      <c r="J872" s="1135"/>
      <c r="K872" s="841"/>
      <c r="L872" s="841"/>
      <c r="M872" s="841"/>
      <c r="N872" s="841"/>
      <c r="O872" s="841"/>
      <c r="P872" s="841"/>
      <c r="Q872" s="841"/>
      <c r="R872" s="841"/>
    </row>
    <row r="873" spans="2:18">
      <c r="B873" s="841"/>
      <c r="C873" s="842"/>
      <c r="D873" s="842"/>
      <c r="E873" s="842"/>
      <c r="F873" s="1135"/>
      <c r="G873" s="1135"/>
      <c r="H873" s="843"/>
      <c r="I873" s="841"/>
      <c r="J873" s="1135"/>
      <c r="K873" s="841"/>
      <c r="L873" s="841"/>
      <c r="M873" s="841"/>
      <c r="N873" s="841"/>
      <c r="O873" s="841"/>
      <c r="P873" s="841"/>
      <c r="Q873" s="841"/>
      <c r="R873" s="841"/>
    </row>
    <row r="874" spans="2:18">
      <c r="B874" s="841"/>
      <c r="C874" s="842"/>
      <c r="D874" s="842"/>
      <c r="E874" s="842"/>
      <c r="F874" s="1135"/>
      <c r="G874" s="1135"/>
      <c r="H874" s="843"/>
      <c r="I874" s="841"/>
      <c r="J874" s="1135"/>
      <c r="K874" s="841"/>
      <c r="L874" s="841"/>
      <c r="M874" s="841"/>
      <c r="N874" s="841"/>
      <c r="O874" s="841"/>
      <c r="P874" s="841"/>
      <c r="Q874" s="841"/>
      <c r="R874" s="841"/>
    </row>
    <row r="875" spans="2:18">
      <c r="B875" s="841"/>
      <c r="C875" s="842"/>
      <c r="D875" s="842"/>
      <c r="E875" s="842"/>
      <c r="F875" s="1135"/>
      <c r="G875" s="1135"/>
      <c r="H875" s="843"/>
      <c r="I875" s="841"/>
      <c r="J875" s="1135"/>
      <c r="K875" s="841"/>
      <c r="L875" s="841"/>
      <c r="M875" s="841"/>
      <c r="N875" s="841"/>
      <c r="O875" s="841"/>
      <c r="P875" s="841"/>
      <c r="Q875" s="841"/>
      <c r="R875" s="841"/>
    </row>
    <row r="876" spans="2:18">
      <c r="B876" s="841"/>
      <c r="C876" s="842"/>
      <c r="D876" s="842"/>
      <c r="E876" s="842"/>
      <c r="F876" s="1135"/>
      <c r="G876" s="1135"/>
      <c r="H876" s="843"/>
      <c r="I876" s="841"/>
      <c r="J876" s="1135"/>
      <c r="K876" s="841"/>
      <c r="L876" s="841"/>
      <c r="M876" s="841"/>
      <c r="N876" s="841"/>
      <c r="O876" s="841"/>
      <c r="P876" s="841"/>
      <c r="Q876" s="841"/>
      <c r="R876" s="841"/>
    </row>
    <row r="877" spans="2:18">
      <c r="B877" s="841"/>
      <c r="C877" s="842"/>
      <c r="D877" s="842"/>
      <c r="E877" s="842"/>
      <c r="F877" s="1135"/>
      <c r="G877" s="1135"/>
      <c r="H877" s="843"/>
      <c r="I877" s="841"/>
      <c r="J877" s="1135"/>
      <c r="K877" s="841"/>
      <c r="L877" s="841"/>
      <c r="M877" s="841"/>
      <c r="N877" s="841"/>
      <c r="O877" s="841"/>
      <c r="P877" s="841"/>
      <c r="Q877" s="841"/>
      <c r="R877" s="841"/>
    </row>
    <row r="878" spans="2:18">
      <c r="B878" s="841"/>
      <c r="C878" s="842"/>
      <c r="D878" s="842"/>
      <c r="E878" s="842"/>
      <c r="F878" s="1135"/>
      <c r="G878" s="1135"/>
      <c r="H878" s="843"/>
      <c r="I878" s="841"/>
      <c r="J878" s="1135"/>
      <c r="K878" s="841"/>
      <c r="L878" s="841"/>
      <c r="M878" s="841"/>
      <c r="N878" s="841"/>
      <c r="O878" s="841"/>
      <c r="P878" s="841"/>
      <c r="Q878" s="841"/>
      <c r="R878" s="841"/>
    </row>
    <row r="879" spans="2:18">
      <c r="B879" s="841"/>
      <c r="C879" s="842"/>
      <c r="D879" s="842"/>
      <c r="E879" s="842"/>
      <c r="F879" s="1135"/>
      <c r="G879" s="1135"/>
      <c r="H879" s="843"/>
      <c r="I879" s="841"/>
      <c r="J879" s="1135"/>
      <c r="K879" s="841"/>
      <c r="L879" s="841"/>
      <c r="M879" s="841"/>
      <c r="N879" s="841"/>
      <c r="O879" s="841"/>
      <c r="P879" s="841"/>
      <c r="Q879" s="841"/>
      <c r="R879" s="841"/>
    </row>
    <row r="880" spans="2:18">
      <c r="B880" s="841"/>
      <c r="C880" s="842"/>
      <c r="D880" s="842"/>
      <c r="E880" s="842"/>
      <c r="F880" s="1135"/>
      <c r="G880" s="1135"/>
      <c r="H880" s="843"/>
      <c r="I880" s="841"/>
      <c r="J880" s="1135"/>
      <c r="K880" s="841"/>
      <c r="L880" s="841"/>
      <c r="M880" s="841"/>
      <c r="N880" s="841"/>
      <c r="O880" s="841"/>
      <c r="P880" s="841"/>
      <c r="Q880" s="841"/>
      <c r="R880" s="841"/>
    </row>
    <row r="881" spans="2:18">
      <c r="B881" s="841"/>
      <c r="C881" s="842"/>
      <c r="D881" s="842"/>
      <c r="E881" s="842"/>
      <c r="F881" s="1135"/>
      <c r="G881" s="1135"/>
      <c r="H881" s="843"/>
      <c r="I881" s="841"/>
      <c r="J881" s="1135"/>
      <c r="K881" s="841"/>
      <c r="L881" s="841"/>
      <c r="M881" s="841"/>
      <c r="N881" s="841"/>
      <c r="O881" s="841"/>
      <c r="P881" s="841"/>
      <c r="Q881" s="841"/>
      <c r="R881" s="841"/>
    </row>
    <row r="882" spans="2:18">
      <c r="B882" s="841"/>
      <c r="C882" s="842"/>
      <c r="D882" s="842"/>
      <c r="E882" s="842"/>
      <c r="F882" s="1135"/>
      <c r="G882" s="1135"/>
      <c r="H882" s="843"/>
      <c r="I882" s="841"/>
      <c r="J882" s="1135"/>
      <c r="K882" s="841"/>
      <c r="L882" s="841"/>
      <c r="M882" s="841"/>
      <c r="N882" s="841"/>
      <c r="O882" s="841"/>
      <c r="P882" s="841"/>
      <c r="Q882" s="841"/>
      <c r="R882" s="841"/>
    </row>
    <row r="883" spans="2:18">
      <c r="B883" s="841"/>
      <c r="C883" s="842"/>
      <c r="D883" s="842"/>
      <c r="E883" s="842"/>
      <c r="F883" s="1135"/>
      <c r="G883" s="1135"/>
      <c r="H883" s="843"/>
      <c r="I883" s="841"/>
      <c r="J883" s="1135"/>
      <c r="K883" s="841"/>
      <c r="L883" s="841"/>
      <c r="M883" s="841"/>
      <c r="N883" s="841"/>
      <c r="O883" s="841"/>
      <c r="P883" s="841"/>
      <c r="Q883" s="841"/>
      <c r="R883" s="841"/>
    </row>
    <row r="884" spans="2:18">
      <c r="B884" s="841"/>
      <c r="C884" s="842"/>
      <c r="D884" s="842"/>
      <c r="E884" s="842"/>
      <c r="F884" s="1135"/>
      <c r="G884" s="1135"/>
      <c r="H884" s="843"/>
      <c r="I884" s="841"/>
      <c r="J884" s="1135"/>
      <c r="K884" s="841"/>
      <c r="L884" s="841"/>
      <c r="M884" s="841"/>
      <c r="N884" s="841"/>
      <c r="O884" s="841"/>
      <c r="P884" s="841"/>
      <c r="Q884" s="841"/>
      <c r="R884" s="841"/>
    </row>
    <row r="885" spans="2:18">
      <c r="B885" s="841"/>
      <c r="C885" s="842"/>
      <c r="D885" s="842"/>
      <c r="E885" s="842"/>
      <c r="F885" s="1135"/>
      <c r="G885" s="1135"/>
      <c r="H885" s="843"/>
      <c r="I885" s="841"/>
      <c r="J885" s="1135"/>
      <c r="K885" s="841"/>
      <c r="L885" s="841"/>
      <c r="M885" s="841"/>
      <c r="N885" s="841"/>
      <c r="O885" s="841"/>
      <c r="P885" s="841"/>
      <c r="Q885" s="841"/>
      <c r="R885" s="841"/>
    </row>
    <row r="886" spans="2:18">
      <c r="B886" s="841"/>
      <c r="C886" s="842"/>
      <c r="D886" s="842"/>
      <c r="E886" s="842"/>
      <c r="F886" s="1135"/>
      <c r="G886" s="1135"/>
      <c r="H886" s="843"/>
      <c r="I886" s="841"/>
      <c r="J886" s="1135"/>
      <c r="K886" s="841"/>
      <c r="L886" s="841"/>
      <c r="M886" s="841"/>
      <c r="N886" s="841"/>
      <c r="O886" s="841"/>
      <c r="P886" s="841"/>
      <c r="Q886" s="841"/>
      <c r="R886" s="841"/>
    </row>
    <row r="887" spans="2:18">
      <c r="B887" s="841"/>
      <c r="C887" s="842"/>
      <c r="D887" s="842"/>
      <c r="E887" s="842"/>
      <c r="F887" s="1135"/>
      <c r="G887" s="1135"/>
      <c r="H887" s="843"/>
      <c r="I887" s="841"/>
      <c r="J887" s="1135"/>
      <c r="K887" s="841"/>
      <c r="L887" s="841"/>
      <c r="M887" s="841"/>
      <c r="N887" s="841"/>
      <c r="O887" s="841"/>
      <c r="P887" s="841"/>
      <c r="Q887" s="841"/>
      <c r="R887" s="841"/>
    </row>
    <row r="888" spans="2:18">
      <c r="B888" s="841"/>
      <c r="C888" s="842"/>
      <c r="D888" s="842"/>
      <c r="E888" s="842"/>
      <c r="F888" s="1135"/>
      <c r="G888" s="1135"/>
      <c r="H888" s="843"/>
      <c r="I888" s="841"/>
      <c r="J888" s="1135"/>
      <c r="K888" s="841"/>
      <c r="L888" s="841"/>
      <c r="M888" s="841"/>
      <c r="N888" s="841"/>
      <c r="O888" s="841"/>
      <c r="P888" s="841"/>
      <c r="Q888" s="841"/>
      <c r="R888" s="841"/>
    </row>
    <row r="889" spans="2:18">
      <c r="B889" s="841"/>
      <c r="C889" s="842"/>
      <c r="D889" s="842"/>
      <c r="E889" s="842"/>
      <c r="F889" s="1135"/>
      <c r="G889" s="1135"/>
      <c r="H889" s="843"/>
      <c r="I889" s="841"/>
      <c r="J889" s="1135"/>
      <c r="K889" s="841"/>
      <c r="L889" s="841"/>
      <c r="M889" s="841"/>
      <c r="N889" s="841"/>
      <c r="O889" s="841"/>
      <c r="P889" s="841"/>
      <c r="Q889" s="841"/>
      <c r="R889" s="841"/>
    </row>
    <row r="890" spans="2:18">
      <c r="B890" s="841"/>
      <c r="C890" s="842"/>
      <c r="D890" s="842"/>
      <c r="E890" s="842"/>
      <c r="F890" s="1135"/>
      <c r="G890" s="1135"/>
      <c r="H890" s="843"/>
      <c r="I890" s="841"/>
      <c r="J890" s="1135"/>
      <c r="K890" s="841"/>
      <c r="L890" s="841"/>
      <c r="M890" s="841"/>
      <c r="N890" s="841"/>
      <c r="O890" s="841"/>
      <c r="P890" s="841"/>
      <c r="Q890" s="841"/>
      <c r="R890" s="841"/>
    </row>
    <row r="891" spans="2:18">
      <c r="B891" s="841"/>
      <c r="C891" s="842"/>
      <c r="D891" s="842"/>
      <c r="E891" s="842"/>
      <c r="F891" s="1135"/>
      <c r="G891" s="1135"/>
      <c r="H891" s="843"/>
      <c r="I891" s="841"/>
      <c r="J891" s="1135"/>
      <c r="K891" s="841"/>
      <c r="L891" s="841"/>
      <c r="M891" s="841"/>
      <c r="N891" s="841"/>
      <c r="O891" s="841"/>
      <c r="P891" s="841"/>
      <c r="Q891" s="841"/>
      <c r="R891" s="841"/>
    </row>
    <row r="892" spans="2:18">
      <c r="B892" s="841"/>
      <c r="C892" s="842"/>
      <c r="D892" s="842"/>
      <c r="E892" s="842"/>
      <c r="F892" s="1135"/>
      <c r="G892" s="1135"/>
      <c r="H892" s="843"/>
      <c r="I892" s="841"/>
      <c r="J892" s="1135"/>
      <c r="K892" s="841"/>
      <c r="L892" s="841"/>
      <c r="M892" s="841"/>
      <c r="N892" s="841"/>
      <c r="O892" s="841"/>
      <c r="P892" s="841"/>
      <c r="Q892" s="841"/>
      <c r="R892" s="841"/>
    </row>
    <row r="893" spans="2:18">
      <c r="B893" s="841"/>
      <c r="C893" s="842"/>
      <c r="D893" s="842"/>
      <c r="E893" s="842"/>
      <c r="F893" s="1135"/>
      <c r="G893" s="1135"/>
      <c r="H893" s="843"/>
      <c r="I893" s="841"/>
      <c r="J893" s="1135"/>
      <c r="K893" s="841"/>
      <c r="L893" s="841"/>
      <c r="M893" s="841"/>
      <c r="N893" s="841"/>
      <c r="O893" s="841"/>
      <c r="P893" s="841"/>
      <c r="Q893" s="841"/>
      <c r="R893" s="841"/>
    </row>
    <row r="894" spans="2:18">
      <c r="B894" s="841"/>
      <c r="C894" s="842"/>
      <c r="D894" s="842"/>
      <c r="E894" s="842"/>
      <c r="F894" s="1135"/>
      <c r="G894" s="1135"/>
      <c r="H894" s="843"/>
      <c r="I894" s="841"/>
      <c r="J894" s="1135"/>
      <c r="K894" s="841"/>
      <c r="L894" s="841"/>
      <c r="M894" s="841"/>
      <c r="N894" s="841"/>
      <c r="O894" s="841"/>
      <c r="P894" s="841"/>
      <c r="Q894" s="841"/>
      <c r="R894" s="841"/>
    </row>
    <row r="895" spans="2:18">
      <c r="B895" s="841"/>
      <c r="C895" s="842"/>
      <c r="D895" s="842"/>
      <c r="E895" s="842"/>
      <c r="F895" s="1135"/>
      <c r="G895" s="1135"/>
      <c r="H895" s="843"/>
      <c r="I895" s="841"/>
      <c r="J895" s="1135"/>
      <c r="K895" s="841"/>
      <c r="L895" s="841"/>
      <c r="M895" s="841"/>
      <c r="N895" s="841"/>
      <c r="O895" s="841"/>
      <c r="P895" s="841"/>
      <c r="Q895" s="841"/>
      <c r="R895" s="841"/>
    </row>
    <row r="896" spans="2:18">
      <c r="B896" s="841"/>
      <c r="C896" s="842"/>
      <c r="D896" s="842"/>
      <c r="E896" s="842"/>
      <c r="F896" s="1135"/>
      <c r="G896" s="1135"/>
      <c r="H896" s="843"/>
      <c r="I896" s="841"/>
      <c r="J896" s="1135"/>
      <c r="K896" s="841"/>
      <c r="L896" s="841"/>
      <c r="M896" s="841"/>
      <c r="N896" s="841"/>
      <c r="O896" s="841"/>
      <c r="P896" s="841"/>
      <c r="Q896" s="841"/>
      <c r="R896" s="841"/>
    </row>
    <row r="897" spans="2:18">
      <c r="B897" s="841"/>
      <c r="C897" s="842"/>
      <c r="D897" s="842"/>
      <c r="E897" s="842"/>
      <c r="F897" s="1135"/>
      <c r="G897" s="1135"/>
      <c r="H897" s="843"/>
      <c r="I897" s="841"/>
      <c r="J897" s="1135"/>
      <c r="K897" s="841"/>
      <c r="L897" s="841"/>
      <c r="M897" s="841"/>
      <c r="N897" s="841"/>
      <c r="O897" s="841"/>
      <c r="P897" s="841"/>
      <c r="Q897" s="841"/>
      <c r="R897" s="841"/>
    </row>
    <row r="898" spans="2:18">
      <c r="B898" s="841"/>
      <c r="C898" s="842"/>
      <c r="D898" s="842"/>
      <c r="E898" s="842"/>
      <c r="F898" s="1135"/>
      <c r="G898" s="1135"/>
      <c r="H898" s="843"/>
      <c r="I898" s="841"/>
      <c r="J898" s="1135"/>
      <c r="K898" s="841"/>
      <c r="L898" s="841"/>
      <c r="M898" s="841"/>
      <c r="N898" s="841"/>
      <c r="O898" s="841"/>
      <c r="P898" s="841"/>
      <c r="Q898" s="841"/>
      <c r="R898" s="841"/>
    </row>
    <row r="899" spans="2:18">
      <c r="B899" s="841"/>
      <c r="C899" s="842"/>
      <c r="D899" s="842"/>
      <c r="E899" s="842"/>
      <c r="F899" s="1135"/>
      <c r="G899" s="1135"/>
      <c r="H899" s="843"/>
      <c r="I899" s="841"/>
      <c r="J899" s="1135"/>
      <c r="K899" s="841"/>
      <c r="L899" s="841"/>
      <c r="M899" s="841"/>
      <c r="N899" s="841"/>
      <c r="O899" s="841"/>
      <c r="P899" s="841"/>
      <c r="Q899" s="841"/>
      <c r="R899" s="841"/>
    </row>
    <row r="900" spans="2:18">
      <c r="B900" s="841"/>
      <c r="C900" s="842"/>
      <c r="D900" s="842"/>
      <c r="E900" s="842"/>
      <c r="F900" s="1135"/>
      <c r="G900" s="1135"/>
      <c r="H900" s="843"/>
      <c r="I900" s="841"/>
      <c r="J900" s="1135"/>
      <c r="K900" s="841"/>
      <c r="L900" s="841"/>
      <c r="M900" s="841"/>
      <c r="N900" s="841"/>
      <c r="O900" s="841"/>
      <c r="P900" s="841"/>
      <c r="Q900" s="841"/>
      <c r="R900" s="841"/>
    </row>
    <row r="901" spans="2:18">
      <c r="B901" s="841"/>
      <c r="C901" s="842"/>
      <c r="D901" s="842"/>
      <c r="E901" s="842"/>
      <c r="F901" s="1135"/>
      <c r="G901" s="1135"/>
      <c r="H901" s="843"/>
      <c r="I901" s="841"/>
      <c r="J901" s="1135"/>
      <c r="K901" s="841"/>
      <c r="L901" s="841"/>
      <c r="M901" s="841"/>
      <c r="N901" s="841"/>
      <c r="O901" s="841"/>
      <c r="P901" s="841"/>
      <c r="Q901" s="841"/>
      <c r="R901" s="841"/>
    </row>
    <row r="902" spans="2:18">
      <c r="B902" s="841"/>
      <c r="C902" s="842"/>
      <c r="D902" s="842"/>
      <c r="E902" s="842"/>
      <c r="F902" s="1135"/>
      <c r="G902" s="1135"/>
      <c r="H902" s="843"/>
      <c r="I902" s="841"/>
      <c r="J902" s="1135"/>
      <c r="K902" s="841"/>
      <c r="L902" s="841"/>
      <c r="M902" s="841"/>
      <c r="N902" s="841"/>
      <c r="O902" s="841"/>
      <c r="P902" s="841"/>
      <c r="Q902" s="841"/>
      <c r="R902" s="841"/>
    </row>
    <row r="903" spans="2:18">
      <c r="B903" s="841"/>
      <c r="C903" s="842"/>
      <c r="D903" s="842"/>
      <c r="E903" s="842"/>
      <c r="F903" s="1135"/>
      <c r="G903" s="1135"/>
      <c r="H903" s="843"/>
      <c r="I903" s="841"/>
      <c r="J903" s="1135"/>
      <c r="K903" s="841"/>
      <c r="L903" s="841"/>
      <c r="M903" s="841"/>
      <c r="N903" s="841"/>
      <c r="O903" s="841"/>
      <c r="P903" s="841"/>
      <c r="Q903" s="841"/>
      <c r="R903" s="841"/>
    </row>
    <row r="904" spans="2:18">
      <c r="B904" s="841"/>
      <c r="C904" s="842"/>
      <c r="D904" s="842"/>
      <c r="E904" s="842"/>
      <c r="F904" s="1135"/>
      <c r="G904" s="1135"/>
      <c r="H904" s="843"/>
      <c r="I904" s="841"/>
      <c r="J904" s="1135"/>
      <c r="K904" s="841"/>
      <c r="L904" s="841"/>
      <c r="M904" s="841"/>
      <c r="N904" s="841"/>
      <c r="O904" s="841"/>
      <c r="P904" s="841"/>
      <c r="Q904" s="841"/>
      <c r="R904" s="841"/>
    </row>
    <row r="905" spans="2:18">
      <c r="B905" s="841"/>
      <c r="C905" s="842"/>
      <c r="D905" s="842"/>
      <c r="E905" s="842"/>
      <c r="F905" s="1135"/>
      <c r="G905" s="1135"/>
      <c r="H905" s="843"/>
      <c r="I905" s="841"/>
      <c r="J905" s="1135"/>
      <c r="K905" s="841"/>
      <c r="L905" s="841"/>
      <c r="M905" s="841"/>
      <c r="N905" s="841"/>
      <c r="O905" s="841"/>
      <c r="P905" s="841"/>
      <c r="Q905" s="841"/>
      <c r="R905" s="841"/>
    </row>
    <row r="906" spans="2:18">
      <c r="B906" s="841"/>
      <c r="C906" s="842"/>
      <c r="D906" s="842"/>
      <c r="E906" s="842"/>
      <c r="F906" s="1135"/>
      <c r="G906" s="1135"/>
      <c r="H906" s="843"/>
      <c r="I906" s="841"/>
      <c r="J906" s="1135"/>
      <c r="K906" s="841"/>
      <c r="L906" s="841"/>
      <c r="M906" s="841"/>
      <c r="N906" s="841"/>
      <c r="O906" s="841"/>
      <c r="P906" s="841"/>
      <c r="Q906" s="841"/>
      <c r="R906" s="841"/>
    </row>
    <row r="907" spans="2:18">
      <c r="B907" s="841"/>
      <c r="C907" s="842"/>
      <c r="D907" s="842"/>
      <c r="E907" s="842"/>
      <c r="F907" s="1135"/>
      <c r="G907" s="1135"/>
      <c r="H907" s="843"/>
      <c r="I907" s="841"/>
      <c r="J907" s="1135"/>
      <c r="K907" s="841"/>
      <c r="L907" s="841"/>
      <c r="M907" s="841"/>
      <c r="N907" s="841"/>
      <c r="O907" s="841"/>
      <c r="P907" s="841"/>
      <c r="Q907" s="841"/>
      <c r="R907" s="841"/>
    </row>
    <row r="908" spans="2:18">
      <c r="B908" s="841"/>
      <c r="C908" s="842"/>
      <c r="D908" s="842"/>
      <c r="E908" s="842"/>
      <c r="F908" s="1135"/>
      <c r="G908" s="1135"/>
      <c r="H908" s="843"/>
      <c r="I908" s="841"/>
      <c r="J908" s="1135"/>
      <c r="K908" s="841"/>
      <c r="L908" s="841"/>
      <c r="M908" s="841"/>
      <c r="N908" s="841"/>
      <c r="O908" s="841"/>
      <c r="P908" s="841"/>
      <c r="Q908" s="841"/>
      <c r="R908" s="841"/>
    </row>
    <row r="909" spans="2:18">
      <c r="B909" s="841"/>
      <c r="C909" s="842"/>
      <c r="D909" s="842"/>
      <c r="E909" s="842"/>
      <c r="F909" s="1135"/>
      <c r="G909" s="1135"/>
      <c r="H909" s="843"/>
      <c r="I909" s="841"/>
      <c r="J909" s="1135"/>
      <c r="K909" s="841"/>
      <c r="L909" s="841"/>
      <c r="M909" s="841"/>
      <c r="N909" s="841"/>
      <c r="O909" s="841"/>
      <c r="P909" s="841"/>
      <c r="Q909" s="841"/>
      <c r="R909" s="841"/>
    </row>
    <row r="910" spans="2:18">
      <c r="B910" s="841"/>
      <c r="C910" s="842"/>
      <c r="D910" s="842"/>
      <c r="E910" s="842"/>
      <c r="F910" s="1135"/>
      <c r="G910" s="1135"/>
      <c r="H910" s="843"/>
      <c r="I910" s="841"/>
      <c r="J910" s="1135"/>
      <c r="K910" s="841"/>
      <c r="L910" s="841"/>
      <c r="M910" s="841"/>
      <c r="N910" s="841"/>
      <c r="O910" s="841"/>
      <c r="P910" s="841"/>
      <c r="Q910" s="841"/>
      <c r="R910" s="841"/>
    </row>
    <row r="911" spans="2:18">
      <c r="B911" s="841"/>
      <c r="C911" s="842"/>
      <c r="D911" s="842"/>
      <c r="E911" s="842"/>
      <c r="F911" s="1135"/>
      <c r="G911" s="1135"/>
      <c r="H911" s="843"/>
      <c r="I911" s="841"/>
      <c r="J911" s="1135"/>
      <c r="K911" s="841"/>
      <c r="L911" s="841"/>
      <c r="M911" s="841"/>
      <c r="N911" s="841"/>
      <c r="O911" s="841"/>
      <c r="P911" s="841"/>
      <c r="Q911" s="841"/>
      <c r="R911" s="841"/>
    </row>
    <row r="912" spans="2:18">
      <c r="B912" s="841"/>
      <c r="C912" s="842"/>
      <c r="D912" s="842"/>
      <c r="E912" s="842"/>
      <c r="F912" s="1135"/>
      <c r="G912" s="1135"/>
      <c r="H912" s="843"/>
      <c r="I912" s="841"/>
      <c r="J912" s="1135"/>
      <c r="K912" s="841"/>
      <c r="L912" s="841"/>
      <c r="M912" s="841"/>
      <c r="N912" s="841"/>
      <c r="O912" s="841"/>
      <c r="P912" s="841"/>
      <c r="Q912" s="841"/>
      <c r="R912" s="841"/>
    </row>
    <row r="913" spans="2:18">
      <c r="B913" s="841"/>
      <c r="C913" s="842"/>
      <c r="D913" s="842"/>
      <c r="E913" s="842"/>
      <c r="F913" s="1135"/>
      <c r="G913" s="1135"/>
      <c r="H913" s="843"/>
      <c r="I913" s="841"/>
      <c r="J913" s="1135"/>
      <c r="K913" s="841"/>
      <c r="L913" s="841"/>
      <c r="M913" s="841"/>
      <c r="N913" s="841"/>
      <c r="O913" s="841"/>
      <c r="P913" s="841"/>
      <c r="Q913" s="841"/>
      <c r="R913" s="841"/>
    </row>
    <row r="914" spans="2:18">
      <c r="B914" s="841"/>
      <c r="C914" s="842"/>
      <c r="D914" s="842"/>
      <c r="E914" s="842"/>
      <c r="F914" s="1135"/>
      <c r="G914" s="1135"/>
      <c r="H914" s="843"/>
      <c r="I914" s="841"/>
      <c r="J914" s="1135"/>
      <c r="K914" s="841"/>
      <c r="L914" s="841"/>
      <c r="M914" s="841"/>
      <c r="N914" s="841"/>
      <c r="O914" s="841"/>
      <c r="P914" s="841"/>
      <c r="Q914" s="841"/>
      <c r="R914" s="841"/>
    </row>
    <row r="915" spans="2:18">
      <c r="B915" s="841"/>
      <c r="C915" s="842"/>
      <c r="D915" s="842"/>
      <c r="E915" s="842"/>
      <c r="F915" s="1135"/>
      <c r="G915" s="1135"/>
      <c r="H915" s="843"/>
      <c r="I915" s="841"/>
      <c r="J915" s="1135"/>
      <c r="K915" s="841"/>
      <c r="L915" s="841"/>
      <c r="M915" s="841"/>
      <c r="N915" s="841"/>
      <c r="O915" s="841"/>
      <c r="P915" s="841"/>
      <c r="Q915" s="841"/>
      <c r="R915" s="841"/>
    </row>
    <row r="916" spans="2:18">
      <c r="B916" s="841"/>
      <c r="C916" s="842"/>
      <c r="D916" s="842"/>
      <c r="E916" s="842"/>
      <c r="F916" s="1135"/>
      <c r="G916" s="1135"/>
      <c r="H916" s="843"/>
      <c r="I916" s="841"/>
      <c r="J916" s="1135"/>
      <c r="K916" s="841"/>
      <c r="L916" s="841"/>
      <c r="M916" s="841"/>
      <c r="N916" s="841"/>
      <c r="O916" s="841"/>
      <c r="P916" s="841"/>
      <c r="Q916" s="841"/>
      <c r="R916" s="841"/>
    </row>
    <row r="917" spans="2:18">
      <c r="B917" s="841"/>
      <c r="C917" s="842"/>
      <c r="D917" s="842"/>
      <c r="E917" s="842"/>
      <c r="F917" s="1135"/>
      <c r="G917" s="1135"/>
      <c r="H917" s="843"/>
      <c r="I917" s="841"/>
      <c r="J917" s="1135"/>
      <c r="K917" s="841"/>
      <c r="L917" s="841"/>
      <c r="M917" s="841"/>
      <c r="N917" s="841"/>
      <c r="O917" s="841"/>
      <c r="P917" s="841"/>
      <c r="Q917" s="841"/>
      <c r="R917" s="841"/>
    </row>
    <row r="918" spans="2:18">
      <c r="B918" s="841"/>
      <c r="C918" s="842"/>
      <c r="D918" s="842"/>
      <c r="E918" s="842"/>
      <c r="F918" s="1135"/>
      <c r="G918" s="1135"/>
      <c r="H918" s="843"/>
      <c r="I918" s="841"/>
      <c r="J918" s="1135"/>
      <c r="K918" s="841"/>
      <c r="L918" s="841"/>
      <c r="M918" s="841"/>
      <c r="N918" s="841"/>
      <c r="O918" s="841"/>
      <c r="P918" s="841"/>
      <c r="Q918" s="841"/>
      <c r="R918" s="841"/>
    </row>
    <row r="919" spans="2:18">
      <c r="B919" s="841"/>
      <c r="C919" s="842"/>
      <c r="D919" s="842"/>
      <c r="E919" s="842"/>
      <c r="F919" s="1135"/>
      <c r="G919" s="1135"/>
      <c r="H919" s="843"/>
      <c r="I919" s="841"/>
      <c r="J919" s="1135"/>
      <c r="K919" s="841"/>
      <c r="L919" s="841"/>
      <c r="M919" s="841"/>
      <c r="N919" s="841"/>
      <c r="O919" s="841"/>
      <c r="P919" s="841"/>
      <c r="Q919" s="841"/>
      <c r="R919" s="841"/>
    </row>
    <row r="920" spans="2:18">
      <c r="B920" s="841"/>
      <c r="C920" s="842"/>
      <c r="D920" s="842"/>
      <c r="E920" s="842"/>
      <c r="F920" s="1135"/>
      <c r="G920" s="1135"/>
      <c r="H920" s="843"/>
      <c r="I920" s="841"/>
      <c r="J920" s="1135"/>
      <c r="K920" s="841"/>
      <c r="L920" s="841"/>
      <c r="M920" s="841"/>
      <c r="N920" s="841"/>
      <c r="O920" s="841"/>
      <c r="P920" s="841"/>
      <c r="Q920" s="841"/>
      <c r="R920" s="841"/>
    </row>
    <row r="921" spans="2:18">
      <c r="B921" s="841"/>
      <c r="C921" s="842"/>
      <c r="D921" s="842"/>
      <c r="E921" s="842"/>
      <c r="F921" s="1135"/>
      <c r="G921" s="1135"/>
      <c r="H921" s="843"/>
      <c r="I921" s="841"/>
      <c r="J921" s="1135"/>
      <c r="K921" s="841"/>
      <c r="L921" s="841"/>
      <c r="M921" s="841"/>
      <c r="N921" s="841"/>
      <c r="O921" s="841"/>
      <c r="P921" s="841"/>
      <c r="Q921" s="841"/>
      <c r="R921" s="841"/>
    </row>
    <row r="922" spans="2:18">
      <c r="B922" s="841"/>
      <c r="C922" s="842"/>
      <c r="D922" s="842"/>
      <c r="E922" s="842"/>
      <c r="F922" s="1135"/>
      <c r="G922" s="1135"/>
      <c r="H922" s="843"/>
      <c r="I922" s="841"/>
      <c r="J922" s="1135"/>
      <c r="K922" s="841"/>
      <c r="L922" s="841"/>
      <c r="M922" s="841"/>
      <c r="N922" s="841"/>
      <c r="O922" s="841"/>
      <c r="P922" s="841"/>
      <c r="Q922" s="841"/>
      <c r="R922" s="841"/>
    </row>
    <row r="923" spans="2:18">
      <c r="B923" s="841"/>
      <c r="C923" s="842"/>
      <c r="D923" s="842"/>
      <c r="E923" s="842"/>
      <c r="F923" s="1135"/>
      <c r="G923" s="1135"/>
      <c r="H923" s="843"/>
      <c r="I923" s="841"/>
      <c r="J923" s="1135"/>
      <c r="K923" s="841"/>
      <c r="L923" s="841"/>
      <c r="M923" s="841"/>
      <c r="N923" s="841"/>
      <c r="O923" s="841"/>
      <c r="P923" s="841"/>
      <c r="Q923" s="841"/>
      <c r="R923" s="841"/>
    </row>
    <row r="924" spans="2:18">
      <c r="B924" s="841"/>
      <c r="C924" s="842"/>
      <c r="D924" s="842"/>
      <c r="E924" s="842"/>
      <c r="F924" s="1135"/>
      <c r="G924" s="1135"/>
      <c r="H924" s="843"/>
      <c r="I924" s="841"/>
      <c r="J924" s="1135"/>
      <c r="K924" s="841"/>
      <c r="L924" s="841"/>
      <c r="M924" s="841"/>
      <c r="N924" s="841"/>
      <c r="O924" s="841"/>
      <c r="P924" s="841"/>
      <c r="Q924" s="841"/>
      <c r="R924" s="841"/>
    </row>
    <row r="925" spans="2:18">
      <c r="B925" s="841"/>
      <c r="C925" s="842"/>
      <c r="D925" s="842"/>
      <c r="E925" s="842"/>
      <c r="F925" s="1135"/>
      <c r="G925" s="1135"/>
      <c r="H925" s="843"/>
      <c r="I925" s="841"/>
      <c r="J925" s="1135"/>
      <c r="K925" s="841"/>
      <c r="L925" s="841"/>
      <c r="M925" s="841"/>
      <c r="N925" s="841"/>
      <c r="O925" s="841"/>
      <c r="P925" s="841"/>
      <c r="Q925" s="841"/>
      <c r="R925" s="841"/>
    </row>
    <row r="926" spans="2:18">
      <c r="B926" s="841"/>
      <c r="C926" s="842"/>
      <c r="D926" s="842"/>
      <c r="E926" s="842"/>
      <c r="F926" s="1135"/>
      <c r="G926" s="1135"/>
      <c r="H926" s="843"/>
      <c r="I926" s="841"/>
      <c r="J926" s="1135"/>
      <c r="K926" s="841"/>
      <c r="L926" s="841"/>
      <c r="M926" s="841"/>
      <c r="N926" s="841"/>
      <c r="O926" s="841"/>
      <c r="P926" s="841"/>
      <c r="Q926" s="841"/>
      <c r="R926" s="841"/>
    </row>
    <row r="927" spans="2:18">
      <c r="B927" s="841"/>
      <c r="C927" s="842"/>
      <c r="D927" s="842"/>
      <c r="E927" s="842"/>
      <c r="F927" s="1135"/>
      <c r="G927" s="1135"/>
      <c r="H927" s="843"/>
      <c r="I927" s="841"/>
      <c r="J927" s="1135"/>
      <c r="K927" s="841"/>
      <c r="L927" s="841"/>
      <c r="M927" s="841"/>
      <c r="N927" s="841"/>
      <c r="O927" s="841"/>
      <c r="P927" s="841"/>
      <c r="Q927" s="841"/>
      <c r="R927" s="841"/>
    </row>
    <row r="928" spans="2:18">
      <c r="B928" s="841"/>
      <c r="C928" s="842"/>
      <c r="D928" s="842"/>
      <c r="E928" s="842"/>
      <c r="F928" s="1135"/>
      <c r="G928" s="1135"/>
      <c r="H928" s="843"/>
      <c r="I928" s="841"/>
      <c r="J928" s="1135"/>
      <c r="K928" s="841"/>
      <c r="L928" s="841"/>
      <c r="M928" s="841"/>
      <c r="N928" s="841"/>
      <c r="O928" s="841"/>
      <c r="P928" s="841"/>
      <c r="Q928" s="841"/>
      <c r="R928" s="841"/>
    </row>
    <row r="929" spans="2:18">
      <c r="B929" s="841"/>
      <c r="C929" s="842"/>
      <c r="D929" s="842"/>
      <c r="E929" s="842"/>
      <c r="F929" s="1135"/>
      <c r="G929" s="1135"/>
      <c r="H929" s="843"/>
      <c r="I929" s="841"/>
      <c r="J929" s="1135"/>
      <c r="K929" s="841"/>
      <c r="L929" s="841"/>
      <c r="M929" s="841"/>
      <c r="N929" s="841"/>
      <c r="O929" s="841"/>
      <c r="P929" s="841"/>
      <c r="Q929" s="841"/>
      <c r="R929" s="841"/>
    </row>
    <row r="930" spans="2:18">
      <c r="B930" s="841"/>
      <c r="C930" s="842"/>
      <c r="D930" s="842"/>
      <c r="E930" s="842"/>
      <c r="F930" s="1135"/>
      <c r="G930" s="1135"/>
      <c r="H930" s="843"/>
      <c r="I930" s="841"/>
      <c r="J930" s="1135"/>
      <c r="K930" s="841"/>
      <c r="L930" s="841"/>
      <c r="M930" s="841"/>
      <c r="N930" s="841"/>
      <c r="O930" s="841"/>
      <c r="P930" s="841"/>
      <c r="Q930" s="841"/>
      <c r="R930" s="841"/>
    </row>
    <row r="931" spans="2:18">
      <c r="B931" s="841"/>
      <c r="C931" s="842"/>
      <c r="D931" s="842"/>
      <c r="E931" s="842"/>
      <c r="F931" s="1135"/>
      <c r="G931" s="1135"/>
      <c r="H931" s="843"/>
      <c r="I931" s="841"/>
      <c r="J931" s="1135"/>
      <c r="K931" s="841"/>
      <c r="L931" s="841"/>
      <c r="M931" s="841"/>
      <c r="N931" s="841"/>
      <c r="O931" s="841"/>
      <c r="P931" s="841"/>
      <c r="Q931" s="841"/>
      <c r="R931" s="841"/>
    </row>
    <row r="932" spans="2:18">
      <c r="B932" s="841"/>
      <c r="C932" s="842"/>
      <c r="D932" s="842"/>
      <c r="E932" s="842"/>
      <c r="F932" s="1135"/>
      <c r="G932" s="1135"/>
      <c r="H932" s="843"/>
      <c r="I932" s="841"/>
      <c r="J932" s="1135"/>
      <c r="K932" s="841"/>
      <c r="L932" s="841"/>
      <c r="M932" s="841"/>
      <c r="N932" s="841"/>
      <c r="O932" s="841"/>
      <c r="P932" s="841"/>
      <c r="Q932" s="841"/>
      <c r="R932" s="841"/>
    </row>
    <row r="933" spans="2:18">
      <c r="B933" s="841"/>
      <c r="C933" s="842"/>
      <c r="D933" s="842"/>
      <c r="E933" s="842"/>
      <c r="F933" s="1135"/>
      <c r="G933" s="1135"/>
      <c r="H933" s="843"/>
      <c r="I933" s="841"/>
      <c r="J933" s="1135"/>
      <c r="K933" s="841"/>
      <c r="L933" s="841"/>
      <c r="M933" s="841"/>
      <c r="N933" s="841"/>
      <c r="O933" s="841"/>
      <c r="P933" s="841"/>
      <c r="Q933" s="841"/>
      <c r="R933" s="841"/>
    </row>
    <row r="934" spans="2:18">
      <c r="B934" s="841"/>
      <c r="C934" s="842"/>
      <c r="D934" s="842"/>
      <c r="E934" s="842"/>
      <c r="F934" s="1135"/>
      <c r="G934" s="1135"/>
      <c r="H934" s="843"/>
      <c r="I934" s="841"/>
      <c r="J934" s="1135"/>
      <c r="K934" s="841"/>
      <c r="L934" s="841"/>
      <c r="M934" s="841"/>
      <c r="N934" s="841"/>
      <c r="O934" s="841"/>
      <c r="P934" s="841"/>
      <c r="Q934" s="841"/>
      <c r="R934" s="841"/>
    </row>
    <row r="935" spans="2:18">
      <c r="B935" s="841"/>
      <c r="C935" s="842"/>
      <c r="D935" s="842"/>
      <c r="E935" s="842"/>
      <c r="F935" s="1135"/>
      <c r="G935" s="1135"/>
      <c r="H935" s="843"/>
      <c r="I935" s="841"/>
      <c r="J935" s="1135"/>
      <c r="K935" s="841"/>
      <c r="L935" s="841"/>
      <c r="M935" s="841"/>
      <c r="N935" s="841"/>
      <c r="O935" s="841"/>
      <c r="P935" s="841"/>
      <c r="Q935" s="841"/>
      <c r="R935" s="841"/>
    </row>
    <row r="936" spans="2:18">
      <c r="B936" s="841"/>
      <c r="C936" s="842"/>
      <c r="D936" s="842"/>
      <c r="E936" s="842"/>
      <c r="F936" s="1135"/>
      <c r="G936" s="1135"/>
      <c r="H936" s="843"/>
      <c r="I936" s="841"/>
      <c r="J936" s="1135"/>
      <c r="K936" s="841"/>
      <c r="L936" s="841"/>
      <c r="M936" s="841"/>
      <c r="N936" s="841"/>
      <c r="O936" s="841"/>
      <c r="P936" s="841"/>
      <c r="Q936" s="841"/>
      <c r="R936" s="841"/>
    </row>
    <row r="937" spans="2:18">
      <c r="B937" s="841"/>
      <c r="C937" s="842"/>
      <c r="D937" s="842"/>
      <c r="E937" s="842"/>
      <c r="F937" s="1135"/>
      <c r="G937" s="1135"/>
      <c r="H937" s="843"/>
      <c r="I937" s="841"/>
      <c r="J937" s="1135"/>
      <c r="K937" s="841"/>
      <c r="L937" s="841"/>
      <c r="M937" s="841"/>
      <c r="N937" s="841"/>
      <c r="O937" s="841"/>
      <c r="P937" s="841"/>
      <c r="Q937" s="841"/>
      <c r="R937" s="841"/>
    </row>
    <row r="938" spans="2:18">
      <c r="B938" s="841"/>
      <c r="C938" s="842"/>
      <c r="D938" s="842"/>
      <c r="E938" s="842"/>
      <c r="F938" s="1135"/>
      <c r="G938" s="1135"/>
      <c r="H938" s="843"/>
      <c r="I938" s="841"/>
      <c r="J938" s="1135"/>
      <c r="K938" s="841"/>
      <c r="L938" s="841"/>
      <c r="M938" s="841"/>
      <c r="N938" s="841"/>
      <c r="O938" s="841"/>
      <c r="P938" s="841"/>
      <c r="Q938" s="841"/>
      <c r="R938" s="841"/>
    </row>
    <row r="939" spans="2:18">
      <c r="B939" s="841"/>
      <c r="C939" s="842"/>
      <c r="D939" s="842"/>
      <c r="E939" s="842"/>
      <c r="F939" s="1135"/>
      <c r="G939" s="1135"/>
      <c r="H939" s="843"/>
      <c r="I939" s="841"/>
      <c r="J939" s="1135"/>
      <c r="K939" s="841"/>
      <c r="L939" s="841"/>
      <c r="M939" s="841"/>
      <c r="N939" s="841"/>
      <c r="O939" s="841"/>
      <c r="P939" s="841"/>
      <c r="Q939" s="841"/>
      <c r="R939" s="841"/>
    </row>
    <row r="940" spans="2:18">
      <c r="B940" s="841"/>
      <c r="C940" s="842"/>
      <c r="D940" s="842"/>
      <c r="E940" s="842"/>
      <c r="F940" s="1135"/>
      <c r="G940" s="1135"/>
      <c r="H940" s="843"/>
      <c r="I940" s="841"/>
      <c r="J940" s="1135"/>
      <c r="K940" s="841"/>
      <c r="L940" s="841"/>
      <c r="M940" s="841"/>
      <c r="N940" s="841"/>
      <c r="O940" s="841"/>
      <c r="P940" s="841"/>
      <c r="Q940" s="841"/>
      <c r="R940" s="841"/>
    </row>
    <row r="941" spans="2:18">
      <c r="B941" s="841"/>
      <c r="C941" s="842"/>
      <c r="D941" s="842"/>
      <c r="E941" s="842"/>
      <c r="F941" s="1135"/>
      <c r="G941" s="1135"/>
      <c r="H941" s="843"/>
      <c r="I941" s="841"/>
      <c r="J941" s="1135"/>
      <c r="K941" s="841"/>
      <c r="L941" s="841"/>
      <c r="M941" s="841"/>
      <c r="N941" s="841"/>
      <c r="O941" s="841"/>
      <c r="P941" s="841"/>
      <c r="Q941" s="841"/>
      <c r="R941" s="841"/>
    </row>
    <row r="942" spans="2:18">
      <c r="B942" s="841"/>
      <c r="C942" s="842"/>
      <c r="D942" s="842"/>
      <c r="E942" s="842"/>
      <c r="F942" s="1135"/>
      <c r="G942" s="1135"/>
      <c r="H942" s="843"/>
      <c r="I942" s="841"/>
      <c r="J942" s="1135"/>
      <c r="K942" s="841"/>
      <c r="L942" s="841"/>
      <c r="M942" s="841"/>
      <c r="N942" s="841"/>
      <c r="O942" s="841"/>
      <c r="P942" s="841"/>
      <c r="Q942" s="841"/>
      <c r="R942" s="841"/>
    </row>
    <row r="943" spans="2:18">
      <c r="B943" s="841"/>
      <c r="C943" s="842"/>
      <c r="D943" s="842"/>
      <c r="E943" s="842"/>
      <c r="F943" s="1135"/>
      <c r="G943" s="1135"/>
      <c r="H943" s="843"/>
      <c r="I943" s="841"/>
      <c r="J943" s="1135"/>
      <c r="K943" s="841"/>
      <c r="L943" s="841"/>
      <c r="M943" s="841"/>
      <c r="N943" s="841"/>
      <c r="O943" s="841"/>
      <c r="P943" s="841"/>
      <c r="Q943" s="841"/>
      <c r="R943" s="841"/>
    </row>
    <row r="944" spans="2:18">
      <c r="B944" s="841"/>
      <c r="C944" s="842"/>
      <c r="D944" s="842"/>
      <c r="E944" s="842"/>
      <c r="F944" s="1135"/>
      <c r="G944" s="1135"/>
      <c r="H944" s="843"/>
      <c r="I944" s="841"/>
      <c r="J944" s="1135"/>
      <c r="K944" s="841"/>
      <c r="L944" s="841"/>
      <c r="M944" s="841"/>
      <c r="N944" s="841"/>
      <c r="O944" s="841"/>
      <c r="P944" s="841"/>
      <c r="Q944" s="841"/>
      <c r="R944" s="841"/>
    </row>
    <row r="945" spans="2:18">
      <c r="B945" s="841"/>
      <c r="C945" s="842"/>
      <c r="D945" s="842"/>
      <c r="E945" s="842"/>
      <c r="F945" s="1135"/>
      <c r="G945" s="1135"/>
      <c r="H945" s="843"/>
      <c r="I945" s="841"/>
      <c r="J945" s="1135"/>
      <c r="K945" s="841"/>
      <c r="L945" s="841"/>
      <c r="M945" s="841"/>
      <c r="N945" s="841"/>
      <c r="O945" s="841"/>
      <c r="P945" s="841"/>
      <c r="Q945" s="841"/>
      <c r="R945" s="841"/>
    </row>
    <row r="946" spans="2:18">
      <c r="B946" s="841"/>
      <c r="C946" s="842"/>
      <c r="D946" s="842"/>
      <c r="E946" s="842"/>
      <c r="F946" s="1135"/>
      <c r="G946" s="1135"/>
      <c r="H946" s="843"/>
      <c r="I946" s="841"/>
      <c r="J946" s="1135"/>
      <c r="K946" s="841"/>
      <c r="L946" s="841"/>
      <c r="M946" s="841"/>
      <c r="N946" s="841"/>
      <c r="O946" s="841"/>
      <c r="P946" s="841"/>
      <c r="Q946" s="841"/>
      <c r="R946" s="841"/>
    </row>
    <row r="947" spans="2:18">
      <c r="B947" s="841"/>
      <c r="C947" s="842"/>
      <c r="D947" s="842"/>
      <c r="E947" s="842"/>
      <c r="F947" s="1135"/>
      <c r="G947" s="1135"/>
      <c r="H947" s="843"/>
      <c r="I947" s="841"/>
      <c r="J947" s="1135"/>
      <c r="K947" s="841"/>
      <c r="L947" s="841"/>
      <c r="M947" s="841"/>
      <c r="N947" s="841"/>
      <c r="O947" s="841"/>
      <c r="P947" s="841"/>
      <c r="Q947" s="841"/>
      <c r="R947" s="841"/>
    </row>
    <row r="948" spans="2:18">
      <c r="B948" s="841"/>
      <c r="C948" s="842"/>
      <c r="D948" s="842"/>
      <c r="E948" s="842"/>
      <c r="F948" s="1135"/>
      <c r="G948" s="1135"/>
      <c r="H948" s="843"/>
      <c r="I948" s="841"/>
      <c r="J948" s="1135"/>
      <c r="K948" s="841"/>
      <c r="L948" s="841"/>
      <c r="M948" s="841"/>
      <c r="N948" s="841"/>
      <c r="O948" s="841"/>
      <c r="P948" s="841"/>
      <c r="Q948" s="841"/>
      <c r="R948" s="841"/>
    </row>
    <row r="949" spans="2:18">
      <c r="B949" s="841"/>
      <c r="C949" s="842"/>
      <c r="D949" s="842"/>
      <c r="E949" s="842"/>
      <c r="F949" s="1135"/>
      <c r="G949" s="1135"/>
      <c r="H949" s="843"/>
      <c r="I949" s="841"/>
      <c r="J949" s="1135"/>
      <c r="K949" s="841"/>
      <c r="L949" s="841"/>
      <c r="M949" s="841"/>
      <c r="N949" s="841"/>
      <c r="O949" s="841"/>
      <c r="P949" s="841"/>
      <c r="Q949" s="841"/>
      <c r="R949" s="841"/>
    </row>
    <row r="950" spans="2:18">
      <c r="B950" s="841"/>
      <c r="C950" s="842"/>
      <c r="D950" s="842"/>
      <c r="E950" s="842"/>
      <c r="F950" s="1135"/>
      <c r="G950" s="1135"/>
      <c r="H950" s="843"/>
      <c r="I950" s="841"/>
      <c r="J950" s="1135"/>
      <c r="K950" s="841"/>
      <c r="L950" s="841"/>
      <c r="M950" s="841"/>
      <c r="N950" s="841"/>
      <c r="O950" s="841"/>
      <c r="P950" s="841"/>
      <c r="Q950" s="841"/>
      <c r="R950" s="841"/>
    </row>
    <row r="951" spans="2:18">
      <c r="B951" s="841"/>
      <c r="C951" s="842"/>
      <c r="D951" s="842"/>
      <c r="E951" s="842"/>
      <c r="F951" s="1135"/>
      <c r="G951" s="1135"/>
      <c r="H951" s="843"/>
      <c r="I951" s="841"/>
      <c r="J951" s="1135"/>
      <c r="K951" s="841"/>
      <c r="L951" s="841"/>
      <c r="M951" s="841"/>
      <c r="N951" s="841"/>
      <c r="O951" s="841"/>
      <c r="P951" s="841"/>
      <c r="Q951" s="841"/>
      <c r="R951" s="841"/>
    </row>
    <row r="952" spans="2:18">
      <c r="B952" s="841"/>
      <c r="C952" s="842"/>
      <c r="D952" s="842"/>
      <c r="E952" s="842"/>
      <c r="F952" s="1135"/>
      <c r="G952" s="1135"/>
      <c r="H952" s="843"/>
      <c r="I952" s="841"/>
      <c r="J952" s="1135"/>
      <c r="K952" s="841"/>
      <c r="L952" s="841"/>
      <c r="M952" s="841"/>
      <c r="N952" s="841"/>
      <c r="O952" s="841"/>
      <c r="P952" s="841"/>
      <c r="Q952" s="841"/>
      <c r="R952" s="841"/>
    </row>
    <row r="953" spans="2:18">
      <c r="B953" s="841"/>
      <c r="C953" s="842"/>
      <c r="D953" s="842"/>
      <c r="E953" s="842"/>
      <c r="F953" s="1135"/>
      <c r="G953" s="1135"/>
      <c r="H953" s="843"/>
      <c r="I953" s="841"/>
      <c r="J953" s="1135"/>
      <c r="K953" s="841"/>
      <c r="L953" s="841"/>
      <c r="M953" s="841"/>
      <c r="N953" s="841"/>
      <c r="O953" s="841"/>
      <c r="P953" s="841"/>
      <c r="Q953" s="841"/>
      <c r="R953" s="841"/>
    </row>
    <row r="954" spans="2:18">
      <c r="B954" s="841"/>
      <c r="C954" s="842"/>
      <c r="D954" s="842"/>
      <c r="E954" s="842"/>
      <c r="F954" s="1135"/>
      <c r="G954" s="1135"/>
      <c r="H954" s="843"/>
      <c r="I954" s="841"/>
      <c r="J954" s="1135"/>
      <c r="K954" s="841"/>
      <c r="L954" s="841"/>
      <c r="M954" s="841"/>
      <c r="N954" s="841"/>
      <c r="O954" s="841"/>
      <c r="P954" s="841"/>
      <c r="Q954" s="841"/>
      <c r="R954" s="841"/>
    </row>
    <row r="955" spans="2:18">
      <c r="B955" s="841"/>
      <c r="C955" s="842"/>
      <c r="D955" s="842"/>
      <c r="E955" s="842"/>
      <c r="F955" s="1135"/>
      <c r="G955" s="1135"/>
      <c r="H955" s="843"/>
      <c r="I955" s="841"/>
      <c r="J955" s="1135"/>
      <c r="K955" s="841"/>
      <c r="L955" s="841"/>
      <c r="M955" s="841"/>
      <c r="N955" s="841"/>
      <c r="O955" s="841"/>
      <c r="P955" s="841"/>
      <c r="Q955" s="841"/>
      <c r="R955" s="841"/>
    </row>
    <row r="956" spans="2:18">
      <c r="B956" s="841"/>
      <c r="C956" s="842"/>
      <c r="D956" s="842"/>
      <c r="E956" s="842"/>
      <c r="F956" s="1135"/>
      <c r="G956" s="1135"/>
      <c r="H956" s="843"/>
      <c r="I956" s="841"/>
      <c r="J956" s="1135"/>
      <c r="K956" s="841"/>
      <c r="L956" s="841"/>
      <c r="M956" s="841"/>
      <c r="N956" s="841"/>
      <c r="O956" s="841"/>
      <c r="P956" s="841"/>
      <c r="Q956" s="841"/>
      <c r="R956" s="841"/>
    </row>
    <row r="957" spans="2:18">
      <c r="B957" s="841"/>
      <c r="C957" s="842"/>
      <c r="D957" s="842"/>
      <c r="E957" s="842"/>
      <c r="F957" s="1135"/>
      <c r="G957" s="1135"/>
      <c r="H957" s="843"/>
      <c r="I957" s="841"/>
      <c r="J957" s="1135"/>
      <c r="K957" s="841"/>
      <c r="L957" s="841"/>
      <c r="M957" s="841"/>
      <c r="N957" s="841"/>
      <c r="O957" s="841"/>
      <c r="P957" s="841"/>
      <c r="Q957" s="841"/>
      <c r="R957" s="841"/>
    </row>
    <row r="958" spans="2:18">
      <c r="B958" s="841"/>
      <c r="C958" s="842"/>
      <c r="D958" s="842"/>
      <c r="E958" s="842"/>
      <c r="F958" s="1135"/>
      <c r="G958" s="1135"/>
      <c r="H958" s="843"/>
      <c r="I958" s="841"/>
      <c r="J958" s="1135"/>
      <c r="K958" s="841"/>
      <c r="L958" s="841"/>
      <c r="M958" s="841"/>
      <c r="N958" s="841"/>
      <c r="O958" s="841"/>
      <c r="P958" s="841"/>
      <c r="Q958" s="841"/>
      <c r="R958" s="841"/>
    </row>
    <row r="959" spans="2:18">
      <c r="B959" s="841"/>
      <c r="C959" s="842"/>
      <c r="D959" s="842"/>
      <c r="E959" s="842"/>
      <c r="F959" s="1135"/>
      <c r="G959" s="1135"/>
      <c r="H959" s="843"/>
      <c r="I959" s="841"/>
      <c r="J959" s="1135"/>
      <c r="K959" s="841"/>
      <c r="L959" s="841"/>
      <c r="M959" s="841"/>
      <c r="N959" s="841"/>
      <c r="O959" s="841"/>
      <c r="P959" s="841"/>
      <c r="Q959" s="841"/>
      <c r="R959" s="841"/>
    </row>
    <row r="960" spans="2:18">
      <c r="B960" s="841"/>
      <c r="C960" s="842"/>
      <c r="D960" s="842"/>
      <c r="E960" s="842"/>
      <c r="F960" s="1135"/>
      <c r="G960" s="1135"/>
      <c r="H960" s="843"/>
      <c r="I960" s="841"/>
      <c r="J960" s="1135"/>
      <c r="K960" s="841"/>
      <c r="L960" s="841"/>
      <c r="M960" s="841"/>
      <c r="N960" s="841"/>
      <c r="O960" s="841"/>
      <c r="P960" s="841"/>
      <c r="Q960" s="841"/>
      <c r="R960" s="841"/>
    </row>
    <row r="961" spans="2:18">
      <c r="B961" s="841"/>
      <c r="C961" s="842"/>
      <c r="D961" s="842"/>
      <c r="E961" s="842"/>
      <c r="F961" s="1135"/>
      <c r="G961" s="1135"/>
      <c r="H961" s="843"/>
      <c r="I961" s="841"/>
      <c r="J961" s="1135"/>
      <c r="K961" s="841"/>
      <c r="L961" s="841"/>
      <c r="M961" s="841"/>
      <c r="N961" s="841"/>
      <c r="O961" s="841"/>
      <c r="P961" s="841"/>
      <c r="Q961" s="841"/>
      <c r="R961" s="841"/>
    </row>
    <row r="962" spans="2:18">
      <c r="B962" s="841"/>
      <c r="C962" s="842"/>
      <c r="D962" s="842"/>
      <c r="E962" s="842"/>
      <c r="F962" s="1135"/>
      <c r="G962" s="1135"/>
      <c r="H962" s="843"/>
      <c r="I962" s="841"/>
      <c r="J962" s="1135"/>
      <c r="K962" s="841"/>
      <c r="L962" s="841"/>
      <c r="M962" s="841"/>
      <c r="N962" s="841"/>
      <c r="O962" s="841"/>
      <c r="P962" s="841"/>
      <c r="Q962" s="841"/>
      <c r="R962" s="841"/>
    </row>
    <row r="963" spans="2:18">
      <c r="B963" s="841"/>
      <c r="C963" s="842"/>
      <c r="D963" s="842"/>
      <c r="E963" s="842"/>
      <c r="F963" s="1135"/>
      <c r="G963" s="1135"/>
      <c r="H963" s="843"/>
      <c r="I963" s="841"/>
      <c r="J963" s="1135"/>
      <c r="K963" s="841"/>
      <c r="L963" s="841"/>
      <c r="M963" s="841"/>
      <c r="N963" s="841"/>
      <c r="O963" s="841"/>
      <c r="P963" s="841"/>
      <c r="Q963" s="841"/>
      <c r="R963" s="841"/>
    </row>
    <row r="964" spans="2:18">
      <c r="B964" s="841"/>
      <c r="C964" s="842"/>
      <c r="D964" s="842"/>
      <c r="E964" s="842"/>
      <c r="F964" s="1135"/>
      <c r="G964" s="1135"/>
      <c r="H964" s="843"/>
      <c r="I964" s="841"/>
      <c r="J964" s="1135"/>
      <c r="K964" s="841"/>
      <c r="L964" s="841"/>
      <c r="M964" s="841"/>
      <c r="N964" s="841"/>
      <c r="O964" s="841"/>
      <c r="P964" s="841"/>
      <c r="Q964" s="841"/>
      <c r="R964" s="841"/>
    </row>
    <row r="965" spans="2:18">
      <c r="B965" s="841"/>
      <c r="C965" s="842"/>
      <c r="D965" s="842"/>
      <c r="E965" s="842"/>
      <c r="F965" s="1135"/>
      <c r="G965" s="1135"/>
      <c r="H965" s="843"/>
      <c r="I965" s="841"/>
      <c r="J965" s="1135"/>
      <c r="K965" s="841"/>
      <c r="L965" s="841"/>
      <c r="M965" s="841"/>
      <c r="N965" s="841"/>
      <c r="O965" s="841"/>
      <c r="P965" s="841"/>
      <c r="Q965" s="841"/>
      <c r="R965" s="841"/>
    </row>
    <row r="966" spans="2:18">
      <c r="B966" s="841"/>
      <c r="C966" s="842"/>
      <c r="D966" s="842"/>
      <c r="E966" s="842"/>
      <c r="F966" s="1135"/>
      <c r="G966" s="1135"/>
      <c r="H966" s="843"/>
      <c r="I966" s="841"/>
      <c r="J966" s="1135"/>
      <c r="K966" s="841"/>
      <c r="L966" s="841"/>
      <c r="M966" s="841"/>
      <c r="N966" s="841"/>
      <c r="O966" s="841"/>
      <c r="P966" s="841"/>
      <c r="Q966" s="841"/>
      <c r="R966" s="841"/>
    </row>
    <row r="967" spans="2:18">
      <c r="B967" s="841"/>
      <c r="C967" s="842"/>
      <c r="D967" s="842"/>
      <c r="E967" s="842"/>
      <c r="F967" s="1135"/>
      <c r="G967" s="1135"/>
      <c r="H967" s="843"/>
      <c r="I967" s="841"/>
      <c r="J967" s="1135"/>
      <c r="K967" s="841"/>
      <c r="L967" s="841"/>
      <c r="M967" s="841"/>
      <c r="N967" s="841"/>
      <c r="O967" s="841"/>
      <c r="P967" s="841"/>
      <c r="Q967" s="841"/>
      <c r="R967" s="841"/>
    </row>
    <row r="968" spans="2:18">
      <c r="B968" s="841"/>
      <c r="C968" s="842"/>
      <c r="D968" s="842"/>
      <c r="E968" s="842"/>
      <c r="F968" s="1135"/>
      <c r="G968" s="1135"/>
      <c r="H968" s="843"/>
      <c r="I968" s="841"/>
      <c r="J968" s="1135"/>
      <c r="K968" s="841"/>
      <c r="L968" s="841"/>
      <c r="M968" s="841"/>
      <c r="N968" s="841"/>
      <c r="O968" s="841"/>
      <c r="P968" s="841"/>
      <c r="Q968" s="841"/>
      <c r="R968" s="841"/>
    </row>
    <row r="969" spans="2:18">
      <c r="B969" s="841"/>
      <c r="C969" s="842"/>
      <c r="D969" s="842"/>
      <c r="E969" s="842"/>
      <c r="F969" s="1135"/>
      <c r="G969" s="1135"/>
      <c r="H969" s="843"/>
      <c r="I969" s="841"/>
      <c r="J969" s="1135"/>
      <c r="K969" s="841"/>
      <c r="L969" s="841"/>
      <c r="M969" s="841"/>
      <c r="N969" s="841"/>
      <c r="O969" s="841"/>
      <c r="P969" s="841"/>
      <c r="Q969" s="841"/>
      <c r="R969" s="841"/>
    </row>
    <row r="970" spans="2:18">
      <c r="B970" s="841"/>
      <c r="C970" s="842"/>
      <c r="D970" s="842"/>
      <c r="E970" s="842"/>
      <c r="F970" s="1135"/>
      <c r="G970" s="1135"/>
      <c r="H970" s="843"/>
      <c r="I970" s="841"/>
      <c r="J970" s="1135"/>
      <c r="K970" s="841"/>
      <c r="L970" s="841"/>
      <c r="M970" s="841"/>
      <c r="N970" s="841"/>
      <c r="O970" s="841"/>
      <c r="P970" s="841"/>
      <c r="Q970" s="841"/>
      <c r="R970" s="841"/>
    </row>
    <row r="971" spans="2:18">
      <c r="B971" s="841"/>
      <c r="C971" s="842"/>
      <c r="D971" s="842"/>
      <c r="E971" s="842"/>
      <c r="F971" s="1135"/>
      <c r="G971" s="1135"/>
      <c r="H971" s="843"/>
      <c r="I971" s="841"/>
      <c r="J971" s="1135"/>
      <c r="K971" s="841"/>
      <c r="L971" s="841"/>
      <c r="M971" s="841"/>
      <c r="N971" s="841"/>
      <c r="O971" s="841"/>
      <c r="P971" s="841"/>
      <c r="Q971" s="841"/>
      <c r="R971" s="841"/>
    </row>
    <row r="972" spans="2:18">
      <c r="B972" s="841"/>
      <c r="C972" s="842"/>
      <c r="D972" s="842"/>
      <c r="E972" s="842"/>
      <c r="F972" s="1135"/>
      <c r="G972" s="1135"/>
      <c r="H972" s="843"/>
      <c r="I972" s="841"/>
      <c r="J972" s="1135"/>
      <c r="K972" s="841"/>
      <c r="L972" s="841"/>
      <c r="M972" s="841"/>
      <c r="N972" s="841"/>
      <c r="O972" s="841"/>
      <c r="P972" s="841"/>
      <c r="Q972" s="841"/>
      <c r="R972" s="841"/>
    </row>
    <row r="973" spans="2:18">
      <c r="B973" s="841"/>
      <c r="C973" s="842"/>
      <c r="D973" s="842"/>
      <c r="E973" s="842"/>
      <c r="F973" s="1135"/>
      <c r="G973" s="1135"/>
      <c r="H973" s="843"/>
      <c r="I973" s="841"/>
      <c r="J973" s="1135"/>
      <c r="K973" s="841"/>
      <c r="L973" s="841"/>
      <c r="M973" s="841"/>
      <c r="N973" s="841"/>
      <c r="O973" s="841"/>
      <c r="P973" s="841"/>
      <c r="Q973" s="841"/>
      <c r="R973" s="841"/>
    </row>
    <row r="974" spans="2:18">
      <c r="B974" s="841"/>
      <c r="C974" s="842"/>
      <c r="D974" s="842"/>
      <c r="E974" s="842"/>
      <c r="F974" s="1135"/>
      <c r="G974" s="1135"/>
      <c r="H974" s="843"/>
      <c r="I974" s="841"/>
      <c r="J974" s="1135"/>
      <c r="K974" s="841"/>
      <c r="L974" s="841"/>
      <c r="M974" s="841"/>
      <c r="N974" s="841"/>
      <c r="O974" s="841"/>
      <c r="P974" s="841"/>
      <c r="Q974" s="841"/>
      <c r="R974" s="841"/>
    </row>
    <row r="975" spans="2:18">
      <c r="B975" s="841"/>
      <c r="C975" s="842"/>
      <c r="D975" s="842"/>
      <c r="E975" s="842"/>
      <c r="F975" s="1135"/>
      <c r="G975" s="1135"/>
      <c r="H975" s="843"/>
      <c r="I975" s="841"/>
      <c r="J975" s="1135"/>
      <c r="K975" s="841"/>
      <c r="L975" s="841"/>
      <c r="M975" s="841"/>
      <c r="N975" s="841"/>
      <c r="O975" s="841"/>
      <c r="P975" s="841"/>
      <c r="Q975" s="841"/>
      <c r="R975" s="841"/>
    </row>
    <row r="976" spans="2:18">
      <c r="B976" s="841"/>
      <c r="C976" s="842"/>
      <c r="D976" s="842"/>
      <c r="E976" s="842"/>
      <c r="F976" s="1135"/>
      <c r="G976" s="1135"/>
      <c r="H976" s="843"/>
      <c r="I976" s="841"/>
      <c r="J976" s="1135"/>
      <c r="K976" s="841"/>
      <c r="L976" s="841"/>
      <c r="M976" s="841"/>
      <c r="N976" s="841"/>
      <c r="O976" s="841"/>
      <c r="P976" s="841"/>
      <c r="Q976" s="841"/>
      <c r="R976" s="841"/>
    </row>
    <row r="977" spans="2:18">
      <c r="B977" s="841"/>
      <c r="C977" s="842"/>
      <c r="D977" s="842"/>
      <c r="E977" s="842"/>
      <c r="F977" s="1135"/>
      <c r="G977" s="1135"/>
      <c r="H977" s="843"/>
      <c r="I977" s="841"/>
      <c r="J977" s="1135"/>
      <c r="K977" s="841"/>
      <c r="L977" s="841"/>
      <c r="M977" s="841"/>
      <c r="N977" s="841"/>
      <c r="O977" s="841"/>
      <c r="P977" s="841"/>
      <c r="Q977" s="841"/>
      <c r="R977" s="841"/>
    </row>
    <row r="978" spans="2:18">
      <c r="B978" s="841"/>
      <c r="C978" s="842"/>
      <c r="D978" s="842"/>
      <c r="E978" s="842"/>
      <c r="F978" s="1135"/>
      <c r="G978" s="1135"/>
      <c r="H978" s="843"/>
      <c r="I978" s="841"/>
      <c r="J978" s="1135"/>
      <c r="K978" s="841"/>
      <c r="L978" s="841"/>
      <c r="M978" s="841"/>
      <c r="N978" s="841"/>
      <c r="O978" s="841"/>
      <c r="P978" s="841"/>
      <c r="Q978" s="841"/>
      <c r="R978" s="841"/>
    </row>
    <row r="979" spans="2:18">
      <c r="B979" s="841"/>
      <c r="C979" s="842"/>
      <c r="D979" s="842"/>
      <c r="E979" s="842"/>
      <c r="F979" s="1135"/>
      <c r="G979" s="1135"/>
      <c r="H979" s="843"/>
      <c r="I979" s="841"/>
      <c r="J979" s="1135"/>
      <c r="K979" s="841"/>
      <c r="L979" s="841"/>
      <c r="M979" s="841"/>
      <c r="N979" s="841"/>
      <c r="O979" s="841"/>
      <c r="P979" s="841"/>
      <c r="Q979" s="841"/>
      <c r="R979" s="841"/>
    </row>
    <row r="980" spans="2:18">
      <c r="B980" s="841"/>
      <c r="C980" s="842"/>
      <c r="D980" s="842"/>
      <c r="E980" s="842"/>
      <c r="F980" s="1135"/>
      <c r="G980" s="1135"/>
      <c r="H980" s="843"/>
      <c r="I980" s="841"/>
      <c r="J980" s="1135"/>
      <c r="K980" s="841"/>
      <c r="L980" s="841"/>
      <c r="M980" s="841"/>
      <c r="N980" s="841"/>
      <c r="O980" s="841"/>
      <c r="P980" s="841"/>
      <c r="Q980" s="841"/>
      <c r="R980" s="841"/>
    </row>
    <row r="981" spans="2:18">
      <c r="B981" s="841"/>
      <c r="C981" s="842"/>
      <c r="D981" s="842"/>
      <c r="E981" s="842"/>
      <c r="F981" s="1135"/>
      <c r="G981" s="1135"/>
      <c r="H981" s="843"/>
      <c r="I981" s="841"/>
      <c r="J981" s="1135"/>
      <c r="K981" s="841"/>
      <c r="L981" s="841"/>
      <c r="M981" s="841"/>
      <c r="N981" s="841"/>
      <c r="O981" s="841"/>
      <c r="P981" s="841"/>
      <c r="Q981" s="841"/>
      <c r="R981" s="841"/>
    </row>
    <row r="982" spans="2:18">
      <c r="B982" s="841"/>
      <c r="C982" s="842"/>
      <c r="D982" s="842"/>
      <c r="E982" s="842"/>
      <c r="F982" s="1135"/>
      <c r="G982" s="1135"/>
      <c r="H982" s="843"/>
      <c r="I982" s="841"/>
      <c r="J982" s="1135"/>
      <c r="K982" s="841"/>
      <c r="L982" s="841"/>
      <c r="M982" s="841"/>
      <c r="N982" s="841"/>
      <c r="O982" s="841"/>
      <c r="P982" s="841"/>
      <c r="Q982" s="841"/>
      <c r="R982" s="841"/>
    </row>
    <row r="983" spans="2:18">
      <c r="B983" s="841"/>
      <c r="C983" s="842"/>
      <c r="D983" s="842"/>
      <c r="E983" s="842"/>
      <c r="F983" s="1135"/>
      <c r="G983" s="1135"/>
      <c r="H983" s="843"/>
      <c r="I983" s="841"/>
      <c r="J983" s="1135"/>
      <c r="K983" s="841"/>
      <c r="L983" s="841"/>
      <c r="M983" s="841"/>
      <c r="N983" s="841"/>
      <c r="O983" s="841"/>
      <c r="P983" s="841"/>
      <c r="Q983" s="841"/>
      <c r="R983" s="841"/>
    </row>
    <row r="984" spans="2:18">
      <c r="B984" s="841"/>
      <c r="C984" s="842"/>
      <c r="D984" s="842"/>
      <c r="E984" s="842"/>
      <c r="F984" s="1135"/>
      <c r="G984" s="1135"/>
      <c r="H984" s="843"/>
      <c r="I984" s="841"/>
      <c r="J984" s="1135"/>
      <c r="K984" s="841"/>
      <c r="L984" s="841"/>
      <c r="M984" s="841"/>
      <c r="N984" s="841"/>
      <c r="O984" s="841"/>
      <c r="P984" s="841"/>
      <c r="Q984" s="841"/>
      <c r="R984" s="841"/>
    </row>
    <row r="985" spans="2:18">
      <c r="B985" s="841"/>
      <c r="C985" s="842"/>
      <c r="D985" s="842"/>
      <c r="E985" s="842"/>
      <c r="F985" s="1135"/>
      <c r="G985" s="1135"/>
      <c r="H985" s="843"/>
      <c r="I985" s="841"/>
      <c r="J985" s="1135"/>
      <c r="K985" s="841"/>
      <c r="L985" s="841"/>
      <c r="M985" s="841"/>
      <c r="N985" s="841"/>
      <c r="O985" s="841"/>
      <c r="P985" s="841"/>
      <c r="Q985" s="841"/>
      <c r="R985" s="841"/>
    </row>
    <row r="986" spans="2:18">
      <c r="B986" s="841"/>
      <c r="C986" s="842"/>
      <c r="D986" s="842"/>
      <c r="E986" s="842"/>
      <c r="F986" s="1135"/>
      <c r="G986" s="1135"/>
      <c r="H986" s="843"/>
      <c r="I986" s="841"/>
      <c r="J986" s="1135"/>
      <c r="K986" s="841"/>
      <c r="L986" s="841"/>
      <c r="M986" s="841"/>
      <c r="N986" s="841"/>
      <c r="O986" s="841"/>
      <c r="P986" s="841"/>
      <c r="Q986" s="841"/>
      <c r="R986" s="841"/>
    </row>
    <row r="987" spans="2:18">
      <c r="B987" s="841"/>
      <c r="C987" s="842"/>
      <c r="D987" s="842"/>
      <c r="E987" s="842"/>
      <c r="F987" s="1135"/>
      <c r="G987" s="1135"/>
      <c r="H987" s="843"/>
      <c r="I987" s="841"/>
      <c r="J987" s="1135"/>
      <c r="K987" s="841"/>
      <c r="L987" s="841"/>
      <c r="M987" s="841"/>
      <c r="N987" s="841"/>
      <c r="O987" s="841"/>
      <c r="P987" s="841"/>
      <c r="Q987" s="841"/>
      <c r="R987" s="841"/>
    </row>
    <row r="988" spans="2:18">
      <c r="B988" s="841"/>
      <c r="C988" s="842"/>
      <c r="D988" s="842"/>
      <c r="E988" s="842"/>
      <c r="F988" s="1135"/>
      <c r="G988" s="1135"/>
      <c r="H988" s="843"/>
      <c r="I988" s="841"/>
      <c r="J988" s="1135"/>
      <c r="K988" s="841"/>
      <c r="L988" s="841"/>
      <c r="M988" s="841"/>
      <c r="N988" s="841"/>
      <c r="O988" s="841"/>
      <c r="P988" s="841"/>
      <c r="Q988" s="841"/>
      <c r="R988" s="841"/>
    </row>
    <row r="989" spans="2:18">
      <c r="B989" s="841"/>
      <c r="C989" s="842"/>
      <c r="D989" s="842"/>
      <c r="E989" s="842"/>
      <c r="F989" s="1135"/>
      <c r="G989" s="1135"/>
      <c r="H989" s="843"/>
      <c r="I989" s="841"/>
      <c r="J989" s="1135"/>
      <c r="K989" s="841"/>
      <c r="L989" s="841"/>
      <c r="M989" s="841"/>
      <c r="N989" s="841"/>
      <c r="O989" s="841"/>
      <c r="P989" s="841"/>
      <c r="Q989" s="841"/>
      <c r="R989" s="841"/>
    </row>
    <row r="990" spans="2:18">
      <c r="B990" s="841"/>
      <c r="C990" s="842"/>
      <c r="D990" s="842"/>
      <c r="E990" s="842"/>
      <c r="F990" s="1135"/>
      <c r="G990" s="1135"/>
      <c r="H990" s="843"/>
      <c r="I990" s="841"/>
      <c r="J990" s="1135"/>
      <c r="K990" s="841"/>
      <c r="L990" s="841"/>
      <c r="M990" s="841"/>
      <c r="N990" s="841"/>
      <c r="O990" s="841"/>
      <c r="P990" s="841"/>
      <c r="Q990" s="841"/>
      <c r="R990" s="841"/>
    </row>
    <row r="991" spans="2:18">
      <c r="B991" s="841"/>
      <c r="C991" s="842"/>
      <c r="D991" s="842"/>
      <c r="E991" s="842"/>
      <c r="F991" s="1135"/>
      <c r="G991" s="1135"/>
      <c r="H991" s="843"/>
      <c r="I991" s="841"/>
      <c r="J991" s="1135"/>
      <c r="K991" s="841"/>
      <c r="L991" s="841"/>
      <c r="M991" s="841"/>
      <c r="N991" s="841"/>
      <c r="O991" s="841"/>
      <c r="P991" s="841"/>
      <c r="Q991" s="841"/>
      <c r="R991" s="841"/>
    </row>
    <row r="992" spans="2:18">
      <c r="B992" s="841"/>
      <c r="C992" s="842"/>
      <c r="D992" s="842"/>
      <c r="E992" s="842"/>
      <c r="F992" s="1135"/>
      <c r="G992" s="1135"/>
      <c r="H992" s="843"/>
      <c r="I992" s="841"/>
      <c r="J992" s="1135"/>
      <c r="K992" s="841"/>
      <c r="L992" s="841"/>
      <c r="M992" s="841"/>
      <c r="N992" s="841"/>
      <c r="O992" s="841"/>
      <c r="P992" s="841"/>
      <c r="Q992" s="841"/>
      <c r="R992" s="841"/>
    </row>
    <row r="993" spans="2:18">
      <c r="B993" s="841"/>
      <c r="C993" s="842"/>
      <c r="D993" s="842"/>
      <c r="E993" s="842"/>
      <c r="F993" s="1135"/>
      <c r="G993" s="1135"/>
      <c r="H993" s="843"/>
      <c r="I993" s="841"/>
      <c r="J993" s="1135"/>
      <c r="K993" s="841"/>
      <c r="L993" s="841"/>
      <c r="M993" s="841"/>
      <c r="N993" s="841"/>
      <c r="O993" s="841"/>
      <c r="P993" s="841"/>
      <c r="Q993" s="841"/>
      <c r="R993" s="841"/>
    </row>
    <row r="994" spans="2:18">
      <c r="B994" s="841"/>
      <c r="C994" s="842"/>
      <c r="D994" s="842"/>
      <c r="E994" s="842"/>
      <c r="F994" s="1135"/>
      <c r="G994" s="1135"/>
      <c r="H994" s="843"/>
      <c r="I994" s="841"/>
      <c r="J994" s="1135"/>
      <c r="K994" s="841"/>
      <c r="L994" s="841"/>
      <c r="M994" s="841"/>
      <c r="N994" s="841"/>
      <c r="O994" s="841"/>
      <c r="P994" s="841"/>
      <c r="Q994" s="841"/>
      <c r="R994" s="841"/>
    </row>
    <row r="995" spans="2:18">
      <c r="B995" s="841"/>
      <c r="C995" s="842"/>
      <c r="D995" s="842"/>
      <c r="E995" s="842"/>
      <c r="F995" s="1135"/>
      <c r="G995" s="1135"/>
      <c r="H995" s="843"/>
      <c r="I995" s="841"/>
      <c r="J995" s="1135"/>
      <c r="K995" s="841"/>
      <c r="L995" s="841"/>
      <c r="M995" s="841"/>
      <c r="N995" s="841"/>
      <c r="O995" s="841"/>
      <c r="P995" s="841"/>
      <c r="Q995" s="841"/>
      <c r="R995" s="841"/>
    </row>
    <row r="996" spans="2:18">
      <c r="B996" s="841"/>
      <c r="C996" s="842"/>
      <c r="D996" s="842"/>
      <c r="E996" s="842"/>
      <c r="F996" s="1135"/>
      <c r="G996" s="1135"/>
      <c r="H996" s="843"/>
      <c r="I996" s="841"/>
      <c r="J996" s="1135"/>
      <c r="K996" s="841"/>
      <c r="L996" s="841"/>
      <c r="M996" s="841"/>
      <c r="N996" s="841"/>
      <c r="O996" s="841"/>
      <c r="P996" s="841"/>
      <c r="Q996" s="841"/>
      <c r="R996" s="841"/>
    </row>
    <row r="997" spans="2:18">
      <c r="B997" s="841"/>
      <c r="C997" s="842"/>
      <c r="D997" s="842"/>
      <c r="E997" s="842"/>
      <c r="F997" s="1135"/>
      <c r="G997" s="1135"/>
      <c r="H997" s="843"/>
      <c r="I997" s="841"/>
      <c r="J997" s="1135"/>
      <c r="K997" s="841"/>
      <c r="L997" s="841"/>
      <c r="M997" s="841"/>
      <c r="N997" s="841"/>
      <c r="O997" s="841"/>
      <c r="P997" s="841"/>
      <c r="Q997" s="841"/>
      <c r="R997" s="841"/>
    </row>
    <row r="998" spans="2:18">
      <c r="B998" s="841"/>
      <c r="C998" s="842"/>
      <c r="D998" s="842"/>
      <c r="E998" s="842"/>
      <c r="F998" s="1135"/>
      <c r="G998" s="1135"/>
      <c r="H998" s="843"/>
      <c r="I998" s="841"/>
      <c r="J998" s="1135"/>
      <c r="K998" s="841"/>
      <c r="L998" s="841"/>
      <c r="M998" s="841"/>
      <c r="N998" s="841"/>
      <c r="O998" s="841"/>
      <c r="P998" s="841"/>
      <c r="Q998" s="841"/>
      <c r="R998" s="841"/>
    </row>
    <row r="999" spans="2:18">
      <c r="B999" s="841"/>
      <c r="C999" s="842"/>
      <c r="D999" s="842"/>
      <c r="E999" s="842"/>
      <c r="F999" s="1135"/>
      <c r="G999" s="1135"/>
      <c r="H999" s="843"/>
      <c r="I999" s="841"/>
      <c r="J999" s="1135"/>
      <c r="K999" s="841"/>
      <c r="L999" s="841"/>
      <c r="M999" s="841"/>
      <c r="N999" s="841"/>
      <c r="O999" s="841"/>
      <c r="P999" s="841"/>
      <c r="Q999" s="841"/>
      <c r="R999" s="841"/>
    </row>
    <row r="1000" spans="2:18">
      <c r="B1000" s="841"/>
      <c r="C1000" s="842"/>
      <c r="D1000" s="842"/>
      <c r="E1000" s="842"/>
      <c r="F1000" s="1135"/>
      <c r="G1000" s="1135"/>
      <c r="H1000" s="843"/>
      <c r="I1000" s="841"/>
      <c r="J1000" s="1135"/>
      <c r="K1000" s="841"/>
      <c r="L1000" s="841"/>
      <c r="M1000" s="841"/>
      <c r="N1000" s="841"/>
      <c r="O1000" s="841"/>
      <c r="P1000" s="841"/>
      <c r="Q1000" s="841"/>
      <c r="R1000" s="841"/>
    </row>
    <row r="1001" spans="2:18">
      <c r="B1001" s="841"/>
      <c r="C1001" s="842"/>
      <c r="D1001" s="842"/>
      <c r="E1001" s="842"/>
      <c r="F1001" s="1135"/>
      <c r="G1001" s="1135"/>
      <c r="H1001" s="843"/>
      <c r="I1001" s="841"/>
      <c r="J1001" s="1135"/>
      <c r="K1001" s="841"/>
      <c r="L1001" s="841"/>
      <c r="M1001" s="841"/>
      <c r="N1001" s="841"/>
      <c r="O1001" s="841"/>
      <c r="P1001" s="841"/>
      <c r="Q1001" s="841"/>
      <c r="R1001" s="841"/>
    </row>
    <row r="1002" spans="2:18">
      <c r="B1002" s="841"/>
      <c r="C1002" s="842"/>
      <c r="D1002" s="842"/>
      <c r="E1002" s="842"/>
      <c r="F1002" s="1135"/>
      <c r="G1002" s="1135"/>
      <c r="H1002" s="843"/>
      <c r="I1002" s="841"/>
      <c r="J1002" s="1135"/>
      <c r="K1002" s="841"/>
      <c r="L1002" s="841"/>
      <c r="M1002" s="841"/>
      <c r="N1002" s="841"/>
      <c r="O1002" s="841"/>
      <c r="P1002" s="841"/>
      <c r="Q1002" s="841"/>
      <c r="R1002" s="841"/>
    </row>
    <row r="1003" spans="2:18">
      <c r="B1003" s="841"/>
      <c r="C1003" s="842"/>
      <c r="D1003" s="842"/>
      <c r="E1003" s="842"/>
      <c r="F1003" s="1135"/>
      <c r="G1003" s="1135"/>
      <c r="H1003" s="843"/>
      <c r="I1003" s="841"/>
      <c r="J1003" s="1135"/>
      <c r="K1003" s="841"/>
      <c r="L1003" s="841"/>
      <c r="M1003" s="841"/>
      <c r="N1003" s="841"/>
      <c r="O1003" s="841"/>
      <c r="P1003" s="841"/>
      <c r="Q1003" s="841"/>
      <c r="R1003" s="841"/>
    </row>
    <row r="1004" spans="2:18">
      <c r="B1004" s="841"/>
      <c r="C1004" s="842"/>
      <c r="D1004" s="842"/>
      <c r="E1004" s="842"/>
      <c r="F1004" s="1135"/>
      <c r="G1004" s="1135"/>
      <c r="H1004" s="843"/>
      <c r="I1004" s="841"/>
      <c r="J1004" s="1135"/>
      <c r="K1004" s="841"/>
      <c r="L1004" s="841"/>
      <c r="M1004" s="841"/>
      <c r="N1004" s="841"/>
      <c r="O1004" s="841"/>
      <c r="P1004" s="841"/>
      <c r="Q1004" s="841"/>
      <c r="R1004" s="841"/>
    </row>
    <row r="1005" spans="2:18">
      <c r="B1005" s="841"/>
      <c r="C1005" s="842"/>
      <c r="D1005" s="842"/>
      <c r="E1005" s="842"/>
      <c r="F1005" s="1135"/>
      <c r="G1005" s="1135"/>
      <c r="H1005" s="843"/>
      <c r="I1005" s="841"/>
      <c r="J1005" s="1135"/>
      <c r="K1005" s="841"/>
      <c r="L1005" s="841"/>
      <c r="M1005" s="841"/>
      <c r="N1005" s="841"/>
      <c r="O1005" s="841"/>
      <c r="P1005" s="841"/>
      <c r="Q1005" s="841"/>
      <c r="R1005" s="841"/>
    </row>
    <row r="1006" spans="2:18">
      <c r="B1006" s="841"/>
      <c r="C1006" s="842"/>
      <c r="D1006" s="842"/>
      <c r="E1006" s="842"/>
      <c r="F1006" s="1135"/>
      <c r="G1006" s="1135"/>
      <c r="H1006" s="843"/>
      <c r="I1006" s="841"/>
      <c r="J1006" s="1135"/>
      <c r="K1006" s="841"/>
      <c r="L1006" s="841"/>
      <c r="M1006" s="841"/>
      <c r="N1006" s="841"/>
      <c r="O1006" s="841"/>
      <c r="P1006" s="841"/>
      <c r="Q1006" s="841"/>
      <c r="R1006" s="841"/>
    </row>
    <row r="1007" spans="2:18">
      <c r="B1007" s="841"/>
      <c r="C1007" s="842"/>
      <c r="D1007" s="842"/>
      <c r="E1007" s="842"/>
      <c r="F1007" s="1135"/>
      <c r="G1007" s="1135"/>
      <c r="H1007" s="843"/>
      <c r="I1007" s="841"/>
      <c r="J1007" s="1135"/>
      <c r="K1007" s="841"/>
      <c r="L1007" s="841"/>
      <c r="M1007" s="841"/>
      <c r="N1007" s="841"/>
      <c r="O1007" s="841"/>
      <c r="P1007" s="841"/>
      <c r="Q1007" s="841"/>
      <c r="R1007" s="841"/>
    </row>
    <row r="1008" spans="2:18">
      <c r="B1008" s="841"/>
      <c r="C1008" s="842"/>
      <c r="D1008" s="842"/>
      <c r="E1008" s="842"/>
      <c r="F1008" s="1135"/>
      <c r="G1008" s="1135"/>
      <c r="H1008" s="843"/>
      <c r="I1008" s="841"/>
      <c r="J1008" s="1135"/>
      <c r="K1008" s="841"/>
      <c r="L1008" s="841"/>
      <c r="M1008" s="841"/>
      <c r="N1008" s="841"/>
      <c r="O1008" s="841"/>
      <c r="P1008" s="841"/>
      <c r="Q1008" s="841"/>
      <c r="R1008" s="841"/>
    </row>
    <row r="1009" spans="2:18">
      <c r="B1009" s="841"/>
      <c r="C1009" s="842"/>
      <c r="D1009" s="842"/>
      <c r="E1009" s="842"/>
      <c r="F1009" s="1135"/>
      <c r="G1009" s="1135"/>
      <c r="H1009" s="843"/>
      <c r="I1009" s="841"/>
      <c r="J1009" s="1135"/>
      <c r="K1009" s="841"/>
      <c r="L1009" s="841"/>
      <c r="M1009" s="841"/>
      <c r="N1009" s="841"/>
      <c r="O1009" s="841"/>
      <c r="P1009" s="841"/>
      <c r="Q1009" s="841"/>
      <c r="R1009" s="841"/>
    </row>
    <row r="1010" spans="2:18">
      <c r="B1010" s="841"/>
      <c r="C1010" s="842"/>
      <c r="D1010" s="842"/>
      <c r="E1010" s="842"/>
      <c r="F1010" s="1135"/>
      <c r="G1010" s="1135"/>
      <c r="H1010" s="843"/>
      <c r="I1010" s="841"/>
      <c r="J1010" s="1135"/>
      <c r="K1010" s="841"/>
      <c r="L1010" s="841"/>
      <c r="M1010" s="841"/>
      <c r="N1010" s="841"/>
      <c r="O1010" s="841"/>
      <c r="P1010" s="841"/>
      <c r="Q1010" s="841"/>
      <c r="R1010" s="841"/>
    </row>
    <row r="1011" spans="2:18">
      <c r="B1011" s="841"/>
      <c r="C1011" s="842"/>
      <c r="D1011" s="842"/>
      <c r="E1011" s="842"/>
      <c r="F1011" s="1135"/>
      <c r="G1011" s="1135"/>
      <c r="H1011" s="843"/>
      <c r="I1011" s="841"/>
      <c r="J1011" s="1135"/>
      <c r="K1011" s="841"/>
      <c r="L1011" s="841"/>
      <c r="M1011" s="841"/>
      <c r="N1011" s="841"/>
      <c r="O1011" s="841"/>
      <c r="P1011" s="841"/>
      <c r="Q1011" s="841"/>
      <c r="R1011" s="841"/>
    </row>
    <row r="1012" spans="2:18">
      <c r="B1012" s="841"/>
      <c r="C1012" s="842"/>
      <c r="D1012" s="842"/>
      <c r="E1012" s="842"/>
      <c r="F1012" s="1135"/>
      <c r="G1012" s="1135"/>
      <c r="H1012" s="843"/>
      <c r="I1012" s="841"/>
      <c r="J1012" s="1135"/>
      <c r="K1012" s="841"/>
      <c r="L1012" s="841"/>
      <c r="M1012" s="841"/>
      <c r="N1012" s="841"/>
      <c r="O1012" s="841"/>
      <c r="P1012" s="841"/>
      <c r="Q1012" s="841"/>
      <c r="R1012" s="841"/>
    </row>
    <row r="1013" spans="2:18">
      <c r="B1013" s="841"/>
      <c r="C1013" s="842"/>
      <c r="D1013" s="842"/>
      <c r="E1013" s="842"/>
      <c r="F1013" s="1135"/>
      <c r="G1013" s="1135"/>
      <c r="H1013" s="843"/>
      <c r="I1013" s="841"/>
      <c r="J1013" s="1135"/>
      <c r="K1013" s="841"/>
      <c r="L1013" s="841"/>
      <c r="M1013" s="841"/>
      <c r="N1013" s="841"/>
      <c r="O1013" s="841"/>
      <c r="P1013" s="841"/>
      <c r="Q1013" s="841"/>
      <c r="R1013" s="841"/>
    </row>
    <row r="1014" spans="2:18">
      <c r="B1014" s="841"/>
      <c r="C1014" s="842"/>
      <c r="D1014" s="842"/>
      <c r="E1014" s="842"/>
      <c r="F1014" s="1135"/>
      <c r="G1014" s="1135"/>
      <c r="H1014" s="843"/>
      <c r="I1014" s="841"/>
      <c r="J1014" s="1135"/>
      <c r="K1014" s="841"/>
      <c r="L1014" s="841"/>
      <c r="M1014" s="841"/>
      <c r="N1014" s="841"/>
      <c r="O1014" s="841"/>
      <c r="P1014" s="841"/>
      <c r="Q1014" s="841"/>
      <c r="R1014" s="841"/>
    </row>
    <row r="1015" spans="2:18">
      <c r="B1015" s="841"/>
      <c r="C1015" s="842"/>
      <c r="D1015" s="842"/>
      <c r="E1015" s="842"/>
      <c r="F1015" s="1135"/>
      <c r="G1015" s="1135"/>
      <c r="H1015" s="843"/>
      <c r="I1015" s="841"/>
      <c r="J1015" s="1135"/>
      <c r="K1015" s="841"/>
      <c r="L1015" s="841"/>
      <c r="M1015" s="841"/>
      <c r="N1015" s="841"/>
      <c r="O1015" s="841"/>
      <c r="P1015" s="841"/>
      <c r="Q1015" s="841"/>
      <c r="R1015" s="841"/>
    </row>
    <row r="1016" spans="2:18">
      <c r="B1016" s="841"/>
      <c r="C1016" s="842"/>
      <c r="D1016" s="842"/>
      <c r="E1016" s="842"/>
      <c r="F1016" s="1135"/>
      <c r="G1016" s="1135"/>
      <c r="H1016" s="843"/>
      <c r="I1016" s="841"/>
      <c r="J1016" s="1135"/>
      <c r="K1016" s="841"/>
      <c r="L1016" s="841"/>
      <c r="M1016" s="841"/>
      <c r="N1016" s="841"/>
      <c r="O1016" s="841"/>
      <c r="P1016" s="841"/>
      <c r="Q1016" s="841"/>
      <c r="R1016" s="841"/>
    </row>
    <row r="1017" spans="2:18">
      <c r="B1017" s="841"/>
      <c r="C1017" s="842"/>
      <c r="D1017" s="842"/>
      <c r="E1017" s="842"/>
      <c r="F1017" s="1135"/>
      <c r="G1017" s="1135"/>
      <c r="H1017" s="843"/>
      <c r="I1017" s="841"/>
      <c r="J1017" s="1135"/>
      <c r="K1017" s="841"/>
      <c r="L1017" s="841"/>
      <c r="M1017" s="841"/>
      <c r="N1017" s="841"/>
      <c r="O1017" s="841"/>
      <c r="P1017" s="841"/>
      <c r="Q1017" s="841"/>
      <c r="R1017" s="841"/>
    </row>
    <row r="1018" spans="2:18">
      <c r="B1018" s="841"/>
      <c r="C1018" s="842"/>
      <c r="D1018" s="842"/>
      <c r="E1018" s="842"/>
      <c r="F1018" s="1135"/>
      <c r="G1018" s="1135"/>
      <c r="H1018" s="843"/>
      <c r="I1018" s="841"/>
      <c r="J1018" s="1135"/>
      <c r="K1018" s="841"/>
      <c r="L1018" s="841"/>
      <c r="M1018" s="841"/>
      <c r="N1018" s="841"/>
      <c r="O1018" s="841"/>
      <c r="P1018" s="841"/>
      <c r="Q1018" s="841"/>
      <c r="R1018" s="841"/>
    </row>
    <row r="1019" spans="2:18">
      <c r="B1019" s="841"/>
      <c r="C1019" s="842"/>
      <c r="D1019" s="842"/>
      <c r="E1019" s="842"/>
      <c r="F1019" s="1135"/>
      <c r="G1019" s="1135"/>
      <c r="H1019" s="843"/>
      <c r="I1019" s="841"/>
      <c r="J1019" s="1135"/>
      <c r="K1019" s="841"/>
      <c r="L1019" s="841"/>
      <c r="M1019" s="841"/>
      <c r="N1019" s="841"/>
      <c r="O1019" s="841"/>
      <c r="P1019" s="841"/>
      <c r="Q1019" s="841"/>
      <c r="R1019" s="841"/>
    </row>
    <row r="1020" spans="2:18">
      <c r="B1020" s="841"/>
      <c r="C1020" s="842"/>
      <c r="D1020" s="842"/>
      <c r="E1020" s="842"/>
      <c r="F1020" s="1135"/>
      <c r="G1020" s="1135"/>
      <c r="H1020" s="843"/>
      <c r="I1020" s="841"/>
      <c r="J1020" s="1135"/>
      <c r="K1020" s="841"/>
      <c r="L1020" s="841"/>
      <c r="M1020" s="841"/>
      <c r="N1020" s="841"/>
      <c r="O1020" s="841"/>
      <c r="P1020" s="841"/>
      <c r="Q1020" s="841"/>
      <c r="R1020" s="841"/>
    </row>
    <row r="1021" spans="2:18">
      <c r="B1021" s="841"/>
      <c r="C1021" s="842"/>
      <c r="D1021" s="842"/>
      <c r="E1021" s="842"/>
      <c r="F1021" s="1135"/>
      <c r="G1021" s="1135"/>
      <c r="H1021" s="843"/>
      <c r="I1021" s="841"/>
      <c r="J1021" s="1135"/>
      <c r="K1021" s="841"/>
      <c r="L1021" s="841"/>
      <c r="M1021" s="841"/>
      <c r="N1021" s="841"/>
      <c r="O1021" s="841"/>
      <c r="P1021" s="841"/>
      <c r="Q1021" s="841"/>
      <c r="R1021" s="841"/>
    </row>
    <row r="1022" spans="2:18">
      <c r="B1022" s="841"/>
      <c r="C1022" s="842"/>
      <c r="D1022" s="842"/>
      <c r="E1022" s="842"/>
      <c r="F1022" s="1135"/>
      <c r="G1022" s="1135"/>
      <c r="H1022" s="843"/>
      <c r="I1022" s="841"/>
      <c r="J1022" s="1135"/>
      <c r="K1022" s="841"/>
      <c r="L1022" s="841"/>
      <c r="M1022" s="841"/>
      <c r="N1022" s="841"/>
      <c r="O1022" s="841"/>
      <c r="P1022" s="841"/>
      <c r="Q1022" s="841"/>
      <c r="R1022" s="841"/>
    </row>
    <row r="1023" spans="2:18">
      <c r="B1023" s="841"/>
      <c r="C1023" s="842"/>
      <c r="D1023" s="842"/>
      <c r="E1023" s="842"/>
      <c r="F1023" s="1135"/>
      <c r="G1023" s="1135"/>
      <c r="H1023" s="843"/>
      <c r="I1023" s="841"/>
      <c r="J1023" s="1135"/>
      <c r="K1023" s="841"/>
      <c r="L1023" s="841"/>
      <c r="M1023" s="841"/>
      <c r="N1023" s="841"/>
      <c r="O1023" s="841"/>
      <c r="P1023" s="841"/>
      <c r="Q1023" s="841"/>
      <c r="R1023" s="841"/>
    </row>
    <row r="1024" spans="2:18">
      <c r="B1024" s="841"/>
      <c r="C1024" s="842"/>
      <c r="D1024" s="842"/>
      <c r="E1024" s="842"/>
      <c r="F1024" s="1135"/>
      <c r="G1024" s="1135"/>
      <c r="H1024" s="843"/>
      <c r="I1024" s="841"/>
      <c r="J1024" s="1135"/>
      <c r="K1024" s="841"/>
      <c r="L1024" s="841"/>
      <c r="M1024" s="841"/>
      <c r="N1024" s="841"/>
      <c r="O1024" s="841"/>
      <c r="P1024" s="841"/>
      <c r="Q1024" s="841"/>
      <c r="R1024" s="841"/>
    </row>
    <row r="1025" spans="2:18">
      <c r="B1025" s="841"/>
      <c r="C1025" s="842"/>
      <c r="D1025" s="842"/>
      <c r="E1025" s="842"/>
      <c r="F1025" s="1135"/>
      <c r="G1025" s="1135"/>
      <c r="H1025" s="843"/>
      <c r="I1025" s="841"/>
      <c r="J1025" s="1135"/>
      <c r="K1025" s="841"/>
      <c r="L1025" s="841"/>
      <c r="M1025" s="841"/>
      <c r="N1025" s="841"/>
      <c r="O1025" s="841"/>
      <c r="P1025" s="841"/>
      <c r="Q1025" s="841"/>
      <c r="R1025" s="841"/>
    </row>
    <row r="1026" spans="2:18">
      <c r="B1026" s="841"/>
      <c r="C1026" s="842"/>
      <c r="D1026" s="842"/>
      <c r="E1026" s="842"/>
      <c r="F1026" s="1135"/>
      <c r="G1026" s="1135"/>
      <c r="H1026" s="843"/>
      <c r="I1026" s="841"/>
      <c r="J1026" s="1135"/>
      <c r="K1026" s="841"/>
      <c r="L1026" s="841"/>
      <c r="M1026" s="841"/>
      <c r="N1026" s="841"/>
      <c r="O1026" s="841"/>
      <c r="P1026" s="841"/>
      <c r="Q1026" s="841"/>
      <c r="R1026" s="841"/>
    </row>
    <row r="1027" spans="2:18">
      <c r="B1027" s="841"/>
      <c r="C1027" s="842"/>
      <c r="D1027" s="842"/>
      <c r="E1027" s="842"/>
      <c r="F1027" s="1135"/>
      <c r="G1027" s="1135"/>
      <c r="H1027" s="843"/>
      <c r="I1027" s="841"/>
      <c r="J1027" s="1135"/>
      <c r="K1027" s="841"/>
      <c r="L1027" s="841"/>
      <c r="M1027" s="841"/>
      <c r="N1027" s="841"/>
      <c r="O1027" s="841"/>
      <c r="P1027" s="841"/>
      <c r="Q1027" s="841"/>
      <c r="R1027" s="841"/>
    </row>
    <row r="1028" spans="2:18">
      <c r="B1028" s="841"/>
      <c r="C1028" s="842"/>
      <c r="D1028" s="842"/>
      <c r="E1028" s="842"/>
      <c r="F1028" s="1135"/>
      <c r="G1028" s="1135"/>
      <c r="H1028" s="843"/>
      <c r="I1028" s="841"/>
      <c r="J1028" s="1135"/>
      <c r="K1028" s="841"/>
      <c r="L1028" s="841"/>
      <c r="M1028" s="841"/>
      <c r="N1028" s="841"/>
      <c r="O1028" s="841"/>
      <c r="P1028" s="841"/>
      <c r="Q1028" s="841"/>
      <c r="R1028" s="841"/>
    </row>
    <row r="1029" spans="2:18">
      <c r="B1029" s="841"/>
      <c r="C1029" s="842"/>
      <c r="D1029" s="842"/>
      <c r="E1029" s="842"/>
      <c r="F1029" s="1135"/>
      <c r="G1029" s="1135"/>
      <c r="H1029" s="843"/>
      <c r="I1029" s="841"/>
      <c r="J1029" s="1135"/>
      <c r="K1029" s="841"/>
      <c r="L1029" s="841"/>
      <c r="M1029" s="841"/>
      <c r="N1029" s="841"/>
      <c r="O1029" s="841"/>
      <c r="P1029" s="841"/>
      <c r="Q1029" s="841"/>
      <c r="R1029" s="841"/>
    </row>
    <row r="1030" spans="2:18">
      <c r="B1030" s="841"/>
      <c r="C1030" s="842"/>
      <c r="D1030" s="842"/>
      <c r="E1030" s="842"/>
      <c r="F1030" s="1135"/>
      <c r="G1030" s="1135"/>
      <c r="H1030" s="843"/>
      <c r="I1030" s="841"/>
      <c r="J1030" s="1135"/>
      <c r="K1030" s="841"/>
      <c r="L1030" s="841"/>
      <c r="M1030" s="841"/>
      <c r="N1030" s="841"/>
      <c r="O1030" s="841"/>
      <c r="P1030" s="841"/>
      <c r="Q1030" s="841"/>
      <c r="R1030" s="841"/>
    </row>
    <row r="1031" spans="2:18">
      <c r="B1031" s="841"/>
      <c r="C1031" s="842"/>
      <c r="D1031" s="842"/>
      <c r="E1031" s="842"/>
      <c r="F1031" s="1135"/>
      <c r="G1031" s="1135"/>
      <c r="H1031" s="843"/>
      <c r="I1031" s="841"/>
      <c r="J1031" s="1135"/>
      <c r="K1031" s="841"/>
      <c r="L1031" s="841"/>
      <c r="M1031" s="841"/>
      <c r="N1031" s="841"/>
      <c r="O1031" s="841"/>
      <c r="P1031" s="841"/>
      <c r="Q1031" s="841"/>
      <c r="R1031" s="841"/>
    </row>
    <row r="1032" spans="2:18">
      <c r="B1032" s="841"/>
      <c r="C1032" s="842"/>
      <c r="D1032" s="842"/>
      <c r="E1032" s="842"/>
      <c r="F1032" s="1135"/>
      <c r="G1032" s="1135"/>
      <c r="H1032" s="843"/>
      <c r="I1032" s="841"/>
      <c r="J1032" s="1135"/>
      <c r="K1032" s="841"/>
      <c r="L1032" s="841"/>
      <c r="M1032" s="841"/>
      <c r="N1032" s="841"/>
      <c r="O1032" s="841"/>
      <c r="P1032" s="841"/>
      <c r="Q1032" s="841"/>
      <c r="R1032" s="841"/>
    </row>
    <row r="1033" spans="2:18">
      <c r="B1033" s="841"/>
      <c r="C1033" s="842"/>
      <c r="D1033" s="842"/>
      <c r="E1033" s="842"/>
      <c r="F1033" s="1135"/>
      <c r="G1033" s="1135"/>
      <c r="H1033" s="843"/>
      <c r="I1033" s="841"/>
      <c r="J1033" s="1135"/>
      <c r="K1033" s="841"/>
      <c r="L1033" s="841"/>
      <c r="M1033" s="841"/>
      <c r="N1033" s="841"/>
      <c r="O1033" s="841"/>
      <c r="P1033" s="841"/>
      <c r="Q1033" s="841"/>
      <c r="R1033" s="841"/>
    </row>
    <row r="1034" spans="2:18">
      <c r="B1034" s="841"/>
      <c r="C1034" s="842"/>
      <c r="D1034" s="842"/>
      <c r="E1034" s="842"/>
      <c r="F1034" s="1135"/>
      <c r="G1034" s="1135"/>
      <c r="H1034" s="843"/>
      <c r="I1034" s="841"/>
      <c r="J1034" s="1135"/>
      <c r="K1034" s="841"/>
      <c r="L1034" s="841"/>
      <c r="M1034" s="841"/>
      <c r="N1034" s="841"/>
      <c r="O1034" s="841"/>
      <c r="P1034" s="841"/>
      <c r="Q1034" s="841"/>
      <c r="R1034" s="841"/>
    </row>
    <row r="1035" spans="2:18">
      <c r="B1035" s="841"/>
      <c r="C1035" s="842"/>
      <c r="D1035" s="842"/>
      <c r="E1035" s="842"/>
      <c r="F1035" s="1135"/>
      <c r="G1035" s="1135"/>
      <c r="H1035" s="843"/>
      <c r="I1035" s="841"/>
      <c r="J1035" s="1135"/>
      <c r="K1035" s="841"/>
      <c r="L1035" s="841"/>
      <c r="M1035" s="841"/>
      <c r="N1035" s="841"/>
      <c r="O1035" s="841"/>
      <c r="P1035" s="841"/>
      <c r="Q1035" s="841"/>
      <c r="R1035" s="841"/>
    </row>
    <row r="1036" spans="2:18">
      <c r="B1036" s="841"/>
      <c r="C1036" s="842"/>
      <c r="D1036" s="842"/>
      <c r="E1036" s="842"/>
      <c r="F1036" s="1135"/>
      <c r="G1036" s="1135"/>
      <c r="H1036" s="843"/>
      <c r="I1036" s="841"/>
      <c r="J1036" s="1135"/>
      <c r="K1036" s="841"/>
      <c r="L1036" s="841"/>
      <c r="M1036" s="841"/>
      <c r="N1036" s="841"/>
      <c r="O1036" s="841"/>
      <c r="P1036" s="841"/>
      <c r="Q1036" s="841"/>
      <c r="R1036" s="841"/>
    </row>
    <row r="1037" spans="2:18">
      <c r="B1037" s="841"/>
      <c r="C1037" s="842"/>
      <c r="D1037" s="842"/>
      <c r="E1037" s="842"/>
      <c r="F1037" s="1135"/>
      <c r="G1037" s="1135"/>
      <c r="H1037" s="843"/>
      <c r="I1037" s="841"/>
      <c r="J1037" s="1135"/>
      <c r="K1037" s="841"/>
      <c r="L1037" s="841"/>
      <c r="M1037" s="841"/>
      <c r="N1037" s="841"/>
      <c r="O1037" s="841"/>
      <c r="P1037" s="841"/>
      <c r="Q1037" s="841"/>
      <c r="R1037" s="841"/>
    </row>
    <row r="1038" spans="2:18">
      <c r="B1038" s="841"/>
      <c r="C1038" s="842"/>
      <c r="D1038" s="842"/>
      <c r="E1038" s="842"/>
      <c r="F1038" s="1135"/>
      <c r="G1038" s="1135"/>
      <c r="H1038" s="843"/>
      <c r="I1038" s="841"/>
      <c r="J1038" s="1135"/>
      <c r="K1038" s="841"/>
      <c r="L1038" s="841"/>
      <c r="M1038" s="841"/>
      <c r="N1038" s="841"/>
      <c r="O1038" s="841"/>
      <c r="P1038" s="841"/>
      <c r="Q1038" s="841"/>
      <c r="R1038" s="841"/>
    </row>
    <row r="1039" spans="2:18">
      <c r="B1039" s="841"/>
      <c r="C1039" s="842"/>
      <c r="D1039" s="842"/>
      <c r="E1039" s="842"/>
      <c r="F1039" s="1135"/>
      <c r="G1039" s="1135"/>
      <c r="H1039" s="843"/>
      <c r="I1039" s="841"/>
      <c r="J1039" s="1135"/>
      <c r="K1039" s="841"/>
      <c r="L1039" s="841"/>
      <c r="M1039" s="841"/>
      <c r="N1039" s="841"/>
      <c r="O1039" s="841"/>
      <c r="P1039" s="841"/>
      <c r="Q1039" s="841"/>
      <c r="R1039" s="841"/>
    </row>
    <row r="1040" spans="2:18">
      <c r="B1040" s="841"/>
      <c r="C1040" s="842"/>
      <c r="D1040" s="842"/>
      <c r="E1040" s="842"/>
      <c r="F1040" s="1135"/>
      <c r="G1040" s="1135"/>
      <c r="H1040" s="843"/>
      <c r="I1040" s="841"/>
      <c r="J1040" s="1135"/>
      <c r="K1040" s="841"/>
      <c r="L1040" s="841"/>
      <c r="M1040" s="841"/>
      <c r="N1040" s="841"/>
      <c r="O1040" s="841"/>
      <c r="P1040" s="841"/>
      <c r="Q1040" s="841"/>
      <c r="R1040" s="841"/>
    </row>
    <row r="1041" spans="2:18">
      <c r="B1041" s="841"/>
      <c r="C1041" s="842"/>
      <c r="D1041" s="842"/>
      <c r="E1041" s="842"/>
      <c r="F1041" s="1135"/>
      <c r="G1041" s="1135"/>
      <c r="H1041" s="843"/>
      <c r="I1041" s="841"/>
      <c r="J1041" s="1135"/>
      <c r="K1041" s="841"/>
      <c r="L1041" s="841"/>
      <c r="M1041" s="841"/>
      <c r="N1041" s="841"/>
      <c r="O1041" s="841"/>
      <c r="P1041" s="841"/>
      <c r="Q1041" s="841"/>
      <c r="R1041" s="841"/>
    </row>
    <row r="1042" spans="2:18">
      <c r="B1042" s="841"/>
      <c r="C1042" s="842"/>
      <c r="D1042" s="842"/>
      <c r="E1042" s="842"/>
      <c r="F1042" s="1135"/>
      <c r="G1042" s="1135"/>
      <c r="H1042" s="843"/>
      <c r="I1042" s="841"/>
      <c r="J1042" s="1135"/>
      <c r="K1042" s="841"/>
      <c r="L1042" s="841"/>
      <c r="M1042" s="841"/>
      <c r="N1042" s="841"/>
      <c r="O1042" s="841"/>
      <c r="P1042" s="841"/>
      <c r="Q1042" s="841"/>
      <c r="R1042" s="841"/>
    </row>
    <row r="1043" spans="2:18">
      <c r="B1043" s="841"/>
      <c r="C1043" s="842"/>
      <c r="D1043" s="842"/>
      <c r="E1043" s="842"/>
      <c r="F1043" s="1135"/>
      <c r="G1043" s="1135"/>
      <c r="H1043" s="843"/>
      <c r="I1043" s="841"/>
      <c r="J1043" s="1135"/>
      <c r="K1043" s="841"/>
      <c r="L1043" s="841"/>
      <c r="M1043" s="841"/>
      <c r="N1043" s="841"/>
      <c r="O1043" s="841"/>
      <c r="P1043" s="841"/>
      <c r="Q1043" s="841"/>
      <c r="R1043" s="841"/>
    </row>
    <row r="1044" spans="2:18">
      <c r="B1044" s="841"/>
      <c r="C1044" s="842"/>
      <c r="D1044" s="842"/>
      <c r="E1044" s="842"/>
      <c r="F1044" s="1135"/>
      <c r="G1044" s="1135"/>
      <c r="H1044" s="843"/>
      <c r="I1044" s="841"/>
      <c r="J1044" s="1135"/>
      <c r="K1044" s="841"/>
      <c r="L1044" s="841"/>
      <c r="M1044" s="841"/>
      <c r="N1044" s="841"/>
      <c r="O1044" s="841"/>
      <c r="P1044" s="841"/>
      <c r="Q1044" s="841"/>
      <c r="R1044" s="841"/>
    </row>
    <row r="1045" spans="2:18">
      <c r="B1045" s="841"/>
      <c r="C1045" s="842"/>
      <c r="D1045" s="842"/>
      <c r="E1045" s="842"/>
      <c r="F1045" s="1135"/>
      <c r="G1045" s="1135"/>
      <c r="H1045" s="843"/>
      <c r="I1045" s="841"/>
      <c r="J1045" s="1135"/>
      <c r="K1045" s="841"/>
      <c r="L1045" s="841"/>
      <c r="M1045" s="841"/>
      <c r="N1045" s="841"/>
      <c r="O1045" s="841"/>
      <c r="P1045" s="841"/>
      <c r="Q1045" s="841"/>
      <c r="R1045" s="841"/>
    </row>
    <row r="1046" spans="2:18">
      <c r="B1046" s="841"/>
      <c r="C1046" s="842"/>
      <c r="D1046" s="842"/>
      <c r="E1046" s="842"/>
      <c r="F1046" s="1135"/>
      <c r="G1046" s="1135"/>
      <c r="H1046" s="843"/>
      <c r="I1046" s="841"/>
      <c r="J1046" s="1135"/>
      <c r="K1046" s="841"/>
      <c r="L1046" s="841"/>
      <c r="M1046" s="841"/>
      <c r="N1046" s="841"/>
      <c r="O1046" s="841"/>
      <c r="P1046" s="841"/>
      <c r="Q1046" s="841"/>
      <c r="R1046" s="841"/>
    </row>
    <row r="1047" spans="2:18">
      <c r="B1047" s="841"/>
      <c r="C1047" s="842"/>
      <c r="D1047" s="842"/>
      <c r="E1047" s="842"/>
      <c r="F1047" s="1135"/>
      <c r="G1047" s="1135"/>
      <c r="H1047" s="843"/>
      <c r="I1047" s="841"/>
      <c r="J1047" s="1135"/>
      <c r="K1047" s="841"/>
      <c r="L1047" s="841"/>
      <c r="M1047" s="841"/>
      <c r="N1047" s="841"/>
      <c r="O1047" s="841"/>
      <c r="P1047" s="841"/>
      <c r="Q1047" s="841"/>
      <c r="R1047" s="841"/>
    </row>
    <row r="1048" spans="2:18">
      <c r="B1048" s="841"/>
      <c r="C1048" s="842"/>
      <c r="D1048" s="842"/>
      <c r="E1048" s="842"/>
      <c r="F1048" s="1135"/>
      <c r="G1048" s="1135"/>
      <c r="H1048" s="843"/>
      <c r="I1048" s="841"/>
      <c r="J1048" s="1135"/>
      <c r="K1048" s="841"/>
      <c r="L1048" s="841"/>
      <c r="M1048" s="841"/>
      <c r="N1048" s="841"/>
      <c r="O1048" s="841"/>
      <c r="P1048" s="841"/>
      <c r="Q1048" s="841"/>
      <c r="R1048" s="841"/>
    </row>
    <row r="1049" spans="2:18">
      <c r="B1049" s="841"/>
      <c r="C1049" s="842"/>
      <c r="D1049" s="842"/>
      <c r="E1049" s="842"/>
      <c r="F1049" s="1135"/>
      <c r="G1049" s="1135"/>
      <c r="H1049" s="843"/>
      <c r="I1049" s="841"/>
      <c r="J1049" s="1135"/>
      <c r="K1049" s="841"/>
      <c r="L1049" s="841"/>
      <c r="M1049" s="841"/>
      <c r="N1049" s="841"/>
      <c r="O1049" s="841"/>
      <c r="P1049" s="841"/>
      <c r="Q1049" s="841"/>
      <c r="R1049" s="841"/>
    </row>
    <row r="1050" spans="2:18">
      <c r="B1050" s="841"/>
      <c r="C1050" s="842"/>
      <c r="D1050" s="842"/>
      <c r="E1050" s="842"/>
      <c r="F1050" s="1135"/>
      <c r="G1050" s="1135"/>
      <c r="H1050" s="843"/>
      <c r="I1050" s="841"/>
      <c r="J1050" s="1135"/>
      <c r="K1050" s="841"/>
      <c r="L1050" s="841"/>
      <c r="M1050" s="841"/>
      <c r="N1050" s="841"/>
      <c r="O1050" s="841"/>
      <c r="P1050" s="841"/>
      <c r="Q1050" s="841"/>
      <c r="R1050" s="841"/>
    </row>
    <row r="1051" spans="2:18">
      <c r="B1051" s="841"/>
      <c r="C1051" s="842"/>
      <c r="D1051" s="842"/>
      <c r="E1051" s="842"/>
      <c r="F1051" s="1135"/>
      <c r="G1051" s="1135"/>
      <c r="H1051" s="843"/>
      <c r="I1051" s="841"/>
      <c r="J1051" s="1135"/>
      <c r="K1051" s="841"/>
      <c r="L1051" s="841"/>
      <c r="M1051" s="841"/>
      <c r="N1051" s="841"/>
      <c r="O1051" s="841"/>
      <c r="P1051" s="841"/>
      <c r="Q1051" s="841"/>
      <c r="R1051" s="841"/>
    </row>
    <row r="1052" spans="2:18">
      <c r="B1052" s="841"/>
      <c r="C1052" s="842"/>
      <c r="D1052" s="842"/>
      <c r="E1052" s="842"/>
      <c r="F1052" s="1135"/>
      <c r="G1052" s="1135"/>
      <c r="H1052" s="843"/>
      <c r="I1052" s="841"/>
      <c r="J1052" s="1135"/>
      <c r="K1052" s="841"/>
      <c r="L1052" s="841"/>
      <c r="M1052" s="841"/>
      <c r="N1052" s="841"/>
      <c r="O1052" s="841"/>
      <c r="P1052" s="841"/>
      <c r="Q1052" s="841"/>
      <c r="R1052" s="841"/>
    </row>
    <row r="1053" spans="2:18">
      <c r="B1053" s="841"/>
      <c r="C1053" s="842"/>
      <c r="D1053" s="842"/>
      <c r="E1053" s="842"/>
      <c r="F1053" s="1135"/>
      <c r="G1053" s="1135"/>
      <c r="H1053" s="843"/>
      <c r="I1053" s="841"/>
      <c r="J1053" s="1135"/>
      <c r="K1053" s="841"/>
      <c r="L1053" s="841"/>
      <c r="M1053" s="841"/>
      <c r="N1053" s="841"/>
      <c r="O1053" s="841"/>
      <c r="P1053" s="841"/>
      <c r="Q1053" s="841"/>
      <c r="R1053" s="841"/>
    </row>
    <row r="1054" spans="2:18">
      <c r="B1054" s="841"/>
      <c r="C1054" s="842"/>
      <c r="D1054" s="842"/>
      <c r="E1054" s="842"/>
      <c r="F1054" s="1135"/>
      <c r="G1054" s="1135"/>
      <c r="H1054" s="843"/>
      <c r="I1054" s="841"/>
      <c r="J1054" s="1135"/>
      <c r="K1054" s="841"/>
      <c r="L1054" s="841"/>
      <c r="M1054" s="841"/>
      <c r="N1054" s="841"/>
      <c r="O1054" s="841"/>
      <c r="P1054" s="841"/>
      <c r="Q1054" s="841"/>
      <c r="R1054" s="841"/>
    </row>
    <row r="1055" spans="2:18">
      <c r="B1055" s="841"/>
      <c r="C1055" s="842"/>
      <c r="D1055" s="842"/>
      <c r="E1055" s="842"/>
      <c r="F1055" s="1135"/>
      <c r="G1055" s="1135"/>
      <c r="H1055" s="843"/>
      <c r="I1055" s="841"/>
      <c r="J1055" s="1135"/>
      <c r="K1055" s="841"/>
      <c r="L1055" s="841"/>
      <c r="M1055" s="841"/>
      <c r="N1055" s="841"/>
      <c r="O1055" s="841"/>
      <c r="P1055" s="841"/>
      <c r="Q1055" s="841"/>
      <c r="R1055" s="841"/>
    </row>
    <row r="1056" spans="2:18">
      <c r="B1056" s="841"/>
      <c r="C1056" s="842"/>
      <c r="D1056" s="842"/>
      <c r="E1056" s="842"/>
      <c r="F1056" s="1135"/>
      <c r="G1056" s="1135"/>
      <c r="H1056" s="843"/>
      <c r="I1056" s="841"/>
      <c r="J1056" s="1135"/>
      <c r="K1056" s="841"/>
      <c r="L1056" s="841"/>
      <c r="M1056" s="841"/>
      <c r="N1056" s="841"/>
      <c r="O1056" s="841"/>
      <c r="P1056" s="841"/>
      <c r="Q1056" s="841"/>
      <c r="R1056" s="841"/>
    </row>
    <row r="1057" spans="2:18">
      <c r="B1057" s="841"/>
      <c r="C1057" s="842"/>
      <c r="D1057" s="842"/>
      <c r="E1057" s="842"/>
      <c r="F1057" s="1135"/>
      <c r="G1057" s="1135"/>
      <c r="H1057" s="843"/>
      <c r="I1057" s="841"/>
      <c r="J1057" s="1135"/>
      <c r="K1057" s="841"/>
      <c r="L1057" s="841"/>
      <c r="M1057" s="841"/>
      <c r="N1057" s="841"/>
      <c r="O1057" s="841"/>
      <c r="P1057" s="841"/>
      <c r="Q1057" s="841"/>
      <c r="R1057" s="841"/>
    </row>
    <row r="1058" spans="2:18">
      <c r="B1058" s="841"/>
      <c r="C1058" s="842"/>
      <c r="D1058" s="842"/>
      <c r="E1058" s="842"/>
      <c r="F1058" s="1135"/>
      <c r="G1058" s="1135"/>
      <c r="H1058" s="843"/>
      <c r="I1058" s="841"/>
      <c r="J1058" s="1135"/>
      <c r="K1058" s="841"/>
      <c r="L1058" s="841"/>
      <c r="M1058" s="841"/>
      <c r="N1058" s="841"/>
      <c r="O1058" s="841"/>
      <c r="P1058" s="841"/>
      <c r="Q1058" s="841"/>
      <c r="R1058" s="841"/>
    </row>
    <row r="1059" spans="2:18">
      <c r="B1059" s="841"/>
      <c r="C1059" s="842"/>
      <c r="D1059" s="842"/>
      <c r="E1059" s="842"/>
      <c r="F1059" s="1135"/>
      <c r="G1059" s="1135"/>
      <c r="H1059" s="843"/>
      <c r="I1059" s="841"/>
      <c r="J1059" s="1135"/>
      <c r="K1059" s="841"/>
      <c r="L1059" s="841"/>
      <c r="M1059" s="841"/>
      <c r="N1059" s="841"/>
      <c r="O1059" s="841"/>
      <c r="P1059" s="841"/>
      <c r="Q1059" s="841"/>
      <c r="R1059" s="841"/>
    </row>
    <row r="1060" spans="2:18">
      <c r="B1060" s="841"/>
      <c r="C1060" s="842"/>
      <c r="D1060" s="842"/>
      <c r="E1060" s="842"/>
      <c r="F1060" s="1135"/>
      <c r="G1060" s="1135"/>
      <c r="H1060" s="843"/>
      <c r="I1060" s="841"/>
      <c r="J1060" s="1135"/>
      <c r="K1060" s="841"/>
      <c r="L1060" s="841"/>
      <c r="M1060" s="841"/>
      <c r="N1060" s="841"/>
      <c r="O1060" s="841"/>
      <c r="P1060" s="841"/>
      <c r="Q1060" s="841"/>
      <c r="R1060" s="841"/>
    </row>
    <row r="1061" spans="2:18">
      <c r="B1061" s="841"/>
      <c r="C1061" s="842"/>
      <c r="D1061" s="842"/>
      <c r="E1061" s="842"/>
      <c r="F1061" s="1135"/>
      <c r="G1061" s="1135"/>
      <c r="H1061" s="843"/>
      <c r="I1061" s="841"/>
      <c r="J1061" s="1135"/>
      <c r="K1061" s="841"/>
      <c r="L1061" s="841"/>
      <c r="M1061" s="841"/>
      <c r="N1061" s="841"/>
      <c r="O1061" s="841"/>
      <c r="P1061" s="841"/>
      <c r="Q1061" s="841"/>
      <c r="R1061" s="841"/>
    </row>
    <row r="1062" spans="2:18">
      <c r="B1062" s="841"/>
      <c r="C1062" s="842"/>
      <c r="D1062" s="842"/>
      <c r="E1062" s="842"/>
      <c r="F1062" s="1135"/>
      <c r="G1062" s="1135"/>
      <c r="H1062" s="843"/>
      <c r="I1062" s="841"/>
      <c r="J1062" s="1135"/>
      <c r="K1062" s="841"/>
      <c r="L1062" s="841"/>
      <c r="M1062" s="841"/>
      <c r="N1062" s="841"/>
      <c r="O1062" s="841"/>
      <c r="P1062" s="841"/>
      <c r="Q1062" s="841"/>
      <c r="R1062" s="841"/>
    </row>
    <row r="1063" spans="2:18">
      <c r="B1063" s="841"/>
      <c r="C1063" s="842"/>
      <c r="D1063" s="842"/>
      <c r="E1063" s="842"/>
      <c r="F1063" s="1135"/>
      <c r="G1063" s="1135"/>
      <c r="H1063" s="843"/>
      <c r="I1063" s="841"/>
      <c r="J1063" s="1135"/>
      <c r="K1063" s="841"/>
      <c r="L1063" s="841"/>
      <c r="M1063" s="841"/>
      <c r="N1063" s="841"/>
      <c r="O1063" s="841"/>
      <c r="P1063" s="841"/>
      <c r="Q1063" s="841"/>
      <c r="R1063" s="841"/>
    </row>
    <row r="1064" spans="2:18">
      <c r="B1064" s="841"/>
      <c r="C1064" s="842"/>
      <c r="D1064" s="842"/>
      <c r="E1064" s="842"/>
      <c r="F1064" s="1135"/>
      <c r="G1064" s="1135"/>
      <c r="H1064" s="843"/>
      <c r="I1064" s="841"/>
      <c r="J1064" s="1135"/>
      <c r="K1064" s="841"/>
      <c r="L1064" s="841"/>
      <c r="M1064" s="841"/>
      <c r="N1064" s="841"/>
      <c r="O1064" s="841"/>
      <c r="P1064" s="841"/>
      <c r="Q1064" s="841"/>
      <c r="R1064" s="841"/>
    </row>
    <row r="1065" spans="2:18">
      <c r="B1065" s="841"/>
      <c r="C1065" s="842"/>
      <c r="D1065" s="842"/>
      <c r="E1065" s="842"/>
      <c r="F1065" s="1135"/>
      <c r="G1065" s="1135"/>
      <c r="H1065" s="843"/>
      <c r="I1065" s="841"/>
      <c r="J1065" s="1135"/>
      <c r="K1065" s="841"/>
      <c r="L1065" s="841"/>
      <c r="M1065" s="841"/>
      <c r="N1065" s="841"/>
      <c r="O1065" s="841"/>
      <c r="P1065" s="841"/>
      <c r="Q1065" s="841"/>
      <c r="R1065" s="841"/>
    </row>
    <row r="1066" spans="2:18">
      <c r="B1066" s="841"/>
      <c r="C1066" s="842"/>
      <c r="D1066" s="842"/>
      <c r="E1066" s="842"/>
      <c r="F1066" s="1135"/>
      <c r="G1066" s="1135"/>
      <c r="H1066" s="843"/>
      <c r="I1066" s="841"/>
      <c r="J1066" s="1135"/>
      <c r="K1066" s="841"/>
      <c r="L1066" s="841"/>
      <c r="M1066" s="841"/>
      <c r="N1066" s="841"/>
      <c r="O1066" s="841"/>
      <c r="P1066" s="841"/>
      <c r="Q1066" s="841"/>
      <c r="R1066" s="841"/>
    </row>
    <row r="1067" spans="2:18">
      <c r="B1067" s="841"/>
      <c r="C1067" s="842"/>
      <c r="D1067" s="842"/>
      <c r="E1067" s="842"/>
      <c r="F1067" s="1135"/>
      <c r="G1067" s="1135"/>
      <c r="H1067" s="843"/>
      <c r="I1067" s="841"/>
      <c r="J1067" s="1135"/>
      <c r="K1067" s="841"/>
      <c r="L1067" s="841"/>
      <c r="M1067" s="841"/>
      <c r="N1067" s="841"/>
      <c r="O1067" s="841"/>
      <c r="P1067" s="841"/>
      <c r="Q1067" s="841"/>
      <c r="R1067" s="841"/>
    </row>
    <row r="1068" spans="2:18">
      <c r="B1068" s="841"/>
      <c r="C1068" s="842"/>
      <c r="D1068" s="842"/>
      <c r="E1068" s="842"/>
      <c r="F1068" s="1135"/>
      <c r="G1068" s="1135"/>
      <c r="H1068" s="843"/>
      <c r="I1068" s="841"/>
      <c r="J1068" s="1135"/>
      <c r="K1068" s="841"/>
      <c r="L1068" s="841"/>
      <c r="M1068" s="841"/>
      <c r="N1068" s="841"/>
      <c r="O1068" s="841"/>
      <c r="P1068" s="841"/>
      <c r="Q1068" s="841"/>
      <c r="R1068" s="841"/>
    </row>
    <row r="1069" spans="2:18">
      <c r="B1069" s="841"/>
      <c r="C1069" s="842"/>
      <c r="D1069" s="842"/>
      <c r="E1069" s="842"/>
      <c r="F1069" s="1135"/>
      <c r="G1069" s="1135"/>
      <c r="H1069" s="843"/>
      <c r="I1069" s="841"/>
      <c r="J1069" s="1135"/>
      <c r="K1069" s="841"/>
      <c r="L1069" s="841"/>
      <c r="M1069" s="841"/>
      <c r="N1069" s="841"/>
      <c r="O1069" s="841"/>
      <c r="P1069" s="841"/>
      <c r="Q1069" s="841"/>
      <c r="R1069" s="841"/>
    </row>
    <row r="1070" spans="2:18">
      <c r="B1070" s="841"/>
      <c r="C1070" s="842"/>
      <c r="D1070" s="842"/>
      <c r="E1070" s="842"/>
      <c r="F1070" s="1135"/>
      <c r="G1070" s="1135"/>
      <c r="H1070" s="843"/>
      <c r="I1070" s="841"/>
      <c r="J1070" s="1135"/>
      <c r="K1070" s="841"/>
      <c r="L1070" s="841"/>
      <c r="M1070" s="841"/>
      <c r="N1070" s="841"/>
      <c r="O1070" s="841"/>
      <c r="P1070" s="841"/>
      <c r="Q1070" s="841"/>
      <c r="R1070" s="841"/>
    </row>
    <row r="1071" spans="2:18">
      <c r="B1071" s="841"/>
      <c r="C1071" s="842"/>
      <c r="D1071" s="842"/>
      <c r="E1071" s="842"/>
      <c r="F1071" s="1135"/>
      <c r="G1071" s="1135"/>
      <c r="H1071" s="843"/>
      <c r="I1071" s="841"/>
      <c r="J1071" s="1135"/>
      <c r="K1071" s="841"/>
      <c r="L1071" s="841"/>
      <c r="M1071" s="841"/>
      <c r="N1071" s="841"/>
      <c r="O1071" s="841"/>
      <c r="P1071" s="841"/>
      <c r="Q1071" s="841"/>
      <c r="R1071" s="841"/>
    </row>
    <row r="1072" spans="2:18">
      <c r="B1072" s="841"/>
      <c r="C1072" s="842"/>
      <c r="D1072" s="842"/>
      <c r="E1072" s="842"/>
      <c r="F1072" s="1135"/>
      <c r="G1072" s="1135"/>
      <c r="H1072" s="843"/>
      <c r="I1072" s="841"/>
      <c r="J1072" s="1135"/>
      <c r="K1072" s="841"/>
      <c r="L1072" s="841"/>
      <c r="M1072" s="841"/>
      <c r="N1072" s="841"/>
      <c r="O1072" s="841"/>
      <c r="P1072" s="841"/>
      <c r="Q1072" s="841"/>
      <c r="R1072" s="841"/>
    </row>
    <row r="1073" spans="2:18">
      <c r="B1073" s="841"/>
      <c r="C1073" s="842"/>
      <c r="D1073" s="842"/>
      <c r="E1073" s="842"/>
      <c r="F1073" s="1135"/>
      <c r="G1073" s="1135"/>
      <c r="H1073" s="843"/>
      <c r="I1073" s="841"/>
      <c r="J1073" s="1135"/>
      <c r="K1073" s="841"/>
      <c r="L1073" s="841"/>
      <c r="M1073" s="841"/>
      <c r="N1073" s="841"/>
      <c r="O1073" s="841"/>
      <c r="P1073" s="841"/>
      <c r="Q1073" s="841"/>
      <c r="R1073" s="841"/>
    </row>
    <row r="1074" spans="2:18">
      <c r="B1074" s="841"/>
      <c r="C1074" s="842"/>
      <c r="D1074" s="842"/>
      <c r="E1074" s="842"/>
      <c r="F1074" s="1135"/>
      <c r="G1074" s="1135"/>
      <c r="H1074" s="843"/>
      <c r="I1074" s="841"/>
      <c r="J1074" s="1135"/>
      <c r="K1074" s="841"/>
      <c r="L1074" s="841"/>
      <c r="M1074" s="841"/>
      <c r="N1074" s="841"/>
      <c r="O1074" s="841"/>
      <c r="P1074" s="841"/>
      <c r="Q1074" s="841"/>
      <c r="R1074" s="841"/>
    </row>
    <row r="1075" spans="2:18">
      <c r="B1075" s="841"/>
      <c r="C1075" s="842"/>
      <c r="D1075" s="842"/>
      <c r="E1075" s="842"/>
      <c r="F1075" s="1135"/>
      <c r="G1075" s="1135"/>
      <c r="H1075" s="843"/>
      <c r="I1075" s="841"/>
      <c r="J1075" s="1135"/>
      <c r="K1075" s="841"/>
      <c r="L1075" s="841"/>
      <c r="M1075" s="841"/>
      <c r="N1075" s="841"/>
      <c r="O1075" s="841"/>
      <c r="P1075" s="841"/>
      <c r="Q1075" s="841"/>
      <c r="R1075" s="841"/>
    </row>
    <row r="1076" spans="2:18">
      <c r="B1076" s="841"/>
      <c r="C1076" s="842"/>
      <c r="D1076" s="842"/>
      <c r="E1076" s="842"/>
      <c r="F1076" s="1135"/>
      <c r="G1076" s="1135"/>
      <c r="H1076" s="843"/>
      <c r="I1076" s="841"/>
      <c r="J1076" s="1135"/>
      <c r="K1076" s="841"/>
      <c r="L1076" s="841"/>
      <c r="M1076" s="841"/>
      <c r="N1076" s="841"/>
      <c r="O1076" s="841"/>
      <c r="P1076" s="841"/>
      <c r="Q1076" s="841"/>
      <c r="R1076" s="841"/>
    </row>
    <row r="1077" spans="2:18">
      <c r="B1077" s="841"/>
      <c r="C1077" s="842"/>
      <c r="D1077" s="842"/>
      <c r="E1077" s="842"/>
      <c r="F1077" s="1135"/>
      <c r="G1077" s="1135"/>
      <c r="H1077" s="843"/>
      <c r="I1077" s="841"/>
      <c r="J1077" s="1135"/>
      <c r="K1077" s="841"/>
      <c r="L1077" s="841"/>
      <c r="M1077" s="841"/>
      <c r="N1077" s="841"/>
      <c r="O1077" s="841"/>
      <c r="P1077" s="841"/>
      <c r="Q1077" s="841"/>
      <c r="R1077" s="841"/>
    </row>
    <row r="1078" spans="2:18">
      <c r="B1078" s="841"/>
      <c r="C1078" s="842"/>
      <c r="D1078" s="842"/>
      <c r="E1078" s="842"/>
      <c r="F1078" s="1135"/>
      <c r="G1078" s="1135"/>
      <c r="H1078" s="843"/>
      <c r="I1078" s="841"/>
      <c r="J1078" s="1135"/>
      <c r="K1078" s="841"/>
      <c r="L1078" s="841"/>
      <c r="M1078" s="841"/>
      <c r="N1078" s="841"/>
      <c r="O1078" s="841"/>
      <c r="P1078" s="841"/>
      <c r="Q1078" s="841"/>
      <c r="R1078" s="841"/>
    </row>
    <row r="1079" spans="2:18">
      <c r="B1079" s="841"/>
      <c r="C1079" s="842"/>
      <c r="D1079" s="842"/>
      <c r="E1079" s="842"/>
      <c r="F1079" s="1135"/>
      <c r="G1079" s="1135"/>
      <c r="H1079" s="843"/>
      <c r="I1079" s="841"/>
      <c r="J1079" s="1135"/>
      <c r="K1079" s="841"/>
      <c r="L1079" s="841"/>
      <c r="M1079" s="841"/>
      <c r="N1079" s="841"/>
      <c r="O1079" s="841"/>
      <c r="P1079" s="841"/>
      <c r="Q1079" s="841"/>
      <c r="R1079" s="841"/>
    </row>
    <row r="1080" spans="2:18">
      <c r="B1080" s="841"/>
      <c r="C1080" s="842"/>
      <c r="D1080" s="842"/>
      <c r="E1080" s="842"/>
      <c r="F1080" s="1135"/>
      <c r="G1080" s="1135"/>
      <c r="H1080" s="843"/>
      <c r="I1080" s="841"/>
      <c r="J1080" s="1135"/>
      <c r="K1080" s="841"/>
      <c r="L1080" s="841"/>
      <c r="M1080" s="841"/>
      <c r="N1080" s="841"/>
      <c r="O1080" s="841"/>
      <c r="P1080" s="841"/>
      <c r="Q1080" s="841"/>
      <c r="R1080" s="841"/>
    </row>
    <row r="1081" spans="2:18">
      <c r="B1081" s="841"/>
      <c r="C1081" s="842"/>
      <c r="D1081" s="842"/>
      <c r="E1081" s="842"/>
      <c r="F1081" s="1135"/>
      <c r="G1081" s="1135"/>
      <c r="H1081" s="843"/>
      <c r="I1081" s="841"/>
      <c r="J1081" s="1135"/>
      <c r="K1081" s="841"/>
      <c r="L1081" s="841"/>
      <c r="M1081" s="841"/>
      <c r="N1081" s="841"/>
      <c r="O1081" s="841"/>
      <c r="P1081" s="841"/>
      <c r="Q1081" s="841"/>
      <c r="R1081" s="841"/>
    </row>
    <row r="1082" spans="2:18">
      <c r="B1082" s="841"/>
      <c r="C1082" s="842"/>
      <c r="D1082" s="842"/>
      <c r="E1082" s="842"/>
      <c r="F1082" s="1135"/>
      <c r="G1082" s="1135"/>
      <c r="H1082" s="843"/>
      <c r="I1082" s="841"/>
      <c r="J1082" s="1135"/>
      <c r="K1082" s="841"/>
      <c r="L1082" s="841"/>
      <c r="M1082" s="841"/>
      <c r="N1082" s="841"/>
      <c r="O1082" s="841"/>
      <c r="P1082" s="841"/>
      <c r="Q1082" s="841"/>
      <c r="R1082" s="841"/>
    </row>
    <row r="1083" spans="2:18">
      <c r="B1083" s="841"/>
      <c r="C1083" s="842"/>
      <c r="D1083" s="842"/>
      <c r="E1083" s="842"/>
      <c r="F1083" s="1135"/>
      <c r="G1083" s="1135"/>
      <c r="H1083" s="843"/>
      <c r="I1083" s="841"/>
      <c r="J1083" s="1135"/>
      <c r="K1083" s="841"/>
      <c r="L1083" s="841"/>
      <c r="M1083" s="841"/>
      <c r="N1083" s="841"/>
      <c r="O1083" s="841"/>
      <c r="P1083" s="841"/>
      <c r="Q1083" s="841"/>
      <c r="R1083" s="841"/>
    </row>
    <row r="1084" spans="2:18">
      <c r="B1084" s="841"/>
      <c r="C1084" s="842"/>
      <c r="D1084" s="842"/>
      <c r="E1084" s="842"/>
      <c r="F1084" s="1135"/>
      <c r="G1084" s="1135"/>
      <c r="H1084" s="843"/>
      <c r="I1084" s="841"/>
      <c r="J1084" s="1135"/>
      <c r="K1084" s="841"/>
      <c r="L1084" s="841"/>
      <c r="M1084" s="841"/>
      <c r="N1084" s="841"/>
      <c r="O1084" s="841"/>
      <c r="P1084" s="841"/>
      <c r="Q1084" s="841"/>
      <c r="R1084" s="841"/>
    </row>
    <row r="1085" spans="2:18">
      <c r="B1085" s="841"/>
      <c r="C1085" s="842"/>
      <c r="D1085" s="842"/>
      <c r="E1085" s="842"/>
      <c r="F1085" s="1135"/>
      <c r="G1085" s="1135"/>
      <c r="H1085" s="843"/>
      <c r="I1085" s="841"/>
      <c r="J1085" s="1135"/>
      <c r="K1085" s="841"/>
      <c r="L1085" s="841"/>
      <c r="M1085" s="841"/>
      <c r="N1085" s="841"/>
      <c r="O1085" s="841"/>
      <c r="P1085" s="841"/>
      <c r="Q1085" s="841"/>
      <c r="R1085" s="841"/>
    </row>
    <row r="1086" spans="2:18">
      <c r="B1086" s="841"/>
      <c r="C1086" s="842"/>
      <c r="D1086" s="842"/>
      <c r="E1086" s="842"/>
      <c r="F1086" s="1135"/>
      <c r="G1086" s="1135"/>
      <c r="H1086" s="843"/>
      <c r="I1086" s="841"/>
      <c r="J1086" s="1135"/>
      <c r="K1086" s="841"/>
      <c r="L1086" s="841"/>
      <c r="M1086" s="841"/>
      <c r="N1086" s="841"/>
      <c r="O1086" s="841"/>
      <c r="P1086" s="841"/>
      <c r="Q1086" s="841"/>
      <c r="R1086" s="841"/>
    </row>
    <row r="1087" spans="2:18">
      <c r="B1087" s="841"/>
      <c r="C1087" s="842"/>
      <c r="D1087" s="842"/>
      <c r="E1087" s="842"/>
      <c r="F1087" s="1135"/>
      <c r="G1087" s="1135"/>
      <c r="H1087" s="843"/>
      <c r="I1087" s="841"/>
      <c r="J1087" s="1135"/>
      <c r="K1087" s="841"/>
      <c r="L1087" s="841"/>
      <c r="M1087" s="841"/>
      <c r="N1087" s="841"/>
      <c r="O1087" s="841"/>
      <c r="P1087" s="841"/>
      <c r="Q1087" s="841"/>
      <c r="R1087" s="841"/>
    </row>
    <row r="1088" spans="2:18">
      <c r="B1088" s="841"/>
      <c r="C1088" s="842"/>
      <c r="D1088" s="842"/>
      <c r="E1088" s="842"/>
      <c r="F1088" s="1135"/>
      <c r="G1088" s="1135"/>
      <c r="H1088" s="843"/>
      <c r="I1088" s="841"/>
      <c r="J1088" s="1135"/>
      <c r="K1088" s="841"/>
      <c r="L1088" s="841"/>
      <c r="M1088" s="841"/>
      <c r="N1088" s="841"/>
      <c r="O1088" s="841"/>
      <c r="P1088" s="841"/>
      <c r="Q1088" s="841"/>
      <c r="R1088" s="841"/>
    </row>
    <row r="1089" spans="2:18">
      <c r="B1089" s="841"/>
      <c r="C1089" s="842"/>
      <c r="D1089" s="842"/>
      <c r="E1089" s="842"/>
      <c r="F1089" s="1135"/>
      <c r="G1089" s="1135"/>
      <c r="H1089" s="843"/>
      <c r="I1089" s="841"/>
      <c r="J1089" s="1135"/>
      <c r="K1089" s="841"/>
      <c r="L1089" s="841"/>
      <c r="M1089" s="841"/>
      <c r="N1089" s="841"/>
      <c r="O1089" s="841"/>
      <c r="P1089" s="841"/>
      <c r="Q1089" s="841"/>
      <c r="R1089" s="841"/>
    </row>
    <row r="1090" spans="2:18">
      <c r="B1090" s="841"/>
      <c r="C1090" s="842"/>
      <c r="D1090" s="842"/>
      <c r="E1090" s="842"/>
      <c r="F1090" s="1135"/>
      <c r="G1090" s="1135"/>
      <c r="H1090" s="843"/>
      <c r="I1090" s="841"/>
      <c r="J1090" s="1135"/>
      <c r="K1090" s="841"/>
      <c r="L1090" s="841"/>
      <c r="M1090" s="841"/>
      <c r="N1090" s="841"/>
      <c r="O1090" s="841"/>
      <c r="P1090" s="841"/>
      <c r="Q1090" s="841"/>
      <c r="R1090" s="841"/>
    </row>
    <row r="1091" spans="2:18">
      <c r="B1091" s="841"/>
      <c r="C1091" s="842"/>
      <c r="D1091" s="842"/>
      <c r="E1091" s="842"/>
      <c r="F1091" s="1135"/>
      <c r="G1091" s="1135"/>
      <c r="H1091" s="843"/>
      <c r="I1091" s="841"/>
      <c r="J1091" s="1135"/>
      <c r="K1091" s="841"/>
      <c r="L1091" s="841"/>
      <c r="M1091" s="841"/>
      <c r="N1091" s="841"/>
      <c r="O1091" s="841"/>
      <c r="P1091" s="841"/>
      <c r="Q1091" s="841"/>
      <c r="R1091" s="841"/>
    </row>
    <row r="1092" spans="2:18">
      <c r="B1092" s="841"/>
      <c r="C1092" s="842"/>
      <c r="D1092" s="842"/>
      <c r="E1092" s="842"/>
      <c r="F1092" s="1135"/>
      <c r="G1092" s="1135"/>
      <c r="H1092" s="843"/>
      <c r="I1092" s="841"/>
      <c r="J1092" s="1135"/>
      <c r="K1092" s="841"/>
      <c r="L1092" s="841"/>
      <c r="M1092" s="841"/>
      <c r="N1092" s="841"/>
      <c r="O1092" s="841"/>
      <c r="P1092" s="841"/>
      <c r="Q1092" s="841"/>
      <c r="R1092" s="841"/>
    </row>
    <row r="1093" spans="2:18">
      <c r="B1093" s="841"/>
      <c r="C1093" s="842"/>
      <c r="D1093" s="842"/>
      <c r="E1093" s="842"/>
      <c r="F1093" s="1135"/>
      <c r="G1093" s="1135"/>
      <c r="H1093" s="843"/>
      <c r="I1093" s="841"/>
      <c r="J1093" s="1135"/>
      <c r="K1093" s="841"/>
      <c r="L1093" s="841"/>
      <c r="M1093" s="841"/>
      <c r="N1093" s="841"/>
      <c r="O1093" s="841"/>
      <c r="P1093" s="841"/>
      <c r="Q1093" s="841"/>
      <c r="R1093" s="841"/>
    </row>
    <row r="1094" spans="2:18">
      <c r="B1094" s="841"/>
      <c r="C1094" s="842"/>
      <c r="D1094" s="842"/>
      <c r="E1094" s="842"/>
      <c r="F1094" s="1135"/>
      <c r="G1094" s="1135"/>
      <c r="H1094" s="843"/>
      <c r="I1094" s="841"/>
      <c r="J1094" s="1135"/>
      <c r="K1094" s="841"/>
      <c r="L1094" s="841"/>
      <c r="M1094" s="841"/>
      <c r="N1094" s="841"/>
      <c r="O1094" s="841"/>
      <c r="P1094" s="841"/>
      <c r="Q1094" s="841"/>
      <c r="R1094" s="841"/>
    </row>
    <row r="1095" spans="2:18">
      <c r="B1095" s="841"/>
      <c r="C1095" s="842"/>
      <c r="D1095" s="842"/>
      <c r="E1095" s="842"/>
      <c r="F1095" s="1135"/>
      <c r="G1095" s="1135"/>
      <c r="H1095" s="843"/>
      <c r="I1095" s="841"/>
      <c r="J1095" s="1135"/>
      <c r="K1095" s="841"/>
      <c r="L1095" s="841"/>
      <c r="M1095" s="841"/>
      <c r="N1095" s="841"/>
      <c r="O1095" s="841"/>
      <c r="P1095" s="841"/>
      <c r="Q1095" s="841"/>
      <c r="R1095" s="841"/>
    </row>
    <row r="1096" spans="2:18">
      <c r="B1096" s="841"/>
      <c r="C1096" s="842"/>
      <c r="D1096" s="842"/>
      <c r="E1096" s="842"/>
      <c r="F1096" s="1135"/>
      <c r="G1096" s="1135"/>
      <c r="H1096" s="843"/>
      <c r="I1096" s="841"/>
      <c r="J1096" s="1135"/>
      <c r="K1096" s="841"/>
      <c r="L1096" s="841"/>
      <c r="M1096" s="841"/>
      <c r="N1096" s="841"/>
      <c r="O1096" s="841"/>
      <c r="P1096" s="841"/>
      <c r="Q1096" s="841"/>
      <c r="R1096" s="841"/>
    </row>
    <row r="1097" spans="2:18">
      <c r="B1097" s="841"/>
      <c r="C1097" s="842"/>
      <c r="D1097" s="842"/>
      <c r="E1097" s="842"/>
      <c r="F1097" s="1135"/>
      <c r="G1097" s="1135"/>
      <c r="H1097" s="843"/>
      <c r="I1097" s="841"/>
      <c r="J1097" s="1135"/>
      <c r="K1097" s="841"/>
      <c r="L1097" s="841"/>
      <c r="M1097" s="841"/>
      <c r="N1097" s="841"/>
      <c r="O1097" s="841"/>
      <c r="P1097" s="841"/>
      <c r="Q1097" s="841"/>
      <c r="R1097" s="841"/>
    </row>
    <row r="1098" spans="2:18">
      <c r="B1098" s="841"/>
      <c r="C1098" s="842"/>
      <c r="D1098" s="842"/>
      <c r="E1098" s="842"/>
      <c r="F1098" s="1135"/>
      <c r="G1098" s="1135"/>
      <c r="H1098" s="843"/>
      <c r="I1098" s="841"/>
      <c r="J1098" s="1135"/>
      <c r="K1098" s="841"/>
      <c r="L1098" s="841"/>
      <c r="M1098" s="841"/>
      <c r="N1098" s="841"/>
      <c r="O1098" s="841"/>
      <c r="P1098" s="841"/>
      <c r="Q1098" s="841"/>
      <c r="R1098" s="841"/>
    </row>
    <row r="1099" spans="2:18">
      <c r="B1099" s="841"/>
      <c r="C1099" s="842"/>
      <c r="D1099" s="842"/>
      <c r="E1099" s="842"/>
      <c r="F1099" s="1135"/>
      <c r="G1099" s="1135"/>
      <c r="H1099" s="843"/>
      <c r="I1099" s="841"/>
      <c r="J1099" s="1135"/>
      <c r="K1099" s="841"/>
      <c r="L1099" s="841"/>
      <c r="M1099" s="841"/>
      <c r="N1099" s="841"/>
      <c r="O1099" s="841"/>
      <c r="P1099" s="841"/>
      <c r="Q1099" s="841"/>
      <c r="R1099" s="841"/>
    </row>
    <row r="1100" spans="2:18">
      <c r="B1100" s="841"/>
      <c r="C1100" s="842"/>
      <c r="D1100" s="842"/>
      <c r="E1100" s="842"/>
      <c r="F1100" s="1135"/>
      <c r="G1100" s="1135"/>
      <c r="H1100" s="843"/>
      <c r="I1100" s="841"/>
      <c r="J1100" s="1135"/>
      <c r="K1100" s="841"/>
      <c r="L1100" s="841"/>
      <c r="M1100" s="841"/>
      <c r="N1100" s="841"/>
      <c r="O1100" s="841"/>
      <c r="P1100" s="841"/>
      <c r="Q1100" s="841"/>
      <c r="R1100" s="841"/>
    </row>
    <row r="1101" spans="2:18">
      <c r="B1101" s="841"/>
      <c r="C1101" s="842"/>
      <c r="D1101" s="842"/>
      <c r="E1101" s="842"/>
      <c r="F1101" s="1135"/>
      <c r="G1101" s="1135"/>
      <c r="H1101" s="843"/>
      <c r="I1101" s="841"/>
      <c r="J1101" s="1135"/>
      <c r="K1101" s="841"/>
      <c r="L1101" s="841"/>
      <c r="M1101" s="841"/>
      <c r="N1101" s="841"/>
      <c r="O1101" s="841"/>
      <c r="P1101" s="841"/>
      <c r="Q1101" s="841"/>
      <c r="R1101" s="841"/>
    </row>
    <row r="1102" spans="2:18">
      <c r="B1102" s="841"/>
      <c r="C1102" s="842"/>
      <c r="D1102" s="842"/>
      <c r="E1102" s="842"/>
      <c r="F1102" s="1135"/>
      <c r="G1102" s="1135"/>
      <c r="H1102" s="843"/>
      <c r="I1102" s="841"/>
      <c r="J1102" s="1135"/>
      <c r="K1102" s="841"/>
      <c r="L1102" s="841"/>
      <c r="M1102" s="841"/>
      <c r="N1102" s="841"/>
      <c r="O1102" s="841"/>
      <c r="P1102" s="841"/>
      <c r="Q1102" s="841"/>
      <c r="R1102" s="841"/>
    </row>
    <row r="1103" spans="2:18">
      <c r="B1103" s="841"/>
      <c r="C1103" s="842"/>
      <c r="D1103" s="842"/>
      <c r="E1103" s="842"/>
      <c r="F1103" s="1135"/>
      <c r="G1103" s="1135"/>
      <c r="H1103" s="843"/>
      <c r="I1103" s="841"/>
      <c r="J1103" s="1135"/>
      <c r="K1103" s="841"/>
      <c r="L1103" s="841"/>
      <c r="M1103" s="841"/>
      <c r="N1103" s="841"/>
      <c r="O1103" s="841"/>
      <c r="P1103" s="841"/>
      <c r="Q1103" s="841"/>
      <c r="R1103" s="841"/>
    </row>
    <row r="1104" spans="2:18">
      <c r="B1104" s="841"/>
      <c r="C1104" s="842"/>
      <c r="D1104" s="842"/>
      <c r="E1104" s="842"/>
      <c r="F1104" s="1135"/>
      <c r="G1104" s="1135"/>
      <c r="H1104" s="843"/>
      <c r="I1104" s="841"/>
      <c r="J1104" s="1135"/>
      <c r="K1104" s="841"/>
      <c r="L1104" s="841"/>
      <c r="M1104" s="841"/>
      <c r="N1104" s="841"/>
      <c r="O1104" s="841"/>
      <c r="P1104" s="841"/>
      <c r="Q1104" s="841"/>
      <c r="R1104" s="841"/>
    </row>
    <row r="1105" spans="2:18">
      <c r="B1105" s="841"/>
      <c r="C1105" s="842"/>
      <c r="D1105" s="842"/>
      <c r="E1105" s="842"/>
      <c r="F1105" s="1135"/>
      <c r="G1105" s="1135"/>
      <c r="H1105" s="843"/>
      <c r="I1105" s="841"/>
      <c r="J1105" s="1135"/>
      <c r="K1105" s="841"/>
      <c r="L1105" s="841"/>
      <c r="M1105" s="841"/>
      <c r="N1105" s="841"/>
      <c r="O1105" s="841"/>
      <c r="P1105" s="841"/>
      <c r="Q1105" s="841"/>
      <c r="R1105" s="841"/>
    </row>
    <row r="1106" spans="2:18">
      <c r="B1106" s="841"/>
      <c r="C1106" s="842"/>
      <c r="D1106" s="842"/>
      <c r="E1106" s="842"/>
      <c r="F1106" s="1135"/>
      <c r="G1106" s="1135"/>
      <c r="H1106" s="843"/>
      <c r="I1106" s="841"/>
      <c r="J1106" s="1135"/>
      <c r="K1106" s="841"/>
      <c r="L1106" s="841"/>
      <c r="M1106" s="841"/>
      <c r="N1106" s="841"/>
      <c r="O1106" s="841"/>
      <c r="P1106" s="841"/>
      <c r="Q1106" s="841"/>
      <c r="R1106" s="841"/>
    </row>
    <row r="1107" spans="2:18">
      <c r="B1107" s="841"/>
      <c r="C1107" s="842"/>
      <c r="D1107" s="842"/>
      <c r="E1107" s="842"/>
      <c r="F1107" s="1135"/>
      <c r="G1107" s="1135"/>
      <c r="H1107" s="843"/>
      <c r="I1107" s="841"/>
      <c r="J1107" s="1135"/>
      <c r="K1107" s="841"/>
      <c r="L1107" s="841"/>
      <c r="M1107" s="841"/>
      <c r="N1107" s="841"/>
      <c r="O1107" s="841"/>
      <c r="P1107" s="841"/>
      <c r="Q1107" s="841"/>
      <c r="R1107" s="841"/>
    </row>
    <row r="1108" spans="2:18">
      <c r="B1108" s="841"/>
      <c r="C1108" s="842"/>
      <c r="D1108" s="842"/>
      <c r="E1108" s="842"/>
      <c r="F1108" s="1135"/>
      <c r="G1108" s="1135"/>
      <c r="H1108" s="843"/>
      <c r="I1108" s="841"/>
      <c r="J1108" s="1135"/>
      <c r="K1108" s="841"/>
      <c r="L1108" s="841"/>
      <c r="M1108" s="841"/>
      <c r="N1108" s="841"/>
      <c r="O1108" s="841"/>
      <c r="P1108" s="841"/>
      <c r="Q1108" s="841"/>
      <c r="R1108" s="841"/>
    </row>
    <row r="1109" spans="2:18">
      <c r="B1109" s="841"/>
      <c r="C1109" s="842"/>
      <c r="D1109" s="842"/>
      <c r="E1109" s="842"/>
      <c r="F1109" s="1135"/>
      <c r="G1109" s="1135"/>
      <c r="H1109" s="843"/>
      <c r="I1109" s="841"/>
      <c r="J1109" s="1135"/>
      <c r="K1109" s="841"/>
      <c r="L1109" s="841"/>
      <c r="M1109" s="841"/>
      <c r="N1109" s="841"/>
      <c r="O1109" s="841"/>
      <c r="P1109" s="841"/>
      <c r="Q1109" s="841"/>
      <c r="R1109" s="841"/>
    </row>
    <row r="1110" spans="2:18">
      <c r="B1110" s="841"/>
      <c r="C1110" s="842"/>
      <c r="D1110" s="842"/>
      <c r="E1110" s="842"/>
      <c r="F1110" s="1135"/>
      <c r="G1110" s="1135"/>
      <c r="H1110" s="843"/>
      <c r="I1110" s="841"/>
      <c r="J1110" s="1135"/>
      <c r="K1110" s="841"/>
      <c r="L1110" s="841"/>
      <c r="M1110" s="841"/>
      <c r="N1110" s="841"/>
      <c r="O1110" s="841"/>
      <c r="P1110" s="841"/>
      <c r="Q1110" s="841"/>
      <c r="R1110" s="841"/>
    </row>
    <row r="1111" spans="2:18">
      <c r="B1111" s="841"/>
      <c r="C1111" s="842"/>
      <c r="D1111" s="842"/>
      <c r="E1111" s="842"/>
      <c r="F1111" s="1135"/>
      <c r="G1111" s="1135"/>
      <c r="H1111" s="843"/>
      <c r="I1111" s="841"/>
      <c r="J1111" s="1135"/>
      <c r="K1111" s="841"/>
      <c r="L1111" s="841"/>
      <c r="M1111" s="841"/>
      <c r="N1111" s="841"/>
      <c r="O1111" s="841"/>
      <c r="P1111" s="841"/>
      <c r="Q1111" s="841"/>
      <c r="R1111" s="841"/>
    </row>
    <row r="1112" spans="2:18">
      <c r="B1112" s="841"/>
      <c r="C1112" s="842"/>
      <c r="D1112" s="842"/>
      <c r="E1112" s="842"/>
      <c r="F1112" s="1135"/>
      <c r="G1112" s="1135"/>
      <c r="H1112" s="843"/>
      <c r="I1112" s="841"/>
      <c r="J1112" s="1135"/>
      <c r="K1112" s="841"/>
      <c r="L1112" s="841"/>
      <c r="M1112" s="841"/>
      <c r="N1112" s="841"/>
      <c r="O1112" s="841"/>
      <c r="P1112" s="841"/>
      <c r="Q1112" s="841"/>
      <c r="R1112" s="841"/>
    </row>
    <row r="1113" spans="2:18">
      <c r="B1113" s="841"/>
      <c r="C1113" s="842"/>
      <c r="D1113" s="842"/>
      <c r="E1113" s="842"/>
      <c r="F1113" s="1135"/>
      <c r="G1113" s="1135"/>
      <c r="H1113" s="843"/>
      <c r="I1113" s="841"/>
      <c r="J1113" s="1135"/>
      <c r="K1113" s="841"/>
      <c r="L1113" s="841"/>
      <c r="M1113" s="841"/>
      <c r="N1113" s="841"/>
      <c r="O1113" s="841"/>
      <c r="P1113" s="841"/>
      <c r="Q1113" s="841"/>
      <c r="R1113" s="841"/>
    </row>
    <row r="1114" spans="2:18">
      <c r="B1114" s="841"/>
      <c r="C1114" s="842"/>
      <c r="D1114" s="842"/>
      <c r="E1114" s="842"/>
      <c r="F1114" s="1135"/>
      <c r="G1114" s="1135"/>
      <c r="H1114" s="843"/>
      <c r="I1114" s="841"/>
      <c r="J1114" s="1135"/>
      <c r="K1114" s="841"/>
      <c r="L1114" s="841"/>
      <c r="M1114" s="841"/>
      <c r="N1114" s="841"/>
      <c r="O1114" s="841"/>
      <c r="P1114" s="841"/>
      <c r="Q1114" s="841"/>
      <c r="R1114" s="841"/>
    </row>
    <row r="1115" spans="2:18">
      <c r="B1115" s="841"/>
      <c r="C1115" s="842"/>
      <c r="D1115" s="842"/>
      <c r="E1115" s="842"/>
      <c r="F1115" s="1135"/>
      <c r="G1115" s="1135"/>
      <c r="H1115" s="843"/>
      <c r="I1115" s="841"/>
      <c r="J1115" s="1135"/>
      <c r="K1115" s="841"/>
      <c r="L1115" s="841"/>
      <c r="M1115" s="841"/>
      <c r="N1115" s="841"/>
      <c r="O1115" s="841"/>
      <c r="P1115" s="841"/>
      <c r="Q1115" s="841"/>
      <c r="R1115" s="841"/>
    </row>
    <row r="1116" spans="2:18">
      <c r="B1116" s="841"/>
      <c r="C1116" s="842"/>
      <c r="D1116" s="842"/>
      <c r="E1116" s="842"/>
      <c r="F1116" s="1135"/>
      <c r="G1116" s="1135"/>
      <c r="H1116" s="843"/>
      <c r="I1116" s="841"/>
      <c r="J1116" s="1135"/>
      <c r="K1116" s="841"/>
      <c r="L1116" s="841"/>
      <c r="M1116" s="841"/>
      <c r="N1116" s="841"/>
      <c r="O1116" s="841"/>
      <c r="P1116" s="841"/>
      <c r="Q1116" s="841"/>
      <c r="R1116" s="841"/>
    </row>
    <row r="1117" spans="2:18">
      <c r="B1117" s="841"/>
      <c r="C1117" s="842"/>
      <c r="D1117" s="842"/>
      <c r="E1117" s="842"/>
      <c r="F1117" s="1135"/>
      <c r="G1117" s="1135"/>
      <c r="H1117" s="843"/>
      <c r="I1117" s="841"/>
      <c r="J1117" s="1135"/>
      <c r="K1117" s="841"/>
      <c r="L1117" s="841"/>
      <c r="M1117" s="841"/>
      <c r="N1117" s="841"/>
      <c r="O1117" s="841"/>
      <c r="P1117" s="841"/>
      <c r="Q1117" s="841"/>
      <c r="R1117" s="841"/>
    </row>
    <row r="1118" spans="2:18">
      <c r="B1118" s="841"/>
      <c r="C1118" s="842"/>
      <c r="D1118" s="842"/>
      <c r="E1118" s="842"/>
      <c r="F1118" s="1135"/>
      <c r="G1118" s="1135"/>
      <c r="H1118" s="843"/>
      <c r="I1118" s="841"/>
      <c r="J1118" s="1135"/>
      <c r="K1118" s="841"/>
      <c r="L1118" s="841"/>
      <c r="M1118" s="841"/>
      <c r="N1118" s="841"/>
      <c r="O1118" s="841"/>
      <c r="P1118" s="841"/>
      <c r="Q1118" s="841"/>
      <c r="R1118" s="841"/>
    </row>
    <row r="1119" spans="2:18">
      <c r="B1119" s="841"/>
      <c r="C1119" s="842"/>
      <c r="D1119" s="842"/>
      <c r="E1119" s="842"/>
      <c r="F1119" s="1135"/>
      <c r="G1119" s="1135"/>
      <c r="H1119" s="843"/>
      <c r="I1119" s="841"/>
      <c r="J1119" s="1135"/>
      <c r="K1119" s="841"/>
      <c r="L1119" s="841"/>
      <c r="M1119" s="841"/>
      <c r="N1119" s="841"/>
      <c r="O1119" s="841"/>
      <c r="P1119" s="841"/>
      <c r="Q1119" s="841"/>
      <c r="R1119" s="841"/>
    </row>
    <row r="1120" spans="2:18">
      <c r="B1120" s="841"/>
      <c r="C1120" s="842"/>
      <c r="D1120" s="842"/>
      <c r="E1120" s="842"/>
      <c r="F1120" s="1135"/>
      <c r="G1120" s="1135"/>
      <c r="H1120" s="843"/>
      <c r="I1120" s="841"/>
      <c r="J1120" s="1135"/>
      <c r="K1120" s="841"/>
      <c r="L1120" s="841"/>
      <c r="M1120" s="841"/>
      <c r="N1120" s="841"/>
      <c r="O1120" s="841"/>
      <c r="P1120" s="841"/>
      <c r="Q1120" s="841"/>
      <c r="R1120" s="841"/>
    </row>
    <row r="1121" spans="2:18">
      <c r="B1121" s="841"/>
      <c r="C1121" s="842"/>
      <c r="D1121" s="842"/>
      <c r="E1121" s="842"/>
      <c r="F1121" s="1135"/>
      <c r="G1121" s="1135"/>
      <c r="H1121" s="843"/>
      <c r="I1121" s="841"/>
      <c r="J1121" s="1135"/>
      <c r="K1121" s="841"/>
      <c r="L1121" s="841"/>
      <c r="M1121" s="841"/>
      <c r="N1121" s="841"/>
      <c r="O1121" s="841"/>
      <c r="P1121" s="841"/>
      <c r="Q1121" s="841"/>
      <c r="R1121" s="841"/>
    </row>
    <row r="1122" spans="2:18">
      <c r="B1122" s="841"/>
      <c r="C1122" s="842"/>
      <c r="D1122" s="842"/>
      <c r="E1122" s="842"/>
      <c r="F1122" s="1135"/>
      <c r="G1122" s="1135"/>
      <c r="H1122" s="843"/>
      <c r="I1122" s="841"/>
      <c r="J1122" s="1135"/>
      <c r="K1122" s="841"/>
      <c r="L1122" s="841"/>
      <c r="M1122" s="841"/>
      <c r="N1122" s="841"/>
      <c r="O1122" s="841"/>
      <c r="P1122" s="841"/>
      <c r="Q1122" s="841"/>
      <c r="R1122" s="841"/>
    </row>
    <row r="1123" spans="2:18">
      <c r="B1123" s="841"/>
      <c r="C1123" s="842"/>
      <c r="D1123" s="842"/>
      <c r="E1123" s="842"/>
      <c r="F1123" s="1135"/>
      <c r="G1123" s="1135"/>
      <c r="H1123" s="843"/>
      <c r="I1123" s="841"/>
      <c r="J1123" s="1135"/>
      <c r="K1123" s="841"/>
      <c r="L1123" s="841"/>
      <c r="M1123" s="841"/>
      <c r="N1123" s="841"/>
      <c r="O1123" s="841"/>
      <c r="P1123" s="841"/>
      <c r="Q1123" s="841"/>
      <c r="R1123" s="841"/>
    </row>
    <row r="1124" spans="2:18">
      <c r="B1124" s="841"/>
      <c r="C1124" s="842"/>
      <c r="D1124" s="842"/>
      <c r="E1124" s="842"/>
      <c r="F1124" s="1135"/>
      <c r="G1124" s="1135"/>
      <c r="H1124" s="843"/>
      <c r="I1124" s="841"/>
      <c r="J1124" s="1135"/>
      <c r="K1124" s="841"/>
      <c r="L1124" s="841"/>
      <c r="M1124" s="841"/>
      <c r="N1124" s="841"/>
      <c r="O1124" s="841"/>
      <c r="P1124" s="841"/>
      <c r="Q1124" s="841"/>
      <c r="R1124" s="841"/>
    </row>
    <row r="1125" spans="2:18">
      <c r="B1125" s="841"/>
      <c r="C1125" s="842"/>
      <c r="D1125" s="842"/>
      <c r="E1125" s="842"/>
      <c r="F1125" s="1135"/>
      <c r="G1125" s="1135"/>
      <c r="H1125" s="843"/>
      <c r="I1125" s="841"/>
      <c r="J1125" s="1135"/>
      <c r="K1125" s="841"/>
      <c r="L1125" s="841"/>
      <c r="M1125" s="841"/>
      <c r="N1125" s="841"/>
      <c r="O1125" s="841"/>
      <c r="P1125" s="841"/>
      <c r="Q1125" s="841"/>
      <c r="R1125" s="841"/>
    </row>
    <row r="1126" spans="2:18">
      <c r="B1126" s="841"/>
      <c r="C1126" s="842"/>
      <c r="D1126" s="842"/>
      <c r="E1126" s="842"/>
      <c r="F1126" s="1135"/>
      <c r="G1126" s="1135"/>
      <c r="H1126" s="843"/>
      <c r="I1126" s="841"/>
      <c r="J1126" s="1135"/>
      <c r="K1126" s="841"/>
      <c r="L1126" s="841"/>
      <c r="M1126" s="841"/>
      <c r="N1126" s="841"/>
      <c r="O1126" s="841"/>
      <c r="P1126" s="841"/>
      <c r="Q1126" s="841"/>
      <c r="R1126" s="841"/>
    </row>
    <row r="1127" spans="2:18">
      <c r="B1127" s="841"/>
      <c r="C1127" s="842"/>
      <c r="D1127" s="842"/>
      <c r="E1127" s="842"/>
      <c r="F1127" s="1135"/>
      <c r="G1127" s="1135"/>
      <c r="H1127" s="843"/>
      <c r="I1127" s="841"/>
      <c r="J1127" s="1135"/>
      <c r="K1127" s="841"/>
      <c r="L1127" s="841"/>
      <c r="M1127" s="841"/>
      <c r="N1127" s="841"/>
      <c r="O1127" s="841"/>
      <c r="P1127" s="841"/>
      <c r="Q1127" s="841"/>
      <c r="R1127" s="841"/>
    </row>
    <row r="1128" spans="2:18">
      <c r="B1128" s="841"/>
      <c r="C1128" s="842"/>
      <c r="D1128" s="842"/>
      <c r="E1128" s="842"/>
      <c r="F1128" s="1135"/>
      <c r="G1128" s="1135"/>
      <c r="H1128" s="843"/>
      <c r="I1128" s="841"/>
      <c r="J1128" s="1135"/>
      <c r="K1128" s="841"/>
      <c r="L1128" s="841"/>
      <c r="M1128" s="841"/>
      <c r="N1128" s="841"/>
      <c r="O1128" s="841"/>
      <c r="P1128" s="841"/>
      <c r="Q1128" s="841"/>
      <c r="R1128" s="841"/>
    </row>
    <row r="1129" spans="2:18">
      <c r="B1129" s="841"/>
      <c r="C1129" s="842"/>
      <c r="D1129" s="842"/>
      <c r="E1129" s="842"/>
      <c r="F1129" s="1135"/>
      <c r="G1129" s="1135"/>
      <c r="H1129" s="843"/>
      <c r="I1129" s="841"/>
      <c r="J1129" s="1135"/>
      <c r="K1129" s="841"/>
      <c r="L1129" s="841"/>
      <c r="M1129" s="841"/>
      <c r="N1129" s="841"/>
      <c r="O1129" s="841"/>
      <c r="P1129" s="841"/>
      <c r="Q1129" s="841"/>
      <c r="R1129" s="841"/>
    </row>
    <row r="1130" spans="2:18">
      <c r="B1130" s="841"/>
      <c r="C1130" s="842"/>
      <c r="D1130" s="842"/>
      <c r="E1130" s="842"/>
      <c r="F1130" s="1135"/>
      <c r="G1130" s="1135"/>
      <c r="H1130" s="843"/>
      <c r="I1130" s="841"/>
      <c r="J1130" s="1135"/>
      <c r="K1130" s="841"/>
      <c r="L1130" s="841"/>
      <c r="M1130" s="841"/>
      <c r="N1130" s="841"/>
      <c r="O1130" s="841"/>
      <c r="P1130" s="841"/>
      <c r="Q1130" s="841"/>
      <c r="R1130" s="841"/>
    </row>
    <row r="1131" spans="2:18">
      <c r="B1131" s="841"/>
      <c r="C1131" s="842"/>
      <c r="D1131" s="842"/>
      <c r="E1131" s="842"/>
      <c r="F1131" s="1135"/>
      <c r="G1131" s="1135"/>
      <c r="H1131" s="843"/>
      <c r="I1131" s="841"/>
      <c r="J1131" s="1135"/>
      <c r="K1131" s="841"/>
      <c r="L1131" s="841"/>
      <c r="M1131" s="841"/>
      <c r="N1131" s="841"/>
      <c r="O1131" s="841"/>
      <c r="P1131" s="841"/>
      <c r="Q1131" s="841"/>
      <c r="R1131" s="841"/>
    </row>
    <row r="1132" spans="2:18">
      <c r="B1132" s="841"/>
      <c r="C1132" s="842"/>
      <c r="D1132" s="842"/>
      <c r="E1132" s="842"/>
      <c r="F1132" s="1135"/>
      <c r="G1132" s="1135"/>
      <c r="H1132" s="843"/>
      <c r="I1132" s="841"/>
      <c r="J1132" s="1135"/>
      <c r="K1132" s="841"/>
      <c r="L1132" s="841"/>
      <c r="M1132" s="841"/>
      <c r="N1132" s="841"/>
      <c r="O1132" s="841"/>
      <c r="P1132" s="841"/>
      <c r="Q1132" s="841"/>
      <c r="R1132" s="841"/>
    </row>
    <row r="1133" spans="2:18">
      <c r="B1133" s="841"/>
      <c r="C1133" s="842"/>
      <c r="D1133" s="842"/>
      <c r="E1133" s="842"/>
      <c r="F1133" s="1135"/>
      <c r="G1133" s="1135"/>
      <c r="H1133" s="843"/>
      <c r="I1133" s="841"/>
      <c r="J1133" s="1135"/>
      <c r="K1133" s="841"/>
      <c r="L1133" s="841"/>
      <c r="M1133" s="841"/>
      <c r="N1133" s="841"/>
      <c r="O1133" s="841"/>
      <c r="P1133" s="841"/>
      <c r="Q1133" s="841"/>
      <c r="R1133" s="841"/>
    </row>
    <row r="1134" spans="2:18">
      <c r="B1134" s="841"/>
      <c r="C1134" s="842"/>
      <c r="D1134" s="842"/>
      <c r="E1134" s="842"/>
      <c r="F1134" s="1135"/>
      <c r="G1134" s="1135"/>
      <c r="H1134" s="843"/>
      <c r="I1134" s="841"/>
      <c r="J1134" s="1135"/>
      <c r="K1134" s="841"/>
      <c r="L1134" s="841"/>
      <c r="M1134" s="841"/>
      <c r="N1134" s="841"/>
      <c r="O1134" s="841"/>
      <c r="P1134" s="841"/>
      <c r="Q1134" s="841"/>
      <c r="R1134" s="841"/>
    </row>
    <row r="1135" spans="2:18">
      <c r="B1135" s="841"/>
      <c r="C1135" s="842"/>
      <c r="D1135" s="842"/>
      <c r="E1135" s="842"/>
      <c r="F1135" s="1135"/>
      <c r="G1135" s="1135"/>
      <c r="H1135" s="843"/>
      <c r="I1135" s="841"/>
      <c r="J1135" s="1135"/>
      <c r="K1135" s="841"/>
      <c r="L1135" s="841"/>
      <c r="M1135" s="841"/>
      <c r="N1135" s="841"/>
      <c r="O1135" s="841"/>
      <c r="P1135" s="841"/>
      <c r="Q1135" s="841"/>
      <c r="R1135" s="841"/>
    </row>
    <row r="1136" spans="2:18">
      <c r="B1136" s="841"/>
      <c r="C1136" s="842"/>
      <c r="D1136" s="842"/>
      <c r="E1136" s="842"/>
      <c r="F1136" s="1135"/>
      <c r="G1136" s="1135"/>
      <c r="H1136" s="843"/>
      <c r="I1136" s="841"/>
      <c r="J1136" s="1135"/>
      <c r="K1136" s="841"/>
      <c r="L1136" s="841"/>
      <c r="M1136" s="841"/>
      <c r="N1136" s="841"/>
      <c r="O1136" s="841"/>
      <c r="P1136" s="841"/>
      <c r="Q1136" s="841"/>
      <c r="R1136" s="841"/>
    </row>
    <row r="1137" spans="2:18">
      <c r="B1137" s="841"/>
      <c r="C1137" s="842"/>
      <c r="D1137" s="842"/>
      <c r="E1137" s="842"/>
      <c r="F1137" s="1135"/>
      <c r="G1137" s="1135"/>
      <c r="H1137" s="843"/>
      <c r="I1137" s="841"/>
      <c r="J1137" s="1135"/>
      <c r="K1137" s="841"/>
      <c r="L1137" s="841"/>
      <c r="M1137" s="841"/>
      <c r="N1137" s="841"/>
      <c r="O1137" s="841"/>
      <c r="P1137" s="841"/>
      <c r="Q1137" s="841"/>
      <c r="R1137" s="841"/>
    </row>
    <row r="1138" spans="2:18">
      <c r="B1138" s="841"/>
      <c r="C1138" s="842"/>
      <c r="D1138" s="842"/>
      <c r="E1138" s="842"/>
      <c r="F1138" s="1135"/>
      <c r="G1138" s="1135"/>
      <c r="H1138" s="843"/>
      <c r="I1138" s="841"/>
      <c r="J1138" s="1135"/>
      <c r="K1138" s="841"/>
      <c r="L1138" s="841"/>
      <c r="M1138" s="841"/>
      <c r="N1138" s="841"/>
      <c r="O1138" s="841"/>
      <c r="P1138" s="841"/>
      <c r="Q1138" s="841"/>
      <c r="R1138" s="841"/>
    </row>
    <row r="1139" spans="2:18">
      <c r="B1139" s="841"/>
      <c r="C1139" s="842"/>
      <c r="D1139" s="842"/>
      <c r="E1139" s="842"/>
      <c r="F1139" s="1135"/>
      <c r="G1139" s="1135"/>
      <c r="H1139" s="843"/>
      <c r="I1139" s="841"/>
      <c r="J1139" s="1135"/>
      <c r="K1139" s="841"/>
      <c r="L1139" s="841"/>
      <c r="M1139" s="841"/>
      <c r="N1139" s="841"/>
      <c r="O1139" s="841"/>
      <c r="P1139" s="841"/>
      <c r="Q1139" s="841"/>
      <c r="R1139" s="841"/>
    </row>
    <row r="1140" spans="2:18">
      <c r="B1140" s="841"/>
      <c r="C1140" s="842"/>
      <c r="D1140" s="842"/>
      <c r="E1140" s="842"/>
      <c r="F1140" s="1135"/>
      <c r="G1140" s="1135"/>
      <c r="H1140" s="843"/>
      <c r="I1140" s="841"/>
      <c r="J1140" s="1135"/>
      <c r="K1140" s="841"/>
      <c r="L1140" s="841"/>
      <c r="M1140" s="841"/>
      <c r="N1140" s="841"/>
      <c r="O1140" s="841"/>
      <c r="P1140" s="841"/>
      <c r="Q1140" s="841"/>
      <c r="R1140" s="841"/>
    </row>
    <row r="1141" spans="2:18">
      <c r="B1141" s="841"/>
      <c r="C1141" s="842"/>
      <c r="D1141" s="842"/>
      <c r="E1141" s="842"/>
      <c r="F1141" s="1135"/>
      <c r="G1141" s="1135"/>
      <c r="H1141" s="843"/>
      <c r="I1141" s="841"/>
      <c r="J1141" s="1135"/>
      <c r="K1141" s="841"/>
      <c r="L1141" s="841"/>
      <c r="M1141" s="841"/>
      <c r="N1141" s="841"/>
      <c r="O1141" s="841"/>
      <c r="P1141" s="841"/>
      <c r="Q1141" s="841"/>
      <c r="R1141" s="841"/>
    </row>
    <row r="1142" spans="2:18">
      <c r="B1142" s="841"/>
      <c r="C1142" s="842"/>
      <c r="D1142" s="842"/>
      <c r="E1142" s="842"/>
      <c r="F1142" s="1135"/>
      <c r="G1142" s="1135"/>
      <c r="H1142" s="843"/>
      <c r="I1142" s="841"/>
      <c r="J1142" s="1135"/>
      <c r="K1142" s="841"/>
      <c r="L1142" s="841"/>
      <c r="M1142" s="841"/>
      <c r="N1142" s="841"/>
      <c r="O1142" s="841"/>
      <c r="P1142" s="841"/>
      <c r="Q1142" s="841"/>
      <c r="R1142" s="841"/>
    </row>
    <row r="1143" spans="2:18">
      <c r="B1143" s="841"/>
      <c r="C1143" s="842"/>
      <c r="D1143" s="842"/>
      <c r="E1143" s="842"/>
      <c r="F1143" s="1135"/>
      <c r="G1143" s="1135"/>
      <c r="H1143" s="843"/>
      <c r="I1143" s="841"/>
      <c r="J1143" s="1135"/>
      <c r="K1143" s="841"/>
      <c r="L1143" s="841"/>
      <c r="M1143" s="841"/>
      <c r="N1143" s="841"/>
      <c r="O1143" s="841"/>
      <c r="P1143" s="841"/>
      <c r="Q1143" s="841"/>
      <c r="R1143" s="841"/>
    </row>
    <row r="1144" spans="2:18">
      <c r="B1144" s="841"/>
      <c r="C1144" s="842"/>
      <c r="D1144" s="842"/>
      <c r="E1144" s="842"/>
      <c r="F1144" s="1135"/>
      <c r="G1144" s="1135"/>
      <c r="H1144" s="843"/>
      <c r="I1144" s="841"/>
      <c r="J1144" s="1135"/>
      <c r="K1144" s="841"/>
      <c r="L1144" s="841"/>
      <c r="M1144" s="841"/>
      <c r="N1144" s="841"/>
      <c r="O1144" s="841"/>
      <c r="P1144" s="841"/>
      <c r="Q1144" s="841"/>
      <c r="R1144" s="841"/>
    </row>
    <row r="1145" spans="2:18">
      <c r="B1145" s="841"/>
      <c r="C1145" s="842"/>
      <c r="D1145" s="842"/>
      <c r="E1145" s="842"/>
      <c r="F1145" s="1135"/>
      <c r="G1145" s="1135"/>
      <c r="H1145" s="843"/>
      <c r="I1145" s="841"/>
      <c r="J1145" s="1135"/>
      <c r="K1145" s="841"/>
      <c r="L1145" s="841"/>
      <c r="M1145" s="841"/>
      <c r="N1145" s="841"/>
      <c r="O1145" s="841"/>
      <c r="P1145" s="841"/>
      <c r="Q1145" s="841"/>
      <c r="R1145" s="841"/>
    </row>
    <row r="1146" spans="2:18">
      <c r="B1146" s="841"/>
      <c r="C1146" s="842"/>
      <c r="D1146" s="842"/>
      <c r="E1146" s="842"/>
      <c r="F1146" s="1135"/>
      <c r="G1146" s="1135"/>
      <c r="H1146" s="843"/>
      <c r="I1146" s="841"/>
      <c r="J1146" s="1135"/>
      <c r="K1146" s="841"/>
      <c r="L1146" s="841"/>
      <c r="M1146" s="841"/>
      <c r="N1146" s="841"/>
      <c r="O1146" s="841"/>
      <c r="P1146" s="841"/>
      <c r="Q1146" s="841"/>
      <c r="R1146" s="841"/>
    </row>
    <row r="1147" spans="2:18">
      <c r="B1147" s="841"/>
      <c r="C1147" s="842"/>
      <c r="D1147" s="842"/>
      <c r="E1147" s="842"/>
      <c r="F1147" s="1135"/>
      <c r="G1147" s="1135"/>
      <c r="H1147" s="843"/>
      <c r="I1147" s="841"/>
      <c r="J1147" s="1135"/>
      <c r="K1147" s="841"/>
      <c r="L1147" s="841"/>
      <c r="M1147" s="841"/>
      <c r="N1147" s="841"/>
      <c r="O1147" s="841"/>
      <c r="P1147" s="841"/>
      <c r="Q1147" s="841"/>
      <c r="R1147" s="841"/>
    </row>
    <row r="1148" spans="2:18">
      <c r="B1148" s="841"/>
      <c r="C1148" s="842"/>
      <c r="D1148" s="842"/>
      <c r="E1148" s="842"/>
      <c r="F1148" s="1135"/>
      <c r="G1148" s="1135"/>
      <c r="H1148" s="843"/>
      <c r="I1148" s="841"/>
      <c r="J1148" s="1135"/>
      <c r="K1148" s="841"/>
      <c r="L1148" s="841"/>
      <c r="M1148" s="841"/>
      <c r="N1148" s="841"/>
      <c r="O1148" s="841"/>
      <c r="P1148" s="841"/>
      <c r="Q1148" s="841"/>
      <c r="R1148" s="841"/>
    </row>
    <row r="1149" spans="2:18">
      <c r="B1149" s="841"/>
      <c r="C1149" s="842"/>
      <c r="D1149" s="842"/>
      <c r="E1149" s="842"/>
      <c r="F1149" s="1135"/>
      <c r="G1149" s="1135"/>
      <c r="H1149" s="843"/>
      <c r="I1149" s="841"/>
      <c r="J1149" s="1135"/>
      <c r="K1149" s="841"/>
      <c r="L1149" s="841"/>
      <c r="M1149" s="841"/>
      <c r="N1149" s="841"/>
      <c r="O1149" s="841"/>
      <c r="P1149" s="841"/>
      <c r="Q1149" s="841"/>
      <c r="R1149" s="841"/>
    </row>
    <row r="1150" spans="2:18">
      <c r="B1150" s="841"/>
      <c r="C1150" s="842"/>
      <c r="D1150" s="842"/>
      <c r="E1150" s="842"/>
      <c r="F1150" s="1135"/>
      <c r="G1150" s="1135"/>
      <c r="H1150" s="843"/>
      <c r="I1150" s="841"/>
      <c r="J1150" s="1135"/>
      <c r="K1150" s="841"/>
      <c r="L1150" s="841"/>
      <c r="M1150" s="841"/>
      <c r="N1150" s="841"/>
      <c r="O1150" s="841"/>
      <c r="P1150" s="841"/>
      <c r="Q1150" s="841"/>
      <c r="R1150" s="841"/>
    </row>
    <row r="1151" spans="2:18">
      <c r="B1151" s="841"/>
      <c r="C1151" s="842"/>
      <c r="D1151" s="842"/>
      <c r="E1151" s="842"/>
      <c r="F1151" s="1135"/>
      <c r="G1151" s="1135"/>
      <c r="H1151" s="843"/>
      <c r="I1151" s="841"/>
      <c r="J1151" s="1135"/>
      <c r="K1151" s="841"/>
      <c r="L1151" s="841"/>
      <c r="M1151" s="841"/>
      <c r="N1151" s="841"/>
      <c r="O1151" s="841"/>
      <c r="P1151" s="841"/>
      <c r="Q1151" s="841"/>
      <c r="R1151" s="841"/>
    </row>
    <row r="1152" spans="2:18">
      <c r="B1152" s="841"/>
      <c r="C1152" s="842"/>
      <c r="D1152" s="842"/>
      <c r="E1152" s="842"/>
      <c r="F1152" s="1135"/>
      <c r="G1152" s="1135"/>
      <c r="H1152" s="843"/>
      <c r="I1152" s="841"/>
      <c r="J1152" s="1135"/>
      <c r="K1152" s="841"/>
      <c r="L1152" s="841"/>
      <c r="M1152" s="841"/>
      <c r="N1152" s="841"/>
      <c r="O1152" s="841"/>
      <c r="P1152" s="841"/>
      <c r="Q1152" s="841"/>
      <c r="R1152" s="841"/>
    </row>
    <row r="1153" spans="2:18">
      <c r="B1153" s="841"/>
      <c r="C1153" s="842"/>
      <c r="D1153" s="842"/>
      <c r="E1153" s="842"/>
      <c r="F1153" s="1135"/>
      <c r="G1153" s="1135"/>
      <c r="H1153" s="843"/>
      <c r="I1153" s="841"/>
      <c r="J1153" s="1135"/>
      <c r="K1153" s="841"/>
      <c r="L1153" s="841"/>
      <c r="M1153" s="841"/>
      <c r="N1153" s="841"/>
      <c r="O1153" s="841"/>
      <c r="P1153" s="841"/>
      <c r="Q1153" s="841"/>
      <c r="R1153" s="841"/>
    </row>
    <row r="1154" spans="2:18">
      <c r="B1154" s="841"/>
      <c r="C1154" s="842"/>
      <c r="D1154" s="842"/>
      <c r="E1154" s="842"/>
      <c r="F1154" s="1135"/>
      <c r="G1154" s="1135"/>
      <c r="H1154" s="843"/>
      <c r="I1154" s="841"/>
      <c r="J1154" s="1135"/>
      <c r="K1154" s="841"/>
      <c r="L1154" s="841"/>
      <c r="M1154" s="841"/>
      <c r="N1154" s="841"/>
      <c r="O1154" s="841"/>
      <c r="P1154" s="841"/>
      <c r="Q1154" s="841"/>
      <c r="R1154" s="841"/>
    </row>
    <row r="1155" spans="2:18">
      <c r="B1155" s="841"/>
      <c r="C1155" s="842"/>
      <c r="D1155" s="842"/>
      <c r="E1155" s="842"/>
      <c r="F1155" s="1135"/>
      <c r="G1155" s="1135"/>
      <c r="H1155" s="843"/>
      <c r="I1155" s="841"/>
      <c r="J1155" s="1135"/>
      <c r="K1155" s="841"/>
      <c r="L1155" s="841"/>
      <c r="M1155" s="841"/>
      <c r="N1155" s="841"/>
      <c r="O1155" s="841"/>
      <c r="P1155" s="841"/>
      <c r="Q1155" s="841"/>
      <c r="R1155" s="841"/>
    </row>
    <row r="1156" spans="2:18">
      <c r="B1156" s="841"/>
      <c r="C1156" s="842"/>
      <c r="D1156" s="842"/>
      <c r="E1156" s="842"/>
      <c r="F1156" s="1135"/>
      <c r="G1156" s="1135"/>
      <c r="H1156" s="843"/>
      <c r="I1156" s="841"/>
      <c r="J1156" s="1135"/>
      <c r="K1156" s="841"/>
      <c r="L1156" s="841"/>
      <c r="M1156" s="841"/>
      <c r="N1156" s="841"/>
      <c r="O1156" s="841"/>
      <c r="P1156" s="841"/>
      <c r="Q1156" s="841"/>
      <c r="R1156" s="841"/>
    </row>
    <row r="1157" spans="2:18">
      <c r="B1157" s="841"/>
      <c r="C1157" s="842"/>
      <c r="D1157" s="842"/>
      <c r="E1157" s="842"/>
      <c r="F1157" s="1135"/>
      <c r="G1157" s="1135"/>
      <c r="H1157" s="843"/>
      <c r="I1157" s="841"/>
      <c r="J1157" s="1135"/>
      <c r="K1157" s="841"/>
      <c r="L1157" s="841"/>
      <c r="M1157" s="841"/>
      <c r="N1157" s="841"/>
      <c r="O1157" s="841"/>
      <c r="P1157" s="841"/>
      <c r="Q1157" s="841"/>
      <c r="R1157" s="841"/>
    </row>
    <row r="1158" spans="2:18">
      <c r="B1158" s="841"/>
      <c r="C1158" s="842"/>
      <c r="D1158" s="842"/>
      <c r="E1158" s="842"/>
      <c r="F1158" s="1135"/>
      <c r="G1158" s="1135"/>
      <c r="H1158" s="843"/>
      <c r="I1158" s="841"/>
      <c r="J1158" s="1135"/>
      <c r="K1158" s="841"/>
      <c r="L1158" s="841"/>
      <c r="M1158" s="841"/>
      <c r="N1158" s="841"/>
      <c r="O1158" s="841"/>
      <c r="P1158" s="841"/>
      <c r="Q1158" s="841"/>
      <c r="R1158" s="841"/>
    </row>
    <row r="1159" spans="2:18">
      <c r="B1159" s="841"/>
      <c r="C1159" s="842"/>
      <c r="D1159" s="842"/>
      <c r="E1159" s="842"/>
      <c r="F1159" s="1135"/>
      <c r="G1159" s="1135"/>
      <c r="H1159" s="843"/>
      <c r="I1159" s="841"/>
      <c r="J1159" s="1135"/>
      <c r="K1159" s="841"/>
      <c r="L1159" s="841"/>
      <c r="M1159" s="841"/>
      <c r="N1159" s="841"/>
      <c r="O1159" s="841"/>
      <c r="P1159" s="841"/>
      <c r="Q1159" s="841"/>
      <c r="R1159" s="841"/>
    </row>
    <row r="1160" spans="2:18">
      <c r="B1160" s="841"/>
      <c r="C1160" s="842"/>
      <c r="D1160" s="842"/>
      <c r="E1160" s="842"/>
      <c r="F1160" s="1135"/>
      <c r="G1160" s="1135"/>
      <c r="H1160" s="843"/>
      <c r="I1160" s="841"/>
      <c r="J1160" s="1135"/>
      <c r="K1160" s="841"/>
      <c r="L1160" s="841"/>
      <c r="M1160" s="841"/>
      <c r="N1160" s="841"/>
      <c r="O1160" s="841"/>
      <c r="P1160" s="841"/>
      <c r="Q1160" s="841"/>
      <c r="R1160" s="841"/>
    </row>
    <row r="1161" spans="2:18">
      <c r="B1161" s="841"/>
      <c r="C1161" s="842"/>
      <c r="D1161" s="842"/>
      <c r="E1161" s="842"/>
      <c r="F1161" s="1135"/>
      <c r="G1161" s="1135"/>
      <c r="H1161" s="843"/>
      <c r="I1161" s="841"/>
      <c r="J1161" s="1135"/>
      <c r="K1161" s="841"/>
      <c r="L1161" s="841"/>
      <c r="M1161" s="841"/>
      <c r="N1161" s="841"/>
      <c r="O1161" s="841"/>
      <c r="P1161" s="841"/>
      <c r="Q1161" s="841"/>
      <c r="R1161" s="841"/>
    </row>
    <row r="1162" spans="2:18">
      <c r="B1162" s="841"/>
      <c r="C1162" s="842"/>
      <c r="D1162" s="842"/>
      <c r="E1162" s="842"/>
      <c r="F1162" s="1135"/>
      <c r="G1162" s="1135"/>
      <c r="H1162" s="843"/>
      <c r="I1162" s="841"/>
      <c r="J1162" s="1135"/>
      <c r="K1162" s="841"/>
      <c r="L1162" s="841"/>
      <c r="M1162" s="841"/>
      <c r="N1162" s="841"/>
      <c r="O1162" s="841"/>
      <c r="P1162" s="841"/>
      <c r="Q1162" s="841"/>
      <c r="R1162" s="841"/>
    </row>
    <row r="1163" spans="2:18">
      <c r="B1163" s="841"/>
      <c r="C1163" s="842"/>
      <c r="D1163" s="842"/>
      <c r="E1163" s="842"/>
      <c r="F1163" s="1135"/>
      <c r="G1163" s="1135"/>
      <c r="H1163" s="843"/>
      <c r="I1163" s="841"/>
      <c r="J1163" s="1135"/>
      <c r="K1163" s="841"/>
      <c r="L1163" s="841"/>
      <c r="M1163" s="841"/>
      <c r="N1163" s="841"/>
      <c r="O1163" s="841"/>
      <c r="P1163" s="841"/>
      <c r="Q1163" s="841"/>
      <c r="R1163" s="841"/>
    </row>
    <row r="1164" spans="2:18">
      <c r="B1164" s="841"/>
      <c r="C1164" s="842"/>
      <c r="D1164" s="842"/>
      <c r="E1164" s="842"/>
      <c r="F1164" s="1135"/>
      <c r="G1164" s="1135"/>
      <c r="H1164" s="843"/>
      <c r="I1164" s="841"/>
      <c r="J1164" s="1135"/>
      <c r="K1164" s="841"/>
      <c r="L1164" s="841"/>
      <c r="M1164" s="841"/>
      <c r="N1164" s="841"/>
      <c r="O1164" s="841"/>
      <c r="P1164" s="841"/>
      <c r="Q1164" s="841"/>
      <c r="R1164" s="841"/>
    </row>
    <row r="1165" spans="2:18">
      <c r="B1165" s="841"/>
      <c r="C1165" s="842"/>
      <c r="D1165" s="842"/>
      <c r="E1165" s="842"/>
      <c r="F1165" s="1135"/>
      <c r="G1165" s="1135"/>
      <c r="H1165" s="843"/>
      <c r="I1165" s="841"/>
      <c r="J1165" s="1135"/>
      <c r="K1165" s="841"/>
      <c r="L1165" s="841"/>
      <c r="M1165" s="841"/>
      <c r="N1165" s="841"/>
      <c r="O1165" s="841"/>
      <c r="P1165" s="841"/>
      <c r="Q1165" s="841"/>
      <c r="R1165" s="841"/>
    </row>
    <row r="1166" spans="2:18">
      <c r="B1166" s="841"/>
      <c r="C1166" s="842"/>
      <c r="D1166" s="842"/>
      <c r="E1166" s="842"/>
      <c r="F1166" s="1135"/>
      <c r="G1166" s="1135"/>
      <c r="H1166" s="843"/>
      <c r="I1166" s="841"/>
      <c r="J1166" s="1135"/>
      <c r="K1166" s="841"/>
      <c r="L1166" s="841"/>
      <c r="M1166" s="841"/>
      <c r="N1166" s="841"/>
      <c r="O1166" s="841"/>
      <c r="P1166" s="841"/>
      <c r="Q1166" s="841"/>
      <c r="R1166" s="841"/>
    </row>
    <row r="1167" spans="2:18">
      <c r="B1167" s="841"/>
      <c r="C1167" s="842"/>
      <c r="D1167" s="842"/>
      <c r="E1167" s="842"/>
      <c r="F1167" s="1135"/>
      <c r="G1167" s="1135"/>
      <c r="H1167" s="843"/>
      <c r="I1167" s="841"/>
      <c r="J1167" s="1135"/>
      <c r="K1167" s="841"/>
      <c r="L1167" s="841"/>
      <c r="M1167" s="841"/>
      <c r="N1167" s="841"/>
      <c r="O1167" s="841"/>
      <c r="P1167" s="841"/>
      <c r="Q1167" s="841"/>
      <c r="R1167" s="841"/>
    </row>
    <row r="1168" spans="2:18">
      <c r="B1168" s="841"/>
      <c r="C1168" s="842"/>
      <c r="D1168" s="842"/>
      <c r="E1168" s="842"/>
      <c r="F1168" s="1135"/>
      <c r="G1168" s="1135"/>
      <c r="H1168" s="843"/>
      <c r="I1168" s="841"/>
      <c r="J1168" s="1135"/>
      <c r="K1168" s="841"/>
      <c r="L1168" s="841"/>
      <c r="M1168" s="841"/>
      <c r="N1168" s="841"/>
      <c r="O1168" s="841"/>
      <c r="P1168" s="841"/>
      <c r="Q1168" s="841"/>
      <c r="R1168" s="841"/>
    </row>
    <row r="1169" spans="2:18">
      <c r="B1169" s="841"/>
      <c r="C1169" s="842"/>
      <c r="D1169" s="842"/>
      <c r="E1169" s="842"/>
      <c r="F1169" s="1135"/>
      <c r="G1169" s="1135"/>
      <c r="H1169" s="843"/>
      <c r="I1169" s="841"/>
      <c r="J1169" s="1135"/>
      <c r="K1169" s="841"/>
      <c r="L1169" s="841"/>
      <c r="M1169" s="841"/>
      <c r="N1169" s="841"/>
      <c r="O1169" s="841"/>
      <c r="P1169" s="841"/>
      <c r="Q1169" s="841"/>
      <c r="R1169" s="841"/>
    </row>
    <row r="1170" spans="2:18">
      <c r="B1170" s="841"/>
      <c r="C1170" s="842"/>
      <c r="D1170" s="842"/>
      <c r="E1170" s="842"/>
      <c r="F1170" s="1135"/>
      <c r="G1170" s="1135"/>
      <c r="H1170" s="843"/>
      <c r="I1170" s="841"/>
      <c r="J1170" s="1135"/>
      <c r="K1170" s="841"/>
      <c r="L1170" s="841"/>
      <c r="M1170" s="841"/>
      <c r="N1170" s="841"/>
      <c r="O1170" s="841"/>
      <c r="P1170" s="841"/>
      <c r="Q1170" s="841"/>
      <c r="R1170" s="841"/>
    </row>
    <row r="1171" spans="2:18">
      <c r="B1171" s="841"/>
      <c r="C1171" s="842"/>
      <c r="D1171" s="842"/>
      <c r="E1171" s="842"/>
      <c r="F1171" s="1135"/>
      <c r="G1171" s="1135"/>
      <c r="H1171" s="843"/>
      <c r="I1171" s="841"/>
      <c r="J1171" s="1135"/>
      <c r="K1171" s="841"/>
      <c r="L1171" s="841"/>
      <c r="M1171" s="841"/>
      <c r="N1171" s="841"/>
      <c r="O1171" s="841"/>
      <c r="P1171" s="841"/>
      <c r="Q1171" s="841"/>
      <c r="R1171" s="841"/>
    </row>
    <row r="1172" spans="2:18">
      <c r="B1172" s="841"/>
      <c r="C1172" s="842"/>
      <c r="D1172" s="842"/>
      <c r="E1172" s="842"/>
      <c r="F1172" s="1135"/>
      <c r="G1172" s="1135"/>
      <c r="H1172" s="843"/>
      <c r="I1172" s="841"/>
      <c r="J1172" s="1135"/>
      <c r="K1172" s="841"/>
      <c r="L1172" s="841"/>
      <c r="M1172" s="841"/>
      <c r="N1172" s="841"/>
      <c r="O1172" s="841"/>
      <c r="P1172" s="841"/>
      <c r="Q1172" s="841"/>
      <c r="R1172" s="841"/>
    </row>
    <row r="1173" spans="2:18">
      <c r="B1173" s="841"/>
      <c r="C1173" s="842"/>
      <c r="D1173" s="842"/>
      <c r="E1173" s="842"/>
      <c r="F1173" s="1135"/>
      <c r="G1173" s="1135"/>
      <c r="H1173" s="843"/>
      <c r="I1173" s="841"/>
      <c r="J1173" s="1135"/>
      <c r="K1173" s="841"/>
      <c r="L1173" s="841"/>
      <c r="M1173" s="841"/>
      <c r="N1173" s="841"/>
      <c r="O1173" s="841"/>
      <c r="P1173" s="841"/>
      <c r="Q1173" s="841"/>
      <c r="R1173" s="841"/>
    </row>
    <row r="1174" spans="2:18">
      <c r="B1174" s="841"/>
      <c r="C1174" s="842"/>
      <c r="D1174" s="842"/>
      <c r="E1174" s="842"/>
      <c r="F1174" s="1135"/>
      <c r="G1174" s="1135"/>
      <c r="H1174" s="843"/>
      <c r="I1174" s="841"/>
      <c r="J1174" s="1135"/>
      <c r="K1174" s="841"/>
      <c r="L1174" s="841"/>
      <c r="M1174" s="841"/>
      <c r="N1174" s="841"/>
      <c r="O1174" s="841"/>
      <c r="P1174" s="841"/>
      <c r="Q1174" s="841"/>
      <c r="R1174" s="841"/>
    </row>
    <row r="1175" spans="2:18">
      <c r="B1175" s="841"/>
      <c r="C1175" s="842"/>
      <c r="D1175" s="842"/>
      <c r="E1175" s="842"/>
      <c r="F1175" s="1135"/>
      <c r="G1175" s="1135"/>
      <c r="H1175" s="843"/>
      <c r="I1175" s="841"/>
      <c r="J1175" s="1135"/>
      <c r="K1175" s="841"/>
      <c r="L1175" s="841"/>
      <c r="M1175" s="841"/>
      <c r="N1175" s="841"/>
      <c r="O1175" s="841"/>
      <c r="P1175" s="841"/>
      <c r="Q1175" s="841"/>
      <c r="R1175" s="841"/>
    </row>
    <row r="1176" spans="2:18">
      <c r="B1176" s="841"/>
      <c r="C1176" s="842"/>
      <c r="D1176" s="842"/>
      <c r="E1176" s="842"/>
      <c r="F1176" s="1135"/>
      <c r="G1176" s="1135"/>
      <c r="H1176" s="843"/>
      <c r="I1176" s="841"/>
      <c r="J1176" s="1135"/>
      <c r="K1176" s="841"/>
      <c r="L1176" s="841"/>
      <c r="M1176" s="841"/>
      <c r="N1176" s="841"/>
      <c r="O1176" s="841"/>
      <c r="P1176" s="841"/>
      <c r="Q1176" s="841"/>
      <c r="R1176" s="841"/>
    </row>
    <row r="1177" spans="2:18">
      <c r="B1177" s="841"/>
      <c r="C1177" s="842"/>
      <c r="D1177" s="842"/>
      <c r="E1177" s="842"/>
      <c r="F1177" s="1135"/>
      <c r="G1177" s="1135"/>
      <c r="H1177" s="843"/>
      <c r="I1177" s="841"/>
      <c r="J1177" s="1135"/>
      <c r="K1177" s="841"/>
      <c r="L1177" s="841"/>
      <c r="M1177" s="841"/>
      <c r="N1177" s="841"/>
      <c r="O1177" s="841"/>
      <c r="P1177" s="841"/>
      <c r="Q1177" s="841"/>
      <c r="R1177" s="841"/>
    </row>
    <row r="1178" spans="2:18">
      <c r="B1178" s="841"/>
      <c r="C1178" s="842"/>
      <c r="D1178" s="842"/>
      <c r="E1178" s="842"/>
      <c r="F1178" s="1135"/>
      <c r="G1178" s="1135"/>
      <c r="H1178" s="843"/>
      <c r="I1178" s="841"/>
      <c r="J1178" s="1135"/>
      <c r="K1178" s="841"/>
      <c r="L1178" s="841"/>
      <c r="M1178" s="841"/>
      <c r="N1178" s="841"/>
      <c r="O1178" s="841"/>
      <c r="P1178" s="841"/>
      <c r="Q1178" s="841"/>
      <c r="R1178" s="841"/>
    </row>
    <row r="1179" spans="2:18">
      <c r="B1179" s="841"/>
      <c r="C1179" s="842"/>
      <c r="D1179" s="842"/>
      <c r="E1179" s="842"/>
      <c r="F1179" s="1135"/>
      <c r="G1179" s="1135"/>
      <c r="H1179" s="843"/>
      <c r="I1179" s="841"/>
      <c r="J1179" s="1135"/>
      <c r="K1179" s="841"/>
      <c r="L1179" s="841"/>
      <c r="M1179" s="841"/>
      <c r="N1179" s="841"/>
      <c r="O1179" s="841"/>
      <c r="P1179" s="841"/>
      <c r="Q1179" s="841"/>
      <c r="R1179" s="841"/>
    </row>
    <row r="1180" spans="2:18">
      <c r="B1180" s="841"/>
      <c r="C1180" s="842"/>
      <c r="D1180" s="842"/>
      <c r="E1180" s="842"/>
      <c r="F1180" s="1135"/>
      <c r="G1180" s="1135"/>
      <c r="H1180" s="843"/>
      <c r="I1180" s="841"/>
      <c r="J1180" s="1135"/>
      <c r="K1180" s="841"/>
      <c r="L1180" s="841"/>
      <c r="M1180" s="841"/>
      <c r="N1180" s="841"/>
      <c r="O1180" s="841"/>
      <c r="P1180" s="841"/>
      <c r="Q1180" s="841"/>
      <c r="R1180" s="841"/>
    </row>
    <row r="1181" spans="2:18">
      <c r="B1181" s="841"/>
      <c r="C1181" s="842"/>
      <c r="D1181" s="842"/>
      <c r="E1181" s="842"/>
      <c r="F1181" s="1135"/>
      <c r="G1181" s="1135"/>
      <c r="H1181" s="843"/>
      <c r="I1181" s="841"/>
      <c r="J1181" s="1135"/>
      <c r="K1181" s="841"/>
      <c r="L1181" s="841"/>
      <c r="M1181" s="841"/>
      <c r="N1181" s="841"/>
      <c r="O1181" s="841"/>
      <c r="P1181" s="841"/>
      <c r="Q1181" s="841"/>
      <c r="R1181" s="841"/>
    </row>
    <row r="1182" spans="2:18">
      <c r="B1182" s="841"/>
      <c r="C1182" s="842"/>
      <c r="D1182" s="842"/>
      <c r="E1182" s="842"/>
      <c r="F1182" s="1135"/>
      <c r="G1182" s="1135"/>
      <c r="H1182" s="843"/>
      <c r="I1182" s="841"/>
      <c r="J1182" s="1135"/>
      <c r="K1182" s="841"/>
      <c r="L1182" s="841"/>
      <c r="M1182" s="841"/>
      <c r="N1182" s="841"/>
      <c r="O1182" s="841"/>
      <c r="P1182" s="841"/>
      <c r="Q1182" s="841"/>
      <c r="R1182" s="841"/>
    </row>
    <row r="1183" spans="2:18">
      <c r="B1183" s="841"/>
      <c r="C1183" s="842"/>
      <c r="D1183" s="842"/>
      <c r="E1183" s="842"/>
      <c r="F1183" s="1135"/>
      <c r="G1183" s="1135"/>
      <c r="H1183" s="843"/>
      <c r="I1183" s="841"/>
      <c r="J1183" s="1135"/>
      <c r="K1183" s="841"/>
      <c r="L1183" s="841"/>
      <c r="M1183" s="841"/>
      <c r="N1183" s="841"/>
      <c r="O1183" s="841"/>
      <c r="P1183" s="841"/>
      <c r="Q1183" s="841"/>
      <c r="R1183" s="841"/>
    </row>
    <row r="1184" spans="2:18">
      <c r="B1184" s="841"/>
      <c r="C1184" s="842"/>
      <c r="D1184" s="842"/>
      <c r="E1184" s="842"/>
      <c r="F1184" s="1135"/>
      <c r="G1184" s="1135"/>
      <c r="H1184" s="843"/>
      <c r="I1184" s="841"/>
      <c r="J1184" s="1135"/>
      <c r="K1184" s="841"/>
      <c r="L1184" s="841"/>
      <c r="M1184" s="841"/>
      <c r="N1184" s="841"/>
      <c r="O1184" s="841"/>
      <c r="P1184" s="841"/>
      <c r="Q1184" s="841"/>
      <c r="R1184" s="841"/>
    </row>
    <row r="1185" spans="2:18">
      <c r="B1185" s="841"/>
      <c r="C1185" s="842"/>
      <c r="D1185" s="842"/>
      <c r="E1185" s="842"/>
      <c r="F1185" s="1135"/>
      <c r="G1185" s="1135"/>
      <c r="H1185" s="843"/>
      <c r="I1185" s="841"/>
      <c r="J1185" s="1135"/>
      <c r="K1185" s="841"/>
      <c r="L1185" s="841"/>
      <c r="M1185" s="841"/>
      <c r="N1185" s="841"/>
      <c r="O1185" s="841"/>
      <c r="P1185" s="841"/>
      <c r="Q1185" s="841"/>
      <c r="R1185" s="841"/>
    </row>
    <row r="1186" spans="2:18">
      <c r="B1186" s="841"/>
      <c r="C1186" s="842"/>
      <c r="D1186" s="842"/>
      <c r="E1186" s="842"/>
      <c r="F1186" s="1135"/>
      <c r="G1186" s="1135"/>
      <c r="H1186" s="843"/>
      <c r="I1186" s="841"/>
      <c r="J1186" s="1135"/>
      <c r="K1186" s="841"/>
      <c r="L1186" s="841"/>
      <c r="M1186" s="841"/>
      <c r="N1186" s="841"/>
      <c r="O1186" s="841"/>
      <c r="P1186" s="841"/>
      <c r="Q1186" s="841"/>
      <c r="R1186" s="841"/>
    </row>
    <row r="1187" spans="2:18">
      <c r="B1187" s="841"/>
      <c r="C1187" s="842"/>
      <c r="D1187" s="842"/>
      <c r="E1187" s="842"/>
      <c r="F1187" s="1135"/>
      <c r="G1187" s="1135"/>
      <c r="H1187" s="843"/>
      <c r="I1187" s="841"/>
      <c r="J1187" s="1135"/>
      <c r="K1187" s="841"/>
      <c r="L1187" s="841"/>
      <c r="M1187" s="841"/>
      <c r="N1187" s="841"/>
      <c r="O1187" s="841"/>
      <c r="P1187" s="841"/>
      <c r="Q1187" s="841"/>
      <c r="R1187" s="841"/>
    </row>
    <row r="1188" spans="2:18">
      <c r="B1188" s="841"/>
      <c r="C1188" s="842"/>
      <c r="D1188" s="842"/>
      <c r="E1188" s="842"/>
      <c r="F1188" s="1135"/>
      <c r="G1188" s="1135"/>
      <c r="H1188" s="843"/>
      <c r="I1188" s="841"/>
      <c r="J1188" s="1135"/>
      <c r="K1188" s="841"/>
      <c r="L1188" s="841"/>
      <c r="M1188" s="841"/>
      <c r="N1188" s="841"/>
      <c r="O1188" s="841"/>
      <c r="P1188" s="841"/>
      <c r="Q1188" s="841"/>
      <c r="R1188" s="841"/>
    </row>
    <row r="1189" spans="2:18">
      <c r="B1189" s="841"/>
      <c r="C1189" s="842"/>
      <c r="D1189" s="842"/>
      <c r="E1189" s="842"/>
      <c r="F1189" s="1135"/>
      <c r="G1189" s="1135"/>
      <c r="H1189" s="843"/>
      <c r="I1189" s="841"/>
      <c r="J1189" s="1135"/>
      <c r="K1189" s="841"/>
      <c r="L1189" s="841"/>
      <c r="M1189" s="841"/>
      <c r="N1189" s="841"/>
      <c r="O1189" s="841"/>
      <c r="P1189" s="841"/>
      <c r="Q1189" s="841"/>
      <c r="R1189" s="841"/>
    </row>
    <row r="1190" spans="2:18">
      <c r="B1190" s="841"/>
      <c r="C1190" s="842"/>
      <c r="D1190" s="842"/>
      <c r="E1190" s="842"/>
      <c r="F1190" s="1135"/>
      <c r="G1190" s="1135"/>
      <c r="H1190" s="843"/>
      <c r="I1190" s="841"/>
      <c r="J1190" s="1135"/>
      <c r="K1190" s="841"/>
      <c r="L1190" s="841"/>
      <c r="M1190" s="841"/>
      <c r="N1190" s="841"/>
      <c r="O1190" s="841"/>
      <c r="P1190" s="841"/>
      <c r="Q1190" s="841"/>
      <c r="R1190" s="841"/>
    </row>
    <row r="1191" spans="2:18">
      <c r="B1191" s="841"/>
      <c r="C1191" s="842"/>
      <c r="D1191" s="842"/>
      <c r="E1191" s="842"/>
      <c r="F1191" s="1135"/>
      <c r="G1191" s="1135"/>
      <c r="H1191" s="843"/>
      <c r="I1191" s="841"/>
      <c r="J1191" s="1135"/>
      <c r="K1191" s="841"/>
      <c r="L1191" s="841"/>
      <c r="M1191" s="841"/>
      <c r="N1191" s="841"/>
      <c r="O1191" s="841"/>
      <c r="P1191" s="841"/>
      <c r="Q1191" s="841"/>
      <c r="R1191" s="841"/>
    </row>
    <row r="1192" spans="2:18">
      <c r="B1192" s="841"/>
      <c r="C1192" s="842"/>
      <c r="D1192" s="842"/>
      <c r="E1192" s="842"/>
      <c r="F1192" s="1135"/>
      <c r="G1192" s="1135"/>
      <c r="H1192" s="843"/>
      <c r="I1192" s="841"/>
      <c r="J1192" s="1135"/>
      <c r="K1192" s="841"/>
      <c r="L1192" s="841"/>
      <c r="M1192" s="841"/>
      <c r="N1192" s="841"/>
      <c r="O1192" s="841"/>
      <c r="P1192" s="841"/>
      <c r="Q1192" s="841"/>
      <c r="R1192" s="841"/>
    </row>
    <row r="1193" spans="2:18">
      <c r="B1193" s="841"/>
      <c r="C1193" s="842"/>
      <c r="D1193" s="842"/>
      <c r="E1193" s="842"/>
      <c r="F1193" s="1135"/>
      <c r="G1193" s="1135"/>
      <c r="H1193" s="843"/>
      <c r="I1193" s="841"/>
      <c r="J1193" s="1135"/>
      <c r="K1193" s="841"/>
      <c r="L1193" s="841"/>
      <c r="M1193" s="841"/>
      <c r="N1193" s="841"/>
      <c r="O1193" s="841"/>
      <c r="P1193" s="841"/>
      <c r="Q1193" s="841"/>
      <c r="R1193" s="841"/>
    </row>
    <row r="1194" spans="2:18">
      <c r="B1194" s="841"/>
      <c r="C1194" s="842"/>
      <c r="D1194" s="842"/>
      <c r="E1194" s="842"/>
      <c r="F1194" s="1135"/>
      <c r="G1194" s="1135"/>
      <c r="H1194" s="843"/>
      <c r="I1194" s="841"/>
      <c r="J1194" s="1135"/>
      <c r="K1194" s="841"/>
      <c r="L1194" s="841"/>
      <c r="M1194" s="841"/>
      <c r="N1194" s="841"/>
      <c r="O1194" s="841"/>
      <c r="P1194" s="841"/>
      <c r="Q1194" s="841"/>
      <c r="R1194" s="841"/>
    </row>
    <row r="1195" spans="2:18">
      <c r="B1195" s="841"/>
      <c r="C1195" s="842"/>
      <c r="D1195" s="842"/>
      <c r="E1195" s="842"/>
      <c r="F1195" s="1135"/>
      <c r="G1195" s="1135"/>
      <c r="H1195" s="843"/>
      <c r="I1195" s="841"/>
      <c r="J1195" s="1135"/>
      <c r="K1195" s="841"/>
      <c r="L1195" s="841"/>
      <c r="M1195" s="841"/>
      <c r="N1195" s="841"/>
      <c r="O1195" s="841"/>
      <c r="P1195" s="841"/>
      <c r="Q1195" s="841"/>
      <c r="R1195" s="841"/>
    </row>
    <row r="1196" spans="2:18">
      <c r="B1196" s="841"/>
      <c r="C1196" s="842"/>
      <c r="D1196" s="842"/>
      <c r="E1196" s="842"/>
      <c r="F1196" s="1135"/>
      <c r="G1196" s="1135"/>
      <c r="H1196" s="843"/>
      <c r="I1196" s="841"/>
      <c r="J1196" s="1135"/>
      <c r="K1196" s="841"/>
      <c r="L1196" s="841"/>
      <c r="M1196" s="841"/>
      <c r="N1196" s="841"/>
      <c r="O1196" s="841"/>
      <c r="P1196" s="841"/>
      <c r="Q1196" s="841"/>
      <c r="R1196" s="841"/>
    </row>
    <row r="1197" spans="2:18">
      <c r="B1197" s="841"/>
      <c r="C1197" s="842"/>
      <c r="D1197" s="842"/>
      <c r="E1197" s="842"/>
      <c r="F1197" s="1135"/>
      <c r="G1197" s="1135"/>
      <c r="H1197" s="843"/>
      <c r="I1197" s="841"/>
      <c r="J1197" s="1135"/>
      <c r="K1197" s="841"/>
      <c r="L1197" s="841"/>
      <c r="M1197" s="841"/>
      <c r="N1197" s="841"/>
      <c r="O1197" s="841"/>
      <c r="P1197" s="841"/>
      <c r="Q1197" s="841"/>
      <c r="R1197" s="841"/>
    </row>
    <row r="1198" spans="2:18">
      <c r="B1198" s="841"/>
      <c r="C1198" s="842"/>
      <c r="D1198" s="842"/>
      <c r="E1198" s="842"/>
      <c r="F1198" s="1135"/>
      <c r="G1198" s="1135"/>
      <c r="H1198" s="843"/>
      <c r="I1198" s="841"/>
      <c r="J1198" s="1135"/>
      <c r="K1198" s="841"/>
      <c r="L1198" s="841"/>
      <c r="M1198" s="841"/>
      <c r="N1198" s="841"/>
      <c r="O1198" s="841"/>
      <c r="P1198" s="841"/>
      <c r="Q1198" s="841"/>
      <c r="R1198" s="841"/>
    </row>
    <row r="1199" spans="2:18">
      <c r="B1199" s="841"/>
      <c r="C1199" s="842"/>
      <c r="D1199" s="842"/>
      <c r="E1199" s="842"/>
      <c r="F1199" s="1135"/>
      <c r="G1199" s="1135"/>
      <c r="H1199" s="843"/>
      <c r="I1199" s="841"/>
      <c r="J1199" s="1135"/>
      <c r="K1199" s="841"/>
      <c r="L1199" s="841"/>
      <c r="M1199" s="841"/>
      <c r="N1199" s="841"/>
      <c r="O1199" s="841"/>
      <c r="P1199" s="841"/>
      <c r="Q1199" s="841"/>
      <c r="R1199" s="841"/>
    </row>
    <row r="1200" spans="2:18">
      <c r="B1200" s="841"/>
      <c r="C1200" s="842"/>
      <c r="D1200" s="842"/>
      <c r="E1200" s="842"/>
      <c r="F1200" s="1135"/>
      <c r="G1200" s="1135"/>
      <c r="H1200" s="843"/>
      <c r="I1200" s="841"/>
      <c r="J1200" s="1135"/>
      <c r="K1200" s="841"/>
      <c r="L1200" s="841"/>
      <c r="M1200" s="841"/>
      <c r="N1200" s="841"/>
      <c r="O1200" s="841"/>
      <c r="P1200" s="841"/>
      <c r="Q1200" s="841"/>
      <c r="R1200" s="841"/>
    </row>
    <row r="1201" spans="2:18">
      <c r="B1201" s="841"/>
      <c r="C1201" s="842"/>
      <c r="D1201" s="842"/>
      <c r="E1201" s="842"/>
      <c r="F1201" s="1135"/>
      <c r="G1201" s="1135"/>
      <c r="H1201" s="843"/>
      <c r="I1201" s="841"/>
      <c r="J1201" s="1135"/>
      <c r="K1201" s="841"/>
      <c r="L1201" s="841"/>
      <c r="M1201" s="841"/>
      <c r="N1201" s="841"/>
      <c r="O1201" s="841"/>
      <c r="P1201" s="841"/>
      <c r="Q1201" s="841"/>
      <c r="R1201" s="841"/>
    </row>
    <row r="1202" spans="2:18">
      <c r="B1202" s="841"/>
      <c r="C1202" s="842"/>
      <c r="D1202" s="842"/>
      <c r="E1202" s="842"/>
      <c r="F1202" s="1135"/>
      <c r="G1202" s="1135"/>
      <c r="H1202" s="843"/>
      <c r="I1202" s="841"/>
      <c r="J1202" s="1135"/>
      <c r="K1202" s="841"/>
      <c r="L1202" s="841"/>
      <c r="M1202" s="841"/>
      <c r="N1202" s="841"/>
      <c r="O1202" s="841"/>
      <c r="P1202" s="841"/>
      <c r="Q1202" s="841"/>
      <c r="R1202" s="841"/>
    </row>
    <row r="1203" spans="2:18">
      <c r="B1203" s="841"/>
      <c r="C1203" s="842"/>
      <c r="D1203" s="842"/>
      <c r="E1203" s="842"/>
      <c r="F1203" s="1135"/>
      <c r="G1203" s="1135"/>
      <c r="H1203" s="843"/>
      <c r="I1203" s="841"/>
      <c r="J1203" s="1135"/>
      <c r="K1203" s="841"/>
      <c r="L1203" s="841"/>
      <c r="M1203" s="841"/>
      <c r="N1203" s="841"/>
      <c r="O1203" s="841"/>
      <c r="P1203" s="841"/>
      <c r="Q1203" s="841"/>
      <c r="R1203" s="841"/>
    </row>
    <row r="1204" spans="2:18">
      <c r="B1204" s="841"/>
      <c r="C1204" s="842"/>
      <c r="D1204" s="842"/>
      <c r="E1204" s="842"/>
      <c r="F1204" s="1135"/>
      <c r="G1204" s="1135"/>
      <c r="H1204" s="843"/>
      <c r="I1204" s="841"/>
      <c r="J1204" s="1135"/>
      <c r="K1204" s="841"/>
      <c r="L1204" s="841"/>
      <c r="M1204" s="841"/>
      <c r="N1204" s="841"/>
      <c r="O1204" s="841"/>
      <c r="P1204" s="841"/>
      <c r="Q1204" s="841"/>
      <c r="R1204" s="841"/>
    </row>
    <row r="1205" spans="2:18">
      <c r="B1205" s="841"/>
      <c r="C1205" s="842"/>
      <c r="D1205" s="842"/>
      <c r="E1205" s="842"/>
      <c r="F1205" s="1135"/>
      <c r="G1205" s="1135"/>
      <c r="H1205" s="843"/>
      <c r="I1205" s="841"/>
      <c r="J1205" s="1135"/>
      <c r="K1205" s="841"/>
      <c r="L1205" s="841"/>
      <c r="M1205" s="841"/>
      <c r="N1205" s="841"/>
      <c r="O1205" s="841"/>
      <c r="P1205" s="841"/>
      <c r="Q1205" s="841"/>
      <c r="R1205" s="841"/>
    </row>
    <row r="1206" spans="2:18">
      <c r="B1206" s="841"/>
      <c r="C1206" s="842"/>
      <c r="D1206" s="842"/>
      <c r="E1206" s="842"/>
      <c r="F1206" s="1135"/>
      <c r="G1206" s="1135"/>
      <c r="H1206" s="843"/>
      <c r="I1206" s="841"/>
      <c r="J1206" s="1135"/>
      <c r="K1206" s="841"/>
      <c r="L1206" s="841"/>
      <c r="M1206" s="841"/>
      <c r="N1206" s="841"/>
      <c r="O1206" s="841"/>
      <c r="P1206" s="841"/>
      <c r="Q1206" s="841"/>
      <c r="R1206" s="841"/>
    </row>
    <row r="1207" spans="2:18">
      <c r="B1207" s="841"/>
      <c r="C1207" s="842"/>
      <c r="D1207" s="842"/>
      <c r="E1207" s="842"/>
      <c r="F1207" s="1135"/>
      <c r="G1207" s="1135"/>
      <c r="H1207" s="843"/>
      <c r="I1207" s="841"/>
      <c r="J1207" s="1135"/>
      <c r="K1207" s="841"/>
      <c r="L1207" s="841"/>
      <c r="M1207" s="841"/>
      <c r="N1207" s="841"/>
      <c r="O1207" s="841"/>
      <c r="P1207" s="841"/>
      <c r="Q1207" s="841"/>
      <c r="R1207" s="841"/>
    </row>
    <row r="1208" spans="2:18">
      <c r="B1208" s="841"/>
      <c r="C1208" s="842"/>
      <c r="D1208" s="842"/>
      <c r="E1208" s="842"/>
      <c r="F1208" s="1135"/>
      <c r="G1208" s="1135"/>
      <c r="H1208" s="843"/>
      <c r="I1208" s="841"/>
      <c r="J1208" s="1135"/>
      <c r="K1208" s="841"/>
      <c r="L1208" s="841"/>
      <c r="M1208" s="841"/>
      <c r="N1208" s="841"/>
      <c r="O1208" s="841"/>
      <c r="P1208" s="841"/>
      <c r="Q1208" s="841"/>
      <c r="R1208" s="841"/>
    </row>
    <row r="1209" spans="2:18">
      <c r="B1209" s="841"/>
      <c r="C1209" s="842"/>
      <c r="D1209" s="842"/>
      <c r="E1209" s="842"/>
      <c r="F1209" s="1135"/>
      <c r="G1209" s="1135"/>
      <c r="H1209" s="843"/>
      <c r="I1209" s="841"/>
      <c r="J1209" s="1135"/>
      <c r="K1209" s="841"/>
      <c r="L1209" s="841"/>
      <c r="M1209" s="841"/>
      <c r="N1209" s="841"/>
      <c r="O1209" s="841"/>
      <c r="P1209" s="841"/>
      <c r="Q1209" s="841"/>
      <c r="R1209" s="841"/>
    </row>
    <row r="1210" spans="2:18">
      <c r="B1210" s="841"/>
      <c r="C1210" s="842"/>
      <c r="D1210" s="842"/>
      <c r="E1210" s="842"/>
      <c r="F1210" s="1135"/>
      <c r="G1210" s="1135"/>
      <c r="H1210" s="843"/>
      <c r="I1210" s="841"/>
      <c r="J1210" s="1135"/>
      <c r="K1210" s="841"/>
      <c r="L1210" s="841"/>
      <c r="M1210" s="841"/>
      <c r="N1210" s="841"/>
      <c r="O1210" s="841"/>
      <c r="P1210" s="841"/>
      <c r="Q1210" s="841"/>
      <c r="R1210" s="841"/>
    </row>
    <row r="1211" spans="2:18">
      <c r="B1211" s="841"/>
      <c r="C1211" s="842"/>
      <c r="D1211" s="842"/>
      <c r="E1211" s="842"/>
      <c r="F1211" s="1135"/>
      <c r="G1211" s="1135"/>
      <c r="H1211" s="843"/>
      <c r="I1211" s="841"/>
      <c r="J1211" s="1135"/>
      <c r="K1211" s="841"/>
      <c r="L1211" s="841"/>
      <c r="M1211" s="841"/>
      <c r="N1211" s="841"/>
      <c r="O1211" s="841"/>
      <c r="P1211" s="841"/>
      <c r="Q1211" s="841"/>
      <c r="R1211" s="841"/>
    </row>
    <row r="1212" spans="2:18">
      <c r="B1212" s="841"/>
      <c r="C1212" s="842"/>
      <c r="D1212" s="842"/>
      <c r="E1212" s="842"/>
      <c r="F1212" s="1135"/>
      <c r="G1212" s="1135"/>
      <c r="H1212" s="843"/>
      <c r="I1212" s="841"/>
      <c r="J1212" s="1135"/>
      <c r="K1212" s="841"/>
      <c r="L1212" s="841"/>
      <c r="M1212" s="841"/>
      <c r="N1212" s="841"/>
      <c r="O1212" s="841"/>
      <c r="P1212" s="841"/>
      <c r="Q1212" s="841"/>
      <c r="R1212" s="841"/>
    </row>
    <row r="1213" spans="2:18">
      <c r="B1213" s="841"/>
      <c r="C1213" s="842"/>
      <c r="D1213" s="842"/>
      <c r="E1213" s="842"/>
      <c r="F1213" s="1135"/>
      <c r="G1213" s="1135"/>
      <c r="H1213" s="843"/>
      <c r="I1213" s="841"/>
      <c r="J1213" s="1135"/>
      <c r="K1213" s="841"/>
      <c r="L1213" s="841"/>
      <c r="M1213" s="841"/>
      <c r="N1213" s="841"/>
      <c r="O1213" s="841"/>
      <c r="P1213" s="841"/>
      <c r="Q1213" s="841"/>
      <c r="R1213" s="841"/>
    </row>
    <row r="1214" spans="2:18">
      <c r="B1214" s="841"/>
      <c r="C1214" s="842"/>
      <c r="D1214" s="842"/>
      <c r="E1214" s="842"/>
      <c r="F1214" s="1135"/>
      <c r="G1214" s="1135"/>
      <c r="H1214" s="843"/>
      <c r="I1214" s="841"/>
      <c r="J1214" s="1135"/>
      <c r="K1214" s="841"/>
      <c r="L1214" s="841"/>
      <c r="M1214" s="841"/>
      <c r="N1214" s="841"/>
      <c r="O1214" s="841"/>
      <c r="P1214" s="841"/>
      <c r="Q1214" s="841"/>
      <c r="R1214" s="841"/>
    </row>
    <row r="1215" spans="2:18">
      <c r="B1215" s="841"/>
      <c r="C1215" s="842"/>
      <c r="D1215" s="842"/>
      <c r="E1215" s="842"/>
      <c r="F1215" s="1135"/>
      <c r="G1215" s="1135"/>
      <c r="H1215" s="843"/>
      <c r="I1215" s="841"/>
      <c r="J1215" s="1135"/>
      <c r="K1215" s="841"/>
      <c r="L1215" s="841"/>
      <c r="M1215" s="841"/>
      <c r="N1215" s="841"/>
      <c r="O1215" s="841"/>
      <c r="P1215" s="841"/>
      <c r="Q1215" s="841"/>
      <c r="R1215" s="841"/>
    </row>
    <row r="1216" spans="2:18">
      <c r="B1216" s="841"/>
      <c r="C1216" s="842"/>
      <c r="D1216" s="842"/>
      <c r="E1216" s="842"/>
      <c r="F1216" s="1135"/>
      <c r="G1216" s="1135"/>
      <c r="H1216" s="843"/>
      <c r="I1216" s="841"/>
      <c r="J1216" s="1135"/>
      <c r="K1216" s="841"/>
      <c r="L1216" s="841"/>
      <c r="M1216" s="841"/>
      <c r="N1216" s="841"/>
      <c r="O1216" s="841"/>
      <c r="P1216" s="841"/>
      <c r="Q1216" s="841"/>
      <c r="R1216" s="841"/>
    </row>
    <row r="1217" spans="2:18">
      <c r="B1217" s="841"/>
      <c r="C1217" s="842"/>
      <c r="D1217" s="842"/>
      <c r="E1217" s="842"/>
      <c r="F1217" s="1135"/>
      <c r="G1217" s="1135"/>
      <c r="H1217" s="843"/>
      <c r="I1217" s="841"/>
      <c r="J1217" s="1135"/>
      <c r="K1217" s="841"/>
      <c r="L1217" s="841"/>
      <c r="M1217" s="841"/>
      <c r="N1217" s="841"/>
      <c r="O1217" s="841"/>
      <c r="P1217" s="841"/>
      <c r="Q1217" s="841"/>
      <c r="R1217" s="841"/>
    </row>
    <row r="1218" spans="2:18">
      <c r="B1218" s="841"/>
      <c r="C1218" s="842"/>
      <c r="D1218" s="842"/>
      <c r="E1218" s="842"/>
      <c r="F1218" s="1135"/>
      <c r="G1218" s="1135"/>
      <c r="H1218" s="843"/>
      <c r="I1218" s="841"/>
      <c r="J1218" s="1135"/>
      <c r="K1218" s="841"/>
      <c r="L1218" s="841"/>
      <c r="M1218" s="841"/>
      <c r="N1218" s="841"/>
      <c r="O1218" s="841"/>
      <c r="P1218" s="841"/>
      <c r="Q1218" s="841"/>
      <c r="R1218" s="841"/>
    </row>
    <row r="1219" spans="2:18">
      <c r="B1219" s="841"/>
      <c r="C1219" s="842"/>
      <c r="D1219" s="842"/>
      <c r="E1219" s="842"/>
      <c r="F1219" s="1135"/>
      <c r="G1219" s="1135"/>
      <c r="H1219" s="843"/>
      <c r="I1219" s="841"/>
      <c r="J1219" s="1135"/>
      <c r="K1219" s="841"/>
      <c r="L1219" s="841"/>
      <c r="M1219" s="841"/>
      <c r="N1219" s="841"/>
      <c r="O1219" s="841"/>
      <c r="P1219" s="841"/>
      <c r="Q1219" s="841"/>
      <c r="R1219" s="841"/>
    </row>
    <row r="1220" spans="2:18">
      <c r="B1220" s="841"/>
      <c r="C1220" s="842"/>
      <c r="D1220" s="842"/>
      <c r="E1220" s="842"/>
      <c r="F1220" s="1135"/>
      <c r="G1220" s="1135"/>
      <c r="H1220" s="843"/>
      <c r="I1220" s="841"/>
      <c r="J1220" s="1135"/>
      <c r="K1220" s="841"/>
      <c r="L1220" s="841"/>
      <c r="M1220" s="841"/>
      <c r="N1220" s="841"/>
      <c r="O1220" s="841"/>
      <c r="P1220" s="841"/>
      <c r="Q1220" s="841"/>
      <c r="R1220" s="841"/>
    </row>
    <row r="1221" spans="2:18">
      <c r="B1221" s="841"/>
      <c r="C1221" s="842"/>
      <c r="D1221" s="842"/>
      <c r="E1221" s="842"/>
      <c r="F1221" s="1135"/>
      <c r="G1221" s="1135"/>
      <c r="H1221" s="843"/>
      <c r="I1221" s="841"/>
      <c r="J1221" s="1135"/>
      <c r="K1221" s="841"/>
      <c r="L1221" s="841"/>
      <c r="M1221" s="841"/>
      <c r="N1221" s="841"/>
      <c r="O1221" s="841"/>
      <c r="P1221" s="841"/>
      <c r="Q1221" s="841"/>
      <c r="R1221" s="841"/>
    </row>
    <row r="1222" spans="2:18">
      <c r="B1222" s="841"/>
      <c r="C1222" s="842"/>
      <c r="D1222" s="842"/>
      <c r="E1222" s="842"/>
      <c r="F1222" s="1135"/>
      <c r="G1222" s="1135"/>
      <c r="H1222" s="843"/>
      <c r="I1222" s="841"/>
      <c r="J1222" s="1135"/>
      <c r="K1222" s="841"/>
      <c r="L1222" s="841"/>
      <c r="M1222" s="841"/>
      <c r="N1222" s="841"/>
      <c r="O1222" s="841"/>
      <c r="P1222" s="841"/>
      <c r="Q1222" s="841"/>
      <c r="R1222" s="841"/>
    </row>
    <row r="1223" spans="2:18">
      <c r="B1223" s="841"/>
      <c r="C1223" s="842"/>
      <c r="D1223" s="842"/>
      <c r="E1223" s="842"/>
      <c r="F1223" s="1135"/>
      <c r="G1223" s="1135"/>
      <c r="H1223" s="843"/>
      <c r="I1223" s="841"/>
      <c r="J1223" s="1135"/>
      <c r="K1223" s="841"/>
      <c r="L1223" s="841"/>
      <c r="M1223" s="841"/>
      <c r="N1223" s="841"/>
      <c r="O1223" s="841"/>
      <c r="P1223" s="841"/>
      <c r="Q1223" s="841"/>
      <c r="R1223" s="841"/>
    </row>
    <row r="1224" spans="2:18">
      <c r="B1224" s="841"/>
      <c r="C1224" s="842"/>
      <c r="D1224" s="842"/>
      <c r="E1224" s="842"/>
      <c r="F1224" s="1135"/>
      <c r="G1224" s="1135"/>
      <c r="H1224" s="843"/>
      <c r="I1224" s="841"/>
      <c r="J1224" s="1135"/>
      <c r="K1224" s="841"/>
      <c r="L1224" s="841"/>
      <c r="M1224" s="841"/>
      <c r="N1224" s="841"/>
      <c r="O1224" s="841"/>
      <c r="P1224" s="841"/>
      <c r="Q1224" s="841"/>
      <c r="R1224" s="841"/>
    </row>
    <row r="1225" spans="2:18">
      <c r="B1225" s="841"/>
      <c r="C1225" s="842"/>
      <c r="D1225" s="842"/>
      <c r="E1225" s="842"/>
      <c r="F1225" s="1135"/>
      <c r="G1225" s="1135"/>
      <c r="H1225" s="843"/>
      <c r="I1225" s="841"/>
      <c r="J1225" s="1135"/>
      <c r="K1225" s="841"/>
      <c r="L1225" s="841"/>
      <c r="M1225" s="841"/>
      <c r="N1225" s="841"/>
      <c r="O1225" s="841"/>
      <c r="P1225" s="841"/>
      <c r="Q1225" s="841"/>
      <c r="R1225" s="841"/>
    </row>
    <row r="1226" spans="2:18">
      <c r="B1226" s="841"/>
      <c r="C1226" s="842"/>
      <c r="D1226" s="842"/>
      <c r="E1226" s="842"/>
      <c r="F1226" s="1135"/>
      <c r="G1226" s="1135"/>
      <c r="H1226" s="843"/>
      <c r="I1226" s="841"/>
      <c r="J1226" s="1135"/>
      <c r="K1226" s="841"/>
      <c r="L1226" s="841"/>
      <c r="M1226" s="841"/>
      <c r="N1226" s="841"/>
      <c r="O1226" s="841"/>
      <c r="P1226" s="841"/>
      <c r="Q1226" s="841"/>
      <c r="R1226" s="841"/>
    </row>
    <row r="1227" spans="2:18">
      <c r="B1227" s="841"/>
      <c r="C1227" s="842"/>
      <c r="D1227" s="842"/>
      <c r="E1227" s="842"/>
      <c r="F1227" s="1135"/>
      <c r="G1227" s="1135"/>
      <c r="H1227" s="843"/>
      <c r="I1227" s="841"/>
      <c r="J1227" s="1135"/>
      <c r="K1227" s="841"/>
      <c r="L1227" s="841"/>
      <c r="M1227" s="841"/>
      <c r="N1227" s="841"/>
      <c r="O1227" s="841"/>
      <c r="P1227" s="841"/>
      <c r="Q1227" s="841"/>
      <c r="R1227" s="841"/>
    </row>
    <row r="1228" spans="2:18">
      <c r="B1228" s="841"/>
      <c r="C1228" s="842"/>
      <c r="D1228" s="842"/>
      <c r="E1228" s="842"/>
      <c r="F1228" s="1135"/>
      <c r="G1228" s="1135"/>
      <c r="H1228" s="843"/>
      <c r="I1228" s="841"/>
      <c r="J1228" s="1135"/>
      <c r="K1228" s="841"/>
      <c r="L1228" s="841"/>
      <c r="M1228" s="841"/>
      <c r="N1228" s="841"/>
      <c r="O1228" s="841"/>
      <c r="P1228" s="841"/>
      <c r="Q1228" s="841"/>
      <c r="R1228" s="841"/>
    </row>
    <row r="1229" spans="2:18">
      <c r="B1229" s="841"/>
      <c r="C1229" s="842"/>
      <c r="D1229" s="842"/>
      <c r="E1229" s="842"/>
      <c r="F1229" s="1135"/>
      <c r="G1229" s="1135"/>
      <c r="H1229" s="843"/>
      <c r="I1229" s="841"/>
      <c r="J1229" s="1135"/>
      <c r="K1229" s="841"/>
      <c r="L1229" s="841"/>
      <c r="M1229" s="841"/>
      <c r="N1229" s="841"/>
      <c r="O1229" s="841"/>
      <c r="P1229" s="841"/>
      <c r="Q1229" s="841"/>
      <c r="R1229" s="841"/>
    </row>
    <row r="1230" spans="2:18">
      <c r="B1230" s="841"/>
      <c r="C1230" s="842"/>
      <c r="D1230" s="842"/>
      <c r="E1230" s="842"/>
      <c r="F1230" s="1135"/>
      <c r="G1230" s="1135"/>
      <c r="H1230" s="843"/>
      <c r="I1230" s="841"/>
      <c r="J1230" s="1135"/>
      <c r="K1230" s="841"/>
      <c r="L1230" s="841"/>
      <c r="M1230" s="841"/>
      <c r="N1230" s="841"/>
      <c r="O1230" s="841"/>
      <c r="P1230" s="841"/>
      <c r="Q1230" s="841"/>
      <c r="R1230" s="841"/>
    </row>
    <row r="1231" spans="2:18">
      <c r="B1231" s="841"/>
      <c r="C1231" s="842"/>
      <c r="D1231" s="842"/>
      <c r="E1231" s="842"/>
      <c r="F1231" s="1135"/>
      <c r="G1231" s="1135"/>
      <c r="H1231" s="843"/>
      <c r="I1231" s="841"/>
      <c r="J1231" s="1135"/>
      <c r="K1231" s="841"/>
      <c r="L1231" s="841"/>
      <c r="M1231" s="841"/>
      <c r="N1231" s="841"/>
      <c r="O1231" s="841"/>
      <c r="P1231" s="841"/>
      <c r="Q1231" s="841"/>
      <c r="R1231" s="841"/>
    </row>
    <row r="1232" spans="2:18">
      <c r="B1232" s="841"/>
      <c r="C1232" s="842"/>
      <c r="D1232" s="842"/>
      <c r="E1232" s="842"/>
      <c r="F1232" s="1135"/>
      <c r="G1232" s="1135"/>
      <c r="H1232" s="843"/>
      <c r="I1232" s="841"/>
      <c r="J1232" s="1135"/>
      <c r="K1232" s="841"/>
      <c r="L1232" s="841"/>
      <c r="M1232" s="841"/>
      <c r="N1232" s="841"/>
      <c r="O1232" s="841"/>
      <c r="P1232" s="841"/>
      <c r="Q1232" s="841"/>
      <c r="R1232" s="841"/>
    </row>
    <row r="1233" spans="2:18">
      <c r="B1233" s="841"/>
      <c r="C1233" s="842"/>
      <c r="D1233" s="842"/>
      <c r="E1233" s="842"/>
      <c r="F1233" s="1135"/>
      <c r="G1233" s="1135"/>
      <c r="H1233" s="843"/>
      <c r="I1233" s="841"/>
      <c r="J1233" s="1135"/>
      <c r="K1233" s="841"/>
      <c r="L1233" s="841"/>
      <c r="M1233" s="841"/>
      <c r="N1233" s="841"/>
      <c r="O1233" s="841"/>
      <c r="P1233" s="841"/>
      <c r="Q1233" s="841"/>
      <c r="R1233" s="841"/>
    </row>
    <row r="1234" spans="2:18">
      <c r="B1234" s="841"/>
      <c r="C1234" s="842"/>
      <c r="D1234" s="842"/>
      <c r="E1234" s="842"/>
      <c r="F1234" s="1135"/>
      <c r="G1234" s="1135"/>
      <c r="H1234" s="843"/>
      <c r="I1234" s="841"/>
      <c r="J1234" s="1135"/>
      <c r="K1234" s="841"/>
      <c r="L1234" s="841"/>
      <c r="M1234" s="841"/>
      <c r="N1234" s="841"/>
      <c r="O1234" s="841"/>
      <c r="P1234" s="841"/>
      <c r="Q1234" s="841"/>
      <c r="R1234" s="841"/>
    </row>
    <row r="1235" spans="2:18">
      <c r="B1235" s="841"/>
      <c r="C1235" s="842"/>
      <c r="D1235" s="842"/>
      <c r="E1235" s="842"/>
      <c r="F1235" s="1135"/>
      <c r="G1235" s="1135"/>
      <c r="H1235" s="843"/>
      <c r="I1235" s="841"/>
      <c r="J1235" s="1135"/>
      <c r="K1235" s="841"/>
      <c r="L1235" s="841"/>
      <c r="M1235" s="841"/>
      <c r="N1235" s="841"/>
      <c r="O1235" s="841"/>
      <c r="P1235" s="841"/>
      <c r="Q1235" s="841"/>
      <c r="R1235" s="841"/>
    </row>
    <row r="1236" spans="2:18">
      <c r="B1236" s="841"/>
      <c r="C1236" s="842"/>
      <c r="D1236" s="842"/>
      <c r="E1236" s="842"/>
      <c r="F1236" s="1135"/>
      <c r="G1236" s="1135"/>
      <c r="H1236" s="843"/>
      <c r="I1236" s="841"/>
      <c r="J1236" s="1135"/>
      <c r="K1236" s="841"/>
      <c r="L1236" s="841"/>
      <c r="M1236" s="841"/>
      <c r="N1236" s="841"/>
      <c r="O1236" s="841"/>
      <c r="P1236" s="841"/>
      <c r="Q1236" s="841"/>
      <c r="R1236" s="841"/>
    </row>
    <row r="1237" spans="2:18">
      <c r="B1237" s="841"/>
      <c r="C1237" s="842"/>
      <c r="D1237" s="842"/>
      <c r="E1237" s="842"/>
      <c r="F1237" s="1135"/>
      <c r="G1237" s="1135"/>
      <c r="H1237" s="843"/>
      <c r="I1237" s="841"/>
      <c r="J1237" s="1135"/>
      <c r="K1237" s="841"/>
      <c r="L1237" s="841"/>
      <c r="M1237" s="841"/>
      <c r="N1237" s="841"/>
      <c r="O1237" s="841"/>
      <c r="P1237" s="841"/>
      <c r="Q1237" s="841"/>
      <c r="R1237" s="841"/>
    </row>
    <row r="1238" spans="2:18">
      <c r="B1238" s="841"/>
      <c r="C1238" s="842"/>
      <c r="D1238" s="842"/>
      <c r="E1238" s="842"/>
      <c r="F1238" s="1135"/>
      <c r="G1238" s="1135"/>
      <c r="H1238" s="843"/>
      <c r="I1238" s="841"/>
      <c r="J1238" s="1135"/>
      <c r="K1238" s="841"/>
      <c r="L1238" s="841"/>
      <c r="M1238" s="841"/>
      <c r="N1238" s="841"/>
      <c r="O1238" s="841"/>
      <c r="P1238" s="841"/>
      <c r="Q1238" s="841"/>
      <c r="R1238" s="841"/>
    </row>
    <row r="1239" spans="2:18">
      <c r="B1239" s="841"/>
      <c r="C1239" s="842"/>
      <c r="D1239" s="842"/>
      <c r="E1239" s="842"/>
      <c r="F1239" s="1135"/>
      <c r="G1239" s="1135"/>
      <c r="H1239" s="843"/>
      <c r="I1239" s="841"/>
      <c r="J1239" s="1135"/>
      <c r="K1239" s="841"/>
      <c r="L1239" s="841"/>
      <c r="M1239" s="841"/>
      <c r="N1239" s="841"/>
      <c r="O1239" s="841"/>
      <c r="P1239" s="841"/>
      <c r="Q1239" s="841"/>
      <c r="R1239" s="841"/>
    </row>
    <row r="1240" spans="2:18">
      <c r="B1240" s="841"/>
      <c r="C1240" s="842"/>
      <c r="D1240" s="842"/>
      <c r="E1240" s="842"/>
      <c r="F1240" s="1135"/>
      <c r="G1240" s="1135"/>
      <c r="H1240" s="843"/>
      <c r="I1240" s="841"/>
      <c r="J1240" s="1135"/>
      <c r="K1240" s="841"/>
      <c r="L1240" s="841"/>
      <c r="M1240" s="841"/>
      <c r="N1240" s="841"/>
      <c r="O1240" s="841"/>
      <c r="P1240" s="841"/>
      <c r="Q1240" s="841"/>
      <c r="R1240" s="841"/>
    </row>
    <row r="1241" spans="2:18">
      <c r="B1241" s="841"/>
      <c r="C1241" s="842"/>
      <c r="D1241" s="842"/>
      <c r="E1241" s="842"/>
      <c r="F1241" s="1135"/>
      <c r="G1241" s="1135"/>
      <c r="H1241" s="843"/>
      <c r="I1241" s="841"/>
      <c r="J1241" s="1135"/>
      <c r="K1241" s="841"/>
      <c r="L1241" s="841"/>
      <c r="M1241" s="841"/>
      <c r="N1241" s="841"/>
      <c r="O1241" s="841"/>
      <c r="P1241" s="841"/>
      <c r="Q1241" s="841"/>
      <c r="R1241" s="841"/>
    </row>
    <row r="1242" spans="2:18">
      <c r="B1242" s="841"/>
      <c r="C1242" s="842"/>
      <c r="D1242" s="842"/>
      <c r="E1242" s="842"/>
      <c r="F1242" s="1135"/>
      <c r="G1242" s="1135"/>
      <c r="H1242" s="843"/>
      <c r="I1242" s="841"/>
      <c r="J1242" s="1135"/>
      <c r="K1242" s="841"/>
      <c r="L1242" s="841"/>
      <c r="M1242" s="841"/>
      <c r="N1242" s="841"/>
      <c r="O1242" s="841"/>
      <c r="P1242" s="841"/>
      <c r="Q1242" s="841"/>
      <c r="R1242" s="841"/>
    </row>
    <row r="1243" spans="2:18">
      <c r="B1243" s="841"/>
      <c r="C1243" s="842"/>
      <c r="D1243" s="842"/>
      <c r="E1243" s="842"/>
      <c r="F1243" s="1135"/>
      <c r="G1243" s="1135"/>
      <c r="H1243" s="843"/>
      <c r="I1243" s="841"/>
      <c r="J1243" s="1135"/>
      <c r="K1243" s="841"/>
      <c r="L1243" s="841"/>
      <c r="M1243" s="841"/>
      <c r="N1243" s="841"/>
      <c r="O1243" s="841"/>
      <c r="P1243" s="841"/>
      <c r="Q1243" s="841"/>
      <c r="R1243" s="841"/>
    </row>
    <row r="1244" spans="2:18">
      <c r="B1244" s="841"/>
      <c r="C1244" s="842"/>
      <c r="D1244" s="842"/>
      <c r="E1244" s="842"/>
      <c r="F1244" s="1135"/>
      <c r="G1244" s="1135"/>
      <c r="H1244" s="843"/>
      <c r="I1244" s="841"/>
      <c r="J1244" s="1135"/>
      <c r="K1244" s="841"/>
      <c r="L1244" s="841"/>
      <c r="M1244" s="841"/>
      <c r="N1244" s="841"/>
      <c r="O1244" s="841"/>
      <c r="P1244" s="841"/>
      <c r="Q1244" s="841"/>
      <c r="R1244" s="841"/>
    </row>
    <row r="1245" spans="2:18">
      <c r="B1245" s="841"/>
      <c r="C1245" s="842"/>
      <c r="D1245" s="842"/>
      <c r="E1245" s="842"/>
      <c r="F1245" s="1135"/>
      <c r="G1245" s="1135"/>
      <c r="H1245" s="843"/>
      <c r="I1245" s="841"/>
      <c r="J1245" s="1135"/>
      <c r="K1245" s="841"/>
      <c r="L1245" s="841"/>
      <c r="M1245" s="841"/>
      <c r="N1245" s="841"/>
      <c r="O1245" s="841"/>
      <c r="P1245" s="841"/>
      <c r="Q1245" s="841"/>
      <c r="R1245" s="841"/>
    </row>
    <row r="1246" spans="2:18">
      <c r="B1246" s="841"/>
      <c r="C1246" s="842"/>
      <c r="D1246" s="842"/>
      <c r="E1246" s="842"/>
      <c r="F1246" s="1135"/>
      <c r="G1246" s="1135"/>
      <c r="H1246" s="843"/>
      <c r="I1246" s="841"/>
      <c r="J1246" s="1135"/>
      <c r="K1246" s="841"/>
      <c r="L1246" s="841"/>
      <c r="M1246" s="841"/>
      <c r="N1246" s="841"/>
      <c r="O1246" s="841"/>
      <c r="P1246" s="841"/>
      <c r="Q1246" s="841"/>
      <c r="R1246" s="841"/>
    </row>
    <row r="1247" spans="2:18">
      <c r="B1247" s="841"/>
      <c r="C1247" s="842"/>
      <c r="D1247" s="842"/>
      <c r="E1247" s="842"/>
      <c r="F1247" s="1135"/>
      <c r="G1247" s="1135"/>
      <c r="H1247" s="843"/>
      <c r="I1247" s="841"/>
      <c r="J1247" s="1135"/>
      <c r="K1247" s="841"/>
      <c r="L1247" s="841"/>
      <c r="M1247" s="841"/>
      <c r="N1247" s="841"/>
      <c r="O1247" s="841"/>
      <c r="P1247" s="841"/>
      <c r="Q1247" s="841"/>
      <c r="R1247" s="841"/>
    </row>
    <row r="1248" spans="2:18">
      <c r="B1248" s="841"/>
      <c r="C1248" s="842"/>
      <c r="D1248" s="842"/>
      <c r="E1248" s="842"/>
      <c r="F1248" s="1135"/>
      <c r="G1248" s="1135"/>
      <c r="H1248" s="843"/>
      <c r="I1248" s="841"/>
      <c r="J1248" s="1135"/>
      <c r="K1248" s="841"/>
      <c r="L1248" s="841"/>
      <c r="M1248" s="841"/>
      <c r="N1248" s="841"/>
      <c r="O1248" s="841"/>
      <c r="P1248" s="841"/>
      <c r="Q1248" s="841"/>
      <c r="R1248" s="841"/>
    </row>
    <row r="1249" spans="2:18">
      <c r="B1249" s="841"/>
      <c r="C1249" s="842"/>
      <c r="D1249" s="842"/>
      <c r="E1249" s="842"/>
      <c r="F1249" s="1135"/>
      <c r="G1249" s="1135"/>
      <c r="H1249" s="843"/>
      <c r="I1249" s="841"/>
      <c r="J1249" s="1135"/>
      <c r="K1249" s="841"/>
      <c r="L1249" s="841"/>
      <c r="M1249" s="841"/>
      <c r="N1249" s="841"/>
      <c r="O1249" s="841"/>
      <c r="P1249" s="841"/>
      <c r="Q1249" s="841"/>
      <c r="R1249" s="841"/>
    </row>
    <row r="1250" spans="2:18">
      <c r="B1250" s="841"/>
      <c r="C1250" s="842"/>
      <c r="D1250" s="842"/>
      <c r="E1250" s="842"/>
      <c r="F1250" s="1135"/>
      <c r="G1250" s="1135"/>
      <c r="H1250" s="843"/>
      <c r="I1250" s="841"/>
      <c r="J1250" s="1135"/>
      <c r="K1250" s="841"/>
      <c r="L1250" s="841"/>
      <c r="M1250" s="841"/>
      <c r="N1250" s="841"/>
      <c r="O1250" s="841"/>
      <c r="P1250" s="841"/>
      <c r="Q1250" s="841"/>
      <c r="R1250" s="841"/>
    </row>
    <row r="1251" spans="2:18">
      <c r="B1251" s="841"/>
      <c r="C1251" s="842"/>
      <c r="D1251" s="842"/>
      <c r="E1251" s="842"/>
      <c r="F1251" s="1135"/>
      <c r="G1251" s="1135"/>
      <c r="H1251" s="843"/>
      <c r="I1251" s="841"/>
      <c r="J1251" s="1135"/>
      <c r="K1251" s="841"/>
      <c r="L1251" s="841"/>
      <c r="M1251" s="841"/>
      <c r="N1251" s="841"/>
      <c r="O1251" s="841"/>
      <c r="P1251" s="841"/>
      <c r="Q1251" s="841"/>
      <c r="R1251" s="841"/>
    </row>
    <row r="1252" spans="2:18">
      <c r="B1252" s="841"/>
      <c r="C1252" s="842"/>
      <c r="D1252" s="842"/>
      <c r="E1252" s="842"/>
      <c r="F1252" s="1135"/>
      <c r="G1252" s="1135"/>
      <c r="H1252" s="843"/>
      <c r="I1252" s="841"/>
      <c r="J1252" s="1135"/>
      <c r="K1252" s="841"/>
      <c r="L1252" s="841"/>
      <c r="M1252" s="841"/>
      <c r="N1252" s="841"/>
      <c r="O1252" s="841"/>
      <c r="P1252" s="841"/>
      <c r="Q1252" s="841"/>
      <c r="R1252" s="841"/>
    </row>
    <row r="1253" spans="2:18">
      <c r="B1253" s="841"/>
      <c r="C1253" s="842"/>
      <c r="D1253" s="842"/>
      <c r="E1253" s="842"/>
      <c r="F1253" s="1135"/>
      <c r="G1253" s="1135"/>
      <c r="H1253" s="843"/>
      <c r="I1253" s="841"/>
      <c r="J1253" s="1135"/>
      <c r="K1253" s="841"/>
      <c r="L1253" s="841"/>
      <c r="M1253" s="841"/>
      <c r="N1253" s="841"/>
      <c r="O1253" s="841"/>
      <c r="P1253" s="841"/>
      <c r="Q1253" s="841"/>
      <c r="R1253" s="841"/>
    </row>
    <row r="1254" spans="2:18">
      <c r="B1254" s="841"/>
      <c r="C1254" s="842"/>
      <c r="D1254" s="842"/>
      <c r="E1254" s="842"/>
      <c r="F1254" s="1135"/>
      <c r="G1254" s="1135"/>
      <c r="H1254" s="843"/>
      <c r="I1254" s="841"/>
      <c r="J1254" s="1135"/>
      <c r="K1254" s="841"/>
      <c r="L1254" s="841"/>
      <c r="M1254" s="841"/>
      <c r="N1254" s="841"/>
      <c r="O1254" s="841"/>
      <c r="P1254" s="841"/>
      <c r="Q1254" s="841"/>
      <c r="R1254" s="841"/>
    </row>
    <row r="1255" spans="2:18">
      <c r="B1255" s="841"/>
      <c r="C1255" s="842"/>
      <c r="D1255" s="842"/>
      <c r="E1255" s="842"/>
      <c r="F1255" s="1135"/>
      <c r="G1255" s="1135"/>
      <c r="H1255" s="843"/>
      <c r="I1255" s="841"/>
      <c r="J1255" s="1135"/>
      <c r="K1255" s="841"/>
      <c r="L1255" s="841"/>
      <c r="M1255" s="841"/>
      <c r="N1255" s="841"/>
      <c r="O1255" s="841"/>
      <c r="P1255" s="841"/>
      <c r="Q1255" s="841"/>
      <c r="R1255" s="841"/>
    </row>
    <row r="1256" spans="2:18">
      <c r="B1256" s="841"/>
      <c r="C1256" s="842"/>
      <c r="D1256" s="842"/>
      <c r="E1256" s="842"/>
      <c r="F1256" s="1135"/>
      <c r="G1256" s="1135"/>
      <c r="H1256" s="843"/>
      <c r="I1256" s="841"/>
      <c r="J1256" s="1135"/>
      <c r="K1256" s="841"/>
      <c r="L1256" s="841"/>
      <c r="M1256" s="841"/>
      <c r="N1256" s="841"/>
      <c r="O1256" s="841"/>
      <c r="P1256" s="841"/>
      <c r="Q1256" s="841"/>
      <c r="R1256" s="841"/>
    </row>
    <row r="1257" spans="2:18">
      <c r="B1257" s="841"/>
      <c r="C1257" s="842"/>
      <c r="D1257" s="842"/>
      <c r="E1257" s="842"/>
      <c r="F1257" s="1135"/>
      <c r="G1257" s="1135"/>
      <c r="H1257" s="843"/>
      <c r="I1257" s="841"/>
      <c r="J1257" s="1135"/>
      <c r="K1257" s="841"/>
      <c r="L1257" s="841"/>
      <c r="M1257" s="841"/>
      <c r="N1257" s="841"/>
      <c r="O1257" s="841"/>
      <c r="P1257" s="841"/>
      <c r="Q1257" s="841"/>
      <c r="R1257" s="841"/>
    </row>
    <row r="1258" spans="2:18">
      <c r="B1258" s="841"/>
      <c r="C1258" s="842"/>
      <c r="D1258" s="842"/>
      <c r="E1258" s="842"/>
      <c r="F1258" s="1135"/>
      <c r="G1258" s="1135"/>
      <c r="H1258" s="843"/>
      <c r="I1258" s="841"/>
      <c r="J1258" s="1135"/>
      <c r="K1258" s="841"/>
      <c r="L1258" s="841"/>
      <c r="M1258" s="841"/>
      <c r="N1258" s="841"/>
      <c r="O1258" s="841"/>
      <c r="P1258" s="841"/>
      <c r="Q1258" s="841"/>
      <c r="R1258" s="841"/>
    </row>
    <row r="1259" spans="2:18">
      <c r="B1259" s="841"/>
      <c r="C1259" s="842"/>
      <c r="D1259" s="842"/>
      <c r="E1259" s="842"/>
      <c r="F1259" s="1135"/>
      <c r="G1259" s="1135"/>
      <c r="H1259" s="843"/>
      <c r="I1259" s="841"/>
      <c r="J1259" s="1135"/>
      <c r="K1259" s="841"/>
      <c r="L1259" s="841"/>
      <c r="M1259" s="841"/>
      <c r="N1259" s="841"/>
      <c r="O1259" s="841"/>
      <c r="P1259" s="841"/>
      <c r="Q1259" s="841"/>
      <c r="R1259" s="841"/>
    </row>
    <row r="1260" spans="2:18">
      <c r="B1260" s="841"/>
      <c r="C1260" s="842"/>
      <c r="D1260" s="842"/>
      <c r="E1260" s="842"/>
      <c r="F1260" s="1135"/>
      <c r="G1260" s="1135"/>
      <c r="H1260" s="843"/>
      <c r="I1260" s="841"/>
      <c r="J1260" s="1135"/>
      <c r="K1260" s="841"/>
      <c r="L1260" s="841"/>
      <c r="M1260" s="841"/>
      <c r="N1260" s="841"/>
      <c r="O1260" s="841"/>
      <c r="P1260" s="841"/>
      <c r="Q1260" s="841"/>
      <c r="R1260" s="841"/>
    </row>
    <row r="1261" spans="2:18">
      <c r="B1261" s="841"/>
      <c r="C1261" s="842"/>
      <c r="D1261" s="842"/>
      <c r="E1261" s="842"/>
      <c r="F1261" s="1135"/>
      <c r="G1261" s="1135"/>
      <c r="H1261" s="843"/>
      <c r="I1261" s="841"/>
      <c r="J1261" s="1135"/>
      <c r="K1261" s="841"/>
      <c r="L1261" s="841"/>
      <c r="M1261" s="841"/>
      <c r="N1261" s="841"/>
      <c r="O1261" s="841"/>
      <c r="P1261" s="841"/>
      <c r="Q1261" s="841"/>
      <c r="R1261" s="841"/>
    </row>
    <row r="1262" spans="2:18">
      <c r="B1262" s="841"/>
      <c r="C1262" s="842"/>
      <c r="D1262" s="842"/>
      <c r="E1262" s="842"/>
      <c r="F1262" s="1135"/>
      <c r="G1262" s="1135"/>
      <c r="H1262" s="843"/>
      <c r="I1262" s="841"/>
      <c r="J1262" s="1135"/>
      <c r="K1262" s="841"/>
      <c r="L1262" s="841"/>
      <c r="M1262" s="841"/>
      <c r="N1262" s="841"/>
      <c r="O1262" s="841"/>
      <c r="P1262" s="841"/>
      <c r="Q1262" s="841"/>
      <c r="R1262" s="841"/>
    </row>
    <row r="1263" spans="2:18">
      <c r="B1263" s="841"/>
      <c r="C1263" s="842"/>
      <c r="D1263" s="842"/>
      <c r="E1263" s="842"/>
      <c r="F1263" s="1135"/>
      <c r="G1263" s="1135"/>
      <c r="H1263" s="843"/>
      <c r="I1263" s="841"/>
      <c r="J1263" s="1135"/>
      <c r="K1263" s="841"/>
      <c r="L1263" s="841"/>
      <c r="M1263" s="841"/>
      <c r="N1263" s="841"/>
      <c r="O1263" s="841"/>
      <c r="P1263" s="841"/>
      <c r="Q1263" s="841"/>
      <c r="R1263" s="841"/>
    </row>
    <row r="1264" spans="2:18">
      <c r="B1264" s="841"/>
      <c r="C1264" s="842"/>
      <c r="D1264" s="842"/>
      <c r="E1264" s="842"/>
      <c r="F1264" s="1135"/>
      <c r="G1264" s="1135"/>
      <c r="H1264" s="843"/>
      <c r="I1264" s="841"/>
      <c r="J1264" s="1135"/>
      <c r="K1264" s="841"/>
      <c r="L1264" s="841"/>
      <c r="M1264" s="841"/>
      <c r="N1264" s="841"/>
      <c r="O1264" s="841"/>
      <c r="P1264" s="841"/>
      <c r="Q1264" s="841"/>
      <c r="R1264" s="841"/>
    </row>
    <row r="1265" spans="2:18">
      <c r="B1265" s="841"/>
      <c r="C1265" s="842"/>
      <c r="D1265" s="842"/>
      <c r="E1265" s="842"/>
      <c r="F1265" s="1135"/>
      <c r="G1265" s="1135"/>
      <c r="H1265" s="843"/>
      <c r="I1265" s="841"/>
      <c r="J1265" s="1135"/>
      <c r="K1265" s="841"/>
      <c r="L1265" s="841"/>
      <c r="M1265" s="841"/>
      <c r="N1265" s="841"/>
      <c r="O1265" s="841"/>
      <c r="P1265" s="841"/>
      <c r="Q1265" s="841"/>
      <c r="R1265" s="841"/>
    </row>
    <row r="1266" spans="2:18">
      <c r="B1266" s="841"/>
      <c r="C1266" s="842"/>
      <c r="D1266" s="842"/>
      <c r="E1266" s="842"/>
      <c r="F1266" s="1135"/>
      <c r="G1266" s="1135"/>
      <c r="H1266" s="843"/>
      <c r="I1266" s="841"/>
      <c r="J1266" s="1135"/>
      <c r="K1266" s="841"/>
      <c r="L1266" s="841"/>
      <c r="M1266" s="841"/>
      <c r="N1266" s="841"/>
      <c r="O1266" s="841"/>
      <c r="P1266" s="841"/>
      <c r="Q1266" s="841"/>
      <c r="R1266" s="841"/>
    </row>
    <row r="1267" spans="2:18">
      <c r="B1267" s="841"/>
      <c r="C1267" s="842"/>
      <c r="D1267" s="842"/>
      <c r="E1267" s="842"/>
      <c r="F1267" s="1135"/>
      <c r="G1267" s="1135"/>
      <c r="H1267" s="843"/>
      <c r="I1267" s="841"/>
      <c r="J1267" s="1135"/>
      <c r="K1267" s="841"/>
      <c r="L1267" s="841"/>
      <c r="M1267" s="841"/>
      <c r="N1267" s="841"/>
      <c r="O1267" s="841"/>
      <c r="P1267" s="841"/>
      <c r="Q1267" s="841"/>
      <c r="R1267" s="841"/>
    </row>
    <row r="1268" spans="2:18">
      <c r="B1268" s="841"/>
      <c r="C1268" s="842"/>
      <c r="D1268" s="842"/>
      <c r="E1268" s="842"/>
      <c r="F1268" s="1135"/>
      <c r="G1268" s="1135"/>
      <c r="H1268" s="843"/>
      <c r="I1268" s="841"/>
      <c r="J1268" s="1135"/>
      <c r="K1268" s="841"/>
      <c r="L1268" s="841"/>
      <c r="M1268" s="841"/>
      <c r="N1268" s="841"/>
      <c r="O1268" s="841"/>
      <c r="P1268" s="841"/>
      <c r="Q1268" s="841"/>
      <c r="R1268" s="841"/>
    </row>
    <row r="1269" spans="2:18">
      <c r="B1269" s="841"/>
      <c r="C1269" s="842"/>
      <c r="D1269" s="842"/>
      <c r="E1269" s="842"/>
      <c r="F1269" s="1135"/>
      <c r="G1269" s="1135"/>
      <c r="H1269" s="843"/>
      <c r="I1269" s="841"/>
      <c r="J1269" s="1135"/>
      <c r="K1269" s="841"/>
      <c r="L1269" s="841"/>
      <c r="M1269" s="841"/>
      <c r="N1269" s="841"/>
      <c r="O1269" s="841"/>
      <c r="P1269" s="841"/>
      <c r="Q1269" s="841"/>
      <c r="R1269" s="841"/>
    </row>
    <row r="1270" spans="2:18">
      <c r="B1270" s="841"/>
      <c r="C1270" s="842"/>
      <c r="D1270" s="842"/>
      <c r="E1270" s="842"/>
      <c r="F1270" s="1135"/>
      <c r="G1270" s="1135"/>
      <c r="H1270" s="843"/>
      <c r="I1270" s="841"/>
      <c r="J1270" s="1135"/>
      <c r="K1270" s="841"/>
      <c r="L1270" s="841"/>
      <c r="M1270" s="841"/>
      <c r="N1270" s="841"/>
      <c r="O1270" s="841"/>
      <c r="P1270" s="841"/>
      <c r="Q1270" s="841"/>
      <c r="R1270" s="841"/>
    </row>
    <row r="1271" spans="2:18">
      <c r="B1271" s="841"/>
      <c r="C1271" s="842"/>
      <c r="D1271" s="842"/>
      <c r="E1271" s="842"/>
      <c r="F1271" s="1135"/>
      <c r="G1271" s="1135"/>
      <c r="H1271" s="843"/>
      <c r="I1271" s="841"/>
      <c r="J1271" s="1135"/>
      <c r="K1271" s="841"/>
      <c r="L1271" s="841"/>
      <c r="M1271" s="841"/>
      <c r="N1271" s="841"/>
      <c r="O1271" s="841"/>
      <c r="P1271" s="841"/>
      <c r="Q1271" s="841"/>
      <c r="R1271" s="841"/>
    </row>
    <row r="1272" spans="2:18">
      <c r="B1272" s="841"/>
      <c r="C1272" s="842"/>
      <c r="D1272" s="842"/>
      <c r="E1272" s="842"/>
      <c r="F1272" s="1135"/>
      <c r="G1272" s="1135"/>
      <c r="H1272" s="843"/>
      <c r="I1272" s="841"/>
      <c r="J1272" s="1135"/>
      <c r="K1272" s="841"/>
      <c r="L1272" s="841"/>
      <c r="M1272" s="841"/>
      <c r="N1272" s="841"/>
      <c r="O1272" s="841"/>
      <c r="P1272" s="841"/>
      <c r="Q1272" s="841"/>
      <c r="R1272" s="841"/>
    </row>
    <row r="1273" spans="2:18">
      <c r="B1273" s="841"/>
      <c r="C1273" s="842"/>
      <c r="D1273" s="842"/>
      <c r="E1273" s="842"/>
      <c r="F1273" s="1135"/>
      <c r="G1273" s="1135"/>
      <c r="H1273" s="843"/>
      <c r="I1273" s="841"/>
      <c r="J1273" s="1135"/>
      <c r="K1273" s="841"/>
      <c r="L1273" s="841"/>
      <c r="M1273" s="841"/>
      <c r="N1273" s="841"/>
      <c r="O1273" s="841"/>
      <c r="P1273" s="841"/>
      <c r="Q1273" s="841"/>
      <c r="R1273" s="841"/>
    </row>
    <row r="1274" spans="2:18">
      <c r="B1274" s="841"/>
      <c r="C1274" s="842"/>
      <c r="D1274" s="842"/>
      <c r="E1274" s="842"/>
      <c r="F1274" s="1135"/>
      <c r="G1274" s="1135"/>
      <c r="H1274" s="843"/>
      <c r="I1274" s="841"/>
      <c r="J1274" s="1135"/>
      <c r="K1274" s="841"/>
      <c r="L1274" s="841"/>
      <c r="M1274" s="841"/>
      <c r="N1274" s="841"/>
      <c r="O1274" s="841"/>
      <c r="P1274" s="841"/>
      <c r="Q1274" s="841"/>
      <c r="R1274" s="841"/>
    </row>
    <row r="1275" spans="2:18">
      <c r="B1275" s="841"/>
      <c r="C1275" s="842"/>
      <c r="D1275" s="842"/>
      <c r="E1275" s="842"/>
      <c r="F1275" s="1135"/>
      <c r="G1275" s="1135"/>
      <c r="H1275" s="843"/>
      <c r="I1275" s="841"/>
      <c r="J1275" s="1135"/>
      <c r="K1275" s="841"/>
      <c r="L1275" s="841"/>
      <c r="M1275" s="841"/>
      <c r="N1275" s="841"/>
      <c r="O1275" s="841"/>
      <c r="P1275" s="841"/>
      <c r="Q1275" s="841"/>
      <c r="R1275" s="841"/>
    </row>
    <row r="1276" spans="2:18">
      <c r="B1276" s="841"/>
      <c r="C1276" s="842"/>
      <c r="D1276" s="842"/>
      <c r="E1276" s="842"/>
      <c r="F1276" s="1135"/>
      <c r="G1276" s="1135"/>
      <c r="H1276" s="843"/>
      <c r="I1276" s="841"/>
      <c r="J1276" s="1135"/>
      <c r="K1276" s="841"/>
      <c r="L1276" s="841"/>
      <c r="M1276" s="841"/>
      <c r="N1276" s="841"/>
      <c r="O1276" s="841"/>
      <c r="P1276" s="841"/>
      <c r="Q1276" s="841"/>
      <c r="R1276" s="841"/>
    </row>
    <row r="1277" spans="2:18">
      <c r="B1277" s="841"/>
      <c r="C1277" s="842"/>
      <c r="D1277" s="842"/>
      <c r="E1277" s="842"/>
      <c r="F1277" s="1135"/>
      <c r="G1277" s="1135"/>
      <c r="H1277" s="843"/>
      <c r="I1277" s="841"/>
      <c r="J1277" s="1135"/>
      <c r="K1277" s="841"/>
      <c r="L1277" s="841"/>
      <c r="M1277" s="841"/>
      <c r="N1277" s="841"/>
      <c r="O1277" s="841"/>
      <c r="P1277" s="841"/>
      <c r="Q1277" s="841"/>
      <c r="R1277" s="841"/>
    </row>
    <row r="1278" spans="2:18">
      <c r="B1278" s="841"/>
      <c r="C1278" s="842"/>
      <c r="D1278" s="842"/>
      <c r="E1278" s="842"/>
      <c r="F1278" s="1135"/>
      <c r="G1278" s="1135"/>
      <c r="H1278" s="843"/>
      <c r="I1278" s="841"/>
      <c r="J1278" s="1135"/>
      <c r="K1278" s="841"/>
      <c r="L1278" s="841"/>
      <c r="M1278" s="841"/>
      <c r="N1278" s="841"/>
      <c r="O1278" s="841"/>
      <c r="P1278" s="841"/>
      <c r="Q1278" s="841"/>
      <c r="R1278" s="841"/>
    </row>
    <row r="1279" spans="2:18">
      <c r="B1279" s="841"/>
      <c r="C1279" s="842"/>
      <c r="D1279" s="842"/>
      <c r="E1279" s="842"/>
      <c r="F1279" s="1135"/>
      <c r="G1279" s="1135"/>
      <c r="H1279" s="843"/>
      <c r="I1279" s="841"/>
      <c r="J1279" s="1135"/>
      <c r="K1279" s="841"/>
      <c r="L1279" s="841"/>
      <c r="M1279" s="841"/>
      <c r="N1279" s="841"/>
      <c r="O1279" s="841"/>
      <c r="P1279" s="841"/>
      <c r="Q1279" s="841"/>
      <c r="R1279" s="841"/>
    </row>
    <row r="1280" spans="2:18">
      <c r="B1280" s="841"/>
      <c r="C1280" s="842"/>
      <c r="D1280" s="842"/>
      <c r="E1280" s="842"/>
      <c r="F1280" s="1135"/>
      <c r="G1280" s="1135"/>
      <c r="H1280" s="843"/>
      <c r="I1280" s="841"/>
      <c r="J1280" s="1135"/>
      <c r="K1280" s="841"/>
      <c r="L1280" s="841"/>
      <c r="M1280" s="841"/>
      <c r="N1280" s="841"/>
      <c r="O1280" s="841"/>
      <c r="P1280" s="841"/>
      <c r="Q1280" s="841"/>
      <c r="R1280" s="841"/>
    </row>
    <row r="1281" spans="2:18">
      <c r="B1281" s="841"/>
      <c r="C1281" s="842"/>
      <c r="D1281" s="842"/>
      <c r="E1281" s="842"/>
      <c r="F1281" s="1135"/>
      <c r="G1281" s="1135"/>
      <c r="H1281" s="843"/>
      <c r="I1281" s="841"/>
      <c r="J1281" s="1135"/>
      <c r="K1281" s="841"/>
      <c r="L1281" s="841"/>
      <c r="M1281" s="841"/>
      <c r="N1281" s="841"/>
      <c r="O1281" s="841"/>
      <c r="P1281" s="841"/>
      <c r="Q1281" s="841"/>
      <c r="R1281" s="841"/>
    </row>
    <row r="1282" spans="2:18">
      <c r="B1282" s="841"/>
      <c r="C1282" s="842"/>
      <c r="D1282" s="842"/>
      <c r="E1282" s="842"/>
      <c r="F1282" s="1135"/>
      <c r="G1282" s="1135"/>
      <c r="H1282" s="843"/>
      <c r="I1282" s="841"/>
      <c r="J1282" s="1135"/>
      <c r="K1282" s="841"/>
      <c r="L1282" s="841"/>
      <c r="M1282" s="841"/>
      <c r="N1282" s="841"/>
      <c r="O1282" s="841"/>
      <c r="P1282" s="841"/>
      <c r="Q1282" s="841"/>
      <c r="R1282" s="841"/>
    </row>
    <row r="1283" spans="2:18">
      <c r="B1283" s="841"/>
      <c r="C1283" s="842"/>
      <c r="D1283" s="842"/>
      <c r="E1283" s="842"/>
      <c r="F1283" s="1135"/>
      <c r="G1283" s="1135"/>
      <c r="H1283" s="843"/>
      <c r="I1283" s="841"/>
      <c r="J1283" s="1135"/>
      <c r="K1283" s="841"/>
      <c r="L1283" s="841"/>
      <c r="M1283" s="841"/>
      <c r="N1283" s="841"/>
      <c r="O1283" s="841"/>
      <c r="P1283" s="841"/>
      <c r="Q1283" s="841"/>
      <c r="R1283" s="841"/>
    </row>
    <row r="1284" spans="2:18">
      <c r="B1284" s="841"/>
      <c r="C1284" s="842"/>
      <c r="D1284" s="842"/>
      <c r="E1284" s="842"/>
      <c r="F1284" s="1135"/>
      <c r="G1284" s="1135"/>
      <c r="H1284" s="843"/>
      <c r="I1284" s="841"/>
      <c r="J1284" s="1135"/>
      <c r="K1284" s="841"/>
      <c r="L1284" s="841"/>
      <c r="M1284" s="841"/>
      <c r="N1284" s="841"/>
      <c r="O1284" s="841"/>
      <c r="P1284" s="841"/>
      <c r="Q1284" s="841"/>
      <c r="R1284" s="841"/>
    </row>
    <row r="1285" spans="2:18">
      <c r="B1285" s="841"/>
      <c r="C1285" s="842"/>
      <c r="D1285" s="842"/>
      <c r="E1285" s="842"/>
      <c r="F1285" s="1135"/>
      <c r="G1285" s="1135"/>
      <c r="H1285" s="843"/>
      <c r="I1285" s="841"/>
      <c r="J1285" s="1135"/>
      <c r="K1285" s="841"/>
      <c r="L1285" s="841"/>
      <c r="M1285" s="841"/>
      <c r="N1285" s="841"/>
      <c r="O1285" s="841"/>
      <c r="P1285" s="841"/>
      <c r="Q1285" s="841"/>
      <c r="R1285" s="841"/>
    </row>
    <row r="1286" spans="2:18">
      <c r="B1286" s="841"/>
      <c r="C1286" s="842"/>
      <c r="D1286" s="842"/>
      <c r="E1286" s="842"/>
      <c r="F1286" s="1135"/>
      <c r="G1286" s="1135"/>
      <c r="H1286" s="843"/>
      <c r="I1286" s="841"/>
      <c r="J1286" s="1135"/>
      <c r="K1286" s="841"/>
      <c r="L1286" s="841"/>
      <c r="M1286" s="841"/>
      <c r="N1286" s="841"/>
      <c r="O1286" s="841"/>
      <c r="P1286" s="841"/>
      <c r="Q1286" s="841"/>
      <c r="R1286" s="841"/>
    </row>
    <row r="1287" spans="2:18">
      <c r="B1287" s="841"/>
      <c r="C1287" s="842"/>
      <c r="D1287" s="842"/>
      <c r="E1287" s="842"/>
      <c r="F1287" s="1135"/>
      <c r="G1287" s="1135"/>
      <c r="H1287" s="843"/>
      <c r="I1287" s="841"/>
      <c r="J1287" s="1135"/>
      <c r="K1287" s="841"/>
      <c r="L1287" s="841"/>
      <c r="M1287" s="841"/>
      <c r="N1287" s="841"/>
      <c r="O1287" s="841"/>
      <c r="P1287" s="841"/>
      <c r="Q1287" s="841"/>
      <c r="R1287" s="841"/>
    </row>
    <row r="1288" spans="2:18">
      <c r="B1288" s="841"/>
      <c r="C1288" s="842"/>
      <c r="D1288" s="842"/>
      <c r="E1288" s="842"/>
      <c r="F1288" s="1135"/>
      <c r="G1288" s="1135"/>
      <c r="H1288" s="843"/>
      <c r="I1288" s="841"/>
      <c r="J1288" s="1135"/>
      <c r="K1288" s="841"/>
      <c r="L1288" s="841"/>
      <c r="M1288" s="841"/>
      <c r="N1288" s="841"/>
      <c r="O1288" s="841"/>
      <c r="P1288" s="841"/>
      <c r="Q1288" s="841"/>
      <c r="R1288" s="841"/>
    </row>
    <row r="1289" spans="2:18">
      <c r="B1289" s="841"/>
      <c r="C1289" s="842"/>
      <c r="D1289" s="842"/>
      <c r="E1289" s="842"/>
      <c r="F1289" s="1135"/>
      <c r="G1289" s="1135"/>
      <c r="H1289" s="843"/>
      <c r="I1289" s="841"/>
      <c r="J1289" s="1135"/>
      <c r="K1289" s="841"/>
      <c r="L1289" s="841"/>
      <c r="M1289" s="841"/>
      <c r="N1289" s="841"/>
      <c r="O1289" s="841"/>
      <c r="P1289" s="841"/>
      <c r="Q1289" s="841"/>
      <c r="R1289" s="841"/>
    </row>
    <row r="1290" spans="2:18">
      <c r="B1290" s="841"/>
      <c r="C1290" s="842"/>
      <c r="D1290" s="842"/>
      <c r="E1290" s="842"/>
      <c r="F1290" s="1135"/>
      <c r="G1290" s="1135"/>
      <c r="H1290" s="843"/>
      <c r="I1290" s="841"/>
      <c r="J1290" s="1135"/>
      <c r="K1290" s="841"/>
      <c r="L1290" s="841"/>
      <c r="M1290" s="841"/>
      <c r="N1290" s="841"/>
      <c r="O1290" s="841"/>
      <c r="P1290" s="841"/>
      <c r="Q1290" s="841"/>
      <c r="R1290" s="841"/>
    </row>
    <row r="1291" spans="2:18">
      <c r="B1291" s="841"/>
      <c r="C1291" s="842"/>
      <c r="D1291" s="842"/>
      <c r="E1291" s="842"/>
      <c r="F1291" s="1135"/>
      <c r="G1291" s="1135"/>
      <c r="H1291" s="843"/>
      <c r="I1291" s="841"/>
      <c r="J1291" s="1135"/>
      <c r="K1291" s="841"/>
      <c r="L1291" s="841"/>
      <c r="M1291" s="841"/>
      <c r="N1291" s="841"/>
      <c r="O1291" s="841"/>
      <c r="P1291" s="841"/>
      <c r="Q1291" s="841"/>
      <c r="R1291" s="841"/>
    </row>
    <row r="1292" spans="2:18">
      <c r="B1292" s="841"/>
      <c r="C1292" s="842"/>
      <c r="D1292" s="842"/>
      <c r="E1292" s="842"/>
      <c r="F1292" s="1135"/>
      <c r="G1292" s="1135"/>
      <c r="H1292" s="843"/>
      <c r="I1292" s="841"/>
      <c r="J1292" s="1135"/>
      <c r="K1292" s="841"/>
      <c r="L1292" s="841"/>
      <c r="M1292" s="841"/>
      <c r="N1292" s="841"/>
      <c r="O1292" s="841"/>
      <c r="P1292" s="841"/>
      <c r="Q1292" s="841"/>
      <c r="R1292" s="841"/>
    </row>
    <row r="1293" spans="2:18">
      <c r="B1293" s="841"/>
      <c r="C1293" s="842"/>
      <c r="D1293" s="842"/>
      <c r="E1293" s="842"/>
      <c r="F1293" s="1135"/>
      <c r="G1293" s="1135"/>
      <c r="H1293" s="843"/>
      <c r="I1293" s="841"/>
      <c r="J1293" s="1135"/>
      <c r="K1293" s="841"/>
      <c r="L1293" s="841"/>
      <c r="M1293" s="841"/>
      <c r="N1293" s="841"/>
      <c r="O1293" s="841"/>
      <c r="P1293" s="841"/>
      <c r="Q1293" s="841"/>
      <c r="R1293" s="841"/>
    </row>
    <row r="1294" spans="2:18">
      <c r="B1294" s="841"/>
      <c r="C1294" s="842"/>
      <c r="D1294" s="842"/>
      <c r="E1294" s="842"/>
      <c r="F1294" s="1135"/>
      <c r="G1294" s="1135"/>
      <c r="H1294" s="843"/>
      <c r="I1294" s="841"/>
      <c r="J1294" s="1135"/>
      <c r="K1294" s="841"/>
      <c r="L1294" s="841"/>
      <c r="M1294" s="841"/>
      <c r="N1294" s="841"/>
      <c r="O1294" s="841"/>
      <c r="P1294" s="841"/>
      <c r="Q1294" s="841"/>
      <c r="R1294" s="841"/>
    </row>
    <row r="1295" spans="2:18">
      <c r="B1295" s="841"/>
      <c r="C1295" s="842"/>
      <c r="D1295" s="842"/>
      <c r="E1295" s="842"/>
      <c r="F1295" s="1135"/>
      <c r="G1295" s="1135"/>
      <c r="H1295" s="843"/>
      <c r="I1295" s="841"/>
      <c r="J1295" s="1135"/>
      <c r="K1295" s="841"/>
      <c r="L1295" s="841"/>
      <c r="M1295" s="841"/>
      <c r="N1295" s="841"/>
      <c r="O1295" s="841"/>
      <c r="P1295" s="841"/>
      <c r="Q1295" s="841"/>
      <c r="R1295" s="841"/>
    </row>
    <row r="1296" spans="2:18">
      <c r="B1296" s="841"/>
      <c r="C1296" s="842"/>
      <c r="D1296" s="842"/>
      <c r="E1296" s="842"/>
      <c r="F1296" s="1135"/>
      <c r="G1296" s="1135"/>
      <c r="H1296" s="843"/>
      <c r="I1296" s="841"/>
      <c r="J1296" s="1135"/>
      <c r="K1296" s="841"/>
      <c r="L1296" s="841"/>
      <c r="M1296" s="841"/>
      <c r="N1296" s="841"/>
      <c r="O1296" s="841"/>
      <c r="P1296" s="841"/>
      <c r="Q1296" s="841"/>
      <c r="R1296" s="841"/>
    </row>
    <row r="1297" spans="2:18">
      <c r="B1297" s="841"/>
      <c r="C1297" s="842"/>
      <c r="D1297" s="842"/>
      <c r="E1297" s="842"/>
      <c r="F1297" s="1135"/>
      <c r="G1297" s="1135"/>
      <c r="H1297" s="843"/>
      <c r="I1297" s="841"/>
      <c r="J1297" s="1135"/>
      <c r="K1297" s="841"/>
      <c r="L1297" s="841"/>
      <c r="M1297" s="841"/>
      <c r="N1297" s="841"/>
      <c r="O1297" s="841"/>
      <c r="P1297" s="841"/>
      <c r="Q1297" s="841"/>
      <c r="R1297" s="841"/>
    </row>
    <row r="1298" spans="2:18">
      <c r="B1298" s="841"/>
      <c r="C1298" s="842"/>
      <c r="D1298" s="842"/>
      <c r="E1298" s="842"/>
      <c r="F1298" s="1135"/>
      <c r="G1298" s="1135"/>
      <c r="H1298" s="843"/>
      <c r="I1298" s="841"/>
      <c r="J1298" s="1135"/>
      <c r="K1298" s="841"/>
      <c r="L1298" s="841"/>
      <c r="M1298" s="841"/>
      <c r="N1298" s="841"/>
      <c r="O1298" s="841"/>
      <c r="P1298" s="841"/>
      <c r="Q1298" s="841"/>
      <c r="R1298" s="841"/>
    </row>
    <row r="1299" spans="2:18">
      <c r="B1299" s="841"/>
      <c r="C1299" s="842"/>
      <c r="D1299" s="842"/>
      <c r="E1299" s="842"/>
      <c r="F1299" s="1135"/>
      <c r="G1299" s="1135"/>
      <c r="H1299" s="843"/>
      <c r="I1299" s="841"/>
      <c r="J1299" s="1135"/>
      <c r="K1299" s="841"/>
      <c r="L1299" s="841"/>
      <c r="M1299" s="841"/>
      <c r="N1299" s="841"/>
      <c r="O1299" s="841"/>
      <c r="P1299" s="841"/>
      <c r="Q1299" s="841"/>
      <c r="R1299" s="841"/>
    </row>
    <row r="1300" spans="2:18">
      <c r="B1300" s="841"/>
      <c r="C1300" s="842"/>
      <c r="D1300" s="842"/>
      <c r="E1300" s="842"/>
      <c r="F1300" s="1135"/>
      <c r="G1300" s="1135"/>
      <c r="H1300" s="843"/>
      <c r="I1300" s="841"/>
      <c r="J1300" s="1135"/>
      <c r="K1300" s="841"/>
      <c r="L1300" s="841"/>
      <c r="M1300" s="841"/>
      <c r="N1300" s="841"/>
      <c r="O1300" s="841"/>
      <c r="P1300" s="841"/>
      <c r="Q1300" s="841"/>
      <c r="R1300" s="841"/>
    </row>
    <row r="1301" spans="2:18">
      <c r="B1301" s="841"/>
      <c r="C1301" s="842"/>
      <c r="D1301" s="842"/>
      <c r="E1301" s="842"/>
      <c r="F1301" s="1135"/>
      <c r="G1301" s="1135"/>
      <c r="H1301" s="843"/>
      <c r="I1301" s="841"/>
      <c r="J1301" s="1135"/>
      <c r="K1301" s="841"/>
      <c r="L1301" s="841"/>
      <c r="M1301" s="841"/>
      <c r="N1301" s="841"/>
      <c r="O1301" s="841"/>
      <c r="P1301" s="841"/>
      <c r="Q1301" s="841"/>
      <c r="R1301" s="841"/>
    </row>
    <row r="1302" spans="2:18">
      <c r="B1302" s="841"/>
      <c r="C1302" s="842"/>
      <c r="D1302" s="842"/>
      <c r="E1302" s="842"/>
      <c r="F1302" s="1135"/>
      <c r="G1302" s="1135"/>
      <c r="H1302" s="843"/>
      <c r="I1302" s="841"/>
      <c r="J1302" s="1135"/>
      <c r="K1302" s="841"/>
      <c r="L1302" s="841"/>
      <c r="M1302" s="841"/>
      <c r="N1302" s="841"/>
      <c r="O1302" s="841"/>
      <c r="P1302" s="841"/>
      <c r="Q1302" s="841"/>
      <c r="R1302" s="841"/>
    </row>
    <row r="1303" spans="2:18">
      <c r="B1303" s="841"/>
      <c r="C1303" s="842"/>
      <c r="D1303" s="842"/>
      <c r="E1303" s="842"/>
      <c r="F1303" s="1135"/>
      <c r="G1303" s="1135"/>
      <c r="H1303" s="843"/>
      <c r="I1303" s="841"/>
      <c r="J1303" s="1135"/>
      <c r="K1303" s="841"/>
      <c r="L1303" s="841"/>
      <c r="M1303" s="841"/>
      <c r="N1303" s="841"/>
      <c r="O1303" s="841"/>
      <c r="P1303" s="841"/>
      <c r="Q1303" s="841"/>
      <c r="R1303" s="841"/>
    </row>
    <row r="1304" spans="2:18">
      <c r="B1304" s="841"/>
      <c r="C1304" s="842"/>
      <c r="D1304" s="842"/>
      <c r="E1304" s="842"/>
      <c r="F1304" s="1135"/>
      <c r="G1304" s="1135"/>
      <c r="H1304" s="843"/>
      <c r="I1304" s="841"/>
      <c r="J1304" s="1135"/>
      <c r="K1304" s="841"/>
      <c r="L1304" s="841"/>
      <c r="M1304" s="841"/>
      <c r="N1304" s="841"/>
      <c r="O1304" s="841"/>
      <c r="P1304" s="841"/>
      <c r="Q1304" s="841"/>
      <c r="R1304" s="841"/>
    </row>
    <row r="1305" spans="2:18">
      <c r="B1305" s="841"/>
      <c r="C1305" s="842"/>
      <c r="D1305" s="842"/>
      <c r="E1305" s="842"/>
      <c r="F1305" s="1135"/>
      <c r="G1305" s="1135"/>
      <c r="H1305" s="843"/>
      <c r="I1305" s="841"/>
      <c r="J1305" s="1135"/>
      <c r="K1305" s="841"/>
      <c r="L1305" s="841"/>
      <c r="M1305" s="841"/>
      <c r="N1305" s="841"/>
      <c r="O1305" s="841"/>
      <c r="P1305" s="841"/>
      <c r="Q1305" s="841"/>
      <c r="R1305" s="841"/>
    </row>
    <row r="1306" spans="2:18">
      <c r="B1306" s="841"/>
      <c r="C1306" s="842"/>
      <c r="D1306" s="842"/>
      <c r="E1306" s="842"/>
      <c r="F1306" s="1135"/>
      <c r="G1306" s="1135"/>
      <c r="H1306" s="843"/>
      <c r="I1306" s="841"/>
      <c r="J1306" s="1135"/>
      <c r="K1306" s="841"/>
      <c r="L1306" s="841"/>
      <c r="M1306" s="841"/>
      <c r="N1306" s="841"/>
      <c r="O1306" s="841"/>
      <c r="P1306" s="841"/>
      <c r="Q1306" s="841"/>
      <c r="R1306" s="841"/>
    </row>
    <row r="1307" spans="2:18">
      <c r="B1307" s="841"/>
      <c r="C1307" s="842"/>
      <c r="D1307" s="842"/>
      <c r="E1307" s="842"/>
      <c r="F1307" s="1135"/>
      <c r="G1307" s="1135"/>
      <c r="H1307" s="843"/>
      <c r="I1307" s="841"/>
      <c r="J1307" s="1135"/>
      <c r="K1307" s="841"/>
      <c r="L1307" s="841"/>
      <c r="M1307" s="841"/>
      <c r="N1307" s="841"/>
      <c r="O1307" s="841"/>
      <c r="P1307" s="841"/>
      <c r="Q1307" s="841"/>
      <c r="R1307" s="841"/>
    </row>
    <row r="1308" spans="2:18">
      <c r="B1308" s="841"/>
      <c r="C1308" s="842"/>
      <c r="D1308" s="842"/>
      <c r="E1308" s="842"/>
      <c r="F1308" s="1135"/>
      <c r="G1308" s="1135"/>
      <c r="H1308" s="843"/>
      <c r="I1308" s="841"/>
      <c r="J1308" s="1135"/>
      <c r="K1308" s="841"/>
      <c r="L1308" s="841"/>
      <c r="M1308" s="841"/>
      <c r="N1308" s="841"/>
      <c r="O1308" s="841"/>
      <c r="P1308" s="841"/>
      <c r="Q1308" s="841"/>
      <c r="R1308" s="841"/>
    </row>
    <row r="1309" spans="2:18">
      <c r="B1309" s="841"/>
      <c r="C1309" s="842"/>
      <c r="D1309" s="842"/>
      <c r="E1309" s="842"/>
      <c r="F1309" s="1135"/>
      <c r="G1309" s="1135"/>
      <c r="H1309" s="843"/>
      <c r="I1309" s="841"/>
      <c r="J1309" s="1135"/>
      <c r="K1309" s="841"/>
      <c r="L1309" s="841"/>
      <c r="M1309" s="841"/>
      <c r="N1309" s="841"/>
      <c r="O1309" s="841"/>
      <c r="P1309" s="841"/>
      <c r="Q1309" s="841"/>
      <c r="R1309" s="841"/>
    </row>
    <row r="1310" spans="2:18">
      <c r="B1310" s="841"/>
      <c r="C1310" s="842"/>
      <c r="D1310" s="842"/>
      <c r="E1310" s="842"/>
      <c r="F1310" s="1135"/>
      <c r="G1310" s="1135"/>
      <c r="H1310" s="843"/>
      <c r="I1310" s="841"/>
      <c r="J1310" s="1135"/>
      <c r="K1310" s="841"/>
      <c r="L1310" s="841"/>
      <c r="M1310" s="841"/>
      <c r="N1310" s="841"/>
      <c r="O1310" s="841"/>
      <c r="P1310" s="841"/>
      <c r="Q1310" s="841"/>
      <c r="R1310" s="841"/>
    </row>
    <row r="1311" spans="2:18">
      <c r="B1311" s="841"/>
      <c r="C1311" s="842"/>
      <c r="D1311" s="842"/>
      <c r="E1311" s="842"/>
      <c r="F1311" s="1135"/>
      <c r="G1311" s="1135"/>
      <c r="H1311" s="843"/>
      <c r="I1311" s="841"/>
      <c r="J1311" s="1135"/>
      <c r="K1311" s="841"/>
      <c r="L1311" s="841"/>
      <c r="M1311" s="841"/>
      <c r="N1311" s="841"/>
      <c r="O1311" s="841"/>
      <c r="P1311" s="841"/>
      <c r="Q1311" s="841"/>
      <c r="R1311" s="841"/>
    </row>
    <row r="1312" spans="2:18">
      <c r="B1312" s="841"/>
      <c r="C1312" s="842"/>
      <c r="D1312" s="842"/>
      <c r="E1312" s="842"/>
      <c r="F1312" s="1135"/>
      <c r="G1312" s="1135"/>
      <c r="H1312" s="843"/>
      <c r="I1312" s="841"/>
      <c r="J1312" s="1135"/>
      <c r="K1312" s="841"/>
      <c r="L1312" s="841"/>
      <c r="M1312" s="841"/>
      <c r="N1312" s="841"/>
      <c r="O1312" s="841"/>
      <c r="P1312" s="841"/>
      <c r="Q1312" s="841"/>
      <c r="R1312" s="841"/>
    </row>
    <row r="1313" spans="2:18">
      <c r="B1313" s="841"/>
      <c r="C1313" s="842"/>
      <c r="D1313" s="842"/>
      <c r="E1313" s="842"/>
      <c r="F1313" s="1135"/>
      <c r="G1313" s="1135"/>
      <c r="H1313" s="843"/>
      <c r="I1313" s="841"/>
      <c r="J1313" s="1135"/>
      <c r="K1313" s="841"/>
      <c r="L1313" s="841"/>
      <c r="M1313" s="841"/>
      <c r="N1313" s="841"/>
      <c r="O1313" s="841"/>
      <c r="P1313" s="841"/>
      <c r="Q1313" s="841"/>
      <c r="R1313" s="841"/>
    </row>
    <row r="1314" spans="2:18">
      <c r="B1314" s="841"/>
      <c r="C1314" s="842"/>
      <c r="D1314" s="842"/>
      <c r="E1314" s="842"/>
      <c r="F1314" s="1135"/>
      <c r="G1314" s="1135"/>
      <c r="H1314" s="843"/>
      <c r="I1314" s="841"/>
      <c r="J1314" s="1135"/>
      <c r="K1314" s="841"/>
      <c r="L1314" s="841"/>
      <c r="M1314" s="841"/>
      <c r="N1314" s="841"/>
      <c r="O1314" s="841"/>
      <c r="P1314" s="841"/>
      <c r="Q1314" s="841"/>
      <c r="R1314" s="841"/>
    </row>
    <row r="1315" spans="2:18">
      <c r="B1315" s="841"/>
      <c r="C1315" s="842"/>
      <c r="D1315" s="842"/>
      <c r="E1315" s="842"/>
      <c r="F1315" s="1135"/>
      <c r="G1315" s="1135"/>
      <c r="H1315" s="843"/>
      <c r="I1315" s="841"/>
      <c r="J1315" s="1135"/>
      <c r="K1315" s="841"/>
      <c r="L1315" s="841"/>
      <c r="M1315" s="841"/>
      <c r="N1315" s="841"/>
      <c r="O1315" s="841"/>
      <c r="P1315" s="841"/>
      <c r="Q1315" s="841"/>
      <c r="R1315" s="841"/>
    </row>
    <row r="1316" spans="2:18">
      <c r="B1316" s="841"/>
      <c r="C1316" s="842"/>
      <c r="D1316" s="842"/>
      <c r="E1316" s="842"/>
      <c r="F1316" s="1135"/>
      <c r="G1316" s="1135"/>
      <c r="H1316" s="843"/>
      <c r="I1316" s="841"/>
      <c r="J1316" s="1135"/>
      <c r="K1316" s="841"/>
      <c r="L1316" s="841"/>
      <c r="M1316" s="841"/>
      <c r="N1316" s="841"/>
      <c r="O1316" s="841"/>
      <c r="P1316" s="841"/>
      <c r="Q1316" s="841"/>
      <c r="R1316" s="841"/>
    </row>
    <row r="1317" spans="2:18">
      <c r="B1317" s="841"/>
      <c r="C1317" s="842"/>
      <c r="D1317" s="842"/>
      <c r="E1317" s="842"/>
      <c r="F1317" s="1135"/>
      <c r="G1317" s="1135"/>
      <c r="H1317" s="843"/>
      <c r="I1317" s="841"/>
      <c r="J1317" s="1135"/>
      <c r="K1317" s="841"/>
      <c r="L1317" s="841"/>
      <c r="M1317" s="841"/>
      <c r="N1317" s="841"/>
      <c r="O1317" s="841"/>
      <c r="P1317" s="841"/>
      <c r="Q1317" s="841"/>
      <c r="R1317" s="841"/>
    </row>
    <row r="1318" spans="2:18">
      <c r="B1318" s="841"/>
      <c r="C1318" s="842"/>
      <c r="D1318" s="842"/>
      <c r="E1318" s="842"/>
      <c r="F1318" s="1135"/>
      <c r="G1318" s="1135"/>
      <c r="H1318" s="843"/>
      <c r="I1318" s="841"/>
      <c r="J1318" s="1135"/>
      <c r="K1318" s="841"/>
      <c r="L1318" s="841"/>
      <c r="M1318" s="841"/>
      <c r="N1318" s="841"/>
      <c r="O1318" s="841"/>
      <c r="P1318" s="841"/>
      <c r="Q1318" s="841"/>
      <c r="R1318" s="841"/>
    </row>
    <row r="1319" spans="2:18">
      <c r="B1319" s="841"/>
      <c r="C1319" s="842"/>
      <c r="D1319" s="842"/>
      <c r="E1319" s="842"/>
      <c r="F1319" s="1135"/>
      <c r="G1319" s="1135"/>
      <c r="H1319" s="843"/>
      <c r="I1319" s="841"/>
      <c r="J1319" s="1135"/>
      <c r="K1319" s="841"/>
      <c r="L1319" s="841"/>
      <c r="M1319" s="841"/>
      <c r="N1319" s="841"/>
      <c r="O1319" s="841"/>
      <c r="P1319" s="841"/>
      <c r="Q1319" s="841"/>
      <c r="R1319" s="841"/>
    </row>
    <row r="1320" spans="2:18">
      <c r="B1320" s="841"/>
      <c r="C1320" s="842"/>
      <c r="D1320" s="842"/>
      <c r="E1320" s="842"/>
      <c r="F1320" s="1135"/>
      <c r="G1320" s="1135"/>
      <c r="H1320" s="843"/>
      <c r="I1320" s="841"/>
      <c r="J1320" s="1135"/>
      <c r="K1320" s="841"/>
      <c r="L1320" s="841"/>
      <c r="M1320" s="841"/>
      <c r="N1320" s="841"/>
      <c r="O1320" s="841"/>
      <c r="P1320" s="841"/>
      <c r="Q1320" s="841"/>
      <c r="R1320" s="841"/>
    </row>
    <row r="1321" spans="2:18">
      <c r="B1321" s="841"/>
      <c r="C1321" s="842"/>
      <c r="D1321" s="842"/>
      <c r="E1321" s="842"/>
      <c r="F1321" s="1135"/>
      <c r="G1321" s="1135"/>
      <c r="H1321" s="843"/>
      <c r="I1321" s="841"/>
      <c r="J1321" s="1135"/>
      <c r="K1321" s="841"/>
      <c r="L1321" s="841"/>
      <c r="M1321" s="841"/>
      <c r="N1321" s="841"/>
      <c r="O1321" s="841"/>
      <c r="P1321" s="841"/>
      <c r="Q1321" s="841"/>
      <c r="R1321" s="841"/>
    </row>
    <row r="1322" spans="2:18">
      <c r="B1322" s="841"/>
      <c r="C1322" s="842"/>
      <c r="D1322" s="842"/>
      <c r="E1322" s="842"/>
      <c r="F1322" s="1135"/>
      <c r="G1322" s="1135"/>
      <c r="H1322" s="843"/>
      <c r="I1322" s="841"/>
      <c r="J1322" s="1135"/>
      <c r="K1322" s="841"/>
      <c r="L1322" s="841"/>
      <c r="M1322" s="841"/>
      <c r="N1322" s="841"/>
      <c r="O1322" s="841"/>
      <c r="P1322" s="841"/>
      <c r="Q1322" s="841"/>
      <c r="R1322" s="841"/>
    </row>
    <row r="1323" spans="2:18">
      <c r="B1323" s="841"/>
      <c r="C1323" s="842"/>
      <c r="D1323" s="842"/>
      <c r="E1323" s="842"/>
      <c r="F1323" s="1135"/>
      <c r="G1323" s="1135"/>
      <c r="H1323" s="843"/>
      <c r="I1323" s="841"/>
      <c r="J1323" s="1135"/>
      <c r="K1323" s="841"/>
      <c r="L1323" s="841"/>
      <c r="M1323" s="841"/>
      <c r="N1323" s="841"/>
      <c r="O1323" s="841"/>
      <c r="P1323" s="841"/>
      <c r="Q1323" s="841"/>
      <c r="R1323" s="841"/>
    </row>
    <row r="1324" spans="2:18">
      <c r="B1324" s="841"/>
      <c r="C1324" s="842"/>
      <c r="D1324" s="842"/>
      <c r="E1324" s="842"/>
      <c r="F1324" s="1135"/>
      <c r="G1324" s="1135"/>
      <c r="H1324" s="843"/>
      <c r="I1324" s="841"/>
      <c r="J1324" s="1135"/>
      <c r="K1324" s="841"/>
      <c r="L1324" s="841"/>
      <c r="M1324" s="841"/>
      <c r="N1324" s="841"/>
      <c r="O1324" s="841"/>
      <c r="P1324" s="841"/>
      <c r="Q1324" s="841"/>
      <c r="R1324" s="841"/>
    </row>
    <row r="1325" spans="2:18">
      <c r="B1325" s="841"/>
      <c r="C1325" s="842"/>
      <c r="D1325" s="842"/>
      <c r="E1325" s="842"/>
      <c r="F1325" s="1135"/>
      <c r="G1325" s="1135"/>
      <c r="H1325" s="843"/>
      <c r="I1325" s="841"/>
      <c r="J1325" s="1135"/>
      <c r="K1325" s="841"/>
      <c r="L1325" s="841"/>
      <c r="M1325" s="841"/>
      <c r="N1325" s="841"/>
      <c r="O1325" s="841"/>
      <c r="P1325" s="841"/>
      <c r="Q1325" s="841"/>
      <c r="R1325" s="841"/>
    </row>
    <row r="1326" spans="2:18">
      <c r="B1326" s="841"/>
      <c r="C1326" s="842"/>
      <c r="D1326" s="842"/>
      <c r="E1326" s="842"/>
      <c r="F1326" s="1135"/>
      <c r="G1326" s="1135"/>
      <c r="H1326" s="843"/>
      <c r="I1326" s="841"/>
      <c r="J1326" s="1135"/>
      <c r="K1326" s="841"/>
      <c r="L1326" s="841"/>
      <c r="M1326" s="841"/>
      <c r="N1326" s="841"/>
      <c r="O1326" s="841"/>
      <c r="P1326" s="841"/>
      <c r="Q1326" s="841"/>
      <c r="R1326" s="841"/>
    </row>
    <row r="1327" spans="2:18">
      <c r="B1327" s="841"/>
      <c r="C1327" s="842"/>
      <c r="D1327" s="842"/>
      <c r="E1327" s="842"/>
      <c r="F1327" s="1135"/>
      <c r="G1327" s="1135"/>
      <c r="H1327" s="843"/>
      <c r="I1327" s="841"/>
      <c r="J1327" s="1135"/>
      <c r="K1327" s="841"/>
      <c r="L1327" s="841"/>
      <c r="M1327" s="841"/>
      <c r="N1327" s="841"/>
      <c r="O1327" s="841"/>
      <c r="P1327" s="841"/>
      <c r="Q1327" s="841"/>
      <c r="R1327" s="841"/>
    </row>
    <row r="1328" spans="2:18">
      <c r="B1328" s="841"/>
      <c r="C1328" s="842"/>
      <c r="D1328" s="842"/>
      <c r="E1328" s="842"/>
      <c r="F1328" s="1135"/>
      <c r="G1328" s="1135"/>
      <c r="H1328" s="843"/>
      <c r="I1328" s="841"/>
      <c r="J1328" s="1135"/>
      <c r="K1328" s="841"/>
      <c r="L1328" s="841"/>
      <c r="M1328" s="841"/>
      <c r="N1328" s="841"/>
      <c r="O1328" s="841"/>
      <c r="P1328" s="841"/>
      <c r="Q1328" s="841"/>
      <c r="R1328" s="841"/>
    </row>
    <row r="1329" spans="2:18">
      <c r="B1329" s="841"/>
      <c r="C1329" s="842"/>
      <c r="D1329" s="842"/>
      <c r="E1329" s="842"/>
      <c r="F1329" s="1135"/>
      <c r="G1329" s="1135"/>
      <c r="H1329" s="843"/>
      <c r="I1329" s="841"/>
      <c r="J1329" s="1135"/>
      <c r="K1329" s="841"/>
      <c r="L1329" s="841"/>
      <c r="M1329" s="841"/>
      <c r="N1329" s="841"/>
      <c r="O1329" s="841"/>
      <c r="P1329" s="841"/>
      <c r="Q1329" s="841"/>
      <c r="R1329" s="841"/>
    </row>
    <row r="1330" spans="2:18">
      <c r="B1330" s="841"/>
      <c r="C1330" s="842"/>
      <c r="D1330" s="842"/>
      <c r="E1330" s="842"/>
      <c r="F1330" s="1135"/>
      <c r="G1330" s="1135"/>
      <c r="H1330" s="843"/>
      <c r="I1330" s="841"/>
      <c r="J1330" s="1135"/>
      <c r="K1330" s="841"/>
      <c r="L1330" s="841"/>
      <c r="M1330" s="841"/>
      <c r="N1330" s="841"/>
      <c r="O1330" s="841"/>
      <c r="P1330" s="841"/>
      <c r="Q1330" s="841"/>
      <c r="R1330" s="841"/>
    </row>
    <row r="1331" spans="2:18">
      <c r="B1331" s="841"/>
      <c r="C1331" s="842"/>
      <c r="D1331" s="842"/>
      <c r="E1331" s="842"/>
      <c r="F1331" s="1135"/>
      <c r="G1331" s="1135"/>
      <c r="H1331" s="843"/>
      <c r="I1331" s="841"/>
      <c r="J1331" s="1135"/>
      <c r="K1331" s="841"/>
      <c r="L1331" s="841"/>
      <c r="M1331" s="841"/>
      <c r="N1331" s="841"/>
      <c r="O1331" s="841"/>
      <c r="P1331" s="841"/>
      <c r="Q1331" s="841"/>
      <c r="R1331" s="841"/>
    </row>
    <row r="1332" spans="2:18">
      <c r="B1332" s="841"/>
      <c r="C1332" s="842"/>
      <c r="D1332" s="842"/>
      <c r="E1332" s="842"/>
      <c r="F1332" s="1135"/>
      <c r="G1332" s="1135"/>
      <c r="H1332" s="843"/>
      <c r="I1332" s="841"/>
      <c r="J1332" s="1135"/>
      <c r="K1332" s="841"/>
      <c r="L1332" s="841"/>
      <c r="M1332" s="841"/>
      <c r="N1332" s="841"/>
      <c r="O1332" s="841"/>
      <c r="P1332" s="841"/>
      <c r="Q1332" s="841"/>
      <c r="R1332" s="841"/>
    </row>
    <row r="1333" spans="2:18">
      <c r="B1333" s="841"/>
      <c r="C1333" s="842"/>
      <c r="D1333" s="842"/>
      <c r="E1333" s="842"/>
      <c r="F1333" s="1135"/>
      <c r="G1333" s="1135"/>
      <c r="H1333" s="843"/>
      <c r="I1333" s="841"/>
      <c r="J1333" s="1135"/>
      <c r="K1333" s="841"/>
      <c r="L1333" s="841"/>
      <c r="M1333" s="841"/>
      <c r="N1333" s="841"/>
      <c r="O1333" s="841"/>
      <c r="P1333" s="841"/>
      <c r="Q1333" s="841"/>
      <c r="R1333" s="841"/>
    </row>
    <row r="1334" spans="2:18">
      <c r="B1334" s="841"/>
      <c r="C1334" s="842"/>
      <c r="D1334" s="842"/>
      <c r="E1334" s="842"/>
      <c r="F1334" s="1135"/>
      <c r="G1334" s="1135"/>
      <c r="H1334" s="843"/>
      <c r="I1334" s="841"/>
      <c r="J1334" s="1135"/>
      <c r="K1334" s="841"/>
      <c r="L1334" s="841"/>
      <c r="M1334" s="841"/>
      <c r="N1334" s="841"/>
      <c r="O1334" s="841"/>
      <c r="P1334" s="841"/>
      <c r="Q1334" s="841"/>
      <c r="R1334" s="841"/>
    </row>
    <row r="1335" spans="2:18">
      <c r="B1335" s="841"/>
      <c r="C1335" s="842"/>
      <c r="D1335" s="842"/>
      <c r="E1335" s="842"/>
      <c r="F1335" s="1135"/>
      <c r="G1335" s="1135"/>
      <c r="H1335" s="843"/>
      <c r="I1335" s="841"/>
      <c r="J1335" s="1135"/>
      <c r="K1335" s="841"/>
      <c r="L1335" s="841"/>
      <c r="M1335" s="841"/>
      <c r="N1335" s="841"/>
      <c r="O1335" s="841"/>
      <c r="P1335" s="841"/>
      <c r="Q1335" s="841"/>
      <c r="R1335" s="841"/>
    </row>
    <row r="1336" spans="2:18">
      <c r="B1336" s="841"/>
      <c r="C1336" s="842"/>
      <c r="D1336" s="842"/>
      <c r="E1336" s="842"/>
      <c r="F1336" s="1135"/>
      <c r="G1336" s="1135"/>
      <c r="H1336" s="843"/>
      <c r="I1336" s="841"/>
      <c r="J1336" s="1135"/>
      <c r="K1336" s="841"/>
      <c r="L1336" s="841"/>
      <c r="M1336" s="841"/>
      <c r="N1336" s="841"/>
      <c r="O1336" s="841"/>
      <c r="P1336" s="841"/>
      <c r="Q1336" s="841"/>
      <c r="R1336" s="841"/>
    </row>
    <row r="1337" spans="2:18">
      <c r="B1337" s="841"/>
      <c r="C1337" s="842"/>
      <c r="D1337" s="842"/>
      <c r="E1337" s="842"/>
      <c r="F1337" s="1135"/>
      <c r="G1337" s="1135"/>
      <c r="H1337" s="843"/>
      <c r="I1337" s="841"/>
      <c r="J1337" s="1135"/>
      <c r="K1337" s="841"/>
      <c r="L1337" s="841"/>
      <c r="M1337" s="841"/>
      <c r="N1337" s="841"/>
      <c r="O1337" s="841"/>
      <c r="P1337" s="841"/>
      <c r="Q1337" s="841"/>
      <c r="R1337" s="841"/>
    </row>
    <row r="1338" spans="2:18">
      <c r="B1338" s="841"/>
      <c r="C1338" s="842"/>
      <c r="D1338" s="842"/>
      <c r="E1338" s="842"/>
      <c r="F1338" s="1135"/>
      <c r="G1338" s="1135"/>
      <c r="H1338" s="843"/>
      <c r="I1338" s="841"/>
      <c r="J1338" s="1135"/>
      <c r="K1338" s="841"/>
      <c r="L1338" s="841"/>
      <c r="M1338" s="841"/>
      <c r="N1338" s="841"/>
      <c r="O1338" s="841"/>
      <c r="P1338" s="841"/>
      <c r="Q1338" s="841"/>
      <c r="R1338" s="841"/>
    </row>
    <row r="1339" spans="2:18">
      <c r="B1339" s="841"/>
      <c r="C1339" s="842"/>
      <c r="D1339" s="842"/>
      <c r="E1339" s="842"/>
      <c r="F1339" s="1135"/>
      <c r="G1339" s="1135"/>
      <c r="H1339" s="843"/>
      <c r="I1339" s="841"/>
      <c r="J1339" s="1135"/>
      <c r="K1339" s="841"/>
      <c r="L1339" s="841"/>
      <c r="M1339" s="841"/>
      <c r="N1339" s="841"/>
      <c r="O1339" s="841"/>
      <c r="P1339" s="841"/>
      <c r="Q1339" s="841"/>
      <c r="R1339" s="841"/>
    </row>
    <row r="1340" spans="2:18">
      <c r="B1340" s="841"/>
      <c r="C1340" s="842"/>
      <c r="D1340" s="842"/>
      <c r="E1340" s="842"/>
      <c r="F1340" s="1135"/>
      <c r="G1340" s="1135"/>
      <c r="H1340" s="843"/>
      <c r="I1340" s="841"/>
      <c r="J1340" s="1135"/>
      <c r="K1340" s="841"/>
      <c r="L1340" s="841"/>
      <c r="M1340" s="841"/>
      <c r="N1340" s="841"/>
      <c r="O1340" s="841"/>
      <c r="P1340" s="841"/>
      <c r="Q1340" s="841"/>
      <c r="R1340" s="841"/>
    </row>
    <row r="1341" spans="2:18">
      <c r="B1341" s="841"/>
      <c r="C1341" s="842"/>
      <c r="D1341" s="842"/>
      <c r="E1341" s="842"/>
      <c r="F1341" s="1135"/>
      <c r="G1341" s="1135"/>
      <c r="H1341" s="843"/>
      <c r="I1341" s="841"/>
      <c r="J1341" s="1135"/>
      <c r="K1341" s="841"/>
      <c r="L1341" s="841"/>
      <c r="M1341" s="841"/>
      <c r="N1341" s="841"/>
      <c r="O1341" s="841"/>
      <c r="P1341" s="841"/>
      <c r="Q1341" s="841"/>
      <c r="R1341" s="841"/>
    </row>
    <row r="1342" spans="2:18">
      <c r="B1342" s="841"/>
      <c r="C1342" s="842"/>
      <c r="D1342" s="842"/>
      <c r="E1342" s="842"/>
      <c r="F1342" s="1135"/>
      <c r="G1342" s="1135"/>
      <c r="H1342" s="843"/>
      <c r="I1342" s="841"/>
      <c r="J1342" s="1135"/>
      <c r="K1342" s="841"/>
      <c r="L1342" s="841"/>
      <c r="M1342" s="841"/>
      <c r="N1342" s="841"/>
      <c r="O1342" s="841"/>
      <c r="P1342" s="841"/>
      <c r="Q1342" s="841"/>
      <c r="R1342" s="841"/>
    </row>
    <row r="1343" spans="2:18">
      <c r="B1343" s="841"/>
      <c r="C1343" s="842"/>
      <c r="D1343" s="842"/>
      <c r="E1343" s="842"/>
      <c r="F1343" s="1135"/>
      <c r="G1343" s="1135"/>
      <c r="H1343" s="843"/>
      <c r="I1343" s="841"/>
      <c r="J1343" s="1135"/>
      <c r="K1343" s="841"/>
      <c r="L1343" s="841"/>
      <c r="M1343" s="841"/>
      <c r="N1343" s="841"/>
      <c r="O1343" s="841"/>
      <c r="P1343" s="841"/>
      <c r="Q1343" s="841"/>
      <c r="R1343" s="841"/>
    </row>
    <row r="1344" spans="2:18">
      <c r="B1344" s="841"/>
      <c r="C1344" s="842"/>
      <c r="D1344" s="842"/>
      <c r="E1344" s="842"/>
      <c r="F1344" s="1135"/>
      <c r="G1344" s="1135"/>
      <c r="H1344" s="843"/>
      <c r="I1344" s="841"/>
      <c r="J1344" s="1135"/>
      <c r="K1344" s="841"/>
      <c r="L1344" s="841"/>
      <c r="M1344" s="841"/>
      <c r="N1344" s="841"/>
      <c r="O1344" s="841"/>
      <c r="P1344" s="841"/>
      <c r="Q1344" s="841"/>
      <c r="R1344" s="841"/>
    </row>
    <row r="1345" spans="2:18">
      <c r="B1345" s="841"/>
      <c r="C1345" s="842"/>
      <c r="D1345" s="842"/>
      <c r="E1345" s="842"/>
      <c r="F1345" s="1135"/>
      <c r="G1345" s="1135"/>
      <c r="H1345" s="843"/>
      <c r="I1345" s="841"/>
      <c r="J1345" s="1135"/>
      <c r="K1345" s="841"/>
      <c r="L1345" s="841"/>
      <c r="M1345" s="841"/>
      <c r="N1345" s="841"/>
      <c r="O1345" s="841"/>
      <c r="P1345" s="841"/>
      <c r="Q1345" s="841"/>
      <c r="R1345" s="841"/>
    </row>
    <row r="1346" spans="2:18">
      <c r="B1346" s="841"/>
      <c r="C1346" s="842"/>
      <c r="D1346" s="842"/>
      <c r="E1346" s="842"/>
      <c r="F1346" s="1135"/>
      <c r="G1346" s="1135"/>
      <c r="H1346" s="843"/>
      <c r="I1346" s="841"/>
      <c r="J1346" s="1135"/>
      <c r="K1346" s="841"/>
      <c r="L1346" s="841"/>
      <c r="M1346" s="841"/>
      <c r="N1346" s="841"/>
      <c r="O1346" s="841"/>
      <c r="P1346" s="841"/>
      <c r="Q1346" s="841"/>
      <c r="R1346" s="841"/>
    </row>
    <row r="1347" spans="2:18">
      <c r="B1347" s="841"/>
      <c r="C1347" s="842"/>
      <c r="D1347" s="842"/>
      <c r="E1347" s="842"/>
      <c r="F1347" s="1135"/>
      <c r="G1347" s="1135"/>
      <c r="H1347" s="843"/>
      <c r="I1347" s="841"/>
      <c r="J1347" s="1135"/>
      <c r="K1347" s="841"/>
      <c r="L1347" s="841"/>
      <c r="M1347" s="841"/>
      <c r="N1347" s="841"/>
      <c r="O1347" s="841"/>
      <c r="P1347" s="841"/>
      <c r="Q1347" s="841"/>
      <c r="R1347" s="841"/>
    </row>
    <row r="1348" spans="2:18">
      <c r="B1348" s="841"/>
      <c r="C1348" s="842"/>
      <c r="D1348" s="842"/>
      <c r="E1348" s="842"/>
      <c r="F1348" s="1135"/>
      <c r="G1348" s="1135"/>
      <c r="H1348" s="843"/>
      <c r="I1348" s="841"/>
      <c r="J1348" s="1135"/>
      <c r="K1348" s="841"/>
      <c r="L1348" s="841"/>
      <c r="M1348" s="841"/>
      <c r="N1348" s="841"/>
      <c r="O1348" s="841"/>
      <c r="P1348" s="841"/>
      <c r="Q1348" s="841"/>
      <c r="R1348" s="841"/>
    </row>
    <row r="1349" spans="2:18">
      <c r="B1349" s="841"/>
      <c r="C1349" s="842"/>
      <c r="D1349" s="842"/>
      <c r="E1349" s="842"/>
      <c r="F1349" s="1135"/>
      <c r="G1349" s="1135"/>
      <c r="H1349" s="843"/>
      <c r="I1349" s="841"/>
      <c r="J1349" s="1135"/>
      <c r="K1349" s="841"/>
      <c r="L1349" s="841"/>
      <c r="M1349" s="841"/>
      <c r="N1349" s="841"/>
      <c r="O1349" s="841"/>
      <c r="P1349" s="841"/>
      <c r="Q1349" s="841"/>
      <c r="R1349" s="841"/>
    </row>
    <row r="1350" spans="2:18">
      <c r="B1350" s="841"/>
      <c r="C1350" s="842"/>
      <c r="D1350" s="842"/>
      <c r="E1350" s="842"/>
      <c r="F1350" s="1135"/>
      <c r="G1350" s="1135"/>
      <c r="H1350" s="843"/>
      <c r="I1350" s="841"/>
      <c r="J1350" s="1135"/>
      <c r="K1350" s="841"/>
      <c r="L1350" s="841"/>
      <c r="M1350" s="841"/>
      <c r="N1350" s="841"/>
      <c r="O1350" s="841"/>
      <c r="P1350" s="841"/>
      <c r="Q1350" s="841"/>
      <c r="R1350" s="841"/>
    </row>
    <row r="1351" spans="2:18">
      <c r="B1351" s="841"/>
      <c r="C1351" s="842"/>
      <c r="D1351" s="842"/>
      <c r="E1351" s="842"/>
      <c r="F1351" s="1135"/>
      <c r="G1351" s="1135"/>
      <c r="H1351" s="843"/>
      <c r="I1351" s="841"/>
      <c r="J1351" s="1135"/>
      <c r="K1351" s="841"/>
      <c r="L1351" s="841"/>
      <c r="M1351" s="841"/>
      <c r="N1351" s="841"/>
      <c r="O1351" s="841"/>
      <c r="P1351" s="841"/>
      <c r="Q1351" s="841"/>
      <c r="R1351" s="841"/>
    </row>
    <row r="1352" spans="2:18">
      <c r="B1352" s="841"/>
      <c r="C1352" s="842"/>
      <c r="D1352" s="842"/>
      <c r="E1352" s="842"/>
      <c r="F1352" s="1135"/>
      <c r="G1352" s="1135"/>
      <c r="H1352" s="843"/>
      <c r="I1352" s="841"/>
      <c r="J1352" s="1135"/>
      <c r="K1352" s="841"/>
      <c r="L1352" s="841"/>
      <c r="M1352" s="841"/>
      <c r="N1352" s="841"/>
      <c r="O1352" s="841"/>
      <c r="P1352" s="841"/>
      <c r="Q1352" s="841"/>
      <c r="R1352" s="841"/>
    </row>
    <row r="1353" spans="2:18">
      <c r="B1353" s="841"/>
      <c r="C1353" s="842"/>
      <c r="D1353" s="842"/>
      <c r="E1353" s="842"/>
      <c r="F1353" s="1135"/>
      <c r="G1353" s="1135"/>
      <c r="H1353" s="843"/>
      <c r="I1353" s="841"/>
      <c r="J1353" s="1135"/>
      <c r="K1353" s="841"/>
      <c r="L1353" s="841"/>
      <c r="M1353" s="841"/>
      <c r="N1353" s="841"/>
      <c r="O1353" s="841"/>
      <c r="P1353" s="841"/>
      <c r="Q1353" s="841"/>
      <c r="R1353" s="841"/>
    </row>
    <row r="1354" spans="2:18">
      <c r="B1354" s="841"/>
      <c r="C1354" s="842"/>
      <c r="D1354" s="842"/>
      <c r="E1354" s="842"/>
      <c r="F1354" s="1135"/>
      <c r="G1354" s="1135"/>
      <c r="H1354" s="843"/>
      <c r="I1354" s="841"/>
      <c r="J1354" s="1135"/>
      <c r="K1354" s="841"/>
      <c r="L1354" s="841"/>
      <c r="M1354" s="841"/>
      <c r="N1354" s="841"/>
      <c r="O1354" s="841"/>
      <c r="P1354" s="841"/>
      <c r="Q1354" s="841"/>
      <c r="R1354" s="841"/>
    </row>
    <row r="1355" spans="2:18">
      <c r="B1355" s="841"/>
      <c r="C1355" s="842"/>
      <c r="D1355" s="842"/>
      <c r="E1355" s="842"/>
      <c r="F1355" s="1135"/>
      <c r="G1355" s="1135"/>
      <c r="H1355" s="843"/>
      <c r="I1355" s="841"/>
      <c r="J1355" s="1135"/>
      <c r="K1355" s="841"/>
      <c r="L1355" s="841"/>
      <c r="M1355" s="841"/>
      <c r="N1355" s="841"/>
      <c r="O1355" s="841"/>
      <c r="P1355" s="841"/>
      <c r="Q1355" s="841"/>
      <c r="R1355" s="841"/>
    </row>
    <row r="1356" spans="2:18">
      <c r="B1356" s="841"/>
      <c r="C1356" s="842"/>
      <c r="D1356" s="842"/>
      <c r="E1356" s="842"/>
      <c r="F1356" s="1135"/>
      <c r="G1356" s="1135"/>
      <c r="H1356" s="843"/>
      <c r="I1356" s="841"/>
      <c r="J1356" s="1135"/>
      <c r="K1356" s="841"/>
      <c r="L1356" s="841"/>
      <c r="M1356" s="841"/>
      <c r="N1356" s="841"/>
      <c r="O1356" s="841"/>
      <c r="P1356" s="841"/>
      <c r="Q1356" s="841"/>
      <c r="R1356" s="841"/>
    </row>
    <row r="1357" spans="2:18">
      <c r="B1357" s="841"/>
      <c r="C1357" s="842"/>
      <c r="D1357" s="842"/>
      <c r="E1357" s="842"/>
      <c r="F1357" s="1135"/>
      <c r="G1357" s="1135"/>
      <c r="H1357" s="843"/>
      <c r="I1357" s="841"/>
      <c r="J1357" s="1135"/>
      <c r="K1357" s="841"/>
      <c r="L1357" s="841"/>
      <c r="M1357" s="841"/>
      <c r="N1357" s="841"/>
      <c r="O1357" s="841"/>
      <c r="P1357" s="841"/>
      <c r="Q1357" s="841"/>
      <c r="R1357" s="841"/>
    </row>
    <row r="1358" spans="2:18">
      <c r="B1358" s="841"/>
      <c r="C1358" s="842"/>
      <c r="D1358" s="842"/>
      <c r="E1358" s="842"/>
      <c r="F1358" s="1135"/>
      <c r="G1358" s="1135"/>
      <c r="H1358" s="843"/>
      <c r="I1358" s="841"/>
      <c r="J1358" s="1135"/>
      <c r="K1358" s="841"/>
      <c r="L1358" s="841"/>
      <c r="M1358" s="841"/>
      <c r="N1358" s="841"/>
      <c r="O1358" s="841"/>
      <c r="P1358" s="841"/>
      <c r="Q1358" s="841"/>
      <c r="R1358" s="841"/>
    </row>
    <row r="1359" spans="2:18">
      <c r="B1359" s="841"/>
      <c r="C1359" s="842"/>
      <c r="D1359" s="842"/>
      <c r="E1359" s="842"/>
      <c r="F1359" s="1135"/>
      <c r="G1359" s="1135"/>
      <c r="H1359" s="843"/>
      <c r="I1359" s="841"/>
      <c r="J1359" s="1135"/>
      <c r="K1359" s="841"/>
      <c r="L1359" s="841"/>
      <c r="M1359" s="841"/>
      <c r="N1359" s="841"/>
      <c r="O1359" s="841"/>
      <c r="P1359" s="841"/>
      <c r="Q1359" s="841"/>
      <c r="R1359" s="841"/>
    </row>
    <row r="1360" spans="2:18">
      <c r="B1360" s="841"/>
      <c r="C1360" s="842"/>
      <c r="D1360" s="842"/>
      <c r="E1360" s="842"/>
      <c r="F1360" s="1135"/>
      <c r="G1360" s="1135"/>
      <c r="H1360" s="843"/>
      <c r="I1360" s="841"/>
      <c r="J1360" s="1135"/>
      <c r="K1360" s="841"/>
      <c r="L1360" s="841"/>
      <c r="M1360" s="841"/>
      <c r="N1360" s="841"/>
      <c r="O1360" s="841"/>
      <c r="P1360" s="841"/>
      <c r="Q1360" s="841"/>
      <c r="R1360" s="841"/>
    </row>
    <row r="1361" spans="2:18">
      <c r="B1361" s="841"/>
      <c r="C1361" s="842"/>
      <c r="D1361" s="842"/>
      <c r="E1361" s="842"/>
      <c r="F1361" s="1135"/>
      <c r="G1361" s="1135"/>
      <c r="H1361" s="843"/>
      <c r="I1361" s="841"/>
      <c r="J1361" s="1135"/>
      <c r="K1361" s="841"/>
      <c r="L1361" s="841"/>
      <c r="M1361" s="841"/>
      <c r="N1361" s="841"/>
      <c r="O1361" s="841"/>
      <c r="P1361" s="841"/>
      <c r="Q1361" s="841"/>
      <c r="R1361" s="841"/>
    </row>
    <row r="1362" spans="2:18">
      <c r="B1362" s="841"/>
      <c r="C1362" s="842"/>
      <c r="D1362" s="842"/>
      <c r="E1362" s="842"/>
      <c r="F1362" s="1135"/>
      <c r="G1362" s="1135"/>
      <c r="H1362" s="843"/>
      <c r="I1362" s="841"/>
      <c r="J1362" s="1135"/>
      <c r="K1362" s="841"/>
      <c r="L1362" s="841"/>
      <c r="M1362" s="841"/>
      <c r="N1362" s="841"/>
      <c r="O1362" s="841"/>
      <c r="P1362" s="841"/>
      <c r="Q1362" s="841"/>
      <c r="R1362" s="841"/>
    </row>
    <row r="1363" spans="2:18">
      <c r="B1363" s="841"/>
      <c r="C1363" s="842"/>
      <c r="D1363" s="842"/>
      <c r="E1363" s="842"/>
      <c r="F1363" s="1135"/>
      <c r="G1363" s="1135"/>
      <c r="H1363" s="843"/>
      <c r="I1363" s="841"/>
      <c r="J1363" s="1135"/>
      <c r="K1363" s="841"/>
      <c r="L1363" s="841"/>
      <c r="M1363" s="841"/>
      <c r="N1363" s="841"/>
      <c r="O1363" s="841"/>
      <c r="P1363" s="841"/>
      <c r="Q1363" s="841"/>
      <c r="R1363" s="841"/>
    </row>
    <row r="1364" spans="2:18">
      <c r="B1364" s="841"/>
      <c r="C1364" s="842"/>
      <c r="D1364" s="842"/>
      <c r="E1364" s="842"/>
      <c r="F1364" s="1135"/>
      <c r="G1364" s="1135"/>
      <c r="H1364" s="843"/>
      <c r="I1364" s="841"/>
      <c r="J1364" s="1135"/>
      <c r="K1364" s="841"/>
      <c r="L1364" s="841"/>
      <c r="M1364" s="841"/>
      <c r="N1364" s="841"/>
      <c r="O1364" s="841"/>
      <c r="P1364" s="841"/>
      <c r="Q1364" s="841"/>
      <c r="R1364" s="841"/>
    </row>
    <row r="1365" spans="2:18">
      <c r="B1365" s="841"/>
      <c r="C1365" s="842"/>
      <c r="D1365" s="842"/>
      <c r="E1365" s="842"/>
      <c r="F1365" s="1135"/>
      <c r="G1365" s="1135"/>
      <c r="H1365" s="843"/>
      <c r="I1365" s="841"/>
      <c r="J1365" s="1135"/>
      <c r="K1365" s="841"/>
      <c r="L1365" s="841"/>
      <c r="M1365" s="841"/>
      <c r="N1365" s="841"/>
      <c r="O1365" s="841"/>
      <c r="P1365" s="841"/>
      <c r="Q1365" s="841"/>
      <c r="R1365" s="841"/>
    </row>
    <row r="1366" spans="2:18">
      <c r="B1366" s="841"/>
      <c r="C1366" s="842"/>
      <c r="D1366" s="842"/>
      <c r="E1366" s="842"/>
      <c r="F1366" s="1135"/>
      <c r="G1366" s="1135"/>
      <c r="H1366" s="843"/>
      <c r="I1366" s="841"/>
      <c r="J1366" s="1135"/>
      <c r="K1366" s="841"/>
      <c r="L1366" s="841"/>
      <c r="M1366" s="841"/>
      <c r="N1366" s="841"/>
      <c r="O1366" s="841"/>
      <c r="P1366" s="841"/>
      <c r="Q1366" s="841"/>
      <c r="R1366" s="841"/>
    </row>
    <row r="1367" spans="2:18">
      <c r="B1367" s="841"/>
      <c r="C1367" s="842"/>
      <c r="D1367" s="842"/>
      <c r="E1367" s="842"/>
      <c r="F1367" s="1135"/>
      <c r="G1367" s="1135"/>
      <c r="H1367" s="843"/>
      <c r="I1367" s="841"/>
      <c r="J1367" s="1135"/>
      <c r="K1367" s="841"/>
      <c r="L1367" s="841"/>
      <c r="M1367" s="841"/>
      <c r="N1367" s="841"/>
      <c r="O1367" s="841"/>
      <c r="P1367" s="841"/>
      <c r="Q1367" s="841"/>
      <c r="R1367" s="841"/>
    </row>
    <row r="1368" spans="2:18">
      <c r="B1368" s="841"/>
      <c r="C1368" s="842"/>
      <c r="D1368" s="842"/>
      <c r="E1368" s="842"/>
      <c r="F1368" s="1135"/>
      <c r="G1368" s="1135"/>
      <c r="H1368" s="843"/>
      <c r="I1368" s="841"/>
      <c r="J1368" s="1135"/>
      <c r="K1368" s="841"/>
      <c r="L1368" s="841"/>
      <c r="M1368" s="841"/>
      <c r="N1368" s="841"/>
      <c r="O1368" s="841"/>
      <c r="P1368" s="841"/>
      <c r="Q1368" s="841"/>
      <c r="R1368" s="841"/>
    </row>
    <row r="1369" spans="2:18">
      <c r="B1369" s="841"/>
      <c r="C1369" s="842"/>
      <c r="D1369" s="842"/>
      <c r="E1369" s="842"/>
      <c r="F1369" s="1135"/>
      <c r="G1369" s="1135"/>
      <c r="H1369" s="843"/>
      <c r="I1369" s="841"/>
      <c r="J1369" s="1135"/>
      <c r="K1369" s="841"/>
      <c r="L1369" s="841"/>
      <c r="M1369" s="841"/>
      <c r="N1369" s="841"/>
      <c r="O1369" s="841"/>
      <c r="P1369" s="841"/>
      <c r="Q1369" s="841"/>
      <c r="R1369" s="841"/>
    </row>
    <row r="1370" spans="2:18">
      <c r="B1370" s="841"/>
      <c r="C1370" s="842"/>
      <c r="D1370" s="842"/>
      <c r="E1370" s="842"/>
      <c r="F1370" s="1135"/>
      <c r="G1370" s="1135"/>
      <c r="H1370" s="843"/>
      <c r="I1370" s="841"/>
      <c r="J1370" s="1135"/>
      <c r="K1370" s="841"/>
      <c r="L1370" s="841"/>
      <c r="M1370" s="841"/>
      <c r="N1370" s="841"/>
      <c r="O1370" s="841"/>
      <c r="P1370" s="841"/>
      <c r="Q1370" s="841"/>
      <c r="R1370" s="841"/>
    </row>
    <row r="1371" spans="2:18">
      <c r="B1371" s="841"/>
      <c r="C1371" s="842"/>
      <c r="D1371" s="842"/>
      <c r="E1371" s="842"/>
      <c r="F1371" s="1135"/>
      <c r="G1371" s="1135"/>
      <c r="H1371" s="843"/>
      <c r="I1371" s="841"/>
      <c r="J1371" s="1135"/>
      <c r="K1371" s="841"/>
      <c r="L1371" s="841"/>
      <c r="M1371" s="841"/>
      <c r="N1371" s="841"/>
      <c r="O1371" s="841"/>
      <c r="P1371" s="841"/>
      <c r="Q1371" s="841"/>
      <c r="R1371" s="841"/>
    </row>
    <row r="1372" spans="2:18">
      <c r="B1372" s="841"/>
      <c r="C1372" s="842"/>
      <c r="D1372" s="842"/>
      <c r="E1372" s="842"/>
      <c r="F1372" s="1135"/>
      <c r="G1372" s="1135"/>
      <c r="H1372" s="843"/>
      <c r="I1372" s="841"/>
      <c r="J1372" s="1135"/>
      <c r="K1372" s="841"/>
      <c r="L1372" s="841"/>
      <c r="M1372" s="841"/>
      <c r="N1372" s="841"/>
      <c r="O1372" s="841"/>
      <c r="P1372" s="841"/>
      <c r="Q1372" s="841"/>
      <c r="R1372" s="841"/>
    </row>
    <row r="1373" spans="2:18">
      <c r="B1373" s="841"/>
      <c r="C1373" s="842"/>
      <c r="D1373" s="842"/>
      <c r="E1373" s="842"/>
      <c r="F1373" s="1135"/>
      <c r="G1373" s="1135"/>
      <c r="H1373" s="843"/>
      <c r="I1373" s="841"/>
      <c r="J1373" s="1135"/>
      <c r="K1373" s="841"/>
      <c r="L1373" s="841"/>
      <c r="M1373" s="841"/>
      <c r="N1373" s="841"/>
      <c r="O1373" s="841"/>
      <c r="P1373" s="841"/>
      <c r="Q1373" s="841"/>
      <c r="R1373" s="841"/>
    </row>
    <row r="1374" spans="2:18">
      <c r="B1374" s="841"/>
      <c r="C1374" s="842"/>
      <c r="D1374" s="842"/>
      <c r="E1374" s="842"/>
      <c r="F1374" s="1135"/>
      <c r="G1374" s="1135"/>
      <c r="H1374" s="843"/>
      <c r="I1374" s="841"/>
      <c r="J1374" s="1135"/>
      <c r="K1374" s="841"/>
      <c r="L1374" s="841"/>
      <c r="M1374" s="841"/>
      <c r="N1374" s="841"/>
      <c r="O1374" s="841"/>
      <c r="P1374" s="841"/>
      <c r="Q1374" s="841"/>
      <c r="R1374" s="841"/>
    </row>
    <row r="1375" spans="2:18">
      <c r="B1375" s="841"/>
      <c r="C1375" s="842"/>
      <c r="D1375" s="842"/>
      <c r="E1375" s="842"/>
      <c r="F1375" s="1135"/>
      <c r="G1375" s="1135"/>
      <c r="H1375" s="843"/>
      <c r="I1375" s="841"/>
      <c r="J1375" s="1135"/>
      <c r="K1375" s="841"/>
      <c r="L1375" s="841"/>
      <c r="M1375" s="841"/>
      <c r="N1375" s="841"/>
      <c r="O1375" s="841"/>
      <c r="P1375" s="841"/>
      <c r="Q1375" s="841"/>
      <c r="R1375" s="841"/>
    </row>
    <row r="1376" spans="2:18">
      <c r="B1376" s="841"/>
      <c r="C1376" s="842"/>
      <c r="D1376" s="842"/>
      <c r="E1376" s="842"/>
      <c r="F1376" s="1135"/>
      <c r="G1376" s="1135"/>
      <c r="H1376" s="843"/>
      <c r="I1376" s="841"/>
      <c r="J1376" s="1135"/>
      <c r="K1376" s="841"/>
      <c r="L1376" s="841"/>
      <c r="M1376" s="841"/>
      <c r="N1376" s="841"/>
      <c r="O1376" s="841"/>
      <c r="P1376" s="841"/>
      <c r="Q1376" s="841"/>
      <c r="R1376" s="841"/>
    </row>
    <row r="1377" spans="2:18">
      <c r="B1377" s="841"/>
      <c r="C1377" s="842"/>
      <c r="D1377" s="842"/>
      <c r="E1377" s="842"/>
      <c r="F1377" s="1135"/>
      <c r="G1377" s="1135"/>
      <c r="H1377" s="843"/>
      <c r="I1377" s="841"/>
      <c r="J1377" s="1135"/>
      <c r="K1377" s="841"/>
      <c r="L1377" s="841"/>
      <c r="M1377" s="841"/>
      <c r="N1377" s="841"/>
      <c r="O1377" s="841"/>
      <c r="P1377" s="841"/>
      <c r="Q1377" s="841"/>
      <c r="R1377" s="841"/>
    </row>
    <row r="1378" spans="2:18">
      <c r="B1378" s="841"/>
      <c r="C1378" s="842"/>
      <c r="D1378" s="842"/>
      <c r="E1378" s="842"/>
      <c r="F1378" s="1135"/>
      <c r="G1378" s="1135"/>
      <c r="H1378" s="843"/>
      <c r="I1378" s="841"/>
      <c r="J1378" s="1135"/>
      <c r="K1378" s="841"/>
      <c r="L1378" s="841"/>
      <c r="M1378" s="841"/>
      <c r="N1378" s="841"/>
      <c r="O1378" s="841"/>
      <c r="P1378" s="841"/>
      <c r="Q1378" s="841"/>
      <c r="R1378" s="841"/>
    </row>
    <row r="1379" spans="2:18">
      <c r="B1379" s="841"/>
      <c r="C1379" s="842"/>
      <c r="D1379" s="842"/>
      <c r="E1379" s="842"/>
      <c r="F1379" s="1135"/>
      <c r="G1379" s="1135"/>
      <c r="H1379" s="843"/>
      <c r="I1379" s="841"/>
      <c r="J1379" s="1135"/>
      <c r="K1379" s="841"/>
      <c r="L1379" s="841"/>
      <c r="M1379" s="841"/>
      <c r="N1379" s="841"/>
      <c r="O1379" s="841"/>
      <c r="P1379" s="841"/>
      <c r="Q1379" s="841"/>
      <c r="R1379" s="841"/>
    </row>
    <row r="1380" spans="2:18">
      <c r="B1380" s="841"/>
      <c r="C1380" s="842"/>
      <c r="D1380" s="842"/>
      <c r="E1380" s="842"/>
      <c r="F1380" s="1135"/>
      <c r="G1380" s="1135"/>
      <c r="H1380" s="843"/>
      <c r="I1380" s="841"/>
      <c r="J1380" s="1135"/>
      <c r="K1380" s="841"/>
      <c r="L1380" s="841"/>
      <c r="M1380" s="841"/>
      <c r="N1380" s="841"/>
      <c r="O1380" s="841"/>
      <c r="P1380" s="841"/>
      <c r="Q1380" s="841"/>
      <c r="R1380" s="841"/>
    </row>
    <row r="1381" spans="2:18">
      <c r="B1381" s="841"/>
      <c r="C1381" s="842"/>
      <c r="D1381" s="842"/>
      <c r="E1381" s="842"/>
      <c r="F1381" s="1135"/>
      <c r="G1381" s="1135"/>
      <c r="H1381" s="843"/>
      <c r="I1381" s="841"/>
      <c r="J1381" s="1135"/>
      <c r="K1381" s="841"/>
      <c r="L1381" s="841"/>
      <c r="M1381" s="841"/>
      <c r="N1381" s="841"/>
      <c r="O1381" s="841"/>
      <c r="P1381" s="841"/>
      <c r="Q1381" s="841"/>
      <c r="R1381" s="841"/>
    </row>
    <row r="1382" spans="2:18">
      <c r="B1382" s="841"/>
      <c r="C1382" s="842"/>
      <c r="D1382" s="842"/>
      <c r="E1382" s="842"/>
      <c r="F1382" s="1135"/>
      <c r="G1382" s="1135"/>
      <c r="H1382" s="843"/>
      <c r="I1382" s="841"/>
      <c r="J1382" s="1135"/>
      <c r="K1382" s="841"/>
      <c r="L1382" s="841"/>
      <c r="M1382" s="841"/>
      <c r="N1382" s="841"/>
      <c r="O1382" s="841"/>
      <c r="P1382" s="841"/>
      <c r="Q1382" s="841"/>
      <c r="R1382" s="841"/>
    </row>
    <row r="1383" spans="2:18">
      <c r="B1383" s="841"/>
      <c r="C1383" s="842"/>
      <c r="D1383" s="842"/>
      <c r="E1383" s="842"/>
      <c r="F1383" s="1135"/>
      <c r="G1383" s="1135"/>
      <c r="H1383" s="843"/>
      <c r="I1383" s="841"/>
      <c r="J1383" s="1135"/>
      <c r="K1383" s="841"/>
      <c r="L1383" s="841"/>
      <c r="M1383" s="841"/>
      <c r="N1383" s="841"/>
      <c r="O1383" s="841"/>
      <c r="P1383" s="841"/>
      <c r="Q1383" s="841"/>
      <c r="R1383" s="841"/>
    </row>
    <row r="1384" spans="2:18">
      <c r="B1384" s="841"/>
      <c r="C1384" s="842"/>
      <c r="D1384" s="842"/>
      <c r="E1384" s="842"/>
      <c r="F1384" s="1135"/>
      <c r="G1384" s="1135"/>
      <c r="H1384" s="843"/>
      <c r="I1384" s="841"/>
      <c r="J1384" s="1135"/>
      <c r="K1384" s="841"/>
      <c r="L1384" s="841"/>
      <c r="M1384" s="841"/>
      <c r="N1384" s="841"/>
      <c r="O1384" s="841"/>
      <c r="P1384" s="841"/>
      <c r="Q1384" s="841"/>
      <c r="R1384" s="841"/>
    </row>
    <row r="1385" spans="2:18">
      <c r="B1385" s="841"/>
      <c r="C1385" s="842"/>
      <c r="D1385" s="842"/>
      <c r="E1385" s="842"/>
      <c r="F1385" s="1135"/>
      <c r="G1385" s="1135"/>
      <c r="H1385" s="843"/>
      <c r="I1385" s="841"/>
      <c r="J1385" s="1135"/>
      <c r="K1385" s="841"/>
      <c r="L1385" s="841"/>
      <c r="M1385" s="841"/>
      <c r="N1385" s="841"/>
      <c r="O1385" s="841"/>
      <c r="P1385" s="841"/>
      <c r="Q1385" s="841"/>
      <c r="R1385" s="841"/>
    </row>
    <row r="1386" spans="2:18">
      <c r="B1386" s="841"/>
      <c r="C1386" s="842"/>
      <c r="D1386" s="842"/>
      <c r="E1386" s="842"/>
      <c r="F1386" s="1135"/>
      <c r="G1386" s="1135"/>
      <c r="H1386" s="843"/>
      <c r="I1386" s="841"/>
      <c r="J1386" s="1135"/>
      <c r="K1386" s="841"/>
      <c r="L1386" s="841"/>
      <c r="M1386" s="841"/>
      <c r="N1386" s="841"/>
      <c r="O1386" s="841"/>
      <c r="P1386" s="841"/>
      <c r="Q1386" s="841"/>
      <c r="R1386" s="841"/>
    </row>
    <row r="1387" spans="2:18">
      <c r="B1387" s="841"/>
      <c r="C1387" s="842"/>
      <c r="D1387" s="842"/>
      <c r="E1387" s="842"/>
      <c r="F1387" s="1135"/>
      <c r="G1387" s="1135"/>
      <c r="H1387" s="843"/>
      <c r="I1387" s="841"/>
      <c r="J1387" s="1135"/>
      <c r="K1387" s="841"/>
      <c r="L1387" s="841"/>
      <c r="M1387" s="841"/>
      <c r="N1387" s="841"/>
      <c r="O1387" s="841"/>
      <c r="P1387" s="841"/>
      <c r="Q1387" s="841"/>
      <c r="R1387" s="841"/>
    </row>
    <row r="1388" spans="2:18">
      <c r="B1388" s="841"/>
      <c r="C1388" s="842"/>
      <c r="D1388" s="842"/>
      <c r="E1388" s="842"/>
      <c r="F1388" s="1135"/>
      <c r="G1388" s="1135"/>
      <c r="H1388" s="843"/>
      <c r="I1388" s="841"/>
      <c r="J1388" s="1135"/>
      <c r="K1388" s="841"/>
      <c r="L1388" s="841"/>
      <c r="M1388" s="841"/>
      <c r="N1388" s="841"/>
      <c r="O1388" s="841"/>
      <c r="P1388" s="841"/>
      <c r="Q1388" s="841"/>
      <c r="R1388" s="841"/>
    </row>
    <row r="1389" spans="2:18">
      <c r="B1389" s="841"/>
      <c r="C1389" s="842"/>
      <c r="D1389" s="842"/>
      <c r="E1389" s="842"/>
      <c r="F1389" s="1135"/>
      <c r="G1389" s="1135"/>
      <c r="H1389" s="843"/>
      <c r="I1389" s="841"/>
      <c r="J1389" s="1135"/>
      <c r="K1389" s="841"/>
      <c r="L1389" s="841"/>
      <c r="M1389" s="841"/>
      <c r="N1389" s="841"/>
      <c r="O1389" s="841"/>
      <c r="P1389" s="841"/>
      <c r="Q1389" s="841"/>
      <c r="R1389" s="841"/>
    </row>
    <row r="1390" spans="2:18">
      <c r="B1390" s="841"/>
      <c r="C1390" s="842"/>
      <c r="D1390" s="842"/>
      <c r="E1390" s="842"/>
      <c r="F1390" s="1135"/>
      <c r="G1390" s="1135"/>
      <c r="H1390" s="843"/>
      <c r="I1390" s="841"/>
      <c r="J1390" s="1135"/>
      <c r="K1390" s="841"/>
      <c r="L1390" s="841"/>
      <c r="M1390" s="841"/>
      <c r="N1390" s="841"/>
      <c r="O1390" s="841"/>
      <c r="P1390" s="841"/>
      <c r="Q1390" s="841"/>
      <c r="R1390" s="841"/>
    </row>
    <row r="1391" spans="2:18">
      <c r="B1391" s="841"/>
      <c r="C1391" s="842"/>
      <c r="D1391" s="842"/>
      <c r="E1391" s="842"/>
      <c r="F1391" s="1135"/>
      <c r="G1391" s="1135"/>
      <c r="H1391" s="843"/>
      <c r="I1391" s="841"/>
      <c r="J1391" s="1135"/>
      <c r="K1391" s="841"/>
      <c r="L1391" s="841"/>
      <c r="M1391" s="841"/>
      <c r="N1391" s="841"/>
      <c r="O1391" s="841"/>
      <c r="P1391" s="841"/>
      <c r="Q1391" s="841"/>
      <c r="R1391" s="841"/>
    </row>
    <row r="1392" spans="2:18">
      <c r="B1392" s="841"/>
      <c r="C1392" s="842"/>
      <c r="D1392" s="842"/>
      <c r="E1392" s="842"/>
      <c r="F1392" s="1135"/>
      <c r="G1392" s="1135"/>
      <c r="H1392" s="843"/>
      <c r="I1392" s="841"/>
      <c r="J1392" s="1135"/>
      <c r="K1392" s="841"/>
      <c r="L1392" s="841"/>
      <c r="M1392" s="841"/>
      <c r="N1392" s="841"/>
      <c r="O1392" s="841"/>
      <c r="P1392" s="841"/>
      <c r="Q1392" s="841"/>
      <c r="R1392" s="841"/>
    </row>
    <row r="1393" spans="2:18">
      <c r="B1393" s="841"/>
      <c r="C1393" s="842"/>
      <c r="D1393" s="842"/>
      <c r="E1393" s="842"/>
      <c r="F1393" s="1135"/>
      <c r="G1393" s="1135"/>
      <c r="H1393" s="843"/>
      <c r="I1393" s="841"/>
      <c r="J1393" s="1135"/>
      <c r="K1393" s="841"/>
      <c r="L1393" s="841"/>
      <c r="M1393" s="841"/>
      <c r="N1393" s="841"/>
      <c r="O1393" s="841"/>
      <c r="P1393" s="841"/>
      <c r="Q1393" s="841"/>
      <c r="R1393" s="841"/>
    </row>
    <row r="1394" spans="2:18">
      <c r="B1394" s="841"/>
      <c r="C1394" s="842"/>
      <c r="D1394" s="842"/>
      <c r="E1394" s="842"/>
      <c r="F1394" s="1135"/>
      <c r="G1394" s="1135"/>
      <c r="H1394" s="843"/>
      <c r="I1394" s="841"/>
      <c r="J1394" s="1135"/>
      <c r="K1394" s="841"/>
      <c r="L1394" s="841"/>
      <c r="M1394" s="841"/>
      <c r="N1394" s="841"/>
      <c r="O1394" s="841"/>
      <c r="P1394" s="841"/>
      <c r="Q1394" s="841"/>
      <c r="R1394" s="841"/>
    </row>
    <row r="1395" spans="2:18">
      <c r="B1395" s="841"/>
      <c r="C1395" s="842"/>
      <c r="D1395" s="842"/>
      <c r="E1395" s="842"/>
      <c r="F1395" s="1135"/>
      <c r="G1395" s="1135"/>
      <c r="H1395" s="843"/>
      <c r="I1395" s="841"/>
      <c r="J1395" s="1135"/>
      <c r="K1395" s="841"/>
      <c r="L1395" s="841"/>
      <c r="M1395" s="841"/>
      <c r="N1395" s="841"/>
      <c r="O1395" s="841"/>
      <c r="P1395" s="841"/>
      <c r="Q1395" s="841"/>
      <c r="R1395" s="841"/>
    </row>
    <row r="1396" spans="2:18">
      <c r="B1396" s="841"/>
      <c r="C1396" s="842"/>
      <c r="D1396" s="842"/>
      <c r="E1396" s="842"/>
      <c r="F1396" s="1135"/>
      <c r="G1396" s="1135"/>
      <c r="H1396" s="843"/>
      <c r="I1396" s="841"/>
      <c r="J1396" s="1135"/>
      <c r="K1396" s="841"/>
      <c r="L1396" s="841"/>
      <c r="M1396" s="841"/>
      <c r="N1396" s="841"/>
      <c r="O1396" s="841"/>
      <c r="P1396" s="841"/>
      <c r="Q1396" s="841"/>
      <c r="R1396" s="841"/>
    </row>
    <row r="1397" spans="2:18">
      <c r="B1397" s="841"/>
      <c r="C1397" s="842"/>
      <c r="D1397" s="842"/>
      <c r="E1397" s="842"/>
      <c r="F1397" s="1135"/>
      <c r="G1397" s="1135"/>
      <c r="H1397" s="843"/>
      <c r="I1397" s="841"/>
      <c r="J1397" s="1135"/>
      <c r="K1397" s="841"/>
      <c r="L1397" s="841"/>
      <c r="M1397" s="841"/>
      <c r="N1397" s="841"/>
      <c r="O1397" s="841"/>
      <c r="P1397" s="841"/>
      <c r="Q1397" s="841"/>
      <c r="R1397" s="841"/>
    </row>
    <row r="1398" spans="2:18">
      <c r="B1398" s="841"/>
      <c r="C1398" s="842"/>
      <c r="D1398" s="842"/>
      <c r="E1398" s="842"/>
      <c r="F1398" s="1135"/>
      <c r="G1398" s="1135"/>
      <c r="H1398" s="843"/>
      <c r="I1398" s="841"/>
      <c r="J1398" s="1135"/>
      <c r="K1398" s="841"/>
      <c r="L1398" s="841"/>
      <c r="M1398" s="841"/>
      <c r="N1398" s="841"/>
      <c r="O1398" s="841"/>
      <c r="P1398" s="841"/>
      <c r="Q1398" s="841"/>
      <c r="R1398" s="841"/>
    </row>
    <row r="1399" spans="2:18">
      <c r="B1399" s="841"/>
      <c r="C1399" s="842"/>
      <c r="D1399" s="842"/>
      <c r="E1399" s="842"/>
      <c r="F1399" s="1135"/>
      <c r="G1399" s="1135"/>
      <c r="H1399" s="843"/>
      <c r="I1399" s="841"/>
      <c r="J1399" s="1135"/>
      <c r="K1399" s="841"/>
      <c r="L1399" s="841"/>
      <c r="M1399" s="841"/>
      <c r="N1399" s="841"/>
      <c r="O1399" s="841"/>
      <c r="P1399" s="841"/>
      <c r="Q1399" s="841"/>
      <c r="R1399" s="841"/>
    </row>
    <row r="1400" spans="2:18">
      <c r="B1400" s="841"/>
      <c r="C1400" s="842"/>
      <c r="D1400" s="842"/>
      <c r="E1400" s="842"/>
      <c r="F1400" s="1135"/>
      <c r="G1400" s="1135"/>
      <c r="H1400" s="843"/>
      <c r="I1400" s="841"/>
      <c r="J1400" s="1135"/>
      <c r="K1400" s="841"/>
      <c r="L1400" s="841"/>
      <c r="M1400" s="841"/>
      <c r="N1400" s="841"/>
      <c r="O1400" s="841"/>
      <c r="P1400" s="841"/>
      <c r="Q1400" s="841"/>
      <c r="R1400" s="841"/>
    </row>
    <row r="1401" spans="2:18">
      <c r="B1401" s="841"/>
      <c r="C1401" s="842"/>
      <c r="D1401" s="842"/>
      <c r="E1401" s="842"/>
      <c r="F1401" s="1135"/>
      <c r="G1401" s="1135"/>
      <c r="H1401" s="843"/>
      <c r="I1401" s="841"/>
      <c r="J1401" s="1135"/>
      <c r="K1401" s="841"/>
      <c r="L1401" s="841"/>
      <c r="M1401" s="841"/>
      <c r="N1401" s="841"/>
      <c r="O1401" s="841"/>
      <c r="P1401" s="841"/>
      <c r="Q1401" s="841"/>
      <c r="R1401" s="841"/>
    </row>
    <row r="1402" spans="2:18">
      <c r="B1402" s="841"/>
      <c r="C1402" s="842"/>
      <c r="D1402" s="842"/>
      <c r="E1402" s="842"/>
      <c r="F1402" s="1135"/>
      <c r="G1402" s="1135"/>
      <c r="H1402" s="843"/>
      <c r="I1402" s="841"/>
      <c r="J1402" s="1135"/>
      <c r="K1402" s="841"/>
      <c r="L1402" s="841"/>
      <c r="M1402" s="841"/>
      <c r="N1402" s="841"/>
      <c r="O1402" s="841"/>
      <c r="P1402" s="841"/>
      <c r="Q1402" s="841"/>
      <c r="R1402" s="841"/>
    </row>
    <row r="1403" spans="2:18">
      <c r="B1403" s="841"/>
      <c r="C1403" s="842"/>
      <c r="D1403" s="842"/>
      <c r="E1403" s="842"/>
      <c r="F1403" s="1135"/>
      <c r="G1403" s="1135"/>
      <c r="H1403" s="843"/>
      <c r="I1403" s="841"/>
      <c r="J1403" s="1135"/>
      <c r="K1403" s="841"/>
      <c r="L1403" s="841"/>
      <c r="M1403" s="841"/>
      <c r="N1403" s="841"/>
      <c r="O1403" s="841"/>
      <c r="P1403" s="841"/>
      <c r="Q1403" s="841"/>
      <c r="R1403" s="841"/>
    </row>
    <row r="1404" spans="2:18">
      <c r="B1404" s="841"/>
      <c r="C1404" s="842"/>
      <c r="D1404" s="842"/>
      <c r="E1404" s="842"/>
      <c r="F1404" s="1135"/>
      <c r="G1404" s="1135"/>
      <c r="H1404" s="843"/>
      <c r="I1404" s="841"/>
      <c r="J1404" s="1135"/>
      <c r="K1404" s="841"/>
      <c r="L1404" s="841"/>
      <c r="M1404" s="841"/>
      <c r="N1404" s="841"/>
      <c r="O1404" s="841"/>
      <c r="P1404" s="841"/>
      <c r="Q1404" s="841"/>
      <c r="R1404" s="841"/>
    </row>
    <row r="1405" spans="2:18">
      <c r="B1405" s="841"/>
      <c r="C1405" s="842"/>
      <c r="D1405" s="842"/>
      <c r="E1405" s="842"/>
      <c r="F1405" s="1135"/>
      <c r="G1405" s="1135"/>
      <c r="H1405" s="843"/>
      <c r="I1405" s="841"/>
      <c r="J1405" s="1135"/>
      <c r="K1405" s="841"/>
      <c r="L1405" s="841"/>
      <c r="M1405" s="841"/>
      <c r="N1405" s="841"/>
      <c r="O1405" s="841"/>
      <c r="P1405" s="841"/>
      <c r="Q1405" s="841"/>
      <c r="R1405" s="841"/>
    </row>
    <row r="1406" spans="2:18">
      <c r="B1406" s="841"/>
      <c r="C1406" s="842"/>
      <c r="D1406" s="842"/>
      <c r="E1406" s="842"/>
      <c r="F1406" s="1135"/>
      <c r="G1406" s="1135"/>
      <c r="H1406" s="843"/>
      <c r="I1406" s="841"/>
      <c r="J1406" s="1135"/>
      <c r="K1406" s="841"/>
      <c r="L1406" s="841"/>
      <c r="M1406" s="841"/>
      <c r="N1406" s="841"/>
      <c r="O1406" s="841"/>
      <c r="P1406" s="841"/>
      <c r="Q1406" s="841"/>
      <c r="R1406" s="841"/>
    </row>
    <row r="1407" spans="2:18">
      <c r="B1407" s="841"/>
      <c r="C1407" s="842"/>
      <c r="D1407" s="842"/>
      <c r="E1407" s="842"/>
      <c r="F1407" s="1135"/>
      <c r="G1407" s="1135"/>
      <c r="H1407" s="843"/>
      <c r="I1407" s="841"/>
      <c r="J1407" s="1135"/>
      <c r="K1407" s="841"/>
      <c r="L1407" s="841"/>
      <c r="M1407" s="841"/>
      <c r="N1407" s="841"/>
      <c r="O1407" s="841"/>
      <c r="P1407" s="841"/>
      <c r="Q1407" s="841"/>
      <c r="R1407" s="841"/>
    </row>
    <row r="1408" spans="2:18">
      <c r="B1408" s="841"/>
      <c r="C1408" s="842"/>
      <c r="D1408" s="842"/>
      <c r="E1408" s="842"/>
      <c r="F1408" s="1135"/>
      <c r="G1408" s="1135"/>
      <c r="H1408" s="843"/>
      <c r="I1408" s="841"/>
      <c r="J1408" s="1135"/>
      <c r="K1408" s="841"/>
      <c r="L1408" s="841"/>
      <c r="M1408" s="841"/>
      <c r="N1408" s="841"/>
      <c r="O1408" s="841"/>
      <c r="P1408" s="841"/>
      <c r="Q1408" s="841"/>
      <c r="R1408" s="841"/>
    </row>
    <row r="1409" spans="2:18">
      <c r="B1409" s="841"/>
      <c r="C1409" s="842"/>
      <c r="D1409" s="842"/>
      <c r="E1409" s="842"/>
      <c r="F1409" s="1135"/>
      <c r="G1409" s="1135"/>
      <c r="H1409" s="843"/>
      <c r="I1409" s="841"/>
      <c r="J1409" s="1135"/>
      <c r="K1409" s="841"/>
      <c r="L1409" s="841"/>
      <c r="M1409" s="841"/>
      <c r="N1409" s="841"/>
      <c r="O1409" s="841"/>
      <c r="P1409" s="841"/>
      <c r="Q1409" s="841"/>
      <c r="R1409" s="841"/>
    </row>
    <row r="1410" spans="2:18">
      <c r="B1410" s="841"/>
      <c r="C1410" s="842"/>
      <c r="D1410" s="842"/>
      <c r="E1410" s="842"/>
      <c r="F1410" s="1135"/>
      <c r="G1410" s="1135"/>
      <c r="H1410" s="843"/>
      <c r="I1410" s="841"/>
      <c r="J1410" s="1135"/>
      <c r="K1410" s="841"/>
      <c r="L1410" s="841"/>
      <c r="M1410" s="841"/>
      <c r="N1410" s="841"/>
      <c r="O1410" s="841"/>
      <c r="P1410" s="841"/>
      <c r="Q1410" s="841"/>
      <c r="R1410" s="841"/>
    </row>
    <row r="1411" spans="2:18">
      <c r="B1411" s="841"/>
      <c r="C1411" s="842"/>
      <c r="D1411" s="842"/>
      <c r="E1411" s="842"/>
      <c r="F1411" s="1135"/>
      <c r="G1411" s="1135"/>
      <c r="H1411" s="843"/>
      <c r="I1411" s="841"/>
      <c r="J1411" s="1135"/>
      <c r="K1411" s="841"/>
      <c r="L1411" s="841"/>
      <c r="M1411" s="841"/>
      <c r="N1411" s="841"/>
      <c r="O1411" s="841"/>
      <c r="P1411" s="841"/>
      <c r="Q1411" s="841"/>
      <c r="R1411" s="841"/>
    </row>
    <row r="1412" spans="2:18">
      <c r="B1412" s="841"/>
      <c r="C1412" s="842"/>
      <c r="D1412" s="842"/>
      <c r="E1412" s="842"/>
      <c r="F1412" s="1135"/>
      <c r="G1412" s="1135"/>
      <c r="H1412" s="843"/>
      <c r="I1412" s="841"/>
      <c r="J1412" s="1135"/>
      <c r="K1412" s="841"/>
      <c r="L1412" s="841"/>
      <c r="M1412" s="841"/>
      <c r="N1412" s="841"/>
      <c r="O1412" s="841"/>
      <c r="P1412" s="841"/>
      <c r="Q1412" s="841"/>
      <c r="R1412" s="841"/>
    </row>
    <row r="1413" spans="2:18">
      <c r="B1413" s="841"/>
      <c r="C1413" s="842"/>
      <c r="D1413" s="842"/>
      <c r="E1413" s="842"/>
      <c r="F1413" s="1135"/>
      <c r="G1413" s="1135"/>
      <c r="H1413" s="843"/>
      <c r="I1413" s="841"/>
      <c r="J1413" s="1135"/>
      <c r="K1413" s="841"/>
      <c r="L1413" s="841"/>
      <c r="M1413" s="841"/>
      <c r="N1413" s="841"/>
      <c r="O1413" s="841"/>
      <c r="P1413" s="841"/>
      <c r="Q1413" s="841"/>
      <c r="R1413" s="841"/>
    </row>
    <row r="1414" spans="2:18">
      <c r="B1414" s="841"/>
      <c r="C1414" s="842"/>
      <c r="D1414" s="842"/>
      <c r="E1414" s="842"/>
      <c r="F1414" s="1135"/>
      <c r="G1414" s="1135"/>
      <c r="H1414" s="843"/>
      <c r="I1414" s="841"/>
      <c r="J1414" s="1135"/>
      <c r="K1414" s="841"/>
      <c r="L1414" s="841"/>
      <c r="M1414" s="841"/>
      <c r="N1414" s="841"/>
      <c r="O1414" s="841"/>
      <c r="P1414" s="841"/>
      <c r="Q1414" s="841"/>
      <c r="R1414" s="841"/>
    </row>
    <row r="1415" spans="2:18">
      <c r="B1415" s="841"/>
      <c r="C1415" s="842"/>
      <c r="D1415" s="842"/>
      <c r="E1415" s="842"/>
      <c r="F1415" s="1135"/>
      <c r="G1415" s="1135"/>
      <c r="H1415" s="843"/>
      <c r="I1415" s="841"/>
      <c r="J1415" s="1135"/>
      <c r="K1415" s="841"/>
      <c r="L1415" s="841"/>
      <c r="M1415" s="841"/>
      <c r="N1415" s="841"/>
      <c r="O1415" s="841"/>
      <c r="P1415" s="841"/>
      <c r="Q1415" s="841"/>
      <c r="R1415" s="841"/>
    </row>
    <row r="1416" spans="2:18">
      <c r="B1416" s="841"/>
      <c r="C1416" s="842"/>
      <c r="D1416" s="842"/>
      <c r="E1416" s="842"/>
      <c r="F1416" s="1135"/>
      <c r="G1416" s="1135"/>
      <c r="H1416" s="843"/>
      <c r="I1416" s="841"/>
      <c r="J1416" s="1135"/>
      <c r="K1416" s="841"/>
      <c r="L1416" s="841"/>
      <c r="M1416" s="841"/>
      <c r="N1416" s="841"/>
      <c r="O1416" s="841"/>
      <c r="P1416" s="841"/>
      <c r="Q1416" s="841"/>
      <c r="R1416" s="841"/>
    </row>
    <row r="1417" spans="2:18">
      <c r="B1417" s="841"/>
      <c r="C1417" s="842"/>
      <c r="D1417" s="842"/>
      <c r="E1417" s="842"/>
      <c r="F1417" s="1135"/>
      <c r="G1417" s="1135"/>
      <c r="H1417" s="843"/>
      <c r="I1417" s="841"/>
      <c r="J1417" s="1135"/>
      <c r="K1417" s="841"/>
      <c r="L1417" s="841"/>
      <c r="M1417" s="841"/>
      <c r="N1417" s="841"/>
      <c r="O1417" s="841"/>
      <c r="P1417" s="841"/>
      <c r="Q1417" s="841"/>
      <c r="R1417" s="841"/>
    </row>
    <row r="1418" spans="2:18">
      <c r="B1418" s="841"/>
      <c r="C1418" s="842"/>
      <c r="D1418" s="842"/>
      <c r="E1418" s="842"/>
      <c r="F1418" s="1135"/>
      <c r="G1418" s="1135"/>
      <c r="H1418" s="843"/>
      <c r="I1418" s="841"/>
      <c r="J1418" s="1135"/>
      <c r="K1418" s="841"/>
      <c r="L1418" s="841"/>
      <c r="M1418" s="841"/>
      <c r="N1418" s="841"/>
      <c r="O1418" s="841"/>
      <c r="P1418" s="841"/>
      <c r="Q1418" s="841"/>
      <c r="R1418" s="841"/>
    </row>
    <row r="1419" spans="2:18">
      <c r="B1419" s="841"/>
      <c r="C1419" s="842"/>
      <c r="D1419" s="842"/>
      <c r="E1419" s="842"/>
      <c r="F1419" s="1135"/>
      <c r="G1419" s="1135"/>
      <c r="H1419" s="843"/>
      <c r="I1419" s="841"/>
      <c r="J1419" s="1135"/>
      <c r="K1419" s="841"/>
      <c r="L1419" s="841"/>
      <c r="M1419" s="841"/>
      <c r="N1419" s="841"/>
      <c r="O1419" s="841"/>
      <c r="P1419" s="841"/>
      <c r="Q1419" s="841"/>
      <c r="R1419" s="841"/>
    </row>
    <row r="1420" spans="2:18">
      <c r="B1420" s="841"/>
      <c r="C1420" s="842"/>
      <c r="D1420" s="842"/>
      <c r="E1420" s="842"/>
      <c r="F1420" s="1135"/>
      <c r="G1420" s="1135"/>
      <c r="H1420" s="843"/>
      <c r="I1420" s="841"/>
      <c r="J1420" s="1135"/>
      <c r="K1420" s="841"/>
      <c r="L1420" s="841"/>
      <c r="M1420" s="841"/>
      <c r="N1420" s="841"/>
      <c r="O1420" s="841"/>
      <c r="P1420" s="841"/>
      <c r="Q1420" s="841"/>
      <c r="R1420" s="841"/>
    </row>
    <row r="1421" spans="2:18">
      <c r="B1421" s="841"/>
      <c r="C1421" s="842"/>
      <c r="D1421" s="842"/>
      <c r="E1421" s="842"/>
      <c r="F1421" s="1135"/>
      <c r="G1421" s="1135"/>
      <c r="H1421" s="843"/>
      <c r="I1421" s="841"/>
      <c r="J1421" s="1135"/>
      <c r="K1421" s="841"/>
      <c r="L1421" s="841"/>
      <c r="M1421" s="841"/>
      <c r="N1421" s="841"/>
      <c r="O1421" s="841"/>
      <c r="P1421" s="841"/>
      <c r="Q1421" s="841"/>
      <c r="R1421" s="841"/>
    </row>
    <row r="1422" spans="2:18">
      <c r="B1422" s="841"/>
      <c r="C1422" s="842"/>
      <c r="D1422" s="842"/>
      <c r="E1422" s="842"/>
      <c r="F1422" s="1135"/>
      <c r="G1422" s="1135"/>
      <c r="H1422" s="843"/>
      <c r="I1422" s="841"/>
      <c r="J1422" s="1135"/>
      <c r="K1422" s="841"/>
      <c r="L1422" s="841"/>
      <c r="M1422" s="841"/>
      <c r="N1422" s="841"/>
      <c r="O1422" s="841"/>
      <c r="P1422" s="841"/>
      <c r="Q1422" s="841"/>
      <c r="R1422" s="841"/>
    </row>
    <row r="1423" spans="2:18">
      <c r="B1423" s="841"/>
      <c r="C1423" s="842"/>
      <c r="D1423" s="842"/>
      <c r="E1423" s="842"/>
      <c r="F1423" s="1135"/>
      <c r="G1423" s="1135"/>
      <c r="H1423" s="843"/>
      <c r="I1423" s="841"/>
      <c r="J1423" s="1135"/>
      <c r="K1423" s="841"/>
      <c r="L1423" s="841"/>
      <c r="M1423" s="841"/>
      <c r="N1423" s="841"/>
      <c r="O1423" s="841"/>
      <c r="P1423" s="841"/>
      <c r="Q1423" s="841"/>
      <c r="R1423" s="841"/>
    </row>
    <row r="1424" spans="2:18">
      <c r="B1424" s="841"/>
      <c r="C1424" s="842"/>
      <c r="D1424" s="842"/>
      <c r="E1424" s="842"/>
      <c r="F1424" s="1135"/>
      <c r="G1424" s="1135"/>
      <c r="H1424" s="843"/>
      <c r="I1424" s="841"/>
      <c r="J1424" s="1135"/>
      <c r="K1424" s="841"/>
      <c r="L1424" s="841"/>
      <c r="M1424" s="841"/>
      <c r="N1424" s="841"/>
      <c r="O1424" s="841"/>
      <c r="P1424" s="841"/>
      <c r="Q1424" s="841"/>
      <c r="R1424" s="841"/>
    </row>
    <row r="1425" spans="2:18">
      <c r="B1425" s="841"/>
      <c r="C1425" s="842"/>
      <c r="D1425" s="842"/>
      <c r="E1425" s="842"/>
      <c r="F1425" s="1135"/>
      <c r="G1425" s="1135"/>
      <c r="H1425" s="843"/>
      <c r="I1425" s="841"/>
      <c r="J1425" s="1135"/>
      <c r="K1425" s="841"/>
      <c r="L1425" s="841"/>
      <c r="M1425" s="841"/>
      <c r="N1425" s="841"/>
      <c r="O1425" s="841"/>
      <c r="P1425" s="841"/>
      <c r="Q1425" s="841"/>
      <c r="R1425" s="841"/>
    </row>
    <row r="1426" spans="2:18">
      <c r="B1426" s="841"/>
      <c r="C1426" s="842"/>
      <c r="D1426" s="842"/>
      <c r="E1426" s="842"/>
      <c r="F1426" s="1135"/>
      <c r="G1426" s="1135"/>
      <c r="H1426" s="843"/>
      <c r="I1426" s="841"/>
      <c r="J1426" s="1135"/>
      <c r="K1426" s="841"/>
      <c r="L1426" s="841"/>
      <c r="M1426" s="841"/>
      <c r="N1426" s="841"/>
      <c r="O1426" s="841"/>
      <c r="P1426" s="841"/>
      <c r="Q1426" s="841"/>
      <c r="R1426" s="841"/>
    </row>
    <row r="1427" spans="2:18">
      <c r="B1427" s="841"/>
      <c r="C1427" s="842"/>
      <c r="D1427" s="842"/>
      <c r="E1427" s="842"/>
      <c r="F1427" s="1135"/>
      <c r="G1427" s="1135"/>
      <c r="H1427" s="843"/>
      <c r="I1427" s="841"/>
      <c r="J1427" s="1135"/>
      <c r="K1427" s="841"/>
      <c r="L1427" s="841"/>
      <c r="M1427" s="841"/>
      <c r="N1427" s="841"/>
      <c r="O1427" s="841"/>
      <c r="P1427" s="841"/>
      <c r="Q1427" s="841"/>
      <c r="R1427" s="841"/>
    </row>
    <row r="1428" spans="2:18">
      <c r="B1428" s="841"/>
      <c r="C1428" s="842"/>
      <c r="D1428" s="842"/>
      <c r="E1428" s="842"/>
      <c r="F1428" s="1135"/>
      <c r="G1428" s="1135"/>
      <c r="H1428" s="843"/>
      <c r="I1428" s="841"/>
      <c r="J1428" s="1135"/>
      <c r="K1428" s="841"/>
      <c r="L1428" s="841"/>
      <c r="M1428" s="841"/>
      <c r="N1428" s="841"/>
      <c r="O1428" s="841"/>
      <c r="P1428" s="841"/>
      <c r="Q1428" s="841"/>
      <c r="R1428" s="841"/>
    </row>
    <row r="1429" spans="2:18">
      <c r="B1429" s="841"/>
      <c r="C1429" s="842"/>
      <c r="D1429" s="842"/>
      <c r="E1429" s="842"/>
      <c r="F1429" s="1135"/>
      <c r="G1429" s="1135"/>
      <c r="H1429" s="843"/>
      <c r="I1429" s="841"/>
      <c r="J1429" s="1135"/>
      <c r="K1429" s="841"/>
      <c r="L1429" s="841"/>
      <c r="M1429" s="841"/>
      <c r="N1429" s="841"/>
      <c r="O1429" s="841"/>
      <c r="P1429" s="841"/>
      <c r="Q1429" s="841"/>
      <c r="R1429" s="841"/>
    </row>
    <row r="1430" spans="2:18">
      <c r="B1430" s="841"/>
      <c r="C1430" s="842"/>
      <c r="D1430" s="842"/>
      <c r="E1430" s="842"/>
      <c r="F1430" s="1135"/>
      <c r="G1430" s="1135"/>
      <c r="H1430" s="843"/>
      <c r="I1430" s="841"/>
      <c r="J1430" s="1135"/>
      <c r="K1430" s="841"/>
      <c r="L1430" s="841"/>
      <c r="M1430" s="841"/>
      <c r="N1430" s="841"/>
      <c r="O1430" s="841"/>
      <c r="P1430" s="841"/>
      <c r="Q1430" s="841"/>
      <c r="R1430" s="841"/>
    </row>
    <row r="1431" spans="2:18">
      <c r="B1431" s="841"/>
      <c r="C1431" s="842"/>
      <c r="D1431" s="842"/>
      <c r="E1431" s="842"/>
      <c r="F1431" s="1135"/>
      <c r="G1431" s="1135"/>
      <c r="H1431" s="843"/>
      <c r="I1431" s="841"/>
      <c r="J1431" s="1135"/>
      <c r="K1431" s="841"/>
      <c r="L1431" s="841"/>
      <c r="M1431" s="841"/>
      <c r="N1431" s="841"/>
      <c r="O1431" s="841"/>
      <c r="P1431" s="841"/>
      <c r="Q1431" s="841"/>
      <c r="R1431" s="841"/>
    </row>
    <row r="1432" spans="2:18">
      <c r="B1432" s="841"/>
      <c r="C1432" s="842"/>
      <c r="D1432" s="842"/>
      <c r="E1432" s="842"/>
      <c r="F1432" s="1135"/>
      <c r="G1432" s="1135"/>
      <c r="H1432" s="843"/>
      <c r="I1432" s="841"/>
      <c r="J1432" s="1135"/>
      <c r="K1432" s="841"/>
      <c r="L1432" s="841"/>
      <c r="M1432" s="841"/>
      <c r="N1432" s="841"/>
      <c r="O1432" s="841"/>
      <c r="P1432" s="841"/>
      <c r="Q1432" s="841"/>
      <c r="R1432" s="841"/>
    </row>
    <row r="1433" spans="2:18">
      <c r="B1433" s="841"/>
      <c r="C1433" s="842"/>
      <c r="D1433" s="842"/>
      <c r="E1433" s="842"/>
      <c r="F1433" s="1135"/>
      <c r="G1433" s="1135"/>
      <c r="H1433" s="843"/>
      <c r="I1433" s="841"/>
      <c r="J1433" s="1135"/>
      <c r="K1433" s="841"/>
      <c r="L1433" s="841"/>
      <c r="M1433" s="841"/>
      <c r="N1433" s="841"/>
      <c r="O1433" s="841"/>
      <c r="P1433" s="841"/>
      <c r="Q1433" s="841"/>
      <c r="R1433" s="841"/>
    </row>
    <row r="1434" spans="2:18">
      <c r="B1434" s="841"/>
      <c r="C1434" s="842"/>
      <c r="D1434" s="842"/>
      <c r="E1434" s="842"/>
      <c r="F1434" s="1135"/>
      <c r="G1434" s="1135"/>
      <c r="H1434" s="843"/>
      <c r="I1434" s="841"/>
      <c r="J1434" s="1135"/>
      <c r="K1434" s="841"/>
      <c r="L1434" s="841"/>
      <c r="M1434" s="841"/>
      <c r="N1434" s="841"/>
      <c r="O1434" s="841"/>
      <c r="P1434" s="841"/>
      <c r="Q1434" s="841"/>
      <c r="R1434" s="841"/>
    </row>
    <row r="1435" spans="2:18">
      <c r="B1435" s="841"/>
      <c r="C1435" s="842"/>
      <c r="D1435" s="842"/>
      <c r="E1435" s="842"/>
      <c r="F1435" s="1135"/>
      <c r="G1435" s="1135"/>
      <c r="H1435" s="843"/>
      <c r="I1435" s="841"/>
      <c r="J1435" s="1135"/>
      <c r="K1435" s="841"/>
      <c r="L1435" s="841"/>
      <c r="M1435" s="841"/>
      <c r="N1435" s="841"/>
      <c r="O1435" s="841"/>
      <c r="P1435" s="841"/>
      <c r="Q1435" s="841"/>
      <c r="R1435" s="841"/>
    </row>
    <row r="1436" spans="2:18">
      <c r="B1436" s="841"/>
      <c r="C1436" s="842"/>
      <c r="D1436" s="842"/>
      <c r="E1436" s="842"/>
      <c r="F1436" s="1135"/>
      <c r="G1436" s="1135"/>
      <c r="H1436" s="843"/>
      <c r="I1436" s="841"/>
      <c r="J1436" s="1135"/>
      <c r="K1436" s="841"/>
      <c r="L1436" s="841"/>
      <c r="M1436" s="841"/>
      <c r="N1436" s="841"/>
      <c r="O1436" s="841"/>
      <c r="P1436" s="841"/>
      <c r="Q1436" s="841"/>
      <c r="R1436" s="841"/>
    </row>
    <row r="1437" spans="2:18">
      <c r="B1437" s="841"/>
      <c r="C1437" s="842"/>
      <c r="D1437" s="842"/>
      <c r="E1437" s="842"/>
      <c r="F1437" s="1135"/>
      <c r="G1437" s="1135"/>
      <c r="H1437" s="843"/>
      <c r="I1437" s="841"/>
      <c r="J1437" s="1135"/>
      <c r="K1437" s="841"/>
      <c r="L1437" s="841"/>
      <c r="M1437" s="841"/>
      <c r="N1437" s="841"/>
      <c r="O1437" s="841"/>
      <c r="P1437" s="841"/>
      <c r="Q1437" s="841"/>
      <c r="R1437" s="841"/>
    </row>
    <row r="1438" spans="2:18">
      <c r="B1438" s="841"/>
      <c r="C1438" s="842"/>
      <c r="D1438" s="842"/>
      <c r="E1438" s="842"/>
      <c r="F1438" s="1135"/>
      <c r="G1438" s="1135"/>
      <c r="H1438" s="843"/>
      <c r="I1438" s="841"/>
      <c r="J1438" s="1135"/>
      <c r="K1438" s="841"/>
      <c r="L1438" s="841"/>
      <c r="M1438" s="841"/>
      <c r="N1438" s="841"/>
      <c r="O1438" s="841"/>
      <c r="P1438" s="841"/>
      <c r="Q1438" s="841"/>
      <c r="R1438" s="841"/>
    </row>
    <row r="1439" spans="2:18">
      <c r="B1439" s="841"/>
      <c r="C1439" s="842"/>
      <c r="D1439" s="842"/>
      <c r="E1439" s="842"/>
      <c r="F1439" s="1135"/>
      <c r="G1439" s="1135"/>
      <c r="H1439" s="843"/>
      <c r="I1439" s="841"/>
      <c r="J1439" s="1135"/>
      <c r="K1439" s="841"/>
      <c r="L1439" s="841"/>
      <c r="M1439" s="841"/>
      <c r="N1439" s="841"/>
      <c r="O1439" s="841"/>
      <c r="P1439" s="841"/>
      <c r="Q1439" s="841"/>
      <c r="R1439" s="841"/>
    </row>
    <row r="1440" spans="2:18">
      <c r="B1440" s="841"/>
      <c r="C1440" s="842"/>
      <c r="D1440" s="842"/>
      <c r="E1440" s="842"/>
      <c r="F1440" s="1135"/>
      <c r="G1440" s="1135"/>
      <c r="H1440" s="843"/>
      <c r="I1440" s="841"/>
      <c r="J1440" s="1135"/>
      <c r="K1440" s="841"/>
      <c r="L1440" s="841"/>
      <c r="M1440" s="841"/>
      <c r="N1440" s="841"/>
      <c r="O1440" s="841"/>
      <c r="P1440" s="841"/>
      <c r="Q1440" s="841"/>
      <c r="R1440" s="841"/>
    </row>
    <row r="1441" spans="2:18">
      <c r="B1441" s="841"/>
      <c r="C1441" s="842"/>
      <c r="D1441" s="842"/>
      <c r="E1441" s="842"/>
      <c r="F1441" s="1135"/>
      <c r="G1441" s="1135"/>
      <c r="H1441" s="843"/>
      <c r="I1441" s="841"/>
      <c r="J1441" s="1135"/>
      <c r="K1441" s="841"/>
      <c r="L1441" s="841"/>
      <c r="M1441" s="841"/>
      <c r="N1441" s="841"/>
      <c r="O1441" s="841"/>
      <c r="P1441" s="841"/>
      <c r="Q1441" s="841"/>
      <c r="R1441" s="841"/>
    </row>
    <row r="1442" spans="2:18">
      <c r="B1442" s="841"/>
      <c r="C1442" s="842"/>
      <c r="D1442" s="842"/>
      <c r="E1442" s="842"/>
      <c r="F1442" s="1135"/>
      <c r="G1442" s="1135"/>
      <c r="H1442" s="843"/>
      <c r="I1442" s="841"/>
      <c r="J1442" s="1135"/>
      <c r="K1442" s="841"/>
      <c r="L1442" s="841"/>
      <c r="M1442" s="841"/>
      <c r="N1442" s="841"/>
      <c r="O1442" s="841"/>
      <c r="P1442" s="841"/>
      <c r="Q1442" s="841"/>
      <c r="R1442" s="841"/>
    </row>
    <row r="1443" spans="2:18">
      <c r="B1443" s="841"/>
      <c r="C1443" s="842"/>
      <c r="D1443" s="842"/>
      <c r="E1443" s="842"/>
      <c r="F1443" s="1135"/>
      <c r="G1443" s="1135"/>
      <c r="H1443" s="843"/>
      <c r="I1443" s="841"/>
      <c r="J1443" s="1135"/>
      <c r="K1443" s="841"/>
      <c r="L1443" s="841"/>
      <c r="M1443" s="841"/>
      <c r="N1443" s="841"/>
      <c r="O1443" s="841"/>
      <c r="P1443" s="841"/>
      <c r="Q1443" s="841"/>
      <c r="R1443" s="841"/>
    </row>
    <row r="1444" spans="2:18">
      <c r="B1444" s="841"/>
      <c r="C1444" s="842"/>
      <c r="D1444" s="842"/>
      <c r="E1444" s="842"/>
      <c r="F1444" s="1135"/>
      <c r="G1444" s="1135"/>
      <c r="H1444" s="843"/>
      <c r="I1444" s="841"/>
      <c r="J1444" s="1135"/>
      <c r="K1444" s="841"/>
      <c r="L1444" s="841"/>
      <c r="M1444" s="841"/>
      <c r="N1444" s="841"/>
      <c r="O1444" s="841"/>
      <c r="P1444" s="841"/>
      <c r="Q1444" s="841"/>
      <c r="R1444" s="841"/>
    </row>
    <row r="1445" spans="2:18">
      <c r="B1445" s="841"/>
      <c r="C1445" s="842"/>
      <c r="D1445" s="842"/>
      <c r="E1445" s="842"/>
      <c r="F1445" s="1135"/>
      <c r="G1445" s="1135"/>
      <c r="H1445" s="843"/>
      <c r="I1445" s="841"/>
      <c r="J1445" s="1135"/>
      <c r="K1445" s="841"/>
      <c r="L1445" s="841"/>
      <c r="M1445" s="841"/>
      <c r="N1445" s="841"/>
      <c r="O1445" s="841"/>
      <c r="P1445" s="841"/>
      <c r="Q1445" s="841"/>
      <c r="R1445" s="841"/>
    </row>
    <row r="1446" spans="2:18">
      <c r="B1446" s="841"/>
      <c r="C1446" s="842"/>
      <c r="D1446" s="842"/>
      <c r="E1446" s="842"/>
      <c r="F1446" s="1135"/>
      <c r="G1446" s="1135"/>
      <c r="H1446" s="843"/>
      <c r="I1446" s="841"/>
      <c r="J1446" s="1135"/>
      <c r="K1446" s="841"/>
      <c r="L1446" s="841"/>
      <c r="M1446" s="841"/>
      <c r="N1446" s="841"/>
      <c r="O1446" s="841"/>
      <c r="P1446" s="841"/>
      <c r="Q1446" s="841"/>
      <c r="R1446" s="841"/>
    </row>
    <row r="1447" spans="2:18">
      <c r="B1447" s="841"/>
      <c r="C1447" s="842"/>
      <c r="D1447" s="842"/>
      <c r="E1447" s="842"/>
      <c r="F1447" s="1135"/>
      <c r="G1447" s="1135"/>
      <c r="H1447" s="843"/>
      <c r="I1447" s="841"/>
      <c r="J1447" s="1135"/>
      <c r="K1447" s="841"/>
      <c r="L1447" s="841"/>
      <c r="M1447" s="841"/>
      <c r="N1447" s="841"/>
      <c r="O1447" s="841"/>
      <c r="P1447" s="841"/>
      <c r="Q1447" s="841"/>
      <c r="R1447" s="841"/>
    </row>
    <row r="1448" spans="2:18">
      <c r="B1448" s="841"/>
      <c r="C1448" s="842"/>
      <c r="D1448" s="842"/>
      <c r="E1448" s="842"/>
      <c r="F1448" s="1135"/>
      <c r="G1448" s="1135"/>
      <c r="H1448" s="843"/>
      <c r="I1448" s="841"/>
      <c r="J1448" s="1135"/>
      <c r="K1448" s="841"/>
      <c r="L1448" s="841"/>
      <c r="M1448" s="841"/>
      <c r="N1448" s="841"/>
      <c r="O1448" s="841"/>
      <c r="P1448" s="841"/>
      <c r="Q1448" s="841"/>
      <c r="R1448" s="841"/>
    </row>
    <row r="1449" spans="2:18">
      <c r="B1449" s="841"/>
      <c r="C1449" s="842"/>
      <c r="D1449" s="842"/>
      <c r="E1449" s="842"/>
      <c r="F1449" s="1135"/>
      <c r="G1449" s="1135"/>
      <c r="H1449" s="843"/>
      <c r="I1449" s="841"/>
      <c r="J1449" s="1135"/>
      <c r="K1449" s="841"/>
      <c r="L1449" s="841"/>
      <c r="M1449" s="841"/>
      <c r="N1449" s="841"/>
      <c r="O1449" s="841"/>
      <c r="P1449" s="841"/>
      <c r="Q1449" s="841"/>
      <c r="R1449" s="841"/>
    </row>
    <row r="1450" spans="2:18">
      <c r="B1450" s="841"/>
      <c r="C1450" s="842"/>
      <c r="D1450" s="842"/>
      <c r="E1450" s="842"/>
      <c r="F1450" s="1135"/>
      <c r="G1450" s="1135"/>
      <c r="H1450" s="843"/>
      <c r="I1450" s="841"/>
      <c r="J1450" s="1135"/>
      <c r="K1450" s="841"/>
      <c r="L1450" s="841"/>
      <c r="M1450" s="841"/>
      <c r="N1450" s="841"/>
      <c r="O1450" s="841"/>
      <c r="P1450" s="841"/>
      <c r="Q1450" s="841"/>
      <c r="R1450" s="841"/>
    </row>
    <row r="1451" spans="2:18">
      <c r="B1451" s="841"/>
      <c r="C1451" s="842"/>
      <c r="D1451" s="842"/>
      <c r="E1451" s="842"/>
      <c r="F1451" s="1135"/>
      <c r="G1451" s="1135"/>
      <c r="H1451" s="843"/>
      <c r="I1451" s="841"/>
      <c r="J1451" s="1135"/>
      <c r="K1451" s="841"/>
      <c r="L1451" s="841"/>
      <c r="M1451" s="841"/>
      <c r="N1451" s="841"/>
      <c r="O1451" s="841"/>
      <c r="P1451" s="841"/>
      <c r="Q1451" s="841"/>
      <c r="R1451" s="841"/>
    </row>
    <row r="1452" spans="2:18">
      <c r="B1452" s="841"/>
      <c r="C1452" s="842"/>
      <c r="D1452" s="842"/>
      <c r="E1452" s="842"/>
      <c r="F1452" s="1135"/>
      <c r="G1452" s="1135"/>
      <c r="H1452" s="843"/>
      <c r="I1452" s="841"/>
      <c r="J1452" s="1135"/>
      <c r="K1452" s="841"/>
      <c r="L1452" s="841"/>
      <c r="M1452" s="841"/>
      <c r="N1452" s="841"/>
      <c r="O1452" s="841"/>
      <c r="P1452" s="841"/>
      <c r="Q1452" s="841"/>
      <c r="R1452" s="841"/>
    </row>
    <row r="1453" spans="2:18">
      <c r="B1453" s="841"/>
      <c r="C1453" s="842"/>
      <c r="D1453" s="842"/>
      <c r="E1453" s="842"/>
      <c r="F1453" s="1135"/>
      <c r="G1453" s="1135"/>
      <c r="H1453" s="843"/>
      <c r="I1453" s="841"/>
      <c r="J1453" s="1135"/>
      <c r="K1453" s="841"/>
      <c r="L1453" s="841"/>
      <c r="M1453" s="841"/>
      <c r="N1453" s="841"/>
      <c r="O1453" s="841"/>
      <c r="P1453" s="841"/>
      <c r="Q1453" s="841"/>
      <c r="R1453" s="841"/>
    </row>
    <row r="1454" spans="2:18">
      <c r="B1454" s="841"/>
      <c r="C1454" s="842"/>
      <c r="D1454" s="842"/>
      <c r="E1454" s="842"/>
      <c r="F1454" s="1135"/>
      <c r="G1454" s="1135"/>
      <c r="H1454" s="843"/>
      <c r="I1454" s="841"/>
      <c r="J1454" s="1135"/>
      <c r="K1454" s="841"/>
      <c r="L1454" s="841"/>
      <c r="M1454" s="841"/>
      <c r="N1454" s="841"/>
      <c r="O1454" s="841"/>
      <c r="P1454" s="841"/>
      <c r="Q1454" s="841"/>
      <c r="R1454" s="841"/>
    </row>
    <row r="1455" spans="2:18">
      <c r="B1455" s="841"/>
      <c r="C1455" s="842"/>
      <c r="D1455" s="842"/>
      <c r="E1455" s="842"/>
      <c r="F1455" s="1135"/>
      <c r="G1455" s="1135"/>
      <c r="H1455" s="843"/>
      <c r="I1455" s="841"/>
      <c r="J1455" s="1135"/>
      <c r="K1455" s="841"/>
      <c r="L1455" s="841"/>
      <c r="M1455" s="841"/>
      <c r="N1455" s="841"/>
      <c r="O1455" s="841"/>
      <c r="P1455" s="841"/>
      <c r="Q1455" s="841"/>
      <c r="R1455" s="841"/>
    </row>
    <row r="1456" spans="2:18">
      <c r="B1456" s="841"/>
      <c r="C1456" s="842"/>
      <c r="D1456" s="842"/>
      <c r="E1456" s="842"/>
      <c r="F1456" s="1135"/>
      <c r="G1456" s="1135"/>
      <c r="H1456" s="843"/>
      <c r="I1456" s="841"/>
      <c r="J1456" s="1135"/>
      <c r="K1456" s="841"/>
      <c r="L1456" s="841"/>
      <c r="M1456" s="841"/>
      <c r="N1456" s="841"/>
      <c r="O1456" s="841"/>
      <c r="P1456" s="841"/>
      <c r="Q1456" s="841"/>
      <c r="R1456" s="841"/>
    </row>
    <row r="1457" spans="2:18">
      <c r="B1457" s="841"/>
      <c r="C1457" s="842"/>
      <c r="D1457" s="842"/>
      <c r="E1457" s="842"/>
      <c r="F1457" s="1135"/>
      <c r="G1457" s="1135"/>
      <c r="H1457" s="843"/>
      <c r="I1457" s="841"/>
      <c r="J1457" s="1135"/>
      <c r="K1457" s="841"/>
      <c r="L1457" s="841"/>
      <c r="M1457" s="841"/>
      <c r="N1457" s="841"/>
      <c r="O1457" s="841"/>
      <c r="P1457" s="841"/>
      <c r="Q1457" s="841"/>
      <c r="R1457" s="841"/>
    </row>
    <row r="1458" spans="2:18">
      <c r="B1458" s="841"/>
      <c r="C1458" s="842"/>
      <c r="D1458" s="842"/>
      <c r="E1458" s="842"/>
      <c r="F1458" s="1135"/>
      <c r="G1458" s="1135"/>
      <c r="H1458" s="843"/>
      <c r="I1458" s="841"/>
      <c r="J1458" s="1135"/>
      <c r="K1458" s="841"/>
      <c r="L1458" s="841"/>
      <c r="M1458" s="841"/>
      <c r="N1458" s="841"/>
      <c r="O1458" s="841"/>
      <c r="P1458" s="841"/>
      <c r="Q1458" s="841"/>
      <c r="R1458" s="841"/>
    </row>
    <row r="1459" spans="2:18">
      <c r="B1459" s="841"/>
      <c r="C1459" s="842"/>
      <c r="D1459" s="842"/>
      <c r="E1459" s="842"/>
      <c r="F1459" s="1135"/>
      <c r="G1459" s="1135"/>
      <c r="H1459" s="843"/>
      <c r="I1459" s="841"/>
      <c r="J1459" s="1135"/>
      <c r="K1459" s="841"/>
      <c r="L1459" s="841"/>
      <c r="M1459" s="841"/>
      <c r="N1459" s="841"/>
      <c r="O1459" s="841"/>
      <c r="P1459" s="841"/>
      <c r="Q1459" s="841"/>
      <c r="R1459" s="841"/>
    </row>
    <row r="1460" spans="2:18">
      <c r="B1460" s="841"/>
      <c r="C1460" s="842"/>
      <c r="D1460" s="842"/>
      <c r="E1460" s="842"/>
      <c r="F1460" s="1135"/>
      <c r="G1460" s="1135"/>
      <c r="H1460" s="843"/>
      <c r="I1460" s="841"/>
      <c r="J1460" s="1135"/>
      <c r="K1460" s="841"/>
      <c r="L1460" s="841"/>
      <c r="M1460" s="841"/>
      <c r="N1460" s="841"/>
      <c r="O1460" s="841"/>
      <c r="P1460" s="841"/>
      <c r="Q1460" s="841"/>
      <c r="R1460" s="841"/>
    </row>
    <row r="1461" spans="2:18">
      <c r="B1461" s="841"/>
      <c r="C1461" s="842"/>
      <c r="D1461" s="842"/>
      <c r="E1461" s="842"/>
      <c r="F1461" s="1135"/>
      <c r="G1461" s="1135"/>
      <c r="H1461" s="843"/>
      <c r="I1461" s="841"/>
      <c r="J1461" s="1135"/>
      <c r="K1461" s="841"/>
      <c r="L1461" s="841"/>
      <c r="M1461" s="841"/>
      <c r="N1461" s="841"/>
      <c r="O1461" s="841"/>
      <c r="P1461" s="841"/>
      <c r="Q1461" s="841"/>
      <c r="R1461" s="841"/>
    </row>
    <row r="1462" spans="2:18">
      <c r="B1462" s="841"/>
      <c r="C1462" s="842"/>
      <c r="D1462" s="842"/>
      <c r="E1462" s="842"/>
      <c r="F1462" s="1135"/>
      <c r="G1462" s="1135"/>
      <c r="H1462" s="843"/>
      <c r="I1462" s="841"/>
      <c r="J1462" s="1135"/>
      <c r="K1462" s="841"/>
      <c r="L1462" s="841"/>
      <c r="M1462" s="841"/>
      <c r="N1462" s="841"/>
      <c r="O1462" s="841"/>
      <c r="P1462" s="841"/>
      <c r="Q1462" s="841"/>
      <c r="R1462" s="841"/>
    </row>
    <row r="1463" spans="2:18">
      <c r="B1463" s="841"/>
      <c r="C1463" s="842"/>
      <c r="D1463" s="842"/>
      <c r="E1463" s="842"/>
      <c r="F1463" s="1135"/>
      <c r="G1463" s="1135"/>
      <c r="H1463" s="843"/>
      <c r="I1463" s="841"/>
      <c r="J1463" s="1135"/>
      <c r="K1463" s="841"/>
      <c r="L1463" s="841"/>
      <c r="M1463" s="841"/>
      <c r="N1463" s="841"/>
      <c r="O1463" s="841"/>
      <c r="P1463" s="841"/>
      <c r="Q1463" s="841"/>
      <c r="R1463" s="841"/>
    </row>
    <row r="1464" spans="2:18">
      <c r="B1464" s="841"/>
      <c r="C1464" s="842"/>
      <c r="D1464" s="842"/>
      <c r="E1464" s="842"/>
      <c r="F1464" s="1135"/>
      <c r="G1464" s="1135"/>
      <c r="H1464" s="843"/>
      <c r="I1464" s="841"/>
      <c r="J1464" s="1135"/>
      <c r="K1464" s="841"/>
      <c r="L1464" s="841"/>
      <c r="M1464" s="841"/>
      <c r="N1464" s="841"/>
      <c r="O1464" s="841"/>
      <c r="P1464" s="841"/>
      <c r="Q1464" s="841"/>
      <c r="R1464" s="841"/>
    </row>
    <row r="1465" spans="2:18">
      <c r="B1465" s="841"/>
      <c r="C1465" s="842"/>
      <c r="D1465" s="842"/>
      <c r="E1465" s="842"/>
      <c r="F1465" s="1135"/>
      <c r="G1465" s="1135"/>
      <c r="H1465" s="843"/>
      <c r="I1465" s="841"/>
      <c r="J1465" s="1135"/>
      <c r="K1465" s="841"/>
      <c r="L1465" s="841"/>
      <c r="M1465" s="841"/>
      <c r="N1465" s="841"/>
      <c r="O1465" s="841"/>
      <c r="P1465" s="841"/>
      <c r="Q1465" s="841"/>
      <c r="R1465" s="841"/>
    </row>
    <row r="1466" spans="2:18">
      <c r="B1466" s="841"/>
      <c r="C1466" s="842"/>
      <c r="D1466" s="842"/>
      <c r="E1466" s="842"/>
      <c r="F1466" s="1135"/>
      <c r="G1466" s="1135"/>
      <c r="H1466" s="843"/>
      <c r="I1466" s="841"/>
      <c r="J1466" s="1135"/>
      <c r="K1466" s="841"/>
      <c r="L1466" s="841"/>
      <c r="M1466" s="841"/>
      <c r="N1466" s="841"/>
      <c r="O1466" s="841"/>
      <c r="P1466" s="841"/>
      <c r="Q1466" s="841"/>
      <c r="R1466" s="841"/>
    </row>
    <row r="1467" spans="2:18">
      <c r="B1467" s="841"/>
      <c r="C1467" s="842"/>
      <c r="D1467" s="842"/>
      <c r="E1467" s="842"/>
      <c r="F1467" s="1135"/>
      <c r="G1467" s="1135"/>
      <c r="H1467" s="843"/>
      <c r="I1467" s="841"/>
      <c r="J1467" s="1135"/>
      <c r="K1467" s="841"/>
      <c r="L1467" s="841"/>
      <c r="M1467" s="841"/>
      <c r="N1467" s="841"/>
      <c r="O1467" s="841"/>
      <c r="P1467" s="841"/>
      <c r="Q1467" s="841"/>
      <c r="R1467" s="841"/>
    </row>
    <row r="1468" spans="2:18">
      <c r="B1468" s="841"/>
      <c r="C1468" s="842"/>
      <c r="D1468" s="842"/>
      <c r="E1468" s="842"/>
      <c r="F1468" s="1135"/>
      <c r="G1468" s="1135"/>
      <c r="H1468" s="843"/>
      <c r="I1468" s="841"/>
      <c r="J1468" s="1135"/>
      <c r="K1468" s="841"/>
      <c r="L1468" s="841"/>
      <c r="M1468" s="841"/>
      <c r="N1468" s="841"/>
      <c r="O1468" s="841"/>
      <c r="P1468" s="841"/>
      <c r="Q1468" s="841"/>
      <c r="R1468" s="841"/>
    </row>
    <row r="1469" spans="2:18">
      <c r="B1469" s="841"/>
      <c r="C1469" s="842"/>
      <c r="D1469" s="842"/>
      <c r="E1469" s="842"/>
      <c r="F1469" s="1135"/>
      <c r="G1469" s="1135"/>
      <c r="H1469" s="843"/>
      <c r="I1469" s="841"/>
      <c r="J1469" s="1135"/>
      <c r="K1469" s="841"/>
      <c r="L1469" s="841"/>
      <c r="M1469" s="841"/>
      <c r="N1469" s="841"/>
      <c r="O1469" s="841"/>
      <c r="P1469" s="841"/>
      <c r="Q1469" s="841"/>
      <c r="R1469" s="841"/>
    </row>
    <row r="1470" spans="2:18">
      <c r="B1470" s="841"/>
      <c r="C1470" s="842"/>
      <c r="D1470" s="842"/>
      <c r="E1470" s="842"/>
      <c r="F1470" s="1135"/>
      <c r="G1470" s="1135"/>
      <c r="H1470" s="843"/>
      <c r="I1470" s="841"/>
      <c r="J1470" s="1135"/>
      <c r="K1470" s="841"/>
      <c r="L1470" s="841"/>
      <c r="M1470" s="841"/>
      <c r="N1470" s="841"/>
      <c r="O1470" s="841"/>
      <c r="P1470" s="841"/>
      <c r="Q1470" s="841"/>
      <c r="R1470" s="841"/>
    </row>
    <row r="1471" spans="2:18">
      <c r="B1471" s="841"/>
      <c r="C1471" s="842"/>
      <c r="D1471" s="842"/>
      <c r="E1471" s="842"/>
      <c r="F1471" s="1135"/>
      <c r="G1471" s="1135"/>
      <c r="H1471" s="843"/>
      <c r="I1471" s="841"/>
      <c r="J1471" s="1135"/>
      <c r="K1471" s="841"/>
      <c r="L1471" s="841"/>
      <c r="M1471" s="841"/>
      <c r="N1471" s="841"/>
      <c r="O1471" s="841"/>
      <c r="P1471" s="841"/>
      <c r="Q1471" s="841"/>
      <c r="R1471" s="841"/>
    </row>
    <row r="1472" spans="2:18">
      <c r="B1472" s="841"/>
      <c r="C1472" s="842"/>
      <c r="D1472" s="842"/>
      <c r="E1472" s="842"/>
      <c r="F1472" s="1135"/>
      <c r="G1472" s="1135"/>
      <c r="H1472" s="843"/>
      <c r="I1472" s="841"/>
      <c r="J1472" s="1135"/>
      <c r="K1472" s="841"/>
      <c r="L1472" s="841"/>
      <c r="M1472" s="841"/>
      <c r="N1472" s="841"/>
      <c r="O1472" s="841"/>
      <c r="P1472" s="841"/>
      <c r="Q1472" s="841"/>
      <c r="R1472" s="841"/>
    </row>
    <row r="1473" spans="2:18">
      <c r="B1473" s="841"/>
      <c r="C1473" s="842"/>
      <c r="D1473" s="842"/>
      <c r="E1473" s="842"/>
      <c r="F1473" s="1135"/>
      <c r="G1473" s="1135"/>
      <c r="H1473" s="843"/>
      <c r="I1473" s="841"/>
      <c r="J1473" s="1135"/>
      <c r="K1473" s="841"/>
      <c r="L1473" s="841"/>
      <c r="M1473" s="841"/>
      <c r="N1473" s="841"/>
      <c r="O1473" s="841"/>
      <c r="P1473" s="841"/>
      <c r="Q1473" s="841"/>
      <c r="R1473" s="841"/>
    </row>
    <row r="1474" spans="2:18">
      <c r="B1474" s="841"/>
      <c r="C1474" s="842"/>
      <c r="D1474" s="842"/>
      <c r="E1474" s="842"/>
      <c r="F1474" s="1135"/>
      <c r="G1474" s="1135"/>
      <c r="H1474" s="843"/>
      <c r="I1474" s="841"/>
      <c r="J1474" s="1135"/>
      <c r="K1474" s="841"/>
      <c r="L1474" s="841"/>
      <c r="M1474" s="841"/>
      <c r="N1474" s="841"/>
      <c r="O1474" s="841"/>
      <c r="P1474" s="841"/>
      <c r="Q1474" s="841"/>
      <c r="R1474" s="841"/>
    </row>
    <row r="1475" spans="2:18">
      <c r="B1475" s="841"/>
      <c r="C1475" s="842"/>
      <c r="D1475" s="842"/>
      <c r="E1475" s="842"/>
      <c r="F1475" s="1135"/>
      <c r="G1475" s="1135"/>
      <c r="H1475" s="843"/>
      <c r="I1475" s="841"/>
      <c r="J1475" s="1135"/>
      <c r="K1475" s="841"/>
      <c r="L1475" s="841"/>
      <c r="M1475" s="841"/>
      <c r="N1475" s="841"/>
      <c r="O1475" s="841"/>
      <c r="P1475" s="841"/>
      <c r="Q1475" s="841"/>
      <c r="R1475" s="841"/>
    </row>
    <row r="1476" spans="2:18">
      <c r="B1476" s="841"/>
      <c r="C1476" s="842"/>
      <c r="D1476" s="842"/>
      <c r="E1476" s="842"/>
      <c r="F1476" s="1135"/>
      <c r="G1476" s="1135"/>
      <c r="H1476" s="843"/>
      <c r="I1476" s="841"/>
      <c r="J1476" s="1135"/>
      <c r="K1476" s="841"/>
      <c r="L1476" s="841"/>
      <c r="M1476" s="841"/>
      <c r="N1476" s="841"/>
      <c r="O1476" s="841"/>
      <c r="P1476" s="841"/>
      <c r="Q1476" s="841"/>
      <c r="R1476" s="841"/>
    </row>
    <row r="1477" spans="2:18">
      <c r="B1477" s="841"/>
      <c r="C1477" s="842"/>
      <c r="D1477" s="842"/>
      <c r="E1477" s="842"/>
      <c r="F1477" s="1135"/>
      <c r="G1477" s="1135"/>
      <c r="H1477" s="843"/>
      <c r="I1477" s="841"/>
      <c r="J1477" s="1135"/>
      <c r="K1477" s="841"/>
      <c r="L1477" s="841"/>
      <c r="M1477" s="841"/>
      <c r="N1477" s="841"/>
      <c r="O1477" s="841"/>
      <c r="P1477" s="841"/>
      <c r="Q1477" s="841"/>
      <c r="R1477" s="841"/>
    </row>
    <row r="1478" spans="2:18">
      <c r="B1478" s="841"/>
      <c r="C1478" s="842"/>
      <c r="D1478" s="842"/>
      <c r="E1478" s="842"/>
      <c r="F1478" s="1135"/>
      <c r="G1478" s="1135"/>
      <c r="H1478" s="843"/>
      <c r="I1478" s="841"/>
      <c r="J1478" s="1135"/>
      <c r="K1478" s="841"/>
      <c r="L1478" s="841"/>
      <c r="M1478" s="841"/>
      <c r="N1478" s="841"/>
      <c r="O1478" s="841"/>
      <c r="P1478" s="841"/>
      <c r="Q1478" s="841"/>
      <c r="R1478" s="841"/>
    </row>
    <row r="1479" spans="2:18">
      <c r="B1479" s="841"/>
      <c r="C1479" s="842"/>
      <c r="D1479" s="842"/>
      <c r="E1479" s="842"/>
      <c r="F1479" s="1135"/>
      <c r="G1479" s="1135"/>
      <c r="H1479" s="843"/>
      <c r="I1479" s="841"/>
      <c r="J1479" s="1135"/>
      <c r="K1479" s="841"/>
      <c r="L1479" s="841"/>
      <c r="M1479" s="841"/>
      <c r="N1479" s="841"/>
      <c r="O1479" s="841"/>
      <c r="P1479" s="841"/>
      <c r="Q1479" s="841"/>
      <c r="R1479" s="841"/>
    </row>
    <row r="1480" spans="2:18">
      <c r="B1480" s="841"/>
      <c r="C1480" s="842"/>
      <c r="D1480" s="842"/>
      <c r="E1480" s="842"/>
      <c r="F1480" s="1135"/>
      <c r="G1480" s="1135"/>
      <c r="H1480" s="843"/>
      <c r="I1480" s="841"/>
      <c r="J1480" s="1135"/>
      <c r="K1480" s="841"/>
      <c r="L1480" s="841"/>
      <c r="M1480" s="841"/>
      <c r="N1480" s="841"/>
      <c r="O1480" s="841"/>
      <c r="P1480" s="841"/>
      <c r="Q1480" s="841"/>
      <c r="R1480" s="841"/>
    </row>
    <row r="1481" spans="2:18">
      <c r="B1481" s="841"/>
      <c r="C1481" s="842"/>
      <c r="D1481" s="842"/>
      <c r="E1481" s="842"/>
      <c r="F1481" s="1135"/>
      <c r="G1481" s="1135"/>
      <c r="H1481" s="843"/>
      <c r="I1481" s="841"/>
      <c r="J1481" s="1135"/>
      <c r="K1481" s="841"/>
      <c r="L1481" s="841"/>
      <c r="M1481" s="841"/>
      <c r="N1481" s="841"/>
      <c r="O1481" s="841"/>
      <c r="P1481" s="841"/>
      <c r="Q1481" s="841"/>
      <c r="R1481" s="841"/>
    </row>
    <row r="1482" spans="2:18">
      <c r="B1482" s="841"/>
      <c r="C1482" s="842"/>
      <c r="D1482" s="842"/>
      <c r="E1482" s="842"/>
      <c r="F1482" s="1135"/>
      <c r="G1482" s="1135"/>
      <c r="H1482" s="843"/>
      <c r="I1482" s="841"/>
      <c r="J1482" s="1135"/>
      <c r="K1482" s="841"/>
      <c r="L1482" s="841"/>
      <c r="M1482" s="841"/>
      <c r="N1482" s="841"/>
      <c r="O1482" s="841"/>
      <c r="P1482" s="841"/>
      <c r="Q1482" s="841"/>
      <c r="R1482" s="841"/>
    </row>
    <row r="1483" spans="2:18">
      <c r="B1483" s="841"/>
      <c r="C1483" s="842"/>
      <c r="D1483" s="842"/>
      <c r="E1483" s="842"/>
      <c r="F1483" s="1135"/>
      <c r="G1483" s="1135"/>
      <c r="H1483" s="843"/>
      <c r="I1483" s="841"/>
      <c r="J1483" s="1135"/>
      <c r="K1483" s="841"/>
      <c r="L1483" s="841"/>
      <c r="M1483" s="841"/>
      <c r="N1483" s="841"/>
      <c r="O1483" s="841"/>
      <c r="P1483" s="841"/>
      <c r="Q1483" s="841"/>
      <c r="R1483" s="841"/>
    </row>
    <row r="1484" spans="2:18">
      <c r="B1484" s="841"/>
      <c r="C1484" s="842"/>
      <c r="D1484" s="842"/>
      <c r="E1484" s="842"/>
      <c r="F1484" s="1135"/>
      <c r="G1484" s="1135"/>
      <c r="H1484" s="843"/>
      <c r="I1484" s="841"/>
      <c r="J1484" s="1135"/>
      <c r="K1484" s="841"/>
      <c r="L1484" s="841"/>
      <c r="M1484" s="841"/>
      <c r="N1484" s="841"/>
      <c r="O1484" s="841"/>
      <c r="P1484" s="841"/>
      <c r="Q1484" s="841"/>
      <c r="R1484" s="841"/>
    </row>
    <row r="1485" spans="2:18">
      <c r="B1485" s="841"/>
      <c r="C1485" s="842"/>
      <c r="D1485" s="842"/>
      <c r="E1485" s="842"/>
      <c r="F1485" s="1135"/>
      <c r="G1485" s="1135"/>
      <c r="H1485" s="843"/>
      <c r="I1485" s="841"/>
      <c r="J1485" s="1135"/>
      <c r="K1485" s="841"/>
      <c r="L1485" s="841"/>
      <c r="M1485" s="841"/>
      <c r="N1485" s="841"/>
      <c r="O1485" s="841"/>
      <c r="P1485" s="841"/>
      <c r="Q1485" s="841"/>
      <c r="R1485" s="841"/>
    </row>
    <row r="1486" spans="2:18">
      <c r="B1486" s="841"/>
      <c r="C1486" s="842"/>
      <c r="D1486" s="842"/>
      <c r="E1486" s="842"/>
      <c r="F1486" s="1135"/>
      <c r="G1486" s="1135"/>
      <c r="H1486" s="843"/>
      <c r="I1486" s="841"/>
      <c r="J1486" s="1135"/>
      <c r="K1486" s="841"/>
      <c r="L1486" s="841"/>
      <c r="M1486" s="841"/>
      <c r="N1486" s="841"/>
      <c r="O1486" s="841"/>
      <c r="P1486" s="841"/>
      <c r="Q1486" s="841"/>
      <c r="R1486" s="841"/>
    </row>
    <row r="1487" spans="2:18">
      <c r="B1487" s="841"/>
      <c r="C1487" s="842"/>
      <c r="D1487" s="842"/>
      <c r="E1487" s="842"/>
      <c r="F1487" s="1135"/>
      <c r="G1487" s="1135"/>
      <c r="H1487" s="843"/>
      <c r="I1487" s="841"/>
      <c r="J1487" s="1135"/>
      <c r="K1487" s="841"/>
      <c r="L1487" s="841"/>
      <c r="M1487" s="841"/>
      <c r="N1487" s="841"/>
      <c r="O1487" s="841"/>
      <c r="P1487" s="841"/>
      <c r="Q1487" s="841"/>
      <c r="R1487" s="841"/>
    </row>
    <row r="1488" spans="2:18">
      <c r="B1488" s="841"/>
      <c r="C1488" s="842"/>
      <c r="D1488" s="842"/>
      <c r="E1488" s="842"/>
      <c r="F1488" s="1135"/>
      <c r="G1488" s="1135"/>
      <c r="H1488" s="843"/>
      <c r="I1488" s="841"/>
      <c r="J1488" s="1135"/>
      <c r="K1488" s="841"/>
      <c r="L1488" s="841"/>
      <c r="M1488" s="841"/>
      <c r="N1488" s="841"/>
      <c r="O1488" s="841"/>
      <c r="P1488" s="841"/>
      <c r="Q1488" s="841"/>
      <c r="R1488" s="841"/>
    </row>
    <row r="1489" spans="2:18">
      <c r="B1489" s="841"/>
      <c r="C1489" s="842"/>
      <c r="D1489" s="842"/>
      <c r="E1489" s="842"/>
      <c r="F1489" s="1135"/>
      <c r="G1489" s="1135"/>
      <c r="H1489" s="843"/>
      <c r="I1489" s="841"/>
      <c r="J1489" s="1135"/>
      <c r="K1489" s="841"/>
      <c r="L1489" s="841"/>
      <c r="M1489" s="841"/>
      <c r="N1489" s="841"/>
      <c r="O1489" s="841"/>
      <c r="P1489" s="841"/>
      <c r="Q1489" s="841"/>
      <c r="R1489" s="841"/>
    </row>
    <row r="1490" spans="2:18">
      <c r="B1490" s="841"/>
      <c r="C1490" s="842"/>
      <c r="D1490" s="842"/>
      <c r="E1490" s="842"/>
      <c r="F1490" s="1135"/>
      <c r="G1490" s="1135"/>
      <c r="H1490" s="843"/>
      <c r="I1490" s="841"/>
      <c r="J1490" s="1135"/>
      <c r="K1490" s="841"/>
      <c r="L1490" s="841"/>
      <c r="M1490" s="841"/>
      <c r="N1490" s="841"/>
      <c r="O1490" s="841"/>
      <c r="P1490" s="841"/>
      <c r="Q1490" s="841"/>
      <c r="R1490" s="841"/>
    </row>
    <row r="1491" spans="2:18">
      <c r="B1491" s="841"/>
      <c r="C1491" s="842"/>
      <c r="D1491" s="842"/>
      <c r="E1491" s="842"/>
      <c r="F1491" s="1135"/>
      <c r="G1491" s="1135"/>
      <c r="H1491" s="843"/>
      <c r="I1491" s="841"/>
      <c r="J1491" s="1135"/>
      <c r="K1491" s="841"/>
      <c r="L1491" s="841"/>
      <c r="M1491" s="841"/>
      <c r="N1491" s="841"/>
      <c r="O1491" s="841"/>
      <c r="P1491" s="841"/>
      <c r="Q1491" s="841"/>
      <c r="R1491" s="841"/>
    </row>
    <row r="1492" spans="2:18">
      <c r="B1492" s="841"/>
      <c r="C1492" s="842"/>
      <c r="D1492" s="842"/>
      <c r="E1492" s="842"/>
      <c r="F1492" s="1135"/>
      <c r="G1492" s="1135"/>
      <c r="H1492" s="843"/>
      <c r="I1492" s="841"/>
      <c r="J1492" s="1135"/>
      <c r="K1492" s="841"/>
      <c r="L1492" s="841"/>
      <c r="M1492" s="841"/>
      <c r="N1492" s="841"/>
      <c r="O1492" s="841"/>
      <c r="P1492" s="841"/>
      <c r="Q1492" s="841"/>
      <c r="R1492" s="841"/>
    </row>
    <row r="1493" spans="2:18">
      <c r="B1493" s="841"/>
      <c r="C1493" s="842"/>
      <c r="D1493" s="842"/>
      <c r="E1493" s="842"/>
      <c r="F1493" s="1135"/>
      <c r="G1493" s="1135"/>
      <c r="H1493" s="843"/>
      <c r="I1493" s="841"/>
      <c r="J1493" s="1135"/>
      <c r="K1493" s="841"/>
      <c r="L1493" s="841"/>
      <c r="M1493" s="841"/>
      <c r="N1493" s="841"/>
      <c r="O1493" s="841"/>
      <c r="P1493" s="841"/>
      <c r="Q1493" s="841"/>
      <c r="R1493" s="841"/>
    </row>
    <row r="1494" spans="2:18">
      <c r="B1494" s="841"/>
      <c r="C1494" s="842"/>
      <c r="D1494" s="842"/>
      <c r="E1494" s="842"/>
      <c r="F1494" s="1135"/>
      <c r="G1494" s="1135"/>
      <c r="H1494" s="843"/>
      <c r="I1494" s="841"/>
      <c r="J1494" s="1135"/>
      <c r="K1494" s="841"/>
      <c r="L1494" s="841"/>
      <c r="M1494" s="841"/>
      <c r="N1494" s="841"/>
      <c r="O1494" s="841"/>
      <c r="P1494" s="841"/>
      <c r="Q1494" s="841"/>
      <c r="R1494" s="841"/>
    </row>
    <row r="1495" spans="2:18">
      <c r="B1495" s="841"/>
      <c r="C1495" s="842"/>
      <c r="D1495" s="842"/>
      <c r="E1495" s="842"/>
      <c r="F1495" s="1135"/>
      <c r="G1495" s="1135"/>
      <c r="H1495" s="843"/>
      <c r="I1495" s="841"/>
      <c r="J1495" s="1135"/>
      <c r="K1495" s="841"/>
      <c r="L1495" s="841"/>
      <c r="M1495" s="841"/>
      <c r="N1495" s="841"/>
      <c r="O1495" s="841"/>
      <c r="P1495" s="841"/>
      <c r="Q1495" s="841"/>
      <c r="R1495" s="841"/>
    </row>
    <row r="1496" spans="2:18">
      <c r="B1496" s="841"/>
      <c r="C1496" s="842"/>
      <c r="D1496" s="842"/>
      <c r="E1496" s="842"/>
      <c r="F1496" s="1135"/>
      <c r="G1496" s="1135"/>
      <c r="H1496" s="843"/>
      <c r="I1496" s="841"/>
      <c r="J1496" s="1135"/>
      <c r="K1496" s="841"/>
      <c r="L1496" s="841"/>
      <c r="M1496" s="841"/>
      <c r="N1496" s="841"/>
      <c r="O1496" s="841"/>
      <c r="P1496" s="841"/>
      <c r="Q1496" s="841"/>
      <c r="R1496" s="841"/>
    </row>
    <row r="1497" spans="2:18">
      <c r="B1497" s="841"/>
      <c r="C1497" s="842"/>
      <c r="D1497" s="842"/>
      <c r="E1497" s="842"/>
      <c r="F1497" s="1135"/>
      <c r="G1497" s="1135"/>
      <c r="H1497" s="843"/>
      <c r="I1497" s="841"/>
      <c r="J1497" s="1135"/>
      <c r="K1497" s="841"/>
      <c r="L1497" s="841"/>
      <c r="M1497" s="841"/>
      <c r="N1497" s="841"/>
      <c r="O1497" s="841"/>
      <c r="P1497" s="841"/>
      <c r="Q1497" s="841"/>
      <c r="R1497" s="841"/>
    </row>
    <row r="1498" spans="2:18">
      <c r="B1498" s="841"/>
      <c r="C1498" s="842"/>
      <c r="D1498" s="842"/>
      <c r="E1498" s="842"/>
      <c r="F1498" s="1135"/>
      <c r="G1498" s="1135"/>
      <c r="H1498" s="843"/>
      <c r="I1498" s="841"/>
      <c r="J1498" s="1135"/>
      <c r="K1498" s="841"/>
      <c r="L1498" s="841"/>
      <c r="M1498" s="841"/>
      <c r="N1498" s="841"/>
      <c r="O1498" s="841"/>
      <c r="P1498" s="841"/>
      <c r="Q1498" s="841"/>
      <c r="R1498" s="841"/>
    </row>
    <row r="1499" spans="2:18">
      <c r="B1499" s="841"/>
      <c r="C1499" s="842"/>
      <c r="D1499" s="842"/>
      <c r="E1499" s="842"/>
      <c r="F1499" s="1135"/>
      <c r="G1499" s="1135"/>
      <c r="H1499" s="843"/>
      <c r="I1499" s="841"/>
      <c r="J1499" s="1135"/>
      <c r="K1499" s="841"/>
      <c r="L1499" s="841"/>
      <c r="M1499" s="841"/>
      <c r="N1499" s="841"/>
      <c r="O1499" s="841"/>
      <c r="P1499" s="841"/>
      <c r="Q1499" s="841"/>
      <c r="R1499" s="841"/>
    </row>
    <row r="1500" spans="2:18">
      <c r="B1500" s="841"/>
      <c r="C1500" s="842"/>
      <c r="D1500" s="842"/>
      <c r="E1500" s="842"/>
      <c r="F1500" s="1135"/>
      <c r="G1500" s="1135"/>
      <c r="H1500" s="843"/>
      <c r="I1500" s="841"/>
      <c r="J1500" s="1135"/>
      <c r="K1500" s="841"/>
      <c r="L1500" s="841"/>
      <c r="M1500" s="841"/>
      <c r="N1500" s="841"/>
      <c r="O1500" s="841"/>
      <c r="P1500" s="841"/>
      <c r="Q1500" s="841"/>
      <c r="R1500" s="841"/>
    </row>
    <row r="1501" spans="2:18">
      <c r="B1501" s="841"/>
      <c r="C1501" s="842"/>
      <c r="D1501" s="842"/>
      <c r="E1501" s="842"/>
      <c r="F1501" s="1135"/>
      <c r="G1501" s="1135"/>
      <c r="H1501" s="843"/>
      <c r="I1501" s="841"/>
      <c r="J1501" s="1135"/>
      <c r="K1501" s="841"/>
      <c r="L1501" s="841"/>
      <c r="M1501" s="841"/>
      <c r="N1501" s="841"/>
      <c r="O1501" s="841"/>
      <c r="P1501" s="841"/>
      <c r="Q1501" s="841"/>
      <c r="R1501" s="841"/>
    </row>
    <row r="1502" spans="2:18">
      <c r="B1502" s="841"/>
      <c r="C1502" s="842"/>
      <c r="D1502" s="842"/>
      <c r="E1502" s="842"/>
      <c r="F1502" s="1135"/>
      <c r="G1502" s="1135"/>
      <c r="H1502" s="843"/>
      <c r="I1502" s="841"/>
      <c r="J1502" s="1135"/>
      <c r="K1502" s="841"/>
      <c r="L1502" s="841"/>
      <c r="M1502" s="841"/>
      <c r="N1502" s="841"/>
      <c r="O1502" s="841"/>
      <c r="P1502" s="841"/>
      <c r="Q1502" s="841"/>
      <c r="R1502" s="841"/>
    </row>
    <row r="1503" spans="2:18">
      <c r="B1503" s="841"/>
      <c r="C1503" s="842"/>
      <c r="D1503" s="842"/>
      <c r="E1503" s="842"/>
      <c r="F1503" s="1135"/>
      <c r="G1503" s="1135"/>
      <c r="H1503" s="843"/>
      <c r="I1503" s="841"/>
      <c r="J1503" s="1135"/>
      <c r="K1503" s="841"/>
      <c r="L1503" s="841"/>
      <c r="M1503" s="841"/>
      <c r="N1503" s="841"/>
      <c r="O1503" s="841"/>
      <c r="P1503" s="841"/>
      <c r="Q1503" s="841"/>
      <c r="R1503" s="841"/>
    </row>
    <row r="1504" spans="2:18">
      <c r="B1504" s="841"/>
      <c r="C1504" s="842"/>
      <c r="D1504" s="842"/>
      <c r="E1504" s="842"/>
      <c r="F1504" s="1135"/>
      <c r="G1504" s="1135"/>
      <c r="H1504" s="843"/>
      <c r="I1504" s="841"/>
      <c r="J1504" s="1135"/>
      <c r="K1504" s="841"/>
      <c r="L1504" s="841"/>
      <c r="M1504" s="841"/>
      <c r="N1504" s="841"/>
      <c r="O1504" s="841"/>
      <c r="P1504" s="841"/>
      <c r="Q1504" s="841"/>
      <c r="R1504" s="841"/>
    </row>
    <row r="1505" spans="2:18">
      <c r="B1505" s="841"/>
      <c r="C1505" s="842"/>
      <c r="D1505" s="842"/>
      <c r="E1505" s="842"/>
      <c r="F1505" s="1135"/>
      <c r="G1505" s="1135"/>
      <c r="H1505" s="843"/>
      <c r="I1505" s="841"/>
      <c r="J1505" s="1135"/>
      <c r="K1505" s="841"/>
      <c r="L1505" s="841"/>
      <c r="M1505" s="841"/>
      <c r="N1505" s="841"/>
      <c r="O1505" s="841"/>
      <c r="P1505" s="841"/>
      <c r="Q1505" s="841"/>
      <c r="R1505" s="841"/>
    </row>
    <row r="1506" spans="2:18">
      <c r="B1506" s="841"/>
      <c r="C1506" s="842"/>
      <c r="D1506" s="842"/>
      <c r="E1506" s="842"/>
      <c r="F1506" s="1135"/>
      <c r="G1506" s="1135"/>
      <c r="H1506" s="843"/>
      <c r="I1506" s="841"/>
      <c r="J1506" s="1135"/>
      <c r="K1506" s="841"/>
      <c r="L1506" s="841"/>
      <c r="M1506" s="841"/>
      <c r="N1506" s="841"/>
      <c r="O1506" s="841"/>
      <c r="P1506" s="841"/>
      <c r="Q1506" s="841"/>
      <c r="R1506" s="841"/>
    </row>
    <row r="1507" spans="2:18">
      <c r="B1507" s="841"/>
      <c r="C1507" s="842"/>
      <c r="D1507" s="842"/>
      <c r="E1507" s="842"/>
      <c r="F1507" s="1135"/>
      <c r="G1507" s="1135"/>
      <c r="H1507" s="843"/>
      <c r="I1507" s="841"/>
      <c r="J1507" s="1135"/>
      <c r="K1507" s="841"/>
      <c r="L1507" s="841"/>
      <c r="M1507" s="841"/>
      <c r="N1507" s="841"/>
      <c r="O1507" s="841"/>
      <c r="P1507" s="841"/>
      <c r="Q1507" s="841"/>
      <c r="R1507" s="841"/>
    </row>
    <row r="1508" spans="2:18">
      <c r="B1508" s="841"/>
      <c r="C1508" s="842"/>
      <c r="D1508" s="842"/>
      <c r="E1508" s="842"/>
      <c r="F1508" s="1135"/>
      <c r="G1508" s="1135"/>
      <c r="H1508" s="843"/>
      <c r="I1508" s="841"/>
      <c r="J1508" s="1135"/>
      <c r="K1508" s="841"/>
      <c r="L1508" s="841"/>
      <c r="M1508" s="841"/>
      <c r="N1508" s="841"/>
      <c r="O1508" s="841"/>
      <c r="P1508" s="841"/>
      <c r="Q1508" s="841"/>
      <c r="R1508" s="841"/>
    </row>
    <row r="1509" spans="2:18">
      <c r="B1509" s="841"/>
      <c r="C1509" s="842"/>
      <c r="D1509" s="842"/>
      <c r="E1509" s="842"/>
      <c r="F1509" s="1135"/>
      <c r="G1509" s="1135"/>
      <c r="H1509" s="843"/>
      <c r="I1509" s="841"/>
      <c r="J1509" s="1135"/>
      <c r="K1509" s="841"/>
      <c r="L1509" s="841"/>
      <c r="M1509" s="841"/>
      <c r="N1509" s="841"/>
      <c r="O1509" s="841"/>
      <c r="P1509" s="841"/>
      <c r="Q1509" s="841"/>
      <c r="R1509" s="841"/>
    </row>
    <row r="1510" spans="2:18">
      <c r="B1510" s="841"/>
      <c r="C1510" s="842"/>
      <c r="D1510" s="842"/>
      <c r="E1510" s="842"/>
      <c r="F1510" s="1135"/>
      <c r="G1510" s="1135"/>
      <c r="H1510" s="843"/>
      <c r="I1510" s="841"/>
      <c r="J1510" s="1135"/>
      <c r="K1510" s="841"/>
      <c r="L1510" s="841"/>
      <c r="M1510" s="841"/>
      <c r="N1510" s="841"/>
      <c r="O1510" s="841"/>
      <c r="P1510" s="841"/>
      <c r="Q1510" s="841"/>
      <c r="R1510" s="841"/>
    </row>
    <row r="1511" spans="2:18">
      <c r="B1511" s="841"/>
      <c r="C1511" s="842"/>
      <c r="D1511" s="842"/>
      <c r="E1511" s="842"/>
      <c r="F1511" s="1135"/>
      <c r="G1511" s="1135"/>
      <c r="H1511" s="843"/>
      <c r="I1511" s="841"/>
      <c r="J1511" s="1135"/>
      <c r="K1511" s="841"/>
      <c r="L1511" s="841"/>
      <c r="M1511" s="841"/>
      <c r="N1511" s="841"/>
      <c r="O1511" s="841"/>
      <c r="P1511" s="841"/>
      <c r="Q1511" s="841"/>
      <c r="R1511" s="841"/>
    </row>
    <row r="1512" spans="2:18">
      <c r="B1512" s="841"/>
      <c r="C1512" s="842"/>
      <c r="D1512" s="842"/>
      <c r="E1512" s="842"/>
      <c r="F1512" s="1135"/>
      <c r="G1512" s="1135"/>
      <c r="H1512" s="843"/>
      <c r="I1512" s="841"/>
      <c r="J1512" s="1135"/>
      <c r="K1512" s="841"/>
      <c r="L1512" s="841"/>
      <c r="M1512" s="841"/>
      <c r="N1512" s="841"/>
      <c r="O1512" s="841"/>
      <c r="P1512" s="841"/>
      <c r="Q1512" s="841"/>
      <c r="R1512" s="841"/>
    </row>
    <row r="1513" spans="2:18">
      <c r="B1513" s="841"/>
      <c r="C1513" s="842"/>
      <c r="D1513" s="842"/>
      <c r="E1513" s="842"/>
      <c r="F1513" s="1135"/>
      <c r="G1513" s="1135"/>
      <c r="H1513" s="843"/>
      <c r="I1513" s="841"/>
      <c r="J1513" s="1135"/>
      <c r="K1513" s="841"/>
      <c r="L1513" s="841"/>
      <c r="M1513" s="841"/>
      <c r="N1513" s="841"/>
      <c r="O1513" s="841"/>
      <c r="P1513" s="841"/>
      <c r="Q1513" s="841"/>
      <c r="R1513" s="841"/>
    </row>
    <row r="1514" spans="2:18">
      <c r="B1514" s="841"/>
      <c r="C1514" s="842"/>
      <c r="D1514" s="842"/>
      <c r="E1514" s="842"/>
      <c r="F1514" s="1135"/>
      <c r="G1514" s="1135"/>
      <c r="H1514" s="843"/>
      <c r="I1514" s="841"/>
      <c r="J1514" s="1135"/>
      <c r="K1514" s="841"/>
      <c r="L1514" s="841"/>
      <c r="M1514" s="841"/>
      <c r="N1514" s="841"/>
      <c r="O1514" s="841"/>
      <c r="P1514" s="841"/>
      <c r="Q1514" s="841"/>
      <c r="R1514" s="841"/>
    </row>
    <row r="1515" spans="2:18">
      <c r="B1515" s="841"/>
      <c r="C1515" s="842"/>
      <c r="D1515" s="842"/>
      <c r="E1515" s="842"/>
      <c r="F1515" s="1135"/>
      <c r="G1515" s="1135"/>
      <c r="H1515" s="843"/>
      <c r="I1515" s="841"/>
      <c r="J1515" s="1135"/>
      <c r="K1515" s="841"/>
      <c r="L1515" s="841"/>
      <c r="M1515" s="841"/>
      <c r="N1515" s="841"/>
      <c r="O1515" s="841"/>
      <c r="P1515" s="841"/>
      <c r="Q1515" s="841"/>
      <c r="R1515" s="841"/>
    </row>
    <row r="1516" spans="2:18">
      <c r="B1516" s="841"/>
      <c r="C1516" s="842"/>
      <c r="D1516" s="842"/>
      <c r="E1516" s="842"/>
      <c r="F1516" s="1135"/>
      <c r="G1516" s="1135"/>
      <c r="H1516" s="843"/>
      <c r="I1516" s="841"/>
      <c r="J1516" s="1135"/>
      <c r="K1516" s="841"/>
      <c r="L1516" s="841"/>
      <c r="M1516" s="841"/>
      <c r="N1516" s="841"/>
      <c r="O1516" s="841"/>
      <c r="P1516" s="841"/>
      <c r="Q1516" s="841"/>
      <c r="R1516" s="841"/>
    </row>
    <row r="1517" spans="2:18">
      <c r="B1517" s="841"/>
      <c r="C1517" s="842"/>
      <c r="D1517" s="842"/>
      <c r="E1517" s="842"/>
      <c r="F1517" s="1135"/>
      <c r="G1517" s="1135"/>
      <c r="H1517" s="843"/>
      <c r="I1517" s="841"/>
      <c r="J1517" s="1135"/>
      <c r="K1517" s="841"/>
      <c r="L1517" s="841"/>
      <c r="M1517" s="841"/>
      <c r="N1517" s="841"/>
      <c r="O1517" s="841"/>
      <c r="P1517" s="841"/>
      <c r="Q1517" s="841"/>
      <c r="R1517" s="841"/>
    </row>
    <row r="1518" spans="2:18">
      <c r="B1518" s="841"/>
      <c r="C1518" s="842"/>
      <c r="D1518" s="842"/>
      <c r="E1518" s="842"/>
      <c r="F1518" s="1135"/>
      <c r="G1518" s="1135"/>
      <c r="H1518" s="843"/>
      <c r="I1518" s="841"/>
      <c r="J1518" s="1135"/>
      <c r="K1518" s="841"/>
      <c r="L1518" s="841"/>
      <c r="M1518" s="841"/>
      <c r="N1518" s="841"/>
      <c r="O1518" s="841"/>
      <c r="P1518" s="841"/>
      <c r="Q1518" s="841"/>
      <c r="R1518" s="841"/>
    </row>
    <row r="1519" spans="2:18">
      <c r="B1519" s="841"/>
      <c r="C1519" s="842"/>
      <c r="D1519" s="842"/>
      <c r="E1519" s="842"/>
      <c r="F1519" s="1135"/>
      <c r="G1519" s="1135"/>
      <c r="H1519" s="843"/>
      <c r="I1519" s="841"/>
      <c r="J1519" s="1135"/>
      <c r="K1519" s="841"/>
      <c r="L1519" s="841"/>
      <c r="M1519" s="841"/>
      <c r="N1519" s="841"/>
      <c r="O1519" s="841"/>
      <c r="P1519" s="841"/>
      <c r="Q1519" s="841"/>
      <c r="R1519" s="841"/>
    </row>
    <row r="1520" spans="2:18">
      <c r="B1520" s="841"/>
      <c r="C1520" s="842"/>
      <c r="D1520" s="842"/>
      <c r="E1520" s="842"/>
      <c r="F1520" s="1135"/>
      <c r="G1520" s="1135"/>
      <c r="H1520" s="843"/>
      <c r="I1520" s="841"/>
      <c r="J1520" s="1135"/>
      <c r="K1520" s="841"/>
      <c r="L1520" s="841"/>
      <c r="M1520" s="841"/>
      <c r="N1520" s="841"/>
      <c r="O1520" s="841"/>
      <c r="P1520" s="841"/>
      <c r="Q1520" s="841"/>
      <c r="R1520" s="841"/>
    </row>
    <row r="1521" spans="2:18">
      <c r="B1521" s="841"/>
      <c r="C1521" s="842"/>
      <c r="D1521" s="842"/>
      <c r="E1521" s="842"/>
      <c r="F1521" s="1135"/>
      <c r="G1521" s="1135"/>
      <c r="H1521" s="843"/>
      <c r="I1521" s="841"/>
      <c r="J1521" s="1135"/>
      <c r="K1521" s="841"/>
      <c r="L1521" s="841"/>
      <c r="M1521" s="841"/>
      <c r="N1521" s="841"/>
      <c r="O1521" s="841"/>
      <c r="P1521" s="841"/>
      <c r="Q1521" s="841"/>
      <c r="R1521" s="841"/>
    </row>
    <row r="1522" spans="2:18">
      <c r="B1522" s="841"/>
      <c r="C1522" s="842"/>
      <c r="D1522" s="842"/>
      <c r="E1522" s="842"/>
      <c r="F1522" s="1135"/>
      <c r="G1522" s="1135"/>
      <c r="H1522" s="843"/>
      <c r="I1522" s="841"/>
      <c r="J1522" s="1135"/>
      <c r="K1522" s="841"/>
      <c r="L1522" s="841"/>
      <c r="M1522" s="841"/>
      <c r="N1522" s="841"/>
      <c r="O1522" s="841"/>
      <c r="P1522" s="841"/>
      <c r="Q1522" s="841"/>
      <c r="R1522" s="841"/>
    </row>
    <row r="1523" spans="2:18">
      <c r="B1523" s="841"/>
      <c r="C1523" s="842"/>
      <c r="D1523" s="842"/>
      <c r="E1523" s="842"/>
      <c r="F1523" s="1135"/>
      <c r="G1523" s="1135"/>
      <c r="H1523" s="843"/>
      <c r="I1523" s="841"/>
      <c r="J1523" s="1135"/>
      <c r="K1523" s="841"/>
      <c r="L1523" s="841"/>
      <c r="M1523" s="841"/>
      <c r="N1523" s="841"/>
      <c r="O1523" s="841"/>
      <c r="P1523" s="841"/>
      <c r="Q1523" s="841"/>
      <c r="R1523" s="841"/>
    </row>
    <row r="1524" spans="2:18">
      <c r="B1524" s="841"/>
      <c r="C1524" s="842"/>
      <c r="D1524" s="842"/>
      <c r="E1524" s="842"/>
      <c r="F1524" s="1135"/>
      <c r="G1524" s="1135"/>
      <c r="H1524" s="843"/>
      <c r="I1524" s="841"/>
      <c r="J1524" s="1135"/>
      <c r="K1524" s="841"/>
      <c r="L1524" s="841"/>
      <c r="M1524" s="841"/>
      <c r="N1524" s="841"/>
      <c r="O1524" s="841"/>
      <c r="P1524" s="841"/>
      <c r="Q1524" s="841"/>
      <c r="R1524" s="841"/>
    </row>
    <row r="1525" spans="2:18">
      <c r="B1525" s="841"/>
      <c r="C1525" s="842"/>
      <c r="D1525" s="842"/>
      <c r="E1525" s="842"/>
      <c r="F1525" s="1135"/>
      <c r="G1525" s="1135"/>
      <c r="H1525" s="843"/>
      <c r="I1525" s="841"/>
      <c r="J1525" s="1135"/>
      <c r="K1525" s="841"/>
      <c r="L1525" s="841"/>
      <c r="M1525" s="841"/>
      <c r="N1525" s="841"/>
      <c r="O1525" s="841"/>
      <c r="P1525" s="841"/>
      <c r="Q1525" s="841"/>
      <c r="R1525" s="841"/>
    </row>
    <row r="1526" spans="2:18">
      <c r="B1526" s="841"/>
      <c r="C1526" s="842"/>
      <c r="D1526" s="842"/>
      <c r="E1526" s="842"/>
      <c r="F1526" s="1135"/>
      <c r="G1526" s="1135"/>
      <c r="H1526" s="843"/>
      <c r="I1526" s="841"/>
      <c r="J1526" s="1135"/>
      <c r="K1526" s="841"/>
      <c r="L1526" s="841"/>
      <c r="M1526" s="841"/>
      <c r="N1526" s="841"/>
      <c r="O1526" s="841"/>
      <c r="P1526" s="841"/>
      <c r="Q1526" s="841"/>
      <c r="R1526" s="841"/>
    </row>
    <row r="1527" spans="2:18">
      <c r="B1527" s="841"/>
      <c r="C1527" s="842"/>
      <c r="D1527" s="842"/>
      <c r="E1527" s="842"/>
      <c r="F1527" s="1135"/>
      <c r="G1527" s="1135"/>
      <c r="H1527" s="843"/>
      <c r="I1527" s="841"/>
      <c r="J1527" s="1135"/>
      <c r="K1527" s="841"/>
      <c r="L1527" s="841"/>
      <c r="M1527" s="841"/>
      <c r="N1527" s="841"/>
      <c r="O1527" s="841"/>
      <c r="P1527" s="841"/>
      <c r="Q1527" s="841"/>
      <c r="R1527" s="841"/>
    </row>
    <row r="1528" spans="2:18">
      <c r="B1528" s="841"/>
      <c r="C1528" s="842"/>
      <c r="D1528" s="842"/>
      <c r="E1528" s="842"/>
      <c r="F1528" s="1135"/>
      <c r="G1528" s="1135"/>
      <c r="H1528" s="843"/>
      <c r="I1528" s="841"/>
      <c r="J1528" s="1135"/>
      <c r="K1528" s="841"/>
      <c r="L1528" s="841"/>
      <c r="M1528" s="841"/>
      <c r="N1528" s="841"/>
      <c r="O1528" s="841"/>
      <c r="P1528" s="841"/>
      <c r="Q1528" s="841"/>
      <c r="R1528" s="841"/>
    </row>
    <row r="1529" spans="2:18">
      <c r="B1529" s="841"/>
      <c r="C1529" s="842"/>
      <c r="D1529" s="842"/>
      <c r="E1529" s="842"/>
      <c r="F1529" s="1135"/>
      <c r="G1529" s="1135"/>
      <c r="H1529" s="843"/>
      <c r="I1529" s="841"/>
      <c r="J1529" s="1135"/>
      <c r="K1529" s="841"/>
      <c r="L1529" s="841"/>
      <c r="M1529" s="841"/>
      <c r="N1529" s="841"/>
      <c r="O1529" s="841"/>
      <c r="P1529" s="841"/>
      <c r="Q1529" s="841"/>
      <c r="R1529" s="841"/>
    </row>
    <row r="1530" spans="2:18">
      <c r="B1530" s="841"/>
      <c r="C1530" s="842"/>
      <c r="D1530" s="842"/>
      <c r="E1530" s="842"/>
      <c r="F1530" s="1135"/>
      <c r="G1530" s="1135"/>
      <c r="H1530" s="843"/>
      <c r="I1530" s="841"/>
      <c r="J1530" s="1135"/>
      <c r="K1530" s="841"/>
      <c r="L1530" s="841"/>
      <c r="M1530" s="841"/>
      <c r="N1530" s="841"/>
      <c r="O1530" s="841"/>
      <c r="P1530" s="841"/>
      <c r="Q1530" s="841"/>
      <c r="R1530" s="841"/>
    </row>
    <row r="1531" spans="2:18">
      <c r="B1531" s="841"/>
      <c r="C1531" s="842"/>
      <c r="D1531" s="842"/>
      <c r="E1531" s="842"/>
      <c r="F1531" s="1135"/>
      <c r="G1531" s="1135"/>
      <c r="H1531" s="843"/>
      <c r="I1531" s="841"/>
      <c r="J1531" s="1135"/>
      <c r="K1531" s="841"/>
      <c r="L1531" s="841"/>
      <c r="M1531" s="841"/>
      <c r="N1531" s="841"/>
      <c r="O1531" s="841"/>
      <c r="P1531" s="841"/>
      <c r="Q1531" s="841"/>
      <c r="R1531" s="841"/>
    </row>
    <row r="1532" spans="2:18">
      <c r="B1532" s="841"/>
      <c r="C1532" s="842"/>
      <c r="D1532" s="842"/>
      <c r="E1532" s="842"/>
      <c r="F1532" s="1135"/>
      <c r="G1532" s="1135"/>
      <c r="H1532" s="843"/>
      <c r="I1532" s="841"/>
      <c r="J1532" s="1135"/>
      <c r="K1532" s="841"/>
      <c r="L1532" s="841"/>
      <c r="M1532" s="841"/>
      <c r="N1532" s="841"/>
      <c r="O1532" s="841"/>
      <c r="P1532" s="841"/>
      <c r="Q1532" s="841"/>
      <c r="R1532" s="841"/>
    </row>
    <row r="1533" spans="2:18">
      <c r="B1533" s="841"/>
      <c r="C1533" s="842"/>
      <c r="D1533" s="842"/>
      <c r="E1533" s="842"/>
      <c r="F1533" s="1135"/>
      <c r="G1533" s="1135"/>
      <c r="H1533" s="843"/>
      <c r="I1533" s="841"/>
      <c r="J1533" s="1135"/>
      <c r="K1533" s="841"/>
      <c r="L1533" s="841"/>
      <c r="M1533" s="841"/>
      <c r="N1533" s="841"/>
      <c r="O1533" s="841"/>
      <c r="P1533" s="841"/>
      <c r="Q1533" s="841"/>
      <c r="R1533" s="841"/>
    </row>
    <row r="1534" spans="2:18">
      <c r="B1534" s="841"/>
      <c r="C1534" s="842"/>
      <c r="D1534" s="842"/>
      <c r="E1534" s="842"/>
      <c r="F1534" s="1135"/>
      <c r="G1534" s="1135"/>
      <c r="H1534" s="843"/>
      <c r="I1534" s="841"/>
      <c r="J1534" s="1135"/>
      <c r="K1534" s="841"/>
      <c r="L1534" s="841"/>
      <c r="M1534" s="841"/>
      <c r="N1534" s="841"/>
      <c r="O1534" s="841"/>
      <c r="P1534" s="841"/>
      <c r="Q1534" s="841"/>
      <c r="R1534" s="841"/>
    </row>
    <row r="1535" spans="2:18">
      <c r="B1535" s="841"/>
      <c r="C1535" s="842"/>
      <c r="D1535" s="842"/>
      <c r="E1535" s="842"/>
      <c r="F1535" s="1135"/>
      <c r="G1535" s="1135"/>
      <c r="H1535" s="843"/>
      <c r="I1535" s="841"/>
      <c r="J1535" s="1135"/>
      <c r="K1535" s="841"/>
      <c r="L1535" s="841"/>
      <c r="M1535" s="841"/>
      <c r="N1535" s="841"/>
      <c r="O1535" s="841"/>
      <c r="P1535" s="841"/>
      <c r="Q1535" s="841"/>
      <c r="R1535" s="841"/>
    </row>
    <row r="1536" spans="2:18">
      <c r="B1536" s="841"/>
      <c r="C1536" s="842"/>
      <c r="D1536" s="842"/>
      <c r="E1536" s="842"/>
      <c r="F1536" s="1135"/>
      <c r="G1536" s="1135"/>
      <c r="H1536" s="843"/>
      <c r="I1536" s="841"/>
      <c r="J1536" s="1135"/>
      <c r="K1536" s="841"/>
      <c r="L1536" s="841"/>
      <c r="M1536" s="841"/>
      <c r="N1536" s="841"/>
      <c r="O1536" s="841"/>
      <c r="P1536" s="841"/>
      <c r="Q1536" s="841"/>
      <c r="R1536" s="841"/>
    </row>
    <row r="1537" spans="2:18">
      <c r="B1537" s="841"/>
      <c r="C1537" s="842"/>
      <c r="D1537" s="842"/>
      <c r="E1537" s="842"/>
      <c r="F1537" s="1135"/>
      <c r="G1537" s="1135"/>
      <c r="H1537" s="843"/>
      <c r="I1537" s="841"/>
      <c r="J1537" s="1135"/>
      <c r="K1537" s="841"/>
      <c r="L1537" s="841"/>
      <c r="M1537" s="841"/>
      <c r="N1537" s="841"/>
      <c r="O1537" s="841"/>
      <c r="P1537" s="841"/>
      <c r="Q1537" s="841"/>
      <c r="R1537" s="841"/>
    </row>
    <row r="1538" spans="2:18">
      <c r="B1538" s="841"/>
      <c r="C1538" s="842"/>
      <c r="D1538" s="842"/>
      <c r="E1538" s="842"/>
      <c r="F1538" s="1135"/>
      <c r="G1538" s="1135"/>
      <c r="H1538" s="843"/>
      <c r="I1538" s="841"/>
      <c r="J1538" s="1135"/>
      <c r="K1538" s="841"/>
      <c r="L1538" s="841"/>
      <c r="M1538" s="841"/>
      <c r="N1538" s="841"/>
      <c r="O1538" s="841"/>
      <c r="P1538" s="841"/>
      <c r="Q1538" s="841"/>
      <c r="R1538" s="841"/>
    </row>
    <row r="1539" spans="2:18">
      <c r="B1539" s="841"/>
      <c r="C1539" s="842"/>
      <c r="D1539" s="842"/>
      <c r="E1539" s="842"/>
      <c r="F1539" s="1135"/>
      <c r="G1539" s="1135"/>
      <c r="H1539" s="843"/>
      <c r="I1539" s="841"/>
      <c r="J1539" s="1135"/>
      <c r="K1539" s="841"/>
      <c r="L1539" s="841"/>
      <c r="M1539" s="841"/>
      <c r="N1539" s="841"/>
      <c r="O1539" s="841"/>
      <c r="P1539" s="841"/>
      <c r="Q1539" s="841"/>
      <c r="R1539" s="841"/>
    </row>
    <row r="1540" spans="2:18">
      <c r="B1540" s="841"/>
      <c r="C1540" s="842"/>
      <c r="D1540" s="842"/>
      <c r="E1540" s="842"/>
      <c r="F1540" s="1135"/>
      <c r="G1540" s="1135"/>
      <c r="H1540" s="843"/>
      <c r="I1540" s="841"/>
      <c r="J1540" s="1135"/>
      <c r="K1540" s="841"/>
      <c r="L1540" s="841"/>
      <c r="M1540" s="841"/>
      <c r="N1540" s="841"/>
      <c r="O1540" s="841"/>
      <c r="P1540" s="841"/>
      <c r="Q1540" s="841"/>
      <c r="R1540" s="841"/>
    </row>
    <row r="1541" spans="2:18">
      <c r="B1541" s="841"/>
      <c r="C1541" s="842"/>
      <c r="D1541" s="842"/>
      <c r="E1541" s="842"/>
      <c r="F1541" s="1135"/>
      <c r="G1541" s="1135"/>
      <c r="H1541" s="843"/>
      <c r="I1541" s="841"/>
      <c r="J1541" s="1135"/>
      <c r="K1541" s="841"/>
      <c r="L1541" s="841"/>
      <c r="M1541" s="841"/>
      <c r="N1541" s="841"/>
      <c r="O1541" s="841"/>
      <c r="P1541" s="841"/>
      <c r="Q1541" s="841"/>
      <c r="R1541" s="841"/>
    </row>
    <row r="1542" spans="2:18">
      <c r="B1542" s="841"/>
      <c r="C1542" s="842"/>
      <c r="D1542" s="842"/>
      <c r="E1542" s="842"/>
      <c r="F1542" s="1135"/>
      <c r="G1542" s="1135"/>
      <c r="H1542" s="843"/>
      <c r="I1542" s="841"/>
      <c r="J1542" s="1135"/>
      <c r="K1542" s="841"/>
      <c r="L1542" s="841"/>
      <c r="M1542" s="841"/>
      <c r="N1542" s="841"/>
      <c r="O1542" s="841"/>
      <c r="P1542" s="841"/>
      <c r="Q1542" s="841"/>
      <c r="R1542" s="841"/>
    </row>
    <row r="1543" spans="2:18">
      <c r="B1543" s="841"/>
      <c r="C1543" s="842"/>
      <c r="D1543" s="842"/>
      <c r="E1543" s="842"/>
      <c r="F1543" s="1135"/>
      <c r="G1543" s="1135"/>
      <c r="H1543" s="843"/>
      <c r="I1543" s="841"/>
      <c r="J1543" s="1135"/>
      <c r="K1543" s="841"/>
      <c r="L1543" s="841"/>
      <c r="M1543" s="841"/>
      <c r="N1543" s="841"/>
      <c r="O1543" s="841"/>
      <c r="P1543" s="841"/>
      <c r="Q1543" s="841"/>
      <c r="R1543" s="841"/>
    </row>
    <row r="1544" spans="2:18">
      <c r="B1544" s="841"/>
      <c r="C1544" s="842"/>
      <c r="D1544" s="842"/>
      <c r="E1544" s="842"/>
      <c r="F1544" s="1135"/>
      <c r="G1544" s="1135"/>
      <c r="H1544" s="843"/>
      <c r="I1544" s="841"/>
      <c r="J1544" s="1135"/>
      <c r="K1544" s="841"/>
      <c r="L1544" s="841"/>
      <c r="M1544" s="841"/>
      <c r="N1544" s="841"/>
      <c r="O1544" s="841"/>
      <c r="P1544" s="841"/>
      <c r="Q1544" s="841"/>
      <c r="R1544" s="841"/>
    </row>
    <row r="1545" spans="2:18">
      <c r="B1545" s="841"/>
      <c r="C1545" s="842"/>
      <c r="D1545" s="842"/>
      <c r="E1545" s="842"/>
      <c r="F1545" s="1135"/>
      <c r="G1545" s="1135"/>
      <c r="H1545" s="843"/>
      <c r="I1545" s="841"/>
      <c r="J1545" s="1135"/>
      <c r="K1545" s="841"/>
      <c r="L1545" s="841"/>
      <c r="M1545" s="841"/>
      <c r="N1545" s="841"/>
      <c r="O1545" s="841"/>
      <c r="P1545" s="841"/>
      <c r="Q1545" s="841"/>
      <c r="R1545" s="841"/>
    </row>
    <row r="1546" spans="2:18">
      <c r="B1546" s="841"/>
      <c r="C1546" s="842"/>
      <c r="D1546" s="842"/>
      <c r="E1546" s="842"/>
      <c r="F1546" s="1135"/>
      <c r="G1546" s="1135"/>
      <c r="H1546" s="843"/>
      <c r="I1546" s="841"/>
      <c r="J1546" s="1135"/>
      <c r="K1546" s="841"/>
      <c r="L1546" s="841"/>
      <c r="M1546" s="841"/>
      <c r="N1546" s="841"/>
      <c r="O1546" s="841"/>
      <c r="P1546" s="841"/>
      <c r="Q1546" s="841"/>
      <c r="R1546" s="841"/>
    </row>
    <row r="1547" spans="2:18">
      <c r="B1547" s="841"/>
      <c r="C1547" s="842"/>
      <c r="D1547" s="842"/>
      <c r="E1547" s="842"/>
      <c r="F1547" s="1135"/>
      <c r="G1547" s="1135"/>
      <c r="H1547" s="843"/>
      <c r="I1547" s="841"/>
      <c r="J1547" s="1135"/>
      <c r="K1547" s="841"/>
      <c r="L1547" s="841"/>
      <c r="M1547" s="841"/>
      <c r="N1547" s="841"/>
      <c r="O1547" s="841"/>
      <c r="P1547" s="841"/>
      <c r="Q1547" s="841"/>
      <c r="R1547" s="841"/>
    </row>
    <row r="1548" spans="2:18">
      <c r="B1548" s="841"/>
      <c r="C1548" s="842"/>
      <c r="D1548" s="842"/>
      <c r="E1548" s="842"/>
      <c r="F1548" s="1135"/>
      <c r="G1548" s="1135"/>
      <c r="H1548" s="843"/>
      <c r="I1548" s="841"/>
      <c r="J1548" s="1135"/>
      <c r="K1548" s="841"/>
      <c r="L1548" s="841"/>
      <c r="M1548" s="841"/>
      <c r="N1548" s="841"/>
      <c r="O1548" s="841"/>
      <c r="P1548" s="841"/>
      <c r="Q1548" s="841"/>
      <c r="R1548" s="841"/>
    </row>
    <row r="1549" spans="2:18">
      <c r="B1549" s="841"/>
      <c r="C1549" s="842"/>
      <c r="D1549" s="842"/>
      <c r="E1549" s="842"/>
      <c r="F1549" s="1135"/>
      <c r="G1549" s="1135"/>
      <c r="H1549" s="843"/>
      <c r="I1549" s="841"/>
      <c r="J1549" s="1135"/>
      <c r="K1549" s="841"/>
      <c r="L1549" s="841"/>
      <c r="M1549" s="841"/>
      <c r="N1549" s="841"/>
      <c r="O1549" s="841"/>
      <c r="P1549" s="841"/>
      <c r="Q1549" s="841"/>
      <c r="R1549" s="841"/>
    </row>
    <row r="1550" spans="2:18">
      <c r="B1550" s="841"/>
      <c r="C1550" s="842"/>
      <c r="D1550" s="842"/>
      <c r="E1550" s="842"/>
      <c r="F1550" s="1135"/>
      <c r="G1550" s="1135"/>
      <c r="H1550" s="843"/>
      <c r="I1550" s="841"/>
      <c r="J1550" s="1135"/>
      <c r="K1550" s="841"/>
      <c r="L1550" s="841"/>
      <c r="M1550" s="841"/>
      <c r="N1550" s="841"/>
      <c r="O1550" s="841"/>
      <c r="P1550" s="841"/>
      <c r="Q1550" s="841"/>
      <c r="R1550" s="841"/>
    </row>
    <row r="1551" spans="2:18">
      <c r="B1551" s="841"/>
      <c r="C1551" s="842"/>
      <c r="D1551" s="842"/>
      <c r="E1551" s="842"/>
      <c r="F1551" s="1135"/>
      <c r="G1551" s="1135"/>
      <c r="H1551" s="843"/>
      <c r="I1551" s="841"/>
      <c r="J1551" s="1135"/>
      <c r="K1551" s="841"/>
      <c r="L1551" s="841"/>
      <c r="M1551" s="841"/>
      <c r="N1551" s="841"/>
      <c r="O1551" s="841"/>
      <c r="P1551" s="841"/>
      <c r="Q1551" s="841"/>
      <c r="R1551" s="841"/>
    </row>
    <row r="1552" spans="2:18">
      <c r="B1552" s="841"/>
      <c r="C1552" s="842"/>
      <c r="D1552" s="842"/>
      <c r="E1552" s="842"/>
      <c r="F1552" s="1135"/>
      <c r="G1552" s="1135"/>
      <c r="H1552" s="843"/>
      <c r="I1552" s="841"/>
      <c r="J1552" s="1135"/>
      <c r="K1552" s="841"/>
      <c r="L1552" s="841"/>
      <c r="M1552" s="841"/>
      <c r="N1552" s="841"/>
      <c r="O1552" s="841"/>
      <c r="P1552" s="841"/>
      <c r="Q1552" s="841"/>
      <c r="R1552" s="841"/>
    </row>
    <row r="1553" spans="2:18">
      <c r="B1553" s="841"/>
      <c r="C1553" s="842"/>
      <c r="D1553" s="842"/>
      <c r="E1553" s="842"/>
      <c r="F1553" s="1135"/>
      <c r="G1553" s="1135"/>
      <c r="H1553" s="843"/>
      <c r="I1553" s="841"/>
      <c r="J1553" s="1135"/>
      <c r="K1553" s="841"/>
      <c r="L1553" s="841"/>
      <c r="M1553" s="841"/>
      <c r="N1553" s="841"/>
      <c r="O1553" s="841"/>
      <c r="P1553" s="841"/>
      <c r="Q1553" s="841"/>
      <c r="R1553" s="841"/>
    </row>
    <row r="1554" spans="2:18">
      <c r="B1554" s="841"/>
      <c r="C1554" s="842"/>
      <c r="D1554" s="842"/>
      <c r="E1554" s="842"/>
      <c r="F1554" s="1135"/>
      <c r="G1554" s="1135"/>
      <c r="H1554" s="843"/>
      <c r="I1554" s="841"/>
      <c r="J1554" s="1135"/>
      <c r="K1554" s="841"/>
      <c r="L1554" s="841"/>
      <c r="M1554" s="841"/>
      <c r="N1554" s="841"/>
      <c r="O1554" s="841"/>
      <c r="P1554" s="841"/>
      <c r="Q1554" s="841"/>
      <c r="R1554" s="841"/>
    </row>
    <row r="1555" spans="2:18">
      <c r="B1555" s="841"/>
      <c r="C1555" s="842"/>
      <c r="D1555" s="842"/>
      <c r="E1555" s="842"/>
      <c r="F1555" s="1135"/>
      <c r="G1555" s="1135"/>
      <c r="H1555" s="843"/>
      <c r="I1555" s="841"/>
      <c r="J1555" s="1135"/>
      <c r="K1555" s="841"/>
      <c r="L1555" s="841"/>
      <c r="M1555" s="841"/>
      <c r="N1555" s="841"/>
      <c r="O1555" s="841"/>
      <c r="P1555" s="841"/>
      <c r="Q1555" s="841"/>
      <c r="R1555" s="841"/>
    </row>
    <row r="1556" spans="2:18">
      <c r="B1556" s="841"/>
      <c r="C1556" s="842"/>
      <c r="D1556" s="842"/>
      <c r="E1556" s="842"/>
      <c r="F1556" s="1135"/>
      <c r="G1556" s="1135"/>
      <c r="H1556" s="843"/>
      <c r="I1556" s="841"/>
      <c r="J1556" s="1135"/>
      <c r="K1556" s="841"/>
      <c r="L1556" s="841"/>
      <c r="M1556" s="841"/>
      <c r="N1556" s="841"/>
      <c r="O1556" s="841"/>
      <c r="P1556" s="841"/>
      <c r="Q1556" s="841"/>
      <c r="R1556" s="841"/>
    </row>
    <row r="1557" spans="2:18">
      <c r="B1557" s="841"/>
      <c r="C1557" s="842"/>
      <c r="D1557" s="842"/>
      <c r="E1557" s="842"/>
      <c r="F1557" s="1135"/>
      <c r="G1557" s="1135"/>
      <c r="H1557" s="843"/>
      <c r="I1557" s="841"/>
      <c r="J1557" s="1135"/>
      <c r="K1557" s="841"/>
      <c r="L1557" s="841"/>
      <c r="M1557" s="841"/>
      <c r="N1557" s="841"/>
      <c r="O1557" s="841"/>
      <c r="P1557" s="841"/>
      <c r="Q1557" s="841"/>
      <c r="R1557" s="841"/>
    </row>
    <row r="1558" spans="2:18">
      <c r="B1558" s="841"/>
      <c r="C1558" s="842"/>
      <c r="D1558" s="842"/>
      <c r="E1558" s="842"/>
      <c r="F1558" s="1135"/>
      <c r="G1558" s="1135"/>
      <c r="H1558" s="843"/>
      <c r="I1558" s="841"/>
      <c r="J1558" s="1135"/>
      <c r="K1558" s="841"/>
      <c r="L1558" s="841"/>
      <c r="M1558" s="841"/>
      <c r="N1558" s="841"/>
      <c r="O1558" s="841"/>
      <c r="P1558" s="841"/>
      <c r="Q1558" s="841"/>
      <c r="R1558" s="841"/>
    </row>
    <row r="1559" spans="2:18">
      <c r="B1559" s="841"/>
      <c r="C1559" s="842"/>
      <c r="D1559" s="842"/>
      <c r="E1559" s="842"/>
      <c r="F1559" s="1135"/>
      <c r="G1559" s="1135"/>
      <c r="H1559" s="843"/>
      <c r="I1559" s="841"/>
      <c r="J1559" s="1135"/>
      <c r="K1559" s="841"/>
      <c r="L1559" s="841"/>
      <c r="M1559" s="841"/>
      <c r="N1559" s="841"/>
      <c r="O1559" s="841"/>
      <c r="P1559" s="841"/>
      <c r="Q1559" s="841"/>
      <c r="R1559" s="841"/>
    </row>
    <row r="1560" spans="2:18">
      <c r="B1560" s="841"/>
      <c r="C1560" s="842"/>
      <c r="D1560" s="842"/>
      <c r="E1560" s="842"/>
      <c r="F1560" s="1135"/>
      <c r="G1560" s="1135"/>
      <c r="H1560" s="843"/>
      <c r="I1560" s="841"/>
      <c r="J1560" s="1135"/>
      <c r="K1560" s="841"/>
      <c r="L1560" s="841"/>
      <c r="M1560" s="841"/>
      <c r="N1560" s="841"/>
      <c r="O1560" s="841"/>
      <c r="P1560" s="841"/>
      <c r="Q1560" s="841"/>
      <c r="R1560" s="841"/>
    </row>
    <row r="1561" spans="2:18">
      <c r="B1561" s="841"/>
      <c r="C1561" s="842"/>
      <c r="D1561" s="842"/>
      <c r="E1561" s="842"/>
      <c r="F1561" s="1135"/>
      <c r="G1561" s="1135"/>
      <c r="H1561" s="843"/>
      <c r="I1561" s="841"/>
      <c r="J1561" s="1135"/>
      <c r="K1561" s="841"/>
      <c r="L1561" s="841"/>
      <c r="M1561" s="841"/>
      <c r="N1561" s="841"/>
      <c r="O1561" s="841"/>
      <c r="P1561" s="841"/>
      <c r="Q1561" s="841"/>
      <c r="R1561" s="841"/>
    </row>
    <row r="1562" spans="2:18">
      <c r="B1562" s="841"/>
      <c r="C1562" s="842"/>
      <c r="D1562" s="842"/>
      <c r="E1562" s="842"/>
      <c r="F1562" s="1135"/>
      <c r="G1562" s="1135"/>
      <c r="H1562" s="843"/>
      <c r="I1562" s="841"/>
      <c r="J1562" s="1135"/>
      <c r="K1562" s="841"/>
      <c r="L1562" s="841"/>
      <c r="M1562" s="841"/>
      <c r="N1562" s="841"/>
      <c r="O1562" s="841"/>
      <c r="P1562" s="841"/>
      <c r="Q1562" s="841"/>
      <c r="R1562" s="841"/>
    </row>
    <row r="1563" spans="2:18">
      <c r="B1563" s="841"/>
      <c r="C1563" s="842"/>
      <c r="D1563" s="842"/>
      <c r="E1563" s="842"/>
      <c r="F1563" s="1135"/>
      <c r="G1563" s="1135"/>
      <c r="H1563" s="843"/>
      <c r="I1563" s="841"/>
      <c r="J1563" s="1135"/>
      <c r="K1563" s="841"/>
      <c r="L1563" s="841"/>
      <c r="M1563" s="841"/>
      <c r="N1563" s="841"/>
      <c r="O1563" s="841"/>
      <c r="P1563" s="841"/>
      <c r="Q1563" s="841"/>
      <c r="R1563" s="841"/>
    </row>
    <row r="1564" spans="2:18">
      <c r="B1564" s="841"/>
      <c r="C1564" s="842"/>
      <c r="D1564" s="842"/>
      <c r="E1564" s="842"/>
      <c r="F1564" s="1135"/>
      <c r="G1564" s="1135"/>
      <c r="H1564" s="843"/>
      <c r="I1564" s="841"/>
      <c r="J1564" s="1135"/>
      <c r="K1564" s="841"/>
      <c r="L1564" s="841"/>
      <c r="M1564" s="841"/>
      <c r="N1564" s="841"/>
      <c r="O1564" s="841"/>
      <c r="P1564" s="841"/>
      <c r="Q1564" s="841"/>
      <c r="R1564" s="841"/>
    </row>
    <row r="1565" spans="2:18">
      <c r="B1565" s="841"/>
      <c r="C1565" s="842"/>
      <c r="D1565" s="842"/>
      <c r="E1565" s="842"/>
      <c r="F1565" s="1135"/>
      <c r="G1565" s="1135"/>
      <c r="H1565" s="843"/>
      <c r="I1565" s="841"/>
      <c r="J1565" s="1135"/>
      <c r="K1565" s="841"/>
      <c r="L1565" s="841"/>
      <c r="M1565" s="841"/>
      <c r="N1565" s="841"/>
      <c r="O1565" s="841"/>
      <c r="P1565" s="841"/>
      <c r="Q1565" s="841"/>
      <c r="R1565" s="841"/>
    </row>
    <row r="1566" spans="2:18">
      <c r="B1566" s="841"/>
      <c r="C1566" s="842"/>
      <c r="D1566" s="842"/>
      <c r="E1566" s="842"/>
      <c r="F1566" s="1135"/>
      <c r="G1566" s="1135"/>
      <c r="H1566" s="843"/>
      <c r="I1566" s="841"/>
      <c r="J1566" s="1135"/>
      <c r="K1566" s="841"/>
      <c r="L1566" s="841"/>
      <c r="M1566" s="841"/>
      <c r="N1566" s="841"/>
      <c r="O1566" s="841"/>
      <c r="P1566" s="841"/>
      <c r="Q1566" s="841"/>
      <c r="R1566" s="841"/>
    </row>
    <row r="1567" spans="2:18">
      <c r="B1567" s="841"/>
      <c r="C1567" s="842"/>
      <c r="D1567" s="842"/>
      <c r="E1567" s="842"/>
      <c r="F1567" s="1135"/>
      <c r="G1567" s="1135"/>
      <c r="H1567" s="843"/>
      <c r="I1567" s="841"/>
      <c r="J1567" s="1135"/>
      <c r="K1567" s="841"/>
      <c r="L1567" s="841"/>
      <c r="M1567" s="841"/>
      <c r="N1567" s="841"/>
      <c r="O1567" s="841"/>
      <c r="P1567" s="841"/>
      <c r="Q1567" s="841"/>
      <c r="R1567" s="841"/>
    </row>
    <row r="1568" spans="2:18">
      <c r="B1568" s="841"/>
      <c r="C1568" s="842"/>
      <c r="D1568" s="842"/>
      <c r="E1568" s="842"/>
      <c r="F1568" s="1135"/>
      <c r="G1568" s="1135"/>
      <c r="H1568" s="843"/>
      <c r="I1568" s="841"/>
      <c r="J1568" s="1135"/>
      <c r="K1568" s="841"/>
      <c r="L1568" s="841"/>
      <c r="M1568" s="841"/>
      <c r="N1568" s="841"/>
      <c r="O1568" s="841"/>
      <c r="P1568" s="841"/>
      <c r="Q1568" s="841"/>
      <c r="R1568" s="841"/>
    </row>
    <row r="1569" spans="2:18">
      <c r="B1569" s="841"/>
      <c r="C1569" s="842"/>
      <c r="D1569" s="842"/>
      <c r="E1569" s="842"/>
      <c r="F1569" s="1135"/>
      <c r="G1569" s="1135"/>
      <c r="H1569" s="843"/>
      <c r="I1569" s="841"/>
      <c r="J1569" s="1135"/>
      <c r="K1569" s="841"/>
      <c r="L1569" s="841"/>
      <c r="M1569" s="841"/>
      <c r="N1569" s="841"/>
      <c r="O1569" s="841"/>
      <c r="P1569" s="841"/>
      <c r="Q1569" s="841"/>
      <c r="R1569" s="841"/>
    </row>
    <row r="1570" spans="2:18">
      <c r="B1570" s="841"/>
      <c r="C1570" s="842"/>
      <c r="D1570" s="842"/>
      <c r="E1570" s="842"/>
      <c r="F1570" s="1135"/>
      <c r="G1570" s="1135"/>
      <c r="H1570" s="843"/>
      <c r="I1570" s="841"/>
      <c r="J1570" s="1135"/>
      <c r="K1570" s="841"/>
      <c r="L1570" s="841"/>
      <c r="M1570" s="841"/>
      <c r="N1570" s="841"/>
      <c r="O1570" s="841"/>
      <c r="P1570" s="841"/>
      <c r="Q1570" s="841"/>
      <c r="R1570" s="841"/>
    </row>
    <row r="1571" spans="2:18">
      <c r="B1571" s="841"/>
      <c r="C1571" s="842"/>
      <c r="D1571" s="842"/>
      <c r="E1571" s="842"/>
      <c r="F1571" s="1135"/>
      <c r="G1571" s="1135"/>
      <c r="H1571" s="843"/>
      <c r="I1571" s="841"/>
      <c r="J1571" s="1135"/>
      <c r="K1571" s="841"/>
      <c r="L1571" s="841"/>
      <c r="M1571" s="841"/>
      <c r="N1571" s="841"/>
      <c r="O1571" s="841"/>
      <c r="P1571" s="841"/>
      <c r="Q1571" s="841"/>
      <c r="R1571" s="841"/>
    </row>
    <row r="1572" spans="2:18">
      <c r="B1572" s="841"/>
      <c r="C1572" s="842"/>
      <c r="D1572" s="842"/>
      <c r="E1572" s="842"/>
      <c r="F1572" s="1135"/>
      <c r="G1572" s="1135"/>
      <c r="H1572" s="843"/>
      <c r="I1572" s="841"/>
      <c r="J1572" s="1135"/>
      <c r="K1572" s="841"/>
      <c r="L1572" s="841"/>
      <c r="M1572" s="841"/>
      <c r="N1572" s="841"/>
      <c r="O1572" s="841"/>
      <c r="P1572" s="841"/>
      <c r="Q1572" s="841"/>
      <c r="R1572" s="841"/>
    </row>
    <row r="1573" spans="2:18">
      <c r="B1573" s="841"/>
      <c r="C1573" s="842"/>
      <c r="D1573" s="842"/>
      <c r="E1573" s="842"/>
      <c r="F1573" s="1135"/>
      <c r="G1573" s="1135"/>
      <c r="H1573" s="843"/>
      <c r="I1573" s="841"/>
      <c r="J1573" s="1135"/>
      <c r="K1573" s="841"/>
      <c r="L1573" s="841"/>
      <c r="M1573" s="841"/>
      <c r="N1573" s="841"/>
      <c r="O1573" s="841"/>
      <c r="P1573" s="841"/>
      <c r="Q1573" s="841"/>
      <c r="R1573" s="841"/>
    </row>
    <row r="1574" spans="2:18">
      <c r="B1574" s="841"/>
      <c r="C1574" s="842"/>
      <c r="D1574" s="842"/>
      <c r="E1574" s="842"/>
      <c r="F1574" s="1135"/>
      <c r="G1574" s="1135"/>
      <c r="H1574" s="843"/>
      <c r="I1574" s="841"/>
      <c r="J1574" s="1135"/>
      <c r="K1574" s="841"/>
      <c r="L1574" s="841"/>
      <c r="M1574" s="841"/>
      <c r="N1574" s="841"/>
      <c r="O1574" s="841"/>
      <c r="P1574" s="841"/>
      <c r="Q1574" s="841"/>
      <c r="R1574" s="841"/>
    </row>
    <row r="1575" spans="2:18">
      <c r="B1575" s="841"/>
      <c r="C1575" s="842"/>
      <c r="D1575" s="842"/>
      <c r="E1575" s="842"/>
      <c r="F1575" s="1135"/>
      <c r="G1575" s="1135"/>
      <c r="H1575" s="843"/>
      <c r="I1575" s="841"/>
      <c r="J1575" s="1135"/>
      <c r="K1575" s="841"/>
      <c r="L1575" s="841"/>
      <c r="M1575" s="841"/>
      <c r="N1575" s="841"/>
      <c r="O1575" s="841"/>
      <c r="P1575" s="841"/>
      <c r="Q1575" s="841"/>
      <c r="R1575" s="841"/>
    </row>
    <row r="1576" spans="2:18">
      <c r="B1576" s="841"/>
      <c r="C1576" s="842"/>
      <c r="D1576" s="842"/>
      <c r="E1576" s="842"/>
      <c r="F1576" s="1135"/>
      <c r="G1576" s="1135"/>
      <c r="H1576" s="843"/>
      <c r="I1576" s="841"/>
      <c r="J1576" s="1135"/>
      <c r="K1576" s="841"/>
      <c r="L1576" s="841"/>
      <c r="M1576" s="841"/>
      <c r="N1576" s="841"/>
      <c r="O1576" s="841"/>
      <c r="P1576" s="841"/>
      <c r="Q1576" s="841"/>
      <c r="R1576" s="841"/>
    </row>
    <row r="1577" spans="2:18">
      <c r="B1577" s="841"/>
      <c r="C1577" s="842"/>
      <c r="D1577" s="842"/>
      <c r="E1577" s="842"/>
      <c r="F1577" s="1135"/>
      <c r="G1577" s="1135"/>
      <c r="H1577" s="843"/>
      <c r="I1577" s="841"/>
      <c r="J1577" s="1135"/>
      <c r="K1577" s="841"/>
      <c r="L1577" s="841"/>
      <c r="M1577" s="841"/>
      <c r="N1577" s="841"/>
      <c r="O1577" s="841"/>
      <c r="P1577" s="841"/>
      <c r="Q1577" s="841"/>
      <c r="R1577" s="841"/>
    </row>
    <row r="1578" spans="2:18">
      <c r="B1578" s="841"/>
      <c r="C1578" s="842"/>
      <c r="D1578" s="842"/>
      <c r="E1578" s="842"/>
      <c r="F1578" s="1135"/>
      <c r="G1578" s="1135"/>
      <c r="H1578" s="843"/>
      <c r="I1578" s="841"/>
      <c r="J1578" s="1135"/>
      <c r="K1578" s="841"/>
      <c r="L1578" s="841"/>
      <c r="M1578" s="841"/>
      <c r="N1578" s="841"/>
      <c r="O1578" s="841"/>
      <c r="P1578" s="841"/>
      <c r="Q1578" s="841"/>
      <c r="R1578" s="841"/>
    </row>
    <row r="1579" spans="2:18">
      <c r="B1579" s="841"/>
      <c r="C1579" s="842"/>
      <c r="D1579" s="842"/>
      <c r="E1579" s="842"/>
      <c r="F1579" s="1135"/>
      <c r="G1579" s="1135"/>
      <c r="H1579" s="843"/>
      <c r="I1579" s="841"/>
      <c r="J1579" s="1135"/>
      <c r="K1579" s="841"/>
      <c r="L1579" s="841"/>
      <c r="M1579" s="841"/>
      <c r="N1579" s="841"/>
      <c r="O1579" s="841"/>
      <c r="P1579" s="841"/>
      <c r="Q1579" s="841"/>
      <c r="R1579" s="841"/>
    </row>
    <row r="1580" spans="2:18">
      <c r="B1580" s="841"/>
      <c r="C1580" s="842"/>
      <c r="D1580" s="842"/>
      <c r="E1580" s="842"/>
      <c r="F1580" s="1135"/>
      <c r="G1580" s="1135"/>
      <c r="H1580" s="843"/>
      <c r="I1580" s="841"/>
      <c r="J1580" s="1135"/>
      <c r="K1580" s="841"/>
      <c r="L1580" s="841"/>
      <c r="M1580" s="841"/>
      <c r="N1580" s="841"/>
      <c r="O1580" s="841"/>
      <c r="P1580" s="841"/>
      <c r="Q1580" s="841"/>
      <c r="R1580" s="841"/>
    </row>
    <row r="1581" spans="2:18">
      <c r="B1581" s="841"/>
      <c r="C1581" s="842"/>
      <c r="D1581" s="842"/>
      <c r="E1581" s="842"/>
      <c r="F1581" s="1135"/>
      <c r="G1581" s="1135"/>
      <c r="H1581" s="843"/>
      <c r="I1581" s="841"/>
      <c r="J1581" s="1135"/>
      <c r="K1581" s="841"/>
      <c r="L1581" s="841"/>
      <c r="M1581" s="841"/>
      <c r="N1581" s="841"/>
      <c r="O1581" s="841"/>
      <c r="P1581" s="841"/>
      <c r="Q1581" s="841"/>
      <c r="R1581" s="841"/>
    </row>
    <row r="1582" spans="2:18">
      <c r="B1582" s="841"/>
      <c r="C1582" s="842"/>
      <c r="D1582" s="842"/>
      <c r="E1582" s="842"/>
      <c r="F1582" s="1135"/>
      <c r="G1582" s="1135"/>
      <c r="H1582" s="843"/>
      <c r="I1582" s="841"/>
      <c r="J1582" s="1135"/>
      <c r="K1582" s="841"/>
      <c r="L1582" s="841"/>
      <c r="M1582" s="841"/>
      <c r="N1582" s="841"/>
      <c r="O1582" s="841"/>
      <c r="P1582" s="841"/>
      <c r="Q1582" s="841"/>
      <c r="R1582" s="841"/>
    </row>
    <row r="1583" spans="2:18">
      <c r="B1583" s="841"/>
      <c r="C1583" s="842"/>
      <c r="D1583" s="842"/>
      <c r="E1583" s="842"/>
      <c r="F1583" s="1135"/>
      <c r="G1583" s="1135"/>
      <c r="H1583" s="843"/>
      <c r="I1583" s="841"/>
      <c r="J1583" s="1135"/>
      <c r="K1583" s="841"/>
      <c r="L1583" s="841"/>
      <c r="M1583" s="841"/>
      <c r="N1583" s="841"/>
      <c r="O1583" s="841"/>
      <c r="P1583" s="841"/>
      <c r="Q1583" s="841"/>
      <c r="R1583" s="841"/>
    </row>
    <row r="1584" spans="2:18">
      <c r="B1584" s="841"/>
      <c r="C1584" s="842"/>
      <c r="D1584" s="842"/>
      <c r="E1584" s="842"/>
      <c r="F1584" s="1135"/>
      <c r="G1584" s="1135"/>
      <c r="H1584" s="843"/>
      <c r="I1584" s="841"/>
      <c r="J1584" s="1135"/>
      <c r="K1584" s="841"/>
      <c r="L1584" s="841"/>
      <c r="M1584" s="841"/>
      <c r="N1584" s="841"/>
      <c r="O1584" s="841"/>
      <c r="P1584" s="841"/>
      <c r="Q1584" s="841"/>
      <c r="R1584" s="841"/>
    </row>
    <row r="1585" spans="2:18">
      <c r="B1585" s="841"/>
      <c r="C1585" s="842"/>
      <c r="D1585" s="842"/>
      <c r="E1585" s="842"/>
      <c r="F1585" s="1135"/>
      <c r="G1585" s="1135"/>
      <c r="H1585" s="843"/>
      <c r="I1585" s="841"/>
      <c r="J1585" s="1135"/>
      <c r="K1585" s="841"/>
      <c r="L1585" s="841"/>
      <c r="M1585" s="841"/>
      <c r="N1585" s="841"/>
      <c r="O1585" s="841"/>
      <c r="P1585" s="841"/>
      <c r="Q1585" s="841"/>
      <c r="R1585" s="841"/>
    </row>
    <row r="1586" spans="2:18">
      <c r="B1586" s="841"/>
      <c r="C1586" s="842"/>
      <c r="D1586" s="842"/>
      <c r="E1586" s="842"/>
      <c r="F1586" s="1135"/>
      <c r="G1586" s="1135"/>
      <c r="H1586" s="843"/>
      <c r="I1586" s="841"/>
      <c r="J1586" s="1135"/>
      <c r="K1586" s="841"/>
      <c r="L1586" s="841"/>
      <c r="M1586" s="841"/>
      <c r="N1586" s="841"/>
      <c r="O1586" s="841"/>
      <c r="P1586" s="841"/>
      <c r="Q1586" s="841"/>
      <c r="R1586" s="841"/>
    </row>
    <row r="1587" spans="2:18">
      <c r="B1587" s="841"/>
      <c r="C1587" s="842"/>
      <c r="D1587" s="842"/>
      <c r="E1587" s="842"/>
      <c r="F1587" s="1135"/>
      <c r="G1587" s="1135"/>
      <c r="H1587" s="843"/>
      <c r="I1587" s="841"/>
      <c r="J1587" s="1135"/>
      <c r="K1587" s="841"/>
      <c r="L1587" s="841"/>
      <c r="M1587" s="841"/>
      <c r="N1587" s="841"/>
      <c r="O1587" s="841"/>
      <c r="P1587" s="841"/>
      <c r="Q1587" s="841"/>
      <c r="R1587" s="841"/>
    </row>
    <row r="1588" spans="2:18">
      <c r="B1588" s="841"/>
      <c r="C1588" s="842"/>
      <c r="D1588" s="842"/>
      <c r="E1588" s="842"/>
      <c r="F1588" s="1135"/>
      <c r="G1588" s="1135"/>
      <c r="H1588" s="843"/>
      <c r="I1588" s="841"/>
      <c r="J1588" s="1135"/>
      <c r="K1588" s="841"/>
      <c r="L1588" s="841"/>
      <c r="M1588" s="841"/>
      <c r="N1588" s="841"/>
      <c r="O1588" s="841"/>
      <c r="P1588" s="841"/>
      <c r="Q1588" s="841"/>
      <c r="R1588" s="841"/>
    </row>
    <row r="1589" spans="2:18">
      <c r="B1589" s="841"/>
      <c r="C1589" s="842"/>
      <c r="D1589" s="842"/>
      <c r="E1589" s="842"/>
      <c r="F1589" s="1135"/>
      <c r="G1589" s="1135"/>
      <c r="H1589" s="843"/>
      <c r="I1589" s="841"/>
      <c r="J1589" s="1135"/>
      <c r="K1589" s="841"/>
      <c r="L1589" s="841"/>
      <c r="M1589" s="841"/>
      <c r="N1589" s="841"/>
      <c r="O1589" s="841"/>
      <c r="P1589" s="841"/>
      <c r="Q1589" s="841"/>
      <c r="R1589" s="841"/>
    </row>
    <row r="1590" spans="2:18">
      <c r="B1590" s="841"/>
      <c r="C1590" s="842"/>
      <c r="D1590" s="842"/>
      <c r="E1590" s="842"/>
      <c r="F1590" s="1135"/>
      <c r="G1590" s="1135"/>
      <c r="H1590" s="843"/>
      <c r="I1590" s="841"/>
      <c r="J1590" s="1135"/>
      <c r="K1590" s="841"/>
      <c r="L1590" s="841"/>
      <c r="M1590" s="841"/>
      <c r="N1590" s="841"/>
      <c r="O1590" s="841"/>
      <c r="P1590" s="841"/>
      <c r="Q1590" s="841"/>
      <c r="R1590" s="841"/>
    </row>
    <row r="1591" spans="2:18">
      <c r="B1591" s="841"/>
      <c r="C1591" s="842"/>
      <c r="D1591" s="842"/>
      <c r="E1591" s="842"/>
      <c r="F1591" s="1135"/>
      <c r="G1591" s="1135"/>
      <c r="H1591" s="843"/>
      <c r="I1591" s="841"/>
      <c r="J1591" s="1135"/>
      <c r="K1591" s="841"/>
      <c r="L1591" s="841"/>
      <c r="M1591" s="841"/>
      <c r="N1591" s="841"/>
      <c r="O1591" s="841"/>
      <c r="P1591" s="841"/>
      <c r="Q1591" s="841"/>
      <c r="R1591" s="841"/>
    </row>
    <row r="1592" spans="2:18">
      <c r="B1592" s="841"/>
      <c r="C1592" s="842"/>
      <c r="D1592" s="842"/>
      <c r="E1592" s="842"/>
      <c r="F1592" s="1135"/>
      <c r="G1592" s="1135"/>
      <c r="H1592" s="843"/>
      <c r="I1592" s="841"/>
      <c r="J1592" s="1135"/>
      <c r="K1592" s="841"/>
      <c r="L1592" s="841"/>
      <c r="M1592" s="841"/>
      <c r="N1592" s="841"/>
      <c r="O1592" s="841"/>
      <c r="P1592" s="841"/>
      <c r="Q1592" s="841"/>
      <c r="R1592" s="841"/>
    </row>
    <row r="1593" spans="2:18">
      <c r="B1593" s="841"/>
      <c r="C1593" s="842"/>
      <c r="D1593" s="842"/>
      <c r="E1593" s="842"/>
      <c r="F1593" s="1135"/>
      <c r="G1593" s="1135"/>
      <c r="H1593" s="843"/>
      <c r="I1593" s="841"/>
      <c r="J1593" s="1135"/>
      <c r="K1593" s="841"/>
      <c r="L1593" s="841"/>
      <c r="M1593" s="841"/>
      <c r="N1593" s="841"/>
      <c r="O1593" s="841"/>
      <c r="P1593" s="841"/>
      <c r="Q1593" s="841"/>
      <c r="R1593" s="841"/>
    </row>
    <row r="1594" spans="2:18">
      <c r="B1594" s="841"/>
      <c r="C1594" s="842"/>
      <c r="D1594" s="842"/>
      <c r="E1594" s="842"/>
      <c r="F1594" s="1135"/>
      <c r="G1594" s="1135"/>
      <c r="H1594" s="843"/>
      <c r="I1594" s="841"/>
      <c r="J1594" s="1135"/>
      <c r="K1594" s="841"/>
      <c r="L1594" s="841"/>
      <c r="M1594" s="841"/>
      <c r="N1594" s="841"/>
      <c r="O1594" s="841"/>
      <c r="P1594" s="841"/>
      <c r="Q1594" s="841"/>
      <c r="R1594" s="841"/>
    </row>
    <row r="1595" spans="2:18">
      <c r="B1595" s="841"/>
      <c r="C1595" s="842"/>
      <c r="D1595" s="842"/>
      <c r="E1595" s="842"/>
      <c r="F1595" s="1135"/>
      <c r="G1595" s="1135"/>
      <c r="H1595" s="843"/>
      <c r="I1595" s="841"/>
      <c r="J1595" s="1135"/>
      <c r="K1595" s="841"/>
      <c r="L1595" s="841"/>
      <c r="M1595" s="841"/>
      <c r="N1595" s="841"/>
      <c r="O1595" s="841"/>
      <c r="P1595" s="841"/>
      <c r="Q1595" s="841"/>
      <c r="R1595" s="841"/>
    </row>
    <row r="1596" spans="2:18">
      <c r="B1596" s="841"/>
      <c r="C1596" s="842"/>
      <c r="D1596" s="842"/>
      <c r="E1596" s="842"/>
      <c r="F1596" s="1135"/>
      <c r="G1596" s="1135"/>
      <c r="H1596" s="843"/>
      <c r="I1596" s="841"/>
      <c r="J1596" s="1135"/>
      <c r="K1596" s="841"/>
      <c r="L1596" s="841"/>
      <c r="M1596" s="841"/>
      <c r="N1596" s="841"/>
      <c r="O1596" s="841"/>
      <c r="P1596" s="841"/>
      <c r="Q1596" s="841"/>
      <c r="R1596" s="841"/>
    </row>
    <row r="1597" spans="2:18">
      <c r="B1597" s="841"/>
      <c r="C1597" s="842"/>
      <c r="D1597" s="842"/>
      <c r="E1597" s="842"/>
      <c r="F1597" s="1135"/>
      <c r="G1597" s="1135"/>
      <c r="H1597" s="843"/>
      <c r="I1597" s="841"/>
      <c r="J1597" s="1135"/>
      <c r="K1597" s="841"/>
      <c r="L1597" s="841"/>
      <c r="M1597" s="841"/>
      <c r="N1597" s="841"/>
      <c r="O1597" s="841"/>
      <c r="P1597" s="841"/>
      <c r="Q1597" s="841"/>
      <c r="R1597" s="841"/>
    </row>
    <row r="1598" spans="2:18">
      <c r="B1598" s="841"/>
      <c r="C1598" s="842"/>
      <c r="D1598" s="842"/>
      <c r="E1598" s="842"/>
      <c r="F1598" s="1135"/>
      <c r="G1598" s="1135"/>
      <c r="H1598" s="843"/>
      <c r="I1598" s="841"/>
      <c r="J1598" s="1135"/>
      <c r="K1598" s="841"/>
      <c r="L1598" s="841"/>
      <c r="M1598" s="841"/>
      <c r="N1598" s="841"/>
      <c r="O1598" s="841"/>
      <c r="P1598" s="841"/>
      <c r="Q1598" s="841"/>
      <c r="R1598" s="841"/>
    </row>
    <row r="1599" spans="2:18">
      <c r="B1599" s="841"/>
      <c r="C1599" s="842"/>
      <c r="D1599" s="842"/>
      <c r="E1599" s="842"/>
      <c r="F1599" s="1135"/>
      <c r="G1599" s="1135"/>
      <c r="H1599" s="843"/>
      <c r="I1599" s="841"/>
      <c r="J1599" s="1135"/>
      <c r="K1599" s="841"/>
      <c r="L1599" s="841"/>
      <c r="M1599" s="841"/>
      <c r="N1599" s="841"/>
      <c r="O1599" s="841"/>
      <c r="P1599" s="841"/>
      <c r="Q1599" s="841"/>
      <c r="R1599" s="841"/>
    </row>
    <row r="1600" spans="2:18">
      <c r="B1600" s="841"/>
      <c r="C1600" s="842"/>
      <c r="D1600" s="842"/>
      <c r="E1600" s="842"/>
      <c r="F1600" s="1135"/>
      <c r="G1600" s="1135"/>
      <c r="H1600" s="843"/>
      <c r="I1600" s="841"/>
      <c r="J1600" s="1135"/>
      <c r="K1600" s="841"/>
      <c r="L1600" s="841"/>
      <c r="M1600" s="841"/>
      <c r="N1600" s="841"/>
      <c r="O1600" s="841"/>
      <c r="P1600" s="841"/>
      <c r="Q1600" s="841"/>
      <c r="R1600" s="841"/>
    </row>
    <row r="1601" spans="2:18">
      <c r="B1601" s="841"/>
      <c r="C1601" s="842"/>
      <c r="D1601" s="842"/>
      <c r="E1601" s="842"/>
      <c r="F1601" s="1135"/>
      <c r="G1601" s="1135"/>
      <c r="H1601" s="843"/>
      <c r="I1601" s="841"/>
      <c r="J1601" s="1135"/>
      <c r="K1601" s="841"/>
      <c r="L1601" s="841"/>
      <c r="M1601" s="841"/>
      <c r="N1601" s="841"/>
      <c r="O1601" s="841"/>
      <c r="P1601" s="841"/>
      <c r="Q1601" s="841"/>
      <c r="R1601" s="841"/>
    </row>
    <row r="1602" spans="2:18">
      <c r="B1602" s="841"/>
      <c r="C1602" s="842"/>
      <c r="D1602" s="842"/>
      <c r="E1602" s="842"/>
      <c r="F1602" s="1135"/>
      <c r="G1602" s="1135"/>
      <c r="H1602" s="843"/>
      <c r="I1602" s="841"/>
      <c r="J1602" s="1135"/>
      <c r="K1602" s="841"/>
      <c r="L1602" s="841"/>
      <c r="M1602" s="841"/>
      <c r="N1602" s="841"/>
      <c r="O1602" s="841"/>
      <c r="P1602" s="841"/>
      <c r="Q1602" s="841"/>
      <c r="R1602" s="841"/>
    </row>
    <row r="1603" spans="2:18">
      <c r="B1603" s="841"/>
      <c r="C1603" s="842"/>
      <c r="D1603" s="842"/>
      <c r="E1603" s="842"/>
      <c r="F1603" s="1135"/>
      <c r="G1603" s="1135"/>
      <c r="H1603" s="843"/>
      <c r="I1603" s="841"/>
      <c r="J1603" s="1135"/>
      <c r="K1603" s="841"/>
      <c r="L1603" s="841"/>
      <c r="M1603" s="841"/>
      <c r="N1603" s="841"/>
      <c r="O1603" s="841"/>
      <c r="P1603" s="841"/>
      <c r="Q1603" s="841"/>
      <c r="R1603" s="841"/>
    </row>
    <row r="1604" spans="2:18">
      <c r="B1604" s="841"/>
      <c r="C1604" s="842"/>
      <c r="D1604" s="842"/>
      <c r="E1604" s="842"/>
      <c r="F1604" s="1135"/>
      <c r="G1604" s="1135"/>
      <c r="H1604" s="843"/>
      <c r="I1604" s="841"/>
      <c r="J1604" s="1135"/>
      <c r="K1604" s="841"/>
      <c r="L1604" s="841"/>
      <c r="M1604" s="841"/>
      <c r="N1604" s="841"/>
      <c r="O1604" s="841"/>
      <c r="P1604" s="841"/>
      <c r="Q1604" s="841"/>
      <c r="R1604" s="841"/>
    </row>
    <row r="1605" spans="2:18">
      <c r="B1605" s="841"/>
      <c r="C1605" s="842"/>
      <c r="D1605" s="842"/>
      <c r="E1605" s="842"/>
      <c r="F1605" s="1135"/>
      <c r="G1605" s="1135"/>
      <c r="H1605" s="843"/>
      <c r="I1605" s="841"/>
      <c r="J1605" s="1135"/>
      <c r="K1605" s="841"/>
      <c r="L1605" s="841"/>
      <c r="M1605" s="841"/>
      <c r="N1605" s="841"/>
      <c r="O1605" s="841"/>
      <c r="P1605" s="841"/>
      <c r="Q1605" s="841"/>
      <c r="R1605" s="841"/>
    </row>
    <row r="1606" spans="2:18">
      <c r="B1606" s="841"/>
      <c r="C1606" s="842"/>
      <c r="D1606" s="842"/>
      <c r="E1606" s="842"/>
      <c r="F1606" s="1135"/>
      <c r="G1606" s="1135"/>
      <c r="H1606" s="843"/>
      <c r="I1606" s="841"/>
      <c r="J1606" s="1135"/>
      <c r="K1606" s="841"/>
      <c r="L1606" s="841"/>
      <c r="M1606" s="841"/>
      <c r="N1606" s="841"/>
      <c r="O1606" s="841"/>
      <c r="P1606" s="841"/>
      <c r="Q1606" s="841"/>
      <c r="R1606" s="841"/>
    </row>
    <row r="1607" spans="2:18">
      <c r="B1607" s="841"/>
      <c r="C1607" s="842"/>
      <c r="D1607" s="842"/>
      <c r="E1607" s="842"/>
      <c r="F1607" s="1135"/>
      <c r="G1607" s="1135"/>
      <c r="H1607" s="843"/>
      <c r="I1607" s="841"/>
      <c r="J1607" s="1135"/>
      <c r="K1607" s="841"/>
      <c r="L1607" s="841"/>
      <c r="M1607" s="841"/>
      <c r="N1607" s="841"/>
      <c r="O1607" s="841"/>
      <c r="P1607" s="841"/>
      <c r="Q1607" s="841"/>
      <c r="R1607" s="841"/>
    </row>
    <row r="1608" spans="2:18">
      <c r="B1608" s="841"/>
      <c r="C1608" s="842"/>
      <c r="D1608" s="842"/>
      <c r="E1608" s="842"/>
      <c r="F1608" s="1135"/>
      <c r="G1608" s="1135"/>
      <c r="H1608" s="843"/>
      <c r="I1608" s="841"/>
      <c r="J1608" s="1135"/>
      <c r="K1608" s="841"/>
      <c r="L1608" s="841"/>
      <c r="M1608" s="841"/>
      <c r="N1608" s="841"/>
      <c r="O1608" s="841"/>
      <c r="P1608" s="841"/>
      <c r="Q1608" s="841"/>
      <c r="R1608" s="841"/>
    </row>
    <row r="1609" spans="2:18">
      <c r="B1609" s="841"/>
      <c r="C1609" s="842"/>
      <c r="D1609" s="842"/>
      <c r="E1609" s="842"/>
      <c r="F1609" s="1135"/>
      <c r="G1609" s="1135"/>
      <c r="H1609" s="843"/>
      <c r="I1609" s="841"/>
      <c r="J1609" s="1135"/>
      <c r="K1609" s="841"/>
      <c r="L1609" s="841"/>
      <c r="M1609" s="841"/>
      <c r="N1609" s="841"/>
      <c r="O1609" s="841"/>
      <c r="P1609" s="841"/>
      <c r="Q1609" s="841"/>
      <c r="R1609" s="841"/>
    </row>
    <row r="1610" spans="2:18">
      <c r="B1610" s="841"/>
      <c r="C1610" s="842"/>
      <c r="D1610" s="842"/>
      <c r="E1610" s="842"/>
      <c r="F1610" s="1135"/>
      <c r="G1610" s="1135"/>
      <c r="H1610" s="843"/>
      <c r="I1610" s="841"/>
      <c r="J1610" s="1135"/>
      <c r="K1610" s="841"/>
      <c r="L1610" s="841"/>
      <c r="M1610" s="841"/>
      <c r="N1610" s="841"/>
      <c r="O1610" s="841"/>
      <c r="P1610" s="841"/>
      <c r="Q1610" s="841"/>
      <c r="R1610" s="841"/>
    </row>
    <row r="1611" spans="2:18">
      <c r="B1611" s="841"/>
      <c r="C1611" s="842"/>
      <c r="D1611" s="842"/>
      <c r="E1611" s="842"/>
      <c r="F1611" s="1135"/>
      <c r="G1611" s="1135"/>
      <c r="H1611" s="843"/>
      <c r="I1611" s="841"/>
      <c r="J1611" s="1135"/>
      <c r="K1611" s="841"/>
      <c r="L1611" s="841"/>
      <c r="M1611" s="841"/>
      <c r="N1611" s="841"/>
      <c r="O1611" s="841"/>
      <c r="P1611" s="841"/>
      <c r="Q1611" s="841"/>
      <c r="R1611" s="841"/>
    </row>
    <row r="1612" spans="2:18">
      <c r="B1612" s="841"/>
      <c r="C1612" s="842"/>
      <c r="D1612" s="842"/>
      <c r="E1612" s="842"/>
      <c r="F1612" s="1135"/>
      <c r="G1612" s="1135"/>
      <c r="H1612" s="843"/>
      <c r="I1612" s="841"/>
      <c r="J1612" s="1135"/>
      <c r="K1612" s="841"/>
      <c r="L1612" s="841"/>
      <c r="M1612" s="841"/>
      <c r="N1612" s="841"/>
      <c r="O1612" s="841"/>
      <c r="P1612" s="841"/>
      <c r="Q1612" s="841"/>
      <c r="R1612" s="841"/>
    </row>
    <row r="1613" spans="2:18">
      <c r="B1613" s="841"/>
      <c r="C1613" s="842"/>
      <c r="D1613" s="842"/>
      <c r="E1613" s="842"/>
      <c r="F1613" s="1135"/>
      <c r="G1613" s="1135"/>
      <c r="H1613" s="843"/>
      <c r="I1613" s="841"/>
      <c r="J1613" s="1135"/>
      <c r="K1613" s="841"/>
      <c r="L1613" s="841"/>
      <c r="M1613" s="841"/>
      <c r="N1613" s="841"/>
      <c r="O1613" s="841"/>
      <c r="P1613" s="841"/>
      <c r="Q1613" s="841"/>
      <c r="R1613" s="841"/>
    </row>
    <row r="1614" spans="2:18">
      <c r="B1614" s="841"/>
      <c r="C1614" s="842"/>
      <c r="D1614" s="842"/>
      <c r="E1614" s="842"/>
      <c r="F1614" s="1135"/>
      <c r="G1614" s="1135"/>
      <c r="H1614" s="843"/>
      <c r="I1614" s="841"/>
      <c r="J1614" s="1135"/>
      <c r="K1614" s="841"/>
      <c r="L1614" s="841"/>
      <c r="M1614" s="841"/>
      <c r="N1614" s="841"/>
      <c r="O1614" s="841"/>
      <c r="P1614" s="841"/>
      <c r="Q1614" s="841"/>
      <c r="R1614" s="841"/>
    </row>
    <row r="1615" spans="2:18">
      <c r="B1615" s="841"/>
      <c r="C1615" s="842"/>
      <c r="D1615" s="842"/>
      <c r="E1615" s="842"/>
      <c r="F1615" s="1135"/>
      <c r="G1615" s="1135"/>
      <c r="H1615" s="843"/>
      <c r="I1615" s="841"/>
      <c r="J1615" s="1135"/>
      <c r="K1615" s="841"/>
      <c r="L1615" s="841"/>
      <c r="M1615" s="841"/>
      <c r="N1615" s="841"/>
      <c r="O1615" s="841"/>
      <c r="P1615" s="841"/>
      <c r="Q1615" s="841"/>
      <c r="R1615" s="841"/>
    </row>
    <row r="1616" spans="2:18">
      <c r="B1616" s="841"/>
      <c r="C1616" s="842"/>
      <c r="D1616" s="842"/>
      <c r="E1616" s="842"/>
      <c r="F1616" s="1135"/>
      <c r="G1616" s="1135"/>
      <c r="H1616" s="843"/>
      <c r="I1616" s="841"/>
      <c r="J1616" s="1135"/>
      <c r="K1616" s="841"/>
      <c r="L1616" s="841"/>
      <c r="M1616" s="841"/>
      <c r="N1616" s="841"/>
      <c r="O1616" s="841"/>
      <c r="P1616" s="841"/>
      <c r="Q1616" s="841"/>
      <c r="R1616" s="841"/>
    </row>
    <row r="1617" spans="2:18">
      <c r="B1617" s="841"/>
      <c r="C1617" s="842"/>
      <c r="D1617" s="842"/>
      <c r="E1617" s="842"/>
      <c r="F1617" s="1135"/>
      <c r="G1617" s="1135"/>
      <c r="H1617" s="843"/>
      <c r="I1617" s="841"/>
      <c r="J1617" s="1135"/>
      <c r="K1617" s="841"/>
      <c r="L1617" s="841"/>
      <c r="M1617" s="841"/>
      <c r="N1617" s="841"/>
      <c r="O1617" s="841"/>
      <c r="P1617" s="841"/>
      <c r="Q1617" s="841"/>
      <c r="R1617" s="841"/>
    </row>
    <row r="1618" spans="2:18">
      <c r="B1618" s="841"/>
      <c r="C1618" s="842"/>
      <c r="D1618" s="842"/>
      <c r="E1618" s="842"/>
      <c r="F1618" s="1135"/>
      <c r="G1618" s="1135"/>
      <c r="H1618" s="843"/>
      <c r="I1618" s="841"/>
      <c r="J1618" s="1135"/>
      <c r="K1618" s="841"/>
      <c r="L1618" s="841"/>
      <c r="M1618" s="841"/>
      <c r="N1618" s="841"/>
      <c r="O1618" s="841"/>
      <c r="P1618" s="841"/>
      <c r="Q1618" s="841"/>
      <c r="R1618" s="841"/>
    </row>
    <row r="1619" spans="2:18">
      <c r="B1619" s="841"/>
      <c r="C1619" s="842"/>
      <c r="D1619" s="842"/>
      <c r="E1619" s="842"/>
      <c r="F1619" s="1135"/>
      <c r="G1619" s="1135"/>
      <c r="H1619" s="843"/>
      <c r="I1619" s="841"/>
      <c r="J1619" s="1135"/>
      <c r="K1619" s="841"/>
      <c r="L1619" s="841"/>
      <c r="M1619" s="841"/>
      <c r="N1619" s="841"/>
      <c r="O1619" s="841"/>
      <c r="P1619" s="841"/>
      <c r="Q1619" s="841"/>
      <c r="R1619" s="841"/>
    </row>
    <row r="1620" spans="2:18">
      <c r="B1620" s="841"/>
      <c r="C1620" s="842"/>
      <c r="D1620" s="842"/>
      <c r="E1620" s="842"/>
      <c r="F1620" s="1135"/>
      <c r="G1620" s="1135"/>
      <c r="H1620" s="843"/>
      <c r="I1620" s="841"/>
      <c r="J1620" s="1135"/>
      <c r="K1620" s="841"/>
      <c r="L1620" s="841"/>
      <c r="M1620" s="841"/>
      <c r="N1620" s="841"/>
      <c r="O1620" s="841"/>
      <c r="P1620" s="841"/>
      <c r="Q1620" s="841"/>
      <c r="R1620" s="841"/>
    </row>
    <row r="1621" spans="2:18">
      <c r="B1621" s="841"/>
      <c r="C1621" s="842"/>
      <c r="D1621" s="842"/>
      <c r="E1621" s="842"/>
      <c r="F1621" s="1135"/>
      <c r="G1621" s="1135"/>
      <c r="H1621" s="843"/>
      <c r="I1621" s="841"/>
      <c r="J1621" s="1135"/>
      <c r="K1621" s="841"/>
      <c r="L1621" s="841"/>
      <c r="M1621" s="841"/>
      <c r="N1621" s="841"/>
      <c r="O1621" s="841"/>
      <c r="P1621" s="841"/>
      <c r="Q1621" s="841"/>
      <c r="R1621" s="841"/>
    </row>
    <row r="1622" spans="2:18">
      <c r="B1622" s="841"/>
      <c r="C1622" s="842"/>
      <c r="D1622" s="842"/>
      <c r="E1622" s="842"/>
      <c r="F1622" s="1135"/>
      <c r="G1622" s="1135"/>
      <c r="H1622" s="843"/>
      <c r="I1622" s="841"/>
      <c r="J1622" s="1135"/>
      <c r="K1622" s="841"/>
      <c r="L1622" s="841"/>
      <c r="M1622" s="841"/>
      <c r="N1622" s="841"/>
      <c r="O1622" s="841"/>
      <c r="P1622" s="841"/>
      <c r="Q1622" s="841"/>
      <c r="R1622" s="841"/>
    </row>
    <row r="1623" spans="2:18">
      <c r="B1623" s="841"/>
      <c r="C1623" s="842"/>
      <c r="D1623" s="842"/>
      <c r="E1623" s="842"/>
      <c r="F1623" s="1135"/>
      <c r="G1623" s="1135"/>
      <c r="H1623" s="843"/>
      <c r="I1623" s="841"/>
      <c r="J1623" s="1135"/>
      <c r="K1623" s="841"/>
      <c r="L1623" s="841"/>
      <c r="M1623" s="841"/>
      <c r="N1623" s="841"/>
      <c r="O1623" s="841"/>
      <c r="P1623" s="841"/>
      <c r="Q1623" s="841"/>
      <c r="R1623" s="841"/>
    </row>
    <row r="1624" spans="2:18">
      <c r="B1624" s="841"/>
      <c r="C1624" s="842"/>
      <c r="D1624" s="842"/>
      <c r="E1624" s="842"/>
      <c r="F1624" s="1135"/>
      <c r="G1624" s="1135"/>
      <c r="H1624" s="843"/>
      <c r="I1624" s="841"/>
      <c r="J1624" s="1135"/>
      <c r="K1624" s="841"/>
      <c r="L1624" s="841"/>
      <c r="M1624" s="841"/>
      <c r="N1624" s="841"/>
      <c r="O1624" s="841"/>
      <c r="P1624" s="841"/>
      <c r="Q1624" s="841"/>
      <c r="R1624" s="841"/>
    </row>
    <row r="1625" spans="2:18">
      <c r="B1625" s="841"/>
      <c r="C1625" s="842"/>
      <c r="D1625" s="842"/>
      <c r="E1625" s="842"/>
      <c r="F1625" s="1135"/>
      <c r="G1625" s="1135"/>
      <c r="H1625" s="843"/>
      <c r="I1625" s="841"/>
      <c r="J1625" s="1135"/>
      <c r="K1625" s="841"/>
      <c r="L1625" s="841"/>
      <c r="M1625" s="841"/>
      <c r="N1625" s="841"/>
      <c r="O1625" s="841"/>
      <c r="P1625" s="841"/>
      <c r="Q1625" s="841"/>
      <c r="R1625" s="841"/>
    </row>
    <row r="1626" spans="2:18">
      <c r="B1626" s="841"/>
      <c r="C1626" s="842"/>
      <c r="D1626" s="842"/>
      <c r="E1626" s="842"/>
      <c r="F1626" s="1135"/>
      <c r="G1626" s="1135"/>
      <c r="H1626" s="843"/>
      <c r="I1626" s="841"/>
      <c r="J1626" s="1135"/>
      <c r="K1626" s="841"/>
      <c r="L1626" s="841"/>
      <c r="M1626" s="841"/>
      <c r="N1626" s="841"/>
      <c r="O1626" s="841"/>
      <c r="P1626" s="841"/>
      <c r="Q1626" s="841"/>
      <c r="R1626" s="841"/>
    </row>
    <row r="1627" spans="2:18">
      <c r="B1627" s="841"/>
      <c r="C1627" s="842"/>
      <c r="D1627" s="842"/>
      <c r="E1627" s="842"/>
      <c r="F1627" s="1135"/>
      <c r="G1627" s="1135"/>
      <c r="H1627" s="843"/>
      <c r="I1627" s="841"/>
      <c r="J1627" s="1135"/>
      <c r="K1627" s="841"/>
      <c r="L1627" s="841"/>
      <c r="M1627" s="841"/>
      <c r="N1627" s="841"/>
      <c r="O1627" s="841"/>
      <c r="P1627" s="841"/>
      <c r="Q1627" s="841"/>
      <c r="R1627" s="841"/>
    </row>
    <row r="1628" spans="2:18">
      <c r="B1628" s="841"/>
      <c r="C1628" s="842"/>
      <c r="D1628" s="842"/>
      <c r="E1628" s="842"/>
      <c r="F1628" s="1135"/>
      <c r="G1628" s="1135"/>
      <c r="H1628" s="843"/>
      <c r="I1628" s="841"/>
      <c r="J1628" s="1135"/>
      <c r="K1628" s="841"/>
      <c r="L1628" s="841"/>
      <c r="M1628" s="841"/>
      <c r="N1628" s="841"/>
      <c r="O1628" s="841"/>
      <c r="P1628" s="841"/>
      <c r="Q1628" s="841"/>
      <c r="R1628" s="841"/>
    </row>
    <row r="1629" spans="2:18">
      <c r="B1629" s="841"/>
      <c r="C1629" s="842"/>
      <c r="D1629" s="842"/>
      <c r="E1629" s="842"/>
      <c r="F1629" s="1135"/>
      <c r="G1629" s="1135"/>
      <c r="H1629" s="843"/>
      <c r="I1629" s="841"/>
      <c r="J1629" s="1135"/>
      <c r="K1629" s="841"/>
      <c r="L1629" s="841"/>
      <c r="M1629" s="841"/>
      <c r="N1629" s="841"/>
      <c r="O1629" s="841"/>
      <c r="P1629" s="841"/>
      <c r="Q1629" s="841"/>
      <c r="R1629" s="841"/>
    </row>
    <row r="1630" spans="2:18">
      <c r="B1630" s="841"/>
      <c r="C1630" s="842"/>
      <c r="D1630" s="842"/>
      <c r="E1630" s="842"/>
      <c r="F1630" s="1135"/>
      <c r="G1630" s="1135"/>
      <c r="H1630" s="843"/>
      <c r="I1630" s="841"/>
      <c r="J1630" s="1135"/>
      <c r="K1630" s="841"/>
      <c r="L1630" s="841"/>
      <c r="M1630" s="841"/>
      <c r="N1630" s="841"/>
      <c r="O1630" s="841"/>
      <c r="P1630" s="841"/>
      <c r="Q1630" s="841"/>
      <c r="R1630" s="841"/>
    </row>
    <row r="1631" spans="2:18">
      <c r="B1631" s="841"/>
      <c r="C1631" s="842"/>
      <c r="D1631" s="842"/>
      <c r="E1631" s="842"/>
      <c r="F1631" s="1135"/>
      <c r="G1631" s="1135"/>
      <c r="H1631" s="843"/>
      <c r="I1631" s="841"/>
      <c r="J1631" s="1135"/>
      <c r="K1631" s="841"/>
      <c r="L1631" s="841"/>
      <c r="M1631" s="841"/>
      <c r="N1631" s="841"/>
      <c r="O1631" s="841"/>
      <c r="P1631" s="841"/>
      <c r="Q1631" s="841"/>
      <c r="R1631" s="841"/>
    </row>
    <row r="1632" spans="2:18">
      <c r="B1632" s="841"/>
      <c r="C1632" s="842"/>
      <c r="D1632" s="842"/>
      <c r="E1632" s="842"/>
      <c r="F1632" s="1135"/>
      <c r="G1632" s="1135"/>
      <c r="H1632" s="843"/>
      <c r="I1632" s="841"/>
      <c r="J1632" s="1135"/>
      <c r="K1632" s="841"/>
      <c r="L1632" s="841"/>
      <c r="M1632" s="841"/>
      <c r="N1632" s="841"/>
      <c r="O1632" s="841"/>
      <c r="P1632" s="841"/>
      <c r="Q1632" s="841"/>
      <c r="R1632" s="841"/>
    </row>
    <row r="1633" spans="2:18">
      <c r="B1633" s="841"/>
      <c r="C1633" s="842"/>
      <c r="D1633" s="842"/>
      <c r="E1633" s="842"/>
      <c r="F1633" s="1135"/>
      <c r="G1633" s="1135"/>
      <c r="H1633" s="843"/>
      <c r="I1633" s="841"/>
      <c r="J1633" s="1135"/>
      <c r="K1633" s="841"/>
      <c r="L1633" s="841"/>
      <c r="M1633" s="841"/>
      <c r="N1633" s="841"/>
      <c r="O1633" s="841"/>
      <c r="P1633" s="841"/>
      <c r="Q1633" s="841"/>
      <c r="R1633" s="841"/>
    </row>
    <row r="1634" spans="2:18">
      <c r="B1634" s="841"/>
      <c r="C1634" s="842"/>
      <c r="D1634" s="842"/>
      <c r="E1634" s="842"/>
      <c r="F1634" s="1135"/>
      <c r="G1634" s="1135"/>
      <c r="H1634" s="843"/>
      <c r="I1634" s="841"/>
      <c r="J1634" s="1135"/>
      <c r="K1634" s="841"/>
      <c r="L1634" s="841"/>
      <c r="M1634" s="841"/>
      <c r="N1634" s="841"/>
      <c r="O1634" s="841"/>
      <c r="P1634" s="841"/>
      <c r="Q1634" s="841"/>
      <c r="R1634" s="841"/>
    </row>
    <row r="1635" spans="2:18">
      <c r="B1635" s="841"/>
      <c r="C1635" s="842"/>
      <c r="D1635" s="842"/>
      <c r="E1635" s="842"/>
      <c r="F1635" s="1135"/>
      <c r="G1635" s="1135"/>
      <c r="H1635" s="843"/>
      <c r="I1635" s="841"/>
      <c r="J1635" s="1135"/>
      <c r="K1635" s="841"/>
      <c r="L1635" s="841"/>
      <c r="M1635" s="841"/>
      <c r="N1635" s="841"/>
      <c r="O1635" s="841"/>
      <c r="P1635" s="841"/>
      <c r="Q1635" s="841"/>
      <c r="R1635" s="841"/>
    </row>
    <row r="1636" spans="2:18">
      <c r="B1636" s="841"/>
      <c r="C1636" s="842"/>
      <c r="D1636" s="842"/>
      <c r="E1636" s="842"/>
      <c r="F1636" s="1135"/>
      <c r="G1636" s="1135"/>
      <c r="H1636" s="843"/>
      <c r="I1636" s="841"/>
      <c r="J1636" s="1135"/>
      <c r="K1636" s="841"/>
      <c r="L1636" s="841"/>
      <c r="M1636" s="841"/>
      <c r="N1636" s="841"/>
      <c r="O1636" s="841"/>
      <c r="P1636" s="841"/>
      <c r="Q1636" s="841"/>
      <c r="R1636" s="841"/>
    </row>
    <row r="1637" spans="2:18">
      <c r="B1637" s="841"/>
      <c r="C1637" s="842"/>
      <c r="D1637" s="842"/>
      <c r="E1637" s="842"/>
      <c r="F1637" s="1135"/>
      <c r="G1637" s="1135"/>
      <c r="H1637" s="843"/>
      <c r="I1637" s="841"/>
      <c r="J1637" s="1135"/>
      <c r="K1637" s="841"/>
      <c r="L1637" s="841"/>
      <c r="M1637" s="841"/>
      <c r="N1637" s="841"/>
      <c r="O1637" s="841"/>
      <c r="P1637" s="841"/>
      <c r="Q1637" s="841"/>
      <c r="R1637" s="841"/>
    </row>
    <row r="1638" spans="2:18">
      <c r="B1638" s="841"/>
      <c r="C1638" s="842"/>
      <c r="D1638" s="842"/>
      <c r="E1638" s="842"/>
      <c r="F1638" s="1135"/>
      <c r="G1638" s="1135"/>
      <c r="H1638" s="843"/>
      <c r="I1638" s="841"/>
      <c r="J1638" s="1135"/>
      <c r="K1638" s="841"/>
      <c r="L1638" s="841"/>
      <c r="M1638" s="841"/>
      <c r="N1638" s="841"/>
      <c r="O1638" s="841"/>
      <c r="P1638" s="841"/>
      <c r="Q1638" s="841"/>
      <c r="R1638" s="841"/>
    </row>
    <row r="1639" spans="2:18">
      <c r="B1639" s="841"/>
      <c r="C1639" s="842"/>
      <c r="D1639" s="842"/>
      <c r="E1639" s="842"/>
      <c r="F1639" s="1135"/>
      <c r="G1639" s="1135"/>
      <c r="H1639" s="843"/>
      <c r="I1639" s="841"/>
      <c r="J1639" s="1135"/>
      <c r="K1639" s="841"/>
      <c r="L1639" s="841"/>
      <c r="M1639" s="841"/>
      <c r="N1639" s="841"/>
      <c r="O1639" s="841"/>
      <c r="P1639" s="841"/>
      <c r="Q1639" s="841"/>
      <c r="R1639" s="841"/>
    </row>
    <row r="1640" spans="2:18">
      <c r="B1640" s="841"/>
      <c r="C1640" s="842"/>
      <c r="D1640" s="842"/>
      <c r="E1640" s="842"/>
      <c r="F1640" s="1135"/>
      <c r="G1640" s="1135"/>
      <c r="H1640" s="843"/>
      <c r="I1640" s="841"/>
      <c r="J1640" s="1135"/>
      <c r="K1640" s="841"/>
      <c r="L1640" s="841"/>
      <c r="M1640" s="841"/>
      <c r="N1640" s="841"/>
      <c r="O1640" s="841"/>
      <c r="P1640" s="841"/>
      <c r="Q1640" s="841"/>
      <c r="R1640" s="841"/>
    </row>
    <row r="1641" spans="2:18">
      <c r="B1641" s="841"/>
      <c r="C1641" s="842"/>
      <c r="D1641" s="842"/>
      <c r="E1641" s="842"/>
      <c r="F1641" s="1135"/>
      <c r="G1641" s="1135"/>
      <c r="H1641" s="843"/>
      <c r="I1641" s="841"/>
      <c r="J1641" s="1135"/>
      <c r="K1641" s="841"/>
      <c r="L1641" s="841"/>
      <c r="M1641" s="841"/>
      <c r="N1641" s="841"/>
      <c r="O1641" s="841"/>
      <c r="P1641" s="841"/>
      <c r="Q1641" s="841"/>
      <c r="R1641" s="841"/>
    </row>
    <row r="1642" spans="2:18">
      <c r="B1642" s="841"/>
      <c r="C1642" s="842"/>
      <c r="D1642" s="842"/>
      <c r="E1642" s="842"/>
      <c r="F1642" s="1135"/>
      <c r="G1642" s="1135"/>
      <c r="H1642" s="843"/>
      <c r="I1642" s="841"/>
      <c r="J1642" s="1135"/>
      <c r="K1642" s="841"/>
      <c r="L1642" s="841"/>
      <c r="M1642" s="841"/>
      <c r="N1642" s="841"/>
      <c r="O1642" s="841"/>
      <c r="P1642" s="841"/>
      <c r="Q1642" s="841"/>
      <c r="R1642" s="841"/>
    </row>
    <row r="1643" spans="2:18">
      <c r="B1643" s="841"/>
      <c r="C1643" s="842"/>
      <c r="D1643" s="842"/>
      <c r="E1643" s="842"/>
      <c r="F1643" s="1135"/>
      <c r="G1643" s="1135"/>
      <c r="H1643" s="843"/>
      <c r="I1643" s="841"/>
      <c r="J1643" s="1135"/>
      <c r="K1643" s="841"/>
      <c r="L1643" s="841"/>
      <c r="M1643" s="841"/>
      <c r="N1643" s="841"/>
      <c r="O1643" s="841"/>
      <c r="P1643" s="841"/>
      <c r="Q1643" s="841"/>
      <c r="R1643" s="841"/>
    </row>
    <row r="1644" spans="2:18">
      <c r="B1644" s="841"/>
      <c r="C1644" s="842"/>
      <c r="D1644" s="842"/>
      <c r="E1644" s="842"/>
      <c r="F1644" s="1135"/>
      <c r="G1644" s="1135"/>
      <c r="H1644" s="843"/>
      <c r="I1644" s="841"/>
      <c r="J1644" s="1135"/>
      <c r="K1644" s="841"/>
      <c r="L1644" s="841"/>
      <c r="M1644" s="841"/>
      <c r="N1644" s="841"/>
      <c r="O1644" s="841"/>
      <c r="P1644" s="841"/>
      <c r="Q1644" s="841"/>
      <c r="R1644" s="841"/>
    </row>
    <row r="1645" spans="2:18">
      <c r="B1645" s="841"/>
      <c r="C1645" s="842"/>
      <c r="D1645" s="842"/>
      <c r="E1645" s="842"/>
      <c r="F1645" s="1135"/>
      <c r="G1645" s="1135"/>
      <c r="H1645" s="843"/>
      <c r="I1645" s="841"/>
      <c r="J1645" s="1135"/>
      <c r="K1645" s="841"/>
      <c r="L1645" s="841"/>
      <c r="M1645" s="841"/>
      <c r="N1645" s="841"/>
      <c r="O1645" s="841"/>
      <c r="P1645" s="841"/>
      <c r="Q1645" s="841"/>
      <c r="R1645" s="841"/>
    </row>
    <row r="1646" spans="2:18">
      <c r="B1646" s="841"/>
      <c r="C1646" s="842"/>
      <c r="D1646" s="842"/>
      <c r="E1646" s="842"/>
      <c r="F1646" s="1135"/>
      <c r="G1646" s="1135"/>
      <c r="H1646" s="843"/>
      <c r="I1646" s="841"/>
      <c r="J1646" s="1135"/>
      <c r="K1646" s="841"/>
      <c r="L1646" s="841"/>
      <c r="M1646" s="841"/>
      <c r="N1646" s="841"/>
      <c r="O1646" s="841"/>
      <c r="P1646" s="841"/>
      <c r="Q1646" s="841"/>
      <c r="R1646" s="841"/>
    </row>
    <row r="1647" spans="2:18">
      <c r="B1647" s="841"/>
      <c r="C1647" s="842"/>
      <c r="D1647" s="842"/>
      <c r="E1647" s="842"/>
      <c r="F1647" s="1135"/>
      <c r="G1647" s="1135"/>
      <c r="H1647" s="843"/>
      <c r="I1647" s="841"/>
      <c r="J1647" s="1135"/>
      <c r="K1647" s="841"/>
      <c r="L1647" s="841"/>
      <c r="M1647" s="841"/>
      <c r="N1647" s="841"/>
      <c r="O1647" s="841"/>
      <c r="P1647" s="841"/>
      <c r="Q1647" s="841"/>
      <c r="R1647" s="841"/>
    </row>
    <row r="1648" spans="2:18">
      <c r="B1648" s="841"/>
      <c r="C1648" s="842"/>
      <c r="D1648" s="842"/>
      <c r="E1648" s="842"/>
      <c r="F1648" s="1135"/>
      <c r="G1648" s="1135"/>
      <c r="H1648" s="843"/>
      <c r="I1648" s="841"/>
      <c r="J1648" s="1135"/>
      <c r="K1648" s="841"/>
      <c r="L1648" s="841"/>
      <c r="M1648" s="841"/>
      <c r="N1648" s="841"/>
      <c r="O1648" s="841"/>
      <c r="P1648" s="841"/>
      <c r="Q1648" s="841"/>
      <c r="R1648" s="841"/>
    </row>
    <row r="1649" spans="2:18">
      <c r="B1649" s="841"/>
      <c r="C1649" s="842"/>
      <c r="D1649" s="842"/>
      <c r="E1649" s="842"/>
      <c r="F1649" s="1135"/>
      <c r="G1649" s="1135"/>
      <c r="H1649" s="843"/>
      <c r="I1649" s="841"/>
      <c r="J1649" s="1135"/>
      <c r="K1649" s="841"/>
      <c r="L1649" s="841"/>
      <c r="M1649" s="841"/>
      <c r="N1649" s="841"/>
      <c r="O1649" s="841"/>
      <c r="P1649" s="841"/>
      <c r="Q1649" s="841"/>
      <c r="R1649" s="841"/>
    </row>
    <row r="1650" spans="2:18">
      <c r="B1650" s="841"/>
      <c r="C1650" s="842"/>
      <c r="D1650" s="842"/>
      <c r="E1650" s="842"/>
      <c r="F1650" s="1135"/>
      <c r="G1650" s="1135"/>
      <c r="H1650" s="843"/>
      <c r="I1650" s="841"/>
      <c r="J1650" s="1135"/>
      <c r="K1650" s="841"/>
      <c r="L1650" s="841"/>
      <c r="M1650" s="841"/>
      <c r="N1650" s="841"/>
      <c r="O1650" s="841"/>
      <c r="P1650" s="841"/>
      <c r="Q1650" s="841"/>
      <c r="R1650" s="841"/>
    </row>
    <row r="1651" spans="2:18">
      <c r="B1651" s="841"/>
      <c r="C1651" s="842"/>
      <c r="D1651" s="842"/>
      <c r="E1651" s="842"/>
      <c r="F1651" s="1135"/>
      <c r="G1651" s="1135"/>
      <c r="H1651" s="843"/>
      <c r="I1651" s="841"/>
      <c r="J1651" s="1135"/>
      <c r="K1651" s="841"/>
      <c r="L1651" s="841"/>
      <c r="M1651" s="841"/>
      <c r="N1651" s="841"/>
      <c r="O1651" s="841"/>
      <c r="P1651" s="841"/>
      <c r="Q1651" s="841"/>
      <c r="R1651" s="841"/>
    </row>
    <row r="1652" spans="2:18">
      <c r="B1652" s="841"/>
      <c r="C1652" s="842"/>
      <c r="D1652" s="842"/>
      <c r="E1652" s="842"/>
      <c r="F1652" s="1135"/>
      <c r="G1652" s="1135"/>
      <c r="H1652" s="843"/>
      <c r="I1652" s="841"/>
      <c r="J1652" s="1135"/>
      <c r="K1652" s="841"/>
      <c r="L1652" s="841"/>
      <c r="M1652" s="841"/>
      <c r="N1652" s="841"/>
      <c r="O1652" s="841"/>
      <c r="P1652" s="841"/>
      <c r="Q1652" s="841"/>
      <c r="R1652" s="841"/>
    </row>
    <row r="1653" spans="2:18">
      <c r="B1653" s="841"/>
      <c r="C1653" s="842"/>
      <c r="D1653" s="842"/>
      <c r="E1653" s="842"/>
      <c r="F1653" s="1135"/>
      <c r="G1653" s="1135"/>
      <c r="H1653" s="843"/>
      <c r="I1653" s="841"/>
      <c r="J1653" s="1135"/>
      <c r="K1653" s="841"/>
      <c r="L1653" s="841"/>
      <c r="M1653" s="841"/>
      <c r="N1653" s="841"/>
      <c r="O1653" s="841"/>
      <c r="P1653" s="841"/>
      <c r="Q1653" s="841"/>
      <c r="R1653" s="841"/>
    </row>
    <row r="1654" spans="2:18">
      <c r="B1654" s="841"/>
      <c r="C1654" s="842"/>
      <c r="D1654" s="842"/>
      <c r="E1654" s="842"/>
      <c r="F1654" s="1135"/>
      <c r="G1654" s="1135"/>
      <c r="H1654" s="843"/>
      <c r="I1654" s="841"/>
      <c r="J1654" s="1135"/>
      <c r="K1654" s="841"/>
      <c r="L1654" s="841"/>
      <c r="M1654" s="841"/>
      <c r="N1654" s="841"/>
      <c r="O1654" s="841"/>
      <c r="P1654" s="841"/>
      <c r="Q1654" s="841"/>
      <c r="R1654" s="841"/>
    </row>
    <row r="1655" spans="2:18">
      <c r="B1655" s="841"/>
      <c r="C1655" s="842"/>
      <c r="D1655" s="842"/>
      <c r="E1655" s="842"/>
      <c r="F1655" s="1135"/>
      <c r="G1655" s="1135"/>
      <c r="H1655" s="843"/>
      <c r="I1655" s="841"/>
      <c r="J1655" s="1135"/>
      <c r="K1655" s="841"/>
      <c r="L1655" s="841"/>
      <c r="M1655" s="841"/>
      <c r="N1655" s="841"/>
      <c r="O1655" s="841"/>
      <c r="P1655" s="841"/>
      <c r="Q1655" s="841"/>
      <c r="R1655" s="841"/>
    </row>
    <row r="1656" spans="2:18">
      <c r="B1656" s="841"/>
      <c r="C1656" s="842"/>
      <c r="D1656" s="842"/>
      <c r="E1656" s="842"/>
      <c r="F1656" s="1135"/>
      <c r="G1656" s="1135"/>
      <c r="H1656" s="843"/>
      <c r="I1656" s="841"/>
      <c r="J1656" s="1135"/>
      <c r="K1656" s="841"/>
      <c r="L1656" s="841"/>
      <c r="M1656" s="841"/>
      <c r="N1656" s="841"/>
      <c r="O1656" s="841"/>
      <c r="P1656" s="841"/>
      <c r="Q1656" s="841"/>
      <c r="R1656" s="841"/>
    </row>
    <row r="1657" spans="2:18">
      <c r="B1657" s="841"/>
      <c r="C1657" s="842"/>
      <c r="D1657" s="842"/>
      <c r="E1657" s="842"/>
      <c r="F1657" s="1135"/>
      <c r="G1657" s="1135"/>
      <c r="H1657" s="843"/>
      <c r="I1657" s="841"/>
      <c r="J1657" s="1135"/>
      <c r="K1657" s="841"/>
      <c r="L1657" s="841"/>
      <c r="M1657" s="841"/>
      <c r="N1657" s="841"/>
      <c r="O1657" s="841"/>
      <c r="P1657" s="841"/>
      <c r="Q1657" s="841"/>
      <c r="R1657" s="841"/>
    </row>
    <row r="1658" spans="2:18">
      <c r="B1658" s="841"/>
      <c r="C1658" s="842"/>
      <c r="D1658" s="842"/>
      <c r="E1658" s="842"/>
      <c r="F1658" s="1135"/>
      <c r="G1658" s="1135"/>
      <c r="H1658" s="843"/>
      <c r="I1658" s="841"/>
      <c r="J1658" s="1135"/>
      <c r="K1658" s="841"/>
      <c r="L1658" s="841"/>
      <c r="M1658" s="841"/>
      <c r="N1658" s="841"/>
      <c r="O1658" s="841"/>
      <c r="P1658" s="841"/>
      <c r="Q1658" s="841"/>
      <c r="R1658" s="841"/>
    </row>
    <row r="1659" spans="2:18">
      <c r="B1659" s="841"/>
      <c r="C1659" s="842"/>
      <c r="D1659" s="842"/>
      <c r="E1659" s="842"/>
      <c r="F1659" s="1135"/>
      <c r="G1659" s="1135"/>
      <c r="H1659" s="843"/>
      <c r="I1659" s="841"/>
      <c r="J1659" s="1135"/>
      <c r="K1659" s="841"/>
      <c r="L1659" s="841"/>
      <c r="M1659" s="841"/>
      <c r="N1659" s="841"/>
      <c r="O1659" s="841"/>
      <c r="P1659" s="841"/>
      <c r="Q1659" s="841"/>
      <c r="R1659" s="841"/>
    </row>
    <row r="1660" spans="2:18">
      <c r="B1660" s="841"/>
      <c r="C1660" s="842"/>
      <c r="D1660" s="842"/>
      <c r="E1660" s="842"/>
      <c r="F1660" s="1135"/>
      <c r="G1660" s="1135"/>
      <c r="H1660" s="843"/>
      <c r="I1660" s="841"/>
      <c r="J1660" s="1135"/>
      <c r="K1660" s="841"/>
      <c r="L1660" s="841"/>
      <c r="M1660" s="841"/>
      <c r="N1660" s="841"/>
      <c r="O1660" s="841"/>
      <c r="P1660" s="841"/>
      <c r="Q1660" s="841"/>
      <c r="R1660" s="841"/>
    </row>
    <row r="1661" spans="2:18">
      <c r="B1661" s="841"/>
      <c r="C1661" s="842"/>
      <c r="D1661" s="842"/>
      <c r="E1661" s="842"/>
      <c r="F1661" s="1135"/>
      <c r="G1661" s="1135"/>
      <c r="H1661" s="843"/>
      <c r="I1661" s="841"/>
      <c r="J1661" s="1135"/>
      <c r="K1661" s="841"/>
      <c r="L1661" s="841"/>
      <c r="M1661" s="841"/>
      <c r="N1661" s="841"/>
      <c r="O1661" s="841"/>
      <c r="P1661" s="841"/>
      <c r="Q1661" s="841"/>
      <c r="R1661" s="841"/>
    </row>
    <row r="1662" spans="2:18">
      <c r="B1662" s="841"/>
      <c r="C1662" s="842"/>
      <c r="D1662" s="842"/>
      <c r="E1662" s="842"/>
      <c r="F1662" s="1135"/>
      <c r="G1662" s="1135"/>
      <c r="H1662" s="843"/>
      <c r="I1662" s="841"/>
      <c r="J1662" s="1135"/>
      <c r="K1662" s="841"/>
      <c r="L1662" s="841"/>
      <c r="M1662" s="841"/>
      <c r="N1662" s="841"/>
      <c r="O1662" s="841"/>
      <c r="P1662" s="841"/>
      <c r="Q1662" s="841"/>
      <c r="R1662" s="841"/>
    </row>
    <row r="1663" spans="2:18">
      <c r="B1663" s="841"/>
      <c r="C1663" s="842"/>
      <c r="D1663" s="842"/>
      <c r="E1663" s="842"/>
      <c r="F1663" s="1135"/>
      <c r="G1663" s="1135"/>
      <c r="H1663" s="843"/>
      <c r="I1663" s="841"/>
      <c r="J1663" s="1135"/>
      <c r="K1663" s="841"/>
      <c r="L1663" s="841"/>
      <c r="M1663" s="841"/>
      <c r="N1663" s="841"/>
      <c r="O1663" s="841"/>
      <c r="P1663" s="841"/>
      <c r="Q1663" s="841"/>
      <c r="R1663" s="841"/>
    </row>
    <row r="1664" spans="2:18">
      <c r="B1664" s="841"/>
      <c r="C1664" s="842"/>
      <c r="D1664" s="842"/>
      <c r="E1664" s="842"/>
      <c r="F1664" s="1135"/>
      <c r="G1664" s="1135"/>
      <c r="H1664" s="843"/>
      <c r="I1664" s="841"/>
      <c r="J1664" s="1135"/>
      <c r="K1664" s="841"/>
      <c r="L1664" s="841"/>
      <c r="M1664" s="841"/>
      <c r="N1664" s="841"/>
      <c r="O1664" s="841"/>
      <c r="P1664" s="841"/>
      <c r="Q1664" s="841"/>
      <c r="R1664" s="841"/>
    </row>
    <row r="1665" spans="2:18">
      <c r="B1665" s="841"/>
      <c r="C1665" s="842"/>
      <c r="D1665" s="842"/>
      <c r="E1665" s="842"/>
      <c r="F1665" s="1135"/>
      <c r="G1665" s="1135"/>
      <c r="H1665" s="843"/>
      <c r="I1665" s="841"/>
      <c r="J1665" s="1135"/>
      <c r="K1665" s="841"/>
      <c r="L1665" s="841"/>
      <c r="M1665" s="841"/>
      <c r="N1665" s="841"/>
      <c r="O1665" s="841"/>
      <c r="P1665" s="841"/>
      <c r="Q1665" s="841"/>
      <c r="R1665" s="841"/>
    </row>
    <row r="1666" spans="2:18">
      <c r="B1666" s="841"/>
      <c r="C1666" s="842"/>
      <c r="D1666" s="842"/>
      <c r="E1666" s="842"/>
      <c r="F1666" s="1135"/>
      <c r="G1666" s="1135"/>
      <c r="H1666" s="843"/>
      <c r="I1666" s="841"/>
      <c r="J1666" s="1135"/>
      <c r="K1666" s="841"/>
      <c r="L1666" s="841"/>
      <c r="M1666" s="841"/>
      <c r="N1666" s="841"/>
      <c r="O1666" s="841"/>
      <c r="P1666" s="841"/>
      <c r="Q1666" s="841"/>
      <c r="R1666" s="841"/>
    </row>
    <row r="1667" spans="2:18">
      <c r="B1667" s="841"/>
      <c r="C1667" s="842"/>
      <c r="D1667" s="842"/>
      <c r="E1667" s="842"/>
      <c r="F1667" s="1135"/>
      <c r="G1667" s="1135"/>
      <c r="H1667" s="843"/>
      <c r="I1667" s="841"/>
      <c r="J1667" s="1135"/>
      <c r="K1667" s="841"/>
      <c r="L1667" s="841"/>
      <c r="M1667" s="841"/>
      <c r="N1667" s="841"/>
      <c r="O1667" s="841"/>
      <c r="P1667" s="841"/>
      <c r="Q1667" s="841"/>
      <c r="R1667" s="841"/>
    </row>
    <row r="1668" spans="2:18">
      <c r="B1668" s="841"/>
      <c r="C1668" s="842"/>
      <c r="D1668" s="842"/>
      <c r="E1668" s="842"/>
      <c r="F1668" s="1135"/>
      <c r="G1668" s="1135"/>
      <c r="H1668" s="843"/>
      <c r="I1668" s="841"/>
      <c r="J1668" s="1135"/>
      <c r="K1668" s="841"/>
      <c r="L1668" s="841"/>
      <c r="M1668" s="841"/>
      <c r="N1668" s="841"/>
      <c r="O1668" s="841"/>
      <c r="P1668" s="841"/>
      <c r="Q1668" s="841"/>
      <c r="R1668" s="841"/>
    </row>
    <row r="1669" spans="2:18">
      <c r="B1669" s="841"/>
      <c r="C1669" s="842"/>
      <c r="D1669" s="842"/>
      <c r="E1669" s="842"/>
      <c r="F1669" s="1135"/>
      <c r="G1669" s="1135"/>
      <c r="H1669" s="843"/>
      <c r="I1669" s="841"/>
      <c r="J1669" s="1135"/>
      <c r="K1669" s="841"/>
      <c r="L1669" s="841"/>
      <c r="M1669" s="841"/>
      <c r="N1669" s="841"/>
      <c r="O1669" s="841"/>
      <c r="P1669" s="841"/>
      <c r="Q1669" s="841"/>
      <c r="R1669" s="841"/>
    </row>
    <row r="1670" spans="2:18">
      <c r="B1670" s="841"/>
      <c r="C1670" s="842"/>
      <c r="D1670" s="842"/>
      <c r="E1670" s="842"/>
      <c r="F1670" s="1135"/>
      <c r="G1670" s="1135"/>
      <c r="H1670" s="843"/>
      <c r="I1670" s="841"/>
      <c r="J1670" s="1135"/>
      <c r="K1670" s="841"/>
      <c r="L1670" s="841"/>
      <c r="M1670" s="841"/>
      <c r="N1670" s="841"/>
      <c r="O1670" s="841"/>
      <c r="P1670" s="841"/>
      <c r="Q1670" s="841"/>
      <c r="R1670" s="841"/>
    </row>
    <row r="1671" spans="2:18">
      <c r="B1671" s="841"/>
      <c r="C1671" s="842"/>
      <c r="D1671" s="842"/>
      <c r="E1671" s="842"/>
      <c r="F1671" s="1135"/>
      <c r="G1671" s="1135"/>
      <c r="H1671" s="843"/>
      <c r="I1671" s="841"/>
      <c r="J1671" s="1135"/>
      <c r="K1671" s="841"/>
      <c r="L1671" s="841"/>
      <c r="M1671" s="841"/>
      <c r="N1671" s="841"/>
      <c r="O1671" s="841"/>
      <c r="P1671" s="841"/>
      <c r="Q1671" s="841"/>
      <c r="R1671" s="841"/>
    </row>
    <row r="1672" spans="2:18">
      <c r="B1672" s="841"/>
      <c r="C1672" s="842"/>
      <c r="D1672" s="842"/>
      <c r="E1672" s="842"/>
      <c r="F1672" s="1135"/>
      <c r="G1672" s="1135"/>
      <c r="H1672" s="843"/>
      <c r="I1672" s="841"/>
      <c r="J1672" s="1135"/>
      <c r="K1672" s="841"/>
      <c r="L1672" s="841"/>
      <c r="M1672" s="841"/>
      <c r="N1672" s="841"/>
      <c r="O1672" s="841"/>
      <c r="P1672" s="841"/>
      <c r="Q1672" s="841"/>
      <c r="R1672" s="841"/>
    </row>
    <row r="1673" spans="2:18">
      <c r="B1673" s="841"/>
      <c r="C1673" s="842"/>
      <c r="D1673" s="842"/>
      <c r="E1673" s="842"/>
      <c r="F1673" s="1135"/>
      <c r="G1673" s="1135"/>
      <c r="H1673" s="843"/>
      <c r="I1673" s="841"/>
      <c r="J1673" s="1135"/>
      <c r="K1673" s="841"/>
      <c r="L1673" s="841"/>
      <c r="M1673" s="841"/>
      <c r="N1673" s="841"/>
      <c r="O1673" s="841"/>
      <c r="P1673" s="841"/>
      <c r="Q1673" s="841"/>
      <c r="R1673" s="841"/>
    </row>
    <row r="1674" spans="2:18">
      <c r="B1674" s="841"/>
      <c r="C1674" s="842"/>
      <c r="D1674" s="842"/>
      <c r="E1674" s="842"/>
      <c r="F1674" s="1135"/>
      <c r="G1674" s="1135"/>
      <c r="H1674" s="843"/>
      <c r="I1674" s="841"/>
      <c r="J1674" s="1135"/>
      <c r="K1674" s="841"/>
      <c r="L1674" s="841"/>
      <c r="M1674" s="841"/>
      <c r="N1674" s="841"/>
      <c r="O1674" s="841"/>
      <c r="P1674" s="841"/>
      <c r="Q1674" s="841"/>
      <c r="R1674" s="841"/>
    </row>
    <row r="1675" spans="2:18">
      <c r="B1675" s="841"/>
      <c r="C1675" s="842"/>
      <c r="D1675" s="842"/>
      <c r="E1675" s="842"/>
      <c r="F1675" s="1135"/>
      <c r="G1675" s="1135"/>
      <c r="H1675" s="843"/>
      <c r="I1675" s="841"/>
      <c r="J1675" s="1135"/>
      <c r="K1675" s="841"/>
      <c r="L1675" s="841"/>
      <c r="M1675" s="841"/>
      <c r="N1675" s="841"/>
      <c r="O1675" s="841"/>
      <c r="P1675" s="841"/>
      <c r="Q1675" s="841"/>
      <c r="R1675" s="841"/>
    </row>
    <row r="1676" spans="2:18">
      <c r="B1676" s="841"/>
      <c r="C1676" s="842"/>
      <c r="D1676" s="842"/>
      <c r="E1676" s="842"/>
      <c r="F1676" s="1135"/>
      <c r="G1676" s="1135"/>
      <c r="H1676" s="843"/>
      <c r="I1676" s="841"/>
      <c r="J1676" s="1135"/>
      <c r="K1676" s="841"/>
      <c r="L1676" s="841"/>
      <c r="M1676" s="841"/>
      <c r="N1676" s="841"/>
      <c r="O1676" s="841"/>
      <c r="P1676" s="841"/>
      <c r="Q1676" s="841"/>
      <c r="R1676" s="841"/>
    </row>
    <row r="1677" spans="2:18">
      <c r="B1677" s="841"/>
      <c r="C1677" s="842"/>
      <c r="D1677" s="842"/>
      <c r="E1677" s="842"/>
      <c r="F1677" s="1135"/>
      <c r="G1677" s="1135"/>
      <c r="H1677" s="843"/>
      <c r="I1677" s="841"/>
      <c r="J1677" s="1135"/>
      <c r="K1677" s="841"/>
      <c r="L1677" s="841"/>
      <c r="M1677" s="841"/>
      <c r="N1677" s="841"/>
      <c r="O1677" s="841"/>
      <c r="P1677" s="841"/>
      <c r="Q1677" s="841"/>
      <c r="R1677" s="841"/>
    </row>
    <row r="1678" spans="2:18">
      <c r="B1678" s="841"/>
      <c r="C1678" s="842"/>
      <c r="D1678" s="842"/>
      <c r="E1678" s="842"/>
      <c r="F1678" s="1135"/>
      <c r="G1678" s="1135"/>
      <c r="H1678" s="843"/>
      <c r="I1678" s="841"/>
      <c r="J1678" s="1135"/>
      <c r="K1678" s="841"/>
      <c r="L1678" s="841"/>
      <c r="M1678" s="841"/>
      <c r="N1678" s="841"/>
      <c r="O1678" s="841"/>
      <c r="P1678" s="841"/>
      <c r="Q1678" s="841"/>
      <c r="R1678" s="841"/>
    </row>
    <row r="1679" spans="2:18">
      <c r="B1679" s="841"/>
      <c r="C1679" s="842"/>
      <c r="D1679" s="842"/>
      <c r="E1679" s="842"/>
      <c r="F1679" s="1135"/>
      <c r="G1679" s="1135"/>
      <c r="H1679" s="843"/>
      <c r="I1679" s="841"/>
      <c r="J1679" s="1135"/>
      <c r="K1679" s="841"/>
      <c r="L1679" s="841"/>
      <c r="M1679" s="841"/>
      <c r="N1679" s="841"/>
      <c r="O1679" s="841"/>
      <c r="P1679" s="841"/>
      <c r="Q1679" s="841"/>
      <c r="R1679" s="841"/>
    </row>
    <row r="1680" spans="2:18">
      <c r="B1680" s="841"/>
      <c r="C1680" s="842"/>
      <c r="D1680" s="842"/>
      <c r="E1680" s="842"/>
      <c r="F1680" s="1135"/>
      <c r="G1680" s="1135"/>
      <c r="H1680" s="843"/>
      <c r="I1680" s="841"/>
      <c r="J1680" s="1135"/>
      <c r="K1680" s="841"/>
      <c r="L1680" s="841"/>
      <c r="M1680" s="841"/>
      <c r="N1680" s="841"/>
      <c r="O1680" s="841"/>
      <c r="P1680" s="841"/>
      <c r="Q1680" s="841"/>
      <c r="R1680" s="841"/>
    </row>
    <row r="1681" spans="2:18">
      <c r="B1681" s="841"/>
      <c r="C1681" s="842"/>
      <c r="D1681" s="842"/>
      <c r="E1681" s="842"/>
      <c r="F1681" s="1135"/>
      <c r="G1681" s="1135"/>
      <c r="H1681" s="843"/>
      <c r="I1681" s="841"/>
      <c r="J1681" s="1135"/>
      <c r="K1681" s="841"/>
      <c r="L1681" s="841"/>
      <c r="M1681" s="841"/>
      <c r="N1681" s="841"/>
      <c r="O1681" s="841"/>
      <c r="P1681" s="841"/>
      <c r="Q1681" s="841"/>
      <c r="R1681" s="841"/>
    </row>
    <row r="1682" spans="2:18">
      <c r="B1682" s="841"/>
      <c r="C1682" s="842"/>
      <c r="D1682" s="842"/>
      <c r="E1682" s="842"/>
      <c r="F1682" s="1135"/>
      <c r="G1682" s="1135"/>
      <c r="H1682" s="843"/>
      <c r="I1682" s="841"/>
      <c r="J1682" s="1135"/>
      <c r="K1682" s="841"/>
      <c r="L1682" s="841"/>
      <c r="M1682" s="841"/>
      <c r="N1682" s="841"/>
      <c r="O1682" s="841"/>
      <c r="P1682" s="841"/>
      <c r="Q1682" s="841"/>
      <c r="R1682" s="841"/>
    </row>
    <row r="1683" spans="2:18">
      <c r="B1683" s="841"/>
      <c r="C1683" s="842"/>
      <c r="D1683" s="842"/>
      <c r="E1683" s="842"/>
      <c r="F1683" s="1135"/>
      <c r="G1683" s="1135"/>
      <c r="H1683" s="843"/>
      <c r="I1683" s="841"/>
      <c r="J1683" s="1135"/>
      <c r="K1683" s="841"/>
      <c r="L1683" s="841"/>
      <c r="M1683" s="841"/>
      <c r="N1683" s="841"/>
      <c r="O1683" s="841"/>
      <c r="P1683" s="841"/>
      <c r="Q1683" s="841"/>
      <c r="R1683" s="841"/>
    </row>
    <row r="1684" spans="2:18">
      <c r="B1684" s="841"/>
      <c r="C1684" s="842"/>
      <c r="D1684" s="842"/>
      <c r="E1684" s="842"/>
      <c r="F1684" s="1135"/>
      <c r="G1684" s="1135"/>
      <c r="H1684" s="843"/>
      <c r="I1684" s="841"/>
      <c r="J1684" s="1135"/>
      <c r="K1684" s="841"/>
      <c r="L1684" s="841"/>
      <c r="M1684" s="841"/>
      <c r="N1684" s="841"/>
      <c r="O1684" s="841"/>
      <c r="P1684" s="841"/>
      <c r="Q1684" s="841"/>
      <c r="R1684" s="841"/>
    </row>
    <row r="1685" spans="2:18">
      <c r="B1685" s="841"/>
      <c r="C1685" s="842"/>
      <c r="D1685" s="842"/>
      <c r="E1685" s="842"/>
      <c r="F1685" s="1135"/>
      <c r="G1685" s="1135"/>
      <c r="H1685" s="843"/>
      <c r="I1685" s="841"/>
      <c r="J1685" s="1135"/>
      <c r="K1685" s="841"/>
      <c r="L1685" s="841"/>
      <c r="M1685" s="841"/>
      <c r="N1685" s="841"/>
      <c r="O1685" s="841"/>
      <c r="P1685" s="841"/>
      <c r="Q1685" s="841"/>
      <c r="R1685" s="841"/>
    </row>
    <row r="1686" spans="2:18">
      <c r="B1686" s="841"/>
      <c r="C1686" s="842"/>
      <c r="D1686" s="842"/>
      <c r="E1686" s="842"/>
      <c r="F1686" s="1135"/>
      <c r="G1686" s="1135"/>
      <c r="H1686" s="843"/>
      <c r="I1686" s="841"/>
      <c r="J1686" s="1135"/>
      <c r="K1686" s="841"/>
      <c r="L1686" s="841"/>
      <c r="M1686" s="841"/>
      <c r="N1686" s="841"/>
      <c r="O1686" s="841"/>
      <c r="P1686" s="841"/>
      <c r="Q1686" s="841"/>
      <c r="R1686" s="841"/>
    </row>
    <row r="1687" spans="2:18">
      <c r="B1687" s="841"/>
      <c r="C1687" s="842"/>
      <c r="D1687" s="842"/>
      <c r="E1687" s="842"/>
      <c r="F1687" s="1135"/>
      <c r="G1687" s="1135"/>
      <c r="H1687" s="843"/>
      <c r="I1687" s="841"/>
      <c r="J1687" s="1135"/>
      <c r="K1687" s="841"/>
      <c r="L1687" s="841"/>
      <c r="M1687" s="841"/>
      <c r="N1687" s="841"/>
      <c r="O1687" s="841"/>
      <c r="P1687" s="841"/>
      <c r="Q1687" s="841"/>
      <c r="R1687" s="841"/>
    </row>
    <row r="1688" spans="2:18">
      <c r="B1688" s="841"/>
      <c r="C1688" s="842"/>
      <c r="D1688" s="842"/>
      <c r="E1688" s="842"/>
      <c r="F1688" s="1135"/>
      <c r="G1688" s="1135"/>
      <c r="H1688" s="843"/>
      <c r="I1688" s="841"/>
      <c r="J1688" s="1135"/>
      <c r="K1688" s="841"/>
      <c r="L1688" s="841"/>
      <c r="M1688" s="841"/>
      <c r="N1688" s="841"/>
      <c r="O1688" s="841"/>
      <c r="P1688" s="841"/>
      <c r="Q1688" s="841"/>
      <c r="R1688" s="841"/>
    </row>
    <row r="1689" spans="2:18">
      <c r="B1689" s="841"/>
      <c r="C1689" s="842"/>
      <c r="D1689" s="842"/>
      <c r="E1689" s="842"/>
      <c r="F1689" s="1135"/>
      <c r="G1689" s="1135"/>
      <c r="H1689" s="843"/>
      <c r="I1689" s="841"/>
      <c r="J1689" s="1135"/>
      <c r="K1689" s="841"/>
      <c r="L1689" s="841"/>
      <c r="M1689" s="841"/>
      <c r="N1689" s="841"/>
      <c r="O1689" s="841"/>
      <c r="P1689" s="841"/>
      <c r="Q1689" s="841"/>
      <c r="R1689" s="841"/>
    </row>
    <row r="1690" spans="2:18">
      <c r="B1690" s="841"/>
      <c r="C1690" s="842"/>
      <c r="D1690" s="842"/>
      <c r="E1690" s="842"/>
      <c r="F1690" s="1135"/>
      <c r="G1690" s="1135"/>
      <c r="H1690" s="843"/>
      <c r="I1690" s="841"/>
      <c r="J1690" s="1135"/>
      <c r="K1690" s="841"/>
      <c r="L1690" s="841"/>
      <c r="M1690" s="841"/>
      <c r="N1690" s="841"/>
      <c r="O1690" s="841"/>
      <c r="P1690" s="841"/>
      <c r="Q1690" s="841"/>
      <c r="R1690" s="841"/>
    </row>
    <row r="1691" spans="2:18">
      <c r="B1691" s="841"/>
      <c r="C1691" s="842"/>
      <c r="D1691" s="842"/>
      <c r="E1691" s="842"/>
      <c r="F1691" s="1135"/>
      <c r="G1691" s="1135"/>
      <c r="H1691" s="843"/>
      <c r="I1691" s="841"/>
      <c r="J1691" s="1135"/>
      <c r="K1691" s="841"/>
      <c r="L1691" s="841"/>
      <c r="M1691" s="841"/>
      <c r="N1691" s="841"/>
      <c r="O1691" s="841"/>
      <c r="P1691" s="841"/>
      <c r="Q1691" s="841"/>
      <c r="R1691" s="841"/>
    </row>
    <row r="1692" spans="2:18">
      <c r="B1692" s="841"/>
      <c r="C1692" s="842"/>
      <c r="D1692" s="842"/>
      <c r="E1692" s="842"/>
      <c r="F1692" s="1135"/>
      <c r="G1692" s="1135"/>
      <c r="H1692" s="843"/>
      <c r="I1692" s="841"/>
      <c r="J1692" s="1135"/>
      <c r="K1692" s="841"/>
      <c r="L1692" s="841"/>
      <c r="M1692" s="841"/>
      <c r="N1692" s="841"/>
      <c r="O1692" s="841"/>
      <c r="P1692" s="841"/>
      <c r="Q1692" s="841"/>
      <c r="R1692" s="841"/>
    </row>
    <row r="1693" spans="2:18">
      <c r="B1693" s="841"/>
      <c r="C1693" s="842"/>
      <c r="D1693" s="842"/>
      <c r="E1693" s="842"/>
      <c r="F1693" s="1135"/>
      <c r="G1693" s="1135"/>
      <c r="H1693" s="843"/>
      <c r="I1693" s="841"/>
      <c r="J1693" s="1135"/>
      <c r="K1693" s="841"/>
      <c r="L1693" s="841"/>
      <c r="M1693" s="841"/>
      <c r="N1693" s="841"/>
      <c r="O1693" s="841"/>
      <c r="P1693" s="841"/>
      <c r="Q1693" s="841"/>
      <c r="R1693" s="841"/>
    </row>
    <row r="1694" spans="2:18">
      <c r="B1694" s="841"/>
      <c r="C1694" s="842"/>
      <c r="D1694" s="842"/>
      <c r="E1694" s="842"/>
      <c r="F1694" s="1135"/>
      <c r="G1694" s="1135"/>
      <c r="H1694" s="843"/>
      <c r="I1694" s="841"/>
      <c r="J1694" s="1135"/>
      <c r="K1694" s="841"/>
      <c r="L1694" s="841"/>
      <c r="M1694" s="841"/>
      <c r="N1694" s="841"/>
      <c r="O1694" s="841"/>
      <c r="P1694" s="841"/>
      <c r="Q1694" s="841"/>
      <c r="R1694" s="841"/>
    </row>
    <row r="1695" spans="2:18">
      <c r="B1695" s="841"/>
      <c r="C1695" s="842"/>
      <c r="D1695" s="842"/>
      <c r="E1695" s="842"/>
      <c r="F1695" s="1135"/>
      <c r="G1695" s="1135"/>
      <c r="H1695" s="843"/>
      <c r="I1695" s="841"/>
      <c r="J1695" s="1135"/>
      <c r="K1695" s="841"/>
      <c r="L1695" s="841"/>
      <c r="M1695" s="841"/>
      <c r="N1695" s="841"/>
      <c r="O1695" s="841"/>
      <c r="P1695" s="841"/>
      <c r="Q1695" s="841"/>
      <c r="R1695" s="841"/>
    </row>
    <row r="1696" spans="2:18">
      <c r="B1696" s="841"/>
      <c r="C1696" s="842"/>
      <c r="D1696" s="842"/>
      <c r="E1696" s="842"/>
      <c r="F1696" s="1135"/>
      <c r="G1696" s="1135"/>
      <c r="H1696" s="843"/>
      <c r="I1696" s="841"/>
      <c r="J1696" s="1135"/>
      <c r="K1696" s="841"/>
      <c r="L1696" s="841"/>
      <c r="M1696" s="841"/>
      <c r="N1696" s="841"/>
      <c r="O1696" s="841"/>
      <c r="P1696" s="841"/>
      <c r="Q1696" s="841"/>
      <c r="R1696" s="841"/>
    </row>
    <row r="1697" spans="2:18">
      <c r="B1697" s="841"/>
      <c r="C1697" s="842"/>
      <c r="D1697" s="842"/>
      <c r="E1697" s="842"/>
      <c r="F1697" s="1135"/>
      <c r="G1697" s="1135"/>
      <c r="H1697" s="843"/>
      <c r="I1697" s="841"/>
      <c r="J1697" s="1135"/>
      <c r="K1697" s="841"/>
      <c r="L1697" s="841"/>
      <c r="M1697" s="841"/>
      <c r="N1697" s="841"/>
      <c r="O1697" s="841"/>
      <c r="P1697" s="841"/>
      <c r="Q1697" s="841"/>
      <c r="R1697" s="841"/>
    </row>
    <row r="1698" spans="2:18">
      <c r="B1698" s="841"/>
      <c r="C1698" s="842"/>
      <c r="D1698" s="842"/>
      <c r="E1698" s="842"/>
      <c r="F1698" s="1135"/>
      <c r="G1698" s="1135"/>
      <c r="H1698" s="843"/>
      <c r="I1698" s="841"/>
      <c r="J1698" s="1135"/>
      <c r="K1698" s="841"/>
      <c r="L1698" s="841"/>
      <c r="M1698" s="841"/>
      <c r="N1698" s="841"/>
      <c r="O1698" s="841"/>
      <c r="P1698" s="841"/>
      <c r="Q1698" s="841"/>
      <c r="R1698" s="841"/>
    </row>
    <row r="1699" spans="2:18">
      <c r="B1699" s="841"/>
      <c r="C1699" s="842"/>
      <c r="D1699" s="842"/>
      <c r="E1699" s="842"/>
      <c r="F1699" s="1135"/>
      <c r="G1699" s="1135"/>
      <c r="H1699" s="843"/>
      <c r="I1699" s="841"/>
      <c r="J1699" s="1135"/>
      <c r="K1699" s="841"/>
      <c r="L1699" s="841"/>
      <c r="M1699" s="841"/>
      <c r="N1699" s="841"/>
      <c r="O1699" s="841"/>
      <c r="P1699" s="841"/>
      <c r="Q1699" s="841"/>
      <c r="R1699" s="841"/>
    </row>
    <row r="1700" spans="2:18">
      <c r="B1700" s="841"/>
      <c r="C1700" s="842"/>
      <c r="D1700" s="842"/>
      <c r="E1700" s="842"/>
      <c r="F1700" s="1135"/>
      <c r="G1700" s="1135"/>
      <c r="H1700" s="843"/>
      <c r="I1700" s="841"/>
      <c r="J1700" s="1135"/>
      <c r="K1700" s="841"/>
      <c r="L1700" s="841"/>
      <c r="M1700" s="841"/>
      <c r="N1700" s="841"/>
      <c r="O1700" s="841"/>
      <c r="P1700" s="841"/>
      <c r="Q1700" s="841"/>
      <c r="R1700" s="841"/>
    </row>
    <row r="1701" spans="2:18">
      <c r="B1701" s="841"/>
      <c r="C1701" s="842"/>
      <c r="D1701" s="842"/>
      <c r="E1701" s="842"/>
      <c r="F1701" s="1135"/>
      <c r="G1701" s="1135"/>
      <c r="H1701" s="843"/>
      <c r="I1701" s="841"/>
      <c r="J1701" s="1135"/>
      <c r="K1701" s="841"/>
      <c r="L1701" s="841"/>
      <c r="M1701" s="841"/>
      <c r="N1701" s="841"/>
      <c r="O1701" s="841"/>
      <c r="P1701" s="841"/>
      <c r="Q1701" s="841"/>
      <c r="R1701" s="841"/>
    </row>
    <row r="1702" spans="2:18">
      <c r="B1702" s="841"/>
      <c r="C1702" s="842"/>
      <c r="D1702" s="842"/>
      <c r="E1702" s="842"/>
      <c r="F1702" s="1135"/>
      <c r="G1702" s="1135"/>
      <c r="H1702" s="843"/>
      <c r="I1702" s="841"/>
      <c r="J1702" s="1135"/>
      <c r="K1702" s="841"/>
      <c r="L1702" s="841"/>
      <c r="M1702" s="841"/>
      <c r="N1702" s="841"/>
      <c r="O1702" s="841"/>
      <c r="P1702" s="841"/>
      <c r="Q1702" s="841"/>
      <c r="R1702" s="841"/>
    </row>
    <row r="1703" spans="2:18">
      <c r="B1703" s="841"/>
      <c r="C1703" s="842"/>
      <c r="D1703" s="842"/>
      <c r="E1703" s="842"/>
      <c r="F1703" s="1135"/>
      <c r="G1703" s="1135"/>
      <c r="H1703" s="843"/>
      <c r="I1703" s="841"/>
      <c r="J1703" s="1135"/>
      <c r="K1703" s="841"/>
      <c r="L1703" s="841"/>
      <c r="M1703" s="841"/>
      <c r="N1703" s="841"/>
      <c r="O1703" s="841"/>
      <c r="P1703" s="841"/>
      <c r="Q1703" s="841"/>
      <c r="R1703" s="841"/>
    </row>
    <row r="1704" spans="2:18">
      <c r="B1704" s="841"/>
      <c r="C1704" s="842"/>
      <c r="D1704" s="842"/>
      <c r="E1704" s="842"/>
      <c r="F1704" s="1135"/>
      <c r="G1704" s="1135"/>
      <c r="H1704" s="843"/>
      <c r="I1704" s="841"/>
      <c r="J1704" s="1135"/>
      <c r="K1704" s="841"/>
      <c r="L1704" s="841"/>
      <c r="M1704" s="841"/>
      <c r="N1704" s="841"/>
      <c r="O1704" s="841"/>
      <c r="P1704" s="841"/>
      <c r="Q1704" s="841"/>
      <c r="R1704" s="841"/>
    </row>
    <row r="1705" spans="2:18">
      <c r="B1705" s="841"/>
      <c r="C1705" s="842"/>
      <c r="D1705" s="842"/>
      <c r="E1705" s="842"/>
      <c r="F1705" s="1135"/>
      <c r="G1705" s="1135"/>
      <c r="H1705" s="843"/>
      <c r="I1705" s="841"/>
      <c r="J1705" s="1135"/>
      <c r="K1705" s="841"/>
      <c r="L1705" s="841"/>
      <c r="M1705" s="841"/>
      <c r="N1705" s="841"/>
      <c r="O1705" s="841"/>
      <c r="P1705" s="841"/>
      <c r="Q1705" s="841"/>
      <c r="R1705" s="841"/>
    </row>
    <row r="1706" spans="2:18">
      <c r="B1706" s="841"/>
      <c r="C1706" s="842"/>
      <c r="D1706" s="842"/>
      <c r="E1706" s="842"/>
      <c r="F1706" s="1135"/>
      <c r="G1706" s="1135"/>
      <c r="H1706" s="843"/>
      <c r="I1706" s="841"/>
      <c r="J1706" s="1135"/>
      <c r="K1706" s="841"/>
      <c r="L1706" s="841"/>
      <c r="M1706" s="841"/>
      <c r="N1706" s="841"/>
      <c r="O1706" s="841"/>
      <c r="P1706" s="841"/>
      <c r="Q1706" s="841"/>
      <c r="R1706" s="841"/>
    </row>
    <row r="1707" spans="2:18">
      <c r="B1707" s="841"/>
      <c r="C1707" s="842"/>
      <c r="D1707" s="842"/>
      <c r="E1707" s="842"/>
      <c r="F1707" s="1135"/>
      <c r="G1707" s="1135"/>
      <c r="H1707" s="843"/>
      <c r="I1707" s="841"/>
      <c r="J1707" s="1135"/>
      <c r="K1707" s="841"/>
      <c r="L1707" s="841"/>
      <c r="M1707" s="841"/>
      <c r="N1707" s="841"/>
      <c r="O1707" s="841"/>
      <c r="P1707" s="841"/>
      <c r="Q1707" s="841"/>
      <c r="R1707" s="841"/>
    </row>
    <row r="1708" spans="2:18">
      <c r="B1708" s="841"/>
      <c r="C1708" s="842"/>
      <c r="D1708" s="842"/>
      <c r="E1708" s="842"/>
      <c r="F1708" s="1135"/>
      <c r="G1708" s="1135"/>
      <c r="H1708" s="843"/>
      <c r="I1708" s="841"/>
      <c r="J1708" s="1135"/>
      <c r="K1708" s="841"/>
      <c r="L1708" s="841"/>
      <c r="M1708" s="841"/>
      <c r="N1708" s="841"/>
      <c r="O1708" s="841"/>
      <c r="P1708" s="841"/>
      <c r="Q1708" s="841"/>
      <c r="R1708" s="841"/>
    </row>
    <row r="1709" spans="2:18">
      <c r="B1709" s="841"/>
      <c r="C1709" s="842"/>
      <c r="D1709" s="842"/>
      <c r="E1709" s="842"/>
      <c r="F1709" s="1135"/>
      <c r="G1709" s="1135"/>
      <c r="H1709" s="843"/>
      <c r="I1709" s="841"/>
      <c r="J1709" s="1135"/>
      <c r="K1709" s="841"/>
      <c r="L1709" s="841"/>
      <c r="M1709" s="841"/>
      <c r="N1709" s="841"/>
      <c r="O1709" s="841"/>
      <c r="P1709" s="841"/>
      <c r="Q1709" s="841"/>
      <c r="R1709" s="841"/>
    </row>
    <row r="1710" spans="2:18">
      <c r="B1710" s="841"/>
      <c r="C1710" s="842"/>
      <c r="D1710" s="842"/>
      <c r="E1710" s="842"/>
      <c r="F1710" s="1135"/>
      <c r="G1710" s="1135"/>
      <c r="H1710" s="843"/>
      <c r="I1710" s="841"/>
      <c r="J1710" s="1135"/>
      <c r="K1710" s="841"/>
      <c r="L1710" s="841"/>
      <c r="M1710" s="841"/>
      <c r="N1710" s="841"/>
      <c r="O1710" s="841"/>
      <c r="P1710" s="841"/>
      <c r="Q1710" s="841"/>
      <c r="R1710" s="841"/>
    </row>
    <row r="1711" spans="2:18">
      <c r="B1711" s="841"/>
      <c r="C1711" s="842"/>
      <c r="D1711" s="842"/>
      <c r="E1711" s="842"/>
      <c r="F1711" s="1135"/>
      <c r="G1711" s="1135"/>
      <c r="H1711" s="843"/>
      <c r="I1711" s="841"/>
      <c r="J1711" s="1135"/>
      <c r="K1711" s="841"/>
      <c r="L1711" s="841"/>
      <c r="M1711" s="841"/>
      <c r="N1711" s="841"/>
      <c r="O1711" s="841"/>
      <c r="P1711" s="841"/>
      <c r="Q1711" s="841"/>
      <c r="R1711" s="841"/>
    </row>
    <row r="1712" spans="2:18">
      <c r="B1712" s="841"/>
      <c r="C1712" s="842"/>
      <c r="D1712" s="842"/>
      <c r="E1712" s="842"/>
      <c r="F1712" s="1135"/>
      <c r="G1712" s="1135"/>
      <c r="H1712" s="843"/>
      <c r="I1712" s="841"/>
      <c r="J1712" s="1135"/>
      <c r="K1712" s="841"/>
      <c r="L1712" s="841"/>
      <c r="M1712" s="841"/>
      <c r="N1712" s="841"/>
      <c r="O1712" s="841"/>
      <c r="P1712" s="841"/>
      <c r="Q1712" s="841"/>
      <c r="R1712" s="841"/>
    </row>
    <row r="1713" spans="2:18">
      <c r="B1713" s="841"/>
      <c r="C1713" s="842"/>
      <c r="D1713" s="842"/>
      <c r="E1713" s="842"/>
      <c r="F1713" s="1135"/>
      <c r="G1713" s="1135"/>
      <c r="H1713" s="843"/>
      <c r="I1713" s="841"/>
      <c r="J1713" s="1135"/>
      <c r="K1713" s="841"/>
      <c r="L1713" s="841"/>
      <c r="M1713" s="841"/>
      <c r="N1713" s="841"/>
      <c r="O1713" s="841"/>
      <c r="P1713" s="841"/>
      <c r="Q1713" s="841"/>
      <c r="R1713" s="841"/>
    </row>
    <row r="1714" spans="2:18">
      <c r="B1714" s="841"/>
      <c r="C1714" s="842"/>
      <c r="D1714" s="842"/>
      <c r="E1714" s="842"/>
      <c r="F1714" s="1135"/>
      <c r="G1714" s="1135"/>
      <c r="H1714" s="843"/>
      <c r="I1714" s="841"/>
      <c r="J1714" s="1135"/>
      <c r="K1714" s="841"/>
      <c r="L1714" s="841"/>
      <c r="M1714" s="841"/>
      <c r="N1714" s="841"/>
      <c r="O1714" s="841"/>
      <c r="P1714" s="841"/>
      <c r="Q1714" s="841"/>
      <c r="R1714" s="841"/>
    </row>
    <row r="1715" spans="2:18">
      <c r="B1715" s="841"/>
      <c r="C1715" s="842"/>
      <c r="D1715" s="842"/>
      <c r="E1715" s="842"/>
      <c r="F1715" s="1135"/>
      <c r="G1715" s="1135"/>
      <c r="H1715" s="843"/>
      <c r="I1715" s="841"/>
      <c r="J1715" s="1135"/>
      <c r="K1715" s="841"/>
      <c r="L1715" s="841"/>
      <c r="M1715" s="841"/>
      <c r="N1715" s="841"/>
      <c r="O1715" s="841"/>
      <c r="P1715" s="841"/>
      <c r="Q1715" s="841"/>
      <c r="R1715" s="841"/>
    </row>
    <row r="1716" spans="2:18">
      <c r="B1716" s="841"/>
      <c r="C1716" s="842"/>
      <c r="D1716" s="842"/>
      <c r="E1716" s="842"/>
      <c r="F1716" s="1135"/>
      <c r="G1716" s="1135"/>
      <c r="H1716" s="843"/>
      <c r="I1716" s="841"/>
      <c r="J1716" s="1135"/>
      <c r="K1716" s="841"/>
      <c r="L1716" s="841"/>
      <c r="M1716" s="841"/>
      <c r="N1716" s="841"/>
      <c r="O1716" s="841"/>
      <c r="P1716" s="841"/>
      <c r="Q1716" s="841"/>
      <c r="R1716" s="841"/>
    </row>
    <row r="1717" spans="2:18">
      <c r="B1717" s="841"/>
      <c r="C1717" s="842"/>
      <c r="D1717" s="842"/>
      <c r="E1717" s="842"/>
      <c r="F1717" s="1135"/>
      <c r="G1717" s="1135"/>
      <c r="H1717" s="843"/>
      <c r="I1717" s="841"/>
      <c r="J1717" s="1135"/>
      <c r="K1717" s="841"/>
      <c r="L1717" s="841"/>
      <c r="M1717" s="841"/>
      <c r="N1717" s="841"/>
      <c r="O1717" s="841"/>
      <c r="P1717" s="841"/>
      <c r="Q1717" s="841"/>
      <c r="R1717" s="841"/>
    </row>
    <row r="1718" spans="2:18">
      <c r="B1718" s="841"/>
      <c r="C1718" s="842"/>
      <c r="D1718" s="842"/>
      <c r="E1718" s="842"/>
      <c r="F1718" s="1135"/>
      <c r="G1718" s="1135"/>
      <c r="H1718" s="843"/>
      <c r="I1718" s="841"/>
      <c r="J1718" s="1135"/>
      <c r="K1718" s="841"/>
      <c r="L1718" s="841"/>
      <c r="M1718" s="841"/>
      <c r="N1718" s="841"/>
      <c r="O1718" s="841"/>
      <c r="P1718" s="841"/>
      <c r="Q1718" s="841"/>
      <c r="R1718" s="841"/>
    </row>
    <row r="1719" spans="2:18">
      <c r="B1719" s="841"/>
      <c r="C1719" s="842"/>
      <c r="D1719" s="842"/>
      <c r="E1719" s="842"/>
      <c r="F1719" s="1135"/>
      <c r="G1719" s="1135"/>
      <c r="H1719" s="843"/>
      <c r="I1719" s="841"/>
      <c r="J1719" s="1135"/>
      <c r="K1719" s="841"/>
      <c r="L1719" s="841"/>
      <c r="M1719" s="841"/>
      <c r="N1719" s="841"/>
      <c r="O1719" s="841"/>
      <c r="P1719" s="841"/>
      <c r="Q1719" s="841"/>
      <c r="R1719" s="841"/>
    </row>
    <row r="1720" spans="2:18">
      <c r="B1720" s="841"/>
      <c r="C1720" s="842"/>
      <c r="D1720" s="842"/>
      <c r="E1720" s="842"/>
      <c r="F1720" s="1135"/>
      <c r="G1720" s="1135"/>
      <c r="H1720" s="843"/>
      <c r="I1720" s="841"/>
      <c r="J1720" s="1135"/>
      <c r="K1720" s="841"/>
      <c r="L1720" s="841"/>
      <c r="M1720" s="841"/>
      <c r="N1720" s="841"/>
      <c r="O1720" s="841"/>
      <c r="P1720" s="841"/>
      <c r="Q1720" s="841"/>
      <c r="R1720" s="841"/>
    </row>
    <row r="1721" spans="2:18">
      <c r="B1721" s="841"/>
      <c r="C1721" s="842"/>
      <c r="D1721" s="842"/>
      <c r="E1721" s="842"/>
      <c r="F1721" s="1135"/>
      <c r="G1721" s="1135"/>
      <c r="H1721" s="843"/>
      <c r="I1721" s="841"/>
      <c r="J1721" s="1135"/>
      <c r="K1721" s="841"/>
      <c r="L1721" s="841"/>
      <c r="M1721" s="841"/>
      <c r="N1721" s="841"/>
      <c r="O1721" s="841"/>
      <c r="P1721" s="841"/>
      <c r="Q1721" s="841"/>
      <c r="R1721" s="841"/>
    </row>
    <row r="1722" spans="2:18">
      <c r="B1722" s="841"/>
      <c r="C1722" s="842"/>
      <c r="D1722" s="842"/>
      <c r="E1722" s="842"/>
      <c r="F1722" s="1135"/>
      <c r="G1722" s="1135"/>
      <c r="H1722" s="843"/>
      <c r="I1722" s="841"/>
      <c r="J1722" s="1135"/>
      <c r="K1722" s="841"/>
      <c r="L1722" s="841"/>
      <c r="M1722" s="841"/>
      <c r="N1722" s="841"/>
      <c r="O1722" s="841"/>
      <c r="P1722" s="841"/>
      <c r="Q1722" s="841"/>
      <c r="R1722" s="841"/>
    </row>
    <row r="1723" spans="2:18">
      <c r="B1723" s="841"/>
      <c r="C1723" s="842"/>
      <c r="D1723" s="842"/>
      <c r="E1723" s="842"/>
      <c r="F1723" s="1135"/>
      <c r="G1723" s="1135"/>
      <c r="H1723" s="843"/>
      <c r="I1723" s="841"/>
      <c r="J1723" s="1135"/>
      <c r="K1723" s="841"/>
      <c r="L1723" s="841"/>
      <c r="M1723" s="841"/>
      <c r="N1723" s="841"/>
      <c r="O1723" s="841"/>
      <c r="P1723" s="841"/>
      <c r="Q1723" s="841"/>
      <c r="R1723" s="841"/>
    </row>
    <row r="1724" spans="2:18">
      <c r="B1724" s="841"/>
      <c r="C1724" s="842"/>
      <c r="D1724" s="842"/>
      <c r="E1724" s="842"/>
      <c r="F1724" s="1135"/>
      <c r="G1724" s="1135"/>
      <c r="H1724" s="843"/>
      <c r="I1724" s="841"/>
      <c r="J1724" s="1135"/>
      <c r="K1724" s="841"/>
      <c r="L1724" s="841"/>
      <c r="M1724" s="841"/>
      <c r="N1724" s="841"/>
      <c r="O1724" s="841"/>
      <c r="P1724" s="841"/>
      <c r="Q1724" s="841"/>
      <c r="R1724" s="841"/>
    </row>
    <row r="1725" spans="2:18">
      <c r="B1725" s="841"/>
      <c r="C1725" s="842"/>
      <c r="D1725" s="842"/>
      <c r="E1725" s="842"/>
      <c r="F1725" s="1135"/>
      <c r="G1725" s="1135"/>
      <c r="H1725" s="843"/>
      <c r="I1725" s="841"/>
      <c r="J1725" s="1135"/>
      <c r="K1725" s="841"/>
      <c r="L1725" s="841"/>
      <c r="M1725" s="841"/>
      <c r="N1725" s="841"/>
      <c r="O1725" s="841"/>
      <c r="P1725" s="841"/>
      <c r="Q1725" s="841"/>
      <c r="R1725" s="841"/>
    </row>
    <row r="1726" spans="2:18">
      <c r="B1726" s="841"/>
      <c r="C1726" s="842"/>
      <c r="D1726" s="842"/>
      <c r="E1726" s="842"/>
      <c r="F1726" s="1135"/>
      <c r="G1726" s="1135"/>
      <c r="H1726" s="843"/>
      <c r="I1726" s="841"/>
      <c r="J1726" s="1135"/>
      <c r="K1726" s="841"/>
      <c r="L1726" s="841"/>
      <c r="M1726" s="841"/>
      <c r="N1726" s="841"/>
      <c r="O1726" s="841"/>
      <c r="P1726" s="841"/>
      <c r="Q1726" s="841"/>
      <c r="R1726" s="841"/>
    </row>
    <row r="1727" spans="2:18">
      <c r="B1727" s="841"/>
      <c r="C1727" s="842"/>
      <c r="D1727" s="842"/>
      <c r="E1727" s="842"/>
      <c r="F1727" s="1135"/>
      <c r="G1727" s="1135"/>
      <c r="H1727" s="843"/>
      <c r="I1727" s="841"/>
      <c r="J1727" s="1135"/>
      <c r="K1727" s="841"/>
      <c r="L1727" s="841"/>
      <c r="M1727" s="841"/>
      <c r="N1727" s="841"/>
      <c r="O1727" s="841"/>
      <c r="P1727" s="841"/>
      <c r="Q1727" s="841"/>
      <c r="R1727" s="841"/>
    </row>
    <row r="1728" spans="2:18">
      <c r="B1728" s="841"/>
      <c r="C1728" s="842"/>
      <c r="D1728" s="842"/>
      <c r="E1728" s="842"/>
      <c r="F1728" s="1135"/>
      <c r="G1728" s="1135"/>
      <c r="H1728" s="843"/>
      <c r="I1728" s="841"/>
      <c r="J1728" s="1135"/>
      <c r="K1728" s="841"/>
      <c r="L1728" s="841"/>
      <c r="M1728" s="841"/>
      <c r="N1728" s="841"/>
      <c r="O1728" s="841"/>
      <c r="P1728" s="841"/>
      <c r="Q1728" s="841"/>
      <c r="R1728" s="841"/>
    </row>
    <row r="1729" spans="2:18">
      <c r="B1729" s="841"/>
      <c r="C1729" s="842"/>
      <c r="D1729" s="842"/>
      <c r="E1729" s="842"/>
      <c r="F1729" s="1135"/>
      <c r="G1729" s="1135"/>
      <c r="H1729" s="843"/>
      <c r="I1729" s="841"/>
      <c r="J1729" s="1135"/>
      <c r="K1729" s="841"/>
      <c r="L1729" s="841"/>
      <c r="M1729" s="841"/>
      <c r="N1729" s="841"/>
      <c r="O1729" s="841"/>
      <c r="P1729" s="841"/>
      <c r="Q1729" s="841"/>
      <c r="R1729" s="841"/>
    </row>
    <row r="1730" spans="2:18">
      <c r="B1730" s="841"/>
      <c r="C1730" s="842"/>
      <c r="D1730" s="842"/>
      <c r="E1730" s="842"/>
      <c r="F1730" s="1135"/>
      <c r="G1730" s="1135"/>
      <c r="H1730" s="843"/>
      <c r="I1730" s="841"/>
      <c r="J1730" s="1135"/>
      <c r="K1730" s="841"/>
      <c r="L1730" s="841"/>
      <c r="M1730" s="841"/>
      <c r="N1730" s="841"/>
      <c r="O1730" s="841"/>
      <c r="P1730" s="841"/>
      <c r="Q1730" s="841"/>
      <c r="R1730" s="841"/>
    </row>
    <row r="1731" spans="2:18">
      <c r="B1731" s="841"/>
      <c r="C1731" s="842"/>
      <c r="D1731" s="842"/>
      <c r="E1731" s="842"/>
      <c r="F1731" s="1135"/>
      <c r="G1731" s="1135"/>
      <c r="H1731" s="843"/>
      <c r="I1731" s="841"/>
      <c r="J1731" s="1135"/>
      <c r="K1731" s="841"/>
      <c r="L1731" s="841"/>
      <c r="M1731" s="841"/>
      <c r="N1731" s="841"/>
      <c r="O1731" s="841"/>
      <c r="P1731" s="841"/>
      <c r="Q1731" s="841"/>
      <c r="R1731" s="841"/>
    </row>
    <row r="1732" spans="2:18">
      <c r="B1732" s="841"/>
      <c r="C1732" s="842"/>
      <c r="D1732" s="842"/>
      <c r="E1732" s="842"/>
      <c r="F1732" s="1135"/>
      <c r="G1732" s="1135"/>
      <c r="H1732" s="843"/>
      <c r="I1732" s="841"/>
      <c r="J1732" s="1135"/>
      <c r="K1732" s="841"/>
      <c r="L1732" s="841"/>
      <c r="M1732" s="841"/>
      <c r="N1732" s="841"/>
      <c r="O1732" s="841"/>
      <c r="P1732" s="841"/>
      <c r="Q1732" s="841"/>
      <c r="R1732" s="841"/>
    </row>
    <row r="1733" spans="2:18">
      <c r="B1733" s="841"/>
      <c r="C1733" s="842"/>
      <c r="D1733" s="842"/>
      <c r="E1733" s="842"/>
      <c r="F1733" s="1135"/>
      <c r="G1733" s="1135"/>
      <c r="H1733" s="843"/>
      <c r="I1733" s="841"/>
      <c r="J1733" s="1135"/>
      <c r="K1733" s="841"/>
      <c r="L1733" s="841"/>
      <c r="M1733" s="841"/>
      <c r="N1733" s="841"/>
      <c r="O1733" s="841"/>
      <c r="P1733" s="841"/>
      <c r="Q1733" s="841"/>
      <c r="R1733" s="841"/>
    </row>
    <row r="1734" spans="2:18">
      <c r="B1734" s="841"/>
      <c r="C1734" s="842"/>
      <c r="D1734" s="842"/>
      <c r="E1734" s="842"/>
      <c r="F1734" s="1135"/>
      <c r="G1734" s="1135"/>
      <c r="H1734" s="843"/>
      <c r="I1734" s="841"/>
      <c r="J1734" s="1135"/>
      <c r="K1734" s="841"/>
      <c r="L1734" s="841"/>
      <c r="M1734" s="841"/>
      <c r="N1734" s="841"/>
      <c r="O1734" s="841"/>
      <c r="P1734" s="841"/>
      <c r="Q1734" s="841"/>
      <c r="R1734" s="841"/>
    </row>
    <row r="1735" spans="2:18">
      <c r="B1735" s="841"/>
      <c r="C1735" s="842"/>
      <c r="D1735" s="842"/>
      <c r="E1735" s="842"/>
      <c r="F1735" s="1135"/>
      <c r="G1735" s="1135"/>
      <c r="H1735" s="843"/>
      <c r="I1735" s="841"/>
      <c r="J1735" s="1135"/>
      <c r="K1735" s="841"/>
      <c r="L1735" s="841"/>
      <c r="M1735" s="841"/>
      <c r="N1735" s="841"/>
      <c r="O1735" s="841"/>
      <c r="P1735" s="841"/>
      <c r="Q1735" s="841"/>
      <c r="R1735" s="841"/>
    </row>
    <row r="1736" spans="2:18">
      <c r="B1736" s="841"/>
      <c r="C1736" s="842"/>
      <c r="D1736" s="842"/>
      <c r="E1736" s="842"/>
      <c r="F1736" s="1135"/>
      <c r="G1736" s="1135"/>
      <c r="H1736" s="843"/>
      <c r="I1736" s="841"/>
      <c r="J1736" s="1135"/>
      <c r="K1736" s="841"/>
      <c r="L1736" s="841"/>
      <c r="M1736" s="841"/>
      <c r="N1736" s="841"/>
      <c r="O1736" s="841"/>
      <c r="P1736" s="841"/>
      <c r="Q1736" s="841"/>
      <c r="R1736" s="841"/>
    </row>
    <row r="1737" spans="2:18">
      <c r="B1737" s="841"/>
      <c r="C1737" s="842"/>
      <c r="D1737" s="842"/>
      <c r="E1737" s="842"/>
      <c r="F1737" s="1135"/>
      <c r="G1737" s="1135"/>
      <c r="H1737" s="843"/>
      <c r="I1737" s="841"/>
      <c r="J1737" s="1135"/>
      <c r="K1737" s="841"/>
      <c r="L1737" s="841"/>
      <c r="M1737" s="841"/>
      <c r="N1737" s="841"/>
      <c r="O1737" s="841"/>
      <c r="P1737" s="841"/>
      <c r="Q1737" s="841"/>
      <c r="R1737" s="841"/>
    </row>
    <row r="1738" spans="2:18">
      <c r="B1738" s="841"/>
      <c r="C1738" s="842"/>
      <c r="D1738" s="842"/>
      <c r="E1738" s="842"/>
      <c r="F1738" s="1135"/>
      <c r="G1738" s="1135"/>
      <c r="H1738" s="843"/>
      <c r="I1738" s="841"/>
      <c r="J1738" s="1135"/>
      <c r="K1738" s="841"/>
      <c r="L1738" s="841"/>
      <c r="M1738" s="841"/>
      <c r="N1738" s="841"/>
      <c r="O1738" s="841"/>
      <c r="P1738" s="841"/>
      <c r="Q1738" s="841"/>
      <c r="R1738" s="841"/>
    </row>
    <row r="1739" spans="2:18">
      <c r="B1739" s="841"/>
      <c r="C1739" s="842"/>
      <c r="D1739" s="842"/>
      <c r="E1739" s="842"/>
      <c r="F1739" s="1135"/>
      <c r="G1739" s="1135"/>
      <c r="H1739" s="843"/>
      <c r="I1739" s="841"/>
      <c r="J1739" s="1135"/>
      <c r="K1739" s="841"/>
      <c r="L1739" s="841"/>
      <c r="M1739" s="841"/>
      <c r="N1739" s="841"/>
      <c r="O1739" s="841"/>
      <c r="P1739" s="841"/>
      <c r="Q1739" s="841"/>
      <c r="R1739" s="841"/>
    </row>
    <row r="1740" spans="2:18">
      <c r="B1740" s="841"/>
      <c r="C1740" s="842"/>
      <c r="D1740" s="842"/>
      <c r="E1740" s="842"/>
      <c r="F1740" s="1135"/>
      <c r="G1740" s="1135"/>
      <c r="H1740" s="843"/>
      <c r="I1740" s="841"/>
      <c r="J1740" s="1135"/>
      <c r="K1740" s="841"/>
      <c r="L1740" s="841"/>
      <c r="M1740" s="841"/>
      <c r="N1740" s="841"/>
      <c r="O1740" s="841"/>
      <c r="P1740" s="841"/>
      <c r="Q1740" s="841"/>
      <c r="R1740" s="841"/>
    </row>
    <row r="1741" spans="2:18">
      <c r="B1741" s="841"/>
      <c r="C1741" s="842"/>
      <c r="D1741" s="842"/>
      <c r="E1741" s="842"/>
      <c r="F1741" s="1135"/>
      <c r="G1741" s="1135"/>
      <c r="H1741" s="843"/>
      <c r="I1741" s="841"/>
      <c r="J1741" s="1135"/>
      <c r="K1741" s="841"/>
      <c r="L1741" s="841"/>
      <c r="M1741" s="841"/>
      <c r="N1741" s="841"/>
      <c r="O1741" s="841"/>
      <c r="P1741" s="841"/>
      <c r="Q1741" s="841"/>
      <c r="R1741" s="841"/>
    </row>
    <row r="1742" spans="2:18">
      <c r="B1742" s="841"/>
      <c r="C1742" s="842"/>
      <c r="D1742" s="842"/>
      <c r="E1742" s="842"/>
      <c r="F1742" s="1135"/>
      <c r="G1742" s="1135"/>
      <c r="H1742" s="843"/>
      <c r="I1742" s="841"/>
      <c r="J1742" s="1135"/>
      <c r="K1742" s="841"/>
      <c r="L1742" s="841"/>
      <c r="M1742" s="841"/>
      <c r="N1742" s="841"/>
      <c r="O1742" s="841"/>
      <c r="P1742" s="841"/>
      <c r="Q1742" s="841"/>
      <c r="R1742" s="841"/>
    </row>
    <row r="1743" spans="2:18">
      <c r="B1743" s="841"/>
      <c r="C1743" s="842"/>
      <c r="D1743" s="842"/>
      <c r="E1743" s="842"/>
      <c r="F1743" s="1135"/>
      <c r="G1743" s="1135"/>
      <c r="H1743" s="843"/>
      <c r="I1743" s="841"/>
      <c r="J1743" s="1135"/>
      <c r="K1743" s="841"/>
      <c r="L1743" s="841"/>
      <c r="M1743" s="841"/>
      <c r="N1743" s="841"/>
      <c r="O1743" s="841"/>
      <c r="P1743" s="841"/>
      <c r="Q1743" s="841"/>
      <c r="R1743" s="841"/>
    </row>
    <row r="1744" spans="2:18">
      <c r="B1744" s="841"/>
      <c r="C1744" s="842"/>
      <c r="D1744" s="842"/>
      <c r="E1744" s="842"/>
      <c r="F1744" s="1135"/>
      <c r="G1744" s="1135"/>
      <c r="H1744" s="843"/>
      <c r="I1744" s="841"/>
      <c r="J1744" s="1135"/>
      <c r="K1744" s="841"/>
      <c r="L1744" s="841"/>
      <c r="M1744" s="841"/>
      <c r="N1744" s="841"/>
      <c r="O1744" s="841"/>
      <c r="P1744" s="841"/>
      <c r="Q1744" s="841"/>
      <c r="R1744" s="841"/>
    </row>
    <row r="1745" spans="2:18">
      <c r="B1745" s="841"/>
      <c r="C1745" s="842"/>
      <c r="D1745" s="842"/>
      <c r="E1745" s="842"/>
      <c r="F1745" s="1135"/>
      <c r="G1745" s="1135"/>
      <c r="H1745" s="843"/>
      <c r="I1745" s="841"/>
      <c r="J1745" s="1135"/>
      <c r="K1745" s="841"/>
      <c r="L1745" s="841"/>
      <c r="M1745" s="841"/>
      <c r="N1745" s="841"/>
      <c r="O1745" s="841"/>
      <c r="P1745" s="841"/>
      <c r="Q1745" s="841"/>
      <c r="R1745" s="841"/>
    </row>
    <row r="1746" spans="2:18">
      <c r="B1746" s="841"/>
      <c r="C1746" s="842"/>
      <c r="D1746" s="842"/>
      <c r="E1746" s="842"/>
      <c r="F1746" s="1135"/>
      <c r="G1746" s="1135"/>
      <c r="H1746" s="843"/>
      <c r="I1746" s="841"/>
      <c r="J1746" s="1135"/>
      <c r="K1746" s="841"/>
      <c r="L1746" s="841"/>
      <c r="M1746" s="841"/>
      <c r="N1746" s="841"/>
      <c r="O1746" s="841"/>
      <c r="P1746" s="841"/>
      <c r="Q1746" s="841"/>
      <c r="R1746" s="841"/>
    </row>
    <row r="1747" spans="2:18">
      <c r="B1747" s="841"/>
      <c r="C1747" s="842"/>
      <c r="D1747" s="842"/>
      <c r="E1747" s="842"/>
      <c r="F1747" s="1135"/>
      <c r="G1747" s="1135"/>
      <c r="H1747" s="843"/>
      <c r="I1747" s="841"/>
      <c r="J1747" s="1135"/>
      <c r="K1747" s="841"/>
      <c r="L1747" s="841"/>
      <c r="M1747" s="841"/>
      <c r="N1747" s="841"/>
      <c r="O1747" s="841"/>
      <c r="P1747" s="841"/>
      <c r="Q1747" s="841"/>
      <c r="R1747" s="841"/>
    </row>
    <row r="1748" spans="2:18">
      <c r="B1748" s="841"/>
      <c r="C1748" s="842"/>
      <c r="D1748" s="842"/>
      <c r="E1748" s="842"/>
      <c r="F1748" s="1135"/>
      <c r="G1748" s="1135"/>
      <c r="H1748" s="843"/>
      <c r="I1748" s="841"/>
      <c r="J1748" s="1135"/>
      <c r="K1748" s="841"/>
      <c r="L1748" s="841"/>
      <c r="M1748" s="841"/>
      <c r="N1748" s="841"/>
      <c r="O1748" s="841"/>
      <c r="P1748" s="841"/>
      <c r="Q1748" s="841"/>
      <c r="R1748" s="841"/>
    </row>
    <row r="1749" spans="2:18">
      <c r="B1749" s="841"/>
      <c r="C1749" s="842"/>
      <c r="D1749" s="842"/>
      <c r="E1749" s="842"/>
      <c r="F1749" s="1135"/>
      <c r="G1749" s="1135"/>
      <c r="H1749" s="843"/>
      <c r="I1749" s="841"/>
      <c r="J1749" s="1135"/>
      <c r="K1749" s="841"/>
      <c r="L1749" s="841"/>
      <c r="M1749" s="841"/>
      <c r="N1749" s="841"/>
      <c r="O1749" s="841"/>
      <c r="P1749" s="841"/>
      <c r="Q1749" s="841"/>
      <c r="R1749" s="841"/>
    </row>
    <row r="1750" spans="2:18">
      <c r="B1750" s="841"/>
      <c r="C1750" s="842"/>
      <c r="D1750" s="842"/>
      <c r="E1750" s="842"/>
      <c r="F1750" s="1135"/>
      <c r="G1750" s="1135"/>
      <c r="H1750" s="843"/>
      <c r="I1750" s="841"/>
      <c r="J1750" s="1135"/>
      <c r="K1750" s="841"/>
      <c r="L1750" s="841"/>
      <c r="M1750" s="841"/>
      <c r="N1750" s="841"/>
      <c r="O1750" s="841"/>
      <c r="P1750" s="841"/>
      <c r="Q1750" s="841"/>
      <c r="R1750" s="841"/>
    </row>
    <row r="1751" spans="2:18">
      <c r="B1751" s="841"/>
      <c r="C1751" s="842"/>
      <c r="D1751" s="842"/>
      <c r="E1751" s="842"/>
      <c r="F1751" s="1135"/>
      <c r="G1751" s="1135"/>
      <c r="H1751" s="843"/>
      <c r="I1751" s="841"/>
      <c r="J1751" s="1135"/>
      <c r="K1751" s="841"/>
      <c r="L1751" s="841"/>
      <c r="M1751" s="841"/>
      <c r="N1751" s="841"/>
      <c r="O1751" s="841"/>
      <c r="P1751" s="841"/>
      <c r="Q1751" s="841"/>
      <c r="R1751" s="841"/>
    </row>
    <row r="1752" spans="2:18">
      <c r="B1752" s="841"/>
      <c r="C1752" s="842"/>
      <c r="D1752" s="842"/>
      <c r="E1752" s="842"/>
      <c r="F1752" s="1135"/>
      <c r="G1752" s="1135"/>
      <c r="H1752" s="843"/>
      <c r="I1752" s="841"/>
      <c r="J1752" s="1135"/>
      <c r="K1752" s="841"/>
      <c r="L1752" s="841"/>
      <c r="M1752" s="841"/>
      <c r="N1752" s="841"/>
      <c r="O1752" s="841"/>
      <c r="P1752" s="841"/>
      <c r="Q1752" s="841"/>
      <c r="R1752" s="841"/>
    </row>
    <row r="1753" spans="2:18">
      <c r="B1753" s="841"/>
      <c r="C1753" s="842"/>
      <c r="D1753" s="842"/>
      <c r="E1753" s="842"/>
      <c r="F1753" s="1135"/>
      <c r="G1753" s="1135"/>
      <c r="H1753" s="843"/>
      <c r="I1753" s="841"/>
      <c r="J1753" s="1135"/>
      <c r="K1753" s="841"/>
      <c r="L1753" s="841"/>
      <c r="M1753" s="841"/>
      <c r="N1753" s="841"/>
      <c r="O1753" s="841"/>
      <c r="P1753" s="841"/>
      <c r="Q1753" s="841"/>
      <c r="R1753" s="841"/>
    </row>
    <row r="1754" spans="2:18">
      <c r="B1754" s="841"/>
      <c r="C1754" s="842"/>
      <c r="D1754" s="842"/>
      <c r="E1754" s="842"/>
      <c r="F1754" s="1135"/>
      <c r="G1754" s="1135"/>
      <c r="H1754" s="843"/>
      <c r="I1754" s="841"/>
      <c r="J1754" s="1135"/>
      <c r="K1754" s="841"/>
      <c r="L1754" s="841"/>
      <c r="M1754" s="841"/>
      <c r="N1754" s="841"/>
      <c r="O1754" s="841"/>
      <c r="P1754" s="841"/>
      <c r="Q1754" s="841"/>
      <c r="R1754" s="841"/>
    </row>
    <row r="1755" spans="2:18">
      <c r="B1755" s="841"/>
      <c r="C1755" s="842"/>
      <c r="D1755" s="842"/>
      <c r="E1755" s="842"/>
      <c r="F1755" s="1135"/>
      <c r="G1755" s="1135"/>
      <c r="H1755" s="843"/>
      <c r="I1755" s="841"/>
      <c r="J1755" s="1135"/>
      <c r="K1755" s="841"/>
      <c r="L1755" s="841"/>
      <c r="M1755" s="841"/>
      <c r="N1755" s="841"/>
      <c r="O1755" s="841"/>
      <c r="P1755" s="841"/>
      <c r="Q1755" s="841"/>
      <c r="R1755" s="841"/>
    </row>
    <row r="1756" spans="2:18">
      <c r="B1756" s="841"/>
      <c r="C1756" s="842"/>
      <c r="D1756" s="842"/>
      <c r="E1756" s="842"/>
      <c r="F1756" s="1135"/>
      <c r="G1756" s="1135"/>
      <c r="H1756" s="843"/>
      <c r="I1756" s="841"/>
      <c r="J1756" s="1135"/>
      <c r="K1756" s="841"/>
      <c r="L1756" s="841"/>
      <c r="M1756" s="841"/>
      <c r="N1756" s="841"/>
      <c r="O1756" s="841"/>
      <c r="P1756" s="841"/>
      <c r="Q1756" s="841"/>
      <c r="R1756" s="841"/>
    </row>
    <row r="1757" spans="2:18">
      <c r="B1757" s="841"/>
      <c r="C1757" s="842"/>
      <c r="D1757" s="842"/>
      <c r="E1757" s="842"/>
      <c r="F1757" s="1135"/>
      <c r="G1757" s="1135"/>
      <c r="H1757" s="843"/>
      <c r="I1757" s="841"/>
      <c r="J1757" s="1135"/>
      <c r="K1757" s="841"/>
      <c r="L1757" s="841"/>
      <c r="M1757" s="841"/>
      <c r="N1757" s="841"/>
      <c r="O1757" s="841"/>
      <c r="P1757" s="841"/>
      <c r="Q1757" s="841"/>
      <c r="R1757" s="841"/>
    </row>
    <row r="1758" spans="2:18">
      <c r="B1758" s="841"/>
      <c r="C1758" s="842"/>
      <c r="D1758" s="842"/>
      <c r="E1758" s="842"/>
      <c r="F1758" s="1135"/>
      <c r="G1758" s="1135"/>
      <c r="H1758" s="843"/>
      <c r="I1758" s="841"/>
      <c r="J1758" s="1135"/>
      <c r="K1758" s="841"/>
      <c r="L1758" s="841"/>
      <c r="M1758" s="841"/>
      <c r="N1758" s="841"/>
      <c r="O1758" s="841"/>
      <c r="P1758" s="841"/>
      <c r="Q1758" s="841"/>
      <c r="R1758" s="841"/>
    </row>
    <row r="1759" spans="2:18">
      <c r="B1759" s="841"/>
      <c r="C1759" s="842"/>
      <c r="D1759" s="842"/>
      <c r="E1759" s="842"/>
      <c r="F1759" s="1135"/>
      <c r="G1759" s="1135"/>
      <c r="H1759" s="843"/>
      <c r="I1759" s="841"/>
      <c r="J1759" s="1135"/>
      <c r="K1759" s="841"/>
      <c r="L1759" s="841"/>
      <c r="M1759" s="841"/>
      <c r="N1759" s="841"/>
      <c r="O1759" s="841"/>
      <c r="P1759" s="841"/>
      <c r="Q1759" s="841"/>
      <c r="R1759" s="841"/>
    </row>
    <row r="1760" spans="2:18">
      <c r="B1760" s="841"/>
      <c r="C1760" s="842"/>
      <c r="D1760" s="842"/>
      <c r="E1760" s="842"/>
      <c r="F1760" s="1135"/>
      <c r="G1760" s="1135"/>
      <c r="H1760" s="843"/>
      <c r="I1760" s="841"/>
      <c r="J1760" s="1135"/>
      <c r="K1760" s="841"/>
      <c r="L1760" s="841"/>
      <c r="M1760" s="841"/>
      <c r="N1760" s="841"/>
      <c r="O1760" s="841"/>
      <c r="P1760" s="841"/>
      <c r="Q1760" s="841"/>
      <c r="R1760" s="841"/>
    </row>
    <row r="1761" spans="2:18">
      <c r="B1761" s="841"/>
      <c r="C1761" s="842"/>
      <c r="D1761" s="842"/>
      <c r="E1761" s="842"/>
      <c r="F1761" s="1135"/>
      <c r="G1761" s="1135"/>
      <c r="H1761" s="843"/>
      <c r="I1761" s="841"/>
      <c r="J1761" s="1135"/>
      <c r="K1761" s="841"/>
      <c r="L1761" s="841"/>
      <c r="M1761" s="841"/>
      <c r="N1761" s="841"/>
      <c r="O1761" s="841"/>
      <c r="P1761" s="841"/>
      <c r="Q1761" s="841"/>
      <c r="R1761" s="841"/>
    </row>
    <row r="1762" spans="2:18">
      <c r="B1762" s="841"/>
      <c r="C1762" s="842"/>
      <c r="D1762" s="842"/>
      <c r="E1762" s="842"/>
      <c r="F1762" s="1135"/>
      <c r="G1762" s="1135"/>
      <c r="H1762" s="843"/>
      <c r="I1762" s="841"/>
      <c r="J1762" s="1135"/>
      <c r="K1762" s="841"/>
      <c r="L1762" s="841"/>
      <c r="M1762" s="841"/>
      <c r="N1762" s="841"/>
      <c r="O1762" s="841"/>
      <c r="P1762" s="841"/>
      <c r="Q1762" s="841"/>
      <c r="R1762" s="841"/>
    </row>
    <row r="1763" spans="2:18">
      <c r="B1763" s="841"/>
      <c r="C1763" s="842"/>
      <c r="D1763" s="842"/>
      <c r="E1763" s="842"/>
      <c r="F1763" s="1135"/>
      <c r="G1763" s="1135"/>
      <c r="H1763" s="843"/>
      <c r="I1763" s="841"/>
      <c r="J1763" s="1135"/>
      <c r="K1763" s="841"/>
      <c r="L1763" s="841"/>
      <c r="M1763" s="841"/>
      <c r="N1763" s="841"/>
      <c r="O1763" s="841"/>
      <c r="P1763" s="841"/>
      <c r="Q1763" s="841"/>
      <c r="R1763" s="841"/>
    </row>
    <row r="1764" spans="2:18">
      <c r="B1764" s="841"/>
      <c r="C1764" s="842"/>
      <c r="D1764" s="842"/>
      <c r="E1764" s="842"/>
      <c r="F1764" s="1135"/>
      <c r="G1764" s="1135"/>
      <c r="H1764" s="843"/>
      <c r="I1764" s="841"/>
      <c r="J1764" s="1135"/>
      <c r="K1764" s="841"/>
      <c r="L1764" s="841"/>
      <c r="M1764" s="841"/>
      <c r="N1764" s="841"/>
      <c r="O1764" s="841"/>
      <c r="P1764" s="841"/>
      <c r="Q1764" s="841"/>
      <c r="R1764" s="841"/>
    </row>
    <row r="1765" spans="2:18">
      <c r="B1765" s="841"/>
      <c r="C1765" s="842"/>
      <c r="D1765" s="842"/>
      <c r="E1765" s="842"/>
      <c r="F1765" s="1135"/>
      <c r="G1765" s="1135"/>
      <c r="H1765" s="843"/>
      <c r="I1765" s="841"/>
      <c r="J1765" s="1135"/>
      <c r="K1765" s="841"/>
      <c r="L1765" s="841"/>
      <c r="M1765" s="841"/>
      <c r="N1765" s="841"/>
      <c r="O1765" s="841"/>
      <c r="P1765" s="841"/>
      <c r="Q1765" s="841"/>
      <c r="R1765" s="841"/>
    </row>
    <row r="1766" spans="2:18">
      <c r="B1766" s="841"/>
      <c r="C1766" s="842"/>
      <c r="D1766" s="842"/>
      <c r="E1766" s="842"/>
      <c r="F1766" s="1135"/>
      <c r="G1766" s="1135"/>
      <c r="H1766" s="843"/>
      <c r="I1766" s="841"/>
      <c r="J1766" s="1135"/>
      <c r="K1766" s="841"/>
      <c r="L1766" s="841"/>
      <c r="M1766" s="841"/>
      <c r="N1766" s="841"/>
      <c r="O1766" s="841"/>
      <c r="P1766" s="841"/>
      <c r="Q1766" s="841"/>
      <c r="R1766" s="841"/>
    </row>
    <row r="1767" spans="2:18">
      <c r="B1767" s="841"/>
      <c r="C1767" s="842"/>
      <c r="D1767" s="842"/>
      <c r="E1767" s="842"/>
      <c r="F1767" s="1135"/>
      <c r="G1767" s="1135"/>
      <c r="H1767" s="843"/>
      <c r="I1767" s="841"/>
      <c r="J1767" s="1135"/>
      <c r="K1767" s="841"/>
      <c r="L1767" s="841"/>
      <c r="M1767" s="841"/>
      <c r="N1767" s="841"/>
      <c r="O1767" s="841"/>
      <c r="P1767" s="841"/>
      <c r="Q1767" s="841"/>
      <c r="R1767" s="841"/>
    </row>
    <row r="1768" spans="2:18">
      <c r="B1768" s="841"/>
      <c r="C1768" s="842"/>
      <c r="D1768" s="842"/>
      <c r="E1768" s="842"/>
      <c r="F1768" s="1135"/>
      <c r="G1768" s="1135"/>
      <c r="H1768" s="843"/>
      <c r="I1768" s="841"/>
      <c r="J1768" s="1135"/>
      <c r="K1768" s="841"/>
      <c r="L1768" s="841"/>
      <c r="M1768" s="841"/>
      <c r="N1768" s="841"/>
      <c r="O1768" s="841"/>
      <c r="P1768" s="841"/>
      <c r="Q1768" s="841"/>
      <c r="R1768" s="841"/>
    </row>
    <row r="1769" spans="2:18">
      <c r="B1769" s="841"/>
      <c r="C1769" s="842"/>
      <c r="D1769" s="842"/>
      <c r="E1769" s="842"/>
      <c r="F1769" s="1135"/>
      <c r="G1769" s="1135"/>
      <c r="H1769" s="843"/>
      <c r="I1769" s="841"/>
      <c r="J1769" s="1135"/>
      <c r="K1769" s="841"/>
      <c r="L1769" s="841"/>
      <c r="M1769" s="841"/>
      <c r="N1769" s="841"/>
      <c r="O1769" s="841"/>
      <c r="P1769" s="841"/>
      <c r="Q1769" s="841"/>
      <c r="R1769" s="841"/>
    </row>
    <row r="1770" spans="2:18">
      <c r="B1770" s="841"/>
      <c r="C1770" s="842"/>
      <c r="D1770" s="842"/>
      <c r="E1770" s="842"/>
      <c r="F1770" s="1135"/>
      <c r="G1770" s="1135"/>
      <c r="H1770" s="843"/>
      <c r="I1770" s="841"/>
      <c r="J1770" s="1135"/>
      <c r="K1770" s="841"/>
      <c r="L1770" s="841"/>
      <c r="M1770" s="841"/>
      <c r="N1770" s="841"/>
      <c r="O1770" s="841"/>
      <c r="P1770" s="841"/>
      <c r="Q1770" s="841"/>
      <c r="R1770" s="841"/>
    </row>
    <row r="1771" spans="2:18">
      <c r="B1771" s="841"/>
      <c r="C1771" s="842"/>
      <c r="D1771" s="842"/>
      <c r="E1771" s="842"/>
      <c r="F1771" s="1135"/>
      <c r="G1771" s="1135"/>
      <c r="H1771" s="843"/>
      <c r="I1771" s="841"/>
      <c r="J1771" s="1135"/>
      <c r="K1771" s="841"/>
      <c r="L1771" s="841"/>
      <c r="M1771" s="841"/>
      <c r="N1771" s="841"/>
      <c r="O1771" s="841"/>
      <c r="P1771" s="841"/>
      <c r="Q1771" s="841"/>
      <c r="R1771" s="841"/>
    </row>
    <row r="1772" spans="2:18">
      <c r="B1772" s="841"/>
      <c r="C1772" s="842"/>
      <c r="D1772" s="842"/>
      <c r="E1772" s="842"/>
      <c r="F1772" s="1135"/>
      <c r="G1772" s="1135"/>
      <c r="H1772" s="843"/>
      <c r="I1772" s="841"/>
      <c r="J1772" s="1135"/>
      <c r="K1772" s="841"/>
      <c r="L1772" s="841"/>
      <c r="M1772" s="841"/>
      <c r="N1772" s="841"/>
      <c r="O1772" s="841"/>
      <c r="P1772" s="841"/>
      <c r="Q1772" s="841"/>
      <c r="R1772" s="841"/>
    </row>
    <row r="1773" spans="2:18">
      <c r="B1773" s="841"/>
      <c r="C1773" s="842"/>
      <c r="D1773" s="842"/>
      <c r="E1773" s="842"/>
      <c r="F1773" s="1135"/>
      <c r="G1773" s="1135"/>
      <c r="H1773" s="843"/>
      <c r="I1773" s="841"/>
      <c r="J1773" s="1135"/>
      <c r="K1773" s="841"/>
      <c r="L1773" s="841"/>
      <c r="M1773" s="841"/>
      <c r="N1773" s="841"/>
      <c r="O1773" s="841"/>
      <c r="P1773" s="841"/>
      <c r="Q1773" s="841"/>
      <c r="R1773" s="841"/>
    </row>
    <row r="1774" spans="2:18">
      <c r="B1774" s="841"/>
      <c r="C1774" s="842"/>
      <c r="D1774" s="842"/>
      <c r="E1774" s="842"/>
      <c r="F1774" s="1135"/>
      <c r="G1774" s="1135"/>
      <c r="H1774" s="843"/>
      <c r="I1774" s="841"/>
      <c r="J1774" s="1135"/>
      <c r="K1774" s="841"/>
      <c r="L1774" s="841"/>
      <c r="M1774" s="841"/>
      <c r="N1774" s="841"/>
      <c r="O1774" s="841"/>
      <c r="P1774" s="841"/>
      <c r="Q1774" s="841"/>
      <c r="R1774" s="841"/>
    </row>
    <row r="1775" spans="2:18">
      <c r="B1775" s="841"/>
      <c r="C1775" s="842"/>
      <c r="D1775" s="842"/>
      <c r="E1775" s="842"/>
      <c r="F1775" s="1135"/>
      <c r="G1775" s="1135"/>
      <c r="H1775" s="843"/>
      <c r="I1775" s="841"/>
      <c r="J1775" s="1135"/>
      <c r="K1775" s="841"/>
      <c r="L1775" s="841"/>
      <c r="M1775" s="841"/>
      <c r="N1775" s="841"/>
      <c r="O1775" s="841"/>
      <c r="P1775" s="841"/>
      <c r="Q1775" s="841"/>
      <c r="R1775" s="841"/>
    </row>
    <row r="1776" spans="2:18">
      <c r="B1776" s="841"/>
      <c r="C1776" s="842"/>
      <c r="D1776" s="842"/>
      <c r="E1776" s="842"/>
      <c r="F1776" s="1135"/>
      <c r="G1776" s="1135"/>
      <c r="H1776" s="843"/>
      <c r="I1776" s="841"/>
      <c r="J1776" s="1135"/>
      <c r="K1776" s="841"/>
      <c r="L1776" s="841"/>
      <c r="M1776" s="841"/>
      <c r="N1776" s="841"/>
      <c r="O1776" s="841"/>
      <c r="P1776" s="841"/>
      <c r="Q1776" s="841"/>
      <c r="R1776" s="841"/>
    </row>
    <row r="1777" spans="2:18">
      <c r="B1777" s="841"/>
      <c r="C1777" s="842"/>
      <c r="D1777" s="842"/>
      <c r="E1777" s="842"/>
      <c r="F1777" s="1135"/>
      <c r="G1777" s="1135"/>
      <c r="H1777" s="843"/>
      <c r="I1777" s="841"/>
      <c r="J1777" s="1135"/>
      <c r="K1777" s="841"/>
      <c r="L1777" s="841"/>
      <c r="M1777" s="841"/>
      <c r="N1777" s="841"/>
      <c r="O1777" s="841"/>
      <c r="P1777" s="841"/>
      <c r="Q1777" s="841"/>
      <c r="R1777" s="841"/>
    </row>
    <row r="1778" spans="2:18">
      <c r="B1778" s="841"/>
      <c r="C1778" s="842"/>
      <c r="D1778" s="842"/>
      <c r="E1778" s="842"/>
      <c r="F1778" s="1135"/>
      <c r="G1778" s="1135"/>
      <c r="H1778" s="843"/>
      <c r="I1778" s="841"/>
      <c r="J1778" s="1135"/>
      <c r="K1778" s="841"/>
      <c r="L1778" s="841"/>
      <c r="M1778" s="841"/>
      <c r="N1778" s="841"/>
      <c r="O1778" s="841"/>
      <c r="P1778" s="841"/>
      <c r="Q1778" s="841"/>
      <c r="R1778" s="841"/>
    </row>
    <row r="1779" spans="2:18">
      <c r="B1779" s="841"/>
      <c r="C1779" s="842"/>
      <c r="D1779" s="842"/>
      <c r="E1779" s="842"/>
      <c r="F1779" s="1135"/>
      <c r="G1779" s="1135"/>
      <c r="H1779" s="843"/>
      <c r="I1779" s="841"/>
      <c r="J1779" s="1135"/>
      <c r="K1779" s="841"/>
      <c r="L1779" s="841"/>
      <c r="M1779" s="841"/>
      <c r="N1779" s="841"/>
      <c r="O1779" s="841"/>
      <c r="P1779" s="841"/>
      <c r="Q1779" s="841"/>
      <c r="R1779" s="841"/>
    </row>
    <row r="1780" spans="2:18">
      <c r="B1780" s="841"/>
      <c r="C1780" s="842"/>
      <c r="D1780" s="842"/>
      <c r="E1780" s="842"/>
      <c r="F1780" s="1135"/>
      <c r="G1780" s="1135"/>
      <c r="H1780" s="843"/>
      <c r="I1780" s="841"/>
      <c r="J1780" s="1135"/>
      <c r="K1780" s="841"/>
      <c r="L1780" s="841"/>
      <c r="M1780" s="841"/>
      <c r="N1780" s="841"/>
      <c r="O1780" s="841"/>
      <c r="P1780" s="841"/>
      <c r="Q1780" s="841"/>
      <c r="R1780" s="841"/>
    </row>
    <row r="1781" spans="2:18">
      <c r="B1781" s="841"/>
      <c r="C1781" s="842"/>
      <c r="D1781" s="842"/>
      <c r="E1781" s="842"/>
      <c r="F1781" s="1135"/>
      <c r="G1781" s="1135"/>
      <c r="H1781" s="843"/>
      <c r="I1781" s="841"/>
      <c r="J1781" s="1135"/>
      <c r="K1781" s="841"/>
      <c r="L1781" s="841"/>
      <c r="M1781" s="841"/>
      <c r="N1781" s="841"/>
      <c r="O1781" s="841"/>
      <c r="P1781" s="841"/>
      <c r="Q1781" s="841"/>
      <c r="R1781" s="841"/>
    </row>
    <row r="1782" spans="2:18">
      <c r="B1782" s="841"/>
      <c r="C1782" s="842"/>
      <c r="D1782" s="842"/>
      <c r="E1782" s="842"/>
      <c r="F1782" s="1135"/>
      <c r="G1782" s="1135"/>
      <c r="H1782" s="843"/>
      <c r="I1782" s="841"/>
      <c r="J1782" s="1135"/>
      <c r="K1782" s="841"/>
      <c r="L1782" s="841"/>
      <c r="M1782" s="841"/>
      <c r="N1782" s="841"/>
      <c r="O1782" s="841"/>
      <c r="P1782" s="841"/>
      <c r="Q1782" s="841"/>
      <c r="R1782" s="841"/>
    </row>
    <row r="1783" spans="2:18">
      <c r="B1783" s="841"/>
      <c r="C1783" s="842"/>
      <c r="D1783" s="842"/>
      <c r="E1783" s="842"/>
      <c r="F1783" s="1135"/>
      <c r="G1783" s="1135"/>
      <c r="H1783" s="843"/>
      <c r="I1783" s="841"/>
      <c r="J1783" s="1135"/>
      <c r="K1783" s="841"/>
      <c r="L1783" s="841"/>
      <c r="M1783" s="841"/>
      <c r="N1783" s="841"/>
      <c r="O1783" s="841"/>
      <c r="P1783" s="841"/>
      <c r="Q1783" s="841"/>
      <c r="R1783" s="841"/>
    </row>
    <row r="1784" spans="2:18">
      <c r="B1784" s="841"/>
      <c r="C1784" s="842"/>
      <c r="D1784" s="842"/>
      <c r="E1784" s="842"/>
      <c r="F1784" s="1135"/>
      <c r="G1784" s="1135"/>
      <c r="H1784" s="843"/>
      <c r="I1784" s="841"/>
      <c r="J1784" s="1135"/>
      <c r="K1784" s="841"/>
      <c r="L1784" s="841"/>
      <c r="M1784" s="841"/>
      <c r="N1784" s="841"/>
      <c r="O1784" s="841"/>
      <c r="P1784" s="841"/>
      <c r="Q1784" s="841"/>
      <c r="R1784" s="841"/>
    </row>
    <row r="1785" spans="2:18">
      <c r="B1785" s="841"/>
      <c r="C1785" s="842"/>
      <c r="D1785" s="842"/>
      <c r="E1785" s="842"/>
      <c r="F1785" s="1135"/>
      <c r="G1785" s="1135"/>
      <c r="H1785" s="843"/>
      <c r="I1785" s="841"/>
      <c r="J1785" s="1135"/>
      <c r="K1785" s="841"/>
      <c r="L1785" s="841"/>
      <c r="M1785" s="841"/>
      <c r="N1785" s="841"/>
      <c r="O1785" s="841"/>
      <c r="P1785" s="841"/>
      <c r="Q1785" s="841"/>
      <c r="R1785" s="841"/>
    </row>
    <row r="1786" spans="2:18">
      <c r="B1786" s="841"/>
      <c r="C1786" s="842"/>
      <c r="D1786" s="842"/>
      <c r="E1786" s="842"/>
      <c r="F1786" s="1135"/>
      <c r="G1786" s="1135"/>
      <c r="H1786" s="843"/>
      <c r="I1786" s="841"/>
      <c r="J1786" s="1135"/>
      <c r="K1786" s="841"/>
      <c r="L1786" s="841"/>
      <c r="M1786" s="841"/>
      <c r="N1786" s="841"/>
      <c r="O1786" s="841"/>
      <c r="P1786" s="841"/>
      <c r="Q1786" s="841"/>
      <c r="R1786" s="841"/>
    </row>
    <row r="1787" spans="2:18">
      <c r="B1787" s="841"/>
      <c r="C1787" s="842"/>
      <c r="D1787" s="842"/>
      <c r="E1787" s="842"/>
      <c r="F1787" s="1135"/>
      <c r="G1787" s="1135"/>
      <c r="H1787" s="843"/>
      <c r="I1787" s="841"/>
      <c r="J1787" s="1135"/>
      <c r="K1787" s="841"/>
      <c r="L1787" s="841"/>
      <c r="M1787" s="841"/>
      <c r="N1787" s="841"/>
      <c r="O1787" s="841"/>
      <c r="P1787" s="841"/>
      <c r="Q1787" s="841"/>
      <c r="R1787" s="841"/>
    </row>
    <row r="1788" spans="2:18">
      <c r="B1788" s="841"/>
      <c r="C1788" s="842"/>
      <c r="D1788" s="842"/>
      <c r="E1788" s="842"/>
      <c r="F1788" s="1135"/>
      <c r="G1788" s="1135"/>
      <c r="H1788" s="843"/>
      <c r="I1788" s="841"/>
      <c r="J1788" s="1135"/>
      <c r="K1788" s="841"/>
      <c r="L1788" s="841"/>
      <c r="M1788" s="841"/>
      <c r="N1788" s="841"/>
      <c r="O1788" s="841"/>
      <c r="P1788" s="841"/>
      <c r="Q1788" s="841"/>
      <c r="R1788" s="841"/>
    </row>
    <row r="1789" spans="2:18">
      <c r="B1789" s="841"/>
      <c r="C1789" s="842"/>
      <c r="D1789" s="842"/>
      <c r="E1789" s="842"/>
      <c r="F1789" s="1135"/>
      <c r="G1789" s="1135"/>
      <c r="H1789" s="843"/>
      <c r="I1789" s="841"/>
      <c r="J1789" s="1135"/>
      <c r="K1789" s="841"/>
      <c r="L1789" s="841"/>
      <c r="M1789" s="841"/>
      <c r="N1789" s="841"/>
      <c r="O1789" s="841"/>
      <c r="P1789" s="841"/>
      <c r="Q1789" s="841"/>
      <c r="R1789" s="841"/>
    </row>
    <row r="1790" spans="2:18">
      <c r="B1790" s="841"/>
      <c r="C1790" s="842"/>
      <c r="D1790" s="842"/>
      <c r="E1790" s="842"/>
      <c r="F1790" s="1135"/>
      <c r="G1790" s="1135"/>
      <c r="H1790" s="843"/>
      <c r="I1790" s="841"/>
      <c r="J1790" s="1135"/>
      <c r="K1790" s="841"/>
      <c r="L1790" s="841"/>
      <c r="M1790" s="841"/>
      <c r="N1790" s="841"/>
      <c r="O1790" s="841"/>
      <c r="P1790" s="841"/>
      <c r="Q1790" s="841"/>
      <c r="R1790" s="841"/>
    </row>
    <row r="1791" spans="2:18">
      <c r="B1791" s="841"/>
      <c r="C1791" s="842"/>
      <c r="D1791" s="842"/>
      <c r="E1791" s="842"/>
      <c r="F1791" s="1135"/>
      <c r="G1791" s="1135"/>
      <c r="H1791" s="843"/>
      <c r="I1791" s="841"/>
      <c r="J1791" s="1135"/>
      <c r="K1791" s="841"/>
      <c r="L1791" s="841"/>
      <c r="M1791" s="841"/>
      <c r="N1791" s="841"/>
      <c r="O1791" s="841"/>
      <c r="P1791" s="841"/>
      <c r="Q1791" s="841"/>
      <c r="R1791" s="841"/>
    </row>
    <row r="1792" spans="2:18">
      <c r="B1792" s="841"/>
      <c r="C1792" s="842"/>
      <c r="D1792" s="842"/>
      <c r="E1792" s="842"/>
      <c r="F1792" s="1135"/>
      <c r="G1792" s="1135"/>
      <c r="H1792" s="843"/>
      <c r="I1792" s="841"/>
      <c r="J1792" s="1135"/>
      <c r="K1792" s="841"/>
      <c r="L1792" s="841"/>
      <c r="M1792" s="841"/>
      <c r="N1792" s="841"/>
      <c r="O1792" s="841"/>
      <c r="P1792" s="841"/>
      <c r="Q1792" s="841"/>
      <c r="R1792" s="841"/>
    </row>
    <row r="1793" spans="2:18">
      <c r="B1793" s="841"/>
      <c r="C1793" s="842"/>
      <c r="D1793" s="842"/>
      <c r="E1793" s="842"/>
      <c r="F1793" s="1135"/>
      <c r="G1793" s="1135"/>
      <c r="H1793" s="843"/>
      <c r="I1793" s="841"/>
      <c r="J1793" s="1135"/>
      <c r="K1793" s="841"/>
      <c r="L1793" s="841"/>
      <c r="M1793" s="841"/>
      <c r="N1793" s="841"/>
      <c r="O1793" s="841"/>
      <c r="P1793" s="841"/>
      <c r="Q1793" s="841"/>
      <c r="R1793" s="841"/>
    </row>
    <row r="1794" spans="2:18">
      <c r="B1794" s="841"/>
      <c r="C1794" s="842"/>
      <c r="D1794" s="842"/>
      <c r="E1794" s="842"/>
      <c r="F1794" s="1135"/>
      <c r="G1794" s="1135"/>
      <c r="H1794" s="843"/>
      <c r="I1794" s="841"/>
      <c r="J1794" s="1135"/>
      <c r="K1794" s="841"/>
      <c r="L1794" s="841"/>
      <c r="M1794" s="841"/>
      <c r="N1794" s="841"/>
      <c r="O1794" s="841"/>
      <c r="P1794" s="841"/>
      <c r="Q1794" s="841"/>
      <c r="R1794" s="841"/>
    </row>
    <row r="1795" spans="2:18">
      <c r="B1795" s="841"/>
      <c r="C1795" s="842"/>
      <c r="D1795" s="842"/>
      <c r="E1795" s="842"/>
      <c r="F1795" s="1135"/>
      <c r="G1795" s="1135"/>
      <c r="H1795" s="843"/>
      <c r="I1795" s="841"/>
      <c r="J1795" s="1135"/>
      <c r="K1795" s="841"/>
      <c r="L1795" s="841"/>
      <c r="M1795" s="841"/>
      <c r="N1795" s="841"/>
      <c r="O1795" s="841"/>
      <c r="P1795" s="841"/>
      <c r="Q1795" s="841"/>
      <c r="R1795" s="841"/>
    </row>
    <row r="1796" spans="2:18">
      <c r="B1796" s="841"/>
      <c r="C1796" s="842"/>
      <c r="D1796" s="842"/>
      <c r="E1796" s="842"/>
      <c r="F1796" s="1135"/>
      <c r="G1796" s="1135"/>
      <c r="H1796" s="843"/>
      <c r="I1796" s="841"/>
      <c r="J1796" s="1135"/>
      <c r="K1796" s="841"/>
      <c r="L1796" s="841"/>
      <c r="M1796" s="841"/>
      <c r="N1796" s="841"/>
      <c r="O1796" s="841"/>
      <c r="P1796" s="841"/>
      <c r="Q1796" s="841"/>
      <c r="R1796" s="841"/>
    </row>
    <row r="1797" spans="2:18">
      <c r="B1797" s="841"/>
      <c r="C1797" s="842"/>
      <c r="D1797" s="842"/>
      <c r="E1797" s="842"/>
      <c r="F1797" s="1135"/>
      <c r="G1797" s="1135"/>
      <c r="H1797" s="843"/>
      <c r="I1797" s="841"/>
      <c r="J1797" s="1135"/>
      <c r="K1797" s="841"/>
      <c r="L1797" s="841"/>
      <c r="M1797" s="841"/>
      <c r="N1797" s="841"/>
      <c r="O1797" s="841"/>
      <c r="P1797" s="841"/>
      <c r="Q1797" s="841"/>
      <c r="R1797" s="841"/>
    </row>
    <row r="1798" spans="2:18">
      <c r="B1798" s="841"/>
      <c r="C1798" s="842"/>
      <c r="D1798" s="842"/>
      <c r="E1798" s="842"/>
      <c r="F1798" s="1135"/>
      <c r="G1798" s="1135"/>
      <c r="H1798" s="843"/>
      <c r="I1798" s="841"/>
      <c r="J1798" s="1135"/>
      <c r="K1798" s="841"/>
      <c r="L1798" s="841"/>
      <c r="M1798" s="841"/>
      <c r="N1798" s="841"/>
      <c r="O1798" s="841"/>
      <c r="P1798" s="841"/>
      <c r="Q1798" s="841"/>
      <c r="R1798" s="841"/>
    </row>
    <row r="1799" spans="2:18">
      <c r="B1799" s="841"/>
      <c r="C1799" s="842"/>
      <c r="D1799" s="842"/>
      <c r="E1799" s="842"/>
      <c r="F1799" s="1135"/>
      <c r="G1799" s="1135"/>
      <c r="H1799" s="843"/>
      <c r="I1799" s="841"/>
      <c r="J1799" s="1135"/>
      <c r="K1799" s="841"/>
      <c r="L1799" s="841"/>
      <c r="M1799" s="841"/>
      <c r="N1799" s="841"/>
      <c r="O1799" s="841"/>
      <c r="P1799" s="841"/>
      <c r="Q1799" s="841"/>
      <c r="R1799" s="841"/>
    </row>
    <row r="1800" spans="2:18">
      <c r="B1800" s="841"/>
      <c r="C1800" s="842"/>
      <c r="D1800" s="842"/>
      <c r="E1800" s="842"/>
      <c r="F1800" s="1135"/>
      <c r="G1800" s="1135"/>
      <c r="H1800" s="843"/>
      <c r="I1800" s="841"/>
      <c r="J1800" s="1135"/>
      <c r="K1800" s="841"/>
      <c r="L1800" s="841"/>
      <c r="M1800" s="841"/>
      <c r="N1800" s="841"/>
      <c r="O1800" s="841"/>
      <c r="P1800" s="841"/>
      <c r="Q1800" s="841"/>
      <c r="R1800" s="841"/>
    </row>
    <row r="1801" spans="2:18">
      <c r="B1801" s="841"/>
      <c r="C1801" s="842"/>
      <c r="D1801" s="842"/>
      <c r="E1801" s="842"/>
      <c r="F1801" s="1135"/>
      <c r="G1801" s="1135"/>
      <c r="H1801" s="843"/>
      <c r="I1801" s="841"/>
      <c r="J1801" s="1135"/>
      <c r="K1801" s="841"/>
      <c r="L1801" s="841"/>
      <c r="M1801" s="841"/>
      <c r="N1801" s="841"/>
      <c r="O1801" s="841"/>
      <c r="P1801" s="841"/>
      <c r="Q1801" s="841"/>
      <c r="R1801" s="841"/>
    </row>
    <row r="1802" spans="2:18">
      <c r="B1802" s="841"/>
      <c r="C1802" s="842"/>
      <c r="D1802" s="842"/>
      <c r="E1802" s="842"/>
      <c r="F1802" s="1135"/>
      <c r="G1802" s="1135"/>
      <c r="H1802" s="843"/>
      <c r="I1802" s="841"/>
      <c r="J1802" s="1135"/>
      <c r="K1802" s="841"/>
      <c r="L1802" s="841"/>
      <c r="M1802" s="841"/>
      <c r="N1802" s="841"/>
      <c r="O1802" s="841"/>
      <c r="P1802" s="841"/>
      <c r="Q1802" s="841"/>
      <c r="R1802" s="841"/>
    </row>
    <row r="1803" spans="2:18">
      <c r="B1803" s="841"/>
      <c r="C1803" s="842"/>
      <c r="D1803" s="842"/>
      <c r="E1803" s="842"/>
      <c r="F1803" s="1135"/>
      <c r="G1803" s="1135"/>
      <c r="H1803" s="843"/>
      <c r="I1803" s="841"/>
      <c r="J1803" s="1135"/>
      <c r="K1803" s="841"/>
      <c r="L1803" s="841"/>
      <c r="M1803" s="841"/>
      <c r="N1803" s="841"/>
      <c r="O1803" s="841"/>
      <c r="P1803" s="841"/>
      <c r="Q1803" s="841"/>
      <c r="R1803" s="841"/>
    </row>
    <row r="1804" spans="2:18">
      <c r="B1804" s="841"/>
      <c r="C1804" s="842"/>
      <c r="D1804" s="842"/>
      <c r="E1804" s="842"/>
      <c r="F1804" s="1135"/>
      <c r="G1804" s="1135"/>
      <c r="H1804" s="843"/>
      <c r="I1804" s="841"/>
      <c r="J1804" s="1135"/>
      <c r="K1804" s="841"/>
      <c r="L1804" s="841"/>
      <c r="M1804" s="841"/>
      <c r="N1804" s="841"/>
      <c r="O1804" s="841"/>
      <c r="P1804" s="841"/>
      <c r="Q1804" s="841"/>
      <c r="R1804" s="841"/>
    </row>
    <row r="1805" spans="2:18">
      <c r="B1805" s="841"/>
      <c r="C1805" s="842"/>
      <c r="D1805" s="842"/>
      <c r="E1805" s="842"/>
      <c r="F1805" s="1135"/>
      <c r="G1805" s="1135"/>
      <c r="H1805" s="843"/>
      <c r="I1805" s="841"/>
      <c r="J1805" s="1135"/>
      <c r="K1805" s="841"/>
      <c r="L1805" s="841"/>
      <c r="M1805" s="841"/>
      <c r="N1805" s="841"/>
      <c r="O1805" s="841"/>
      <c r="P1805" s="841"/>
      <c r="Q1805" s="841"/>
      <c r="R1805" s="841"/>
    </row>
    <row r="1806" spans="2:18">
      <c r="B1806" s="841"/>
      <c r="C1806" s="842"/>
      <c r="D1806" s="842"/>
      <c r="E1806" s="842"/>
      <c r="F1806" s="1135"/>
      <c r="G1806" s="1135"/>
      <c r="H1806" s="843"/>
      <c r="I1806" s="841"/>
      <c r="J1806" s="1135"/>
      <c r="K1806" s="841"/>
      <c r="L1806" s="841"/>
      <c r="M1806" s="841"/>
      <c r="N1806" s="841"/>
      <c r="O1806" s="841"/>
      <c r="P1806" s="841"/>
      <c r="Q1806" s="841"/>
      <c r="R1806" s="841"/>
    </row>
    <row r="1807" spans="2:18">
      <c r="B1807" s="841"/>
      <c r="C1807" s="842"/>
      <c r="D1807" s="842"/>
      <c r="E1807" s="842"/>
      <c r="F1807" s="1135"/>
      <c r="G1807" s="1135"/>
      <c r="H1807" s="843"/>
      <c r="I1807" s="841"/>
      <c r="J1807" s="1135"/>
      <c r="K1807" s="841"/>
      <c r="L1807" s="841"/>
      <c r="M1807" s="841"/>
      <c r="N1807" s="841"/>
      <c r="O1807" s="841"/>
      <c r="P1807" s="841"/>
      <c r="Q1807" s="841"/>
      <c r="R1807" s="841"/>
    </row>
    <row r="1808" spans="2:18">
      <c r="B1808" s="841"/>
      <c r="C1808" s="842"/>
      <c r="D1808" s="842"/>
      <c r="E1808" s="842"/>
      <c r="F1808" s="1135"/>
      <c r="G1808" s="1135"/>
      <c r="H1808" s="843"/>
      <c r="I1808" s="841"/>
      <c r="J1808" s="1135"/>
      <c r="K1808" s="841"/>
      <c r="L1808" s="841"/>
      <c r="M1808" s="841"/>
      <c r="N1808" s="841"/>
      <c r="O1808" s="841"/>
      <c r="P1808" s="841"/>
      <c r="Q1808" s="841"/>
      <c r="R1808" s="841"/>
    </row>
    <row r="1809" spans="2:18">
      <c r="B1809" s="841"/>
      <c r="C1809" s="842"/>
      <c r="D1809" s="842"/>
      <c r="E1809" s="842"/>
      <c r="F1809" s="1135"/>
      <c r="G1809" s="1135"/>
      <c r="H1809" s="843"/>
      <c r="I1809" s="841"/>
      <c r="J1809" s="1135"/>
      <c r="K1809" s="841"/>
      <c r="L1809" s="841"/>
      <c r="M1809" s="841"/>
      <c r="N1809" s="841"/>
      <c r="O1809" s="841"/>
      <c r="P1809" s="841"/>
      <c r="Q1809" s="841"/>
      <c r="R1809" s="841"/>
    </row>
    <row r="1810" spans="2:18">
      <c r="B1810" s="841"/>
      <c r="C1810" s="842"/>
      <c r="D1810" s="842"/>
      <c r="E1810" s="842"/>
      <c r="F1810" s="1135"/>
      <c r="G1810" s="1135"/>
      <c r="H1810" s="843"/>
      <c r="I1810" s="841"/>
      <c r="J1810" s="1135"/>
      <c r="K1810" s="841"/>
      <c r="L1810" s="841"/>
      <c r="M1810" s="841"/>
      <c r="N1810" s="841"/>
      <c r="O1810" s="841"/>
      <c r="P1810" s="841"/>
      <c r="Q1810" s="841"/>
      <c r="R1810" s="841"/>
    </row>
    <row r="1811" spans="2:18">
      <c r="B1811" s="841"/>
      <c r="C1811" s="842"/>
      <c r="D1811" s="842"/>
      <c r="E1811" s="842"/>
      <c r="F1811" s="1135"/>
      <c r="G1811" s="1135"/>
      <c r="H1811" s="843"/>
      <c r="I1811" s="841"/>
      <c r="J1811" s="1135"/>
      <c r="K1811" s="841"/>
      <c r="L1811" s="841"/>
      <c r="M1811" s="841"/>
      <c r="N1811" s="841"/>
      <c r="O1811" s="841"/>
      <c r="P1811" s="841"/>
      <c r="Q1811" s="841"/>
      <c r="R1811" s="841"/>
    </row>
    <row r="1812" spans="2:18">
      <c r="B1812" s="841"/>
      <c r="C1812" s="842"/>
      <c r="D1812" s="842"/>
      <c r="E1812" s="842"/>
      <c r="F1812" s="1135"/>
      <c r="G1812" s="1135"/>
      <c r="H1812" s="843"/>
      <c r="I1812" s="841"/>
      <c r="J1812" s="1135"/>
      <c r="K1812" s="841"/>
      <c r="L1812" s="841"/>
      <c r="M1812" s="841"/>
      <c r="N1812" s="841"/>
      <c r="O1812" s="841"/>
      <c r="P1812" s="841"/>
      <c r="Q1812" s="841"/>
      <c r="R1812" s="841"/>
    </row>
    <row r="1813" spans="2:18">
      <c r="B1813" s="841"/>
      <c r="C1813" s="842"/>
      <c r="D1813" s="842"/>
      <c r="E1813" s="842"/>
      <c r="F1813" s="1135"/>
      <c r="G1813" s="1135"/>
      <c r="H1813" s="843"/>
      <c r="I1813" s="841"/>
      <c r="J1813" s="1135"/>
      <c r="K1813" s="841"/>
      <c r="L1813" s="841"/>
      <c r="M1813" s="841"/>
      <c r="N1813" s="841"/>
      <c r="O1813" s="841"/>
      <c r="P1813" s="841"/>
      <c r="Q1813" s="841"/>
      <c r="R1813" s="841"/>
    </row>
    <row r="1814" spans="2:18">
      <c r="B1814" s="841"/>
      <c r="C1814" s="842"/>
      <c r="D1814" s="842"/>
      <c r="E1814" s="842"/>
      <c r="F1814" s="1135"/>
      <c r="G1814" s="1135"/>
      <c r="H1814" s="843"/>
      <c r="I1814" s="841"/>
      <c r="J1814" s="1135"/>
      <c r="K1814" s="841"/>
      <c r="L1814" s="841"/>
      <c r="M1814" s="841"/>
      <c r="N1814" s="841"/>
      <c r="O1814" s="841"/>
      <c r="P1814" s="841"/>
      <c r="Q1814" s="841"/>
      <c r="R1814" s="841"/>
    </row>
    <row r="1815" spans="2:18">
      <c r="B1815" s="841"/>
      <c r="C1815" s="842"/>
      <c r="D1815" s="842"/>
      <c r="E1815" s="842"/>
      <c r="F1815" s="1135"/>
      <c r="G1815" s="1135"/>
      <c r="H1815" s="843"/>
      <c r="I1815" s="841"/>
      <c r="J1815" s="1135"/>
      <c r="K1815" s="841"/>
      <c r="L1815" s="841"/>
      <c r="M1815" s="841"/>
      <c r="N1815" s="841"/>
      <c r="O1815" s="841"/>
      <c r="P1815" s="841"/>
      <c r="Q1815" s="841"/>
      <c r="R1815" s="841"/>
    </row>
    <row r="1816" spans="2:18">
      <c r="B1816" s="841"/>
      <c r="C1816" s="842"/>
      <c r="D1816" s="842"/>
      <c r="E1816" s="842"/>
      <c r="F1816" s="1135"/>
      <c r="G1816" s="1135"/>
      <c r="H1816" s="843"/>
      <c r="I1816" s="841"/>
      <c r="J1816" s="1135"/>
      <c r="K1816" s="841"/>
      <c r="L1816" s="841"/>
      <c r="M1816" s="841"/>
      <c r="N1816" s="841"/>
      <c r="O1816" s="841"/>
      <c r="P1816" s="841"/>
      <c r="Q1816" s="841"/>
      <c r="R1816" s="841"/>
    </row>
    <row r="1817" spans="2:18">
      <c r="B1817" s="841"/>
      <c r="C1817" s="842"/>
      <c r="D1817" s="842"/>
      <c r="E1817" s="842"/>
      <c r="F1817" s="1135"/>
      <c r="G1817" s="1135"/>
      <c r="H1817" s="843"/>
      <c r="I1817" s="841"/>
      <c r="J1817" s="1135"/>
      <c r="K1817" s="841"/>
      <c r="L1817" s="841"/>
      <c r="M1817" s="841"/>
      <c r="N1817" s="841"/>
      <c r="O1817" s="841"/>
      <c r="P1817" s="841"/>
      <c r="Q1817" s="841"/>
      <c r="R1817" s="841"/>
    </row>
    <row r="1818" spans="2:18">
      <c r="B1818" s="841"/>
      <c r="C1818" s="842"/>
      <c r="D1818" s="842"/>
      <c r="E1818" s="842"/>
      <c r="F1818" s="1135"/>
      <c r="G1818" s="1135"/>
      <c r="H1818" s="843"/>
      <c r="I1818" s="841"/>
      <c r="J1818" s="1135"/>
      <c r="K1818" s="841"/>
      <c r="L1818" s="841"/>
      <c r="M1818" s="841"/>
      <c r="N1818" s="841"/>
      <c r="O1818" s="841"/>
      <c r="P1818" s="841"/>
      <c r="Q1818" s="841"/>
      <c r="R1818" s="841"/>
    </row>
    <row r="1819" spans="2:18">
      <c r="B1819" s="841"/>
      <c r="C1819" s="842"/>
      <c r="D1819" s="842"/>
      <c r="E1819" s="842"/>
      <c r="F1819" s="1135"/>
      <c r="G1819" s="1135"/>
      <c r="H1819" s="843"/>
      <c r="I1819" s="841"/>
      <c r="J1819" s="1135"/>
      <c r="K1819" s="841"/>
      <c r="L1819" s="841"/>
      <c r="M1819" s="841"/>
      <c r="N1819" s="841"/>
      <c r="O1819" s="841"/>
      <c r="P1819" s="841"/>
      <c r="Q1819" s="841"/>
      <c r="R1819" s="841"/>
    </row>
    <row r="1820" spans="2:18">
      <c r="B1820" s="841"/>
      <c r="C1820" s="842"/>
      <c r="D1820" s="842"/>
      <c r="E1820" s="842"/>
      <c r="F1820" s="1135"/>
      <c r="G1820" s="1135"/>
      <c r="H1820" s="843"/>
      <c r="I1820" s="841"/>
      <c r="J1820" s="1135"/>
      <c r="K1820" s="841"/>
      <c r="L1820" s="841"/>
      <c r="M1820" s="841"/>
      <c r="N1820" s="841"/>
      <c r="O1820" s="841"/>
      <c r="P1820" s="841"/>
      <c r="Q1820" s="841"/>
      <c r="R1820" s="841"/>
    </row>
    <row r="1821" spans="2:18">
      <c r="B1821" s="841"/>
      <c r="C1821" s="842"/>
      <c r="D1821" s="842"/>
      <c r="E1821" s="842"/>
      <c r="F1821" s="1135"/>
      <c r="G1821" s="1135"/>
      <c r="H1821" s="843"/>
      <c r="I1821" s="841"/>
      <c r="J1821" s="1135"/>
      <c r="K1821" s="841"/>
      <c r="L1821" s="841"/>
      <c r="M1821" s="841"/>
      <c r="N1821" s="841"/>
      <c r="O1821" s="841"/>
      <c r="P1821" s="841"/>
      <c r="Q1821" s="841"/>
      <c r="R1821" s="841"/>
    </row>
    <row r="1822" spans="2:18">
      <c r="B1822" s="841"/>
      <c r="C1822" s="842"/>
      <c r="D1822" s="842"/>
      <c r="E1822" s="842"/>
      <c r="F1822" s="1135"/>
      <c r="G1822" s="1135"/>
      <c r="H1822" s="843"/>
      <c r="I1822" s="841"/>
      <c r="J1822" s="1135"/>
      <c r="K1822" s="841"/>
      <c r="L1822" s="841"/>
      <c r="M1822" s="841"/>
      <c r="N1822" s="841"/>
      <c r="O1822" s="841"/>
      <c r="P1822" s="841"/>
      <c r="Q1822" s="841"/>
      <c r="R1822" s="841"/>
    </row>
    <row r="1823" spans="2:18">
      <c r="B1823" s="841"/>
      <c r="C1823" s="842"/>
      <c r="D1823" s="842"/>
      <c r="E1823" s="842"/>
      <c r="F1823" s="1135"/>
      <c r="G1823" s="1135"/>
      <c r="H1823" s="843"/>
      <c r="I1823" s="841"/>
      <c r="J1823" s="1135"/>
      <c r="K1823" s="841"/>
      <c r="L1823" s="841"/>
      <c r="M1823" s="841"/>
      <c r="N1823" s="841"/>
      <c r="O1823" s="841"/>
      <c r="P1823" s="841"/>
      <c r="Q1823" s="841"/>
      <c r="R1823" s="841"/>
    </row>
    <row r="1824" spans="2:18">
      <c r="B1824" s="841"/>
      <c r="C1824" s="842"/>
      <c r="D1824" s="842"/>
      <c r="E1824" s="842"/>
      <c r="F1824" s="1135"/>
      <c r="G1824" s="1135"/>
      <c r="H1824" s="843"/>
      <c r="I1824" s="841"/>
      <c r="J1824" s="1135"/>
      <c r="K1824" s="841"/>
      <c r="L1824" s="841"/>
      <c r="M1824" s="841"/>
      <c r="N1824" s="841"/>
      <c r="O1824" s="841"/>
      <c r="P1824" s="841"/>
      <c r="Q1824" s="841"/>
      <c r="R1824" s="841"/>
    </row>
    <row r="1825" spans="2:18">
      <c r="B1825" s="841"/>
      <c r="C1825" s="842"/>
      <c r="D1825" s="842"/>
      <c r="E1825" s="842"/>
      <c r="F1825" s="1135"/>
      <c r="G1825" s="1135"/>
      <c r="H1825" s="843"/>
      <c r="I1825" s="841"/>
      <c r="J1825" s="1135"/>
      <c r="K1825" s="841"/>
      <c r="L1825" s="841"/>
      <c r="M1825" s="841"/>
      <c r="N1825" s="841"/>
      <c r="O1825" s="841"/>
      <c r="P1825" s="841"/>
      <c r="Q1825" s="841"/>
      <c r="R1825" s="841"/>
    </row>
    <row r="1826" spans="2:18">
      <c r="B1826" s="841"/>
      <c r="C1826" s="842"/>
      <c r="D1826" s="842"/>
      <c r="E1826" s="842"/>
      <c r="F1826" s="1135"/>
      <c r="G1826" s="1135"/>
      <c r="H1826" s="843"/>
      <c r="I1826" s="841"/>
      <c r="J1826" s="1135"/>
      <c r="K1826" s="841"/>
      <c r="L1826" s="841"/>
      <c r="M1826" s="841"/>
      <c r="N1826" s="841"/>
      <c r="O1826" s="841"/>
      <c r="P1826" s="841"/>
      <c r="Q1826" s="841"/>
      <c r="R1826" s="841"/>
    </row>
    <row r="1827" spans="2:18">
      <c r="B1827" s="841"/>
      <c r="C1827" s="842"/>
      <c r="D1827" s="842"/>
      <c r="E1827" s="842"/>
      <c r="F1827" s="1135"/>
      <c r="G1827" s="1135"/>
      <c r="H1827" s="843"/>
      <c r="I1827" s="841"/>
      <c r="J1827" s="1135"/>
      <c r="K1827" s="841"/>
      <c r="L1827" s="841"/>
      <c r="M1827" s="841"/>
      <c r="N1827" s="841"/>
      <c r="O1827" s="841"/>
      <c r="P1827" s="841"/>
      <c r="Q1827" s="841"/>
      <c r="R1827" s="841"/>
    </row>
    <row r="1828" spans="2:18">
      <c r="B1828" s="841"/>
      <c r="C1828" s="842"/>
      <c r="D1828" s="842"/>
      <c r="E1828" s="842"/>
      <c r="F1828" s="1135"/>
      <c r="G1828" s="1135"/>
      <c r="H1828" s="843"/>
      <c r="I1828" s="841"/>
      <c r="J1828" s="1135"/>
      <c r="K1828" s="841"/>
      <c r="L1828" s="841"/>
      <c r="M1828" s="841"/>
      <c r="N1828" s="841"/>
      <c r="O1828" s="841"/>
      <c r="P1828" s="841"/>
      <c r="Q1828" s="841"/>
      <c r="R1828" s="841"/>
    </row>
    <row r="1829" spans="2:18">
      <c r="B1829" s="841"/>
      <c r="C1829" s="842"/>
      <c r="D1829" s="842"/>
      <c r="E1829" s="842"/>
      <c r="F1829" s="1135"/>
      <c r="G1829" s="1135"/>
      <c r="H1829" s="843"/>
      <c r="I1829" s="841"/>
      <c r="J1829" s="1135"/>
      <c r="K1829" s="841"/>
      <c r="L1829" s="841"/>
      <c r="M1829" s="841"/>
      <c r="N1829" s="841"/>
      <c r="O1829" s="841"/>
      <c r="P1829" s="841"/>
      <c r="Q1829" s="841"/>
      <c r="R1829" s="841"/>
    </row>
    <row r="1830" spans="2:18">
      <c r="B1830" s="841"/>
      <c r="C1830" s="842"/>
      <c r="D1830" s="842"/>
      <c r="E1830" s="842"/>
      <c r="F1830" s="1135"/>
      <c r="G1830" s="1135"/>
      <c r="H1830" s="843"/>
      <c r="I1830" s="841"/>
      <c r="J1830" s="1135"/>
      <c r="K1830" s="841"/>
      <c r="L1830" s="841"/>
      <c r="M1830" s="841"/>
      <c r="N1830" s="841"/>
      <c r="O1830" s="841"/>
      <c r="P1830" s="841"/>
      <c r="Q1830" s="841"/>
      <c r="R1830" s="841"/>
    </row>
    <row r="1831" spans="2:18">
      <c r="B1831" s="841"/>
      <c r="C1831" s="842"/>
      <c r="D1831" s="842"/>
      <c r="E1831" s="842"/>
      <c r="F1831" s="1135"/>
      <c r="G1831" s="1135"/>
      <c r="H1831" s="843"/>
      <c r="I1831" s="841"/>
      <c r="J1831" s="1135"/>
      <c r="K1831" s="841"/>
      <c r="L1831" s="841"/>
      <c r="M1831" s="841"/>
      <c r="N1831" s="841"/>
      <c r="O1831" s="841"/>
      <c r="P1831" s="841"/>
      <c r="Q1831" s="841"/>
      <c r="R1831" s="841"/>
    </row>
    <row r="1832" spans="2:18">
      <c r="B1832" s="841"/>
      <c r="C1832" s="842"/>
      <c r="D1832" s="842"/>
      <c r="E1832" s="842"/>
      <c r="F1832" s="1135"/>
      <c r="G1832" s="1135"/>
      <c r="H1832" s="843"/>
      <c r="I1832" s="841"/>
      <c r="J1832" s="1135"/>
      <c r="K1832" s="841"/>
      <c r="L1832" s="841"/>
      <c r="M1832" s="841"/>
      <c r="N1832" s="841"/>
      <c r="O1832" s="841"/>
      <c r="P1832" s="841"/>
      <c r="Q1832" s="841"/>
      <c r="R1832" s="841"/>
    </row>
    <row r="1833" spans="2:18">
      <c r="B1833" s="841"/>
      <c r="C1833" s="842"/>
      <c r="D1833" s="842"/>
      <c r="E1833" s="842"/>
      <c r="F1833" s="1135"/>
      <c r="G1833" s="1135"/>
      <c r="H1833" s="843"/>
      <c r="I1833" s="841"/>
      <c r="J1833" s="1135"/>
      <c r="K1833" s="841"/>
      <c r="L1833" s="841"/>
      <c r="M1833" s="841"/>
      <c r="N1833" s="841"/>
      <c r="O1833" s="841"/>
      <c r="P1833" s="841"/>
      <c r="Q1833" s="841"/>
      <c r="R1833" s="841"/>
    </row>
    <row r="1834" spans="2:18">
      <c r="B1834" s="841"/>
      <c r="C1834" s="842"/>
      <c r="D1834" s="842"/>
      <c r="E1834" s="842"/>
      <c r="F1834" s="1135"/>
      <c r="G1834" s="1135"/>
      <c r="H1834" s="843"/>
      <c r="I1834" s="841"/>
      <c r="J1834" s="1135"/>
      <c r="K1834" s="841"/>
      <c r="L1834" s="841"/>
      <c r="M1834" s="841"/>
      <c r="N1834" s="841"/>
      <c r="O1834" s="841"/>
      <c r="P1834" s="841"/>
      <c r="Q1834" s="841"/>
      <c r="R1834" s="841"/>
    </row>
    <row r="1835" spans="2:18">
      <c r="B1835" s="841"/>
      <c r="C1835" s="842"/>
      <c r="D1835" s="842"/>
      <c r="E1835" s="842"/>
      <c r="F1835" s="1135"/>
      <c r="G1835" s="1135"/>
      <c r="H1835" s="843"/>
      <c r="I1835" s="841"/>
      <c r="J1835" s="1135"/>
      <c r="K1835" s="841"/>
      <c r="L1835" s="841"/>
      <c r="M1835" s="841"/>
      <c r="N1835" s="841"/>
      <c r="O1835" s="841"/>
      <c r="P1835" s="841"/>
      <c r="Q1835" s="841"/>
      <c r="R1835" s="841"/>
    </row>
    <row r="1836" spans="2:18">
      <c r="B1836" s="841"/>
      <c r="C1836" s="842"/>
      <c r="D1836" s="842"/>
      <c r="E1836" s="842"/>
      <c r="F1836" s="1135"/>
      <c r="G1836" s="1135"/>
      <c r="H1836" s="843"/>
      <c r="I1836" s="841"/>
      <c r="J1836" s="1135"/>
      <c r="K1836" s="841"/>
      <c r="L1836" s="841"/>
      <c r="M1836" s="841"/>
      <c r="N1836" s="841"/>
      <c r="O1836" s="841"/>
      <c r="P1836" s="841"/>
      <c r="Q1836" s="841"/>
      <c r="R1836" s="841"/>
    </row>
    <row r="1837" spans="2:18">
      <c r="B1837" s="841"/>
      <c r="C1837" s="842"/>
      <c r="D1837" s="842"/>
      <c r="E1837" s="842"/>
      <c r="F1837" s="1135"/>
      <c r="G1837" s="1135"/>
      <c r="H1837" s="843"/>
      <c r="I1837" s="841"/>
      <c r="J1837" s="1135"/>
      <c r="K1837" s="841"/>
      <c r="L1837" s="841"/>
      <c r="M1837" s="841"/>
      <c r="N1837" s="841"/>
      <c r="O1837" s="841"/>
      <c r="P1837" s="841"/>
      <c r="Q1837" s="841"/>
      <c r="R1837" s="841"/>
    </row>
    <row r="1838" spans="2:18">
      <c r="B1838" s="841"/>
      <c r="C1838" s="842"/>
      <c r="D1838" s="842"/>
      <c r="E1838" s="842"/>
      <c r="F1838" s="1135"/>
      <c r="G1838" s="1135"/>
      <c r="H1838" s="843"/>
      <c r="I1838" s="841"/>
      <c r="J1838" s="1135"/>
      <c r="K1838" s="841"/>
      <c r="L1838" s="841"/>
      <c r="M1838" s="841"/>
      <c r="N1838" s="841"/>
      <c r="O1838" s="841"/>
      <c r="P1838" s="841"/>
      <c r="Q1838" s="841"/>
      <c r="R1838" s="841"/>
    </row>
    <row r="1839" spans="2:18">
      <c r="B1839" s="841"/>
      <c r="C1839" s="842"/>
      <c r="D1839" s="842"/>
      <c r="E1839" s="842"/>
      <c r="F1839" s="1135"/>
      <c r="G1839" s="1135"/>
      <c r="H1839" s="843"/>
      <c r="I1839" s="841"/>
      <c r="J1839" s="1135"/>
      <c r="K1839" s="841"/>
      <c r="L1839" s="841"/>
      <c r="M1839" s="841"/>
      <c r="N1839" s="841"/>
      <c r="O1839" s="841"/>
      <c r="P1839" s="841"/>
      <c r="Q1839" s="841"/>
      <c r="R1839" s="841"/>
    </row>
    <row r="1840" spans="2:18">
      <c r="B1840" s="841"/>
      <c r="C1840" s="842"/>
      <c r="D1840" s="842"/>
      <c r="E1840" s="842"/>
      <c r="F1840" s="1135"/>
      <c r="G1840" s="1135"/>
      <c r="H1840" s="843"/>
      <c r="I1840" s="841"/>
      <c r="J1840" s="1135"/>
      <c r="K1840" s="841"/>
      <c r="L1840" s="841"/>
      <c r="M1840" s="841"/>
      <c r="N1840" s="841"/>
      <c r="O1840" s="841"/>
      <c r="P1840" s="841"/>
      <c r="Q1840" s="841"/>
      <c r="R1840" s="841"/>
    </row>
    <row r="1841" spans="2:18">
      <c r="B1841" s="841"/>
      <c r="C1841" s="842"/>
      <c r="D1841" s="842"/>
      <c r="E1841" s="842"/>
      <c r="F1841" s="1135"/>
      <c r="G1841" s="1135"/>
      <c r="H1841" s="843"/>
      <c r="I1841" s="841"/>
      <c r="J1841" s="1135"/>
      <c r="K1841" s="841"/>
      <c r="L1841" s="841"/>
      <c r="M1841" s="841"/>
      <c r="N1841" s="841"/>
      <c r="O1841" s="841"/>
      <c r="P1841" s="841"/>
      <c r="Q1841" s="841"/>
      <c r="R1841" s="841"/>
    </row>
    <row r="1842" spans="2:18">
      <c r="B1842" s="841"/>
      <c r="C1842" s="842"/>
      <c r="D1842" s="842"/>
      <c r="E1842" s="842"/>
      <c r="F1842" s="1135"/>
      <c r="G1842" s="1135"/>
      <c r="H1842" s="843"/>
      <c r="I1842" s="841"/>
      <c r="J1842" s="1135"/>
      <c r="K1842" s="841"/>
      <c r="L1842" s="841"/>
      <c r="M1842" s="841"/>
      <c r="N1842" s="841"/>
      <c r="O1842" s="841"/>
      <c r="P1842" s="841"/>
      <c r="Q1842" s="841"/>
      <c r="R1842" s="841"/>
    </row>
    <row r="1843" spans="2:18">
      <c r="B1843" s="841"/>
      <c r="C1843" s="842"/>
      <c r="D1843" s="842"/>
      <c r="E1843" s="842"/>
      <c r="F1843" s="1135"/>
      <c r="G1843" s="1135"/>
      <c r="H1843" s="843"/>
      <c r="I1843" s="841"/>
      <c r="J1843" s="1135"/>
      <c r="K1843" s="841"/>
      <c r="L1843" s="841"/>
      <c r="M1843" s="841"/>
      <c r="N1843" s="841"/>
      <c r="O1843" s="841"/>
      <c r="P1843" s="841"/>
      <c r="Q1843" s="841"/>
      <c r="R1843" s="841"/>
    </row>
    <row r="1844" spans="2:18">
      <c r="B1844" s="841"/>
      <c r="C1844" s="842"/>
      <c r="D1844" s="842"/>
      <c r="E1844" s="842"/>
      <c r="F1844" s="1135"/>
      <c r="G1844" s="1135"/>
      <c r="H1844" s="843"/>
      <c r="I1844" s="841"/>
      <c r="J1844" s="1135"/>
      <c r="K1844" s="841"/>
      <c r="L1844" s="841"/>
      <c r="M1844" s="841"/>
      <c r="N1844" s="841"/>
      <c r="O1844" s="841"/>
      <c r="P1844" s="841"/>
      <c r="Q1844" s="841"/>
      <c r="R1844" s="841"/>
    </row>
    <row r="1845" spans="2:18">
      <c r="B1845" s="841"/>
      <c r="C1845" s="842"/>
      <c r="D1845" s="842"/>
      <c r="E1845" s="842"/>
      <c r="F1845" s="1135"/>
      <c r="G1845" s="1135"/>
      <c r="H1845" s="843"/>
      <c r="I1845" s="841"/>
      <c r="J1845" s="1135"/>
      <c r="K1845" s="841"/>
      <c r="L1845" s="841"/>
      <c r="M1845" s="841"/>
      <c r="N1845" s="841"/>
      <c r="O1845" s="841"/>
      <c r="P1845" s="841"/>
      <c r="Q1845" s="841"/>
      <c r="R1845" s="841"/>
    </row>
    <row r="1846" spans="2:18">
      <c r="B1846" s="841"/>
      <c r="C1846" s="842"/>
      <c r="D1846" s="842"/>
      <c r="E1846" s="842"/>
      <c r="F1846" s="1135"/>
      <c r="G1846" s="1135"/>
      <c r="H1846" s="843"/>
      <c r="I1846" s="841"/>
      <c r="J1846" s="1135"/>
      <c r="K1846" s="841"/>
      <c r="L1846" s="841"/>
      <c r="M1846" s="841"/>
      <c r="N1846" s="841"/>
      <c r="O1846" s="841"/>
      <c r="P1846" s="841"/>
      <c r="Q1846" s="841"/>
      <c r="R1846" s="841"/>
    </row>
    <row r="1847" spans="2:18">
      <c r="B1847" s="841"/>
      <c r="C1847" s="842"/>
      <c r="D1847" s="842"/>
      <c r="E1847" s="842"/>
      <c r="F1847" s="1135"/>
      <c r="G1847" s="1135"/>
      <c r="H1847" s="843"/>
      <c r="I1847" s="841"/>
      <c r="J1847" s="1135"/>
      <c r="K1847" s="841"/>
      <c r="L1847" s="841"/>
      <c r="M1847" s="841"/>
      <c r="N1847" s="841"/>
      <c r="O1847" s="841"/>
      <c r="P1847" s="841"/>
      <c r="Q1847" s="841"/>
      <c r="R1847" s="841"/>
    </row>
    <row r="1848" spans="2:18">
      <c r="B1848" s="841"/>
      <c r="C1848" s="842"/>
      <c r="D1848" s="842"/>
      <c r="E1848" s="842"/>
      <c r="F1848" s="1135"/>
      <c r="G1848" s="1135"/>
      <c r="H1848" s="843"/>
      <c r="I1848" s="841"/>
      <c r="J1848" s="1135"/>
      <c r="K1848" s="841"/>
      <c r="L1848" s="841"/>
      <c r="M1848" s="841"/>
      <c r="N1848" s="841"/>
      <c r="O1848" s="841"/>
      <c r="P1848" s="841"/>
      <c r="Q1848" s="841"/>
      <c r="R1848" s="841"/>
    </row>
    <row r="1849" spans="2:18">
      <c r="B1849" s="841"/>
      <c r="C1849" s="842"/>
      <c r="D1849" s="842"/>
      <c r="E1849" s="842"/>
      <c r="F1849" s="1135"/>
      <c r="G1849" s="1135"/>
      <c r="H1849" s="843"/>
      <c r="I1849" s="841"/>
      <c r="J1849" s="1135"/>
      <c r="K1849" s="841"/>
      <c r="L1849" s="841"/>
      <c r="M1849" s="841"/>
      <c r="N1849" s="841"/>
      <c r="O1849" s="841"/>
      <c r="P1849" s="841"/>
      <c r="Q1849" s="841"/>
      <c r="R1849" s="841"/>
    </row>
    <row r="1850" spans="2:18">
      <c r="B1850" s="841"/>
      <c r="C1850" s="842"/>
      <c r="D1850" s="842"/>
      <c r="E1850" s="842"/>
      <c r="F1850" s="1135"/>
      <c r="G1850" s="1135"/>
      <c r="H1850" s="843"/>
      <c r="I1850" s="841"/>
      <c r="J1850" s="1135"/>
      <c r="K1850" s="841"/>
      <c r="L1850" s="841"/>
      <c r="M1850" s="841"/>
      <c r="N1850" s="841"/>
      <c r="O1850" s="841"/>
      <c r="P1850" s="841"/>
      <c r="Q1850" s="841"/>
      <c r="R1850" s="841"/>
    </row>
    <row r="1851" spans="2:18">
      <c r="B1851" s="841"/>
      <c r="C1851" s="842"/>
      <c r="D1851" s="842"/>
      <c r="E1851" s="842"/>
      <c r="F1851" s="1135"/>
      <c r="G1851" s="1135"/>
      <c r="H1851" s="843"/>
      <c r="I1851" s="841"/>
      <c r="J1851" s="1135"/>
      <c r="K1851" s="841"/>
      <c r="L1851" s="841"/>
      <c r="M1851" s="841"/>
      <c r="N1851" s="841"/>
      <c r="O1851" s="841"/>
      <c r="P1851" s="841"/>
      <c r="Q1851" s="841"/>
      <c r="R1851" s="841"/>
    </row>
    <row r="1852" spans="2:18">
      <c r="B1852" s="841"/>
      <c r="C1852" s="842"/>
      <c r="D1852" s="842"/>
      <c r="E1852" s="842"/>
      <c r="F1852" s="1135"/>
      <c r="G1852" s="1135"/>
      <c r="H1852" s="843"/>
      <c r="I1852" s="841"/>
      <c r="J1852" s="1135"/>
      <c r="K1852" s="841"/>
      <c r="L1852" s="841"/>
      <c r="M1852" s="841"/>
      <c r="N1852" s="841"/>
      <c r="O1852" s="841"/>
      <c r="P1852" s="841"/>
      <c r="Q1852" s="841"/>
      <c r="R1852" s="841"/>
    </row>
    <row r="1853" spans="2:18">
      <c r="B1853" s="841"/>
      <c r="C1853" s="842"/>
      <c r="D1853" s="842"/>
      <c r="E1853" s="842"/>
      <c r="F1853" s="1135"/>
      <c r="G1853" s="1135"/>
      <c r="H1853" s="843"/>
      <c r="I1853" s="841"/>
      <c r="J1853" s="1135"/>
      <c r="K1853" s="841"/>
      <c r="L1853" s="841"/>
      <c r="M1853" s="841"/>
      <c r="N1853" s="841"/>
      <c r="O1853" s="841"/>
      <c r="P1853" s="841"/>
      <c r="Q1853" s="841"/>
      <c r="R1853" s="841"/>
    </row>
    <row r="1854" spans="2:18">
      <c r="B1854" s="841"/>
      <c r="C1854" s="842"/>
      <c r="D1854" s="842"/>
      <c r="E1854" s="842"/>
      <c r="F1854" s="1135"/>
      <c r="G1854" s="1135"/>
      <c r="H1854" s="843"/>
      <c r="I1854" s="841"/>
      <c r="J1854" s="1135"/>
      <c r="K1854" s="841"/>
      <c r="L1854" s="841"/>
      <c r="M1854" s="841"/>
      <c r="N1854" s="841"/>
      <c r="O1854" s="841"/>
      <c r="P1854" s="841"/>
      <c r="Q1854" s="841"/>
      <c r="R1854" s="841"/>
    </row>
    <row r="1855" spans="2:18">
      <c r="B1855" s="841"/>
      <c r="C1855" s="842"/>
      <c r="D1855" s="842"/>
      <c r="E1855" s="842"/>
      <c r="F1855" s="1135"/>
      <c r="G1855" s="1135"/>
      <c r="H1855" s="843"/>
      <c r="I1855" s="841"/>
      <c r="J1855" s="1135"/>
      <c r="K1855" s="841"/>
      <c r="L1855" s="841"/>
      <c r="M1855" s="841"/>
      <c r="N1855" s="841"/>
      <c r="O1855" s="841"/>
      <c r="P1855" s="841"/>
      <c r="Q1855" s="841"/>
      <c r="R1855" s="841"/>
    </row>
    <row r="1856" spans="2:18">
      <c r="B1856" s="841"/>
      <c r="C1856" s="842"/>
      <c r="D1856" s="842"/>
      <c r="E1856" s="842"/>
      <c r="F1856" s="1135"/>
      <c r="G1856" s="1135"/>
      <c r="H1856" s="843"/>
      <c r="I1856" s="841"/>
      <c r="J1856" s="1135"/>
      <c r="K1856" s="841"/>
      <c r="L1856" s="841"/>
      <c r="M1856" s="841"/>
      <c r="N1856" s="841"/>
      <c r="O1856" s="841"/>
      <c r="P1856" s="841"/>
      <c r="Q1856" s="841"/>
      <c r="R1856" s="841"/>
    </row>
    <row r="1857" spans="2:18">
      <c r="B1857" s="841"/>
      <c r="C1857" s="842"/>
      <c r="D1857" s="842"/>
      <c r="E1857" s="842"/>
      <c r="F1857" s="1135"/>
      <c r="G1857" s="1135"/>
      <c r="H1857" s="843"/>
      <c r="I1857" s="841"/>
      <c r="J1857" s="1135"/>
      <c r="K1857" s="841"/>
      <c r="L1857" s="841"/>
      <c r="M1857" s="841"/>
      <c r="N1857" s="841"/>
      <c r="O1857" s="841"/>
      <c r="P1857" s="841"/>
      <c r="Q1857" s="841"/>
      <c r="R1857" s="841"/>
    </row>
    <row r="1858" spans="2:18">
      <c r="B1858" s="841"/>
      <c r="C1858" s="842"/>
      <c r="D1858" s="842"/>
      <c r="E1858" s="842"/>
      <c r="F1858" s="1135"/>
      <c r="G1858" s="1135"/>
      <c r="H1858" s="843"/>
      <c r="I1858" s="841"/>
      <c r="J1858" s="1135"/>
      <c r="K1858" s="841"/>
      <c r="L1858" s="841"/>
      <c r="M1858" s="841"/>
      <c r="N1858" s="841"/>
      <c r="O1858" s="841"/>
      <c r="P1858" s="841"/>
      <c r="Q1858" s="841"/>
      <c r="R1858" s="841"/>
    </row>
    <row r="1859" spans="2:18">
      <c r="B1859" s="841"/>
      <c r="C1859" s="842"/>
      <c r="D1859" s="842"/>
      <c r="E1859" s="842"/>
      <c r="F1859" s="1135"/>
      <c r="G1859" s="1135"/>
      <c r="H1859" s="843"/>
      <c r="I1859" s="841"/>
      <c r="J1859" s="1135"/>
      <c r="K1859" s="841"/>
      <c r="L1859" s="841"/>
      <c r="M1859" s="841"/>
      <c r="N1859" s="841"/>
      <c r="O1859" s="841"/>
      <c r="P1859" s="841"/>
      <c r="Q1859" s="841"/>
      <c r="R1859" s="841"/>
    </row>
    <row r="1860" spans="2:18">
      <c r="B1860" s="841"/>
      <c r="C1860" s="842"/>
      <c r="D1860" s="842"/>
      <c r="E1860" s="842"/>
      <c r="F1860" s="1135"/>
      <c r="G1860" s="1135"/>
      <c r="H1860" s="843"/>
      <c r="I1860" s="841"/>
      <c r="J1860" s="1135"/>
      <c r="K1860" s="841"/>
      <c r="L1860" s="841"/>
      <c r="M1860" s="841"/>
      <c r="N1860" s="841"/>
      <c r="O1860" s="841"/>
      <c r="P1860" s="841"/>
      <c r="Q1860" s="841"/>
      <c r="R1860" s="841"/>
    </row>
    <row r="1861" spans="2:18">
      <c r="B1861" s="841"/>
      <c r="C1861" s="842"/>
      <c r="D1861" s="842"/>
      <c r="E1861" s="842"/>
      <c r="F1861" s="1135"/>
      <c r="G1861" s="1135"/>
      <c r="H1861" s="843"/>
      <c r="I1861" s="841"/>
      <c r="J1861" s="1135"/>
      <c r="K1861" s="841"/>
      <c r="L1861" s="841"/>
      <c r="M1861" s="841"/>
      <c r="N1861" s="841"/>
      <c r="O1861" s="841"/>
      <c r="P1861" s="841"/>
      <c r="Q1861" s="841"/>
      <c r="R1861" s="841"/>
    </row>
    <row r="1862" spans="2:18">
      <c r="B1862" s="841"/>
      <c r="C1862" s="842"/>
      <c r="D1862" s="842"/>
      <c r="E1862" s="842"/>
      <c r="F1862" s="1135"/>
      <c r="G1862" s="1135"/>
      <c r="H1862" s="843"/>
      <c r="I1862" s="841"/>
      <c r="J1862" s="1135"/>
      <c r="K1862" s="841"/>
      <c r="L1862" s="841"/>
      <c r="M1862" s="841"/>
      <c r="N1862" s="841"/>
      <c r="O1862" s="841"/>
      <c r="P1862" s="841"/>
      <c r="Q1862" s="841"/>
      <c r="R1862" s="841"/>
    </row>
    <row r="1863" spans="2:18">
      <c r="B1863" s="841"/>
      <c r="C1863" s="842"/>
      <c r="D1863" s="842"/>
      <c r="E1863" s="842"/>
      <c r="F1863" s="1135"/>
      <c r="G1863" s="1135"/>
      <c r="H1863" s="843"/>
      <c r="I1863" s="841"/>
      <c r="J1863" s="1135"/>
      <c r="K1863" s="841"/>
      <c r="L1863" s="841"/>
      <c r="M1863" s="841"/>
      <c r="N1863" s="841"/>
      <c r="O1863" s="841"/>
      <c r="P1863" s="841"/>
      <c r="Q1863" s="841"/>
      <c r="R1863" s="841"/>
    </row>
    <row r="1864" spans="2:18">
      <c r="B1864" s="841"/>
      <c r="C1864" s="842"/>
      <c r="D1864" s="842"/>
      <c r="E1864" s="842"/>
      <c r="F1864" s="1135"/>
      <c r="G1864" s="1135"/>
      <c r="H1864" s="843"/>
      <c r="I1864" s="841"/>
      <c r="J1864" s="1135"/>
      <c r="K1864" s="841"/>
      <c r="L1864" s="841"/>
      <c r="M1864" s="841"/>
      <c r="N1864" s="841"/>
      <c r="O1864" s="841"/>
      <c r="P1864" s="841"/>
      <c r="Q1864" s="841"/>
      <c r="R1864" s="841"/>
    </row>
    <row r="1865" spans="2:18">
      <c r="B1865" s="841"/>
      <c r="C1865" s="842"/>
      <c r="D1865" s="842"/>
      <c r="E1865" s="842"/>
      <c r="F1865" s="1135"/>
      <c r="G1865" s="1135"/>
      <c r="H1865" s="843"/>
      <c r="I1865" s="841"/>
      <c r="J1865" s="1135"/>
      <c r="K1865" s="841"/>
      <c r="L1865" s="841"/>
      <c r="M1865" s="841"/>
      <c r="N1865" s="841"/>
      <c r="O1865" s="841"/>
      <c r="P1865" s="841"/>
      <c r="Q1865" s="841"/>
      <c r="R1865" s="841"/>
    </row>
    <row r="1866" spans="2:18">
      <c r="B1866" s="841"/>
      <c r="C1866" s="842"/>
      <c r="D1866" s="842"/>
      <c r="E1866" s="842"/>
      <c r="F1866" s="1135"/>
      <c r="G1866" s="1135"/>
      <c r="H1866" s="843"/>
      <c r="I1866" s="841"/>
      <c r="J1866" s="1135"/>
      <c r="K1866" s="841"/>
      <c r="L1866" s="841"/>
      <c r="M1866" s="841"/>
      <c r="N1866" s="841"/>
      <c r="O1866" s="841"/>
      <c r="P1866" s="841"/>
      <c r="Q1866" s="841"/>
      <c r="R1866" s="841"/>
    </row>
    <row r="1867" spans="2:18">
      <c r="B1867" s="841"/>
      <c r="C1867" s="842"/>
      <c r="D1867" s="842"/>
      <c r="E1867" s="842"/>
      <c r="F1867" s="1135"/>
      <c r="G1867" s="1135"/>
      <c r="H1867" s="843"/>
      <c r="I1867" s="841"/>
      <c r="J1867" s="1135"/>
      <c r="K1867" s="841"/>
      <c r="L1867" s="841"/>
      <c r="M1867" s="841"/>
      <c r="N1867" s="841"/>
      <c r="O1867" s="841"/>
      <c r="P1867" s="841"/>
      <c r="Q1867" s="841"/>
      <c r="R1867" s="841"/>
    </row>
    <row r="1868" spans="2:18">
      <c r="B1868" s="841"/>
      <c r="C1868" s="842"/>
      <c r="D1868" s="842"/>
      <c r="E1868" s="842"/>
      <c r="F1868" s="1135"/>
      <c r="G1868" s="1135"/>
      <c r="H1868" s="843"/>
      <c r="I1868" s="841"/>
      <c r="J1868" s="1135"/>
      <c r="K1868" s="841"/>
      <c r="L1868" s="841"/>
      <c r="M1868" s="841"/>
      <c r="N1868" s="841"/>
      <c r="O1868" s="841"/>
      <c r="P1868" s="841"/>
      <c r="Q1868" s="841"/>
      <c r="R1868" s="841"/>
    </row>
    <row r="1869" spans="2:18">
      <c r="B1869" s="841"/>
      <c r="C1869" s="842"/>
      <c r="D1869" s="842"/>
      <c r="E1869" s="842"/>
      <c r="F1869" s="1135"/>
      <c r="G1869" s="1135"/>
      <c r="H1869" s="843"/>
      <c r="I1869" s="841"/>
      <c r="J1869" s="1135"/>
      <c r="K1869" s="841"/>
      <c r="L1869" s="841"/>
      <c r="M1869" s="841"/>
      <c r="N1869" s="841"/>
      <c r="O1869" s="841"/>
      <c r="P1869" s="841"/>
      <c r="Q1869" s="841"/>
      <c r="R1869" s="841"/>
    </row>
    <row r="1870" spans="2:18">
      <c r="B1870" s="841"/>
      <c r="C1870" s="842"/>
      <c r="D1870" s="842"/>
      <c r="E1870" s="842"/>
      <c r="F1870" s="1135"/>
      <c r="G1870" s="1135"/>
      <c r="H1870" s="843"/>
      <c r="I1870" s="841"/>
      <c r="J1870" s="1135"/>
      <c r="K1870" s="841"/>
      <c r="L1870" s="841"/>
      <c r="M1870" s="841"/>
      <c r="N1870" s="841"/>
      <c r="O1870" s="841"/>
      <c r="P1870" s="841"/>
      <c r="Q1870" s="841"/>
      <c r="R1870" s="841"/>
    </row>
    <row r="1871" spans="2:18">
      <c r="B1871" s="841"/>
      <c r="C1871" s="842"/>
      <c r="D1871" s="842"/>
      <c r="E1871" s="842"/>
      <c r="F1871" s="1135"/>
      <c r="G1871" s="1135"/>
      <c r="H1871" s="843"/>
      <c r="I1871" s="841"/>
      <c r="J1871" s="1135"/>
      <c r="K1871" s="841"/>
      <c r="L1871" s="841"/>
      <c r="M1871" s="841"/>
      <c r="N1871" s="841"/>
      <c r="O1871" s="841"/>
      <c r="P1871" s="841"/>
      <c r="Q1871" s="841"/>
      <c r="R1871" s="841"/>
    </row>
    <row r="1872" spans="2:18">
      <c r="B1872" s="841"/>
      <c r="C1872" s="842"/>
      <c r="D1872" s="842"/>
      <c r="E1872" s="842"/>
      <c r="F1872" s="1135"/>
      <c r="G1872" s="1135"/>
      <c r="H1872" s="843"/>
      <c r="I1872" s="841"/>
      <c r="J1872" s="1135"/>
      <c r="K1872" s="841"/>
      <c r="L1872" s="841"/>
      <c r="M1872" s="841"/>
      <c r="N1872" s="841"/>
      <c r="O1872" s="841"/>
      <c r="P1872" s="841"/>
      <c r="Q1872" s="841"/>
      <c r="R1872" s="841"/>
    </row>
    <row r="1873" spans="2:18">
      <c r="B1873" s="841"/>
      <c r="C1873" s="842"/>
      <c r="D1873" s="842"/>
      <c r="E1873" s="842"/>
      <c r="F1873" s="1135"/>
      <c r="G1873" s="1135"/>
      <c r="H1873" s="843"/>
      <c r="I1873" s="841"/>
      <c r="J1873" s="1135"/>
      <c r="K1873" s="841"/>
      <c r="L1873" s="841"/>
      <c r="M1873" s="841"/>
      <c r="N1873" s="841"/>
      <c r="O1873" s="841"/>
      <c r="P1873" s="841"/>
      <c r="Q1873" s="841"/>
      <c r="R1873" s="841"/>
    </row>
    <row r="1874" spans="2:18">
      <c r="B1874" s="841"/>
      <c r="C1874" s="842"/>
      <c r="D1874" s="842"/>
      <c r="E1874" s="842"/>
      <c r="F1874" s="1135"/>
      <c r="G1874" s="1135"/>
      <c r="H1874" s="843"/>
      <c r="I1874" s="841"/>
      <c r="J1874" s="1135"/>
      <c r="K1874" s="841"/>
      <c r="L1874" s="841"/>
      <c r="M1874" s="841"/>
      <c r="N1874" s="841"/>
      <c r="O1874" s="841"/>
      <c r="P1874" s="841"/>
      <c r="Q1874" s="841"/>
      <c r="R1874" s="841"/>
    </row>
    <row r="1875" spans="2:18">
      <c r="B1875" s="841"/>
      <c r="C1875" s="842"/>
      <c r="D1875" s="842"/>
      <c r="E1875" s="842"/>
      <c r="F1875" s="1135"/>
      <c r="G1875" s="1135"/>
      <c r="H1875" s="843"/>
      <c r="I1875" s="841"/>
      <c r="J1875" s="1135"/>
      <c r="K1875" s="841"/>
      <c r="L1875" s="841"/>
      <c r="M1875" s="841"/>
      <c r="N1875" s="841"/>
      <c r="O1875" s="841"/>
      <c r="P1875" s="841"/>
      <c r="Q1875" s="841"/>
      <c r="R1875" s="841"/>
    </row>
    <row r="1876" spans="2:18">
      <c r="B1876" s="841"/>
      <c r="C1876" s="842"/>
      <c r="D1876" s="842"/>
      <c r="E1876" s="842"/>
      <c r="F1876" s="1135"/>
      <c r="G1876" s="1135"/>
      <c r="H1876" s="843"/>
      <c r="I1876" s="841"/>
      <c r="J1876" s="1135"/>
      <c r="K1876" s="841"/>
      <c r="L1876" s="841"/>
      <c r="M1876" s="841"/>
      <c r="N1876" s="841"/>
      <c r="O1876" s="841"/>
      <c r="P1876" s="841"/>
      <c r="Q1876" s="841"/>
      <c r="R1876" s="841"/>
    </row>
    <row r="1877" spans="2:18">
      <c r="B1877" s="841"/>
      <c r="C1877" s="842"/>
      <c r="D1877" s="842"/>
      <c r="E1877" s="842"/>
      <c r="F1877" s="1135"/>
      <c r="G1877" s="1135"/>
      <c r="H1877" s="843"/>
      <c r="I1877" s="841"/>
      <c r="J1877" s="1135"/>
      <c r="K1877" s="841"/>
      <c r="L1877" s="841"/>
      <c r="M1877" s="841"/>
      <c r="N1877" s="841"/>
      <c r="O1877" s="841"/>
      <c r="P1877" s="841"/>
      <c r="Q1877" s="841"/>
      <c r="R1877" s="841"/>
    </row>
    <row r="1878" spans="2:18">
      <c r="B1878" s="841"/>
      <c r="C1878" s="842"/>
      <c r="D1878" s="842"/>
      <c r="E1878" s="842"/>
      <c r="F1878" s="1135"/>
      <c r="G1878" s="1135"/>
      <c r="H1878" s="843"/>
      <c r="I1878" s="841"/>
      <c r="J1878" s="1135"/>
      <c r="K1878" s="841"/>
      <c r="L1878" s="841"/>
      <c r="M1878" s="841"/>
      <c r="N1878" s="841"/>
      <c r="O1878" s="841"/>
      <c r="P1878" s="841"/>
      <c r="Q1878" s="841"/>
      <c r="R1878" s="841"/>
    </row>
    <row r="1879" spans="2:18">
      <c r="B1879" s="841"/>
      <c r="C1879" s="842"/>
      <c r="D1879" s="842"/>
      <c r="E1879" s="842"/>
      <c r="F1879" s="1135"/>
      <c r="G1879" s="1135"/>
      <c r="H1879" s="843"/>
      <c r="I1879" s="841"/>
      <c r="J1879" s="1135"/>
      <c r="K1879" s="841"/>
      <c r="L1879" s="841"/>
      <c r="M1879" s="841"/>
      <c r="N1879" s="841"/>
      <c r="O1879" s="841"/>
      <c r="P1879" s="841"/>
      <c r="Q1879" s="841"/>
      <c r="R1879" s="841"/>
    </row>
    <row r="1880" spans="2:18">
      <c r="B1880" s="841"/>
      <c r="C1880" s="842"/>
      <c r="D1880" s="842"/>
      <c r="E1880" s="842"/>
      <c r="F1880" s="1135"/>
      <c r="G1880" s="1135"/>
      <c r="H1880" s="843"/>
      <c r="I1880" s="841"/>
      <c r="J1880" s="1135"/>
      <c r="K1880" s="841"/>
      <c r="L1880" s="841"/>
      <c r="M1880" s="841"/>
      <c r="N1880" s="841"/>
      <c r="O1880" s="841"/>
      <c r="P1880" s="841"/>
      <c r="Q1880" s="841"/>
      <c r="R1880" s="841"/>
    </row>
    <row r="1881" spans="2:18">
      <c r="B1881" s="841"/>
      <c r="C1881" s="842"/>
      <c r="D1881" s="842"/>
      <c r="E1881" s="842"/>
      <c r="F1881" s="1135"/>
      <c r="G1881" s="1135"/>
      <c r="H1881" s="843"/>
      <c r="I1881" s="841"/>
      <c r="J1881" s="1135"/>
      <c r="K1881" s="841"/>
      <c r="L1881" s="841"/>
      <c r="M1881" s="841"/>
      <c r="N1881" s="841"/>
      <c r="O1881" s="841"/>
      <c r="P1881" s="841"/>
      <c r="Q1881" s="841"/>
      <c r="R1881" s="841"/>
    </row>
    <row r="1882" spans="2:18">
      <c r="B1882" s="841"/>
      <c r="C1882" s="842"/>
      <c r="D1882" s="842"/>
      <c r="E1882" s="842"/>
      <c r="F1882" s="1135"/>
      <c r="G1882" s="1135"/>
      <c r="H1882" s="843"/>
      <c r="I1882" s="841"/>
      <c r="J1882" s="1135"/>
      <c r="K1882" s="841"/>
      <c r="L1882" s="841"/>
      <c r="M1882" s="841"/>
      <c r="N1882" s="841"/>
      <c r="O1882" s="841"/>
      <c r="P1882" s="841"/>
      <c r="Q1882" s="841"/>
      <c r="R1882" s="841"/>
    </row>
    <row r="1883" spans="2:18">
      <c r="B1883" s="841"/>
      <c r="C1883" s="842"/>
      <c r="D1883" s="842"/>
      <c r="E1883" s="842"/>
      <c r="F1883" s="1135"/>
      <c r="G1883" s="1135"/>
      <c r="H1883" s="843"/>
      <c r="I1883" s="841"/>
      <c r="J1883" s="1135"/>
      <c r="K1883" s="841"/>
      <c r="L1883" s="841"/>
      <c r="M1883" s="841"/>
      <c r="N1883" s="841"/>
      <c r="O1883" s="841"/>
      <c r="P1883" s="841"/>
      <c r="Q1883" s="841"/>
      <c r="R1883" s="841"/>
    </row>
    <row r="1884" spans="2:18">
      <c r="B1884" s="841"/>
      <c r="C1884" s="842"/>
      <c r="D1884" s="842"/>
      <c r="E1884" s="842"/>
      <c r="F1884" s="1135"/>
      <c r="G1884" s="1135"/>
      <c r="H1884" s="843"/>
      <c r="I1884" s="841"/>
      <c r="J1884" s="1135"/>
      <c r="K1884" s="841"/>
      <c r="L1884" s="841"/>
      <c r="M1884" s="841"/>
      <c r="N1884" s="841"/>
      <c r="O1884" s="841"/>
      <c r="P1884" s="841"/>
      <c r="Q1884" s="841"/>
      <c r="R1884" s="841"/>
    </row>
    <row r="1885" spans="2:18">
      <c r="B1885" s="841"/>
      <c r="C1885" s="842"/>
      <c r="D1885" s="842"/>
      <c r="E1885" s="842"/>
      <c r="F1885" s="1135"/>
      <c r="G1885" s="1135"/>
      <c r="H1885" s="843"/>
      <c r="I1885" s="841"/>
      <c r="J1885" s="1135"/>
      <c r="K1885" s="841"/>
      <c r="L1885" s="841"/>
      <c r="M1885" s="841"/>
      <c r="N1885" s="841"/>
      <c r="O1885" s="841"/>
      <c r="P1885" s="841"/>
      <c r="Q1885" s="841"/>
      <c r="R1885" s="841"/>
    </row>
    <row r="1886" spans="2:18">
      <c r="B1886" s="841"/>
      <c r="C1886" s="842"/>
      <c r="D1886" s="842"/>
      <c r="E1886" s="842"/>
      <c r="F1886" s="1135"/>
      <c r="G1886" s="1135"/>
      <c r="H1886" s="843"/>
      <c r="I1886" s="841"/>
      <c r="J1886" s="1135"/>
      <c r="K1886" s="841"/>
      <c r="L1886" s="841"/>
      <c r="M1886" s="841"/>
      <c r="N1886" s="841"/>
      <c r="O1886" s="841"/>
      <c r="P1886" s="841"/>
      <c r="Q1886" s="841"/>
      <c r="R1886" s="841"/>
    </row>
    <row r="1887" spans="2:18">
      <c r="B1887" s="841"/>
      <c r="C1887" s="842"/>
      <c r="D1887" s="842"/>
      <c r="E1887" s="842"/>
      <c r="F1887" s="1135"/>
      <c r="G1887" s="1135"/>
      <c r="H1887" s="843"/>
      <c r="I1887" s="841"/>
      <c r="J1887" s="1135"/>
      <c r="K1887" s="841"/>
      <c r="L1887" s="841"/>
      <c r="M1887" s="841"/>
      <c r="N1887" s="841"/>
      <c r="O1887" s="841"/>
      <c r="P1887" s="841"/>
      <c r="Q1887" s="841"/>
      <c r="R1887" s="841"/>
    </row>
    <row r="1888" spans="2:18">
      <c r="B1888" s="841"/>
      <c r="C1888" s="842"/>
      <c r="D1888" s="842"/>
      <c r="E1888" s="842"/>
      <c r="F1888" s="1135"/>
      <c r="G1888" s="1135"/>
      <c r="H1888" s="843"/>
      <c r="I1888" s="841"/>
      <c r="J1888" s="1135"/>
      <c r="K1888" s="841"/>
      <c r="L1888" s="841"/>
      <c r="M1888" s="841"/>
      <c r="N1888" s="841"/>
      <c r="O1888" s="841"/>
      <c r="P1888" s="841"/>
      <c r="Q1888" s="841"/>
      <c r="R1888" s="841"/>
    </row>
    <row r="1889" spans="2:18">
      <c r="B1889" s="841"/>
      <c r="C1889" s="842"/>
      <c r="D1889" s="842"/>
      <c r="E1889" s="842"/>
      <c r="F1889" s="1135"/>
      <c r="G1889" s="1135"/>
      <c r="H1889" s="843"/>
      <c r="I1889" s="841"/>
      <c r="J1889" s="1135"/>
      <c r="K1889" s="841"/>
      <c r="L1889" s="841"/>
      <c r="M1889" s="841"/>
      <c r="N1889" s="841"/>
      <c r="O1889" s="841"/>
      <c r="P1889" s="841"/>
      <c r="Q1889" s="841"/>
      <c r="R1889" s="841"/>
    </row>
    <row r="1890" spans="2:18">
      <c r="B1890" s="841"/>
      <c r="C1890" s="842"/>
      <c r="D1890" s="842"/>
      <c r="E1890" s="842"/>
      <c r="F1890" s="1135"/>
      <c r="G1890" s="1135"/>
      <c r="H1890" s="843"/>
      <c r="I1890" s="841"/>
      <c r="J1890" s="1135"/>
      <c r="K1890" s="841"/>
      <c r="L1890" s="841"/>
      <c r="M1890" s="841"/>
      <c r="N1890" s="841"/>
      <c r="O1890" s="841"/>
      <c r="P1890" s="841"/>
      <c r="Q1890" s="841"/>
      <c r="R1890" s="841"/>
    </row>
    <row r="1891" spans="2:18">
      <c r="B1891" s="841"/>
      <c r="C1891" s="842"/>
      <c r="D1891" s="842"/>
      <c r="E1891" s="842"/>
      <c r="F1891" s="1135"/>
      <c r="G1891" s="1135"/>
      <c r="H1891" s="843"/>
      <c r="I1891" s="841"/>
      <c r="J1891" s="1135"/>
      <c r="K1891" s="841"/>
      <c r="L1891" s="841"/>
      <c r="M1891" s="841"/>
      <c r="N1891" s="841"/>
      <c r="O1891" s="841"/>
      <c r="P1891" s="841"/>
      <c r="Q1891" s="841"/>
      <c r="R1891" s="841"/>
    </row>
    <row r="1892" spans="2:18">
      <c r="B1892" s="841"/>
      <c r="C1892" s="842"/>
      <c r="D1892" s="842"/>
      <c r="E1892" s="842"/>
      <c r="F1892" s="1135"/>
      <c r="G1892" s="1135"/>
      <c r="H1892" s="843"/>
      <c r="I1892" s="841"/>
      <c r="J1892" s="1135"/>
      <c r="K1892" s="841"/>
      <c r="L1892" s="841"/>
      <c r="M1892" s="841"/>
      <c r="N1892" s="841"/>
      <c r="O1892" s="841"/>
      <c r="P1892" s="841"/>
      <c r="Q1892" s="841"/>
      <c r="R1892" s="841"/>
    </row>
    <row r="1893" spans="2:18">
      <c r="B1893" s="841"/>
      <c r="C1893" s="842"/>
      <c r="D1893" s="842"/>
      <c r="E1893" s="842"/>
      <c r="F1893" s="1135"/>
      <c r="G1893" s="1135"/>
      <c r="H1893" s="843"/>
      <c r="I1893" s="841"/>
      <c r="J1893" s="1135"/>
      <c r="K1893" s="841"/>
      <c r="L1893" s="841"/>
      <c r="M1893" s="841"/>
      <c r="N1893" s="841"/>
      <c r="O1893" s="841"/>
      <c r="P1893" s="841"/>
      <c r="Q1893" s="841"/>
      <c r="R1893" s="841"/>
    </row>
    <row r="1894" spans="2:18">
      <c r="B1894" s="841"/>
      <c r="C1894" s="842"/>
      <c r="D1894" s="842"/>
      <c r="E1894" s="842"/>
      <c r="F1894" s="1135"/>
      <c r="G1894" s="1135"/>
      <c r="H1894" s="843"/>
      <c r="I1894" s="841"/>
      <c r="J1894" s="1135"/>
      <c r="K1894" s="841"/>
      <c r="L1894" s="841"/>
      <c r="M1894" s="841"/>
      <c r="N1894" s="841"/>
      <c r="O1894" s="841"/>
      <c r="P1894" s="841"/>
      <c r="Q1894" s="841"/>
      <c r="R1894" s="841"/>
    </row>
    <row r="1895" spans="2:18">
      <c r="B1895" s="841"/>
      <c r="C1895" s="842"/>
      <c r="D1895" s="842"/>
      <c r="E1895" s="842"/>
      <c r="F1895" s="1135"/>
      <c r="G1895" s="1135"/>
      <c r="H1895" s="843"/>
      <c r="I1895" s="841"/>
      <c r="J1895" s="1135"/>
      <c r="K1895" s="841"/>
      <c r="L1895" s="841"/>
      <c r="M1895" s="841"/>
      <c r="N1895" s="841"/>
      <c r="O1895" s="841"/>
      <c r="P1895" s="841"/>
      <c r="Q1895" s="841"/>
      <c r="R1895" s="841"/>
    </row>
    <row r="1896" spans="2:18">
      <c r="B1896" s="841"/>
      <c r="C1896" s="842"/>
      <c r="D1896" s="842"/>
      <c r="E1896" s="842"/>
      <c r="F1896" s="1135"/>
      <c r="G1896" s="1135"/>
      <c r="H1896" s="843"/>
      <c r="I1896" s="841"/>
      <c r="J1896" s="1135"/>
      <c r="K1896" s="841"/>
      <c r="L1896" s="841"/>
      <c r="M1896" s="841"/>
      <c r="N1896" s="841"/>
      <c r="O1896" s="841"/>
      <c r="P1896" s="841"/>
      <c r="Q1896" s="841"/>
      <c r="R1896" s="841"/>
    </row>
    <row r="1897" spans="2:18">
      <c r="B1897" s="841"/>
      <c r="C1897" s="842"/>
      <c r="D1897" s="842"/>
      <c r="E1897" s="842"/>
      <c r="F1897" s="1135"/>
      <c r="G1897" s="1135"/>
      <c r="H1897" s="843"/>
      <c r="I1897" s="841"/>
      <c r="J1897" s="1135"/>
      <c r="K1897" s="841"/>
      <c r="L1897" s="841"/>
      <c r="M1897" s="841"/>
      <c r="N1897" s="841"/>
      <c r="O1897" s="841"/>
      <c r="P1897" s="841"/>
      <c r="Q1897" s="841"/>
      <c r="R1897" s="841"/>
    </row>
    <row r="1898" spans="2:18">
      <c r="B1898" s="841"/>
      <c r="C1898" s="842"/>
      <c r="D1898" s="842"/>
      <c r="E1898" s="842"/>
      <c r="F1898" s="1135"/>
      <c r="G1898" s="1135"/>
      <c r="H1898" s="843"/>
      <c r="I1898" s="841"/>
      <c r="J1898" s="1135"/>
      <c r="K1898" s="841"/>
      <c r="L1898" s="841"/>
      <c r="M1898" s="841"/>
      <c r="N1898" s="841"/>
      <c r="O1898" s="841"/>
      <c r="P1898" s="841"/>
      <c r="Q1898" s="841"/>
      <c r="R1898" s="841"/>
    </row>
    <row r="1899" spans="2:18">
      <c r="B1899" s="841"/>
      <c r="C1899" s="842"/>
      <c r="D1899" s="842"/>
      <c r="E1899" s="842"/>
      <c r="F1899" s="1135"/>
      <c r="G1899" s="1135"/>
      <c r="H1899" s="843"/>
      <c r="I1899" s="841"/>
      <c r="J1899" s="1135"/>
      <c r="K1899" s="841"/>
      <c r="L1899" s="841"/>
      <c r="M1899" s="841"/>
      <c r="N1899" s="841"/>
      <c r="O1899" s="841"/>
      <c r="P1899" s="841"/>
      <c r="Q1899" s="841"/>
      <c r="R1899" s="841"/>
    </row>
    <row r="1900" spans="2:18">
      <c r="B1900" s="841"/>
      <c r="C1900" s="842"/>
      <c r="D1900" s="842"/>
      <c r="E1900" s="842"/>
      <c r="F1900" s="1135"/>
      <c r="G1900" s="1135"/>
      <c r="H1900" s="843"/>
      <c r="I1900" s="841"/>
      <c r="J1900" s="1135"/>
      <c r="K1900" s="841"/>
      <c r="L1900" s="841"/>
      <c r="M1900" s="841"/>
      <c r="N1900" s="841"/>
      <c r="O1900" s="841"/>
      <c r="P1900" s="841"/>
      <c r="Q1900" s="841"/>
      <c r="R1900" s="841"/>
    </row>
    <row r="1901" spans="2:18">
      <c r="B1901" s="841"/>
      <c r="C1901" s="842"/>
      <c r="D1901" s="842"/>
      <c r="E1901" s="842"/>
      <c r="F1901" s="1135"/>
      <c r="G1901" s="1135"/>
      <c r="H1901" s="843"/>
      <c r="I1901" s="841"/>
      <c r="J1901" s="1135"/>
      <c r="K1901" s="841"/>
      <c r="L1901" s="841"/>
      <c r="M1901" s="841"/>
      <c r="N1901" s="841"/>
      <c r="O1901" s="841"/>
      <c r="P1901" s="841"/>
      <c r="Q1901" s="841"/>
      <c r="R1901" s="841"/>
    </row>
    <row r="1902" spans="2:18">
      <c r="B1902" s="841"/>
      <c r="C1902" s="842"/>
      <c r="D1902" s="842"/>
      <c r="E1902" s="842"/>
      <c r="F1902" s="1135"/>
      <c r="G1902" s="1135"/>
      <c r="H1902" s="843"/>
      <c r="I1902" s="841"/>
      <c r="J1902" s="1135"/>
      <c r="K1902" s="841"/>
      <c r="L1902" s="841"/>
      <c r="M1902" s="841"/>
      <c r="N1902" s="841"/>
      <c r="O1902" s="841"/>
      <c r="P1902" s="841"/>
      <c r="Q1902" s="841"/>
      <c r="R1902" s="841"/>
    </row>
    <row r="1903" spans="2:18">
      <c r="B1903" s="841"/>
      <c r="C1903" s="842"/>
      <c r="D1903" s="842"/>
      <c r="E1903" s="842"/>
      <c r="F1903" s="1135"/>
      <c r="G1903" s="1135"/>
      <c r="H1903" s="843"/>
      <c r="I1903" s="841"/>
      <c r="J1903" s="1135"/>
      <c r="K1903" s="841"/>
      <c r="L1903" s="841"/>
      <c r="M1903" s="841"/>
      <c r="N1903" s="841"/>
      <c r="O1903" s="841"/>
      <c r="P1903" s="841"/>
      <c r="Q1903" s="841"/>
      <c r="R1903" s="841"/>
    </row>
    <row r="1904" spans="2:18">
      <c r="B1904" s="841"/>
      <c r="C1904" s="842"/>
      <c r="D1904" s="842"/>
      <c r="E1904" s="842"/>
      <c r="F1904" s="1135"/>
      <c r="G1904" s="1135"/>
      <c r="H1904" s="843"/>
      <c r="I1904" s="841"/>
      <c r="J1904" s="1135"/>
      <c r="K1904" s="841"/>
      <c r="L1904" s="841"/>
      <c r="M1904" s="841"/>
      <c r="N1904" s="841"/>
      <c r="O1904" s="841"/>
      <c r="P1904" s="841"/>
      <c r="Q1904" s="841"/>
      <c r="R1904" s="841"/>
    </row>
    <row r="1905" spans="2:18">
      <c r="B1905" s="841"/>
      <c r="C1905" s="842"/>
      <c r="D1905" s="842"/>
      <c r="E1905" s="842"/>
      <c r="F1905" s="1135"/>
      <c r="G1905" s="1135"/>
      <c r="H1905" s="843"/>
      <c r="I1905" s="841"/>
      <c r="J1905" s="1135"/>
      <c r="K1905" s="841"/>
      <c r="L1905" s="841"/>
      <c r="M1905" s="841"/>
      <c r="N1905" s="841"/>
      <c r="O1905" s="841"/>
      <c r="P1905" s="841"/>
      <c r="Q1905" s="841"/>
      <c r="R1905" s="841"/>
    </row>
    <row r="1906" spans="2:18">
      <c r="B1906" s="841"/>
      <c r="C1906" s="842"/>
      <c r="D1906" s="842"/>
      <c r="E1906" s="842"/>
      <c r="F1906" s="1135"/>
      <c r="G1906" s="1135"/>
      <c r="H1906" s="843"/>
      <c r="I1906" s="841"/>
      <c r="J1906" s="1135"/>
      <c r="K1906" s="841"/>
      <c r="L1906" s="841"/>
      <c r="M1906" s="841"/>
      <c r="N1906" s="841"/>
      <c r="O1906" s="841"/>
      <c r="P1906" s="841"/>
      <c r="Q1906" s="841"/>
      <c r="R1906" s="841"/>
    </row>
    <row r="1907" spans="2:18">
      <c r="B1907" s="841"/>
      <c r="C1907" s="842"/>
      <c r="D1907" s="842"/>
      <c r="E1907" s="842"/>
      <c r="F1907" s="1135"/>
      <c r="G1907" s="1135"/>
      <c r="H1907" s="843"/>
      <c r="I1907" s="841"/>
      <c r="J1907" s="1135"/>
      <c r="K1907" s="841"/>
      <c r="L1907" s="841"/>
      <c r="M1907" s="841"/>
      <c r="N1907" s="841"/>
      <c r="O1907" s="841"/>
      <c r="P1907" s="841"/>
      <c r="Q1907" s="841"/>
      <c r="R1907" s="841"/>
    </row>
    <row r="1908" spans="2:18">
      <c r="B1908" s="841"/>
      <c r="C1908" s="842"/>
      <c r="D1908" s="842"/>
      <c r="E1908" s="842"/>
      <c r="F1908" s="1135"/>
      <c r="G1908" s="1135"/>
      <c r="H1908" s="843"/>
      <c r="I1908" s="841"/>
      <c r="J1908" s="1135"/>
      <c r="K1908" s="841"/>
      <c r="L1908" s="841"/>
      <c r="M1908" s="841"/>
      <c r="N1908" s="841"/>
      <c r="O1908" s="841"/>
      <c r="P1908" s="841"/>
      <c r="Q1908" s="841"/>
      <c r="R1908" s="841"/>
    </row>
    <row r="1909" spans="2:18">
      <c r="B1909" s="841"/>
      <c r="C1909" s="842"/>
      <c r="D1909" s="842"/>
      <c r="E1909" s="842"/>
      <c r="F1909" s="1135"/>
      <c r="G1909" s="1135"/>
      <c r="H1909" s="843"/>
      <c r="I1909" s="841"/>
      <c r="J1909" s="1135"/>
      <c r="K1909" s="841"/>
      <c r="L1909" s="841"/>
      <c r="M1909" s="841"/>
      <c r="N1909" s="841"/>
      <c r="O1909" s="841"/>
      <c r="P1909" s="841"/>
      <c r="Q1909" s="841"/>
      <c r="R1909" s="841"/>
    </row>
    <row r="1910" spans="2:18">
      <c r="B1910" s="841"/>
      <c r="C1910" s="842"/>
      <c r="D1910" s="842"/>
      <c r="E1910" s="842"/>
      <c r="F1910" s="1135"/>
      <c r="G1910" s="1135"/>
      <c r="H1910" s="843"/>
      <c r="I1910" s="841"/>
      <c r="J1910" s="1135"/>
      <c r="K1910" s="841"/>
      <c r="L1910" s="841"/>
      <c r="M1910" s="841"/>
      <c r="N1910" s="841"/>
      <c r="O1910" s="841"/>
      <c r="P1910" s="841"/>
      <c r="Q1910" s="841"/>
      <c r="R1910" s="841"/>
    </row>
    <row r="1911" spans="2:18">
      <c r="B1911" s="841"/>
      <c r="C1911" s="842"/>
      <c r="D1911" s="842"/>
      <c r="E1911" s="842"/>
      <c r="F1911" s="1135"/>
      <c r="G1911" s="1135"/>
      <c r="H1911" s="843"/>
      <c r="I1911" s="841"/>
      <c r="J1911" s="1135"/>
      <c r="K1911" s="841"/>
      <c r="L1911" s="841"/>
      <c r="M1911" s="841"/>
      <c r="N1911" s="841"/>
      <c r="O1911" s="841"/>
      <c r="P1911" s="841"/>
      <c r="Q1911" s="841"/>
      <c r="R1911" s="841"/>
    </row>
    <row r="1912" spans="2:18">
      <c r="B1912" s="841"/>
      <c r="C1912" s="842"/>
      <c r="D1912" s="842"/>
      <c r="E1912" s="842"/>
      <c r="F1912" s="1135"/>
      <c r="G1912" s="1135"/>
      <c r="H1912" s="843"/>
      <c r="I1912" s="841"/>
      <c r="J1912" s="1135"/>
      <c r="K1912" s="841"/>
      <c r="L1912" s="841"/>
      <c r="M1912" s="841"/>
      <c r="N1912" s="841"/>
      <c r="O1912" s="841"/>
      <c r="P1912" s="841"/>
      <c r="Q1912" s="841"/>
      <c r="R1912" s="841"/>
    </row>
    <row r="1913" spans="2:18">
      <c r="B1913" s="841"/>
      <c r="C1913" s="842"/>
      <c r="D1913" s="842"/>
      <c r="E1913" s="842"/>
      <c r="F1913" s="1135"/>
      <c r="G1913" s="1135"/>
      <c r="H1913" s="843"/>
      <c r="I1913" s="841"/>
      <c r="J1913" s="1135"/>
      <c r="K1913" s="841"/>
      <c r="L1913" s="841"/>
      <c r="M1913" s="841"/>
      <c r="N1913" s="841"/>
      <c r="O1913" s="841"/>
      <c r="P1913" s="841"/>
      <c r="Q1913" s="841"/>
      <c r="R1913" s="841"/>
    </row>
    <row r="1914" spans="2:18">
      <c r="B1914" s="841"/>
      <c r="C1914" s="842"/>
      <c r="D1914" s="842"/>
      <c r="E1914" s="842"/>
      <c r="F1914" s="1135"/>
      <c r="G1914" s="1135"/>
      <c r="H1914" s="843"/>
      <c r="I1914" s="841"/>
      <c r="J1914" s="1135"/>
      <c r="K1914" s="841"/>
      <c r="L1914" s="841"/>
      <c r="M1914" s="841"/>
      <c r="N1914" s="841"/>
      <c r="O1914" s="841"/>
      <c r="P1914" s="841"/>
      <c r="Q1914" s="841"/>
      <c r="R1914" s="841"/>
    </row>
    <row r="1915" spans="2:18">
      <c r="B1915" s="841"/>
      <c r="C1915" s="842"/>
      <c r="D1915" s="842"/>
      <c r="E1915" s="842"/>
      <c r="F1915" s="1135"/>
      <c r="G1915" s="1135"/>
      <c r="H1915" s="843"/>
      <c r="I1915" s="841"/>
      <c r="J1915" s="1135"/>
      <c r="K1915" s="841"/>
      <c r="L1915" s="841"/>
      <c r="M1915" s="841"/>
      <c r="N1915" s="841"/>
      <c r="O1915" s="841"/>
      <c r="P1915" s="841"/>
      <c r="Q1915" s="841"/>
      <c r="R1915" s="841"/>
    </row>
    <row r="1916" spans="2:18">
      <c r="B1916" s="841"/>
      <c r="C1916" s="842"/>
      <c r="D1916" s="842"/>
      <c r="E1916" s="842"/>
      <c r="F1916" s="1135"/>
      <c r="G1916" s="1135"/>
      <c r="H1916" s="843"/>
      <c r="I1916" s="841"/>
      <c r="J1916" s="1135"/>
      <c r="K1916" s="841"/>
      <c r="L1916" s="841"/>
      <c r="M1916" s="841"/>
      <c r="N1916" s="841"/>
      <c r="O1916" s="841"/>
      <c r="P1916" s="841"/>
      <c r="Q1916" s="841"/>
      <c r="R1916" s="841"/>
    </row>
    <row r="1917" spans="2:18">
      <c r="B1917" s="841"/>
      <c r="C1917" s="842"/>
      <c r="D1917" s="842"/>
      <c r="E1917" s="842"/>
      <c r="F1917" s="1135"/>
      <c r="G1917" s="1135"/>
      <c r="H1917" s="843"/>
      <c r="I1917" s="841"/>
      <c r="J1917" s="1135"/>
      <c r="K1917" s="841"/>
      <c r="L1917" s="841"/>
      <c r="M1917" s="841"/>
      <c r="N1917" s="841"/>
      <c r="O1917" s="841"/>
      <c r="P1917" s="841"/>
      <c r="Q1917" s="841"/>
      <c r="R1917" s="841"/>
    </row>
    <row r="1918" spans="2:18">
      <c r="B1918" s="841"/>
      <c r="C1918" s="842"/>
      <c r="D1918" s="842"/>
      <c r="E1918" s="842"/>
      <c r="F1918" s="1135"/>
      <c r="G1918" s="1135"/>
      <c r="H1918" s="843"/>
      <c r="I1918" s="841"/>
      <c r="J1918" s="1135"/>
      <c r="K1918" s="841"/>
      <c r="L1918" s="841"/>
      <c r="M1918" s="841"/>
      <c r="N1918" s="841"/>
      <c r="O1918" s="841"/>
      <c r="P1918" s="841"/>
      <c r="Q1918" s="841"/>
      <c r="R1918" s="841"/>
    </row>
    <row r="1919" spans="2:18">
      <c r="B1919" s="841"/>
      <c r="C1919" s="842"/>
      <c r="D1919" s="842"/>
      <c r="E1919" s="842"/>
      <c r="F1919" s="1135"/>
      <c r="G1919" s="1135"/>
      <c r="H1919" s="843"/>
      <c r="I1919" s="841"/>
      <c r="J1919" s="1135"/>
      <c r="K1919" s="841"/>
      <c r="L1919" s="841"/>
      <c r="M1919" s="841"/>
      <c r="N1919" s="841"/>
      <c r="O1919" s="841"/>
      <c r="P1919" s="841"/>
      <c r="Q1919" s="841"/>
      <c r="R1919" s="841"/>
    </row>
    <row r="1920" spans="2:18">
      <c r="B1920" s="841"/>
      <c r="C1920" s="842"/>
      <c r="D1920" s="842"/>
      <c r="E1920" s="842"/>
      <c r="F1920" s="1135"/>
      <c r="G1920" s="1135"/>
      <c r="H1920" s="843"/>
      <c r="I1920" s="841"/>
      <c r="J1920" s="1135"/>
      <c r="K1920" s="841"/>
      <c r="L1920" s="841"/>
      <c r="M1920" s="841"/>
      <c r="N1920" s="841"/>
      <c r="O1920" s="841"/>
      <c r="P1920" s="841"/>
      <c r="Q1920" s="841"/>
      <c r="R1920" s="841"/>
    </row>
    <row r="1921" spans="2:18">
      <c r="B1921" s="841"/>
      <c r="C1921" s="842"/>
      <c r="D1921" s="842"/>
      <c r="E1921" s="842"/>
      <c r="F1921" s="1135"/>
      <c r="G1921" s="1135"/>
      <c r="H1921" s="843"/>
      <c r="I1921" s="841"/>
      <c r="J1921" s="1135"/>
      <c r="K1921" s="841"/>
      <c r="L1921" s="841"/>
      <c r="M1921" s="841"/>
      <c r="N1921" s="841"/>
      <c r="O1921" s="841"/>
      <c r="P1921" s="841"/>
      <c r="Q1921" s="841"/>
      <c r="R1921" s="841"/>
    </row>
    <row r="1922" spans="2:18">
      <c r="B1922" s="841"/>
      <c r="C1922" s="842"/>
      <c r="D1922" s="842"/>
      <c r="E1922" s="842"/>
      <c r="F1922" s="1135"/>
      <c r="G1922" s="1135"/>
      <c r="H1922" s="843"/>
      <c r="I1922" s="841"/>
      <c r="J1922" s="1135"/>
      <c r="K1922" s="841"/>
      <c r="L1922" s="841"/>
      <c r="M1922" s="841"/>
      <c r="N1922" s="841"/>
      <c r="O1922" s="841"/>
      <c r="P1922" s="841"/>
      <c r="Q1922" s="841"/>
      <c r="R1922" s="841"/>
    </row>
    <row r="1923" spans="2:18">
      <c r="B1923" s="841"/>
      <c r="C1923" s="842"/>
      <c r="D1923" s="842"/>
      <c r="E1923" s="842"/>
      <c r="F1923" s="1135"/>
      <c r="G1923" s="1135"/>
      <c r="H1923" s="843"/>
      <c r="I1923" s="841"/>
      <c r="J1923" s="1135"/>
      <c r="K1923" s="841"/>
      <c r="L1923" s="841"/>
      <c r="M1923" s="841"/>
      <c r="N1923" s="841"/>
      <c r="O1923" s="841"/>
      <c r="P1923" s="841"/>
      <c r="Q1923" s="841"/>
      <c r="R1923" s="841"/>
    </row>
    <row r="1924" spans="2:18">
      <c r="B1924" s="841"/>
      <c r="C1924" s="842"/>
      <c r="D1924" s="842"/>
      <c r="E1924" s="842"/>
      <c r="F1924" s="1135"/>
      <c r="G1924" s="1135"/>
      <c r="H1924" s="843"/>
      <c r="I1924" s="841"/>
      <c r="J1924" s="1135"/>
      <c r="K1924" s="841"/>
      <c r="L1924" s="841"/>
      <c r="M1924" s="841"/>
      <c r="N1924" s="841"/>
      <c r="O1924" s="841"/>
      <c r="P1924" s="841"/>
      <c r="Q1924" s="841"/>
      <c r="R1924" s="841"/>
    </row>
    <row r="1925" spans="2:18">
      <c r="B1925" s="841"/>
      <c r="C1925" s="842"/>
      <c r="D1925" s="842"/>
      <c r="E1925" s="842"/>
      <c r="F1925" s="1135"/>
      <c r="G1925" s="1135"/>
      <c r="H1925" s="843"/>
      <c r="I1925" s="841"/>
      <c r="J1925" s="1135"/>
      <c r="K1925" s="841"/>
      <c r="L1925" s="841"/>
      <c r="M1925" s="841"/>
      <c r="N1925" s="841"/>
      <c r="O1925" s="841"/>
      <c r="P1925" s="841"/>
      <c r="Q1925" s="841"/>
      <c r="R1925" s="841"/>
    </row>
    <row r="1926" spans="2:18">
      <c r="B1926" s="841"/>
      <c r="C1926" s="842"/>
      <c r="D1926" s="842"/>
      <c r="E1926" s="842"/>
      <c r="F1926" s="1135"/>
      <c r="G1926" s="1135"/>
      <c r="H1926" s="843"/>
      <c r="I1926" s="841"/>
      <c r="J1926" s="1135"/>
      <c r="K1926" s="841"/>
      <c r="L1926" s="841"/>
      <c r="M1926" s="841"/>
      <c r="N1926" s="841"/>
      <c r="O1926" s="841"/>
      <c r="P1926" s="841"/>
      <c r="Q1926" s="841"/>
      <c r="R1926" s="841"/>
    </row>
    <row r="1927" spans="2:18">
      <c r="B1927" s="841"/>
      <c r="C1927" s="842"/>
      <c r="D1927" s="842"/>
      <c r="E1927" s="842"/>
      <c r="F1927" s="1135"/>
      <c r="G1927" s="1135"/>
      <c r="H1927" s="843"/>
      <c r="I1927" s="841"/>
      <c r="J1927" s="1135"/>
      <c r="K1927" s="841"/>
      <c r="L1927" s="841"/>
      <c r="M1927" s="841"/>
      <c r="N1927" s="841"/>
      <c r="O1927" s="841"/>
      <c r="P1927" s="841"/>
      <c r="Q1927" s="841"/>
      <c r="R1927" s="841"/>
    </row>
    <row r="1928" spans="2:18">
      <c r="B1928" s="841"/>
      <c r="C1928" s="842"/>
      <c r="D1928" s="842"/>
      <c r="E1928" s="842"/>
      <c r="F1928" s="1135"/>
      <c r="G1928" s="1135"/>
      <c r="H1928" s="843"/>
      <c r="I1928" s="841"/>
      <c r="J1928" s="1135"/>
      <c r="K1928" s="841"/>
      <c r="L1928" s="841"/>
      <c r="M1928" s="841"/>
      <c r="N1928" s="841"/>
      <c r="O1928" s="841"/>
      <c r="P1928" s="841"/>
      <c r="Q1928" s="841"/>
      <c r="R1928" s="841"/>
    </row>
    <row r="1929" spans="2:18">
      <c r="B1929" s="841"/>
      <c r="C1929" s="842"/>
      <c r="D1929" s="842"/>
      <c r="E1929" s="842"/>
      <c r="F1929" s="1135"/>
      <c r="G1929" s="1135"/>
      <c r="H1929" s="843"/>
      <c r="I1929" s="841"/>
      <c r="J1929" s="1135"/>
      <c r="K1929" s="841"/>
      <c r="L1929" s="841"/>
      <c r="M1929" s="841"/>
      <c r="N1929" s="841"/>
      <c r="O1929" s="841"/>
      <c r="P1929" s="841"/>
      <c r="Q1929" s="841"/>
      <c r="R1929" s="841"/>
    </row>
    <row r="1930" spans="2:18">
      <c r="B1930" s="841"/>
      <c r="C1930" s="842"/>
      <c r="D1930" s="842"/>
      <c r="E1930" s="842"/>
      <c r="F1930" s="1135"/>
      <c r="G1930" s="1135"/>
      <c r="H1930" s="843"/>
      <c r="I1930" s="841"/>
      <c r="J1930" s="1135"/>
      <c r="K1930" s="841"/>
      <c r="L1930" s="841"/>
      <c r="M1930" s="841"/>
      <c r="N1930" s="841"/>
      <c r="O1930" s="841"/>
      <c r="P1930" s="841"/>
      <c r="Q1930" s="841"/>
      <c r="R1930" s="841"/>
    </row>
    <row r="1931" spans="2:18">
      <c r="B1931" s="841"/>
      <c r="C1931" s="842"/>
      <c r="D1931" s="842"/>
      <c r="E1931" s="842"/>
      <c r="F1931" s="1135"/>
      <c r="G1931" s="1135"/>
      <c r="H1931" s="843"/>
      <c r="I1931" s="841"/>
      <c r="J1931" s="1135"/>
      <c r="K1931" s="841"/>
      <c r="L1931" s="841"/>
      <c r="M1931" s="841"/>
      <c r="N1931" s="841"/>
      <c r="O1931" s="841"/>
      <c r="P1931" s="841"/>
      <c r="Q1931" s="841"/>
      <c r="R1931" s="841"/>
    </row>
    <row r="1932" spans="2:18">
      <c r="B1932" s="841"/>
      <c r="C1932" s="842"/>
      <c r="D1932" s="842"/>
      <c r="E1932" s="842"/>
      <c r="F1932" s="1135"/>
      <c r="G1932" s="1135"/>
      <c r="H1932" s="843"/>
      <c r="I1932" s="841"/>
      <c r="J1932" s="1135"/>
      <c r="K1932" s="841"/>
      <c r="L1932" s="841"/>
      <c r="M1932" s="841"/>
      <c r="N1932" s="841"/>
      <c r="O1932" s="841"/>
      <c r="P1932" s="841"/>
      <c r="Q1932" s="841"/>
      <c r="R1932" s="841"/>
    </row>
    <row r="1933" spans="2:18">
      <c r="B1933" s="841"/>
      <c r="C1933" s="842"/>
      <c r="D1933" s="842"/>
      <c r="E1933" s="842"/>
      <c r="F1933" s="1135"/>
      <c r="G1933" s="1135"/>
      <c r="H1933" s="843"/>
      <c r="I1933" s="841"/>
      <c r="J1933" s="1135"/>
      <c r="K1933" s="841"/>
      <c r="L1933" s="841"/>
      <c r="M1933" s="841"/>
      <c r="N1933" s="841"/>
      <c r="O1933" s="841"/>
      <c r="P1933" s="841"/>
      <c r="Q1933" s="841"/>
      <c r="R1933" s="841"/>
    </row>
    <row r="1934" spans="2:18">
      <c r="B1934" s="841"/>
      <c r="C1934" s="842"/>
      <c r="D1934" s="842"/>
      <c r="E1934" s="842"/>
      <c r="F1934" s="1135"/>
      <c r="G1934" s="1135"/>
      <c r="H1934" s="843"/>
      <c r="I1934" s="841"/>
      <c r="J1934" s="1135"/>
      <c r="K1934" s="841"/>
      <c r="L1934" s="841"/>
      <c r="M1934" s="841"/>
      <c r="N1934" s="841"/>
      <c r="O1934" s="841"/>
      <c r="P1934" s="841"/>
      <c r="Q1934" s="841"/>
      <c r="R1934" s="841"/>
    </row>
    <row r="1935" spans="2:18">
      <c r="B1935" s="841"/>
      <c r="C1935" s="842"/>
      <c r="D1935" s="842"/>
      <c r="E1935" s="842"/>
      <c r="F1935" s="1135"/>
      <c r="G1935" s="1135"/>
      <c r="H1935" s="843"/>
      <c r="I1935" s="841"/>
      <c r="J1935" s="1135"/>
      <c r="K1935" s="841"/>
      <c r="L1935" s="841"/>
      <c r="M1935" s="841"/>
      <c r="N1935" s="841"/>
      <c r="O1935" s="841"/>
      <c r="P1935" s="841"/>
      <c r="Q1935" s="841"/>
      <c r="R1935" s="841"/>
    </row>
    <row r="1936" spans="2:18">
      <c r="B1936" s="841"/>
      <c r="C1936" s="842"/>
      <c r="D1936" s="842"/>
      <c r="E1936" s="842"/>
      <c r="F1936" s="1135"/>
      <c r="G1936" s="1135"/>
      <c r="H1936" s="843"/>
      <c r="I1936" s="841"/>
      <c r="J1936" s="1135"/>
      <c r="K1936" s="841"/>
      <c r="L1936" s="841"/>
      <c r="M1936" s="841"/>
      <c r="N1936" s="841"/>
      <c r="O1936" s="841"/>
      <c r="P1936" s="841"/>
      <c r="Q1936" s="841"/>
      <c r="R1936" s="841"/>
    </row>
    <row r="1937" spans="2:18">
      <c r="B1937" s="841"/>
      <c r="C1937" s="842"/>
      <c r="D1937" s="842"/>
      <c r="E1937" s="842"/>
      <c r="F1937" s="1135"/>
      <c r="G1937" s="1135"/>
      <c r="H1937" s="843"/>
      <c r="I1937" s="841"/>
      <c r="J1937" s="1135"/>
      <c r="K1937" s="841"/>
      <c r="L1937" s="841"/>
      <c r="M1937" s="841"/>
      <c r="N1937" s="841"/>
      <c r="O1937" s="841"/>
      <c r="P1937" s="841"/>
      <c r="Q1937" s="841"/>
      <c r="R1937" s="841"/>
    </row>
    <row r="1938" spans="2:18">
      <c r="B1938" s="841"/>
      <c r="C1938" s="842"/>
      <c r="D1938" s="842"/>
      <c r="E1938" s="842"/>
      <c r="F1938" s="1135"/>
      <c r="G1938" s="1135"/>
      <c r="H1938" s="843"/>
      <c r="I1938" s="841"/>
      <c r="J1938" s="1135"/>
      <c r="K1938" s="841"/>
      <c r="L1938" s="841"/>
      <c r="M1938" s="841"/>
      <c r="N1938" s="841"/>
      <c r="O1938" s="841"/>
      <c r="P1938" s="841"/>
      <c r="Q1938" s="841"/>
      <c r="R1938" s="841"/>
    </row>
    <row r="1939" spans="2:18">
      <c r="B1939" s="841"/>
      <c r="C1939" s="842"/>
      <c r="D1939" s="842"/>
      <c r="E1939" s="842"/>
      <c r="F1939" s="1135"/>
      <c r="G1939" s="1135"/>
      <c r="H1939" s="843"/>
      <c r="I1939" s="841"/>
      <c r="J1939" s="1135"/>
      <c r="K1939" s="841"/>
      <c r="L1939" s="841"/>
      <c r="M1939" s="841"/>
      <c r="N1939" s="841"/>
      <c r="O1939" s="841"/>
      <c r="P1939" s="841"/>
      <c r="Q1939" s="841"/>
      <c r="R1939" s="841"/>
    </row>
    <row r="1940" spans="2:18">
      <c r="B1940" s="841"/>
      <c r="C1940" s="842"/>
      <c r="D1940" s="842"/>
      <c r="E1940" s="842"/>
      <c r="F1940" s="1135"/>
      <c r="G1940" s="1135"/>
      <c r="H1940" s="843"/>
      <c r="I1940" s="841"/>
      <c r="J1940" s="1135"/>
      <c r="K1940" s="841"/>
      <c r="L1940" s="841"/>
      <c r="M1940" s="841"/>
      <c r="N1940" s="841"/>
      <c r="O1940" s="841"/>
      <c r="P1940" s="841"/>
      <c r="Q1940" s="841"/>
      <c r="R1940" s="841"/>
    </row>
    <row r="1941" spans="2:18">
      <c r="B1941" s="841"/>
      <c r="C1941" s="842"/>
      <c r="D1941" s="842"/>
      <c r="E1941" s="842"/>
      <c r="F1941" s="1135"/>
      <c r="G1941" s="1135"/>
      <c r="H1941" s="843"/>
      <c r="I1941" s="841"/>
      <c r="J1941" s="1135"/>
      <c r="K1941" s="841"/>
      <c r="L1941" s="841"/>
      <c r="M1941" s="841"/>
      <c r="N1941" s="841"/>
      <c r="O1941" s="841"/>
      <c r="P1941" s="841"/>
      <c r="Q1941" s="841"/>
      <c r="R1941" s="841"/>
    </row>
    <row r="1942" spans="2:18">
      <c r="B1942" s="841"/>
      <c r="C1942" s="842"/>
      <c r="D1942" s="842"/>
      <c r="E1942" s="842"/>
      <c r="F1942" s="1135"/>
      <c r="G1942" s="1135"/>
      <c r="H1942" s="843"/>
      <c r="I1942" s="841"/>
      <c r="J1942" s="1135"/>
      <c r="K1942" s="841"/>
      <c r="L1942" s="841"/>
      <c r="M1942" s="841"/>
      <c r="N1942" s="841"/>
      <c r="O1942" s="841"/>
      <c r="P1942" s="841"/>
      <c r="Q1942" s="841"/>
      <c r="R1942" s="841"/>
    </row>
    <row r="1943" spans="2:18">
      <c r="B1943" s="841"/>
      <c r="C1943" s="842"/>
      <c r="D1943" s="842"/>
      <c r="E1943" s="842"/>
      <c r="F1943" s="1135"/>
      <c r="G1943" s="1135"/>
      <c r="H1943" s="843"/>
      <c r="I1943" s="841"/>
      <c r="J1943" s="1135"/>
      <c r="K1943" s="841"/>
      <c r="L1943" s="841"/>
      <c r="M1943" s="841"/>
      <c r="N1943" s="841"/>
      <c r="O1943" s="841"/>
      <c r="P1943" s="841"/>
      <c r="Q1943" s="841"/>
      <c r="R1943" s="841"/>
    </row>
    <row r="1944" spans="2:18">
      <c r="B1944" s="841"/>
      <c r="C1944" s="842"/>
      <c r="D1944" s="842"/>
      <c r="E1944" s="842"/>
      <c r="F1944" s="1135"/>
      <c r="G1944" s="1135"/>
      <c r="H1944" s="843"/>
      <c r="I1944" s="841"/>
      <c r="J1944" s="1135"/>
      <c r="K1944" s="841"/>
      <c r="L1944" s="841"/>
      <c r="M1944" s="841"/>
      <c r="N1944" s="841"/>
      <c r="O1944" s="841"/>
      <c r="P1944" s="841"/>
      <c r="Q1944" s="841"/>
      <c r="R1944" s="841"/>
    </row>
    <row r="1945" spans="2:18">
      <c r="B1945" s="841"/>
      <c r="C1945" s="842"/>
      <c r="D1945" s="842"/>
      <c r="E1945" s="842"/>
      <c r="F1945" s="1135"/>
      <c r="G1945" s="1135"/>
      <c r="H1945" s="843"/>
      <c r="I1945" s="841"/>
      <c r="J1945" s="1135"/>
      <c r="K1945" s="841"/>
      <c r="L1945" s="841"/>
      <c r="M1945" s="841"/>
      <c r="N1945" s="841"/>
      <c r="O1945" s="841"/>
      <c r="P1945" s="841"/>
      <c r="Q1945" s="841"/>
      <c r="R1945" s="841"/>
    </row>
    <row r="1946" spans="2:18">
      <c r="B1946" s="841"/>
      <c r="C1946" s="842"/>
      <c r="D1946" s="842"/>
      <c r="E1946" s="842"/>
      <c r="F1946" s="1135"/>
      <c r="G1946" s="1135"/>
      <c r="H1946" s="843"/>
      <c r="I1946" s="841"/>
      <c r="J1946" s="1135"/>
      <c r="K1946" s="841"/>
      <c r="L1946" s="841"/>
      <c r="M1946" s="841"/>
      <c r="N1946" s="841"/>
      <c r="O1946" s="841"/>
      <c r="P1946" s="841"/>
      <c r="Q1946" s="841"/>
      <c r="R1946" s="841"/>
    </row>
    <row r="1947" spans="2:18">
      <c r="B1947" s="841"/>
      <c r="C1947" s="842"/>
      <c r="D1947" s="842"/>
      <c r="E1947" s="842"/>
      <c r="F1947" s="1135"/>
      <c r="G1947" s="1135"/>
      <c r="H1947" s="843"/>
      <c r="I1947" s="841"/>
      <c r="J1947" s="1135"/>
      <c r="K1947" s="841"/>
      <c r="L1947" s="841"/>
      <c r="M1947" s="841"/>
      <c r="N1947" s="841"/>
      <c r="O1947" s="841"/>
      <c r="P1947" s="841"/>
      <c r="Q1947" s="841"/>
      <c r="R1947" s="841"/>
    </row>
    <row r="1948" spans="2:18">
      <c r="B1948" s="841"/>
      <c r="C1948" s="842"/>
      <c r="D1948" s="842"/>
      <c r="E1948" s="842"/>
      <c r="F1948" s="1135"/>
      <c r="G1948" s="1135"/>
      <c r="H1948" s="843"/>
      <c r="I1948" s="841"/>
      <c r="J1948" s="1135"/>
      <c r="K1948" s="841"/>
      <c r="L1948" s="841"/>
      <c r="M1948" s="841"/>
      <c r="N1948" s="841"/>
      <c r="O1948" s="841"/>
      <c r="P1948" s="841"/>
      <c r="Q1948" s="841"/>
      <c r="R1948" s="841"/>
    </row>
    <row r="1949" spans="2:18">
      <c r="B1949" s="841"/>
      <c r="C1949" s="842"/>
      <c r="D1949" s="842"/>
      <c r="E1949" s="842"/>
      <c r="F1949" s="1135"/>
      <c r="G1949" s="1135"/>
      <c r="H1949" s="843"/>
      <c r="I1949" s="841"/>
      <c r="J1949" s="1135"/>
      <c r="K1949" s="841"/>
      <c r="L1949" s="841"/>
      <c r="M1949" s="841"/>
      <c r="N1949" s="841"/>
      <c r="O1949" s="841"/>
      <c r="P1949" s="841"/>
      <c r="Q1949" s="841"/>
      <c r="R1949" s="841"/>
    </row>
    <row r="1950" spans="2:18">
      <c r="B1950" s="841"/>
      <c r="C1950" s="842"/>
      <c r="D1950" s="842"/>
      <c r="E1950" s="842"/>
      <c r="F1950" s="1135"/>
      <c r="G1950" s="1135"/>
      <c r="H1950" s="843"/>
      <c r="I1950" s="841"/>
      <c r="J1950" s="1135"/>
      <c r="K1950" s="841"/>
      <c r="L1950" s="841"/>
      <c r="M1950" s="841"/>
      <c r="N1950" s="841"/>
      <c r="O1950" s="841"/>
      <c r="P1950" s="841"/>
      <c r="Q1950" s="841"/>
      <c r="R1950" s="841"/>
    </row>
    <row r="1951" spans="2:18">
      <c r="B1951" s="841"/>
      <c r="C1951" s="842"/>
      <c r="D1951" s="842"/>
      <c r="E1951" s="842"/>
      <c r="F1951" s="1135"/>
      <c r="G1951" s="1135"/>
      <c r="H1951" s="843"/>
      <c r="I1951" s="841"/>
      <c r="J1951" s="1135"/>
      <c r="K1951" s="841"/>
      <c r="L1951" s="841"/>
      <c r="M1951" s="841"/>
      <c r="N1951" s="841"/>
      <c r="O1951" s="841"/>
      <c r="P1951" s="841"/>
      <c r="Q1951" s="841"/>
      <c r="R1951" s="841"/>
    </row>
    <row r="1952" spans="2:18">
      <c r="B1952" s="841"/>
      <c r="C1952" s="842"/>
      <c r="D1952" s="842"/>
      <c r="E1952" s="842"/>
      <c r="F1952" s="1135"/>
      <c r="G1952" s="1135"/>
      <c r="H1952" s="843"/>
      <c r="I1952" s="841"/>
      <c r="J1952" s="1135"/>
      <c r="K1952" s="841"/>
      <c r="L1952" s="841"/>
      <c r="M1952" s="841"/>
      <c r="N1952" s="841"/>
      <c r="O1952" s="841"/>
      <c r="P1952" s="841"/>
      <c r="Q1952" s="841"/>
      <c r="R1952" s="841"/>
    </row>
    <row r="1953" spans="2:18">
      <c r="B1953" s="841"/>
      <c r="C1953" s="842"/>
      <c r="D1953" s="842"/>
      <c r="E1953" s="842"/>
      <c r="F1953" s="1135"/>
      <c r="G1953" s="1135"/>
      <c r="H1953" s="843"/>
      <c r="I1953" s="841"/>
      <c r="J1953" s="1135"/>
      <c r="K1953" s="841"/>
      <c r="L1953" s="841"/>
      <c r="M1953" s="841"/>
      <c r="N1953" s="841"/>
      <c r="O1953" s="841"/>
      <c r="P1953" s="841"/>
      <c r="Q1953" s="841"/>
      <c r="R1953" s="841"/>
    </row>
    <row r="1954" spans="2:18">
      <c r="B1954" s="841"/>
      <c r="C1954" s="842"/>
      <c r="D1954" s="842"/>
      <c r="E1954" s="842"/>
      <c r="F1954" s="1135"/>
      <c r="G1954" s="1135"/>
      <c r="H1954" s="843"/>
      <c r="I1954" s="841"/>
      <c r="J1954" s="1135"/>
      <c r="K1954" s="841"/>
      <c r="L1954" s="841"/>
      <c r="M1954" s="841"/>
      <c r="N1954" s="841"/>
      <c r="O1954" s="841"/>
      <c r="P1954" s="841"/>
      <c r="Q1954" s="841"/>
      <c r="R1954" s="841"/>
    </row>
    <row r="1955" spans="2:18">
      <c r="B1955" s="841"/>
      <c r="C1955" s="842"/>
      <c r="D1955" s="842"/>
      <c r="E1955" s="842"/>
      <c r="F1955" s="1135"/>
      <c r="G1955" s="1135"/>
      <c r="H1955" s="843"/>
      <c r="I1955" s="841"/>
      <c r="J1955" s="1135"/>
      <c r="K1955" s="841"/>
      <c r="L1955" s="841"/>
      <c r="M1955" s="841"/>
      <c r="N1955" s="841"/>
      <c r="O1955" s="841"/>
      <c r="P1955" s="841"/>
      <c r="Q1955" s="841"/>
      <c r="R1955" s="841"/>
    </row>
    <row r="1956" spans="2:18">
      <c r="B1956" s="841"/>
      <c r="C1956" s="842"/>
      <c r="D1956" s="842"/>
      <c r="E1956" s="842"/>
      <c r="F1956" s="1135"/>
      <c r="G1956" s="1135"/>
      <c r="H1956" s="843"/>
      <c r="I1956" s="841"/>
      <c r="J1956" s="1135"/>
      <c r="K1956" s="841"/>
      <c r="L1956" s="841"/>
      <c r="M1956" s="841"/>
      <c r="N1956" s="841"/>
      <c r="O1956" s="841"/>
      <c r="P1956" s="841"/>
      <c r="Q1956" s="841"/>
      <c r="R1956" s="841"/>
    </row>
    <row r="1957" spans="2:18">
      <c r="B1957" s="841"/>
      <c r="C1957" s="842"/>
      <c r="D1957" s="842"/>
      <c r="E1957" s="842"/>
      <c r="F1957" s="1135"/>
      <c r="G1957" s="1135"/>
      <c r="H1957" s="843"/>
      <c r="I1957" s="841"/>
      <c r="J1957" s="1135"/>
      <c r="K1957" s="841"/>
      <c r="L1957" s="841"/>
      <c r="M1957" s="841"/>
      <c r="N1957" s="841"/>
      <c r="O1957" s="841"/>
      <c r="P1957" s="841"/>
      <c r="Q1957" s="841"/>
      <c r="R1957" s="841"/>
    </row>
    <row r="1958" spans="2:18">
      <c r="B1958" s="841"/>
      <c r="C1958" s="842"/>
      <c r="D1958" s="842"/>
      <c r="E1958" s="842"/>
      <c r="F1958" s="1135"/>
      <c r="G1958" s="1135"/>
      <c r="H1958" s="843"/>
      <c r="I1958" s="841"/>
      <c r="J1958" s="1135"/>
      <c r="K1958" s="841"/>
      <c r="L1958" s="841"/>
      <c r="M1958" s="841"/>
      <c r="N1958" s="841"/>
      <c r="O1958" s="841"/>
      <c r="P1958" s="841"/>
      <c r="Q1958" s="841"/>
      <c r="R1958" s="841"/>
    </row>
    <row r="1959" spans="2:18">
      <c r="B1959" s="841"/>
      <c r="C1959" s="842"/>
      <c r="D1959" s="842"/>
      <c r="E1959" s="842"/>
      <c r="F1959" s="1135"/>
      <c r="G1959" s="1135"/>
      <c r="H1959" s="843"/>
      <c r="I1959" s="841"/>
      <c r="J1959" s="1135"/>
      <c r="K1959" s="841"/>
      <c r="L1959" s="841"/>
      <c r="M1959" s="841"/>
      <c r="N1959" s="841"/>
      <c r="O1959" s="841"/>
      <c r="P1959" s="841"/>
      <c r="Q1959" s="841"/>
      <c r="R1959" s="841"/>
    </row>
    <row r="1960" spans="2:18">
      <c r="B1960" s="841"/>
      <c r="C1960" s="842"/>
      <c r="D1960" s="842"/>
      <c r="E1960" s="842"/>
      <c r="F1960" s="1135"/>
      <c r="G1960" s="1135"/>
      <c r="H1960" s="843"/>
      <c r="I1960" s="841"/>
      <c r="J1960" s="1135"/>
      <c r="K1960" s="841"/>
      <c r="L1960" s="841"/>
      <c r="M1960" s="841"/>
      <c r="N1960" s="841"/>
      <c r="O1960" s="841"/>
      <c r="P1960" s="841"/>
      <c r="Q1960" s="841"/>
      <c r="R1960" s="841"/>
    </row>
    <row r="1961" spans="2:18">
      <c r="B1961" s="841"/>
      <c r="C1961" s="842"/>
      <c r="D1961" s="842"/>
      <c r="E1961" s="842"/>
      <c r="F1961" s="1135"/>
      <c r="G1961" s="1135"/>
      <c r="H1961" s="843"/>
      <c r="I1961" s="841"/>
      <c r="J1961" s="1135"/>
      <c r="K1961" s="841"/>
      <c r="L1961" s="841"/>
      <c r="M1961" s="841"/>
      <c r="N1961" s="841"/>
      <c r="O1961" s="841"/>
      <c r="P1961" s="841"/>
      <c r="Q1961" s="841"/>
      <c r="R1961" s="841"/>
    </row>
    <row r="1962" spans="2:18">
      <c r="B1962" s="841"/>
      <c r="C1962" s="842"/>
      <c r="D1962" s="842"/>
      <c r="E1962" s="842"/>
      <c r="F1962" s="1135"/>
      <c r="G1962" s="1135"/>
      <c r="H1962" s="843"/>
      <c r="I1962" s="841"/>
      <c r="J1962" s="1135"/>
      <c r="K1962" s="841"/>
      <c r="L1962" s="841"/>
      <c r="M1962" s="841"/>
      <c r="N1962" s="841"/>
      <c r="O1962" s="841"/>
      <c r="P1962" s="841"/>
      <c r="Q1962" s="841"/>
      <c r="R1962" s="841"/>
    </row>
    <row r="1963" spans="2:18">
      <c r="B1963" s="841"/>
      <c r="C1963" s="842"/>
      <c r="D1963" s="842"/>
      <c r="E1963" s="842"/>
      <c r="F1963" s="1135"/>
      <c r="G1963" s="1135"/>
      <c r="H1963" s="843"/>
      <c r="I1963" s="841"/>
      <c r="J1963" s="1135"/>
      <c r="K1963" s="841"/>
      <c r="L1963" s="841"/>
      <c r="M1963" s="841"/>
      <c r="N1963" s="841"/>
      <c r="O1963" s="841"/>
      <c r="P1963" s="841"/>
      <c r="Q1963" s="841"/>
      <c r="R1963" s="841"/>
    </row>
    <row r="1964" spans="2:18">
      <c r="B1964" s="841"/>
      <c r="C1964" s="842"/>
      <c r="D1964" s="842"/>
      <c r="E1964" s="842"/>
      <c r="F1964" s="1135"/>
      <c r="G1964" s="1135"/>
      <c r="H1964" s="843"/>
      <c r="I1964" s="841"/>
      <c r="J1964" s="1135"/>
      <c r="K1964" s="841"/>
      <c r="L1964" s="841"/>
      <c r="M1964" s="841"/>
      <c r="N1964" s="841"/>
      <c r="O1964" s="841"/>
      <c r="P1964" s="841"/>
      <c r="Q1964" s="841"/>
      <c r="R1964" s="841"/>
    </row>
    <row r="1965" spans="2:18">
      <c r="B1965" s="841"/>
      <c r="C1965" s="842"/>
      <c r="D1965" s="842"/>
      <c r="E1965" s="842"/>
      <c r="F1965" s="1135"/>
      <c r="G1965" s="1135"/>
      <c r="H1965" s="843"/>
      <c r="I1965" s="841"/>
      <c r="J1965" s="1135"/>
      <c r="K1965" s="841"/>
      <c r="L1965" s="841"/>
      <c r="M1965" s="841"/>
      <c r="N1965" s="841"/>
      <c r="O1965" s="841"/>
      <c r="P1965" s="841"/>
      <c r="Q1965" s="841"/>
      <c r="R1965" s="841"/>
    </row>
    <row r="1966" spans="2:18">
      <c r="B1966" s="841"/>
      <c r="C1966" s="842"/>
      <c r="D1966" s="842"/>
      <c r="E1966" s="842"/>
      <c r="F1966" s="1135"/>
      <c r="G1966" s="1135"/>
      <c r="H1966" s="843"/>
      <c r="I1966" s="841"/>
      <c r="J1966" s="1135"/>
      <c r="K1966" s="841"/>
      <c r="L1966" s="841"/>
      <c r="M1966" s="841"/>
      <c r="N1966" s="841"/>
      <c r="O1966" s="841"/>
      <c r="P1966" s="841"/>
      <c r="Q1966" s="841"/>
      <c r="R1966" s="841"/>
    </row>
    <row r="1967" spans="2:18">
      <c r="B1967" s="841"/>
      <c r="C1967" s="842"/>
      <c r="D1967" s="842"/>
      <c r="E1967" s="842"/>
      <c r="F1967" s="1135"/>
      <c r="G1967" s="1135"/>
      <c r="H1967" s="843"/>
      <c r="I1967" s="841"/>
      <c r="J1967" s="1135"/>
      <c r="K1967" s="841"/>
      <c r="L1967" s="841"/>
      <c r="M1967" s="841"/>
      <c r="N1967" s="841"/>
      <c r="O1967" s="841"/>
      <c r="P1967" s="841"/>
      <c r="Q1967" s="841"/>
      <c r="R1967" s="841"/>
    </row>
    <row r="1968" spans="2:18">
      <c r="B1968" s="841"/>
      <c r="C1968" s="842"/>
      <c r="D1968" s="842"/>
      <c r="E1968" s="842"/>
      <c r="F1968" s="1135"/>
      <c r="G1968" s="1135"/>
      <c r="H1968" s="843"/>
      <c r="I1968" s="841"/>
      <c r="J1968" s="1135"/>
      <c r="K1968" s="841"/>
      <c r="L1968" s="841"/>
      <c r="M1968" s="841"/>
      <c r="N1968" s="841"/>
      <c r="O1968" s="841"/>
      <c r="P1968" s="841"/>
      <c r="Q1968" s="841"/>
      <c r="R1968" s="841"/>
    </row>
    <row r="1969" spans="2:18">
      <c r="B1969" s="841"/>
      <c r="C1969" s="842"/>
      <c r="D1969" s="842"/>
      <c r="E1969" s="842"/>
      <c r="F1969" s="1135"/>
      <c r="G1969" s="1135"/>
      <c r="H1969" s="843"/>
      <c r="I1969" s="841"/>
      <c r="J1969" s="1135"/>
      <c r="K1969" s="841"/>
      <c r="L1969" s="841"/>
      <c r="M1969" s="841"/>
      <c r="N1969" s="841"/>
      <c r="O1969" s="841"/>
      <c r="P1969" s="841"/>
      <c r="Q1969" s="841"/>
      <c r="R1969" s="841"/>
    </row>
    <row r="1970" spans="2:18">
      <c r="B1970" s="841"/>
      <c r="C1970" s="842"/>
      <c r="D1970" s="842"/>
      <c r="E1970" s="842"/>
      <c r="F1970" s="1135"/>
      <c r="G1970" s="1135"/>
      <c r="H1970" s="843"/>
      <c r="I1970" s="841"/>
      <c r="J1970" s="1135"/>
      <c r="K1970" s="841"/>
      <c r="L1970" s="841"/>
      <c r="M1970" s="841"/>
      <c r="N1970" s="841"/>
      <c r="O1970" s="841"/>
      <c r="P1970" s="841"/>
      <c r="Q1970" s="841"/>
      <c r="R1970" s="841"/>
    </row>
    <row r="1971" spans="2:18">
      <c r="B1971" s="841"/>
      <c r="C1971" s="842"/>
      <c r="D1971" s="842"/>
      <c r="E1971" s="842"/>
      <c r="F1971" s="1135"/>
      <c r="G1971" s="1135"/>
      <c r="H1971" s="843"/>
      <c r="I1971" s="841"/>
      <c r="J1971" s="1135"/>
      <c r="K1971" s="841"/>
      <c r="L1971" s="841"/>
      <c r="M1971" s="841"/>
      <c r="N1971" s="841"/>
      <c r="O1971" s="841"/>
      <c r="P1971" s="841"/>
      <c r="Q1971" s="841"/>
      <c r="R1971" s="841"/>
    </row>
    <row r="1972" spans="2:18">
      <c r="B1972" s="841"/>
      <c r="C1972" s="842"/>
      <c r="D1972" s="842"/>
      <c r="E1972" s="842"/>
      <c r="F1972" s="1135"/>
      <c r="G1972" s="1135"/>
      <c r="H1972" s="843"/>
      <c r="I1972" s="841"/>
      <c r="J1972" s="1135"/>
      <c r="K1972" s="841"/>
      <c r="L1972" s="841"/>
      <c r="M1972" s="841"/>
      <c r="N1972" s="841"/>
      <c r="O1972" s="841"/>
      <c r="P1972" s="841"/>
      <c r="Q1972" s="841"/>
      <c r="R1972" s="841"/>
    </row>
    <row r="1973" spans="2:18">
      <c r="B1973" s="841"/>
      <c r="C1973" s="842"/>
      <c r="D1973" s="842"/>
      <c r="E1973" s="842"/>
      <c r="F1973" s="1135"/>
      <c r="G1973" s="1135"/>
      <c r="H1973" s="843"/>
      <c r="I1973" s="841"/>
      <c r="J1973" s="1135"/>
      <c r="K1973" s="841"/>
      <c r="L1973" s="841"/>
      <c r="M1973" s="841"/>
      <c r="N1973" s="841"/>
      <c r="O1973" s="841"/>
      <c r="P1973" s="841"/>
      <c r="Q1973" s="841"/>
      <c r="R1973" s="841"/>
    </row>
    <row r="1974" spans="2:18">
      <c r="B1974" s="841"/>
      <c r="C1974" s="842"/>
      <c r="D1974" s="842"/>
      <c r="E1974" s="842"/>
      <c r="F1974" s="1135"/>
      <c r="G1974" s="1135"/>
      <c r="H1974" s="843"/>
      <c r="I1974" s="841"/>
      <c r="J1974" s="1135"/>
      <c r="K1974" s="841"/>
      <c r="L1974" s="841"/>
      <c r="M1974" s="841"/>
      <c r="N1974" s="841"/>
      <c r="O1974" s="841"/>
      <c r="P1974" s="841"/>
      <c r="Q1974" s="841"/>
      <c r="R1974" s="841"/>
    </row>
    <row r="1975" spans="2:18">
      <c r="B1975" s="841"/>
      <c r="C1975" s="842"/>
      <c r="D1975" s="842"/>
      <c r="E1975" s="842"/>
      <c r="F1975" s="1135"/>
      <c r="G1975" s="1135"/>
      <c r="H1975" s="843"/>
      <c r="I1975" s="841"/>
      <c r="J1975" s="1135"/>
      <c r="K1975" s="841"/>
      <c r="L1975" s="841"/>
      <c r="M1975" s="841"/>
      <c r="N1975" s="841"/>
      <c r="O1975" s="841"/>
      <c r="P1975" s="841"/>
      <c r="Q1975" s="841"/>
      <c r="R1975" s="841"/>
    </row>
    <row r="1976" spans="2:18">
      <c r="B1976" s="841"/>
      <c r="C1976" s="842"/>
      <c r="D1976" s="842"/>
      <c r="E1976" s="842"/>
      <c r="F1976" s="1135"/>
      <c r="G1976" s="1135"/>
      <c r="H1976" s="843"/>
      <c r="I1976" s="841"/>
      <c r="J1976" s="1135"/>
      <c r="K1976" s="841"/>
      <c r="L1976" s="841"/>
      <c r="M1976" s="841"/>
      <c r="N1976" s="841"/>
      <c r="O1976" s="841"/>
      <c r="P1976" s="841"/>
      <c r="Q1976" s="841"/>
      <c r="R1976" s="841"/>
    </row>
    <row r="1977" spans="2:18">
      <c r="B1977" s="841"/>
      <c r="C1977" s="842"/>
      <c r="D1977" s="842"/>
      <c r="E1977" s="842"/>
      <c r="F1977" s="1135"/>
      <c r="G1977" s="1135"/>
      <c r="H1977" s="843"/>
      <c r="I1977" s="841"/>
      <c r="J1977" s="1135"/>
      <c r="K1977" s="841"/>
      <c r="L1977" s="841"/>
      <c r="M1977" s="841"/>
      <c r="N1977" s="841"/>
      <c r="O1977" s="841"/>
      <c r="P1977" s="841"/>
      <c r="Q1977" s="841"/>
      <c r="R1977" s="841"/>
    </row>
    <row r="1978" spans="2:18">
      <c r="B1978" s="841"/>
      <c r="C1978" s="842"/>
      <c r="D1978" s="842"/>
      <c r="E1978" s="842"/>
      <c r="F1978" s="1135"/>
      <c r="G1978" s="1135"/>
      <c r="H1978" s="843"/>
      <c r="I1978" s="841"/>
      <c r="J1978" s="1135"/>
      <c r="K1978" s="841"/>
      <c r="L1978" s="841"/>
      <c r="M1978" s="841"/>
      <c r="N1978" s="841"/>
      <c r="O1978" s="841"/>
      <c r="P1978" s="841"/>
      <c r="Q1978" s="841"/>
      <c r="R1978" s="841"/>
    </row>
    <row r="1979" spans="2:18">
      <c r="B1979" s="841"/>
      <c r="C1979" s="842"/>
      <c r="D1979" s="842"/>
      <c r="E1979" s="842"/>
      <c r="F1979" s="1135"/>
      <c r="G1979" s="1135"/>
      <c r="H1979" s="843"/>
      <c r="I1979" s="841"/>
      <c r="J1979" s="1135"/>
      <c r="K1979" s="841"/>
      <c r="L1979" s="841"/>
      <c r="M1979" s="841"/>
      <c r="N1979" s="841"/>
      <c r="O1979" s="841"/>
      <c r="P1979" s="841"/>
      <c r="Q1979" s="841"/>
      <c r="R1979" s="841"/>
    </row>
    <row r="1980" spans="2:18">
      <c r="B1980" s="841"/>
      <c r="C1980" s="842"/>
      <c r="D1980" s="842"/>
      <c r="E1980" s="842"/>
      <c r="F1980" s="1135"/>
      <c r="G1980" s="1135"/>
      <c r="H1980" s="843"/>
      <c r="I1980" s="841"/>
      <c r="J1980" s="1135"/>
      <c r="K1980" s="841"/>
      <c r="L1980" s="841"/>
      <c r="M1980" s="841"/>
      <c r="N1980" s="841"/>
      <c r="O1980" s="841"/>
      <c r="P1980" s="841"/>
      <c r="Q1980" s="841"/>
      <c r="R1980" s="841"/>
    </row>
    <row r="1981" spans="2:18">
      <c r="B1981" s="841"/>
      <c r="C1981" s="842"/>
      <c r="D1981" s="842"/>
      <c r="E1981" s="842"/>
      <c r="F1981" s="1135"/>
      <c r="G1981" s="1135"/>
      <c r="H1981" s="843"/>
      <c r="I1981" s="841"/>
      <c r="J1981" s="1135"/>
      <c r="K1981" s="841"/>
      <c r="L1981" s="841"/>
      <c r="M1981" s="841"/>
      <c r="N1981" s="841"/>
      <c r="O1981" s="841"/>
      <c r="P1981" s="841"/>
      <c r="Q1981" s="841"/>
      <c r="R1981" s="841"/>
    </row>
    <row r="1982" spans="2:18">
      <c r="B1982" s="841"/>
      <c r="C1982" s="842"/>
      <c r="D1982" s="842"/>
      <c r="E1982" s="842"/>
      <c r="F1982" s="1135"/>
      <c r="G1982" s="1135"/>
      <c r="H1982" s="843"/>
      <c r="I1982" s="841"/>
      <c r="J1982" s="1135"/>
      <c r="K1982" s="841"/>
      <c r="L1982" s="841"/>
      <c r="M1982" s="841"/>
      <c r="N1982" s="841"/>
      <c r="O1982" s="841"/>
      <c r="P1982" s="841"/>
      <c r="Q1982" s="841"/>
      <c r="R1982" s="841"/>
    </row>
    <row r="1983" spans="2:18">
      <c r="B1983" s="841"/>
      <c r="C1983" s="842"/>
      <c r="D1983" s="842"/>
      <c r="E1983" s="842"/>
      <c r="F1983" s="1135"/>
      <c r="G1983" s="1135"/>
      <c r="H1983" s="843"/>
      <c r="I1983" s="841"/>
      <c r="J1983" s="1135"/>
      <c r="K1983" s="841"/>
      <c r="L1983" s="841"/>
      <c r="M1983" s="841"/>
      <c r="N1983" s="841"/>
      <c r="O1983" s="841"/>
      <c r="P1983" s="841"/>
      <c r="Q1983" s="841"/>
      <c r="R1983" s="841"/>
    </row>
    <row r="1984" spans="2:18">
      <c r="B1984" s="841"/>
      <c r="C1984" s="842"/>
      <c r="D1984" s="842"/>
      <c r="E1984" s="842"/>
      <c r="F1984" s="1135"/>
      <c r="G1984" s="1135"/>
      <c r="H1984" s="843"/>
      <c r="I1984" s="841"/>
      <c r="J1984" s="1135"/>
      <c r="K1984" s="841"/>
      <c r="L1984" s="841"/>
      <c r="M1984" s="841"/>
      <c r="N1984" s="841"/>
      <c r="O1984" s="841"/>
      <c r="P1984" s="841"/>
      <c r="Q1984" s="841"/>
      <c r="R1984" s="841"/>
    </row>
    <row r="1985" spans="2:18">
      <c r="B1985" s="841"/>
      <c r="C1985" s="842"/>
      <c r="D1985" s="842"/>
      <c r="E1985" s="842"/>
      <c r="F1985" s="1135"/>
      <c r="G1985" s="1135"/>
      <c r="H1985" s="843"/>
      <c r="I1985" s="841"/>
      <c r="J1985" s="1135"/>
      <c r="K1985" s="841"/>
      <c r="L1985" s="841"/>
      <c r="M1985" s="841"/>
      <c r="N1985" s="841"/>
      <c r="O1985" s="841"/>
      <c r="P1985" s="841"/>
      <c r="Q1985" s="841"/>
      <c r="R1985" s="841"/>
    </row>
    <row r="1986" spans="2:18">
      <c r="B1986" s="841"/>
      <c r="C1986" s="842"/>
      <c r="D1986" s="842"/>
      <c r="E1986" s="842"/>
      <c r="F1986" s="1135"/>
      <c r="G1986" s="1135"/>
      <c r="H1986" s="843"/>
      <c r="I1986" s="841"/>
      <c r="J1986" s="1135"/>
      <c r="K1986" s="841"/>
      <c r="L1986" s="841"/>
      <c r="M1986" s="841"/>
      <c r="N1986" s="841"/>
      <c r="O1986" s="841"/>
      <c r="P1986" s="841"/>
      <c r="Q1986" s="841"/>
      <c r="R1986" s="841"/>
    </row>
    <row r="1987" spans="2:18">
      <c r="B1987" s="841"/>
      <c r="C1987" s="842"/>
      <c r="D1987" s="842"/>
      <c r="E1987" s="842"/>
      <c r="F1987" s="1135"/>
      <c r="G1987" s="1135"/>
      <c r="H1987" s="843"/>
      <c r="I1987" s="841"/>
      <c r="J1987" s="1135"/>
      <c r="K1987" s="841"/>
      <c r="L1987" s="841"/>
      <c r="M1987" s="841"/>
      <c r="N1987" s="841"/>
      <c r="O1987" s="841"/>
      <c r="P1987" s="841"/>
      <c r="Q1987" s="841"/>
      <c r="R1987" s="841"/>
    </row>
    <row r="1988" spans="2:18">
      <c r="B1988" s="841"/>
      <c r="C1988" s="842"/>
      <c r="D1988" s="842"/>
      <c r="E1988" s="842"/>
      <c r="F1988" s="1135"/>
      <c r="G1988" s="1135"/>
      <c r="H1988" s="843"/>
      <c r="I1988" s="841"/>
      <c r="J1988" s="1135"/>
      <c r="K1988" s="841"/>
      <c r="L1988" s="841"/>
      <c r="M1988" s="841"/>
      <c r="N1988" s="841"/>
      <c r="O1988" s="841"/>
      <c r="P1988" s="841"/>
      <c r="Q1988" s="841"/>
      <c r="R1988" s="841"/>
    </row>
    <row r="1989" spans="2:18">
      <c r="B1989" s="841"/>
      <c r="C1989" s="842"/>
      <c r="D1989" s="842"/>
      <c r="E1989" s="842"/>
      <c r="F1989" s="1135"/>
      <c r="G1989" s="1135"/>
      <c r="H1989" s="843"/>
      <c r="I1989" s="841"/>
      <c r="J1989" s="1135"/>
      <c r="K1989" s="841"/>
      <c r="L1989" s="841"/>
      <c r="M1989" s="841"/>
      <c r="N1989" s="841"/>
      <c r="O1989" s="841"/>
      <c r="P1989" s="841"/>
      <c r="Q1989" s="841"/>
      <c r="R1989" s="841"/>
    </row>
    <row r="1990" spans="2:18">
      <c r="B1990" s="841"/>
      <c r="C1990" s="842"/>
      <c r="D1990" s="842"/>
      <c r="E1990" s="842"/>
      <c r="F1990" s="1135"/>
      <c r="G1990" s="1135"/>
      <c r="H1990" s="843"/>
      <c r="I1990" s="841"/>
      <c r="J1990" s="1135"/>
      <c r="K1990" s="841"/>
      <c r="L1990" s="841"/>
      <c r="M1990" s="841"/>
      <c r="N1990" s="841"/>
      <c r="O1990" s="841"/>
      <c r="P1990" s="841"/>
      <c r="Q1990" s="841"/>
      <c r="R1990" s="841"/>
    </row>
    <row r="1991" spans="2:18">
      <c r="B1991" s="841"/>
      <c r="C1991" s="842"/>
      <c r="D1991" s="842"/>
      <c r="E1991" s="842"/>
      <c r="F1991" s="1135"/>
      <c r="G1991" s="1135"/>
      <c r="H1991" s="843"/>
      <c r="I1991" s="841"/>
      <c r="J1991" s="1135"/>
      <c r="K1991" s="841"/>
      <c r="L1991" s="841"/>
      <c r="M1991" s="841"/>
      <c r="N1991" s="841"/>
      <c r="O1991" s="841"/>
      <c r="P1991" s="841"/>
      <c r="Q1991" s="841"/>
      <c r="R1991" s="841"/>
    </row>
    <row r="1992" spans="2:18">
      <c r="B1992" s="841"/>
      <c r="C1992" s="842"/>
      <c r="D1992" s="842"/>
      <c r="E1992" s="842"/>
      <c r="F1992" s="1135"/>
      <c r="G1992" s="1135"/>
      <c r="H1992" s="843"/>
      <c r="I1992" s="841"/>
      <c r="J1992" s="1135"/>
      <c r="K1992" s="841"/>
      <c r="L1992" s="841"/>
      <c r="M1992" s="841"/>
      <c r="N1992" s="841"/>
      <c r="O1992" s="841"/>
      <c r="P1992" s="841"/>
      <c r="Q1992" s="841"/>
      <c r="R1992" s="841"/>
    </row>
    <row r="1993" spans="2:18">
      <c r="B1993" s="841"/>
      <c r="C1993" s="842"/>
      <c r="D1993" s="842"/>
      <c r="E1993" s="842"/>
      <c r="F1993" s="1135"/>
      <c r="G1993" s="1135"/>
      <c r="H1993" s="843"/>
      <c r="I1993" s="841"/>
      <c r="J1993" s="1135"/>
      <c r="K1993" s="841"/>
      <c r="L1993" s="841"/>
      <c r="M1993" s="841"/>
      <c r="N1993" s="841"/>
      <c r="O1993" s="841"/>
      <c r="P1993" s="841"/>
      <c r="Q1993" s="841"/>
      <c r="R1993" s="841"/>
    </row>
    <row r="1994" spans="2:18">
      <c r="B1994" s="841"/>
      <c r="C1994" s="842"/>
      <c r="D1994" s="842"/>
      <c r="E1994" s="842"/>
      <c r="F1994" s="1135"/>
      <c r="G1994" s="1135"/>
      <c r="H1994" s="843"/>
      <c r="I1994" s="841"/>
      <c r="J1994" s="1135"/>
      <c r="K1994" s="841"/>
      <c r="L1994" s="841"/>
      <c r="M1994" s="841"/>
      <c r="N1994" s="841"/>
      <c r="O1994" s="841"/>
      <c r="P1994" s="841"/>
      <c r="Q1994" s="841"/>
      <c r="R1994" s="841"/>
    </row>
    <row r="1995" spans="2:18">
      <c r="B1995" s="841"/>
      <c r="C1995" s="842"/>
      <c r="D1995" s="842"/>
      <c r="E1995" s="842"/>
      <c r="F1995" s="1135"/>
      <c r="G1995" s="1135"/>
      <c r="H1995" s="843"/>
      <c r="I1995" s="841"/>
      <c r="J1995" s="1135"/>
      <c r="K1995" s="841"/>
      <c r="L1995" s="841"/>
      <c r="M1995" s="841"/>
      <c r="N1995" s="841"/>
      <c r="O1995" s="841"/>
      <c r="P1995" s="841"/>
      <c r="Q1995" s="841"/>
      <c r="R1995" s="841"/>
    </row>
    <row r="1996" spans="2:18">
      <c r="B1996" s="841"/>
      <c r="C1996" s="842"/>
      <c r="D1996" s="842"/>
      <c r="E1996" s="842"/>
      <c r="F1996" s="1135"/>
      <c r="G1996" s="1135"/>
      <c r="H1996" s="843"/>
      <c r="I1996" s="841"/>
      <c r="J1996" s="1135"/>
      <c r="K1996" s="841"/>
      <c r="L1996" s="841"/>
      <c r="M1996" s="841"/>
      <c r="N1996" s="841"/>
      <c r="O1996" s="841"/>
      <c r="P1996" s="841"/>
      <c r="Q1996" s="841"/>
      <c r="R1996" s="841"/>
    </row>
    <row r="1997" spans="2:18">
      <c r="B1997" s="841"/>
      <c r="C1997" s="842"/>
      <c r="D1997" s="842"/>
      <c r="E1997" s="842"/>
      <c r="F1997" s="1135"/>
      <c r="G1997" s="1135"/>
      <c r="H1997" s="843"/>
      <c r="I1997" s="841"/>
      <c r="J1997" s="1135"/>
      <c r="K1997" s="841"/>
      <c r="L1997" s="841"/>
      <c r="M1997" s="841"/>
      <c r="N1997" s="841"/>
      <c r="O1997" s="841"/>
      <c r="P1997" s="841"/>
      <c r="Q1997" s="841"/>
      <c r="R1997" s="841"/>
    </row>
    <row r="1998" spans="2:18">
      <c r="B1998" s="841"/>
      <c r="C1998" s="842"/>
      <c r="D1998" s="842"/>
      <c r="E1998" s="842"/>
      <c r="F1998" s="1135"/>
      <c r="G1998" s="1135"/>
      <c r="H1998" s="843"/>
      <c r="I1998" s="841"/>
      <c r="J1998" s="1135"/>
      <c r="K1998" s="841"/>
      <c r="L1998" s="841"/>
      <c r="M1998" s="841"/>
      <c r="N1998" s="841"/>
      <c r="O1998" s="841"/>
      <c r="P1998" s="841"/>
      <c r="Q1998" s="841"/>
      <c r="R1998" s="841"/>
    </row>
    <row r="1999" spans="2:18">
      <c r="B1999" s="841"/>
      <c r="C1999" s="842"/>
      <c r="D1999" s="842"/>
      <c r="E1999" s="842"/>
      <c r="F1999" s="1135"/>
      <c r="G1999" s="1135"/>
      <c r="H1999" s="843"/>
      <c r="I1999" s="841"/>
      <c r="J1999" s="1135"/>
      <c r="K1999" s="841"/>
      <c r="L1999" s="841"/>
      <c r="M1999" s="841"/>
      <c r="N1999" s="841"/>
      <c r="O1999" s="841"/>
      <c r="P1999" s="841"/>
      <c r="Q1999" s="841"/>
      <c r="R1999" s="841"/>
    </row>
    <row r="2000" spans="2:18">
      <c r="B2000" s="841"/>
      <c r="C2000" s="842"/>
      <c r="D2000" s="842"/>
      <c r="E2000" s="842"/>
      <c r="F2000" s="1135"/>
      <c r="G2000" s="1135"/>
      <c r="H2000" s="843"/>
      <c r="I2000" s="841"/>
      <c r="J2000" s="1135"/>
      <c r="K2000" s="841"/>
      <c r="L2000" s="841"/>
      <c r="M2000" s="841"/>
      <c r="N2000" s="841"/>
      <c r="O2000" s="841"/>
      <c r="P2000" s="841"/>
      <c r="Q2000" s="841"/>
      <c r="R2000" s="841"/>
    </row>
    <row r="2001" spans="2:18">
      <c r="B2001" s="841"/>
      <c r="C2001" s="842"/>
      <c r="D2001" s="842"/>
      <c r="E2001" s="842"/>
      <c r="F2001" s="1135"/>
      <c r="G2001" s="1135"/>
      <c r="H2001" s="843"/>
      <c r="I2001" s="841"/>
      <c r="J2001" s="1135"/>
      <c r="K2001" s="841"/>
      <c r="L2001" s="841"/>
      <c r="M2001" s="841"/>
      <c r="N2001" s="841"/>
      <c r="O2001" s="841"/>
      <c r="P2001" s="841"/>
      <c r="Q2001" s="841"/>
      <c r="R2001" s="841"/>
    </row>
    <row r="2002" spans="2:18">
      <c r="B2002" s="841"/>
      <c r="C2002" s="842"/>
      <c r="D2002" s="842"/>
      <c r="E2002" s="842"/>
      <c r="F2002" s="1135"/>
      <c r="G2002" s="1135"/>
      <c r="H2002" s="843"/>
      <c r="I2002" s="841"/>
      <c r="J2002" s="1135"/>
      <c r="K2002" s="841"/>
      <c r="L2002" s="841"/>
      <c r="M2002" s="841"/>
      <c r="N2002" s="841"/>
      <c r="O2002" s="841"/>
      <c r="P2002" s="841"/>
      <c r="Q2002" s="841"/>
      <c r="R2002" s="841"/>
    </row>
    <row r="2003" spans="2:18">
      <c r="B2003" s="841"/>
      <c r="C2003" s="842"/>
      <c r="D2003" s="842"/>
      <c r="E2003" s="842"/>
      <c r="F2003" s="1135"/>
      <c r="G2003" s="1135"/>
      <c r="H2003" s="843"/>
      <c r="I2003" s="841"/>
      <c r="J2003" s="1135"/>
      <c r="K2003" s="841"/>
      <c r="L2003" s="841"/>
      <c r="M2003" s="841"/>
      <c r="N2003" s="841"/>
      <c r="O2003" s="841"/>
      <c r="P2003" s="841"/>
      <c r="Q2003" s="841"/>
      <c r="R2003" s="841"/>
    </row>
    <row r="2004" spans="2:18">
      <c r="B2004" s="841"/>
      <c r="C2004" s="842"/>
      <c r="D2004" s="842"/>
      <c r="E2004" s="842"/>
      <c r="F2004" s="1135"/>
      <c r="G2004" s="1135"/>
      <c r="H2004" s="843"/>
      <c r="I2004" s="841"/>
      <c r="J2004" s="1135"/>
      <c r="K2004" s="841"/>
      <c r="L2004" s="841"/>
      <c r="M2004" s="841"/>
      <c r="N2004" s="841"/>
      <c r="O2004" s="841"/>
      <c r="P2004" s="841"/>
      <c r="Q2004" s="841"/>
      <c r="R2004" s="841"/>
    </row>
    <row r="2005" spans="2:18">
      <c r="B2005" s="841"/>
      <c r="C2005" s="842"/>
      <c r="D2005" s="842"/>
      <c r="E2005" s="842"/>
      <c r="F2005" s="1135"/>
      <c r="G2005" s="1135"/>
      <c r="H2005" s="843"/>
      <c r="I2005" s="841"/>
      <c r="J2005" s="1135"/>
      <c r="K2005" s="841"/>
      <c r="L2005" s="841"/>
      <c r="M2005" s="841"/>
      <c r="N2005" s="841"/>
      <c r="O2005" s="841"/>
      <c r="P2005" s="841"/>
      <c r="Q2005" s="841"/>
      <c r="R2005" s="841"/>
    </row>
    <row r="2006" spans="2:18">
      <c r="B2006" s="841"/>
      <c r="C2006" s="842"/>
      <c r="D2006" s="842"/>
      <c r="E2006" s="842"/>
      <c r="F2006" s="1135"/>
      <c r="G2006" s="1135"/>
      <c r="H2006" s="843"/>
      <c r="I2006" s="841"/>
      <c r="J2006" s="1135"/>
      <c r="K2006" s="841"/>
      <c r="L2006" s="841"/>
      <c r="M2006" s="841"/>
      <c r="N2006" s="841"/>
      <c r="O2006" s="841"/>
      <c r="P2006" s="841"/>
      <c r="Q2006" s="841"/>
      <c r="R2006" s="841"/>
    </row>
    <row r="2007" spans="2:18">
      <c r="B2007" s="841"/>
      <c r="C2007" s="842"/>
      <c r="D2007" s="842"/>
      <c r="E2007" s="842"/>
      <c r="F2007" s="1135"/>
      <c r="G2007" s="1135"/>
      <c r="H2007" s="843"/>
      <c r="I2007" s="841"/>
      <c r="J2007" s="1135"/>
      <c r="K2007" s="841"/>
      <c r="L2007" s="841"/>
      <c r="M2007" s="841"/>
      <c r="N2007" s="841"/>
      <c r="O2007" s="841"/>
      <c r="P2007" s="841"/>
      <c r="Q2007" s="841"/>
      <c r="R2007" s="841"/>
    </row>
    <row r="2008" spans="2:18">
      <c r="B2008" s="841"/>
      <c r="C2008" s="842"/>
      <c r="D2008" s="842"/>
      <c r="E2008" s="842"/>
      <c r="F2008" s="1135"/>
      <c r="G2008" s="1135"/>
      <c r="H2008" s="843"/>
      <c r="I2008" s="841"/>
      <c r="J2008" s="1135"/>
      <c r="K2008" s="841"/>
      <c r="L2008" s="841"/>
      <c r="M2008" s="841"/>
      <c r="N2008" s="841"/>
      <c r="O2008" s="841"/>
      <c r="P2008" s="841"/>
      <c r="Q2008" s="841"/>
      <c r="R2008" s="841"/>
    </row>
    <row r="2009" spans="2:18">
      <c r="B2009" s="841"/>
      <c r="C2009" s="842"/>
      <c r="D2009" s="842"/>
      <c r="E2009" s="842"/>
      <c r="F2009" s="1135"/>
      <c r="G2009" s="1135"/>
      <c r="H2009" s="843"/>
      <c r="I2009" s="841"/>
      <c r="J2009" s="1135"/>
      <c r="K2009" s="841"/>
      <c r="L2009" s="841"/>
      <c r="M2009" s="841"/>
      <c r="N2009" s="841"/>
      <c r="O2009" s="841"/>
      <c r="P2009" s="841"/>
      <c r="Q2009" s="841"/>
      <c r="R2009" s="841"/>
    </row>
    <row r="2010" spans="2:18">
      <c r="B2010" s="841"/>
      <c r="C2010" s="842"/>
      <c r="D2010" s="842"/>
      <c r="E2010" s="842"/>
      <c r="F2010" s="1135"/>
      <c r="G2010" s="1135"/>
      <c r="H2010" s="843"/>
      <c r="I2010" s="841"/>
      <c r="J2010" s="1135"/>
      <c r="K2010" s="841"/>
      <c r="L2010" s="841"/>
      <c r="M2010" s="841"/>
      <c r="N2010" s="841"/>
      <c r="O2010" s="841"/>
      <c r="P2010" s="841"/>
      <c r="Q2010" s="841"/>
      <c r="R2010" s="841"/>
    </row>
    <row r="2011" spans="2:18">
      <c r="B2011" s="841"/>
      <c r="C2011" s="842"/>
      <c r="D2011" s="842"/>
      <c r="E2011" s="842"/>
      <c r="F2011" s="1135"/>
      <c r="G2011" s="1135"/>
      <c r="H2011" s="843"/>
      <c r="I2011" s="841"/>
      <c r="J2011" s="1135"/>
      <c r="K2011" s="841"/>
      <c r="L2011" s="841"/>
      <c r="M2011" s="841"/>
      <c r="N2011" s="841"/>
      <c r="O2011" s="841"/>
      <c r="P2011" s="841"/>
      <c r="Q2011" s="841"/>
      <c r="R2011" s="841"/>
    </row>
    <row r="2012" spans="2:18">
      <c r="B2012" s="841"/>
      <c r="C2012" s="842"/>
      <c r="D2012" s="842"/>
      <c r="E2012" s="842"/>
      <c r="F2012" s="1135"/>
      <c r="G2012" s="1135"/>
      <c r="H2012" s="843"/>
      <c r="I2012" s="841"/>
      <c r="J2012" s="1135"/>
      <c r="K2012" s="841"/>
      <c r="L2012" s="841"/>
      <c r="M2012" s="841"/>
      <c r="N2012" s="841"/>
      <c r="O2012" s="841"/>
      <c r="P2012" s="841"/>
      <c r="Q2012" s="841"/>
      <c r="R2012" s="841"/>
    </row>
    <row r="2013" spans="2:18">
      <c r="B2013" s="841"/>
      <c r="C2013" s="842"/>
      <c r="D2013" s="842"/>
      <c r="E2013" s="842"/>
      <c r="F2013" s="1135"/>
      <c r="G2013" s="1135"/>
      <c r="H2013" s="843"/>
      <c r="I2013" s="841"/>
      <c r="J2013" s="1135"/>
      <c r="K2013" s="841"/>
      <c r="L2013" s="841"/>
      <c r="M2013" s="841"/>
      <c r="N2013" s="841"/>
      <c r="O2013" s="841"/>
      <c r="P2013" s="841"/>
      <c r="Q2013" s="841"/>
      <c r="R2013" s="841"/>
    </row>
    <row r="2014" spans="2:18">
      <c r="B2014" s="841"/>
      <c r="C2014" s="842"/>
      <c r="D2014" s="842"/>
      <c r="E2014" s="842"/>
      <c r="F2014" s="1135"/>
      <c r="G2014" s="1135"/>
      <c r="H2014" s="843"/>
      <c r="I2014" s="841"/>
      <c r="J2014" s="1135"/>
      <c r="K2014" s="841"/>
      <c r="L2014" s="841"/>
      <c r="M2014" s="841"/>
      <c r="N2014" s="841"/>
      <c r="O2014" s="841"/>
      <c r="P2014" s="841"/>
      <c r="Q2014" s="841"/>
      <c r="R2014" s="841"/>
    </row>
    <row r="2015" spans="2:18">
      <c r="B2015" s="841"/>
      <c r="C2015" s="842"/>
      <c r="D2015" s="842"/>
      <c r="E2015" s="842"/>
      <c r="F2015" s="1135"/>
      <c r="G2015" s="1135"/>
      <c r="H2015" s="843"/>
      <c r="I2015" s="841"/>
      <c r="J2015" s="1135"/>
      <c r="K2015" s="841"/>
      <c r="L2015" s="841"/>
      <c r="M2015" s="841"/>
      <c r="N2015" s="841"/>
      <c r="O2015" s="841"/>
      <c r="P2015" s="841"/>
      <c r="Q2015" s="841"/>
      <c r="R2015" s="841"/>
    </row>
    <row r="2016" spans="2:18">
      <c r="B2016" s="841"/>
      <c r="C2016" s="842"/>
      <c r="D2016" s="842"/>
      <c r="E2016" s="842"/>
      <c r="F2016" s="1135"/>
      <c r="G2016" s="1135"/>
      <c r="H2016" s="843"/>
      <c r="I2016" s="841"/>
      <c r="J2016" s="1135"/>
      <c r="K2016" s="841"/>
      <c r="L2016" s="841"/>
      <c r="M2016" s="841"/>
      <c r="N2016" s="841"/>
      <c r="O2016" s="841"/>
      <c r="P2016" s="841"/>
      <c r="Q2016" s="841"/>
      <c r="R2016" s="841"/>
    </row>
    <row r="2017" spans="2:18">
      <c r="B2017" s="841"/>
      <c r="C2017" s="842"/>
      <c r="D2017" s="842"/>
      <c r="E2017" s="842"/>
      <c r="F2017" s="1135"/>
      <c r="G2017" s="1135"/>
      <c r="H2017" s="843"/>
      <c r="I2017" s="841"/>
      <c r="J2017" s="1135"/>
      <c r="K2017" s="841"/>
      <c r="L2017" s="841"/>
      <c r="M2017" s="841"/>
      <c r="N2017" s="841"/>
      <c r="O2017" s="841"/>
      <c r="P2017" s="841"/>
      <c r="Q2017" s="841"/>
      <c r="R2017" s="841"/>
    </row>
    <row r="2018" spans="2:18">
      <c r="B2018" s="841"/>
      <c r="C2018" s="842"/>
      <c r="D2018" s="842"/>
      <c r="E2018" s="842"/>
      <c r="F2018" s="1135"/>
      <c r="G2018" s="1135"/>
      <c r="H2018" s="843"/>
      <c r="I2018" s="841"/>
      <c r="J2018" s="1135"/>
      <c r="K2018" s="841"/>
      <c r="L2018" s="841"/>
      <c r="M2018" s="841"/>
      <c r="N2018" s="841"/>
      <c r="O2018" s="841"/>
      <c r="P2018" s="841"/>
      <c r="Q2018" s="841"/>
      <c r="R2018" s="841"/>
    </row>
    <row r="2019" spans="2:18">
      <c r="B2019" s="841"/>
      <c r="C2019" s="842"/>
      <c r="D2019" s="842"/>
      <c r="E2019" s="842"/>
      <c r="F2019" s="1135"/>
      <c r="G2019" s="1135"/>
      <c r="H2019" s="843"/>
      <c r="I2019" s="841"/>
      <c r="J2019" s="1135"/>
      <c r="K2019" s="841"/>
      <c r="L2019" s="841"/>
      <c r="M2019" s="841"/>
      <c r="N2019" s="841"/>
      <c r="O2019" s="841"/>
      <c r="P2019" s="841"/>
      <c r="Q2019" s="841"/>
      <c r="R2019" s="841"/>
    </row>
    <row r="2020" spans="2:18">
      <c r="B2020" s="841"/>
      <c r="C2020" s="842"/>
      <c r="D2020" s="842"/>
      <c r="E2020" s="842"/>
      <c r="F2020" s="1135"/>
      <c r="G2020" s="1135"/>
      <c r="H2020" s="843"/>
      <c r="I2020" s="841"/>
      <c r="J2020" s="1135"/>
      <c r="K2020" s="841"/>
      <c r="L2020" s="841"/>
      <c r="M2020" s="841"/>
      <c r="N2020" s="841"/>
      <c r="O2020" s="841"/>
      <c r="P2020" s="841"/>
      <c r="Q2020" s="841"/>
      <c r="R2020" s="841"/>
    </row>
    <row r="2021" spans="2:18">
      <c r="B2021" s="841"/>
      <c r="C2021" s="842"/>
      <c r="D2021" s="842"/>
      <c r="E2021" s="842"/>
      <c r="F2021" s="1135"/>
      <c r="G2021" s="1135"/>
      <c r="H2021" s="843"/>
      <c r="I2021" s="841"/>
      <c r="J2021" s="1135"/>
      <c r="K2021" s="841"/>
      <c r="L2021" s="841"/>
      <c r="M2021" s="841"/>
      <c r="N2021" s="841"/>
      <c r="O2021" s="841"/>
      <c r="P2021" s="841"/>
      <c r="Q2021" s="841"/>
      <c r="R2021" s="841"/>
    </row>
    <row r="2022" spans="2:18">
      <c r="B2022" s="841"/>
      <c r="C2022" s="842"/>
      <c r="D2022" s="842"/>
      <c r="E2022" s="842"/>
      <c r="F2022" s="1135"/>
      <c r="G2022" s="1135"/>
      <c r="H2022" s="843"/>
      <c r="I2022" s="841"/>
      <c r="J2022" s="1135"/>
      <c r="K2022" s="841"/>
      <c r="L2022" s="841"/>
      <c r="M2022" s="841"/>
      <c r="N2022" s="841"/>
      <c r="O2022" s="841"/>
      <c r="P2022" s="841"/>
      <c r="Q2022" s="841"/>
      <c r="R2022" s="841"/>
    </row>
    <row r="2023" spans="2:18">
      <c r="B2023" s="841"/>
      <c r="C2023" s="842"/>
      <c r="D2023" s="842"/>
      <c r="E2023" s="842"/>
      <c r="F2023" s="1135"/>
      <c r="G2023" s="1135"/>
      <c r="H2023" s="843"/>
      <c r="I2023" s="841"/>
      <c r="J2023" s="1135"/>
      <c r="K2023" s="841"/>
      <c r="L2023" s="841"/>
      <c r="M2023" s="841"/>
      <c r="N2023" s="841"/>
      <c r="O2023" s="841"/>
      <c r="P2023" s="841"/>
      <c r="Q2023" s="841"/>
      <c r="R2023" s="841"/>
    </row>
    <row r="2024" spans="2:18">
      <c r="B2024" s="841"/>
      <c r="C2024" s="842"/>
      <c r="D2024" s="842"/>
      <c r="E2024" s="842"/>
      <c r="F2024" s="1135"/>
      <c r="G2024" s="1135"/>
      <c r="H2024" s="843"/>
      <c r="I2024" s="841"/>
      <c r="J2024" s="1135"/>
      <c r="K2024" s="841"/>
      <c r="L2024" s="841"/>
      <c r="M2024" s="841"/>
      <c r="N2024" s="841"/>
      <c r="O2024" s="841"/>
      <c r="P2024" s="841"/>
      <c r="Q2024" s="841"/>
      <c r="R2024" s="841"/>
    </row>
    <row r="2025" spans="2:18">
      <c r="B2025" s="841"/>
      <c r="C2025" s="842"/>
      <c r="D2025" s="842"/>
      <c r="E2025" s="842"/>
      <c r="F2025" s="1135"/>
      <c r="G2025" s="1135"/>
      <c r="H2025" s="843"/>
      <c r="I2025" s="841"/>
      <c r="J2025" s="1135"/>
      <c r="K2025" s="841"/>
      <c r="L2025" s="841"/>
      <c r="M2025" s="841"/>
      <c r="N2025" s="841"/>
      <c r="O2025" s="841"/>
      <c r="P2025" s="841"/>
      <c r="Q2025" s="841"/>
      <c r="R2025" s="841"/>
    </row>
    <row r="2026" spans="2:18">
      <c r="B2026" s="841"/>
      <c r="C2026" s="842"/>
      <c r="D2026" s="842"/>
      <c r="E2026" s="842"/>
      <c r="F2026" s="1135"/>
      <c r="G2026" s="1135"/>
      <c r="H2026" s="843"/>
      <c r="I2026" s="841"/>
      <c r="J2026" s="1135"/>
      <c r="K2026" s="841"/>
      <c r="L2026" s="841"/>
      <c r="M2026" s="841"/>
      <c r="N2026" s="841"/>
      <c r="O2026" s="841"/>
      <c r="P2026" s="841"/>
      <c r="Q2026" s="841"/>
      <c r="R2026" s="841"/>
    </row>
    <row r="2027" spans="2:18">
      <c r="B2027" s="841"/>
      <c r="C2027" s="842"/>
      <c r="D2027" s="842"/>
      <c r="E2027" s="842"/>
      <c r="F2027" s="1135"/>
      <c r="G2027" s="1135"/>
      <c r="H2027" s="843"/>
      <c r="I2027" s="841"/>
      <c r="J2027" s="1135"/>
      <c r="K2027" s="841"/>
      <c r="L2027" s="841"/>
      <c r="M2027" s="841"/>
      <c r="N2027" s="841"/>
      <c r="O2027" s="841"/>
      <c r="P2027" s="841"/>
      <c r="Q2027" s="841"/>
      <c r="R2027" s="841"/>
    </row>
    <row r="2028" spans="2:18">
      <c r="B2028" s="841"/>
      <c r="C2028" s="842"/>
      <c r="D2028" s="842"/>
      <c r="E2028" s="842"/>
      <c r="F2028" s="1135"/>
      <c r="G2028" s="1135"/>
      <c r="H2028" s="843"/>
      <c r="I2028" s="841"/>
      <c r="J2028" s="1135"/>
      <c r="K2028" s="841"/>
      <c r="L2028" s="841"/>
      <c r="M2028" s="841"/>
      <c r="N2028" s="841"/>
      <c r="O2028" s="841"/>
      <c r="P2028" s="841"/>
      <c r="Q2028" s="841"/>
      <c r="R2028" s="841"/>
    </row>
    <row r="2029" spans="2:18">
      <c r="B2029" s="841"/>
      <c r="C2029" s="842"/>
      <c r="D2029" s="842"/>
      <c r="E2029" s="842"/>
      <c r="F2029" s="1135"/>
      <c r="G2029" s="1135"/>
      <c r="H2029" s="843"/>
      <c r="I2029" s="841"/>
      <c r="J2029" s="1135"/>
      <c r="K2029" s="841"/>
      <c r="L2029" s="841"/>
      <c r="M2029" s="841"/>
      <c r="N2029" s="841"/>
      <c r="O2029" s="841"/>
      <c r="P2029" s="841"/>
      <c r="Q2029" s="841"/>
      <c r="R2029" s="841"/>
    </row>
    <row r="2030" spans="2:18">
      <c r="B2030" s="841"/>
      <c r="C2030" s="842"/>
      <c r="D2030" s="842"/>
      <c r="E2030" s="842"/>
      <c r="F2030" s="1135"/>
      <c r="G2030" s="1135"/>
      <c r="H2030" s="843"/>
      <c r="I2030" s="841"/>
      <c r="J2030" s="1135"/>
      <c r="K2030" s="841"/>
      <c r="L2030" s="841"/>
      <c r="M2030" s="841"/>
      <c r="N2030" s="841"/>
      <c r="O2030" s="841"/>
      <c r="P2030" s="841"/>
      <c r="Q2030" s="841"/>
      <c r="R2030" s="841"/>
    </row>
    <row r="2031" spans="2:18">
      <c r="B2031" s="841"/>
      <c r="C2031" s="842"/>
      <c r="D2031" s="842"/>
      <c r="E2031" s="842"/>
      <c r="F2031" s="1135"/>
      <c r="G2031" s="1135"/>
      <c r="H2031" s="843"/>
      <c r="I2031" s="841"/>
      <c r="J2031" s="1135"/>
      <c r="K2031" s="841"/>
      <c r="L2031" s="841"/>
      <c r="M2031" s="841"/>
      <c r="N2031" s="841"/>
      <c r="O2031" s="841"/>
      <c r="P2031" s="841"/>
      <c r="Q2031" s="841"/>
      <c r="R2031" s="841"/>
    </row>
    <row r="2032" spans="2:18">
      <c r="B2032" s="841"/>
      <c r="C2032" s="842"/>
      <c r="D2032" s="842"/>
      <c r="E2032" s="842"/>
      <c r="F2032" s="1135"/>
      <c r="G2032" s="1135"/>
      <c r="H2032" s="843"/>
      <c r="I2032" s="841"/>
      <c r="J2032" s="1135"/>
      <c r="K2032" s="841"/>
      <c r="L2032" s="841"/>
      <c r="M2032" s="841"/>
      <c r="N2032" s="841"/>
      <c r="O2032" s="841"/>
      <c r="P2032" s="841"/>
      <c r="Q2032" s="841"/>
      <c r="R2032" s="841"/>
    </row>
    <row r="2033" spans="2:18">
      <c r="B2033" s="841"/>
      <c r="C2033" s="842"/>
      <c r="D2033" s="842"/>
      <c r="E2033" s="842"/>
      <c r="F2033" s="1135"/>
      <c r="G2033" s="1135"/>
      <c r="H2033" s="843"/>
      <c r="I2033" s="841"/>
      <c r="J2033" s="1135"/>
      <c r="K2033" s="841"/>
      <c r="L2033" s="841"/>
      <c r="M2033" s="841"/>
      <c r="N2033" s="841"/>
      <c r="O2033" s="841"/>
      <c r="P2033" s="841"/>
      <c r="Q2033" s="841"/>
      <c r="R2033" s="841"/>
    </row>
    <row r="2034" spans="2:18">
      <c r="B2034" s="841"/>
      <c r="C2034" s="842"/>
      <c r="D2034" s="842"/>
      <c r="E2034" s="842"/>
      <c r="F2034" s="1135"/>
      <c r="G2034" s="1135"/>
      <c r="H2034" s="843"/>
      <c r="I2034" s="841"/>
      <c r="J2034" s="1135"/>
      <c r="K2034" s="841"/>
      <c r="L2034" s="841"/>
      <c r="M2034" s="841"/>
      <c r="N2034" s="841"/>
      <c r="O2034" s="841"/>
      <c r="P2034" s="841"/>
      <c r="Q2034" s="841"/>
      <c r="R2034" s="841"/>
    </row>
    <row r="2035" spans="2:18">
      <c r="B2035" s="841"/>
      <c r="C2035" s="842"/>
      <c r="D2035" s="842"/>
      <c r="E2035" s="842"/>
      <c r="F2035" s="1135"/>
      <c r="G2035" s="1135"/>
      <c r="H2035" s="843"/>
      <c r="I2035" s="841"/>
      <c r="J2035" s="1135"/>
      <c r="K2035" s="841"/>
      <c r="L2035" s="841"/>
      <c r="M2035" s="841"/>
      <c r="N2035" s="841"/>
      <c r="O2035" s="841"/>
      <c r="P2035" s="841"/>
      <c r="Q2035" s="841"/>
      <c r="R2035" s="841"/>
    </row>
    <row r="2036" spans="2:18">
      <c r="B2036" s="841"/>
      <c r="C2036" s="842"/>
      <c r="D2036" s="842"/>
      <c r="E2036" s="842"/>
      <c r="F2036" s="1135"/>
      <c r="G2036" s="1135"/>
      <c r="H2036" s="843"/>
      <c r="I2036" s="841"/>
      <c r="J2036" s="1135"/>
      <c r="K2036" s="841"/>
      <c r="L2036" s="841"/>
      <c r="M2036" s="841"/>
      <c r="N2036" s="841"/>
      <c r="O2036" s="841"/>
      <c r="P2036" s="841"/>
      <c r="Q2036" s="841"/>
      <c r="R2036" s="841"/>
    </row>
    <row r="2037" spans="2:18">
      <c r="B2037" s="841"/>
      <c r="C2037" s="842"/>
      <c r="D2037" s="842"/>
      <c r="E2037" s="842"/>
      <c r="F2037" s="1135"/>
      <c r="G2037" s="1135"/>
      <c r="H2037" s="843"/>
      <c r="I2037" s="841"/>
      <c r="J2037" s="1135"/>
      <c r="K2037" s="841"/>
      <c r="L2037" s="841"/>
      <c r="M2037" s="841"/>
      <c r="N2037" s="841"/>
      <c r="O2037" s="841"/>
      <c r="P2037" s="841"/>
      <c r="Q2037" s="841"/>
      <c r="R2037" s="841"/>
    </row>
    <row r="2038" spans="2:18">
      <c r="B2038" s="841"/>
      <c r="C2038" s="842"/>
      <c r="D2038" s="842"/>
      <c r="E2038" s="842"/>
      <c r="F2038" s="1135"/>
      <c r="G2038" s="1135"/>
      <c r="H2038" s="843"/>
      <c r="I2038" s="841"/>
      <c r="J2038" s="1135"/>
      <c r="K2038" s="841"/>
      <c r="L2038" s="841"/>
      <c r="M2038" s="841"/>
      <c r="N2038" s="841"/>
      <c r="O2038" s="841"/>
      <c r="P2038" s="841"/>
      <c r="Q2038" s="841"/>
      <c r="R2038" s="841"/>
    </row>
    <row r="2039" spans="2:18">
      <c r="B2039" s="841"/>
      <c r="C2039" s="842"/>
      <c r="D2039" s="842"/>
      <c r="E2039" s="842"/>
      <c r="F2039" s="1135"/>
      <c r="G2039" s="1135"/>
      <c r="H2039" s="843"/>
      <c r="I2039" s="841"/>
      <c r="J2039" s="1135"/>
      <c r="K2039" s="841"/>
      <c r="L2039" s="841"/>
      <c r="M2039" s="841"/>
      <c r="N2039" s="841"/>
      <c r="O2039" s="841"/>
      <c r="P2039" s="841"/>
      <c r="Q2039" s="841"/>
      <c r="R2039" s="841"/>
    </row>
    <row r="2040" spans="2:18">
      <c r="B2040" s="841"/>
      <c r="C2040" s="842"/>
      <c r="D2040" s="842"/>
      <c r="E2040" s="842"/>
      <c r="F2040" s="1135"/>
      <c r="G2040" s="1135"/>
      <c r="H2040" s="843"/>
      <c r="I2040" s="841"/>
      <c r="J2040" s="1135"/>
      <c r="K2040" s="841"/>
      <c r="L2040" s="841"/>
      <c r="M2040" s="841"/>
      <c r="N2040" s="841"/>
      <c r="O2040" s="841"/>
      <c r="P2040" s="841"/>
      <c r="Q2040" s="841"/>
      <c r="R2040" s="841"/>
    </row>
    <row r="2041" spans="2:18">
      <c r="B2041" s="841"/>
      <c r="C2041" s="842"/>
      <c r="D2041" s="842"/>
      <c r="E2041" s="842"/>
      <c r="F2041" s="1135"/>
      <c r="G2041" s="1135"/>
      <c r="H2041" s="843"/>
      <c r="I2041" s="841"/>
      <c r="J2041" s="1135"/>
      <c r="K2041" s="841"/>
      <c r="L2041" s="841"/>
      <c r="M2041" s="841"/>
      <c r="N2041" s="841"/>
      <c r="O2041" s="841"/>
      <c r="P2041" s="841"/>
      <c r="Q2041" s="841"/>
      <c r="R2041" s="841"/>
    </row>
    <row r="2042" spans="2:18">
      <c r="B2042" s="841"/>
      <c r="C2042" s="842"/>
      <c r="D2042" s="842"/>
      <c r="E2042" s="842"/>
      <c r="F2042" s="1135"/>
      <c r="G2042" s="1135"/>
      <c r="H2042" s="843"/>
      <c r="I2042" s="841"/>
      <c r="J2042" s="1135"/>
      <c r="K2042" s="841"/>
      <c r="L2042" s="841"/>
      <c r="M2042" s="841"/>
      <c r="N2042" s="841"/>
      <c r="O2042" s="841"/>
      <c r="P2042" s="841"/>
      <c r="Q2042" s="841"/>
      <c r="R2042" s="841"/>
    </row>
    <row r="2043" spans="2:18">
      <c r="B2043" s="841"/>
      <c r="C2043" s="842"/>
      <c r="D2043" s="842"/>
      <c r="E2043" s="842"/>
      <c r="F2043" s="1135"/>
      <c r="G2043" s="1135"/>
      <c r="H2043" s="843"/>
      <c r="I2043" s="841"/>
      <c r="J2043" s="1135"/>
      <c r="K2043" s="841"/>
      <c r="L2043" s="841"/>
      <c r="M2043" s="841"/>
      <c r="N2043" s="841"/>
      <c r="O2043" s="841"/>
      <c r="P2043" s="841"/>
      <c r="Q2043" s="841"/>
      <c r="R2043" s="841"/>
    </row>
    <row r="2044" spans="2:18">
      <c r="B2044" s="841"/>
      <c r="C2044" s="842"/>
      <c r="D2044" s="842"/>
      <c r="E2044" s="842"/>
      <c r="F2044" s="1135"/>
      <c r="G2044" s="1135"/>
      <c r="H2044" s="843"/>
      <c r="I2044" s="841"/>
      <c r="J2044" s="1135"/>
      <c r="K2044" s="841"/>
      <c r="L2044" s="841"/>
      <c r="M2044" s="841"/>
      <c r="N2044" s="841"/>
      <c r="O2044" s="841"/>
      <c r="P2044" s="841"/>
      <c r="Q2044" s="841"/>
      <c r="R2044" s="841"/>
    </row>
    <row r="2045" spans="2:18">
      <c r="B2045" s="841"/>
      <c r="C2045" s="842"/>
      <c r="D2045" s="842"/>
      <c r="E2045" s="842"/>
      <c r="F2045" s="1135"/>
      <c r="G2045" s="1135"/>
      <c r="H2045" s="843"/>
      <c r="I2045" s="841"/>
      <c r="J2045" s="1135"/>
      <c r="K2045" s="841"/>
      <c r="L2045" s="841"/>
      <c r="M2045" s="841"/>
      <c r="N2045" s="841"/>
      <c r="O2045" s="841"/>
      <c r="P2045" s="841"/>
      <c r="Q2045" s="841"/>
      <c r="R2045" s="841"/>
    </row>
    <row r="2046" spans="2:18">
      <c r="B2046" s="841"/>
      <c r="C2046" s="842"/>
      <c r="D2046" s="842"/>
      <c r="E2046" s="842"/>
      <c r="F2046" s="1135"/>
      <c r="G2046" s="1135"/>
      <c r="H2046" s="843"/>
      <c r="I2046" s="841"/>
      <c r="J2046" s="1135"/>
      <c r="K2046" s="841"/>
      <c r="L2046" s="841"/>
      <c r="M2046" s="841"/>
      <c r="N2046" s="841"/>
      <c r="O2046" s="841"/>
      <c r="P2046" s="841"/>
      <c r="Q2046" s="841"/>
      <c r="R2046" s="841"/>
    </row>
    <row r="2047" spans="2:18">
      <c r="B2047" s="841"/>
      <c r="C2047" s="842"/>
      <c r="D2047" s="842"/>
      <c r="E2047" s="842"/>
      <c r="F2047" s="1135"/>
      <c r="G2047" s="1135"/>
      <c r="H2047" s="843"/>
      <c r="I2047" s="841"/>
      <c r="J2047" s="1135"/>
      <c r="K2047" s="841"/>
      <c r="L2047" s="841"/>
      <c r="M2047" s="841"/>
      <c r="N2047" s="841"/>
      <c r="O2047" s="841"/>
      <c r="P2047" s="841"/>
      <c r="Q2047" s="841"/>
      <c r="R2047" s="841"/>
    </row>
    <row r="2048" spans="2:18">
      <c r="B2048" s="841"/>
      <c r="C2048" s="842"/>
      <c r="D2048" s="842"/>
      <c r="E2048" s="842"/>
      <c r="F2048" s="1135"/>
      <c r="G2048" s="1135"/>
      <c r="H2048" s="843"/>
      <c r="I2048" s="841"/>
      <c r="J2048" s="1135"/>
      <c r="K2048" s="841"/>
      <c r="L2048" s="841"/>
      <c r="M2048" s="841"/>
      <c r="N2048" s="841"/>
      <c r="O2048" s="841"/>
      <c r="P2048" s="841"/>
      <c r="Q2048" s="841"/>
      <c r="R2048" s="841"/>
    </row>
    <row r="2049" spans="2:18">
      <c r="B2049" s="841"/>
      <c r="C2049" s="842"/>
      <c r="D2049" s="842"/>
      <c r="E2049" s="842"/>
      <c r="F2049" s="1135"/>
      <c r="G2049" s="1135"/>
      <c r="H2049" s="843"/>
      <c r="I2049" s="841"/>
      <c r="J2049" s="1135"/>
      <c r="K2049" s="841"/>
      <c r="L2049" s="841"/>
      <c r="M2049" s="841"/>
      <c r="N2049" s="841"/>
      <c r="O2049" s="841"/>
      <c r="P2049" s="841"/>
      <c r="Q2049" s="841"/>
      <c r="R2049" s="841"/>
    </row>
    <row r="2050" spans="2:18">
      <c r="B2050" s="841"/>
      <c r="C2050" s="842"/>
      <c r="D2050" s="842"/>
      <c r="E2050" s="842"/>
      <c r="F2050" s="1135"/>
      <c r="G2050" s="1135"/>
      <c r="H2050" s="843"/>
      <c r="I2050" s="841"/>
      <c r="J2050" s="1135"/>
      <c r="K2050" s="841"/>
      <c r="L2050" s="841"/>
      <c r="M2050" s="841"/>
      <c r="N2050" s="841"/>
      <c r="O2050" s="841"/>
      <c r="P2050" s="841"/>
      <c r="Q2050" s="841"/>
      <c r="R2050" s="841"/>
    </row>
    <row r="2051" spans="2:18">
      <c r="B2051" s="841"/>
      <c r="C2051" s="842"/>
      <c r="D2051" s="842"/>
      <c r="E2051" s="842"/>
      <c r="F2051" s="1135"/>
      <c r="G2051" s="1135"/>
      <c r="H2051" s="843"/>
      <c r="I2051" s="841"/>
      <c r="J2051" s="1135"/>
      <c r="K2051" s="841"/>
      <c r="L2051" s="841"/>
      <c r="M2051" s="841"/>
      <c r="N2051" s="841"/>
      <c r="O2051" s="841"/>
      <c r="P2051" s="841"/>
      <c r="Q2051" s="841"/>
      <c r="R2051" s="841"/>
    </row>
    <row r="2052" spans="2:18">
      <c r="B2052" s="841"/>
      <c r="C2052" s="842"/>
      <c r="D2052" s="842"/>
      <c r="E2052" s="842"/>
      <c r="F2052" s="1135"/>
      <c r="G2052" s="1135"/>
      <c r="H2052" s="843"/>
      <c r="I2052" s="841"/>
      <c r="J2052" s="1135"/>
      <c r="K2052" s="841"/>
      <c r="L2052" s="841"/>
      <c r="M2052" s="841"/>
      <c r="N2052" s="841"/>
      <c r="O2052" s="841"/>
      <c r="P2052" s="841"/>
      <c r="Q2052" s="841"/>
      <c r="R2052" s="841"/>
    </row>
    <row r="2053" spans="2:18">
      <c r="B2053" s="841"/>
      <c r="C2053" s="842"/>
      <c r="D2053" s="842"/>
      <c r="E2053" s="842"/>
      <c r="F2053" s="1135"/>
      <c r="G2053" s="1135"/>
      <c r="H2053" s="843"/>
      <c r="I2053" s="841"/>
      <c r="J2053" s="1135"/>
      <c r="K2053" s="841"/>
      <c r="L2053" s="841"/>
      <c r="M2053" s="841"/>
      <c r="N2053" s="841"/>
      <c r="O2053" s="841"/>
      <c r="P2053" s="841"/>
      <c r="Q2053" s="841"/>
      <c r="R2053" s="841"/>
    </row>
    <row r="2054" spans="2:18">
      <c r="B2054" s="841"/>
      <c r="C2054" s="842"/>
      <c r="D2054" s="842"/>
      <c r="E2054" s="842"/>
      <c r="F2054" s="1135"/>
      <c r="G2054" s="1135"/>
      <c r="H2054" s="843"/>
      <c r="I2054" s="841"/>
      <c r="J2054" s="1135"/>
      <c r="K2054" s="841"/>
      <c r="L2054" s="841"/>
      <c r="M2054" s="841"/>
      <c r="N2054" s="841"/>
      <c r="O2054" s="841"/>
      <c r="P2054" s="841"/>
      <c r="Q2054" s="841"/>
      <c r="R2054" s="841"/>
    </row>
    <row r="2055" spans="2:18">
      <c r="B2055" s="841"/>
      <c r="C2055" s="842"/>
      <c r="D2055" s="842"/>
      <c r="E2055" s="842"/>
      <c r="F2055" s="1135"/>
      <c r="G2055" s="1135"/>
      <c r="H2055" s="843"/>
      <c r="I2055" s="841"/>
      <c r="J2055" s="1135"/>
      <c r="K2055" s="841"/>
      <c r="L2055" s="841"/>
      <c r="M2055" s="841"/>
      <c r="N2055" s="841"/>
      <c r="O2055" s="841"/>
      <c r="P2055" s="841"/>
      <c r="Q2055" s="841"/>
      <c r="R2055" s="841"/>
    </row>
    <row r="2056" spans="2:18">
      <c r="B2056" s="841"/>
      <c r="C2056" s="842"/>
      <c r="D2056" s="842"/>
      <c r="E2056" s="842"/>
      <c r="F2056" s="1135"/>
      <c r="G2056" s="1135"/>
      <c r="H2056" s="843"/>
      <c r="I2056" s="841"/>
      <c r="J2056" s="1135"/>
      <c r="K2056" s="841"/>
      <c r="L2056" s="841"/>
      <c r="M2056" s="841"/>
      <c r="N2056" s="841"/>
      <c r="O2056" s="841"/>
      <c r="P2056" s="841"/>
      <c r="Q2056" s="841"/>
      <c r="R2056" s="841"/>
    </row>
    <row r="2057" spans="2:18">
      <c r="B2057" s="841"/>
      <c r="C2057" s="842"/>
      <c r="D2057" s="842"/>
      <c r="E2057" s="842"/>
      <c r="F2057" s="1135"/>
      <c r="G2057" s="1135"/>
      <c r="H2057" s="843"/>
      <c r="I2057" s="841"/>
      <c r="J2057" s="1135"/>
      <c r="K2057" s="841"/>
      <c r="L2057" s="841"/>
      <c r="M2057" s="841"/>
      <c r="N2057" s="841"/>
      <c r="O2057" s="841"/>
      <c r="P2057" s="841"/>
      <c r="Q2057" s="841"/>
      <c r="R2057" s="841"/>
    </row>
    <row r="2058" spans="2:18">
      <c r="B2058" s="841"/>
      <c r="C2058" s="842"/>
      <c r="D2058" s="842"/>
      <c r="E2058" s="842"/>
      <c r="F2058" s="1135"/>
      <c r="G2058" s="1135"/>
      <c r="H2058" s="843"/>
      <c r="I2058" s="841"/>
      <c r="J2058" s="1135"/>
      <c r="K2058" s="841"/>
      <c r="L2058" s="841"/>
      <c r="M2058" s="841"/>
      <c r="N2058" s="841"/>
      <c r="O2058" s="841"/>
      <c r="P2058" s="841"/>
      <c r="Q2058" s="841"/>
      <c r="R2058" s="841"/>
    </row>
    <row r="2059" spans="2:18">
      <c r="B2059" s="841"/>
      <c r="C2059" s="842"/>
      <c r="D2059" s="842"/>
      <c r="E2059" s="842"/>
      <c r="F2059" s="1135"/>
      <c r="G2059" s="1135"/>
      <c r="H2059" s="843"/>
      <c r="I2059" s="841"/>
      <c r="J2059" s="1135"/>
      <c r="K2059" s="841"/>
      <c r="L2059" s="841"/>
      <c r="M2059" s="841"/>
      <c r="N2059" s="841"/>
      <c r="O2059" s="841"/>
      <c r="P2059" s="841"/>
      <c r="Q2059" s="841"/>
      <c r="R2059" s="841"/>
    </row>
    <row r="2060" spans="2:18">
      <c r="B2060" s="841"/>
      <c r="C2060" s="842"/>
      <c r="D2060" s="842"/>
      <c r="E2060" s="842"/>
      <c r="F2060" s="1135"/>
      <c r="G2060" s="1135"/>
      <c r="H2060" s="843"/>
      <c r="I2060" s="841"/>
      <c r="J2060" s="1135"/>
      <c r="K2060" s="841"/>
      <c r="L2060" s="841"/>
      <c r="M2060" s="841"/>
      <c r="N2060" s="841"/>
      <c r="O2060" s="841"/>
      <c r="P2060" s="841"/>
      <c r="Q2060" s="841"/>
      <c r="R2060" s="841"/>
    </row>
    <row r="2061" spans="2:18">
      <c r="B2061" s="841"/>
      <c r="C2061" s="842"/>
      <c r="D2061" s="842"/>
      <c r="E2061" s="842"/>
      <c r="F2061" s="1135"/>
      <c r="G2061" s="1135"/>
      <c r="H2061" s="843"/>
      <c r="I2061" s="841"/>
      <c r="J2061" s="1135"/>
      <c r="K2061" s="841"/>
      <c r="L2061" s="841"/>
      <c r="M2061" s="841"/>
      <c r="N2061" s="841"/>
      <c r="O2061" s="841"/>
      <c r="P2061" s="841"/>
      <c r="Q2061" s="841"/>
      <c r="R2061" s="841"/>
    </row>
    <row r="2062" spans="2:18">
      <c r="B2062" s="841"/>
      <c r="C2062" s="842"/>
      <c r="D2062" s="842"/>
      <c r="E2062" s="842"/>
      <c r="F2062" s="1135"/>
      <c r="G2062" s="1135"/>
      <c r="H2062" s="843"/>
      <c r="I2062" s="841"/>
      <c r="J2062" s="1135"/>
      <c r="K2062" s="841"/>
      <c r="L2062" s="841"/>
      <c r="M2062" s="841"/>
      <c r="N2062" s="841"/>
      <c r="O2062" s="841"/>
      <c r="P2062" s="841"/>
      <c r="Q2062" s="841"/>
      <c r="R2062" s="841"/>
    </row>
    <row r="2063" spans="2:18">
      <c r="B2063" s="841"/>
      <c r="C2063" s="842"/>
      <c r="D2063" s="842"/>
      <c r="E2063" s="842"/>
      <c r="F2063" s="1135"/>
      <c r="G2063" s="1135"/>
      <c r="H2063" s="843"/>
      <c r="I2063" s="841"/>
      <c r="J2063" s="1135"/>
      <c r="K2063" s="841"/>
      <c r="L2063" s="841"/>
      <c r="M2063" s="841"/>
      <c r="N2063" s="841"/>
      <c r="O2063" s="841"/>
      <c r="P2063" s="841"/>
      <c r="Q2063" s="841"/>
      <c r="R2063" s="841"/>
    </row>
    <row r="2064" spans="2:18">
      <c r="B2064" s="841"/>
      <c r="C2064" s="842"/>
      <c r="D2064" s="842"/>
      <c r="E2064" s="842"/>
      <c r="F2064" s="1135"/>
      <c r="G2064" s="1135"/>
      <c r="H2064" s="843"/>
      <c r="I2064" s="841"/>
      <c r="J2064" s="1135"/>
      <c r="K2064" s="841"/>
      <c r="L2064" s="841"/>
      <c r="M2064" s="841"/>
      <c r="N2064" s="841"/>
      <c r="O2064" s="841"/>
      <c r="P2064" s="841"/>
      <c r="Q2064" s="841"/>
      <c r="R2064" s="841"/>
    </row>
    <row r="2065" spans="2:18">
      <c r="B2065" s="841"/>
      <c r="C2065" s="842"/>
      <c r="D2065" s="842"/>
      <c r="E2065" s="842"/>
      <c r="F2065" s="1135"/>
      <c r="G2065" s="1135"/>
      <c r="H2065" s="843"/>
      <c r="I2065" s="841"/>
      <c r="J2065" s="1135"/>
      <c r="K2065" s="841"/>
      <c r="L2065" s="841"/>
      <c r="M2065" s="841"/>
      <c r="N2065" s="841"/>
      <c r="O2065" s="841"/>
      <c r="P2065" s="841"/>
      <c r="Q2065" s="841"/>
      <c r="R2065" s="841"/>
    </row>
    <row r="2066" spans="2:18">
      <c r="B2066" s="841"/>
      <c r="C2066" s="842"/>
      <c r="D2066" s="842"/>
      <c r="E2066" s="842"/>
      <c r="F2066" s="1135"/>
      <c r="G2066" s="1135"/>
      <c r="H2066" s="843"/>
      <c r="I2066" s="841"/>
      <c r="J2066" s="1135"/>
      <c r="K2066" s="841"/>
      <c r="L2066" s="841"/>
      <c r="M2066" s="841"/>
      <c r="N2066" s="841"/>
      <c r="O2066" s="841"/>
      <c r="P2066" s="841"/>
      <c r="Q2066" s="841"/>
      <c r="R2066" s="841"/>
    </row>
    <row r="2067" spans="2:18">
      <c r="B2067" s="841"/>
      <c r="C2067" s="842"/>
      <c r="D2067" s="842"/>
      <c r="E2067" s="842"/>
      <c r="F2067" s="1135"/>
      <c r="G2067" s="1135"/>
      <c r="H2067" s="843"/>
      <c r="I2067" s="841"/>
      <c r="J2067" s="1135"/>
      <c r="K2067" s="841"/>
      <c r="L2067" s="841"/>
      <c r="M2067" s="841"/>
      <c r="N2067" s="841"/>
      <c r="O2067" s="841"/>
      <c r="P2067" s="841"/>
      <c r="Q2067" s="841"/>
      <c r="R2067" s="841"/>
    </row>
    <row r="2068" spans="2:18">
      <c r="B2068" s="841"/>
      <c r="C2068" s="842"/>
      <c r="D2068" s="842"/>
      <c r="E2068" s="842"/>
      <c r="F2068" s="1135"/>
      <c r="G2068" s="1135"/>
      <c r="H2068" s="843"/>
      <c r="I2068" s="841"/>
      <c r="J2068" s="1135"/>
      <c r="K2068" s="841"/>
      <c r="L2068" s="841"/>
      <c r="M2068" s="841"/>
      <c r="N2068" s="841"/>
      <c r="O2068" s="841"/>
      <c r="P2068" s="841"/>
      <c r="Q2068" s="841"/>
      <c r="R2068" s="841"/>
    </row>
    <row r="2069" spans="2:18">
      <c r="B2069" s="841"/>
      <c r="C2069" s="842"/>
      <c r="D2069" s="842"/>
      <c r="E2069" s="842"/>
      <c r="F2069" s="1135"/>
      <c r="G2069" s="1135"/>
      <c r="H2069" s="843"/>
      <c r="I2069" s="841"/>
      <c r="J2069" s="1135"/>
      <c r="K2069" s="841"/>
      <c r="L2069" s="841"/>
      <c r="M2069" s="841"/>
      <c r="N2069" s="841"/>
      <c r="O2069" s="841"/>
      <c r="P2069" s="841"/>
      <c r="Q2069" s="841"/>
      <c r="R2069" s="841"/>
    </row>
    <row r="2070" spans="2:18">
      <c r="B2070" s="841"/>
      <c r="C2070" s="842"/>
      <c r="D2070" s="842"/>
      <c r="E2070" s="842"/>
      <c r="F2070" s="1135"/>
      <c r="G2070" s="1135"/>
      <c r="H2070" s="843"/>
      <c r="I2070" s="841"/>
      <c r="J2070" s="1135"/>
      <c r="K2070" s="841"/>
      <c r="L2070" s="841"/>
      <c r="M2070" s="841"/>
      <c r="N2070" s="841"/>
      <c r="O2070" s="841"/>
      <c r="P2070" s="841"/>
      <c r="Q2070" s="841"/>
      <c r="R2070" s="841"/>
    </row>
    <row r="2071" spans="2:18">
      <c r="B2071" s="841"/>
      <c r="C2071" s="842"/>
      <c r="D2071" s="842"/>
      <c r="E2071" s="842"/>
      <c r="F2071" s="1135"/>
      <c r="G2071" s="1135"/>
      <c r="H2071" s="843"/>
      <c r="I2071" s="841"/>
      <c r="J2071" s="1135"/>
      <c r="K2071" s="841"/>
      <c r="L2071" s="841"/>
      <c r="M2071" s="841"/>
      <c r="N2071" s="841"/>
      <c r="O2071" s="841"/>
      <c r="P2071" s="841"/>
      <c r="Q2071" s="841"/>
      <c r="R2071" s="841"/>
    </row>
    <row r="2072" spans="2:18">
      <c r="B2072" s="841"/>
      <c r="C2072" s="842"/>
      <c r="D2072" s="842"/>
      <c r="E2072" s="842"/>
      <c r="F2072" s="1135"/>
      <c r="G2072" s="1135"/>
      <c r="H2072" s="843"/>
      <c r="I2072" s="841"/>
      <c r="J2072" s="1135"/>
      <c r="K2072" s="841"/>
      <c r="L2072" s="841"/>
      <c r="M2072" s="841"/>
      <c r="N2072" s="841"/>
      <c r="O2072" s="841"/>
      <c r="P2072" s="841"/>
      <c r="Q2072" s="841"/>
      <c r="R2072" s="841"/>
    </row>
    <row r="2073" spans="2:18">
      <c r="B2073" s="841"/>
      <c r="C2073" s="842"/>
      <c r="D2073" s="842"/>
      <c r="E2073" s="842"/>
      <c r="F2073" s="1135"/>
      <c r="G2073" s="1135"/>
      <c r="H2073" s="843"/>
      <c r="I2073" s="841"/>
      <c r="J2073" s="1135"/>
      <c r="K2073" s="841"/>
      <c r="L2073" s="841"/>
      <c r="M2073" s="841"/>
      <c r="N2073" s="841"/>
      <c r="O2073" s="841"/>
      <c r="P2073" s="841"/>
      <c r="Q2073" s="841"/>
      <c r="R2073" s="841"/>
    </row>
    <row r="2074" spans="2:18">
      <c r="B2074" s="841"/>
      <c r="C2074" s="842"/>
      <c r="D2074" s="842"/>
      <c r="E2074" s="842"/>
      <c r="F2074" s="1135"/>
      <c r="G2074" s="1135"/>
      <c r="H2074" s="843"/>
      <c r="I2074" s="841"/>
      <c r="J2074" s="1135"/>
      <c r="K2074" s="841"/>
      <c r="L2074" s="841"/>
      <c r="M2074" s="841"/>
      <c r="N2074" s="841"/>
      <c r="O2074" s="841"/>
      <c r="P2074" s="841"/>
      <c r="Q2074" s="841"/>
      <c r="R2074" s="841"/>
    </row>
    <row r="2075" spans="2:18">
      <c r="B2075" s="841"/>
      <c r="C2075" s="842"/>
      <c r="D2075" s="842"/>
      <c r="E2075" s="842"/>
      <c r="F2075" s="1135"/>
      <c r="G2075" s="1135"/>
      <c r="H2075" s="843"/>
      <c r="I2075" s="841"/>
      <c r="J2075" s="1135"/>
      <c r="K2075" s="841"/>
      <c r="L2075" s="841"/>
      <c r="M2075" s="841"/>
      <c r="N2075" s="841"/>
      <c r="O2075" s="841"/>
      <c r="P2075" s="841"/>
      <c r="Q2075" s="841"/>
      <c r="R2075" s="841"/>
    </row>
    <row r="2076" spans="2:18">
      <c r="B2076" s="841"/>
      <c r="C2076" s="842"/>
      <c r="D2076" s="842"/>
      <c r="E2076" s="842"/>
      <c r="F2076" s="1135"/>
      <c r="G2076" s="1135"/>
      <c r="H2076" s="843"/>
      <c r="I2076" s="841"/>
      <c r="J2076" s="1135"/>
      <c r="K2076" s="841"/>
      <c r="L2076" s="841"/>
      <c r="M2076" s="841"/>
      <c r="N2076" s="841"/>
      <c r="O2076" s="841"/>
      <c r="P2076" s="841"/>
      <c r="Q2076" s="841"/>
      <c r="R2076" s="841"/>
    </row>
    <row r="2077" spans="2:18">
      <c r="B2077" s="841"/>
      <c r="C2077" s="842"/>
      <c r="D2077" s="842"/>
      <c r="E2077" s="842"/>
      <c r="F2077" s="1135"/>
      <c r="G2077" s="1135"/>
      <c r="H2077" s="843"/>
      <c r="I2077" s="841"/>
      <c r="J2077" s="1135"/>
      <c r="K2077" s="841"/>
      <c r="L2077" s="841"/>
      <c r="M2077" s="841"/>
      <c r="N2077" s="841"/>
      <c r="O2077" s="841"/>
      <c r="P2077" s="841"/>
      <c r="Q2077" s="841"/>
      <c r="R2077" s="841"/>
    </row>
    <row r="2078" spans="2:18">
      <c r="B2078" s="841"/>
      <c r="C2078" s="842"/>
      <c r="D2078" s="842"/>
      <c r="E2078" s="842"/>
      <c r="F2078" s="1135"/>
      <c r="G2078" s="1135"/>
      <c r="H2078" s="843"/>
      <c r="I2078" s="841"/>
      <c r="J2078" s="1135"/>
      <c r="K2078" s="841"/>
      <c r="L2078" s="841"/>
      <c r="M2078" s="841"/>
      <c r="N2078" s="841"/>
      <c r="O2078" s="841"/>
      <c r="P2078" s="841"/>
      <c r="Q2078" s="841"/>
      <c r="R2078" s="841"/>
    </row>
    <row r="2079" spans="2:18">
      <c r="B2079" s="841"/>
      <c r="C2079" s="842"/>
      <c r="D2079" s="842"/>
      <c r="E2079" s="842"/>
      <c r="F2079" s="1135"/>
      <c r="G2079" s="1135"/>
      <c r="H2079" s="843"/>
      <c r="I2079" s="841"/>
      <c r="J2079" s="1135"/>
      <c r="K2079" s="841"/>
      <c r="L2079" s="841"/>
      <c r="M2079" s="841"/>
      <c r="N2079" s="841"/>
      <c r="O2079" s="841"/>
      <c r="P2079" s="841"/>
      <c r="Q2079" s="841"/>
      <c r="R2079" s="841"/>
    </row>
    <row r="2080" spans="2:18">
      <c r="B2080" s="841"/>
      <c r="C2080" s="842"/>
      <c r="D2080" s="842"/>
      <c r="E2080" s="842"/>
      <c r="F2080" s="1135"/>
      <c r="G2080" s="1135"/>
      <c r="H2080" s="843"/>
      <c r="I2080" s="841"/>
      <c r="J2080" s="1135"/>
      <c r="K2080" s="841"/>
      <c r="L2080" s="841"/>
      <c r="M2080" s="841"/>
      <c r="N2080" s="841"/>
      <c r="O2080" s="841"/>
      <c r="P2080" s="841"/>
      <c r="Q2080" s="841"/>
      <c r="R2080" s="841"/>
    </row>
    <row r="2081" spans="2:18">
      <c r="B2081" s="841"/>
      <c r="C2081" s="842"/>
      <c r="D2081" s="842"/>
      <c r="E2081" s="842"/>
      <c r="F2081" s="1135"/>
      <c r="G2081" s="1135"/>
      <c r="H2081" s="843"/>
      <c r="I2081" s="841"/>
      <c r="J2081" s="1135"/>
      <c r="K2081" s="841"/>
      <c r="L2081" s="841"/>
      <c r="M2081" s="841"/>
      <c r="N2081" s="841"/>
      <c r="O2081" s="841"/>
      <c r="P2081" s="841"/>
      <c r="Q2081" s="841"/>
      <c r="R2081" s="841"/>
    </row>
    <row r="2082" spans="2:18">
      <c r="B2082" s="841"/>
      <c r="C2082" s="842"/>
      <c r="D2082" s="842"/>
      <c r="E2082" s="842"/>
      <c r="F2082" s="1135"/>
      <c r="G2082" s="1135"/>
      <c r="H2082" s="843"/>
      <c r="I2082" s="841"/>
      <c r="J2082" s="1135"/>
      <c r="K2082" s="841"/>
      <c r="L2082" s="841"/>
      <c r="M2082" s="841"/>
      <c r="N2082" s="841"/>
      <c r="O2082" s="841"/>
      <c r="P2082" s="841"/>
      <c r="Q2082" s="841"/>
      <c r="R2082" s="841"/>
    </row>
    <row r="2083" spans="2:18">
      <c r="B2083" s="841"/>
      <c r="C2083" s="842"/>
      <c r="D2083" s="842"/>
      <c r="E2083" s="842"/>
      <c r="F2083" s="1135"/>
      <c r="G2083" s="1135"/>
      <c r="H2083" s="843"/>
      <c r="I2083" s="841"/>
      <c r="J2083" s="1135"/>
      <c r="K2083" s="841"/>
      <c r="L2083" s="841"/>
      <c r="M2083" s="841"/>
      <c r="N2083" s="841"/>
      <c r="O2083" s="841"/>
      <c r="P2083" s="841"/>
      <c r="Q2083" s="841"/>
      <c r="R2083" s="841"/>
    </row>
    <row r="2084" spans="2:18">
      <c r="B2084" s="841"/>
      <c r="C2084" s="842"/>
      <c r="D2084" s="842"/>
      <c r="E2084" s="842"/>
      <c r="F2084" s="1135"/>
      <c r="G2084" s="1135"/>
      <c r="H2084" s="843"/>
      <c r="I2084" s="841"/>
      <c r="J2084" s="1135"/>
      <c r="K2084" s="841"/>
      <c r="L2084" s="841"/>
      <c r="M2084" s="841"/>
      <c r="N2084" s="841"/>
      <c r="O2084" s="841"/>
      <c r="P2084" s="841"/>
      <c r="Q2084" s="841"/>
      <c r="R2084" s="841"/>
    </row>
    <row r="2085" spans="2:18">
      <c r="B2085" s="841"/>
      <c r="C2085" s="842"/>
      <c r="D2085" s="842"/>
      <c r="E2085" s="842"/>
      <c r="F2085" s="1135"/>
      <c r="G2085" s="1135"/>
      <c r="H2085" s="843"/>
      <c r="I2085" s="841"/>
      <c r="J2085" s="1135"/>
      <c r="K2085" s="841"/>
      <c r="L2085" s="841"/>
      <c r="M2085" s="841"/>
      <c r="N2085" s="841"/>
      <c r="O2085" s="841"/>
      <c r="P2085" s="841"/>
      <c r="Q2085" s="841"/>
      <c r="R2085" s="841"/>
    </row>
    <row r="2086" spans="2:18">
      <c r="B2086" s="841"/>
      <c r="C2086" s="842"/>
      <c r="D2086" s="842"/>
      <c r="E2086" s="842"/>
      <c r="F2086" s="1135"/>
      <c r="G2086" s="1135"/>
      <c r="H2086" s="843"/>
      <c r="I2086" s="841"/>
      <c r="J2086" s="1135"/>
      <c r="K2086" s="841"/>
      <c r="L2086" s="841"/>
      <c r="M2086" s="841"/>
      <c r="N2086" s="841"/>
      <c r="O2086" s="841"/>
      <c r="P2086" s="841"/>
      <c r="Q2086" s="841"/>
      <c r="R2086" s="841"/>
    </row>
    <row r="2087" spans="2:18">
      <c r="B2087" s="841"/>
      <c r="C2087" s="842"/>
      <c r="D2087" s="842"/>
      <c r="E2087" s="842"/>
      <c r="F2087" s="1135"/>
      <c r="G2087" s="1135"/>
      <c r="H2087" s="843"/>
      <c r="I2087" s="841"/>
      <c r="J2087" s="1135"/>
      <c r="K2087" s="841"/>
      <c r="L2087" s="841"/>
      <c r="M2087" s="841"/>
      <c r="N2087" s="841"/>
      <c r="O2087" s="841"/>
      <c r="P2087" s="841"/>
      <c r="Q2087" s="841"/>
      <c r="R2087" s="841"/>
    </row>
    <row r="2088" spans="2:18">
      <c r="B2088" s="841"/>
      <c r="C2088" s="842"/>
      <c r="D2088" s="842"/>
      <c r="E2088" s="842"/>
      <c r="F2088" s="1135"/>
      <c r="G2088" s="1135"/>
      <c r="H2088" s="843"/>
      <c r="I2088" s="841"/>
      <c r="J2088" s="1135"/>
      <c r="K2088" s="841"/>
      <c r="L2088" s="841"/>
      <c r="M2088" s="841"/>
      <c r="N2088" s="841"/>
      <c r="O2088" s="841"/>
      <c r="P2088" s="841"/>
      <c r="Q2088" s="841"/>
      <c r="R2088" s="841"/>
    </row>
    <row r="2089" spans="2:18">
      <c r="B2089" s="841"/>
      <c r="C2089" s="842"/>
      <c r="D2089" s="842"/>
      <c r="E2089" s="842"/>
      <c r="F2089" s="1135"/>
      <c r="G2089" s="1135"/>
      <c r="H2089" s="843"/>
      <c r="I2089" s="841"/>
      <c r="J2089" s="1135"/>
      <c r="K2089" s="841"/>
      <c r="L2089" s="841"/>
      <c r="M2089" s="841"/>
      <c r="N2089" s="841"/>
      <c r="O2089" s="841"/>
      <c r="P2089" s="841"/>
      <c r="Q2089" s="841"/>
      <c r="R2089" s="841"/>
    </row>
    <row r="2090" spans="2:18">
      <c r="B2090" s="841"/>
      <c r="C2090" s="842"/>
      <c r="D2090" s="842"/>
      <c r="E2090" s="842"/>
      <c r="F2090" s="1135"/>
      <c r="G2090" s="1135"/>
      <c r="H2090" s="843"/>
      <c r="I2090" s="841"/>
      <c r="J2090" s="1135"/>
      <c r="K2090" s="841"/>
      <c r="L2090" s="841"/>
      <c r="M2090" s="841"/>
      <c r="N2090" s="841"/>
      <c r="O2090" s="841"/>
      <c r="P2090" s="841"/>
      <c r="Q2090" s="841"/>
      <c r="R2090" s="841"/>
    </row>
    <row r="2091" spans="2:18">
      <c r="B2091" s="841"/>
      <c r="C2091" s="842"/>
      <c r="D2091" s="842"/>
      <c r="E2091" s="842"/>
      <c r="F2091" s="1135"/>
      <c r="G2091" s="1135"/>
      <c r="H2091" s="843"/>
      <c r="I2091" s="841"/>
      <c r="J2091" s="1135"/>
      <c r="K2091" s="841"/>
      <c r="L2091" s="841"/>
      <c r="M2091" s="841"/>
      <c r="N2091" s="841"/>
      <c r="O2091" s="841"/>
      <c r="P2091" s="841"/>
      <c r="Q2091" s="841"/>
      <c r="R2091" s="841"/>
    </row>
    <row r="2092" spans="2:18">
      <c r="B2092" s="841"/>
      <c r="C2092" s="842"/>
      <c r="D2092" s="842"/>
      <c r="E2092" s="842"/>
      <c r="F2092" s="1135"/>
      <c r="G2092" s="1135"/>
      <c r="H2092" s="843"/>
      <c r="I2092" s="841"/>
      <c r="J2092" s="1135"/>
      <c r="K2092" s="841"/>
      <c r="L2092" s="841"/>
      <c r="M2092" s="841"/>
      <c r="N2092" s="841"/>
      <c r="O2092" s="841"/>
      <c r="P2092" s="841"/>
      <c r="Q2092" s="841"/>
      <c r="R2092" s="841"/>
    </row>
    <row r="2093" spans="2:18">
      <c r="B2093" s="841"/>
      <c r="C2093" s="842"/>
      <c r="D2093" s="842"/>
      <c r="E2093" s="842"/>
      <c r="F2093" s="1135"/>
      <c r="G2093" s="1135"/>
      <c r="H2093" s="843"/>
      <c r="I2093" s="841"/>
      <c r="J2093" s="1135"/>
      <c r="K2093" s="841"/>
      <c r="L2093" s="841"/>
      <c r="M2093" s="841"/>
      <c r="N2093" s="841"/>
      <c r="O2093" s="841"/>
      <c r="P2093" s="841"/>
      <c r="Q2093" s="841"/>
      <c r="R2093" s="841"/>
    </row>
    <row r="2094" spans="2:18">
      <c r="B2094" s="841"/>
      <c r="C2094" s="842"/>
      <c r="D2094" s="842"/>
      <c r="E2094" s="842"/>
      <c r="F2094" s="1135"/>
      <c r="G2094" s="1135"/>
      <c r="H2094" s="843"/>
      <c r="I2094" s="841"/>
      <c r="J2094" s="1135"/>
      <c r="K2094" s="841"/>
      <c r="L2094" s="841"/>
      <c r="M2094" s="841"/>
      <c r="N2094" s="841"/>
      <c r="O2094" s="841"/>
      <c r="P2094" s="841"/>
      <c r="Q2094" s="841"/>
      <c r="R2094" s="841"/>
    </row>
    <row r="2095" spans="2:18">
      <c r="B2095" s="841"/>
      <c r="C2095" s="842"/>
      <c r="D2095" s="842"/>
      <c r="E2095" s="842"/>
      <c r="F2095" s="1135"/>
      <c r="G2095" s="1135"/>
      <c r="H2095" s="843"/>
      <c r="I2095" s="841"/>
      <c r="J2095" s="1135"/>
      <c r="K2095" s="841"/>
      <c r="L2095" s="841"/>
      <c r="M2095" s="841"/>
      <c r="N2095" s="841"/>
      <c r="O2095" s="841"/>
      <c r="P2095" s="841"/>
      <c r="Q2095" s="841"/>
      <c r="R2095" s="841"/>
    </row>
    <row r="2096" spans="2:18">
      <c r="B2096" s="841"/>
      <c r="C2096" s="842"/>
      <c r="D2096" s="842"/>
      <c r="E2096" s="842"/>
      <c r="F2096" s="1135"/>
      <c r="G2096" s="1135"/>
      <c r="H2096" s="843"/>
      <c r="I2096" s="841"/>
      <c r="J2096" s="1135"/>
      <c r="K2096" s="841"/>
      <c r="L2096" s="841"/>
      <c r="M2096" s="841"/>
      <c r="N2096" s="841"/>
      <c r="O2096" s="841"/>
      <c r="P2096" s="841"/>
      <c r="Q2096" s="841"/>
      <c r="R2096" s="841"/>
    </row>
    <row r="2097" spans="2:18">
      <c r="B2097" s="841"/>
      <c r="C2097" s="842"/>
      <c r="D2097" s="842"/>
      <c r="E2097" s="842"/>
      <c r="F2097" s="1135"/>
      <c r="G2097" s="1135"/>
      <c r="H2097" s="843"/>
      <c r="I2097" s="841"/>
      <c r="J2097" s="1135"/>
      <c r="K2097" s="841"/>
      <c r="L2097" s="841"/>
      <c r="M2097" s="841"/>
      <c r="N2097" s="841"/>
      <c r="O2097" s="841"/>
      <c r="P2097" s="841"/>
      <c r="Q2097" s="841"/>
      <c r="R2097" s="841"/>
    </row>
    <row r="2098" spans="2:18">
      <c r="B2098" s="841"/>
      <c r="C2098" s="842"/>
      <c r="D2098" s="842"/>
      <c r="E2098" s="842"/>
      <c r="F2098" s="1135"/>
      <c r="G2098" s="1135"/>
      <c r="H2098" s="843"/>
      <c r="I2098" s="841"/>
      <c r="J2098" s="1135"/>
      <c r="K2098" s="841"/>
      <c r="L2098" s="841"/>
      <c r="M2098" s="841"/>
      <c r="N2098" s="841"/>
      <c r="O2098" s="841"/>
      <c r="P2098" s="841"/>
      <c r="Q2098" s="841"/>
      <c r="R2098" s="841"/>
    </row>
    <row r="2099" spans="2:18">
      <c r="B2099" s="841"/>
      <c r="C2099" s="842"/>
      <c r="D2099" s="842"/>
      <c r="E2099" s="842"/>
      <c r="F2099" s="1135"/>
      <c r="G2099" s="1135"/>
      <c r="H2099" s="843"/>
      <c r="I2099" s="841"/>
      <c r="J2099" s="1135"/>
      <c r="K2099" s="841"/>
      <c r="L2099" s="841"/>
      <c r="M2099" s="841"/>
      <c r="N2099" s="841"/>
      <c r="O2099" s="841"/>
      <c r="P2099" s="841"/>
      <c r="Q2099" s="841"/>
      <c r="R2099" s="841"/>
    </row>
    <row r="2100" spans="2:18">
      <c r="B2100" s="841"/>
      <c r="C2100" s="842"/>
      <c r="D2100" s="842"/>
      <c r="E2100" s="842"/>
      <c r="F2100" s="1135"/>
      <c r="G2100" s="1135"/>
      <c r="H2100" s="843"/>
      <c r="I2100" s="841"/>
      <c r="J2100" s="1135"/>
      <c r="K2100" s="841"/>
      <c r="L2100" s="841"/>
      <c r="M2100" s="841"/>
      <c r="N2100" s="841"/>
      <c r="O2100" s="841"/>
      <c r="P2100" s="841"/>
      <c r="Q2100" s="841"/>
      <c r="R2100" s="841"/>
    </row>
    <row r="2101" spans="2:18">
      <c r="B2101" s="841"/>
      <c r="C2101" s="842"/>
      <c r="D2101" s="842"/>
      <c r="E2101" s="842"/>
      <c r="F2101" s="1135"/>
      <c r="G2101" s="1135"/>
      <c r="H2101" s="843"/>
      <c r="I2101" s="841"/>
      <c r="J2101" s="1135"/>
      <c r="K2101" s="841"/>
      <c r="L2101" s="841"/>
      <c r="M2101" s="841"/>
      <c r="N2101" s="841"/>
      <c r="O2101" s="841"/>
      <c r="P2101" s="841"/>
      <c r="Q2101" s="841"/>
      <c r="R2101" s="841"/>
    </row>
    <row r="2102" spans="2:18">
      <c r="B2102" s="841"/>
      <c r="C2102" s="842"/>
      <c r="D2102" s="842"/>
      <c r="E2102" s="842"/>
      <c r="F2102" s="1135"/>
      <c r="G2102" s="1135"/>
      <c r="H2102" s="843"/>
      <c r="I2102" s="841"/>
      <c r="J2102" s="1135"/>
      <c r="K2102" s="841"/>
      <c r="L2102" s="841"/>
      <c r="M2102" s="841"/>
      <c r="N2102" s="841"/>
      <c r="O2102" s="841"/>
      <c r="P2102" s="841"/>
      <c r="Q2102" s="841"/>
      <c r="R2102" s="841"/>
    </row>
    <row r="2103" spans="2:18">
      <c r="B2103" s="841"/>
      <c r="C2103" s="842"/>
      <c r="D2103" s="842"/>
      <c r="E2103" s="842"/>
      <c r="F2103" s="1135"/>
      <c r="G2103" s="1135"/>
      <c r="H2103" s="843"/>
      <c r="I2103" s="841"/>
      <c r="J2103" s="1135"/>
      <c r="K2103" s="841"/>
      <c r="L2103" s="841"/>
      <c r="M2103" s="841"/>
      <c r="N2103" s="841"/>
      <c r="O2103" s="841"/>
      <c r="P2103" s="841"/>
      <c r="Q2103" s="841"/>
      <c r="R2103" s="841"/>
    </row>
    <row r="2104" spans="2:18">
      <c r="B2104" s="841"/>
      <c r="C2104" s="842"/>
      <c r="D2104" s="842"/>
      <c r="E2104" s="842"/>
      <c r="F2104" s="1135"/>
      <c r="G2104" s="1135"/>
      <c r="H2104" s="843"/>
      <c r="I2104" s="841"/>
      <c r="J2104" s="1135"/>
      <c r="K2104" s="841"/>
      <c r="L2104" s="841"/>
      <c r="M2104" s="841"/>
      <c r="N2104" s="841"/>
      <c r="O2104" s="841"/>
      <c r="P2104" s="841"/>
      <c r="Q2104" s="841"/>
      <c r="R2104" s="841"/>
    </row>
    <row r="2105" spans="2:18">
      <c r="B2105" s="841"/>
      <c r="C2105" s="842"/>
      <c r="D2105" s="842"/>
      <c r="E2105" s="842"/>
      <c r="F2105" s="1135"/>
      <c r="G2105" s="1135"/>
      <c r="H2105" s="843"/>
      <c r="I2105" s="841"/>
      <c r="J2105" s="1135"/>
      <c r="K2105" s="841"/>
      <c r="L2105" s="841"/>
      <c r="M2105" s="841"/>
      <c r="N2105" s="841"/>
      <c r="O2105" s="841"/>
      <c r="P2105" s="841"/>
      <c r="Q2105" s="841"/>
      <c r="R2105" s="841"/>
    </row>
    <row r="2106" spans="2:18">
      <c r="B2106" s="841"/>
      <c r="C2106" s="842"/>
      <c r="D2106" s="842"/>
      <c r="E2106" s="842"/>
      <c r="F2106" s="1135"/>
      <c r="G2106" s="1135"/>
      <c r="H2106" s="843"/>
      <c r="I2106" s="841"/>
      <c r="J2106" s="1135"/>
      <c r="K2106" s="841"/>
      <c r="L2106" s="841"/>
      <c r="M2106" s="841"/>
      <c r="N2106" s="841"/>
      <c r="O2106" s="841"/>
      <c r="P2106" s="841"/>
      <c r="Q2106" s="841"/>
      <c r="R2106" s="841"/>
    </row>
    <row r="2107" spans="2:18">
      <c r="B2107" s="841"/>
      <c r="C2107" s="842"/>
      <c r="D2107" s="842"/>
      <c r="E2107" s="842"/>
      <c r="F2107" s="1135"/>
      <c r="G2107" s="1135"/>
      <c r="H2107" s="843"/>
      <c r="I2107" s="841"/>
      <c r="J2107" s="1135"/>
      <c r="K2107" s="841"/>
      <c r="L2107" s="841"/>
      <c r="M2107" s="841"/>
      <c r="N2107" s="841"/>
      <c r="O2107" s="841"/>
      <c r="P2107" s="841"/>
      <c r="Q2107" s="841"/>
      <c r="R2107" s="841"/>
    </row>
    <row r="2108" spans="2:18">
      <c r="B2108" s="841"/>
      <c r="C2108" s="842"/>
      <c r="D2108" s="842"/>
      <c r="E2108" s="842"/>
      <c r="F2108" s="1135"/>
      <c r="G2108" s="1135"/>
      <c r="H2108" s="843"/>
      <c r="I2108" s="841"/>
      <c r="J2108" s="1135"/>
      <c r="K2108" s="841"/>
      <c r="L2108" s="841"/>
      <c r="M2108" s="841"/>
      <c r="N2108" s="841"/>
      <c r="O2108" s="841"/>
      <c r="P2108" s="841"/>
      <c r="Q2108" s="841"/>
      <c r="R2108" s="841"/>
    </row>
    <row r="2109" spans="2:18">
      <c r="B2109" s="841"/>
      <c r="C2109" s="842"/>
      <c r="D2109" s="842"/>
      <c r="E2109" s="842"/>
      <c r="F2109" s="1135"/>
      <c r="G2109" s="1135"/>
      <c r="H2109" s="843"/>
      <c r="I2109" s="841"/>
      <c r="J2109" s="1135"/>
      <c r="K2109" s="841"/>
      <c r="L2109" s="841"/>
      <c r="M2109" s="841"/>
      <c r="N2109" s="841"/>
      <c r="O2109" s="841"/>
      <c r="P2109" s="841"/>
      <c r="Q2109" s="841"/>
      <c r="R2109" s="841"/>
    </row>
    <row r="2110" spans="2:18">
      <c r="B2110" s="841"/>
      <c r="C2110" s="842"/>
      <c r="D2110" s="842"/>
      <c r="E2110" s="842"/>
      <c r="F2110" s="1135"/>
      <c r="G2110" s="1135"/>
      <c r="H2110" s="843"/>
      <c r="I2110" s="841"/>
      <c r="J2110" s="1135"/>
      <c r="K2110" s="841"/>
      <c r="L2110" s="841"/>
      <c r="M2110" s="841"/>
      <c r="N2110" s="841"/>
      <c r="O2110" s="841"/>
      <c r="P2110" s="841"/>
      <c r="Q2110" s="841"/>
      <c r="R2110" s="841"/>
    </row>
    <row r="2111" spans="2:18">
      <c r="B2111" s="841"/>
      <c r="C2111" s="842"/>
      <c r="D2111" s="842"/>
      <c r="E2111" s="842"/>
      <c r="F2111" s="1135"/>
      <c r="G2111" s="1135"/>
      <c r="H2111" s="843"/>
      <c r="I2111" s="841"/>
      <c r="J2111" s="1135"/>
      <c r="K2111" s="841"/>
      <c r="L2111" s="841"/>
      <c r="M2111" s="841"/>
      <c r="N2111" s="841"/>
      <c r="O2111" s="841"/>
      <c r="P2111" s="841"/>
      <c r="Q2111" s="841"/>
      <c r="R2111" s="841"/>
    </row>
    <row r="2112" spans="2:18">
      <c r="B2112" s="841"/>
      <c r="C2112" s="842"/>
      <c r="D2112" s="842"/>
      <c r="E2112" s="842"/>
      <c r="F2112" s="1135"/>
      <c r="G2112" s="1135"/>
      <c r="H2112" s="843"/>
      <c r="I2112" s="841"/>
      <c r="J2112" s="1135"/>
      <c r="K2112" s="841"/>
      <c r="L2112" s="841"/>
      <c r="M2112" s="841"/>
      <c r="N2112" s="841"/>
      <c r="O2112" s="841"/>
      <c r="P2112" s="841"/>
      <c r="Q2112" s="841"/>
      <c r="R2112" s="841"/>
    </row>
    <row r="2113" spans="2:18">
      <c r="B2113" s="841"/>
      <c r="C2113" s="842"/>
      <c r="D2113" s="842"/>
      <c r="E2113" s="842"/>
      <c r="F2113" s="1135"/>
      <c r="G2113" s="1135"/>
      <c r="H2113" s="843"/>
      <c r="I2113" s="841"/>
      <c r="J2113" s="1135"/>
      <c r="K2113" s="841"/>
      <c r="L2113" s="841"/>
      <c r="M2113" s="841"/>
      <c r="N2113" s="841"/>
      <c r="O2113" s="841"/>
      <c r="P2113" s="841"/>
      <c r="Q2113" s="841"/>
      <c r="R2113" s="841"/>
    </row>
    <row r="2114" spans="2:18">
      <c r="B2114" s="841"/>
      <c r="C2114" s="842"/>
      <c r="D2114" s="842"/>
      <c r="E2114" s="842"/>
      <c r="F2114" s="1135"/>
      <c r="G2114" s="1135"/>
      <c r="H2114" s="843"/>
      <c r="I2114" s="841"/>
      <c r="J2114" s="1135"/>
      <c r="K2114" s="841"/>
      <c r="L2114" s="841"/>
      <c r="M2114" s="841"/>
      <c r="N2114" s="841"/>
      <c r="O2114" s="841"/>
      <c r="P2114" s="841"/>
      <c r="Q2114" s="841"/>
      <c r="R2114" s="841"/>
    </row>
    <row r="2115" spans="2:18">
      <c r="B2115" s="841"/>
      <c r="C2115" s="842"/>
      <c r="D2115" s="842"/>
      <c r="E2115" s="842"/>
      <c r="F2115" s="1135"/>
      <c r="G2115" s="1135"/>
      <c r="H2115" s="843"/>
      <c r="I2115" s="841"/>
      <c r="J2115" s="1135"/>
      <c r="K2115" s="841"/>
      <c r="L2115" s="841"/>
      <c r="M2115" s="841"/>
      <c r="N2115" s="841"/>
      <c r="O2115" s="841"/>
      <c r="P2115" s="841"/>
      <c r="Q2115" s="841"/>
      <c r="R2115" s="841"/>
    </row>
    <row r="2116" spans="2:18">
      <c r="B2116" s="841"/>
      <c r="C2116" s="842"/>
      <c r="D2116" s="842"/>
      <c r="E2116" s="842"/>
      <c r="F2116" s="1135"/>
      <c r="G2116" s="1135"/>
      <c r="H2116" s="843"/>
      <c r="I2116" s="841"/>
      <c r="J2116" s="1135"/>
      <c r="K2116" s="841"/>
      <c r="L2116" s="841"/>
      <c r="M2116" s="841"/>
      <c r="N2116" s="841"/>
      <c r="O2116" s="841"/>
      <c r="P2116" s="841"/>
      <c r="Q2116" s="841"/>
      <c r="R2116" s="841"/>
    </row>
    <row r="2117" spans="2:18">
      <c r="B2117" s="841"/>
      <c r="C2117" s="842"/>
      <c r="D2117" s="842"/>
      <c r="E2117" s="842"/>
      <c r="F2117" s="1135"/>
      <c r="G2117" s="1135"/>
      <c r="H2117" s="843"/>
      <c r="I2117" s="841"/>
      <c r="J2117" s="1135"/>
      <c r="K2117" s="841"/>
      <c r="L2117" s="841"/>
      <c r="M2117" s="841"/>
      <c r="N2117" s="841"/>
      <c r="O2117" s="841"/>
      <c r="P2117" s="841"/>
      <c r="Q2117" s="841"/>
      <c r="R2117" s="841"/>
    </row>
    <row r="2118" spans="2:18">
      <c r="B2118" s="841"/>
      <c r="C2118" s="842"/>
      <c r="D2118" s="842"/>
      <c r="E2118" s="842"/>
      <c r="F2118" s="1135"/>
      <c r="G2118" s="1135"/>
      <c r="H2118" s="843"/>
      <c r="I2118" s="841"/>
      <c r="J2118" s="1135"/>
      <c r="K2118" s="841"/>
      <c r="L2118" s="841"/>
      <c r="M2118" s="841"/>
      <c r="N2118" s="841"/>
      <c r="O2118" s="841"/>
      <c r="P2118" s="841"/>
      <c r="Q2118" s="841"/>
      <c r="R2118" s="841"/>
    </row>
    <row r="2119" spans="2:18">
      <c r="B2119" s="841"/>
      <c r="C2119" s="842"/>
      <c r="D2119" s="842"/>
      <c r="E2119" s="842"/>
      <c r="F2119" s="1135"/>
      <c r="G2119" s="1135"/>
      <c r="H2119" s="843"/>
      <c r="I2119" s="841"/>
      <c r="J2119" s="1135"/>
      <c r="K2119" s="841"/>
      <c r="L2119" s="841"/>
      <c r="M2119" s="841"/>
      <c r="N2119" s="841"/>
      <c r="O2119" s="841"/>
      <c r="P2119" s="841"/>
      <c r="Q2119" s="841"/>
      <c r="R2119" s="841"/>
    </row>
    <row r="2120" spans="2:18">
      <c r="B2120" s="841"/>
      <c r="C2120" s="842"/>
      <c r="D2120" s="842"/>
      <c r="E2120" s="842"/>
      <c r="F2120" s="1135"/>
      <c r="G2120" s="1135"/>
      <c r="H2120" s="843"/>
      <c r="I2120" s="841"/>
      <c r="J2120" s="1135"/>
      <c r="K2120" s="841"/>
      <c r="L2120" s="841"/>
      <c r="M2120" s="841"/>
      <c r="N2120" s="841"/>
      <c r="O2120" s="841"/>
      <c r="P2120" s="841"/>
      <c r="Q2120" s="841"/>
      <c r="R2120" s="841"/>
    </row>
    <row r="2121" spans="2:18">
      <c r="B2121" s="841"/>
      <c r="C2121" s="842"/>
      <c r="D2121" s="842"/>
      <c r="E2121" s="842"/>
      <c r="F2121" s="1135"/>
      <c r="G2121" s="1135"/>
      <c r="H2121" s="843"/>
      <c r="I2121" s="841"/>
      <c r="J2121" s="1135"/>
      <c r="K2121" s="841"/>
      <c r="L2121" s="841"/>
      <c r="M2121" s="841"/>
      <c r="N2121" s="841"/>
      <c r="O2121" s="841"/>
      <c r="P2121" s="841"/>
      <c r="Q2121" s="841"/>
      <c r="R2121" s="841"/>
    </row>
    <row r="2122" spans="2:18">
      <c r="B2122" s="841"/>
      <c r="C2122" s="842"/>
      <c r="D2122" s="842"/>
      <c r="E2122" s="842"/>
      <c r="F2122" s="1135"/>
      <c r="G2122" s="1135"/>
      <c r="H2122" s="843"/>
      <c r="I2122" s="841"/>
      <c r="J2122" s="1135"/>
      <c r="K2122" s="841"/>
      <c r="L2122" s="841"/>
      <c r="M2122" s="841"/>
      <c r="N2122" s="841"/>
      <c r="O2122" s="841"/>
      <c r="P2122" s="841"/>
      <c r="Q2122" s="841"/>
      <c r="R2122" s="841"/>
    </row>
    <row r="2123" spans="2:18">
      <c r="B2123" s="841"/>
      <c r="C2123" s="842"/>
      <c r="D2123" s="842"/>
      <c r="E2123" s="842"/>
      <c r="F2123" s="1135"/>
      <c r="G2123" s="1135"/>
      <c r="H2123" s="843"/>
      <c r="I2123" s="841"/>
      <c r="J2123" s="1135"/>
      <c r="K2123" s="841"/>
      <c r="L2123" s="841"/>
      <c r="M2123" s="841"/>
      <c r="N2123" s="841"/>
      <c r="O2123" s="841"/>
      <c r="P2123" s="841"/>
      <c r="Q2123" s="841"/>
      <c r="R2123" s="841"/>
    </row>
    <row r="2124" spans="2:18">
      <c r="B2124" s="841"/>
      <c r="C2124" s="842"/>
      <c r="D2124" s="842"/>
      <c r="E2124" s="842"/>
      <c r="F2124" s="1135"/>
      <c r="G2124" s="1135"/>
      <c r="H2124" s="843"/>
      <c r="I2124" s="841"/>
      <c r="J2124" s="1135"/>
      <c r="K2124" s="841"/>
      <c r="L2124" s="841"/>
      <c r="M2124" s="841"/>
      <c r="N2124" s="841"/>
      <c r="O2124" s="841"/>
      <c r="P2124" s="841"/>
      <c r="Q2124" s="841"/>
      <c r="R2124" s="841"/>
    </row>
    <row r="2125" spans="2:18">
      <c r="B2125" s="841"/>
      <c r="C2125" s="842"/>
      <c r="D2125" s="842"/>
      <c r="E2125" s="842"/>
      <c r="F2125" s="1135"/>
      <c r="G2125" s="1135"/>
      <c r="H2125" s="843"/>
      <c r="I2125" s="841"/>
      <c r="J2125" s="1135"/>
      <c r="K2125" s="841"/>
      <c r="L2125" s="841"/>
      <c r="M2125" s="841"/>
      <c r="N2125" s="841"/>
      <c r="O2125" s="841"/>
      <c r="P2125" s="841"/>
      <c r="Q2125" s="841"/>
      <c r="R2125" s="841"/>
    </row>
    <row r="2126" spans="2:18">
      <c r="B2126" s="841"/>
      <c r="C2126" s="842"/>
      <c r="D2126" s="842"/>
      <c r="E2126" s="842"/>
      <c r="F2126" s="1135"/>
      <c r="G2126" s="1135"/>
      <c r="H2126" s="843"/>
      <c r="I2126" s="841"/>
      <c r="J2126" s="1135"/>
      <c r="K2126" s="841"/>
      <c r="L2126" s="841"/>
      <c r="M2126" s="841"/>
      <c r="N2126" s="841"/>
      <c r="O2126" s="841"/>
      <c r="P2126" s="841"/>
      <c r="Q2126" s="841"/>
      <c r="R2126" s="841"/>
    </row>
    <row r="2127" spans="2:18">
      <c r="B2127" s="841"/>
      <c r="C2127" s="842"/>
      <c r="D2127" s="842"/>
      <c r="E2127" s="842"/>
      <c r="F2127" s="1135"/>
      <c r="G2127" s="1135"/>
      <c r="H2127" s="843"/>
      <c r="I2127" s="841"/>
      <c r="J2127" s="1135"/>
      <c r="K2127" s="841"/>
      <c r="L2127" s="841"/>
      <c r="M2127" s="841"/>
      <c r="N2127" s="841"/>
      <c r="O2127" s="841"/>
      <c r="P2127" s="841"/>
      <c r="Q2127" s="841"/>
      <c r="R2127" s="841"/>
    </row>
    <row r="2128" spans="2:18">
      <c r="B2128" s="841"/>
      <c r="C2128" s="842"/>
      <c r="D2128" s="842"/>
      <c r="E2128" s="842"/>
      <c r="F2128" s="1135"/>
      <c r="G2128" s="1135"/>
      <c r="H2128" s="843"/>
      <c r="I2128" s="841"/>
      <c r="J2128" s="1135"/>
      <c r="K2128" s="841"/>
      <c r="L2128" s="841"/>
      <c r="M2128" s="841"/>
      <c r="N2128" s="841"/>
      <c r="O2128" s="841"/>
      <c r="P2128" s="841"/>
      <c r="Q2128" s="841"/>
      <c r="R2128" s="841"/>
    </row>
    <row r="2129" spans="2:18">
      <c r="B2129" s="841"/>
      <c r="C2129" s="842"/>
      <c r="D2129" s="842"/>
      <c r="E2129" s="842"/>
      <c r="F2129" s="1135"/>
      <c r="G2129" s="1135"/>
      <c r="H2129" s="843"/>
      <c r="I2129" s="841"/>
      <c r="J2129" s="1135"/>
      <c r="K2129" s="841"/>
      <c r="L2129" s="841"/>
      <c r="M2129" s="841"/>
      <c r="N2129" s="841"/>
      <c r="O2129" s="841"/>
      <c r="P2129" s="841"/>
      <c r="Q2129" s="841"/>
      <c r="R2129" s="841"/>
    </row>
    <row r="2130" spans="2:18">
      <c r="B2130" s="841"/>
      <c r="C2130" s="842"/>
      <c r="D2130" s="842"/>
      <c r="E2130" s="842"/>
      <c r="F2130" s="1135"/>
      <c r="G2130" s="1135"/>
      <c r="H2130" s="843"/>
      <c r="I2130" s="841"/>
      <c r="J2130" s="1135"/>
      <c r="K2130" s="841"/>
      <c r="L2130" s="841"/>
      <c r="M2130" s="841"/>
      <c r="N2130" s="841"/>
      <c r="O2130" s="841"/>
      <c r="P2130" s="841"/>
      <c r="Q2130" s="841"/>
      <c r="R2130" s="841"/>
    </row>
    <row r="2131" spans="2:18">
      <c r="B2131" s="841"/>
      <c r="C2131" s="842"/>
      <c r="D2131" s="842"/>
      <c r="E2131" s="842"/>
      <c r="F2131" s="1135"/>
      <c r="G2131" s="1135"/>
      <c r="H2131" s="843"/>
      <c r="I2131" s="841"/>
      <c r="J2131" s="1135"/>
      <c r="K2131" s="841"/>
      <c r="L2131" s="841"/>
      <c r="M2131" s="841"/>
      <c r="N2131" s="841"/>
      <c r="O2131" s="841"/>
      <c r="P2131" s="841"/>
      <c r="Q2131" s="841"/>
      <c r="R2131" s="841"/>
    </row>
    <row r="2132" spans="2:18">
      <c r="B2132" s="841"/>
      <c r="C2132" s="842"/>
      <c r="D2132" s="842"/>
      <c r="E2132" s="842"/>
      <c r="F2132" s="1135"/>
      <c r="G2132" s="1135"/>
      <c r="H2132" s="843"/>
      <c r="I2132" s="841"/>
      <c r="J2132" s="1135"/>
      <c r="K2132" s="841"/>
      <c r="L2132" s="841"/>
      <c r="M2132" s="841"/>
      <c r="N2132" s="841"/>
      <c r="O2132" s="841"/>
      <c r="P2132" s="841"/>
      <c r="Q2132" s="841"/>
      <c r="R2132" s="841"/>
    </row>
    <row r="2133" spans="2:18">
      <c r="B2133" s="841"/>
      <c r="C2133" s="842"/>
      <c r="D2133" s="842"/>
      <c r="E2133" s="842"/>
      <c r="F2133" s="1135"/>
      <c r="G2133" s="1135"/>
      <c r="H2133" s="843"/>
      <c r="I2133" s="841"/>
      <c r="J2133" s="1135"/>
      <c r="K2133" s="841"/>
      <c r="L2133" s="841"/>
      <c r="M2133" s="841"/>
      <c r="N2133" s="841"/>
      <c r="O2133" s="841"/>
      <c r="P2133" s="841"/>
      <c r="Q2133" s="841"/>
      <c r="R2133" s="841"/>
    </row>
    <row r="2134" spans="2:18">
      <c r="B2134" s="841"/>
      <c r="C2134" s="842"/>
      <c r="D2134" s="842"/>
      <c r="E2134" s="842"/>
      <c r="F2134" s="1135"/>
      <c r="G2134" s="1135"/>
      <c r="H2134" s="843"/>
      <c r="I2134" s="841"/>
      <c r="J2134" s="1135"/>
      <c r="K2134" s="841"/>
      <c r="L2134" s="841"/>
      <c r="M2134" s="841"/>
      <c r="N2134" s="841"/>
      <c r="O2134" s="841"/>
      <c r="P2134" s="841"/>
      <c r="Q2134" s="841"/>
      <c r="R2134" s="841"/>
    </row>
    <row r="2135" spans="2:18">
      <c r="B2135" s="841"/>
      <c r="C2135" s="842"/>
      <c r="D2135" s="842"/>
      <c r="E2135" s="842"/>
      <c r="F2135" s="1135"/>
      <c r="G2135" s="1135"/>
      <c r="H2135" s="843"/>
      <c r="I2135" s="841"/>
      <c r="J2135" s="1135"/>
      <c r="K2135" s="841"/>
      <c r="L2135" s="841"/>
      <c r="M2135" s="841"/>
      <c r="N2135" s="841"/>
      <c r="O2135" s="841"/>
      <c r="P2135" s="841"/>
      <c r="Q2135" s="841"/>
      <c r="R2135" s="841"/>
    </row>
    <row r="2136" spans="2:18">
      <c r="B2136" s="841"/>
      <c r="C2136" s="842"/>
      <c r="D2136" s="842"/>
      <c r="E2136" s="842"/>
      <c r="F2136" s="1135"/>
      <c r="G2136" s="1135"/>
      <c r="H2136" s="843"/>
      <c r="I2136" s="841"/>
      <c r="J2136" s="1135"/>
      <c r="K2136" s="841"/>
      <c r="L2136" s="841"/>
      <c r="M2136" s="841"/>
      <c r="N2136" s="841"/>
      <c r="O2136" s="841"/>
      <c r="P2136" s="841"/>
      <c r="Q2136" s="841"/>
      <c r="R2136" s="841"/>
    </row>
    <row r="2137" spans="2:18">
      <c r="B2137" s="841"/>
      <c r="C2137" s="842"/>
      <c r="D2137" s="842"/>
      <c r="E2137" s="842"/>
      <c r="F2137" s="1135"/>
      <c r="G2137" s="1135"/>
      <c r="H2137" s="843"/>
      <c r="I2137" s="841"/>
      <c r="J2137" s="1135"/>
      <c r="K2137" s="841"/>
      <c r="L2137" s="841"/>
      <c r="M2137" s="841"/>
      <c r="N2137" s="841"/>
      <c r="O2137" s="841"/>
      <c r="P2137" s="841"/>
      <c r="Q2137" s="841"/>
      <c r="R2137" s="841"/>
    </row>
    <row r="2138" spans="2:18">
      <c r="B2138" s="841"/>
      <c r="C2138" s="842"/>
      <c r="D2138" s="842"/>
      <c r="E2138" s="842"/>
      <c r="F2138" s="1135"/>
      <c r="G2138" s="1135"/>
      <c r="H2138" s="843"/>
      <c r="I2138" s="841"/>
      <c r="J2138" s="1135"/>
      <c r="K2138" s="841"/>
      <c r="L2138" s="841"/>
      <c r="M2138" s="841"/>
      <c r="N2138" s="841"/>
      <c r="O2138" s="841"/>
      <c r="P2138" s="841"/>
      <c r="Q2138" s="841"/>
      <c r="R2138" s="841"/>
    </row>
    <row r="2139" spans="2:18">
      <c r="B2139" s="841"/>
      <c r="C2139" s="842"/>
      <c r="D2139" s="842"/>
      <c r="E2139" s="842"/>
      <c r="F2139" s="1135"/>
      <c r="G2139" s="1135"/>
      <c r="H2139" s="843"/>
      <c r="I2139" s="841"/>
      <c r="J2139" s="1135"/>
      <c r="K2139" s="841"/>
      <c r="L2139" s="841"/>
      <c r="M2139" s="841"/>
      <c r="N2139" s="841"/>
      <c r="O2139" s="841"/>
      <c r="P2139" s="841"/>
      <c r="Q2139" s="841"/>
      <c r="R2139" s="841"/>
    </row>
    <row r="2140" spans="2:18">
      <c r="B2140" s="841"/>
      <c r="C2140" s="842"/>
      <c r="D2140" s="842"/>
      <c r="E2140" s="842"/>
      <c r="F2140" s="1135"/>
      <c r="G2140" s="1135"/>
      <c r="H2140" s="843"/>
      <c r="I2140" s="841"/>
      <c r="J2140" s="1135"/>
      <c r="K2140" s="841"/>
      <c r="L2140" s="841"/>
      <c r="M2140" s="841"/>
      <c r="N2140" s="841"/>
      <c r="O2140" s="841"/>
      <c r="P2140" s="841"/>
      <c r="Q2140" s="841"/>
      <c r="R2140" s="841"/>
    </row>
    <row r="2141" spans="2:18">
      <c r="B2141" s="841"/>
      <c r="C2141" s="842"/>
      <c r="D2141" s="842"/>
      <c r="E2141" s="842"/>
      <c r="F2141" s="1135"/>
      <c r="G2141" s="1135"/>
      <c r="H2141" s="843"/>
      <c r="I2141" s="841"/>
      <c r="J2141" s="1135"/>
      <c r="K2141" s="841"/>
      <c r="L2141" s="841"/>
      <c r="M2141" s="841"/>
      <c r="N2141" s="841"/>
      <c r="O2141" s="841"/>
      <c r="P2141" s="841"/>
      <c r="Q2141" s="841"/>
      <c r="R2141" s="841"/>
    </row>
    <row r="2142" spans="2:18">
      <c r="B2142" s="841"/>
      <c r="C2142" s="842"/>
      <c r="D2142" s="842"/>
      <c r="E2142" s="842"/>
      <c r="F2142" s="1135"/>
      <c r="G2142" s="1135"/>
      <c r="H2142" s="843"/>
      <c r="I2142" s="841"/>
      <c r="J2142" s="1135"/>
      <c r="K2142" s="841"/>
      <c r="L2142" s="841"/>
      <c r="M2142" s="841"/>
      <c r="N2142" s="841"/>
      <c r="O2142" s="841"/>
      <c r="P2142" s="841"/>
      <c r="Q2142" s="841"/>
      <c r="R2142" s="841"/>
    </row>
    <row r="2143" spans="2:18">
      <c r="B2143" s="841"/>
      <c r="C2143" s="842"/>
      <c r="D2143" s="842"/>
      <c r="E2143" s="842"/>
      <c r="F2143" s="1135"/>
      <c r="G2143" s="1135"/>
      <c r="H2143" s="843"/>
      <c r="I2143" s="841"/>
      <c r="J2143" s="1135"/>
      <c r="K2143" s="841"/>
      <c r="L2143" s="841"/>
      <c r="M2143" s="841"/>
      <c r="N2143" s="841"/>
      <c r="O2143" s="841"/>
      <c r="P2143" s="841"/>
      <c r="Q2143" s="841"/>
      <c r="R2143" s="841"/>
    </row>
    <row r="2144" spans="2:18">
      <c r="B2144" s="841"/>
      <c r="C2144" s="842"/>
      <c r="D2144" s="842"/>
      <c r="E2144" s="842"/>
      <c r="F2144" s="1135"/>
      <c r="G2144" s="1135"/>
      <c r="H2144" s="843"/>
      <c r="I2144" s="841"/>
      <c r="J2144" s="1135"/>
      <c r="K2144" s="841"/>
      <c r="L2144" s="841"/>
      <c r="M2144" s="841"/>
      <c r="N2144" s="841"/>
      <c r="O2144" s="841"/>
      <c r="P2144" s="841"/>
      <c r="Q2144" s="841"/>
      <c r="R2144" s="841"/>
    </row>
    <row r="2145" spans="2:18">
      <c r="B2145" s="841"/>
      <c r="C2145" s="842"/>
      <c r="D2145" s="842"/>
      <c r="E2145" s="842"/>
      <c r="F2145" s="1135"/>
      <c r="G2145" s="1135"/>
      <c r="H2145" s="843"/>
      <c r="I2145" s="841"/>
      <c r="J2145" s="1135"/>
      <c r="K2145" s="841"/>
      <c r="L2145" s="841"/>
      <c r="M2145" s="841"/>
      <c r="N2145" s="841"/>
      <c r="O2145" s="841"/>
      <c r="P2145" s="841"/>
      <c r="Q2145" s="841"/>
      <c r="R2145" s="841"/>
    </row>
    <row r="2146" spans="2:18">
      <c r="B2146" s="841"/>
      <c r="C2146" s="842"/>
      <c r="D2146" s="842"/>
      <c r="E2146" s="842"/>
      <c r="F2146" s="1135"/>
      <c r="G2146" s="1135"/>
      <c r="H2146" s="843"/>
      <c r="I2146" s="841"/>
      <c r="J2146" s="1135"/>
      <c r="K2146" s="841"/>
      <c r="L2146" s="841"/>
      <c r="M2146" s="841"/>
      <c r="N2146" s="841"/>
      <c r="O2146" s="841"/>
      <c r="P2146" s="841"/>
      <c r="Q2146" s="841"/>
      <c r="R2146" s="841"/>
    </row>
    <row r="2147" spans="2:18">
      <c r="B2147" s="841"/>
      <c r="C2147" s="842"/>
      <c r="D2147" s="842"/>
      <c r="E2147" s="842"/>
      <c r="F2147" s="1135"/>
      <c r="G2147" s="1135"/>
      <c r="H2147" s="843"/>
      <c r="I2147" s="841"/>
      <c r="J2147" s="1135"/>
      <c r="K2147" s="841"/>
      <c r="L2147" s="841"/>
      <c r="M2147" s="841"/>
      <c r="N2147" s="841"/>
      <c r="O2147" s="841"/>
      <c r="P2147" s="841"/>
      <c r="Q2147" s="841"/>
      <c r="R2147" s="841"/>
    </row>
    <row r="2148" spans="2:18">
      <c r="B2148" s="841"/>
      <c r="C2148" s="842"/>
      <c r="D2148" s="842"/>
      <c r="E2148" s="842"/>
      <c r="F2148" s="1135"/>
      <c r="G2148" s="1135"/>
      <c r="H2148" s="843"/>
      <c r="I2148" s="841"/>
      <c r="J2148" s="1135"/>
      <c r="K2148" s="841"/>
      <c r="L2148" s="841"/>
      <c r="M2148" s="841"/>
      <c r="N2148" s="841"/>
      <c r="O2148" s="841"/>
      <c r="P2148" s="841"/>
      <c r="Q2148" s="841"/>
      <c r="R2148" s="841"/>
    </row>
    <row r="2149" spans="2:18">
      <c r="B2149" s="841"/>
      <c r="C2149" s="842"/>
      <c r="D2149" s="842"/>
      <c r="E2149" s="842"/>
      <c r="F2149" s="1135"/>
      <c r="G2149" s="1135"/>
      <c r="H2149" s="843"/>
      <c r="I2149" s="841"/>
      <c r="J2149" s="1135"/>
      <c r="K2149" s="841"/>
      <c r="L2149" s="841"/>
      <c r="M2149" s="841"/>
      <c r="N2149" s="841"/>
      <c r="O2149" s="841"/>
      <c r="P2149" s="841"/>
      <c r="Q2149" s="841"/>
      <c r="R2149" s="841"/>
    </row>
    <row r="2150" spans="2:18">
      <c r="B2150" s="841"/>
      <c r="C2150" s="842"/>
      <c r="D2150" s="842"/>
      <c r="E2150" s="842"/>
      <c r="F2150" s="1135"/>
      <c r="G2150" s="1135"/>
      <c r="H2150" s="843"/>
      <c r="I2150" s="841"/>
      <c r="J2150" s="1135"/>
      <c r="K2150" s="841"/>
      <c r="L2150" s="841"/>
      <c r="M2150" s="841"/>
      <c r="N2150" s="841"/>
      <c r="O2150" s="841"/>
      <c r="P2150" s="841"/>
      <c r="Q2150" s="841"/>
      <c r="R2150" s="841"/>
    </row>
    <row r="2151" spans="2:18">
      <c r="B2151" s="841"/>
      <c r="C2151" s="842"/>
      <c r="D2151" s="842"/>
      <c r="E2151" s="842"/>
      <c r="F2151" s="1135"/>
      <c r="G2151" s="1135"/>
      <c r="H2151" s="843"/>
      <c r="I2151" s="841"/>
      <c r="J2151" s="1135"/>
      <c r="K2151" s="841"/>
      <c r="L2151" s="841"/>
      <c r="M2151" s="841"/>
      <c r="N2151" s="841"/>
      <c r="O2151" s="841"/>
      <c r="P2151" s="841"/>
      <c r="Q2151" s="841"/>
      <c r="R2151" s="841"/>
    </row>
    <row r="2152" spans="2:18">
      <c r="B2152" s="841"/>
      <c r="C2152" s="842"/>
      <c r="D2152" s="842"/>
      <c r="E2152" s="842"/>
      <c r="F2152" s="1135"/>
      <c r="G2152" s="1135"/>
      <c r="H2152" s="843"/>
      <c r="I2152" s="841"/>
      <c r="J2152" s="1135"/>
      <c r="K2152" s="841"/>
      <c r="L2152" s="841"/>
      <c r="M2152" s="841"/>
      <c r="N2152" s="841"/>
      <c r="O2152" s="841"/>
      <c r="P2152" s="841"/>
      <c r="Q2152" s="841"/>
      <c r="R2152" s="841"/>
    </row>
    <row r="2153" spans="2:18">
      <c r="B2153" s="841"/>
      <c r="C2153" s="842"/>
      <c r="D2153" s="842"/>
      <c r="E2153" s="842"/>
      <c r="F2153" s="1135"/>
      <c r="G2153" s="1135"/>
      <c r="H2153" s="843"/>
      <c r="I2153" s="841"/>
      <c r="J2153" s="1135"/>
      <c r="K2153" s="841"/>
      <c r="L2153" s="841"/>
      <c r="M2153" s="841"/>
      <c r="N2153" s="841"/>
      <c r="O2153" s="841"/>
      <c r="P2153" s="841"/>
      <c r="Q2153" s="841"/>
      <c r="R2153" s="841"/>
    </row>
    <row r="2154" spans="2:18">
      <c r="B2154" s="841"/>
      <c r="C2154" s="842"/>
      <c r="D2154" s="842"/>
      <c r="E2154" s="842"/>
      <c r="F2154" s="1135"/>
      <c r="G2154" s="1135"/>
      <c r="H2154" s="843"/>
      <c r="I2154" s="841"/>
      <c r="J2154" s="1135"/>
      <c r="K2154" s="841"/>
      <c r="L2154" s="841"/>
      <c r="M2154" s="841"/>
      <c r="N2154" s="841"/>
      <c r="O2154" s="841"/>
      <c r="P2154" s="841"/>
      <c r="Q2154" s="841"/>
      <c r="R2154" s="841"/>
    </row>
    <row r="2155" spans="2:18">
      <c r="B2155" s="841"/>
      <c r="C2155" s="842"/>
      <c r="D2155" s="842"/>
      <c r="E2155" s="842"/>
      <c r="F2155" s="1135"/>
      <c r="G2155" s="1135"/>
      <c r="H2155" s="843"/>
      <c r="I2155" s="841"/>
      <c r="J2155" s="1135"/>
      <c r="K2155" s="841"/>
      <c r="L2155" s="841"/>
      <c r="M2155" s="841"/>
      <c r="N2155" s="841"/>
      <c r="O2155" s="841"/>
      <c r="P2155" s="841"/>
      <c r="Q2155" s="841"/>
      <c r="R2155" s="841"/>
    </row>
    <row r="2156" spans="2:18">
      <c r="B2156" s="841"/>
      <c r="C2156" s="842"/>
      <c r="D2156" s="842"/>
      <c r="E2156" s="842"/>
      <c r="F2156" s="1135"/>
      <c r="G2156" s="1135"/>
      <c r="H2156" s="843"/>
      <c r="I2156" s="841"/>
      <c r="J2156" s="1135"/>
      <c r="K2156" s="841"/>
      <c r="L2156" s="841"/>
      <c r="M2156" s="841"/>
      <c r="N2156" s="841"/>
      <c r="O2156" s="841"/>
      <c r="P2156" s="841"/>
      <c r="Q2156" s="841"/>
      <c r="R2156" s="841"/>
    </row>
    <row r="2157" spans="2:18">
      <c r="B2157" s="841"/>
      <c r="C2157" s="842"/>
      <c r="D2157" s="842"/>
      <c r="E2157" s="842"/>
      <c r="F2157" s="1135"/>
      <c r="G2157" s="1135"/>
      <c r="H2157" s="843"/>
      <c r="I2157" s="841"/>
      <c r="J2157" s="1135"/>
      <c r="K2157" s="841"/>
      <c r="L2157" s="841"/>
      <c r="M2157" s="841"/>
      <c r="N2157" s="841"/>
      <c r="O2157" s="841"/>
      <c r="P2157" s="841"/>
      <c r="Q2157" s="841"/>
      <c r="R2157" s="841"/>
    </row>
    <row r="2158" spans="2:18">
      <c r="B2158" s="841"/>
      <c r="C2158" s="842"/>
      <c r="D2158" s="842"/>
      <c r="E2158" s="842"/>
      <c r="F2158" s="1135"/>
      <c r="G2158" s="1135"/>
      <c r="H2158" s="843"/>
      <c r="I2158" s="841"/>
      <c r="J2158" s="1135"/>
      <c r="K2158" s="841"/>
      <c r="L2158" s="841"/>
      <c r="M2158" s="841"/>
      <c r="N2158" s="841"/>
      <c r="O2158" s="841"/>
      <c r="P2158" s="841"/>
      <c r="Q2158" s="841"/>
      <c r="R2158" s="841"/>
    </row>
    <row r="2159" spans="2:18">
      <c r="B2159" s="841"/>
      <c r="C2159" s="842"/>
      <c r="D2159" s="842"/>
      <c r="E2159" s="842"/>
      <c r="F2159" s="1135"/>
      <c r="G2159" s="1135"/>
      <c r="H2159" s="843"/>
      <c r="I2159" s="841"/>
      <c r="J2159" s="1135"/>
      <c r="K2159" s="841"/>
      <c r="L2159" s="841"/>
      <c r="M2159" s="841"/>
      <c r="N2159" s="841"/>
      <c r="O2159" s="841"/>
      <c r="P2159" s="841"/>
      <c r="Q2159" s="841"/>
      <c r="R2159" s="841"/>
    </row>
    <row r="2160" spans="2:18">
      <c r="B2160" s="841"/>
      <c r="C2160" s="842"/>
      <c r="D2160" s="842"/>
      <c r="E2160" s="842"/>
      <c r="F2160" s="1135"/>
      <c r="G2160" s="1135"/>
      <c r="H2160" s="843"/>
      <c r="I2160" s="841"/>
      <c r="J2160" s="1135"/>
      <c r="K2160" s="841"/>
      <c r="L2160" s="841"/>
      <c r="M2160" s="841"/>
      <c r="N2160" s="841"/>
      <c r="O2160" s="841"/>
      <c r="P2160" s="841"/>
      <c r="Q2160" s="841"/>
      <c r="R2160" s="841"/>
    </row>
    <row r="2161" spans="2:18">
      <c r="B2161" s="841"/>
      <c r="C2161" s="842"/>
      <c r="D2161" s="842"/>
      <c r="E2161" s="842"/>
      <c r="F2161" s="1135"/>
      <c r="G2161" s="1135"/>
      <c r="H2161" s="843"/>
      <c r="I2161" s="841"/>
      <c r="J2161" s="1135"/>
      <c r="K2161" s="841"/>
      <c r="L2161" s="841"/>
      <c r="M2161" s="841"/>
      <c r="N2161" s="841"/>
      <c r="O2161" s="841"/>
      <c r="P2161" s="841"/>
      <c r="Q2161" s="841"/>
      <c r="R2161" s="841"/>
    </row>
    <row r="2162" spans="2:18">
      <c r="B2162" s="841"/>
      <c r="C2162" s="842"/>
      <c r="D2162" s="842"/>
      <c r="E2162" s="842"/>
      <c r="F2162" s="1135"/>
      <c r="G2162" s="1135"/>
      <c r="H2162" s="843"/>
      <c r="I2162" s="841"/>
      <c r="J2162" s="1135"/>
      <c r="K2162" s="841"/>
      <c r="L2162" s="841"/>
      <c r="M2162" s="841"/>
      <c r="N2162" s="841"/>
      <c r="O2162" s="841"/>
      <c r="P2162" s="841"/>
      <c r="Q2162" s="841"/>
      <c r="R2162" s="841"/>
    </row>
    <row r="2163" spans="2:18">
      <c r="B2163" s="841"/>
      <c r="C2163" s="842"/>
      <c r="D2163" s="842"/>
      <c r="E2163" s="842"/>
      <c r="F2163" s="1135"/>
      <c r="G2163" s="1135"/>
      <c r="H2163" s="843"/>
      <c r="I2163" s="841"/>
      <c r="J2163" s="1135"/>
      <c r="K2163" s="841"/>
      <c r="L2163" s="841"/>
      <c r="M2163" s="841"/>
      <c r="N2163" s="841"/>
      <c r="O2163" s="841"/>
      <c r="P2163" s="841"/>
      <c r="Q2163" s="841"/>
      <c r="R2163" s="841"/>
    </row>
    <row r="2164" spans="2:18">
      <c r="B2164" s="841"/>
      <c r="C2164" s="842"/>
      <c r="D2164" s="842"/>
      <c r="E2164" s="842"/>
      <c r="F2164" s="1135"/>
      <c r="G2164" s="1135"/>
      <c r="H2164" s="843"/>
      <c r="I2164" s="841"/>
      <c r="J2164" s="1135"/>
      <c r="K2164" s="841"/>
      <c r="L2164" s="841"/>
      <c r="M2164" s="841"/>
      <c r="N2164" s="841"/>
      <c r="O2164" s="841"/>
      <c r="P2164" s="841"/>
      <c r="Q2164" s="841"/>
      <c r="R2164" s="841"/>
    </row>
    <row r="2165" spans="2:18">
      <c r="B2165" s="841"/>
      <c r="C2165" s="842"/>
      <c r="D2165" s="842"/>
      <c r="E2165" s="842"/>
      <c r="F2165" s="1135"/>
      <c r="G2165" s="1135"/>
      <c r="H2165" s="843"/>
      <c r="I2165" s="841"/>
      <c r="J2165" s="1135"/>
      <c r="K2165" s="841"/>
      <c r="L2165" s="841"/>
      <c r="M2165" s="841"/>
      <c r="N2165" s="841"/>
      <c r="O2165" s="841"/>
      <c r="P2165" s="841"/>
      <c r="Q2165" s="841"/>
      <c r="R2165" s="841"/>
    </row>
    <row r="2166" spans="2:18">
      <c r="B2166" s="841"/>
      <c r="C2166" s="842"/>
      <c r="D2166" s="842"/>
      <c r="E2166" s="842"/>
      <c r="F2166" s="1135"/>
      <c r="G2166" s="1135"/>
      <c r="H2166" s="843"/>
      <c r="I2166" s="841"/>
      <c r="J2166" s="1135"/>
      <c r="K2166" s="841"/>
      <c r="L2166" s="841"/>
      <c r="M2166" s="841"/>
      <c r="N2166" s="841"/>
      <c r="O2166" s="841"/>
      <c r="P2166" s="841"/>
      <c r="Q2166" s="841"/>
      <c r="R2166" s="841"/>
    </row>
    <row r="2167" spans="2:18">
      <c r="B2167" s="841"/>
      <c r="C2167" s="842"/>
      <c r="D2167" s="842"/>
      <c r="E2167" s="842"/>
      <c r="F2167" s="1135"/>
      <c r="G2167" s="1135"/>
      <c r="H2167" s="843"/>
      <c r="I2167" s="841"/>
      <c r="J2167" s="1135"/>
      <c r="K2167" s="841"/>
      <c r="L2167" s="841"/>
      <c r="M2167" s="841"/>
      <c r="N2167" s="841"/>
      <c r="O2167" s="841"/>
      <c r="P2167" s="841"/>
      <c r="Q2167" s="841"/>
      <c r="R2167" s="841"/>
    </row>
    <row r="2168" spans="2:18">
      <c r="B2168" s="841"/>
      <c r="C2168" s="842"/>
      <c r="D2168" s="842"/>
      <c r="E2168" s="842"/>
      <c r="F2168" s="1135"/>
      <c r="G2168" s="1135"/>
      <c r="H2168" s="843"/>
      <c r="I2168" s="841"/>
      <c r="J2168" s="1135"/>
      <c r="K2168" s="841"/>
      <c r="L2168" s="841"/>
      <c r="M2168" s="841"/>
      <c r="N2168" s="841"/>
      <c r="O2168" s="841"/>
      <c r="P2168" s="841"/>
      <c r="Q2168" s="841"/>
      <c r="R2168" s="841"/>
    </row>
    <row r="2169" spans="2:18">
      <c r="B2169" s="841"/>
      <c r="C2169" s="842"/>
      <c r="D2169" s="842"/>
      <c r="E2169" s="842"/>
      <c r="F2169" s="1135"/>
      <c r="G2169" s="1135"/>
      <c r="H2169" s="843"/>
      <c r="I2169" s="841"/>
      <c r="J2169" s="1135"/>
      <c r="K2169" s="841"/>
      <c r="L2169" s="841"/>
      <c r="M2169" s="841"/>
      <c r="N2169" s="841"/>
      <c r="O2169" s="841"/>
      <c r="P2169" s="841"/>
      <c r="Q2169" s="841"/>
      <c r="R2169" s="841"/>
    </row>
    <row r="2170" spans="2:18">
      <c r="B2170" s="841"/>
      <c r="C2170" s="842"/>
      <c r="D2170" s="842"/>
      <c r="E2170" s="842"/>
      <c r="F2170" s="1135"/>
      <c r="G2170" s="1135"/>
      <c r="H2170" s="843"/>
      <c r="I2170" s="841"/>
      <c r="J2170" s="1135"/>
      <c r="K2170" s="841"/>
      <c r="L2170" s="841"/>
      <c r="M2170" s="841"/>
      <c r="N2170" s="841"/>
      <c r="O2170" s="841"/>
      <c r="P2170" s="841"/>
      <c r="Q2170" s="841"/>
      <c r="R2170" s="841"/>
    </row>
    <row r="2171" spans="2:18">
      <c r="B2171" s="841"/>
      <c r="C2171" s="842"/>
      <c r="D2171" s="842"/>
      <c r="E2171" s="842"/>
      <c r="F2171" s="1135"/>
      <c r="G2171" s="1135"/>
      <c r="H2171" s="843"/>
      <c r="I2171" s="841"/>
      <c r="J2171" s="1135"/>
      <c r="K2171" s="841"/>
      <c r="L2171" s="841"/>
      <c r="M2171" s="841"/>
      <c r="N2171" s="841"/>
      <c r="O2171" s="841"/>
      <c r="P2171" s="841"/>
      <c r="Q2171" s="841"/>
      <c r="R2171" s="841"/>
    </row>
    <row r="2172" spans="2:18">
      <c r="B2172" s="841"/>
      <c r="C2172" s="842"/>
      <c r="D2172" s="842"/>
      <c r="E2172" s="842"/>
      <c r="F2172" s="1135"/>
      <c r="G2172" s="1135"/>
      <c r="H2172" s="843"/>
      <c r="I2172" s="841"/>
      <c r="J2172" s="1135"/>
      <c r="K2172" s="841"/>
      <c r="L2172" s="841"/>
      <c r="M2172" s="841"/>
      <c r="N2172" s="841"/>
      <c r="O2172" s="841"/>
      <c r="P2172" s="841"/>
      <c r="Q2172" s="841"/>
      <c r="R2172" s="841"/>
    </row>
    <row r="2173" spans="2:18">
      <c r="B2173" s="841"/>
      <c r="C2173" s="842"/>
      <c r="D2173" s="842"/>
      <c r="E2173" s="842"/>
      <c r="F2173" s="1135"/>
      <c r="G2173" s="1135"/>
      <c r="H2173" s="843"/>
      <c r="I2173" s="841"/>
      <c r="J2173" s="1135"/>
      <c r="K2173" s="841"/>
      <c r="L2173" s="841"/>
      <c r="M2173" s="841"/>
      <c r="N2173" s="841"/>
      <c r="O2173" s="841"/>
      <c r="P2173" s="841"/>
      <c r="Q2173" s="841"/>
      <c r="R2173" s="841"/>
    </row>
    <row r="2174" spans="2:18">
      <c r="B2174" s="841"/>
      <c r="C2174" s="842"/>
      <c r="D2174" s="842"/>
      <c r="E2174" s="842"/>
      <c r="F2174" s="1135"/>
      <c r="G2174" s="1135"/>
      <c r="H2174" s="843"/>
      <c r="I2174" s="841"/>
      <c r="J2174" s="1135"/>
      <c r="K2174" s="841"/>
      <c r="L2174" s="841"/>
      <c r="M2174" s="841"/>
      <c r="N2174" s="841"/>
      <c r="O2174" s="841"/>
      <c r="P2174" s="841"/>
      <c r="Q2174" s="841"/>
      <c r="R2174" s="841"/>
    </row>
    <row r="2175" spans="2:18">
      <c r="B2175" s="841"/>
      <c r="C2175" s="842"/>
      <c r="D2175" s="842"/>
      <c r="E2175" s="842"/>
      <c r="F2175" s="1135"/>
      <c r="G2175" s="1135"/>
      <c r="H2175" s="843"/>
      <c r="I2175" s="841"/>
      <c r="J2175" s="1135"/>
      <c r="K2175" s="841"/>
      <c r="L2175" s="841"/>
      <c r="M2175" s="841"/>
      <c r="N2175" s="841"/>
      <c r="O2175" s="841"/>
      <c r="P2175" s="841"/>
      <c r="Q2175" s="841"/>
      <c r="R2175" s="841"/>
    </row>
    <row r="2176" spans="2:18">
      <c r="B2176" s="841"/>
      <c r="C2176" s="842"/>
      <c r="D2176" s="842"/>
      <c r="E2176" s="842"/>
      <c r="F2176" s="1135"/>
      <c r="G2176" s="1135"/>
      <c r="H2176" s="843"/>
      <c r="I2176" s="841"/>
      <c r="J2176" s="1135"/>
      <c r="K2176" s="841"/>
      <c r="L2176" s="841"/>
      <c r="M2176" s="841"/>
      <c r="N2176" s="841"/>
      <c r="O2176" s="841"/>
      <c r="P2176" s="841"/>
      <c r="Q2176" s="841"/>
      <c r="R2176" s="841"/>
    </row>
    <row r="2177" spans="2:18">
      <c r="B2177" s="841"/>
      <c r="C2177" s="842"/>
      <c r="D2177" s="842"/>
      <c r="E2177" s="842"/>
      <c r="F2177" s="1135"/>
      <c r="G2177" s="1135"/>
      <c r="H2177" s="843"/>
      <c r="I2177" s="841"/>
      <c r="J2177" s="1135"/>
      <c r="K2177" s="841"/>
      <c r="L2177" s="841"/>
      <c r="M2177" s="841"/>
      <c r="N2177" s="841"/>
      <c r="O2177" s="841"/>
      <c r="P2177" s="841"/>
      <c r="Q2177" s="841"/>
      <c r="R2177" s="841"/>
    </row>
    <row r="2178" spans="2:18">
      <c r="B2178" s="841"/>
      <c r="C2178" s="842"/>
      <c r="D2178" s="842"/>
      <c r="E2178" s="842"/>
      <c r="F2178" s="1135"/>
      <c r="G2178" s="1135"/>
      <c r="H2178" s="843"/>
      <c r="I2178" s="841"/>
      <c r="J2178" s="1135"/>
      <c r="K2178" s="841"/>
      <c r="L2178" s="841"/>
      <c r="M2178" s="841"/>
      <c r="N2178" s="841"/>
      <c r="O2178" s="841"/>
      <c r="P2178" s="841"/>
      <c r="Q2178" s="841"/>
      <c r="R2178" s="841"/>
    </row>
    <row r="2179" spans="2:18">
      <c r="B2179" s="841"/>
      <c r="C2179" s="842"/>
      <c r="D2179" s="842"/>
      <c r="E2179" s="842"/>
      <c r="F2179" s="1135"/>
      <c r="G2179" s="1135"/>
      <c r="H2179" s="843"/>
      <c r="I2179" s="841"/>
      <c r="J2179" s="1135"/>
      <c r="K2179" s="841"/>
      <c r="L2179" s="841"/>
      <c r="M2179" s="841"/>
      <c r="N2179" s="841"/>
      <c r="O2179" s="841"/>
      <c r="P2179" s="841"/>
      <c r="Q2179" s="841"/>
      <c r="R2179" s="841"/>
    </row>
    <row r="2180" spans="2:18">
      <c r="B2180" s="841"/>
      <c r="C2180" s="842"/>
      <c r="D2180" s="842"/>
      <c r="E2180" s="842"/>
      <c r="F2180" s="1135"/>
      <c r="G2180" s="1135"/>
      <c r="H2180" s="843"/>
      <c r="I2180" s="841"/>
      <c r="J2180" s="1135"/>
      <c r="K2180" s="841"/>
      <c r="L2180" s="841"/>
      <c r="M2180" s="841"/>
      <c r="N2180" s="841"/>
      <c r="O2180" s="841"/>
      <c r="P2180" s="841"/>
      <c r="Q2180" s="841"/>
      <c r="R2180" s="841"/>
    </row>
    <row r="2181" spans="2:18">
      <c r="B2181" s="841"/>
      <c r="C2181" s="842"/>
      <c r="D2181" s="842"/>
      <c r="E2181" s="842"/>
      <c r="F2181" s="1135"/>
      <c r="G2181" s="1135"/>
      <c r="H2181" s="843"/>
      <c r="I2181" s="841"/>
      <c r="J2181" s="1135"/>
      <c r="K2181" s="841"/>
      <c r="L2181" s="841"/>
      <c r="M2181" s="841"/>
      <c r="N2181" s="841"/>
      <c r="O2181" s="841"/>
      <c r="P2181" s="841"/>
      <c r="Q2181" s="841"/>
      <c r="R2181" s="841"/>
    </row>
    <row r="2182" spans="2:18">
      <c r="B2182" s="841"/>
      <c r="C2182" s="842"/>
      <c r="D2182" s="842"/>
      <c r="E2182" s="842"/>
      <c r="F2182" s="1135"/>
      <c r="G2182" s="1135"/>
      <c r="H2182" s="843"/>
      <c r="I2182" s="841"/>
      <c r="J2182" s="1135"/>
      <c r="K2182" s="841"/>
      <c r="L2182" s="841"/>
      <c r="M2182" s="841"/>
      <c r="N2182" s="841"/>
      <c r="O2182" s="841"/>
      <c r="P2182" s="841"/>
      <c r="Q2182" s="841"/>
      <c r="R2182" s="841"/>
    </row>
    <row r="2183" spans="2:18">
      <c r="B2183" s="841"/>
      <c r="C2183" s="842"/>
      <c r="D2183" s="842"/>
      <c r="E2183" s="842"/>
      <c r="F2183" s="1135"/>
      <c r="G2183" s="1135"/>
      <c r="H2183" s="843"/>
      <c r="I2183" s="841"/>
      <c r="J2183" s="1135"/>
      <c r="K2183" s="841"/>
      <c r="L2183" s="841"/>
      <c r="M2183" s="841"/>
      <c r="N2183" s="841"/>
      <c r="O2183" s="841"/>
      <c r="P2183" s="841"/>
      <c r="Q2183" s="841"/>
      <c r="R2183" s="841"/>
    </row>
    <row r="2184" spans="2:18">
      <c r="B2184" s="841"/>
      <c r="C2184" s="842"/>
      <c r="D2184" s="842"/>
      <c r="E2184" s="842"/>
      <c r="F2184" s="1135"/>
      <c r="G2184" s="1135"/>
      <c r="H2184" s="843"/>
      <c r="I2184" s="841"/>
      <c r="J2184" s="1135"/>
      <c r="K2184" s="841"/>
      <c r="L2184" s="841"/>
      <c r="M2184" s="841"/>
      <c r="N2184" s="841"/>
      <c r="O2184" s="841"/>
      <c r="P2184" s="841"/>
      <c r="Q2184" s="841"/>
      <c r="R2184" s="841"/>
    </row>
    <row r="2185" spans="2:18">
      <c r="B2185" s="841"/>
      <c r="C2185" s="842"/>
      <c r="D2185" s="842"/>
      <c r="E2185" s="842"/>
      <c r="F2185" s="1135"/>
      <c r="G2185" s="1135"/>
      <c r="H2185" s="843"/>
      <c r="I2185" s="841"/>
      <c r="J2185" s="1135"/>
      <c r="K2185" s="841"/>
      <c r="L2185" s="841"/>
      <c r="M2185" s="841"/>
      <c r="N2185" s="841"/>
      <c r="O2185" s="841"/>
      <c r="P2185" s="841"/>
      <c r="Q2185" s="841"/>
      <c r="R2185" s="841"/>
    </row>
    <row r="2186" spans="2:18">
      <c r="B2186" s="841"/>
      <c r="C2186" s="842"/>
      <c r="D2186" s="842"/>
      <c r="E2186" s="842"/>
      <c r="F2186" s="1135"/>
      <c r="G2186" s="1135"/>
      <c r="H2186" s="843"/>
      <c r="I2186" s="841"/>
      <c r="J2186" s="1135"/>
      <c r="K2186" s="841"/>
      <c r="L2186" s="841"/>
      <c r="M2186" s="841"/>
      <c r="N2186" s="841"/>
      <c r="O2186" s="841"/>
      <c r="P2186" s="841"/>
      <c r="Q2186" s="841"/>
      <c r="R2186" s="841"/>
    </row>
    <row r="2187" spans="2:18">
      <c r="B2187" s="841"/>
      <c r="C2187" s="842"/>
      <c r="D2187" s="842"/>
      <c r="E2187" s="842"/>
      <c r="F2187" s="1135"/>
      <c r="G2187" s="1135"/>
      <c r="H2187" s="843"/>
      <c r="I2187" s="841"/>
      <c r="J2187" s="1135"/>
      <c r="K2187" s="841"/>
      <c r="L2187" s="841"/>
      <c r="M2187" s="841"/>
      <c r="N2187" s="841"/>
      <c r="O2187" s="841"/>
      <c r="P2187" s="841"/>
      <c r="Q2187" s="841"/>
      <c r="R2187" s="841"/>
    </row>
    <row r="2188" spans="2:18">
      <c r="B2188" s="841"/>
      <c r="C2188" s="842"/>
      <c r="D2188" s="842"/>
      <c r="E2188" s="842"/>
      <c r="F2188" s="1135"/>
      <c r="G2188" s="1135"/>
      <c r="H2188" s="843"/>
      <c r="I2188" s="841"/>
      <c r="J2188" s="1135"/>
      <c r="K2188" s="841"/>
      <c r="L2188" s="841"/>
      <c r="M2188" s="841"/>
      <c r="N2188" s="841"/>
      <c r="O2188" s="841"/>
      <c r="P2188" s="841"/>
      <c r="Q2188" s="841"/>
      <c r="R2188" s="841"/>
    </row>
    <row r="2189" spans="2:18">
      <c r="B2189" s="841"/>
      <c r="C2189" s="842"/>
      <c r="D2189" s="842"/>
      <c r="E2189" s="842"/>
      <c r="F2189" s="1135"/>
      <c r="G2189" s="1135"/>
      <c r="H2189" s="843"/>
      <c r="I2189" s="841"/>
      <c r="J2189" s="1135"/>
      <c r="K2189" s="841"/>
      <c r="L2189" s="841"/>
      <c r="M2189" s="841"/>
      <c r="N2189" s="841"/>
      <c r="O2189" s="841"/>
      <c r="P2189" s="841"/>
      <c r="Q2189" s="841"/>
      <c r="R2189" s="841"/>
    </row>
    <row r="2190" spans="2:18">
      <c r="B2190" s="841"/>
      <c r="C2190" s="842"/>
      <c r="D2190" s="842"/>
      <c r="E2190" s="842"/>
      <c r="F2190" s="1135"/>
      <c r="G2190" s="1135"/>
      <c r="H2190" s="843"/>
      <c r="I2190" s="841"/>
      <c r="J2190" s="1135"/>
      <c r="K2190" s="841"/>
      <c r="L2190" s="841"/>
      <c r="M2190" s="841"/>
      <c r="N2190" s="841"/>
      <c r="O2190" s="841"/>
      <c r="P2190" s="841"/>
      <c r="Q2190" s="841"/>
      <c r="R2190" s="841"/>
    </row>
    <row r="2191" spans="2:18">
      <c r="B2191" s="841"/>
      <c r="C2191" s="842"/>
      <c r="D2191" s="842"/>
      <c r="E2191" s="842"/>
      <c r="F2191" s="1135"/>
      <c r="G2191" s="1135"/>
      <c r="H2191" s="843"/>
      <c r="I2191" s="841"/>
      <c r="J2191" s="1135"/>
      <c r="K2191" s="841"/>
      <c r="L2191" s="841"/>
      <c r="M2191" s="841"/>
      <c r="N2191" s="841"/>
      <c r="O2191" s="841"/>
      <c r="P2191" s="841"/>
      <c r="Q2191" s="841"/>
      <c r="R2191" s="841"/>
    </row>
    <row r="2192" spans="2:18">
      <c r="B2192" s="841"/>
      <c r="C2192" s="842"/>
      <c r="D2192" s="842"/>
      <c r="E2192" s="842"/>
      <c r="F2192" s="1135"/>
      <c r="G2192" s="1135"/>
      <c r="H2192" s="843"/>
      <c r="I2192" s="841"/>
      <c r="J2192" s="1135"/>
      <c r="K2192" s="841"/>
      <c r="L2192" s="841"/>
      <c r="M2192" s="841"/>
      <c r="N2192" s="841"/>
      <c r="O2192" s="841"/>
      <c r="P2192" s="841"/>
      <c r="Q2192" s="841"/>
      <c r="R2192" s="841"/>
    </row>
    <row r="2193" spans="2:18">
      <c r="B2193" s="841"/>
      <c r="C2193" s="842"/>
      <c r="D2193" s="842"/>
      <c r="E2193" s="842"/>
      <c r="F2193" s="1135"/>
      <c r="G2193" s="1135"/>
      <c r="H2193" s="843"/>
      <c r="I2193" s="841"/>
      <c r="J2193" s="1135"/>
      <c r="K2193" s="841"/>
      <c r="L2193" s="841"/>
      <c r="M2193" s="841"/>
      <c r="N2193" s="841"/>
      <c r="O2193" s="841"/>
      <c r="P2193" s="841"/>
      <c r="Q2193" s="841"/>
      <c r="R2193" s="841"/>
    </row>
    <row r="2194" spans="2:18">
      <c r="B2194" s="841"/>
      <c r="C2194" s="842"/>
      <c r="D2194" s="842"/>
      <c r="E2194" s="842"/>
      <c r="F2194" s="1135"/>
      <c r="G2194" s="1135"/>
      <c r="H2194" s="843"/>
      <c r="I2194" s="841"/>
      <c r="J2194" s="1135"/>
      <c r="K2194" s="841"/>
      <c r="L2194" s="841"/>
      <c r="M2194" s="841"/>
      <c r="N2194" s="841"/>
      <c r="O2194" s="841"/>
      <c r="P2194" s="841"/>
      <c r="Q2194" s="841"/>
      <c r="R2194" s="841"/>
    </row>
    <row r="2195" spans="2:18">
      <c r="B2195" s="841"/>
      <c r="C2195" s="842"/>
      <c r="D2195" s="842"/>
      <c r="E2195" s="842"/>
      <c r="F2195" s="1135"/>
      <c r="G2195" s="1135"/>
      <c r="H2195" s="843"/>
      <c r="I2195" s="841"/>
      <c r="J2195" s="1135"/>
      <c r="K2195" s="841"/>
      <c r="L2195" s="841"/>
      <c r="M2195" s="841"/>
      <c r="N2195" s="841"/>
      <c r="O2195" s="841"/>
      <c r="P2195" s="841"/>
      <c r="Q2195" s="841"/>
      <c r="R2195" s="841"/>
    </row>
    <row r="2196" spans="2:18">
      <c r="B2196" s="841"/>
      <c r="C2196" s="842"/>
      <c r="D2196" s="842"/>
      <c r="E2196" s="842"/>
      <c r="F2196" s="1135"/>
      <c r="G2196" s="1135"/>
      <c r="H2196" s="843"/>
      <c r="I2196" s="841"/>
      <c r="J2196" s="1135"/>
      <c r="K2196" s="841"/>
      <c r="L2196" s="841"/>
      <c r="M2196" s="841"/>
      <c r="N2196" s="841"/>
      <c r="O2196" s="841"/>
      <c r="P2196" s="841"/>
      <c r="Q2196" s="841"/>
      <c r="R2196" s="841"/>
    </row>
    <row r="2197" spans="2:18">
      <c r="B2197" s="841"/>
      <c r="C2197" s="842"/>
      <c r="D2197" s="842"/>
      <c r="E2197" s="842"/>
      <c r="F2197" s="1135"/>
      <c r="G2197" s="1135"/>
      <c r="H2197" s="843"/>
      <c r="I2197" s="841"/>
      <c r="J2197" s="1135"/>
      <c r="K2197" s="841"/>
      <c r="L2197" s="841"/>
      <c r="M2197" s="841"/>
      <c r="N2197" s="841"/>
      <c r="O2197" s="841"/>
      <c r="P2197" s="841"/>
      <c r="Q2197" s="841"/>
      <c r="R2197" s="841"/>
    </row>
    <row r="2198" spans="2:18">
      <c r="B2198" s="841"/>
      <c r="C2198" s="842"/>
      <c r="D2198" s="842"/>
      <c r="E2198" s="842"/>
      <c r="F2198" s="1135"/>
      <c r="G2198" s="1135"/>
      <c r="H2198" s="843"/>
      <c r="I2198" s="841"/>
      <c r="J2198" s="1135"/>
      <c r="K2198" s="841"/>
      <c r="L2198" s="841"/>
      <c r="M2198" s="841"/>
      <c r="N2198" s="841"/>
      <c r="O2198" s="841"/>
      <c r="P2198" s="841"/>
      <c r="Q2198" s="841"/>
      <c r="R2198" s="841"/>
    </row>
    <row r="2199" spans="2:18">
      <c r="B2199" s="841"/>
      <c r="C2199" s="842"/>
      <c r="D2199" s="842"/>
      <c r="E2199" s="842"/>
      <c r="F2199" s="1135"/>
      <c r="G2199" s="1135"/>
      <c r="H2199" s="843"/>
      <c r="I2199" s="841"/>
      <c r="J2199" s="1135"/>
      <c r="K2199" s="841"/>
      <c r="L2199" s="841"/>
      <c r="M2199" s="841"/>
      <c r="N2199" s="841"/>
      <c r="O2199" s="841"/>
      <c r="P2199" s="841"/>
      <c r="Q2199" s="841"/>
      <c r="R2199" s="841"/>
    </row>
    <row r="2200" spans="2:18">
      <c r="B2200" s="841"/>
      <c r="C2200" s="842"/>
      <c r="D2200" s="842"/>
      <c r="E2200" s="842"/>
      <c r="F2200" s="1135"/>
      <c r="G2200" s="1135"/>
      <c r="H2200" s="843"/>
      <c r="I2200" s="841"/>
      <c r="J2200" s="1135"/>
      <c r="K2200" s="841"/>
      <c r="L2200" s="841"/>
      <c r="M2200" s="841"/>
      <c r="N2200" s="841"/>
      <c r="O2200" s="841"/>
      <c r="P2200" s="841"/>
      <c r="Q2200" s="841"/>
      <c r="R2200" s="841"/>
    </row>
    <row r="2201" spans="2:18">
      <c r="B2201" s="841"/>
      <c r="C2201" s="842"/>
      <c r="D2201" s="842"/>
      <c r="E2201" s="842"/>
      <c r="F2201" s="1135"/>
      <c r="G2201" s="1135"/>
      <c r="H2201" s="843"/>
      <c r="I2201" s="841"/>
      <c r="J2201" s="1135"/>
      <c r="K2201" s="841"/>
      <c r="L2201" s="841"/>
      <c r="M2201" s="841"/>
      <c r="N2201" s="841"/>
      <c r="O2201" s="841"/>
      <c r="P2201" s="841"/>
      <c r="Q2201" s="841"/>
      <c r="R2201" s="841"/>
    </row>
    <row r="2202" spans="2:18">
      <c r="B2202" s="841"/>
      <c r="C2202" s="842"/>
      <c r="D2202" s="842"/>
      <c r="E2202" s="842"/>
      <c r="F2202" s="1135"/>
      <c r="G2202" s="1135"/>
      <c r="H2202" s="843"/>
      <c r="I2202" s="841"/>
      <c r="J2202" s="1135"/>
      <c r="K2202" s="841"/>
      <c r="L2202" s="841"/>
      <c r="M2202" s="841"/>
      <c r="N2202" s="841"/>
      <c r="O2202" s="841"/>
      <c r="P2202" s="841"/>
      <c r="Q2202" s="841"/>
      <c r="R2202" s="841"/>
    </row>
    <row r="2203" spans="2:18">
      <c r="B2203" s="841"/>
      <c r="C2203" s="842"/>
      <c r="D2203" s="842"/>
      <c r="E2203" s="842"/>
      <c r="F2203" s="1135"/>
      <c r="G2203" s="1135"/>
      <c r="H2203" s="843"/>
      <c r="I2203" s="841"/>
      <c r="J2203" s="1135"/>
      <c r="K2203" s="841"/>
      <c r="L2203" s="841"/>
      <c r="M2203" s="841"/>
      <c r="N2203" s="841"/>
      <c r="O2203" s="841"/>
      <c r="P2203" s="841"/>
      <c r="Q2203" s="841"/>
      <c r="R2203" s="841"/>
    </row>
    <row r="2204" spans="2:18">
      <c r="B2204" s="841"/>
      <c r="C2204" s="842"/>
      <c r="D2204" s="842"/>
      <c r="E2204" s="842"/>
      <c r="F2204" s="1135"/>
      <c r="G2204" s="1135"/>
      <c r="H2204" s="843"/>
      <c r="I2204" s="841"/>
      <c r="J2204" s="1135"/>
      <c r="K2204" s="841"/>
      <c r="L2204" s="841"/>
      <c r="M2204" s="841"/>
      <c r="N2204" s="841"/>
      <c r="O2204" s="841"/>
      <c r="P2204" s="841"/>
      <c r="Q2204" s="841"/>
      <c r="R2204" s="841"/>
    </row>
    <row r="2205" spans="2:18">
      <c r="B2205" s="841"/>
      <c r="C2205" s="842"/>
      <c r="D2205" s="842"/>
      <c r="E2205" s="842"/>
      <c r="F2205" s="1135"/>
      <c r="G2205" s="1135"/>
      <c r="H2205" s="843"/>
      <c r="I2205" s="841"/>
      <c r="J2205" s="1135"/>
      <c r="K2205" s="841"/>
      <c r="L2205" s="841"/>
      <c r="M2205" s="841"/>
      <c r="N2205" s="841"/>
      <c r="O2205" s="841"/>
      <c r="P2205" s="841"/>
      <c r="Q2205" s="841"/>
      <c r="R2205" s="841"/>
    </row>
    <row r="2206" spans="2:18">
      <c r="B2206" s="841"/>
      <c r="C2206" s="842"/>
      <c r="D2206" s="842"/>
      <c r="E2206" s="842"/>
      <c r="F2206" s="1135"/>
      <c r="G2206" s="1135"/>
      <c r="H2206" s="843"/>
      <c r="I2206" s="841"/>
      <c r="J2206" s="1135"/>
      <c r="K2206" s="841"/>
      <c r="L2206" s="841"/>
      <c r="M2206" s="841"/>
      <c r="N2206" s="841"/>
      <c r="O2206" s="841"/>
      <c r="P2206" s="841"/>
      <c r="Q2206" s="841"/>
      <c r="R2206" s="841"/>
    </row>
    <row r="2207" spans="2:18">
      <c r="B2207" s="841"/>
      <c r="C2207" s="842"/>
      <c r="D2207" s="842"/>
      <c r="E2207" s="842"/>
      <c r="F2207" s="1135"/>
      <c r="G2207" s="1135"/>
      <c r="H2207" s="843"/>
      <c r="I2207" s="841"/>
      <c r="J2207" s="1135"/>
      <c r="K2207" s="841"/>
      <c r="L2207" s="841"/>
      <c r="M2207" s="841"/>
      <c r="N2207" s="841"/>
      <c r="O2207" s="841"/>
      <c r="P2207" s="841"/>
      <c r="Q2207" s="841"/>
      <c r="R2207" s="841"/>
    </row>
    <row r="2208" spans="2:18">
      <c r="B2208" s="841"/>
      <c r="C2208" s="842"/>
      <c r="D2208" s="842"/>
      <c r="E2208" s="842"/>
      <c r="F2208" s="1135"/>
      <c r="G2208" s="1135"/>
      <c r="H2208" s="843"/>
      <c r="I2208" s="841"/>
      <c r="J2208" s="1135"/>
      <c r="K2208" s="841"/>
      <c r="L2208" s="841"/>
      <c r="M2208" s="841"/>
      <c r="N2208" s="841"/>
      <c r="O2208" s="841"/>
      <c r="P2208" s="841"/>
      <c r="Q2208" s="841"/>
      <c r="R2208" s="841"/>
    </row>
    <row r="2209" spans="2:18">
      <c r="B2209" s="841"/>
      <c r="C2209" s="842"/>
      <c r="D2209" s="842"/>
      <c r="E2209" s="842"/>
      <c r="F2209" s="1135"/>
      <c r="G2209" s="1135"/>
      <c r="H2209" s="843"/>
      <c r="I2209" s="841"/>
      <c r="J2209" s="1135"/>
      <c r="K2209" s="841"/>
      <c r="L2209" s="841"/>
      <c r="M2209" s="841"/>
      <c r="N2209" s="841"/>
      <c r="O2209" s="841"/>
      <c r="P2209" s="841"/>
      <c r="Q2209" s="841"/>
      <c r="R2209" s="841"/>
    </row>
    <row r="2210" spans="2:18">
      <c r="B2210" s="841"/>
      <c r="C2210" s="842"/>
      <c r="D2210" s="842"/>
      <c r="E2210" s="842"/>
      <c r="F2210" s="1135"/>
      <c r="G2210" s="1135"/>
      <c r="H2210" s="843"/>
      <c r="I2210" s="841"/>
      <c r="J2210" s="1135"/>
      <c r="K2210" s="841"/>
      <c r="L2210" s="841"/>
      <c r="M2210" s="841"/>
      <c r="N2210" s="841"/>
      <c r="O2210" s="841"/>
      <c r="P2210" s="841"/>
      <c r="Q2210" s="841"/>
      <c r="R2210" s="841"/>
    </row>
    <row r="2211" spans="2:18">
      <c r="B2211" s="841"/>
      <c r="C2211" s="842"/>
      <c r="D2211" s="842"/>
      <c r="E2211" s="842"/>
      <c r="F2211" s="1135"/>
      <c r="G2211" s="1135"/>
      <c r="H2211" s="843"/>
      <c r="I2211" s="841"/>
      <c r="J2211" s="1135"/>
      <c r="K2211" s="841"/>
      <c r="L2211" s="841"/>
      <c r="M2211" s="841"/>
      <c r="N2211" s="841"/>
      <c r="O2211" s="841"/>
      <c r="P2211" s="841"/>
      <c r="Q2211" s="841"/>
      <c r="R2211" s="841"/>
    </row>
    <row r="2212" spans="2:18">
      <c r="B2212" s="841"/>
      <c r="C2212" s="842"/>
      <c r="D2212" s="842"/>
      <c r="E2212" s="842"/>
      <c r="F2212" s="1135"/>
      <c r="G2212" s="1135"/>
      <c r="H2212" s="843"/>
      <c r="I2212" s="841"/>
      <c r="J2212" s="1135"/>
      <c r="K2212" s="841"/>
      <c r="L2212" s="841"/>
      <c r="M2212" s="841"/>
      <c r="N2212" s="841"/>
      <c r="O2212" s="841"/>
      <c r="P2212" s="841"/>
      <c r="Q2212" s="841"/>
      <c r="R2212" s="841"/>
    </row>
    <row r="2213" spans="2:18">
      <c r="B2213" s="841"/>
      <c r="C2213" s="842"/>
      <c r="D2213" s="842"/>
      <c r="E2213" s="842"/>
      <c r="F2213" s="1135"/>
      <c r="G2213" s="1135"/>
      <c r="H2213" s="843"/>
      <c r="I2213" s="841"/>
      <c r="J2213" s="1135"/>
      <c r="K2213" s="841"/>
      <c r="L2213" s="841"/>
      <c r="M2213" s="841"/>
      <c r="N2213" s="841"/>
      <c r="O2213" s="841"/>
      <c r="P2213" s="841"/>
      <c r="Q2213" s="841"/>
      <c r="R2213" s="841"/>
    </row>
    <row r="2214" spans="2:18">
      <c r="B2214" s="841"/>
      <c r="C2214" s="842"/>
      <c r="D2214" s="842"/>
      <c r="E2214" s="842"/>
      <c r="F2214" s="1135"/>
      <c r="G2214" s="1135"/>
      <c r="H2214" s="843"/>
      <c r="I2214" s="841"/>
      <c r="J2214" s="1135"/>
      <c r="K2214" s="841"/>
      <c r="L2214" s="841"/>
      <c r="M2214" s="841"/>
      <c r="N2214" s="841"/>
      <c r="O2214" s="841"/>
      <c r="P2214" s="841"/>
      <c r="Q2214" s="841"/>
      <c r="R2214" s="841"/>
    </row>
    <row r="2215" spans="2:18">
      <c r="B2215" s="841"/>
      <c r="C2215" s="842"/>
      <c r="D2215" s="842"/>
      <c r="E2215" s="842"/>
      <c r="F2215" s="1135"/>
      <c r="G2215" s="1135"/>
      <c r="H2215" s="843"/>
      <c r="I2215" s="841"/>
      <c r="J2215" s="1135"/>
      <c r="K2215" s="841"/>
      <c r="L2215" s="841"/>
      <c r="M2215" s="841"/>
      <c r="N2215" s="841"/>
      <c r="O2215" s="841"/>
      <c r="P2215" s="841"/>
      <c r="Q2215" s="841"/>
      <c r="R2215" s="841"/>
    </row>
    <row r="2216" spans="2:18">
      <c r="B2216" s="841"/>
      <c r="C2216" s="842"/>
      <c r="D2216" s="842"/>
      <c r="E2216" s="842"/>
      <c r="F2216" s="1135"/>
      <c r="G2216" s="1135"/>
      <c r="H2216" s="843"/>
      <c r="I2216" s="841"/>
      <c r="J2216" s="1135"/>
      <c r="K2216" s="841"/>
      <c r="L2216" s="841"/>
      <c r="M2216" s="841"/>
      <c r="N2216" s="841"/>
      <c r="O2216" s="841"/>
      <c r="P2216" s="841"/>
      <c r="Q2216" s="841"/>
      <c r="R2216" s="841"/>
    </row>
    <row r="2217" spans="2:18">
      <c r="B2217" s="841"/>
      <c r="C2217" s="842"/>
      <c r="D2217" s="842"/>
      <c r="E2217" s="842"/>
      <c r="F2217" s="1135"/>
      <c r="G2217" s="1135"/>
      <c r="H2217" s="843"/>
      <c r="I2217" s="841"/>
      <c r="J2217" s="1135"/>
      <c r="K2217" s="841"/>
      <c r="L2217" s="841"/>
      <c r="M2217" s="841"/>
      <c r="N2217" s="841"/>
      <c r="O2217" s="841"/>
      <c r="P2217" s="841"/>
      <c r="Q2217" s="841"/>
      <c r="R2217" s="841"/>
    </row>
    <row r="2218" spans="2:18">
      <c r="B2218" s="841"/>
      <c r="C2218" s="842"/>
      <c r="D2218" s="842"/>
      <c r="E2218" s="842"/>
      <c r="F2218" s="1135"/>
      <c r="G2218" s="1135"/>
      <c r="H2218" s="843"/>
      <c r="I2218" s="841"/>
      <c r="J2218" s="1135"/>
      <c r="K2218" s="841"/>
      <c r="L2218" s="841"/>
      <c r="M2218" s="841"/>
      <c r="N2218" s="841"/>
      <c r="O2218" s="841"/>
      <c r="P2218" s="841"/>
      <c r="Q2218" s="841"/>
      <c r="R2218" s="841"/>
    </row>
    <row r="2219" spans="2:18">
      <c r="B2219" s="841"/>
      <c r="C2219" s="842"/>
      <c r="D2219" s="842"/>
      <c r="E2219" s="842"/>
      <c r="F2219" s="1135"/>
      <c r="G2219" s="1135"/>
      <c r="H2219" s="843"/>
      <c r="I2219" s="841"/>
      <c r="J2219" s="1135"/>
      <c r="K2219" s="841"/>
      <c r="L2219" s="841"/>
      <c r="M2219" s="841"/>
      <c r="N2219" s="841"/>
      <c r="O2219" s="841"/>
      <c r="P2219" s="841"/>
      <c r="Q2219" s="841"/>
      <c r="R2219" s="841"/>
    </row>
    <row r="2220" spans="2:18">
      <c r="B2220" s="841"/>
      <c r="C2220" s="842"/>
      <c r="D2220" s="842"/>
      <c r="E2220" s="842"/>
      <c r="F2220" s="1135"/>
      <c r="G2220" s="1135"/>
      <c r="H2220" s="843"/>
      <c r="I2220" s="841"/>
      <c r="J2220" s="1135"/>
      <c r="K2220" s="841"/>
      <c r="L2220" s="841"/>
      <c r="M2220" s="841"/>
      <c r="N2220" s="841"/>
      <c r="O2220" s="841"/>
      <c r="P2220" s="841"/>
      <c r="Q2220" s="841"/>
      <c r="R2220" s="841"/>
    </row>
    <row r="2221" spans="2:18">
      <c r="B2221" s="841"/>
      <c r="C2221" s="842"/>
      <c r="D2221" s="842"/>
      <c r="E2221" s="842"/>
      <c r="F2221" s="1135"/>
      <c r="G2221" s="1135"/>
      <c r="H2221" s="843"/>
      <c r="I2221" s="841"/>
      <c r="J2221" s="1135"/>
      <c r="K2221" s="841"/>
      <c r="L2221" s="841"/>
      <c r="M2221" s="841"/>
      <c r="N2221" s="841"/>
      <c r="O2221" s="841"/>
      <c r="P2221" s="841"/>
      <c r="Q2221" s="841"/>
      <c r="R2221" s="841"/>
    </row>
    <row r="2222" spans="2:18">
      <c r="B2222" s="841"/>
      <c r="C2222" s="842"/>
      <c r="D2222" s="842"/>
      <c r="E2222" s="842"/>
      <c r="F2222" s="1135"/>
      <c r="G2222" s="1135"/>
      <c r="H2222" s="843"/>
      <c r="I2222" s="841"/>
      <c r="J2222" s="1135"/>
      <c r="K2222" s="841"/>
      <c r="L2222" s="841"/>
      <c r="M2222" s="841"/>
      <c r="N2222" s="841"/>
      <c r="O2222" s="841"/>
      <c r="P2222" s="841"/>
      <c r="Q2222" s="841"/>
      <c r="R2222" s="841"/>
    </row>
    <row r="2223" spans="2:18">
      <c r="B2223" s="841"/>
      <c r="C2223" s="842"/>
      <c r="D2223" s="842"/>
      <c r="E2223" s="842"/>
      <c r="F2223" s="1135"/>
      <c r="G2223" s="1135"/>
      <c r="H2223" s="843"/>
      <c r="I2223" s="841"/>
      <c r="J2223" s="1135"/>
      <c r="K2223" s="841"/>
      <c r="L2223" s="841"/>
      <c r="M2223" s="841"/>
      <c r="N2223" s="841"/>
      <c r="O2223" s="841"/>
      <c r="P2223" s="841"/>
      <c r="Q2223" s="841"/>
      <c r="R2223" s="841"/>
    </row>
    <row r="2224" spans="2:18">
      <c r="B2224" s="841"/>
      <c r="C2224" s="842"/>
      <c r="D2224" s="842"/>
      <c r="E2224" s="842"/>
      <c r="F2224" s="1135"/>
      <c r="G2224" s="1135"/>
      <c r="H2224" s="843"/>
      <c r="I2224" s="841"/>
      <c r="J2224" s="1135"/>
      <c r="K2224" s="841"/>
      <c r="L2224" s="841"/>
      <c r="M2224" s="841"/>
      <c r="N2224" s="841"/>
      <c r="O2224" s="841"/>
      <c r="P2224" s="841"/>
      <c r="Q2224" s="841"/>
      <c r="R2224" s="841"/>
    </row>
    <row r="2225" spans="2:18">
      <c r="B2225" s="841"/>
      <c r="C2225" s="842"/>
      <c r="D2225" s="842"/>
      <c r="E2225" s="842"/>
      <c r="F2225" s="1135"/>
      <c r="G2225" s="1135"/>
      <c r="H2225" s="843"/>
      <c r="I2225" s="841"/>
      <c r="J2225" s="1135"/>
      <c r="K2225" s="841"/>
      <c r="L2225" s="841"/>
      <c r="M2225" s="841"/>
      <c r="N2225" s="841"/>
      <c r="O2225" s="841"/>
      <c r="P2225" s="841"/>
      <c r="Q2225" s="841"/>
      <c r="R2225" s="841"/>
    </row>
    <row r="2226" spans="2:18">
      <c r="B2226" s="841"/>
      <c r="C2226" s="842"/>
      <c r="D2226" s="842"/>
      <c r="E2226" s="842"/>
      <c r="F2226" s="1135"/>
      <c r="G2226" s="1135"/>
      <c r="H2226" s="843"/>
      <c r="I2226" s="841"/>
      <c r="J2226" s="1135"/>
      <c r="K2226" s="841"/>
      <c r="L2226" s="841"/>
      <c r="M2226" s="841"/>
      <c r="N2226" s="841"/>
      <c r="O2226" s="841"/>
      <c r="P2226" s="841"/>
      <c r="Q2226" s="841"/>
      <c r="R2226" s="841"/>
    </row>
    <row r="2227" spans="2:18">
      <c r="B2227" s="841"/>
      <c r="C2227" s="842"/>
      <c r="D2227" s="842"/>
      <c r="E2227" s="842"/>
      <c r="F2227" s="1135"/>
      <c r="G2227" s="1135"/>
      <c r="H2227" s="843"/>
      <c r="I2227" s="841"/>
      <c r="J2227" s="1135"/>
      <c r="K2227" s="841"/>
      <c r="L2227" s="841"/>
      <c r="M2227" s="841"/>
      <c r="N2227" s="841"/>
      <c r="O2227" s="841"/>
      <c r="P2227" s="841"/>
      <c r="Q2227" s="841"/>
      <c r="R2227" s="841"/>
    </row>
    <row r="2228" spans="2:18">
      <c r="B2228" s="841"/>
      <c r="C2228" s="842"/>
      <c r="D2228" s="842"/>
      <c r="E2228" s="842"/>
      <c r="F2228" s="1135"/>
      <c r="G2228" s="1135"/>
      <c r="H2228" s="843"/>
      <c r="I2228" s="841"/>
      <c r="J2228" s="1135"/>
      <c r="K2228" s="841"/>
      <c r="L2228" s="841"/>
      <c r="M2228" s="841"/>
      <c r="N2228" s="841"/>
      <c r="O2228" s="841"/>
      <c r="P2228" s="841"/>
      <c r="Q2228" s="841"/>
      <c r="R2228" s="841"/>
    </row>
    <row r="2229" spans="2:18">
      <c r="B2229" s="841"/>
      <c r="C2229" s="842"/>
      <c r="D2229" s="842"/>
      <c r="E2229" s="842"/>
      <c r="F2229" s="1135"/>
      <c r="G2229" s="1135"/>
      <c r="H2229" s="843"/>
      <c r="I2229" s="841"/>
      <c r="J2229" s="1135"/>
      <c r="K2229" s="841"/>
      <c r="L2229" s="841"/>
      <c r="M2229" s="841"/>
      <c r="N2229" s="841"/>
      <c r="O2229" s="841"/>
      <c r="P2229" s="841"/>
      <c r="Q2229" s="841"/>
      <c r="R2229" s="841"/>
    </row>
    <row r="2230" spans="2:18">
      <c r="B2230" s="841"/>
      <c r="C2230" s="842"/>
      <c r="D2230" s="842"/>
      <c r="E2230" s="842"/>
      <c r="F2230" s="1135"/>
      <c r="G2230" s="1135"/>
      <c r="H2230" s="843"/>
      <c r="I2230" s="841"/>
      <c r="J2230" s="1135"/>
      <c r="K2230" s="841"/>
      <c r="L2230" s="841"/>
      <c r="M2230" s="841"/>
      <c r="N2230" s="841"/>
      <c r="O2230" s="841"/>
      <c r="P2230" s="841"/>
      <c r="Q2230" s="841"/>
      <c r="R2230" s="841"/>
    </row>
    <row r="2231" spans="2:18">
      <c r="B2231" s="841"/>
      <c r="C2231" s="842"/>
      <c r="D2231" s="842"/>
      <c r="E2231" s="842"/>
      <c r="F2231" s="1135"/>
      <c r="G2231" s="1135"/>
      <c r="H2231" s="843"/>
      <c r="I2231" s="841"/>
      <c r="J2231" s="1135"/>
      <c r="K2231" s="841"/>
      <c r="L2231" s="841"/>
      <c r="M2231" s="841"/>
      <c r="N2231" s="841"/>
      <c r="O2231" s="841"/>
      <c r="P2231" s="841"/>
      <c r="Q2231" s="841"/>
      <c r="R2231" s="841"/>
    </row>
    <row r="2232" spans="2:18">
      <c r="B2232" s="841"/>
      <c r="C2232" s="842"/>
      <c r="D2232" s="842"/>
      <c r="E2232" s="842"/>
      <c r="F2232" s="1135"/>
      <c r="G2232" s="1135"/>
      <c r="H2232" s="843"/>
      <c r="I2232" s="841"/>
      <c r="J2232" s="1135"/>
      <c r="K2232" s="841"/>
      <c r="L2232" s="841"/>
      <c r="M2232" s="841"/>
      <c r="N2232" s="841"/>
      <c r="O2232" s="841"/>
      <c r="P2232" s="841"/>
      <c r="Q2232" s="841"/>
      <c r="R2232" s="841"/>
    </row>
    <row r="2233" spans="2:18">
      <c r="B2233" s="841"/>
      <c r="C2233" s="842"/>
      <c r="D2233" s="842"/>
      <c r="E2233" s="842"/>
      <c r="F2233" s="1135"/>
      <c r="G2233" s="1135"/>
      <c r="H2233" s="843"/>
      <c r="I2233" s="841"/>
      <c r="J2233" s="1135"/>
      <c r="K2233" s="841"/>
      <c r="L2233" s="841"/>
      <c r="M2233" s="841"/>
      <c r="N2233" s="841"/>
      <c r="O2233" s="841"/>
      <c r="P2233" s="841"/>
      <c r="Q2233" s="841"/>
      <c r="R2233" s="841"/>
    </row>
    <row r="2234" spans="2:18">
      <c r="B2234" s="841"/>
      <c r="C2234" s="842"/>
      <c r="D2234" s="842"/>
      <c r="E2234" s="842"/>
      <c r="F2234" s="1135"/>
      <c r="G2234" s="1135"/>
      <c r="H2234" s="843"/>
      <c r="I2234" s="841"/>
      <c r="J2234" s="1135"/>
      <c r="K2234" s="841"/>
      <c r="L2234" s="841"/>
      <c r="M2234" s="841"/>
      <c r="N2234" s="841"/>
      <c r="O2234" s="841"/>
      <c r="P2234" s="841"/>
      <c r="Q2234" s="841"/>
      <c r="R2234" s="841"/>
    </row>
    <row r="2235" spans="2:18">
      <c r="B2235" s="841"/>
      <c r="C2235" s="842"/>
      <c r="D2235" s="842"/>
      <c r="E2235" s="842"/>
      <c r="F2235" s="1135"/>
      <c r="G2235" s="1135"/>
      <c r="H2235" s="843"/>
      <c r="I2235" s="841"/>
      <c r="J2235" s="1135"/>
      <c r="K2235" s="841"/>
      <c r="L2235" s="841"/>
      <c r="M2235" s="841"/>
      <c r="N2235" s="841"/>
      <c r="O2235" s="841"/>
      <c r="P2235" s="841"/>
      <c r="Q2235" s="841"/>
      <c r="R2235" s="841"/>
    </row>
    <row r="2236" spans="2:18">
      <c r="B2236" s="841"/>
      <c r="C2236" s="842"/>
      <c r="D2236" s="842"/>
      <c r="E2236" s="842"/>
      <c r="F2236" s="1135"/>
      <c r="G2236" s="1135"/>
      <c r="H2236" s="843"/>
      <c r="I2236" s="841"/>
      <c r="J2236" s="1135"/>
      <c r="K2236" s="841"/>
      <c r="L2236" s="841"/>
      <c r="M2236" s="841"/>
      <c r="N2236" s="841"/>
      <c r="O2236" s="841"/>
      <c r="P2236" s="841"/>
      <c r="Q2236" s="841"/>
      <c r="R2236" s="841"/>
    </row>
    <row r="2237" spans="2:18">
      <c r="B2237" s="841"/>
      <c r="C2237" s="842"/>
      <c r="D2237" s="842"/>
      <c r="E2237" s="842"/>
      <c r="F2237" s="1135"/>
      <c r="G2237" s="1135"/>
      <c r="H2237" s="843"/>
      <c r="I2237" s="841"/>
      <c r="J2237" s="1135"/>
      <c r="K2237" s="841"/>
      <c r="L2237" s="841"/>
      <c r="M2237" s="841"/>
      <c r="N2237" s="841"/>
      <c r="O2237" s="841"/>
      <c r="P2237" s="841"/>
      <c r="Q2237" s="841"/>
      <c r="R2237" s="841"/>
    </row>
    <row r="2238" spans="2:18">
      <c r="B2238" s="841"/>
      <c r="C2238" s="842"/>
      <c r="D2238" s="842"/>
      <c r="E2238" s="842"/>
      <c r="F2238" s="1135"/>
      <c r="G2238" s="1135"/>
      <c r="H2238" s="843"/>
      <c r="I2238" s="841"/>
      <c r="J2238" s="1135"/>
      <c r="K2238" s="841"/>
      <c r="L2238" s="841"/>
      <c r="M2238" s="841"/>
      <c r="N2238" s="841"/>
      <c r="O2238" s="841"/>
      <c r="P2238" s="841"/>
      <c r="Q2238" s="841"/>
      <c r="R2238" s="841"/>
    </row>
    <row r="2239" spans="2:18">
      <c r="B2239" s="841"/>
      <c r="C2239" s="842"/>
      <c r="D2239" s="842"/>
      <c r="E2239" s="842"/>
      <c r="F2239" s="1135"/>
      <c r="G2239" s="1135"/>
      <c r="H2239" s="843"/>
      <c r="I2239" s="841"/>
      <c r="J2239" s="1135"/>
      <c r="K2239" s="841"/>
      <c r="L2239" s="841"/>
      <c r="M2239" s="841"/>
      <c r="N2239" s="841"/>
      <c r="O2239" s="841"/>
      <c r="P2239" s="841"/>
      <c r="Q2239" s="841"/>
      <c r="R2239" s="841"/>
    </row>
    <row r="2240" spans="2:18">
      <c r="B2240" s="841"/>
      <c r="C2240" s="842"/>
      <c r="D2240" s="842"/>
      <c r="E2240" s="842"/>
      <c r="F2240" s="1135"/>
      <c r="G2240" s="1135"/>
      <c r="H2240" s="843"/>
      <c r="I2240" s="841"/>
      <c r="J2240" s="1135"/>
      <c r="K2240" s="841"/>
      <c r="L2240" s="841"/>
      <c r="M2240" s="841"/>
      <c r="N2240" s="841"/>
      <c r="O2240" s="841"/>
      <c r="P2240" s="841"/>
      <c r="Q2240" s="841"/>
      <c r="R2240" s="841"/>
    </row>
    <row r="2241" spans="2:18">
      <c r="B2241" s="841"/>
      <c r="C2241" s="842"/>
      <c r="D2241" s="842"/>
      <c r="E2241" s="842"/>
      <c r="F2241" s="1135"/>
      <c r="G2241" s="1135"/>
      <c r="H2241" s="843"/>
      <c r="I2241" s="841"/>
      <c r="J2241" s="1135"/>
      <c r="K2241" s="841"/>
      <c r="L2241" s="841"/>
      <c r="M2241" s="841"/>
      <c r="N2241" s="841"/>
      <c r="O2241" s="841"/>
      <c r="P2241" s="841"/>
      <c r="Q2241" s="841"/>
      <c r="R2241" s="841"/>
    </row>
    <row r="2242" spans="2:18">
      <c r="B2242" s="841"/>
      <c r="C2242" s="842"/>
      <c r="D2242" s="842"/>
      <c r="E2242" s="842"/>
      <c r="F2242" s="1135"/>
      <c r="G2242" s="1135"/>
      <c r="H2242" s="843"/>
      <c r="I2242" s="841"/>
      <c r="J2242" s="1135"/>
      <c r="K2242" s="841"/>
      <c r="L2242" s="841"/>
      <c r="M2242" s="841"/>
      <c r="N2242" s="841"/>
      <c r="O2242" s="841"/>
      <c r="P2242" s="841"/>
      <c r="Q2242" s="841"/>
      <c r="R2242" s="841"/>
    </row>
    <row r="2243" spans="2:18">
      <c r="B2243" s="841"/>
      <c r="C2243" s="842"/>
      <c r="D2243" s="842"/>
      <c r="E2243" s="842"/>
      <c r="F2243" s="1135"/>
      <c r="G2243" s="1135"/>
      <c r="H2243" s="843"/>
      <c r="I2243" s="841"/>
      <c r="J2243" s="1135"/>
      <c r="K2243" s="841"/>
      <c r="L2243" s="841"/>
      <c r="M2243" s="841"/>
      <c r="N2243" s="841"/>
      <c r="O2243" s="841"/>
      <c r="P2243" s="841"/>
      <c r="Q2243" s="841"/>
      <c r="R2243" s="841"/>
    </row>
    <row r="2244" spans="2:18">
      <c r="B2244" s="841"/>
      <c r="C2244" s="842"/>
      <c r="D2244" s="842"/>
      <c r="E2244" s="842"/>
      <c r="F2244" s="1135"/>
      <c r="G2244" s="1135"/>
      <c r="H2244" s="843"/>
      <c r="I2244" s="841"/>
      <c r="J2244" s="1135"/>
      <c r="K2244" s="841"/>
      <c r="L2244" s="841"/>
      <c r="M2244" s="841"/>
      <c r="N2244" s="841"/>
      <c r="O2244" s="841"/>
      <c r="P2244" s="841"/>
      <c r="Q2244" s="841"/>
      <c r="R2244" s="841"/>
    </row>
    <row r="2245" spans="2:18">
      <c r="B2245" s="841"/>
      <c r="C2245" s="842"/>
      <c r="D2245" s="842"/>
      <c r="E2245" s="842"/>
      <c r="F2245" s="1135"/>
      <c r="G2245" s="1135"/>
      <c r="H2245" s="843"/>
      <c r="I2245" s="841"/>
      <c r="J2245" s="1135"/>
      <c r="K2245" s="841"/>
      <c r="L2245" s="841"/>
      <c r="M2245" s="841"/>
      <c r="N2245" s="841"/>
      <c r="O2245" s="841"/>
      <c r="P2245" s="841"/>
      <c r="Q2245" s="841"/>
      <c r="R2245" s="841"/>
    </row>
    <row r="2246" spans="2:18">
      <c r="B2246" s="841"/>
      <c r="C2246" s="842"/>
      <c r="D2246" s="842"/>
      <c r="E2246" s="842"/>
      <c r="F2246" s="1135"/>
      <c r="G2246" s="1135"/>
      <c r="H2246" s="843"/>
      <c r="I2246" s="841"/>
      <c r="J2246" s="1135"/>
      <c r="K2246" s="841"/>
      <c r="L2246" s="841"/>
      <c r="M2246" s="841"/>
      <c r="N2246" s="841"/>
      <c r="O2246" s="841"/>
      <c r="P2246" s="841"/>
      <c r="Q2246" s="841"/>
      <c r="R2246" s="841"/>
    </row>
    <row r="2247" spans="2:18">
      <c r="B2247" s="841"/>
      <c r="C2247" s="842"/>
      <c r="D2247" s="842"/>
      <c r="E2247" s="842"/>
      <c r="F2247" s="1135"/>
      <c r="G2247" s="1135"/>
      <c r="H2247" s="843"/>
      <c r="I2247" s="841"/>
      <c r="J2247" s="1135"/>
      <c r="K2247" s="841"/>
      <c r="L2247" s="841"/>
      <c r="M2247" s="841"/>
      <c r="N2247" s="841"/>
      <c r="O2247" s="841"/>
      <c r="P2247" s="841"/>
      <c r="Q2247" s="841"/>
      <c r="R2247" s="841"/>
    </row>
  </sheetData>
  <sheetProtection formatCells="0" formatColumns="0" formatRows="0"/>
  <mergeCells count="22">
    <mergeCell ref="G5:H5"/>
    <mergeCell ref="N37:O37"/>
    <mergeCell ref="M25:O25"/>
    <mergeCell ref="M9:O9"/>
    <mergeCell ref="N10:O10"/>
    <mergeCell ref="F18:K18"/>
    <mergeCell ref="M18:O18"/>
    <mergeCell ref="G37:H37"/>
    <mergeCell ref="J37:K37"/>
    <mergeCell ref="Q10:R10"/>
    <mergeCell ref="G10:H10"/>
    <mergeCell ref="J10:K10"/>
    <mergeCell ref="F9:K9"/>
    <mergeCell ref="N19:O19"/>
    <mergeCell ref="Q19:R19"/>
    <mergeCell ref="G19:H19"/>
    <mergeCell ref="J19:K19"/>
    <mergeCell ref="Q37:R37"/>
    <mergeCell ref="Q26:R26"/>
    <mergeCell ref="G26:H26"/>
    <mergeCell ref="J26:K26"/>
    <mergeCell ref="N26:O26"/>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HN2257"/>
  <sheetViews>
    <sheetView zoomScaleNormal="100" workbookViewId="0">
      <pane ySplit="6" topLeftCell="A55" activePane="bottomLeft" state="frozen"/>
      <selection activeCell="A5" sqref="A5:C5"/>
      <selection pane="bottomLeft" activeCell="H76" sqref="H76"/>
    </sheetView>
  </sheetViews>
  <sheetFormatPr baseColWidth="10" defaultColWidth="13.44140625" defaultRowHeight="13.2"/>
  <cols>
    <col min="1" max="1" width="3.44140625" style="664" customWidth="1"/>
    <col min="2" max="2" width="18.33203125" style="664" customWidth="1"/>
    <col min="3" max="3" width="14" style="771" customWidth="1"/>
    <col min="4" max="4" width="12.109375" style="771" customWidth="1"/>
    <col min="5" max="5" width="11" style="775" customWidth="1"/>
    <col min="6" max="6" width="19.44140625" style="774" customWidth="1"/>
    <col min="7" max="7" width="10.33203125" style="774" customWidth="1"/>
    <col min="8" max="8" width="10.109375" style="771" customWidth="1"/>
    <col min="9" max="9" width="11.6640625" style="771" customWidth="1"/>
    <col min="10" max="10" width="9.33203125" style="775" customWidth="1"/>
    <col min="11" max="11" width="11.6640625" style="771" customWidth="1"/>
    <col min="12" max="12" width="12.109375" style="771" customWidth="1"/>
    <col min="13" max="13" width="2" style="771" customWidth="1"/>
    <col min="14" max="14" width="10.6640625" style="2628" customWidth="1"/>
    <col min="15" max="15" width="10.109375" style="2628" customWidth="1"/>
    <col min="16" max="16" width="1.88671875" style="2460" customWidth="1"/>
    <col min="17" max="19" width="10.109375" style="2469" customWidth="1"/>
    <col min="20" max="30" width="13.44140625" style="1133" customWidth="1"/>
    <col min="31" max="217" width="13.44140625" style="233" customWidth="1"/>
    <col min="218" max="16384" width="13.44140625" style="771"/>
  </cols>
  <sheetData>
    <row r="1" spans="1:30" s="1678" customFormat="1" ht="22.95" customHeight="1">
      <c r="A1" s="1680"/>
      <c r="B1" s="1680"/>
      <c r="E1" s="1681"/>
      <c r="F1" s="1682"/>
      <c r="G1" s="1682"/>
      <c r="J1" s="1681"/>
      <c r="N1" s="2458"/>
      <c r="O1" s="2458"/>
      <c r="P1" s="2458"/>
      <c r="Q1" s="2620"/>
      <c r="R1" s="2620"/>
      <c r="S1" s="2620"/>
      <c r="T1" s="1684"/>
      <c r="U1" s="1684"/>
      <c r="V1" s="1684"/>
      <c r="W1" s="1684"/>
      <c r="X1" s="1684"/>
      <c r="Y1" s="1684"/>
      <c r="Z1" s="1684"/>
      <c r="AA1" s="1684"/>
      <c r="AB1" s="1684"/>
      <c r="AC1" s="1684"/>
      <c r="AD1" s="1684"/>
    </row>
    <row r="2" spans="1:30" s="1678" customFormat="1" ht="22.95" customHeight="1">
      <c r="A2" s="1680"/>
      <c r="B2" s="1680"/>
      <c r="E2" s="1681"/>
      <c r="F2" s="1682"/>
      <c r="G2" s="1682"/>
      <c r="J2" s="1681"/>
      <c r="N2" s="2458"/>
      <c r="O2" s="2458"/>
      <c r="P2" s="2458"/>
      <c r="Q2" s="2620"/>
      <c r="R2" s="2620"/>
      <c r="S2" s="2620"/>
      <c r="T2" s="1684"/>
      <c r="U2" s="1684"/>
      <c r="V2" s="1684"/>
      <c r="W2" s="1684"/>
      <c r="X2" s="1684"/>
      <c r="Y2" s="1684"/>
      <c r="Z2" s="1684"/>
      <c r="AA2" s="1684"/>
      <c r="AB2" s="1684"/>
      <c r="AC2" s="1684"/>
      <c r="AD2" s="1684"/>
    </row>
    <row r="3" spans="1:30" s="1678" customFormat="1" ht="22.95" customHeight="1">
      <c r="A3" s="1680"/>
      <c r="B3" s="1680"/>
      <c r="E3" s="1681"/>
      <c r="F3" s="1682"/>
      <c r="G3" s="1682"/>
      <c r="J3" s="1681"/>
      <c r="N3" s="2458"/>
      <c r="O3" s="2458"/>
      <c r="P3" s="2458"/>
      <c r="Q3" s="2620"/>
      <c r="R3" s="2620"/>
      <c r="S3" s="2620"/>
      <c r="T3" s="1684"/>
      <c r="U3" s="1684"/>
      <c r="V3" s="1684"/>
      <c r="W3" s="1684"/>
      <c r="X3" s="1684"/>
      <c r="Y3" s="1684"/>
      <c r="Z3" s="1684"/>
      <c r="AA3" s="1684"/>
      <c r="AB3" s="1684"/>
      <c r="AC3" s="1684"/>
      <c r="AD3" s="1684"/>
    </row>
    <row r="4" spans="1:30" s="1678" customFormat="1" ht="22.95" customHeight="1">
      <c r="A4" s="1680"/>
      <c r="B4" s="1680"/>
      <c r="E4" s="1681"/>
      <c r="F4" s="1682"/>
      <c r="G4" s="1682"/>
      <c r="J4" s="1681"/>
      <c r="N4" s="2458"/>
      <c r="O4" s="2458"/>
      <c r="P4" s="2458"/>
      <c r="Q4" s="2620"/>
      <c r="R4" s="2620"/>
      <c r="S4" s="2620"/>
      <c r="T4" s="1684"/>
      <c r="U4" s="1684"/>
      <c r="V4" s="1684"/>
      <c r="W4" s="1684"/>
      <c r="X4" s="1684"/>
      <c r="Y4" s="1684"/>
      <c r="Z4" s="1684"/>
      <c r="AA4" s="1684"/>
      <c r="AB4" s="1684"/>
      <c r="AC4" s="1684"/>
      <c r="AD4" s="1684"/>
    </row>
    <row r="5" spans="1:30" s="1686" customFormat="1" ht="22.95" customHeight="1">
      <c r="A5" s="1685" t="s">
        <v>476</v>
      </c>
      <c r="B5" s="1685"/>
      <c r="E5" s="1687"/>
      <c r="F5" s="1688"/>
      <c r="G5" s="1688"/>
      <c r="I5" s="3248" t="s">
        <v>479</v>
      </c>
      <c r="J5" s="3248"/>
      <c r="N5" s="2458"/>
      <c r="O5" s="2458"/>
      <c r="P5" s="2458"/>
      <c r="Q5" s="2458"/>
      <c r="R5" s="2458"/>
      <c r="S5" s="2458"/>
      <c r="T5" s="1684"/>
      <c r="U5" s="1684"/>
      <c r="V5" s="1684"/>
      <c r="W5" s="1684"/>
      <c r="X5" s="1684"/>
      <c r="Y5" s="1684"/>
      <c r="Z5" s="1684"/>
      <c r="AA5" s="1684"/>
      <c r="AB5" s="1684"/>
      <c r="AC5" s="1684"/>
      <c r="AD5" s="1684"/>
    </row>
    <row r="6" spans="1:30">
      <c r="C6" s="233"/>
      <c r="D6" s="233"/>
      <c r="E6" s="770"/>
      <c r="F6" s="234"/>
      <c r="G6" s="234"/>
      <c r="H6" s="233"/>
      <c r="I6" s="233"/>
      <c r="J6" s="770"/>
      <c r="K6" s="770"/>
      <c r="L6" s="233"/>
      <c r="M6" s="233"/>
      <c r="N6" s="2460"/>
      <c r="O6" s="2460"/>
    </row>
    <row r="7" spans="1:30" s="605" customFormat="1">
      <c r="A7" s="776"/>
      <c r="B7" s="776"/>
      <c r="E7" s="777"/>
      <c r="F7" s="622"/>
      <c r="G7" s="622"/>
      <c r="J7" s="777"/>
      <c r="N7" s="2460"/>
      <c r="O7" s="2460"/>
      <c r="P7" s="2460"/>
      <c r="Q7" s="2469"/>
      <c r="R7" s="2469"/>
      <c r="S7" s="2469"/>
      <c r="T7" s="1133"/>
      <c r="U7" s="1133"/>
      <c r="V7" s="1133"/>
      <c r="W7" s="1133"/>
      <c r="X7" s="1133"/>
      <c r="Y7" s="1133"/>
      <c r="Z7" s="1133"/>
      <c r="AA7" s="1133"/>
      <c r="AB7" s="1133"/>
      <c r="AC7" s="1133"/>
      <c r="AD7" s="1133"/>
    </row>
    <row r="8" spans="1:30" s="605" customFormat="1">
      <c r="A8" s="776"/>
      <c r="B8" s="778" t="s">
        <v>561</v>
      </c>
      <c r="C8" s="778"/>
      <c r="D8" s="778"/>
      <c r="E8" s="778"/>
      <c r="F8" s="778"/>
      <c r="G8" s="778"/>
      <c r="H8" s="778"/>
      <c r="I8" s="778"/>
      <c r="J8" s="778"/>
      <c r="K8" s="778"/>
      <c r="N8" s="2460"/>
      <c r="O8" s="2460"/>
      <c r="P8" s="2460"/>
      <c r="Q8" s="2469"/>
      <c r="R8" s="2469"/>
      <c r="S8" s="2469"/>
      <c r="T8" s="1133"/>
      <c r="U8" s="1133"/>
      <c r="V8" s="1133"/>
      <c r="W8" s="1133"/>
      <c r="X8" s="1133"/>
      <c r="Y8" s="1133"/>
      <c r="Z8" s="1133"/>
      <c r="AA8" s="1133"/>
      <c r="AB8" s="1133"/>
      <c r="AC8" s="1133"/>
      <c r="AD8" s="1133"/>
    </row>
    <row r="9" spans="1:30" s="605" customFormat="1" ht="13.8" thickBot="1">
      <c r="A9" s="776"/>
      <c r="N9" s="2460"/>
      <c r="O9" s="2460"/>
      <c r="P9" s="2460"/>
      <c r="Q9" s="2469"/>
      <c r="R9" s="2469"/>
      <c r="S9" s="2469"/>
      <c r="T9" s="1133"/>
      <c r="U9" s="1133"/>
      <c r="V9" s="1133"/>
      <c r="W9" s="1133"/>
      <c r="X9" s="1133"/>
      <c r="Y9" s="1133"/>
      <c r="Z9" s="1133"/>
      <c r="AA9" s="1133"/>
      <c r="AB9" s="1133"/>
      <c r="AC9" s="1133"/>
      <c r="AD9" s="1133"/>
    </row>
    <row r="10" spans="1:30" s="605" customFormat="1" ht="13.8" thickBot="1">
      <c r="A10" s="776"/>
      <c r="B10" s="728" t="s">
        <v>852</v>
      </c>
      <c r="C10" s="729"/>
      <c r="D10" s="3255" t="str">
        <f>'6. Inputs'!C40</f>
        <v>Please select the country of origin</v>
      </c>
      <c r="E10" s="3256"/>
      <c r="F10" s="3256"/>
      <c r="G10" s="3257"/>
      <c r="I10" s="735" t="s">
        <v>913</v>
      </c>
      <c r="J10" s="780"/>
      <c r="K10" s="780"/>
      <c r="N10" s="2460"/>
      <c r="O10" s="2460"/>
      <c r="P10" s="2460"/>
      <c r="Q10" s="2469"/>
      <c r="R10" s="2469"/>
      <c r="S10" s="2469"/>
      <c r="T10" s="1133"/>
      <c r="U10" s="1133"/>
      <c r="V10" s="1133"/>
      <c r="W10" s="1133"/>
      <c r="X10" s="1133"/>
      <c r="Y10" s="1133"/>
      <c r="Z10" s="1133"/>
      <c r="AA10" s="1133"/>
      <c r="AB10" s="1133"/>
      <c r="AC10" s="1133"/>
      <c r="AD10" s="1133"/>
    </row>
    <row r="11" spans="1:30" s="605" customFormat="1">
      <c r="A11" s="776"/>
      <c r="B11" s="827" t="s">
        <v>22</v>
      </c>
      <c r="C11" s="785"/>
      <c r="D11" s="727" t="s">
        <v>359</v>
      </c>
      <c r="E11" s="800">
        <f>VLOOKUP(D10,Elec_EF!$A$6:$B$143,2,)</f>
        <v>0</v>
      </c>
      <c r="F11" s="1197" t="str">
        <f>IF(D11="no","Specify the value:","")</f>
        <v>Specify the value:</v>
      </c>
      <c r="G11" s="2448">
        <f>IF('6. Inputs'!M201="",'6. Inputs'!K201,'6. Inputs'!M201)</f>
        <v>0</v>
      </c>
      <c r="I11" s="780"/>
      <c r="J11" s="781"/>
      <c r="K11" s="2447">
        <f>IF('6. Inputs'!M202="",'6. Inputs'!K202,'6. Inputs'!M202)/100</f>
        <v>0.1</v>
      </c>
      <c r="N11" s="2460"/>
      <c r="O11" s="2460"/>
      <c r="P11" s="2460"/>
      <c r="Q11" s="2469"/>
      <c r="R11" s="2469"/>
      <c r="S11" s="2469"/>
      <c r="T11" s="1133"/>
      <c r="U11" s="1133"/>
      <c r="V11" s="1133"/>
      <c r="W11" s="1133"/>
      <c r="X11" s="1133"/>
      <c r="Y11" s="1133"/>
      <c r="Z11" s="1133"/>
      <c r="AA11" s="1133"/>
      <c r="AB11" s="1133"/>
      <c r="AC11" s="1133"/>
      <c r="AD11" s="1133"/>
    </row>
    <row r="12" spans="1:30" s="605" customFormat="1">
      <c r="A12" s="776"/>
      <c r="D12" s="777"/>
      <c r="E12" s="622"/>
      <c r="F12" s="622"/>
      <c r="I12" s="777"/>
      <c r="N12" s="2460"/>
      <c r="O12" s="2460"/>
      <c r="P12" s="2460"/>
      <c r="Q12" s="2469" t="s">
        <v>860</v>
      </c>
      <c r="R12" s="2469"/>
      <c r="S12" s="2469"/>
      <c r="T12" s="1133"/>
      <c r="U12" s="1133"/>
      <c r="V12" s="1133"/>
      <c r="W12" s="1133"/>
      <c r="X12" s="1133"/>
      <c r="Y12" s="1133"/>
      <c r="Z12" s="1133"/>
      <c r="AA12" s="1133"/>
      <c r="AB12" s="1133"/>
      <c r="AC12" s="1133"/>
      <c r="AD12" s="1133"/>
    </row>
    <row r="13" spans="1:30" s="605" customFormat="1">
      <c r="A13" s="776"/>
      <c r="B13" s="664" t="s">
        <v>906</v>
      </c>
      <c r="C13" s="779" t="s">
        <v>912</v>
      </c>
      <c r="E13" s="622"/>
      <c r="F13" s="622"/>
      <c r="I13" s="777"/>
      <c r="N13" s="2323"/>
      <c r="O13" s="2460"/>
      <c r="P13" s="2460"/>
      <c r="Q13" s="2469"/>
      <c r="R13" s="2469"/>
      <c r="S13" s="2469"/>
      <c r="T13" s="1133"/>
      <c r="U13" s="1133"/>
      <c r="V13" s="1133"/>
      <c r="W13" s="1133"/>
      <c r="X13" s="1133"/>
      <c r="Y13" s="1133"/>
      <c r="Z13" s="1133"/>
      <c r="AA13" s="1133"/>
      <c r="AB13" s="1133"/>
      <c r="AC13" s="1133"/>
      <c r="AD13" s="1133"/>
    </row>
    <row r="14" spans="1:30" s="605" customFormat="1" ht="13.8" thickBot="1">
      <c r="A14" s="776"/>
      <c r="B14" s="1023" t="s">
        <v>851</v>
      </c>
      <c r="C14" s="1024"/>
      <c r="D14" s="1025"/>
      <c r="E14" s="751"/>
      <c r="F14" s="3249" t="s">
        <v>853</v>
      </c>
      <c r="G14" s="3250"/>
      <c r="M14" s="241"/>
      <c r="N14" s="2460"/>
      <c r="O14" s="2460"/>
      <c r="P14" s="2621"/>
      <c r="Q14" s="2469"/>
      <c r="R14" s="2469"/>
      <c r="S14" s="2622" t="s">
        <v>68</v>
      </c>
      <c r="T14" s="1133"/>
      <c r="U14" s="1133"/>
      <c r="V14" s="1133"/>
      <c r="W14" s="1133"/>
      <c r="X14" s="1133"/>
      <c r="Y14" s="1133"/>
      <c r="Z14" s="1133"/>
      <c r="AA14" s="1133"/>
      <c r="AB14" s="1133"/>
      <c r="AC14" s="1133"/>
      <c r="AD14" s="1133"/>
    </row>
    <row r="15" spans="1:30" s="605" customFormat="1">
      <c r="A15" s="776"/>
      <c r="B15" s="610" t="s">
        <v>689</v>
      </c>
      <c r="C15" s="782"/>
      <c r="D15" s="735"/>
      <c r="E15" s="681">
        <v>0</v>
      </c>
      <c r="F15" s="3251">
        <f>IF(D11="yes",E11,G11)*E15*(1+K11)</f>
        <v>0</v>
      </c>
      <c r="G15" s="3252"/>
      <c r="I15" s="941"/>
      <c r="J15" s="241"/>
      <c r="K15" s="241"/>
      <c r="L15" s="241"/>
      <c r="M15" s="241"/>
      <c r="N15" s="2460"/>
      <c r="O15" s="2460"/>
      <c r="P15" s="2621"/>
      <c r="Q15" s="2469"/>
      <c r="R15" s="2469"/>
      <c r="S15" s="2622">
        <f>IF(time_tot=0,0,IF(time2&gt;0,(E16-E15)*time/time_tot,F16-F15))</f>
        <v>0</v>
      </c>
      <c r="T15" s="1133"/>
      <c r="U15" s="1133"/>
      <c r="V15" s="1133"/>
      <c r="W15" s="1133"/>
      <c r="X15" s="1133"/>
      <c r="Y15" s="1133"/>
      <c r="Z15" s="1133"/>
      <c r="AA15" s="1133"/>
      <c r="AB15" s="1133"/>
      <c r="AC15" s="1133"/>
      <c r="AD15" s="1133"/>
    </row>
    <row r="16" spans="1:30" s="605" customFormat="1" ht="13.8" thickBot="1">
      <c r="A16" s="776"/>
      <c r="B16" s="615" t="s">
        <v>688</v>
      </c>
      <c r="C16" s="551"/>
      <c r="D16" s="785"/>
      <c r="E16" s="951">
        <v>0</v>
      </c>
      <c r="F16" s="3253">
        <f>IF(D11="yes",E11,G11)*E16*(1+K11)</f>
        <v>0</v>
      </c>
      <c r="G16" s="3254"/>
      <c r="J16" s="241"/>
      <c r="K16" s="241"/>
      <c r="L16" s="787"/>
      <c r="M16" s="241"/>
      <c r="N16" s="2623"/>
      <c r="O16" s="2480"/>
      <c r="P16" s="2621"/>
      <c r="Q16" s="2622"/>
      <c r="R16" s="2469"/>
      <c r="S16" s="2469"/>
      <c r="T16" s="1133"/>
      <c r="U16" s="1133"/>
      <c r="V16" s="1133"/>
      <c r="W16" s="1133"/>
      <c r="X16" s="1133"/>
      <c r="Y16" s="1133"/>
      <c r="Z16" s="1133"/>
      <c r="AA16" s="1133"/>
      <c r="AB16" s="1133"/>
      <c r="AC16" s="1133"/>
      <c r="AD16" s="1133"/>
    </row>
    <row r="17" spans="1:30" s="605" customFormat="1">
      <c r="A17" s="776"/>
      <c r="B17" s="241"/>
      <c r="C17" s="241"/>
      <c r="D17" s="788"/>
      <c r="E17" s="435"/>
      <c r="F17" s="435"/>
      <c r="G17" s="241"/>
      <c r="H17" s="241"/>
      <c r="I17" s="788"/>
      <c r="J17" s="241"/>
      <c r="K17" s="241"/>
      <c r="L17" s="241"/>
      <c r="M17" s="620"/>
      <c r="N17" s="2621"/>
      <c r="O17" s="2621"/>
      <c r="P17" s="2621"/>
      <c r="Q17" s="2622"/>
      <c r="R17" s="2469"/>
      <c r="S17" s="2469"/>
      <c r="T17" s="1133"/>
      <c r="U17" s="1133"/>
      <c r="V17" s="1133"/>
      <c r="W17" s="1133"/>
      <c r="X17" s="1133"/>
      <c r="Y17" s="1133"/>
      <c r="Z17" s="1133"/>
      <c r="AA17" s="1133"/>
      <c r="AB17" s="1133"/>
      <c r="AC17" s="1133"/>
      <c r="AD17" s="1133"/>
    </row>
    <row r="18" spans="1:30" s="605" customFormat="1">
      <c r="A18" s="776"/>
      <c r="B18" s="664" t="s">
        <v>907</v>
      </c>
      <c r="C18" s="779" t="s">
        <v>908</v>
      </c>
      <c r="E18" s="435"/>
      <c r="F18" s="435"/>
      <c r="G18" s="241"/>
      <c r="H18" s="241"/>
      <c r="I18" s="788"/>
      <c r="J18" s="241"/>
      <c r="K18" s="241"/>
      <c r="L18" s="241"/>
      <c r="M18" s="241"/>
      <c r="N18" s="2460"/>
      <c r="O18" s="2460"/>
      <c r="P18" s="2621"/>
      <c r="Q18" s="2622"/>
      <c r="R18" s="2469"/>
      <c r="S18" s="2469"/>
      <c r="T18" s="1133"/>
      <c r="U18" s="1133"/>
      <c r="V18" s="1133"/>
      <c r="W18" s="1133"/>
      <c r="X18" s="1133"/>
      <c r="Y18" s="1133"/>
      <c r="Z18" s="1133"/>
      <c r="AA18" s="1133"/>
      <c r="AB18" s="1133"/>
      <c r="AC18" s="1133"/>
      <c r="AD18" s="1133"/>
    </row>
    <row r="19" spans="1:30" s="605" customFormat="1">
      <c r="A19" s="776"/>
      <c r="B19" s="783" t="s">
        <v>910</v>
      </c>
      <c r="C19" s="589"/>
      <c r="D19" s="589"/>
      <c r="E19" s="589"/>
      <c r="F19" s="589"/>
      <c r="G19" s="790" t="s">
        <v>911</v>
      </c>
      <c r="H19" s="791"/>
      <c r="I19" s="241"/>
      <c r="J19" s="241"/>
      <c r="K19" s="241"/>
      <c r="L19" s="241"/>
      <c r="M19" s="620"/>
      <c r="N19" s="2460"/>
      <c r="O19" s="2460"/>
      <c r="P19" s="2460"/>
      <c r="Q19" s="2469"/>
      <c r="R19" s="2469"/>
      <c r="S19" s="2469"/>
      <c r="T19" s="1133"/>
      <c r="U19" s="1133"/>
      <c r="V19" s="1133"/>
      <c r="W19" s="1133"/>
      <c r="X19" s="1133"/>
      <c r="Y19" s="1133"/>
      <c r="Z19" s="1133"/>
      <c r="AA19" s="1133"/>
      <c r="AB19" s="1133"/>
      <c r="AC19" s="1133"/>
      <c r="AD19" s="1133"/>
    </row>
    <row r="20" spans="1:30" s="605" customFormat="1">
      <c r="A20" s="776"/>
      <c r="B20" s="1026" t="s">
        <v>345</v>
      </c>
      <c r="C20" s="3219" t="s">
        <v>689</v>
      </c>
      <c r="D20" s="3219"/>
      <c r="E20" s="3215" t="s">
        <v>688</v>
      </c>
      <c r="F20" s="3215"/>
      <c r="G20" s="3258" t="s">
        <v>347</v>
      </c>
      <c r="H20" s="3165"/>
      <c r="I20" s="620"/>
      <c r="J20" s="712"/>
      <c r="K20" s="620"/>
      <c r="L20" s="620"/>
      <c r="M20" s="620"/>
      <c r="N20" s="2460"/>
      <c r="O20" s="2460"/>
      <c r="P20" s="2460"/>
      <c r="Q20" s="2469"/>
      <c r="R20" s="2469"/>
      <c r="S20" s="2469"/>
      <c r="T20" s="1133"/>
      <c r="U20" s="1133"/>
      <c r="V20" s="1133"/>
      <c r="W20" s="1133"/>
      <c r="X20" s="1133"/>
      <c r="Y20" s="1133"/>
      <c r="Z20" s="1133"/>
      <c r="AA20" s="1133"/>
      <c r="AB20" s="1133"/>
      <c r="AC20" s="1133"/>
      <c r="AD20" s="1133"/>
    </row>
    <row r="21" spans="1:30" ht="13.8" thickBot="1">
      <c r="A21" s="776"/>
      <c r="B21" s="1027" t="s">
        <v>352</v>
      </c>
      <c r="C21" s="792" t="s">
        <v>346</v>
      </c>
      <c r="D21" s="793" t="s">
        <v>353</v>
      </c>
      <c r="E21" s="794" t="s">
        <v>346</v>
      </c>
      <c r="F21" s="795" t="s">
        <v>353</v>
      </c>
      <c r="G21" s="796" t="s">
        <v>690</v>
      </c>
      <c r="H21" s="797" t="s">
        <v>691</v>
      </c>
      <c r="I21" s="798"/>
      <c r="J21" s="799"/>
      <c r="K21" s="620"/>
      <c r="L21" s="620"/>
      <c r="M21" s="620"/>
      <c r="N21" s="2460"/>
      <c r="O21" s="2460"/>
      <c r="Q21" s="2469" t="s">
        <v>690</v>
      </c>
      <c r="R21" s="2469" t="s">
        <v>691</v>
      </c>
    </row>
    <row r="22" spans="1:30" ht="13.8" thickBot="1">
      <c r="A22" s="776"/>
      <c r="B22" s="2023">
        <f>'6. Inputs'!H40</f>
        <v>0</v>
      </c>
      <c r="C22" s="2024">
        <f>'6. Inputs'!I40</f>
        <v>0</v>
      </c>
      <c r="D22" s="2449" t="str">
        <f>VLOOKUP('6. Inputs'!J40,List!$D$35:$E$37,2,)</f>
        <v>Linear</v>
      </c>
      <c r="E22" s="2025">
        <f>'6. Inputs'!K40</f>
        <v>0</v>
      </c>
      <c r="F22" s="2449" t="str">
        <f>VLOOKUP('6. Inputs'!L40,List!$D$35:$E$37,2,)</f>
        <v>Linear</v>
      </c>
      <c r="G22" s="942">
        <f>IF(D11="yes",$E11,$G11)*(MIN(B22,C22)*time_tot+ABS(C22-B22)*IF(C22&gt;B22,time2+time*(VLOOKUP(D22,List!$E$35:$F$37,2,)),time*(1-(VLOOKUP(D22,List!$E$35:$F$37,2,)))))*(1+K11)</f>
        <v>0</v>
      </c>
      <c r="H22" s="943">
        <f>IF(D11="yes",$E11,$G11)*(MIN(B22,E22)*time_tot+ABS(E22-B22)*IF(E22&gt;B22,time2+time*(VLOOKUP(F22,List!$E$35:$F$37,2,)),time*(1-(VLOOKUP(J37,List!$E$35:$F$37,2,)))))*(1+K11)</f>
        <v>0</v>
      </c>
      <c r="I22" s="620"/>
      <c r="J22" s="772"/>
      <c r="K22" s="620"/>
      <c r="L22" s="620"/>
      <c r="M22" s="620"/>
      <c r="N22" s="2624"/>
      <c r="O22" s="2460"/>
      <c r="Q22" s="2469">
        <f>IF(D11="yes",$E11,$G11)*(MIN(B22,C22)*time+ABS(C22-B22)*IF(C22&gt;B22,time*(VLOOKUP(D22,List!$E$35:$F$37,2,)),time*(1-(VLOOKUP(D22,List!$E$35:$F$37,2,)))))*(1+K11)</f>
        <v>0</v>
      </c>
      <c r="R22" s="2469">
        <f>IF(D11="yes",$E11,$G11)*(MIN(B22,E22)*time+ABS(E22-B22)*IF(E22&gt;B22,time*(VLOOKUP(F22,List!$E$35:$F$37,2,)),time*(1-(VLOOKUP(J37,List!$E$35:$F$37,2,)))))*(1+K11)</f>
        <v>0</v>
      </c>
    </row>
    <row r="23" spans="1:30">
      <c r="A23" s="776"/>
      <c r="B23" s="776"/>
      <c r="C23" s="776"/>
      <c r="D23" s="801"/>
      <c r="E23" s="802"/>
      <c r="F23" s="802"/>
      <c r="G23" s="802"/>
      <c r="H23" s="802"/>
      <c r="I23" s="802"/>
      <c r="J23" s="802"/>
      <c r="K23" s="803"/>
      <c r="L23" s="804"/>
      <c r="M23" s="233"/>
      <c r="N23" s="2624"/>
      <c r="O23" s="2460"/>
      <c r="S23" s="2469">
        <f>R22-Q22</f>
        <v>0</v>
      </c>
    </row>
    <row r="24" spans="1:30">
      <c r="A24" s="776"/>
      <c r="B24" s="805" t="s">
        <v>985</v>
      </c>
      <c r="C24" s="806"/>
      <c r="D24" s="807" t="s">
        <v>984</v>
      </c>
      <c r="E24" s="808">
        <f>F15+G22</f>
        <v>0</v>
      </c>
      <c r="F24" s="807" t="s">
        <v>983</v>
      </c>
      <c r="G24" s="808">
        <f>F16+H22</f>
        <v>0</v>
      </c>
      <c r="H24" s="809"/>
      <c r="I24" s="810" t="s">
        <v>348</v>
      </c>
      <c r="J24" s="1111">
        <f>G24-E24</f>
        <v>0</v>
      </c>
      <c r="K24" s="605"/>
      <c r="L24" s="605"/>
      <c r="M24" s="233"/>
      <c r="N24" s="2624"/>
      <c r="O24" s="2460"/>
    </row>
    <row r="25" spans="1:30">
      <c r="A25" s="776"/>
      <c r="B25" s="776"/>
      <c r="C25" s="776"/>
      <c r="D25" s="801"/>
      <c r="E25" s="802"/>
      <c r="F25" s="802"/>
      <c r="G25" s="802"/>
      <c r="H25" s="802"/>
      <c r="I25" s="802"/>
      <c r="J25" s="802"/>
      <c r="K25" s="803"/>
      <c r="L25" s="804"/>
      <c r="M25" s="233"/>
      <c r="N25" s="2624"/>
      <c r="O25" s="2460"/>
    </row>
    <row r="26" spans="1:30">
      <c r="A26" s="776"/>
      <c r="B26" s="812" t="s">
        <v>914</v>
      </c>
      <c r="C26" s="812"/>
      <c r="D26" s="813"/>
      <c r="E26" s="814"/>
      <c r="F26" s="815"/>
      <c r="G26" s="815"/>
      <c r="H26" s="816"/>
      <c r="I26" s="815"/>
      <c r="J26" s="817"/>
      <c r="K26" s="817"/>
      <c r="L26" s="817"/>
      <c r="M26" s="233"/>
      <c r="N26" s="2625"/>
      <c r="O26" s="2460"/>
    </row>
    <row r="27" spans="1:30">
      <c r="A27" s="777"/>
      <c r="B27" s="777"/>
      <c r="C27" s="777"/>
      <c r="D27" s="818"/>
      <c r="E27" s="712"/>
      <c r="F27" s="802"/>
      <c r="G27" s="802"/>
      <c r="H27" s="819"/>
      <c r="I27" s="605"/>
      <c r="J27" s="819"/>
      <c r="K27" s="605"/>
      <c r="L27" s="820" t="s">
        <v>946</v>
      </c>
      <c r="M27" s="605"/>
      <c r="N27" s="2460"/>
      <c r="O27" s="2460"/>
      <c r="Q27" s="2469" t="s">
        <v>860</v>
      </c>
    </row>
    <row r="28" spans="1:30">
      <c r="A28" s="776"/>
      <c r="B28" s="664" t="s">
        <v>906</v>
      </c>
      <c r="C28" s="664"/>
      <c r="D28" s="779" t="s">
        <v>938</v>
      </c>
      <c r="E28" s="622"/>
      <c r="F28" s="622"/>
      <c r="G28" s="605"/>
      <c r="H28" s="605"/>
      <c r="I28" s="802"/>
      <c r="J28" s="819"/>
      <c r="K28" s="803"/>
      <c r="L28" s="804"/>
      <c r="M28" s="605"/>
      <c r="N28" s="2621"/>
      <c r="O28" s="2621"/>
    </row>
    <row r="29" spans="1:30" ht="13.8" thickBot="1">
      <c r="A29" s="776"/>
      <c r="B29" s="735" t="s">
        <v>941</v>
      </c>
      <c r="C29" s="735"/>
      <c r="D29" s="611"/>
      <c r="E29" s="737" t="s">
        <v>939</v>
      </c>
      <c r="F29" s="821" t="s">
        <v>940</v>
      </c>
      <c r="G29" s="735" t="s">
        <v>853</v>
      </c>
      <c r="H29" s="611"/>
      <c r="I29" s="802"/>
      <c r="J29" s="819"/>
      <c r="K29" s="803"/>
      <c r="L29" s="804"/>
      <c r="M29" s="241"/>
      <c r="N29" s="2621"/>
      <c r="O29" s="2621"/>
      <c r="P29" s="2621"/>
      <c r="S29" s="2622" t="s">
        <v>68</v>
      </c>
    </row>
    <row r="30" spans="1:30">
      <c r="A30" s="776"/>
      <c r="B30" s="783" t="s">
        <v>689</v>
      </c>
      <c r="C30" s="789"/>
      <c r="D30" s="729"/>
      <c r="E30" s="945">
        <v>0</v>
      </c>
      <c r="F30" s="946">
        <v>0</v>
      </c>
      <c r="G30" s="3259">
        <f>E30*IF(E37="yes",$C$37,$D$37)+F30*IF(E38="yes",$C$38,$D$38)</f>
        <v>0</v>
      </c>
      <c r="H30" s="3260"/>
      <c r="I30" s="802"/>
      <c r="J30" s="819"/>
      <c r="K30" s="803"/>
      <c r="L30" s="804"/>
      <c r="M30" s="241"/>
      <c r="N30" s="2621"/>
      <c r="O30" s="2621"/>
      <c r="P30" s="2621"/>
      <c r="S30" s="2622">
        <f>IF(time_tot=0,0,(G31-G30)*time/time_tot)</f>
        <v>0</v>
      </c>
    </row>
    <row r="31" spans="1:30" ht="13.8" thickBot="1">
      <c r="A31" s="776"/>
      <c r="B31" s="615" t="s">
        <v>688</v>
      </c>
      <c r="C31" s="616"/>
      <c r="D31" s="785"/>
      <c r="E31" s="949">
        <v>0</v>
      </c>
      <c r="F31" s="950">
        <v>0</v>
      </c>
      <c r="G31" s="3261">
        <f>E31*IF(E37="yes",$C$37,$D$37)+F31*IF(E38="yes",$C$38,$D$38)</f>
        <v>0</v>
      </c>
      <c r="H31" s="3262"/>
      <c r="I31" s="605"/>
      <c r="J31" s="241"/>
      <c r="K31" s="241"/>
      <c r="L31" s="787"/>
      <c r="M31" s="241"/>
      <c r="N31" s="2623"/>
      <c r="O31" s="2480"/>
      <c r="P31" s="2621"/>
      <c r="Q31" s="2622"/>
    </row>
    <row r="32" spans="1:30">
      <c r="A32" s="776"/>
      <c r="B32" s="241"/>
      <c r="C32" s="241"/>
      <c r="D32" s="788"/>
      <c r="E32" s="435"/>
      <c r="F32" s="435"/>
      <c r="G32" s="241"/>
      <c r="H32" s="241"/>
      <c r="I32" s="788"/>
      <c r="J32" s="241"/>
      <c r="K32" s="241"/>
      <c r="L32" s="241"/>
      <c r="M32" s="620"/>
      <c r="N32" s="2621"/>
      <c r="O32" s="2621"/>
      <c r="P32" s="2621"/>
      <c r="Q32" s="2622"/>
    </row>
    <row r="33" spans="1:19">
      <c r="A33" s="776"/>
      <c r="B33" s="664" t="s">
        <v>907</v>
      </c>
      <c r="C33" s="664"/>
      <c r="D33" s="779" t="s">
        <v>1178</v>
      </c>
      <c r="E33" s="435"/>
      <c r="F33" s="435"/>
      <c r="G33" s="241"/>
      <c r="H33" s="241"/>
      <c r="I33" s="788"/>
      <c r="J33" s="241"/>
      <c r="K33" s="241"/>
      <c r="L33" s="241"/>
      <c r="M33" s="241"/>
      <c r="N33" s="2621"/>
      <c r="O33" s="2621"/>
      <c r="P33" s="2621"/>
      <c r="Q33" s="2622"/>
    </row>
    <row r="34" spans="1:19">
      <c r="A34" s="776"/>
      <c r="B34" s="269"/>
      <c r="C34" s="270"/>
      <c r="D34" s="561"/>
      <c r="E34" s="562"/>
      <c r="F34" s="822" t="s">
        <v>944</v>
      </c>
      <c r="G34" s="823"/>
      <c r="H34" s="824"/>
      <c r="I34" s="824"/>
      <c r="J34" s="825"/>
      <c r="K34" s="790" t="s">
        <v>911</v>
      </c>
      <c r="L34" s="791"/>
      <c r="M34" s="241"/>
      <c r="N34" s="2473"/>
      <c r="O34" s="2480"/>
      <c r="P34" s="2621"/>
      <c r="Q34" s="2622"/>
    </row>
    <row r="35" spans="1:19">
      <c r="A35" s="776"/>
      <c r="B35" s="549" t="s">
        <v>942</v>
      </c>
      <c r="C35" s="547" t="s">
        <v>909</v>
      </c>
      <c r="D35" s="547" t="s">
        <v>343</v>
      </c>
      <c r="E35" s="559" t="s">
        <v>344</v>
      </c>
      <c r="F35" s="638" t="s">
        <v>345</v>
      </c>
      <c r="G35" s="3219" t="s">
        <v>689</v>
      </c>
      <c r="H35" s="3219"/>
      <c r="I35" s="3215" t="s">
        <v>688</v>
      </c>
      <c r="J35" s="3215"/>
      <c r="K35" s="3258" t="s">
        <v>347</v>
      </c>
      <c r="L35" s="3165"/>
      <c r="M35" s="620"/>
      <c r="N35" s="2626"/>
      <c r="O35" s="2480"/>
      <c r="P35" s="2480"/>
      <c r="Q35" s="2622"/>
    </row>
    <row r="36" spans="1:19" ht="13.8" thickBot="1">
      <c r="A36" s="776"/>
      <c r="B36" s="549"/>
      <c r="C36" s="2402" t="s">
        <v>943</v>
      </c>
      <c r="D36" s="547" t="s">
        <v>982</v>
      </c>
      <c r="E36" s="559" t="s">
        <v>351</v>
      </c>
      <c r="F36" s="638" t="s">
        <v>352</v>
      </c>
      <c r="G36" s="639" t="s">
        <v>346</v>
      </c>
      <c r="H36" s="756" t="s">
        <v>353</v>
      </c>
      <c r="I36" s="757" t="s">
        <v>346</v>
      </c>
      <c r="J36" s="826" t="s">
        <v>353</v>
      </c>
      <c r="K36" s="796" t="s">
        <v>690</v>
      </c>
      <c r="L36" s="797" t="s">
        <v>691</v>
      </c>
      <c r="M36" s="798"/>
      <c r="N36" s="2623"/>
      <c r="O36" s="2480"/>
      <c r="P36" s="2480"/>
      <c r="Q36" s="2469" t="s">
        <v>690</v>
      </c>
      <c r="R36" s="2469" t="s">
        <v>691</v>
      </c>
    </row>
    <row r="37" spans="1:19" ht="13.8" thickBot="1">
      <c r="A37" s="776"/>
      <c r="B37" s="728" t="s">
        <v>939</v>
      </c>
      <c r="C37" s="1224">
        <f>' IPCC'!$B$680</f>
        <v>2.6328230594490001</v>
      </c>
      <c r="D37" s="2451">
        <f>IF('6. Inputs'!M205="",'6. Inputs'!K205,'6. Inputs'!M205)</f>
        <v>2.6328230594490001</v>
      </c>
      <c r="E37" s="1231" t="s">
        <v>359</v>
      </c>
      <c r="F37" s="1897">
        <f>'6. Inputs'!H43</f>
        <v>0</v>
      </c>
      <c r="G37" s="1897">
        <f>'6. Inputs'!I43</f>
        <v>0</v>
      </c>
      <c r="H37" s="2450" t="str">
        <f>VLOOKUP('6. Inputs'!J43,List!$D$35:$E$37,2,)</f>
        <v>Linear</v>
      </c>
      <c r="I37" s="2026">
        <f>'6. Inputs'!K43</f>
        <v>0</v>
      </c>
      <c r="J37" s="2450" t="str">
        <f>VLOOKUP('6. Inputs'!L43,List!$D$35:$E$37,2,)</f>
        <v>Linear</v>
      </c>
      <c r="K37" s="1390">
        <f>IF(E37="yes",$C37,$D37)*(MIN(F37,G37)*time_tot+ABS(G37-F37)*IF(G37&gt;F37,time2+time*(VLOOKUP(H37,List!$E$35:$F$37,2,)),time*(1-(VLOOKUP(H37,List!$E$35:$F$37,2,)))))</f>
        <v>0</v>
      </c>
      <c r="L37" s="1391">
        <f>IF(E37="yes",$C37,$D37)*(MIN(F37,I37)*time_tot+ABS(I37-F37)*IF(I37&gt;F37,time2+time*(VLOOKUP(J37,List!$E$35:$F$37,2,)),time*(1-(VLOOKUP(J37,List!$E$35:$F$37,2,)))))</f>
        <v>0</v>
      </c>
      <c r="M37" s="620"/>
      <c r="N37" s="2623"/>
      <c r="O37" s="2460"/>
      <c r="P37" s="2480"/>
      <c r="Q37" s="2469">
        <f>IF(E37="yes",$C37,$D37)*(MIN(F37,G37)*time+ABS(G37-F37)*IF(G37&gt;F37,time*(VLOOKUP(H37,List!$E$35:$F$37,2,)),time*(1-(VLOOKUP(H37,List!$E$35:$F$37,2,)))))</f>
        <v>0</v>
      </c>
      <c r="R37" s="2469">
        <f>IF(E37="yes",$C37,$D37)*(MIN(F37,I37)*time+ABS(I37-F37)*IF(I37&gt;F37,time*(VLOOKUP(J37,List!$E$35:$F$37,2,)),time*(1-(VLOOKUP(J37,List!$E$35:$F$37,2,)))))</f>
        <v>0</v>
      </c>
    </row>
    <row r="38" spans="1:19" ht="13.8" thickBot="1">
      <c r="A38" s="776"/>
      <c r="B38" s="734" t="s">
        <v>940</v>
      </c>
      <c r="C38" s="947">
        <f>' IPCC'!$B$679</f>
        <v>2.8513343553333326</v>
      </c>
      <c r="D38" s="2451">
        <f>IF('6. Inputs'!M206="",'6. Inputs'!K206,'6. Inputs'!M206)</f>
        <v>2.8513343553333326</v>
      </c>
      <c r="E38" s="1231" t="s">
        <v>359</v>
      </c>
      <c r="F38" s="1897">
        <f>'6. Inputs'!H44</f>
        <v>0</v>
      </c>
      <c r="G38" s="1897">
        <f>'6. Inputs'!I44</f>
        <v>0</v>
      </c>
      <c r="H38" s="2450" t="str">
        <f>VLOOKUP('6. Inputs'!J44,List!$D$35:$E$37,2,)</f>
        <v>Linear</v>
      </c>
      <c r="I38" s="2026">
        <f>'6. Inputs'!K44</f>
        <v>0</v>
      </c>
      <c r="J38" s="2450" t="str">
        <f>VLOOKUP('6. Inputs'!L44,List!$D$35:$E$37,2,)</f>
        <v>Linear</v>
      </c>
      <c r="K38" s="1468">
        <f>IF(E38="yes",$C38,$D38)*(MIN(F38,G38)*time_tot+ABS(G38-F38)*IF(G38&gt;F38,time2+time*(VLOOKUP(H38,List!$E$35:$F$37,2,)),time*(1-(VLOOKUP(H38,List!$E$35:$F$37,2,)))))</f>
        <v>0</v>
      </c>
      <c r="L38" s="1469">
        <f>IF(E38="yes",$C38,$D38)*(MIN(F38,I38)*time_tot+ABS(I38-F38)*IF(I38&gt;F38,time2+time*(VLOOKUP(J38,List!$E$35:$F$37,2,)),time*(1-(VLOOKUP(J38,List!$E$35:$F$37,2,)))))</f>
        <v>0</v>
      </c>
      <c r="M38" s="620"/>
      <c r="N38" s="2623"/>
      <c r="O38" s="2460"/>
      <c r="P38" s="2480"/>
      <c r="Q38" s="2469">
        <f>IF(E38="yes",$C38,$D38)*(MIN(F38,G38)*time+ABS(G38-F38)*IF(G38&gt;F38,time*(VLOOKUP(H38,List!$E$35:$F$37,2,)),time*(1-(VLOOKUP(H38,List!$E$35:$F$37,2,)))))</f>
        <v>0</v>
      </c>
      <c r="R38" s="2469">
        <f>IF(E38="yes",$C38,$D38)*(MIN(F38,I38)*time+ABS(I38-F38)*IF(I38&gt;F38,time*(VLOOKUP(J38,List!$E$35:$F$37,2,)),time*(1-(VLOOKUP(J38,List!$E$35:$F$37,2,)))))</f>
        <v>0</v>
      </c>
    </row>
    <row r="39" spans="1:19" ht="13.8" thickBot="1">
      <c r="A39" s="776"/>
      <c r="B39" s="734" t="s">
        <v>113</v>
      </c>
      <c r="C39" s="1236">
        <f>AVERAGE(' IPCC'!B682:B683)</f>
        <v>1.6884716750000001E-3</v>
      </c>
      <c r="D39" s="2451">
        <f>IF('6. Inputs'!M207="",'6. Inputs'!K207,'6. Inputs'!M207)</f>
        <v>1.6884716750000001E-3</v>
      </c>
      <c r="E39" s="1231" t="s">
        <v>359</v>
      </c>
      <c r="F39" s="1897">
        <f>'6. Inputs'!H45</f>
        <v>0</v>
      </c>
      <c r="G39" s="1897">
        <f>'6. Inputs'!I45</f>
        <v>0</v>
      </c>
      <c r="H39" s="2450" t="str">
        <f>VLOOKUP('6. Inputs'!J45,List!$D$35:$E$37,2,)</f>
        <v>Linear</v>
      </c>
      <c r="I39" s="2026">
        <f>'6. Inputs'!K45</f>
        <v>0</v>
      </c>
      <c r="J39" s="2450" t="str">
        <f>VLOOKUP('6. Inputs'!L45,List!$D$35:$E$37,2,)</f>
        <v>Linear</v>
      </c>
      <c r="K39" s="1468">
        <f>IF(E39="yes",$C39,$D39)*(MIN(F39,G39)*time_tot+ABS(G39-F39)*IF(G39&gt;F39,time2+time*(VLOOKUP(H39,List!$E$35:$F$37,2,)),time*(1-(VLOOKUP(H39,List!$E$35:$F$37,2,)))))</f>
        <v>0</v>
      </c>
      <c r="L39" s="1469">
        <f>IF(E39="yes",$C39,$D39)*(MIN(F39,I39)*time_tot+ABS(I39-F39)*IF(I39&gt;F39,time2+time*(VLOOKUP(J39,List!$E$35:$F$37,2,)),time*(1-(VLOOKUP(J39,List!$E$35:$F$37,2,)))))</f>
        <v>0</v>
      </c>
      <c r="M39" s="620"/>
      <c r="N39" s="2623"/>
      <c r="O39" s="2460"/>
      <c r="P39" s="2480"/>
      <c r="Q39" s="2469">
        <f>IF(E39="yes",$C39,$D39)*(MIN(F39,G39)*time+ABS(G39-F39)*IF(G39&gt;F39,time*(VLOOKUP(H39,List!$E$35:$F$37,2,)),time*(1-(VLOOKUP(H39,List!$E$35:$F$37,2,)))))</f>
        <v>0</v>
      </c>
      <c r="R39" s="2469">
        <f>IF(E39="yes",$C39,$D39)*(MIN(F39,I39)*time+ABS(I39-F39)*IF(I39&gt;F39,time*(VLOOKUP(J39,List!$E$35:$F$37,2,)),time*(1-(VLOOKUP(J39,List!$E$35:$F$37,2,)))))</f>
        <v>0</v>
      </c>
    </row>
    <row r="40" spans="1:19" ht="13.8" thickBot="1">
      <c r="A40" s="776"/>
      <c r="B40" s="734" t="s">
        <v>115</v>
      </c>
      <c r="C40" s="1236">
        <f>' IPCC'!B688</f>
        <v>8.0000000000000002E-3</v>
      </c>
      <c r="D40" s="2451">
        <f>IF('6. Inputs'!M208="",'6. Inputs'!K208,'6. Inputs'!M208)</f>
        <v>8.0000000000000002E-3</v>
      </c>
      <c r="E40" s="1231" t="s">
        <v>359</v>
      </c>
      <c r="F40" s="1897">
        <f>'6. Inputs'!H46</f>
        <v>0</v>
      </c>
      <c r="G40" s="1897">
        <f>'6. Inputs'!I46</f>
        <v>0</v>
      </c>
      <c r="H40" s="2450" t="str">
        <f>VLOOKUP('6. Inputs'!J46,List!$D$35:$E$37,2,)</f>
        <v>Linear</v>
      </c>
      <c r="I40" s="2026">
        <f>'6. Inputs'!K46</f>
        <v>0</v>
      </c>
      <c r="J40" s="2450" t="str">
        <f>VLOOKUP('6. Inputs'!L46,List!$D$35:$E$37,2,)</f>
        <v>Linear</v>
      </c>
      <c r="K40" s="1468">
        <f>IF(E40="yes",$C40,$D40)*(MIN(F40,G40)*time_tot+ABS(G40-F40)*IF(G40&gt;F40,time2+time*(VLOOKUP(H40,List!$E$35:$F$37,2,)),time*(1-(VLOOKUP(H40,List!$E$35:$F$37,2,)))))</f>
        <v>0</v>
      </c>
      <c r="L40" s="1469">
        <f>IF(E40="yes",$C40,$D40)*(MIN(F40,I40)*time_tot+ABS(I40-F40)*IF(I40&gt;F40,time2+time*(VLOOKUP(J40,List!$E$35:$F$37,2,)),time*(1-(VLOOKUP(J40,List!$E$35:$F$37,2,)))))</f>
        <v>0</v>
      </c>
      <c r="M40" s="620"/>
      <c r="N40" s="2623"/>
      <c r="O40" s="2460"/>
      <c r="P40" s="2480"/>
      <c r="Q40" s="2469">
        <f>IF(E40="yes",$C40,$D40)*(MIN(F40,G40)*time+ABS(G40-F40)*IF(G40&gt;F40,time*(VLOOKUP(H40,List!$E$35:$F$37,2,)),time*(1-(VLOOKUP(H40,List!$E$35:$F$37,2,)))))</f>
        <v>0</v>
      </c>
      <c r="R40" s="2469">
        <f>IF(E40="yes",$C40,$D40)*(MIN(F40,I40)*time+ABS(I40-F40)*IF(I40&gt;F40,time*(VLOOKUP(J40,List!$E$35:$F$37,2,)),time*(1-(VLOOKUP(J40,List!$E$35:$F$37,2,)))))</f>
        <v>0</v>
      </c>
    </row>
    <row r="41" spans="1:19" ht="13.8" thickBot="1">
      <c r="A41" s="776"/>
      <c r="B41" s="734" t="s">
        <v>116</v>
      </c>
      <c r="C41" s="1236">
        <f>' IPCC'!B687</f>
        <v>6.0000000000000001E-3</v>
      </c>
      <c r="D41" s="2451">
        <f>IF('6. Inputs'!M209="",'6. Inputs'!K209,'6. Inputs'!M209)</f>
        <v>6.0000000000000001E-3</v>
      </c>
      <c r="E41" s="1231" t="s">
        <v>359</v>
      </c>
      <c r="F41" s="1897">
        <f>'6. Inputs'!H47</f>
        <v>0</v>
      </c>
      <c r="G41" s="1897">
        <f>'6. Inputs'!I47</f>
        <v>0</v>
      </c>
      <c r="H41" s="2450" t="str">
        <f>VLOOKUP('6. Inputs'!J47,List!$D$35:$E$37,2,)</f>
        <v>Linear</v>
      </c>
      <c r="I41" s="2026">
        <f>'6. Inputs'!K47</f>
        <v>0</v>
      </c>
      <c r="J41" s="2450" t="str">
        <f>VLOOKUP('6. Inputs'!L47,List!$D$35:$E$37,2,)</f>
        <v>Linear</v>
      </c>
      <c r="K41" s="1468">
        <f>IF(E41="yes",$C41,$D41)*(MIN(F41,G41)*time_tot+ABS(G41-F41)*IF(G41&gt;F41,time2+time*(VLOOKUP(H41,List!$E$35:$F$37,2,)),time*(1-(VLOOKUP(H41,List!$E$35:$F$37,2,)))))</f>
        <v>0</v>
      </c>
      <c r="L41" s="1469">
        <f>IF(E41="yes",$C41,$D41)*(MIN(F41,I41)*time_tot+ABS(I41-F41)*IF(I41&gt;F41,time2+time*(VLOOKUP(J41,List!$E$35:$F$37,2,)),time*(1-(VLOOKUP(J41,List!$E$35:$F$37,2,)))))</f>
        <v>0</v>
      </c>
      <c r="M41" s="620"/>
      <c r="N41" s="2623"/>
      <c r="O41" s="2460"/>
      <c r="P41" s="2480"/>
      <c r="Q41" s="2469">
        <f>IF(E41="yes",$C41,$D41)*(MIN(F41,G41)*time+ABS(G41-F41)*IF(G41&gt;F41,time*(VLOOKUP(H41,List!$E$35:$F$37,2,)),time*(1-(VLOOKUP(H41,List!$E$35:$F$37,2,)))))</f>
        <v>0</v>
      </c>
      <c r="R41" s="2469">
        <f>IF(E41="yes",$C41,$D41)*(MIN(F41,I41)*time+ABS(I41-F41)*IF(I41&gt;F41,time*(VLOOKUP(J41,List!$E$35:$F$37,2,)),time*(1-(VLOOKUP(J41,List!$E$35:$F$37,2,)))))</f>
        <v>0</v>
      </c>
    </row>
    <row r="42" spans="1:19" ht="13.8" thickBot="1">
      <c r="A42" s="776"/>
      <c r="B42" s="734" t="s">
        <v>225</v>
      </c>
      <c r="C42" s="1230"/>
      <c r="D42" s="2451">
        <f>IF('6. Inputs'!M210="",'6. Inputs'!K210,'6. Inputs'!M210)</f>
        <v>0.51700000000000002</v>
      </c>
      <c r="E42" s="1231" t="s">
        <v>359</v>
      </c>
      <c r="F42" s="1897">
        <f>'6. Inputs'!H48</f>
        <v>0</v>
      </c>
      <c r="G42" s="1897">
        <f>'6. Inputs'!I48</f>
        <v>0</v>
      </c>
      <c r="H42" s="2450" t="str">
        <f>VLOOKUP('6. Inputs'!J48,List!$D$35:$E$37,2,)</f>
        <v>Linear</v>
      </c>
      <c r="I42" s="2026">
        <f>'6. Inputs'!K48</f>
        <v>0</v>
      </c>
      <c r="J42" s="2450" t="str">
        <f>VLOOKUP('6. Inputs'!L48,List!$D$35:$E$37,2,)</f>
        <v>Linear</v>
      </c>
      <c r="K42" s="1468">
        <f>IF(E42="yes",$C42,$D42)*(MIN(F42,G42)*time_tot+ABS(G42-F42)*IF(G42&gt;F42,time2+time*(VLOOKUP(H42,List!$E$35:$F$37,2,)),time*(1-(VLOOKUP(H42,List!$E$35:$F$37,2,)))))</f>
        <v>0</v>
      </c>
      <c r="L42" s="1469">
        <f>IF(E42="yes",$C42,$D42)*(MIN(F42,I42)*time_tot+ABS(I42-F42)*IF(I42&gt;F42,time2+time*(VLOOKUP(J42,List!$E$35:$F$37,2,)),time*(1-(VLOOKUP(J42,List!$E$35:$F$37,2,)))))</f>
        <v>0</v>
      </c>
      <c r="M42" s="1938"/>
      <c r="N42" s="2623"/>
      <c r="O42" s="2460"/>
      <c r="P42" s="2480"/>
      <c r="Q42" s="2469">
        <f>IF(E42="yes",$C42,$D42)*(MIN(F42,G42)*time+ABS(G42-F42)*IF(G42&gt;F42,time*(VLOOKUP(H42,List!$E$35:$F$37,2,)),time*(1-(VLOOKUP(H42,List!$E$35:$F$37,2,)))))</f>
        <v>0</v>
      </c>
      <c r="R42" s="2469">
        <f>IF(E42="yes",$C42,$D42)*(MIN(F42,I42)*time+ABS(I42-F42)*IF(I42&gt;F42,time*(VLOOKUP(J42,List!$E$35:$F$37,2,)),time*(1-(VLOOKUP(J42,List!$E$35:$F$37,2,)))))</f>
        <v>0</v>
      </c>
    </row>
    <row r="43" spans="1:19">
      <c r="A43" s="776"/>
      <c r="B43" s="734" t="s">
        <v>111</v>
      </c>
      <c r="C43" s="1230"/>
      <c r="D43" s="2451">
        <f>IF('6. Inputs'!M211="",'6. Inputs'!K211,'6. Inputs'!M211)</f>
        <v>5</v>
      </c>
      <c r="E43" s="1231" t="s">
        <v>359</v>
      </c>
      <c r="F43" s="1897">
        <f>'6. Inputs'!H49</f>
        <v>0</v>
      </c>
      <c r="G43" s="1897">
        <f>'6. Inputs'!I49</f>
        <v>0</v>
      </c>
      <c r="H43" s="2450" t="str">
        <f>VLOOKUP('6. Inputs'!J49,List!$D$35:$E$37,2,)</f>
        <v>Linear</v>
      </c>
      <c r="I43" s="2026">
        <f>'6. Inputs'!K49</f>
        <v>0</v>
      </c>
      <c r="J43" s="2450" t="str">
        <f>VLOOKUP('6. Inputs'!L49,List!$D$35:$E$37,2,)</f>
        <v>Linear</v>
      </c>
      <c r="K43" s="1468">
        <f>IF(E43="yes",$C43,$D43)*(MIN(F43,G43)*time_tot+ABS(G43-F43)*IF(G43&gt;F43,time2+time*(VLOOKUP(H43,List!$E$35:$F$37,2,)),time*(1-(VLOOKUP(H43,List!$E$35:$F$37,2,)))))</f>
        <v>0</v>
      </c>
      <c r="L43" s="1469">
        <f>IF(E43="yes",$C43,$D43)*(MIN(F43,I43)*time_tot+ABS(I43-F43)*IF(I43&gt;F43,time2+time*(VLOOKUP(J43,List!$E$35:$F$37,2,)),time*(1-(VLOOKUP(J43,List!$E$35:$F$37,2,)))))</f>
        <v>0</v>
      </c>
      <c r="M43" s="620"/>
      <c r="N43" s="2623"/>
      <c r="O43" s="2460"/>
      <c r="P43" s="2480"/>
      <c r="Q43" s="2469">
        <f>IF(E43="yes",$C43,$D43)*(MIN(F43,G43)*time+ABS(G43-F43)*IF(G43&gt;F43,time*(VLOOKUP(H43,List!$E$35:$F$37,2,)),time*(1-(VLOOKUP(H43,List!$E$35:$F$37,2,)))))</f>
        <v>0</v>
      </c>
      <c r="R43" s="2469">
        <f>IF(E43="yes",$C43,$D43)*(MIN(F43,I43)*time+ABS(I43-F43)*IF(I43&gt;F43,time*(VLOOKUP(J43,List!$E$35:$F$37,2,)),time*(1-(VLOOKUP(J43,List!$E$35:$F$37,2,)))))</f>
        <v>0</v>
      </c>
    </row>
    <row r="44" spans="1:19" ht="13.8" thickBot="1">
      <c r="A44" s="776"/>
      <c r="B44" s="728"/>
      <c r="C44" s="1232" t="s">
        <v>124</v>
      </c>
      <c r="D44" s="1610"/>
      <c r="E44" s="732"/>
      <c r="F44" s="1611" t="s">
        <v>123</v>
      </c>
      <c r="G44" s="1612"/>
      <c r="H44" s="1613"/>
      <c r="I44" s="1612"/>
      <c r="J44" s="1613"/>
      <c r="K44" s="1614"/>
      <c r="L44" s="1614"/>
      <c r="M44" s="620"/>
      <c r="N44" s="2623"/>
      <c r="O44" s="2460"/>
      <c r="Q44" s="2460"/>
      <c r="R44" s="2460"/>
    </row>
    <row r="45" spans="1:19" ht="13.8" thickBot="1">
      <c r="A45" s="777"/>
      <c r="B45" s="600" t="s">
        <v>114</v>
      </c>
      <c r="C45" s="800">
        <f>' IPCC'!B690</f>
        <v>1.0160000000000001E-2</v>
      </c>
      <c r="D45" s="2633">
        <f>IF('6. Inputs'!M213="",'6. Inputs'!K213,'6. Inputs'!M213)</f>
        <v>1.0160000000000001E-2</v>
      </c>
      <c r="E45" s="1231" t="s">
        <v>359</v>
      </c>
      <c r="F45" s="1897">
        <f>'6. Inputs'!H51</f>
        <v>0</v>
      </c>
      <c r="G45" s="1897">
        <f>'6. Inputs'!I51</f>
        <v>0</v>
      </c>
      <c r="H45" s="2450" t="str">
        <f>VLOOKUP('6. Inputs'!J51,List!$D$35:$E$37,2,)</f>
        <v>Linear</v>
      </c>
      <c r="I45" s="2026">
        <f>'6. Inputs'!K51</f>
        <v>0</v>
      </c>
      <c r="J45" s="2450" t="str">
        <f>VLOOKUP('6. Inputs'!L51,List!$D$35:$E$37,2,)</f>
        <v>Linear</v>
      </c>
      <c r="K45" s="1468">
        <f>IF(E45="yes",$C45,$D45)*(MIN(F45,G45)*time_tot+ABS(G45-F45)*IF(G45&gt;F45,time2+time*(VLOOKUP(H45,List!$E$35:$F$37,2,)),time*(1-(VLOOKUP(H45,List!$E$35:$F$37,2,)))))</f>
        <v>0</v>
      </c>
      <c r="L45" s="1391">
        <f>IF(E45="yes",$C45,$D45)*(MIN(F45,I45)*time_tot+ABS(I45-F45)*IF(I45&gt;F45,time2+time*(VLOOKUP(J45,List!$E$35:$F$37,2,)),time*(1-(VLOOKUP(J45,List!$E$35:$F$37,2,)))))</f>
        <v>0</v>
      </c>
      <c r="M45" s="605"/>
      <c r="N45" s="2624"/>
      <c r="O45" s="2460"/>
      <c r="Q45" s="2469">
        <f>IF(E45="yes",$C45,$D45)*(MIN(F45,G45)*time+ABS(G45-F45)*IF(G45&gt;F45,time*(VLOOKUP(H45,List!$E$35:$F$37,2,)),time*(1-(VLOOKUP(H45,List!$E$35:$F$37,2,)))))</f>
        <v>0</v>
      </c>
      <c r="R45" s="2469">
        <f>IF(E45="yes",$C45,$D45)*(MIN(F45,I45)*time+ABS(I45-F45)*IF(I45&gt;F45,time*(VLOOKUP(J45,List!$E$35:$F$37,2,)),time*(1-(VLOOKUP(J45,List!$E$35:$F$37,2,)))))</f>
        <v>0</v>
      </c>
      <c r="S45" s="2460"/>
    </row>
    <row r="46" spans="1:19">
      <c r="A46" s="777"/>
      <c r="B46" s="1272" t="s">
        <v>276</v>
      </c>
      <c r="C46" s="1236">
        <f>' IPCC'!B684</f>
        <v>3.2366456470588234E-3</v>
      </c>
      <c r="D46" s="2633">
        <f>IF('6. Inputs'!M214="",'6. Inputs'!K214,'6. Inputs'!M214)</f>
        <v>3.2366456470588234E-3</v>
      </c>
      <c r="E46" s="1234" t="s">
        <v>359</v>
      </c>
      <c r="F46" s="1897">
        <f>'6. Inputs'!H52</f>
        <v>0</v>
      </c>
      <c r="G46" s="1897">
        <f>'6. Inputs'!I52</f>
        <v>0</v>
      </c>
      <c r="H46" s="2450" t="str">
        <f>VLOOKUP('6. Inputs'!J52,List!$D$35:$E$37,2,)</f>
        <v>Linear</v>
      </c>
      <c r="I46" s="2026">
        <f>'6. Inputs'!K52</f>
        <v>0</v>
      </c>
      <c r="J46" s="2450" t="str">
        <f>VLOOKUP('6. Inputs'!L52,List!$D$35:$E$37,2,)</f>
        <v>Linear</v>
      </c>
      <c r="K46" s="1468">
        <f>IF(E46="yes",$C46,$D46)*(MIN(F46,G46)*time_tot+ABS(G46-F46)*IF(G46&gt;F46,time2+time*(VLOOKUP(H46,List!$E$35:$F$37,2,)),time*(1-(VLOOKUP(H46,List!$E$35:$F$37,2,)))))</f>
        <v>0</v>
      </c>
      <c r="L46" s="2632">
        <f>IF(E46="yes",$C46,$D46)*(MIN(F46,I46)*time_tot+ABS(I46-F46)*IF(I46&gt;F46,time2+time*(VLOOKUP(J46,List!$E$35:$F$37,2,)),time*(1-(VLOOKUP(J46,List!$E$35:$F$37,2,)))))</f>
        <v>0</v>
      </c>
      <c r="M46" s="605"/>
      <c r="N46" s="2624"/>
      <c r="O46" s="2460"/>
      <c r="Q46" s="2469">
        <f>IF(E46="yes",$C46,$D46)*(MIN(F46,G46)*time+ABS(G46-F46)*IF(G46&gt;F46,time*(VLOOKUP(H46,List!$E$35:$F$37,2,)),time*(1-(VLOOKUP(H46,List!$E$35:$F$37,2,)))))</f>
        <v>0</v>
      </c>
      <c r="R46" s="2469">
        <f>IF(E46="yes",$C46,$D46)*(MIN(F46,I46)*time+ABS(I46-F46)*IF(I46&gt;F46,time*(VLOOKUP(J46,List!$E$35:$F$37,2,)),time*(1-(VLOOKUP(J46,List!$E$35:$F$37,2,)))))</f>
        <v>0</v>
      </c>
      <c r="S46" s="2460"/>
    </row>
    <row r="47" spans="1:19">
      <c r="A47" s="776"/>
      <c r="B47" s="776"/>
      <c r="C47" s="776"/>
      <c r="D47" s="801"/>
      <c r="E47" s="802"/>
      <c r="F47" s="802"/>
      <c r="G47" s="802"/>
      <c r="H47" s="802"/>
      <c r="I47" s="802"/>
      <c r="J47" s="802"/>
      <c r="K47" s="803"/>
      <c r="L47" s="804"/>
      <c r="M47" s="233"/>
      <c r="N47" s="2624"/>
      <c r="O47" s="2460"/>
      <c r="S47" s="2469">
        <f>SUM(R37:R46)-SUM(Q37:Q46)</f>
        <v>0</v>
      </c>
    </row>
    <row r="48" spans="1:19">
      <c r="A48" s="776"/>
      <c r="B48" s="805" t="s">
        <v>985</v>
      </c>
      <c r="C48" s="806"/>
      <c r="D48" s="807" t="s">
        <v>984</v>
      </c>
      <c r="E48" s="1108">
        <f>SUM(K37:K43)+SUM(K45:K46)+G30</f>
        <v>0</v>
      </c>
      <c r="F48" s="807" t="s">
        <v>983</v>
      </c>
      <c r="G48" s="1108">
        <f>SUM(L37:L43)+SUM(L45:L46)+G31</f>
        <v>0</v>
      </c>
      <c r="H48" s="1109"/>
      <c r="I48" s="1110" t="s">
        <v>348</v>
      </c>
      <c r="J48" s="1111">
        <f>G48-E48</f>
        <v>0</v>
      </c>
      <c r="K48" s="605"/>
      <c r="L48" s="605"/>
      <c r="M48" s="233"/>
      <c r="N48" s="2625"/>
      <c r="O48" s="2460"/>
    </row>
    <row r="49" spans="1:217">
      <c r="A49" s="777"/>
      <c r="B49" s="605"/>
      <c r="C49" s="777"/>
      <c r="D49" s="818"/>
      <c r="E49" s="605"/>
      <c r="F49" s="605"/>
      <c r="G49" s="605"/>
      <c r="H49" s="605"/>
      <c r="I49" s="605"/>
      <c r="J49" s="605"/>
      <c r="K49" s="605"/>
      <c r="L49" s="605"/>
      <c r="M49" s="605"/>
      <c r="N49" s="2625"/>
      <c r="O49" s="2460"/>
    </row>
    <row r="50" spans="1:217">
      <c r="A50" s="777"/>
      <c r="B50" s="828" t="s">
        <v>959</v>
      </c>
      <c r="C50" s="828"/>
      <c r="D50" s="829"/>
      <c r="E50" s="830"/>
      <c r="F50" s="830"/>
      <c r="G50" s="828"/>
      <c r="H50" s="828"/>
      <c r="I50" s="828"/>
      <c r="J50" s="828"/>
      <c r="K50" s="828"/>
      <c r="L50" s="829"/>
      <c r="M50" s="605"/>
      <c r="N50" s="2625"/>
      <c r="O50" s="2460"/>
    </row>
    <row r="51" spans="1:217">
      <c r="A51" s="777"/>
      <c r="B51" s="777"/>
      <c r="C51" s="777"/>
      <c r="D51" s="818"/>
      <c r="E51" s="712"/>
      <c r="F51" s="802"/>
      <c r="G51" s="802"/>
      <c r="H51" s="819"/>
      <c r="I51" s="802"/>
      <c r="J51" s="605"/>
      <c r="K51" s="605"/>
      <c r="L51" s="605"/>
      <c r="M51" s="605"/>
      <c r="N51" s="2625"/>
      <c r="O51" s="2460"/>
    </row>
    <row r="52" spans="1:217" ht="13.8" thickBot="1">
      <c r="A52" s="777"/>
      <c r="B52" s="735" t="s">
        <v>960</v>
      </c>
      <c r="C52" s="735"/>
      <c r="D52" s="611"/>
      <c r="E52" s="737" t="s">
        <v>961</v>
      </c>
      <c r="F52" s="780" t="s">
        <v>948</v>
      </c>
      <c r="G52" s="735" t="s">
        <v>853</v>
      </c>
      <c r="H52" s="782"/>
      <c r="I52" s="802"/>
      <c r="J52" s="605"/>
      <c r="K52" s="605"/>
      <c r="L52" s="605"/>
      <c r="M52" s="605"/>
      <c r="N52" s="2625"/>
      <c r="O52" s="2460"/>
    </row>
    <row r="53" spans="1:217" ht="13.8" thickBot="1">
      <c r="A53" s="777"/>
      <c r="B53" s="783" t="s">
        <v>689</v>
      </c>
      <c r="C53" s="789"/>
      <c r="D53" s="2453">
        <f>IF('6. Inputs'!K236="",'6. Inputs'!I236,'6. Inputs'!K236)</f>
        <v>0</v>
      </c>
      <c r="E53" s="1897">
        <f>'6. Inputs'!I65</f>
        <v>0</v>
      </c>
      <c r="F53" s="2027" t="str">
        <f>'6. Inputs'!C65</f>
        <v>Please select</v>
      </c>
      <c r="G53" s="831">
        <f>$E53*D53/1000</f>
        <v>0</v>
      </c>
      <c r="H53" s="784"/>
      <c r="I53" s="802"/>
      <c r="J53" s="605"/>
      <c r="K53" s="605"/>
      <c r="L53" s="605"/>
      <c r="M53" s="605"/>
      <c r="N53" s="2625"/>
      <c r="O53" s="2460"/>
    </row>
    <row r="54" spans="1:217">
      <c r="A54" s="777"/>
      <c r="B54" s="610" t="s">
        <v>689</v>
      </c>
      <c r="C54" s="611"/>
      <c r="D54" s="2453">
        <f>IF('6. Inputs'!K237="",'6. Inputs'!I237,'6. Inputs'!K237)</f>
        <v>0</v>
      </c>
      <c r="E54" s="1897">
        <f>'6. Inputs'!I66</f>
        <v>0</v>
      </c>
      <c r="F54" s="2027" t="str">
        <f>'6. Inputs'!C66</f>
        <v>Please select</v>
      </c>
      <c r="G54" s="831">
        <f>$E54*D54/1000</f>
        <v>0</v>
      </c>
      <c r="H54" s="2107"/>
      <c r="I54" s="802"/>
      <c r="J54" s="605"/>
      <c r="K54" s="605"/>
      <c r="L54" s="605"/>
      <c r="M54" s="605"/>
      <c r="N54" s="2625"/>
      <c r="O54" s="2460"/>
    </row>
    <row r="55" spans="1:217" ht="13.8" thickBot="1">
      <c r="A55" s="777"/>
      <c r="B55" s="610" t="s">
        <v>688</v>
      </c>
      <c r="C55" s="611"/>
      <c r="D55" s="2453">
        <f>D53</f>
        <v>0</v>
      </c>
      <c r="E55" s="2028">
        <f>'6. Inputs'!K65</f>
        <v>0</v>
      </c>
      <c r="F55" s="2029" t="str">
        <f>F53</f>
        <v>Please select</v>
      </c>
      <c r="G55" s="831">
        <f>$E55*D55/1000</f>
        <v>0</v>
      </c>
      <c r="H55" s="2107"/>
      <c r="I55" s="802"/>
      <c r="J55" s="605"/>
      <c r="K55" s="605"/>
      <c r="L55" s="605"/>
      <c r="M55" s="605"/>
      <c r="N55" s="2625"/>
      <c r="O55" s="2460"/>
    </row>
    <row r="56" spans="1:217" ht="13.8" thickBot="1">
      <c r="A56" s="777"/>
      <c r="B56" s="615" t="s">
        <v>688</v>
      </c>
      <c r="C56" s="616"/>
      <c r="D56" s="2453">
        <f>D54</f>
        <v>0</v>
      </c>
      <c r="E56" s="2028">
        <f>'6. Inputs'!K66</f>
        <v>0</v>
      </c>
      <c r="F56" s="2029" t="str">
        <f>F54</f>
        <v>Please select</v>
      </c>
      <c r="G56" s="831">
        <f>$E56*D56/1000</f>
        <v>0</v>
      </c>
      <c r="H56" s="786"/>
      <c r="I56" s="802"/>
      <c r="J56" s="605"/>
      <c r="K56" s="605"/>
      <c r="L56" s="605"/>
      <c r="M56" s="605"/>
      <c r="N56" s="2625"/>
      <c r="O56" s="2460"/>
    </row>
    <row r="57" spans="1:217" s="605" customFormat="1">
      <c r="A57" s="777"/>
      <c r="I57" s="832" t="s">
        <v>348</v>
      </c>
      <c r="J57" s="811">
        <f>G56+G55-G53-G54</f>
        <v>0</v>
      </c>
      <c r="N57" s="2460"/>
      <c r="O57" s="2460"/>
      <c r="P57" s="2460"/>
      <c r="Q57" s="2469"/>
      <c r="R57" s="2469"/>
      <c r="S57" s="2627">
        <f>J57</f>
        <v>0</v>
      </c>
      <c r="T57" s="1133"/>
      <c r="U57" s="1133"/>
      <c r="V57" s="1133"/>
      <c r="W57" s="1133"/>
      <c r="X57" s="1133"/>
      <c r="Y57" s="1133"/>
      <c r="Z57" s="1133"/>
      <c r="AA57" s="1133"/>
      <c r="AB57" s="1133"/>
      <c r="AC57" s="1133"/>
      <c r="AD57" s="1133"/>
    </row>
    <row r="58" spans="1:217" s="605" customFormat="1">
      <c r="A58" s="776"/>
      <c r="F58" s="2743" t="s">
        <v>963</v>
      </c>
      <c r="N58" s="2460"/>
      <c r="O58" s="2460"/>
      <c r="P58" s="2460"/>
      <c r="Q58" s="2469"/>
      <c r="R58" s="2469"/>
      <c r="S58" s="2469"/>
      <c r="T58" s="1133"/>
      <c r="U58" s="1133"/>
      <c r="V58" s="1133"/>
      <c r="W58" s="1133"/>
      <c r="X58" s="1133"/>
      <c r="Y58" s="1133"/>
      <c r="Z58" s="1133"/>
      <c r="AA58" s="1133"/>
      <c r="AB58" s="1133"/>
      <c r="AC58" s="1133"/>
      <c r="AD58" s="1133"/>
    </row>
    <row r="59" spans="1:217" s="605" customFormat="1">
      <c r="A59" s="776"/>
      <c r="B59" s="828" t="s">
        <v>964</v>
      </c>
      <c r="C59" s="828"/>
      <c r="D59" s="829"/>
      <c r="E59" s="830"/>
      <c r="F59" s="830"/>
      <c r="G59" s="828"/>
      <c r="H59" s="828"/>
      <c r="I59" s="828"/>
      <c r="J59" s="828"/>
      <c r="K59" s="828"/>
      <c r="L59" s="829"/>
      <c r="N59" s="2460"/>
      <c r="O59" s="2460"/>
      <c r="P59" s="2460"/>
      <c r="Q59" s="2469"/>
      <c r="R59" s="2469"/>
      <c r="S59" s="2469"/>
      <c r="T59" s="1133"/>
      <c r="U59" s="1133"/>
      <c r="V59" s="1133"/>
      <c r="W59" s="1133"/>
      <c r="X59" s="1133"/>
      <c r="Y59" s="1133"/>
      <c r="Z59" s="1133"/>
      <c r="AA59" s="1133"/>
      <c r="AB59" s="1133"/>
      <c r="AC59" s="1133"/>
      <c r="AD59" s="1133"/>
    </row>
    <row r="60" spans="1:217" s="605" customFormat="1">
      <c r="A60" s="776"/>
      <c r="D60" s="777"/>
      <c r="E60" s="622"/>
      <c r="F60" s="622"/>
      <c r="I60" s="777"/>
      <c r="N60" s="2460"/>
      <c r="O60" s="2460"/>
      <c r="P60" s="2460"/>
      <c r="Q60" s="2469"/>
      <c r="R60" s="2469"/>
      <c r="S60" s="2469"/>
      <c r="T60" s="1133"/>
      <c r="U60" s="1133"/>
      <c r="V60" s="1133"/>
      <c r="W60" s="1133"/>
      <c r="X60" s="1133"/>
      <c r="Y60" s="1133"/>
      <c r="Z60" s="1133"/>
      <c r="AA60" s="1133"/>
      <c r="AB60" s="1133"/>
      <c r="AC60" s="1133"/>
      <c r="AD60" s="1133"/>
    </row>
    <row r="61" spans="1:217" s="605" customFormat="1">
      <c r="A61" s="776"/>
      <c r="B61" s="728" t="s">
        <v>127</v>
      </c>
      <c r="C61" s="729"/>
      <c r="D61" s="561" t="s">
        <v>909</v>
      </c>
      <c r="E61" s="561" t="s">
        <v>343</v>
      </c>
      <c r="F61" s="562" t="s">
        <v>344</v>
      </c>
      <c r="G61" s="729" t="s">
        <v>965</v>
      </c>
      <c r="H61" s="833"/>
      <c r="I61" s="588" t="s">
        <v>911</v>
      </c>
      <c r="J61" s="697"/>
      <c r="N61" s="2460"/>
      <c r="O61" s="2460"/>
      <c r="P61" s="2460"/>
      <c r="Q61" s="2469"/>
      <c r="R61" s="2469"/>
      <c r="S61" s="2469"/>
      <c r="T61" s="1133"/>
      <c r="U61" s="1133"/>
      <c r="V61" s="1133"/>
      <c r="W61" s="1133"/>
      <c r="X61" s="1133"/>
      <c r="Y61" s="1133"/>
      <c r="Z61" s="1133"/>
      <c r="AA61" s="1133"/>
      <c r="AB61" s="1133"/>
      <c r="AC61" s="1133"/>
      <c r="AD61" s="1133"/>
    </row>
    <row r="62" spans="1:217" s="605" customFormat="1" ht="13.8" thickBot="1">
      <c r="A62" s="776"/>
      <c r="B62" s="827"/>
      <c r="C62" s="785"/>
      <c r="D62" s="545" t="s">
        <v>126</v>
      </c>
      <c r="E62" s="545" t="s">
        <v>982</v>
      </c>
      <c r="F62" s="548" t="s">
        <v>351</v>
      </c>
      <c r="G62" s="834" t="s">
        <v>690</v>
      </c>
      <c r="H62" s="835" t="s">
        <v>691</v>
      </c>
      <c r="I62" s="834" t="s">
        <v>690</v>
      </c>
      <c r="J62" s="835" t="s">
        <v>691</v>
      </c>
      <c r="N62" s="2460"/>
      <c r="O62" s="2460"/>
      <c r="P62" s="2460"/>
      <c r="Q62" s="2469"/>
      <c r="R62" s="2469"/>
      <c r="S62" s="2469"/>
      <c r="T62" s="1133"/>
      <c r="U62" s="1133"/>
      <c r="V62" s="1133"/>
      <c r="W62" s="1133"/>
      <c r="X62" s="1133"/>
      <c r="Y62" s="1133"/>
      <c r="Z62" s="1133"/>
      <c r="AA62" s="1133"/>
      <c r="AB62" s="1133"/>
      <c r="AC62" s="1133"/>
      <c r="AD62" s="1133"/>
    </row>
    <row r="63" spans="1:217" s="605" customFormat="1" ht="13.8" thickBot="1">
      <c r="A63" s="776"/>
      <c r="B63" s="3246" t="str">
        <f>'6. Inputs'!C70</f>
        <v>Please select</v>
      </c>
      <c r="C63" s="3247"/>
      <c r="D63" s="1235">
        <f>VLOOKUP($B63,' IPCC'!$A$707:$B$722,2,)/1000</f>
        <v>0</v>
      </c>
      <c r="E63" s="2454">
        <f>IF('6. Inputs'!K240="",'6. Inputs'!I240,'6. Inputs'!K240)</f>
        <v>0</v>
      </c>
      <c r="F63" s="1231" t="s">
        <v>359</v>
      </c>
      <c r="G63" s="1897">
        <f>'6. Inputs'!I70</f>
        <v>0</v>
      </c>
      <c r="H63" s="1897">
        <f>'6. Inputs'!K70</f>
        <v>0</v>
      </c>
      <c r="I63" s="601">
        <f>IF($F63="yes",$D63*G63,$E63*G63)</f>
        <v>0</v>
      </c>
      <c r="J63" s="601">
        <f>IF($F63="yes",$D63*H63,$E63*H63)</f>
        <v>0</v>
      </c>
      <c r="N63" s="2460"/>
      <c r="O63" s="2460"/>
      <c r="P63" s="2460"/>
      <c r="Q63" s="2469"/>
      <c r="R63" s="2469"/>
      <c r="S63" s="2469"/>
      <c r="T63" s="1133"/>
      <c r="U63" s="1133"/>
      <c r="V63" s="1133"/>
      <c r="W63" s="1133"/>
      <c r="X63" s="1133"/>
      <c r="Y63" s="1133"/>
      <c r="Z63" s="1133"/>
      <c r="AA63" s="1133"/>
      <c r="AB63" s="1133"/>
      <c r="AC63" s="1133"/>
      <c r="AD63" s="1133"/>
    </row>
    <row r="64" spans="1:217" ht="13.8" thickBot="1">
      <c r="B64" s="3246" t="str">
        <f>'6. Inputs'!C71</f>
        <v>Please select</v>
      </c>
      <c r="C64" s="3247"/>
      <c r="D64" s="1236">
        <f>VLOOKUP($B64,' IPCC'!$A$707:$B$722,2,)/1000</f>
        <v>0</v>
      </c>
      <c r="E64" s="2454">
        <f>IF('6. Inputs'!K241="",'6. Inputs'!I241,'6. Inputs'!K241)</f>
        <v>0</v>
      </c>
      <c r="F64" s="1231" t="s">
        <v>359</v>
      </c>
      <c r="G64" s="1897">
        <f>'6. Inputs'!I71</f>
        <v>0</v>
      </c>
      <c r="H64" s="1897">
        <f>'6. Inputs'!K71</f>
        <v>0</v>
      </c>
      <c r="I64" s="601">
        <f t="shared" ref="I64:I69" si="0">IF($F64="yes",$D64*G64,$E64*G64)</f>
        <v>0</v>
      </c>
      <c r="J64" s="601">
        <f t="shared" ref="J64:J69" si="1">IF($F64="yes",$D64*H64,$E64*H64)</f>
        <v>0</v>
      </c>
      <c r="K64" s="233"/>
      <c r="L64" s="233"/>
      <c r="M64" s="233"/>
      <c r="N64" s="2460"/>
      <c r="O64" s="2460"/>
      <c r="HI64" s="771"/>
    </row>
    <row r="65" spans="2:217" ht="13.8" thickBot="1">
      <c r="B65" s="3246" t="str">
        <f>'6. Inputs'!C72</f>
        <v>Please select</v>
      </c>
      <c r="C65" s="3247"/>
      <c r="D65" s="1236">
        <f>VLOOKUP($B65,' IPCC'!$A$707:$B$722,2,)/1000</f>
        <v>0</v>
      </c>
      <c r="E65" s="2454">
        <f>IF('6. Inputs'!K242="",'6. Inputs'!I242,'6. Inputs'!K242)</f>
        <v>0</v>
      </c>
      <c r="F65" s="1231" t="s">
        <v>359</v>
      </c>
      <c r="G65" s="1897">
        <f>'6. Inputs'!I72</f>
        <v>0</v>
      </c>
      <c r="H65" s="1897">
        <f>'6. Inputs'!K72</f>
        <v>0</v>
      </c>
      <c r="I65" s="601">
        <f>IF($F65="yes",$D65*G65,$E65*G65)</f>
        <v>0</v>
      </c>
      <c r="J65" s="601">
        <f>IF($F65="yes",$D65*H65,$E65*H65)</f>
        <v>0</v>
      </c>
      <c r="K65" s="233"/>
      <c r="L65" s="233"/>
      <c r="M65" s="233"/>
      <c r="N65" s="2460"/>
      <c r="O65" s="2460"/>
      <c r="HI65" s="771"/>
    </row>
    <row r="66" spans="2:217" ht="13.8" thickBot="1">
      <c r="B66" s="3246" t="str">
        <f>'6. Inputs'!C73</f>
        <v>Please select</v>
      </c>
      <c r="C66" s="3247"/>
      <c r="D66" s="1236">
        <f>VLOOKUP($B66,' IPCC'!$A$707:$B$722,2,)/1000</f>
        <v>0</v>
      </c>
      <c r="E66" s="2454">
        <f>IF('6. Inputs'!K243="",'6. Inputs'!I243,'6. Inputs'!K243)</f>
        <v>0</v>
      </c>
      <c r="F66" s="1231" t="s">
        <v>359</v>
      </c>
      <c r="G66" s="1897">
        <f>'6. Inputs'!I73</f>
        <v>0</v>
      </c>
      <c r="H66" s="1897">
        <f>'6. Inputs'!K73</f>
        <v>0</v>
      </c>
      <c r="I66" s="601">
        <f>IF($F66="yes",$D66*G66,$E66*G66)</f>
        <v>0</v>
      </c>
      <c r="J66" s="601">
        <f>IF($F66="yes",$D66*H66,$E66*H66)</f>
        <v>0</v>
      </c>
      <c r="K66" s="233"/>
      <c r="L66" s="233"/>
      <c r="M66" s="233"/>
      <c r="N66" s="2460"/>
      <c r="O66" s="2460"/>
      <c r="HI66" s="771"/>
    </row>
    <row r="67" spans="2:217" ht="13.8" thickBot="1">
      <c r="B67" s="3246" t="str">
        <f>'6. Inputs'!C74</f>
        <v>Please select</v>
      </c>
      <c r="C67" s="3247"/>
      <c r="D67" s="1236">
        <f>VLOOKUP($B67,' IPCC'!$A$707:$B$722,2,)/1000</f>
        <v>0</v>
      </c>
      <c r="E67" s="2454">
        <f>IF('6. Inputs'!K244="",'6. Inputs'!I244,'6. Inputs'!K244)</f>
        <v>0</v>
      </c>
      <c r="F67" s="1231" t="s">
        <v>359</v>
      </c>
      <c r="G67" s="1897">
        <f>'6. Inputs'!I74</f>
        <v>0</v>
      </c>
      <c r="H67" s="1897">
        <f>'6. Inputs'!K74</f>
        <v>0</v>
      </c>
      <c r="I67" s="601">
        <f t="shared" si="0"/>
        <v>0</v>
      </c>
      <c r="J67" s="601">
        <f t="shared" si="1"/>
        <v>0</v>
      </c>
      <c r="K67" s="233"/>
      <c r="L67" s="233"/>
      <c r="M67" s="233"/>
      <c r="N67" s="2460"/>
      <c r="O67" s="2460"/>
      <c r="HI67" s="771"/>
    </row>
    <row r="68" spans="2:217" ht="13.8" thickBot="1">
      <c r="B68" s="3246" t="str">
        <f>'6. Inputs'!C75</f>
        <v>Please select</v>
      </c>
      <c r="C68" s="3247"/>
      <c r="D68" s="1236">
        <f>VLOOKUP($B68,' IPCC'!$A$707:$B$722,2,)/1000</f>
        <v>0</v>
      </c>
      <c r="E68" s="2454">
        <f>IF('6. Inputs'!K245="",'6. Inputs'!I245,'6. Inputs'!K245)</f>
        <v>0</v>
      </c>
      <c r="F68" s="1231" t="s">
        <v>359</v>
      </c>
      <c r="G68" s="1897">
        <f>'6. Inputs'!I75</f>
        <v>0</v>
      </c>
      <c r="H68" s="1897">
        <f>'6. Inputs'!K75</f>
        <v>0</v>
      </c>
      <c r="I68" s="601">
        <f t="shared" si="0"/>
        <v>0</v>
      </c>
      <c r="J68" s="601">
        <f t="shared" si="1"/>
        <v>0</v>
      </c>
      <c r="K68" s="233"/>
      <c r="L68" s="233"/>
      <c r="M68" s="233"/>
      <c r="N68" s="2460"/>
      <c r="O68" s="2460"/>
      <c r="HI68" s="771"/>
    </row>
    <row r="69" spans="2:217">
      <c r="B69" s="3246" t="str">
        <f>'6. Inputs'!C76</f>
        <v>Please select</v>
      </c>
      <c r="C69" s="3247"/>
      <c r="D69" s="800">
        <f>VLOOKUP($B69,' IPCC'!$A$707:$B$722,2,)/1000</f>
        <v>0</v>
      </c>
      <c r="E69" s="2454">
        <f>IF('6. Inputs'!K246="",'6. Inputs'!I246,'6. Inputs'!K246)</f>
        <v>0</v>
      </c>
      <c r="F69" s="1231" t="s">
        <v>359</v>
      </c>
      <c r="G69" s="1897">
        <f>'6. Inputs'!I76</f>
        <v>0</v>
      </c>
      <c r="H69" s="1897">
        <f>'6. Inputs'!K76</f>
        <v>0</v>
      </c>
      <c r="I69" s="601">
        <f t="shared" si="0"/>
        <v>0</v>
      </c>
      <c r="J69" s="601">
        <f t="shared" si="1"/>
        <v>0</v>
      </c>
      <c r="K69" s="233"/>
      <c r="L69" s="233"/>
      <c r="M69" s="233"/>
      <c r="N69" s="2460"/>
      <c r="O69" s="2460"/>
      <c r="HI69" s="771"/>
    </row>
    <row r="70" spans="2:217">
      <c r="B70" s="233"/>
      <c r="C70" s="233"/>
      <c r="D70" s="233"/>
      <c r="E70" s="770"/>
      <c r="F70" s="234"/>
      <c r="G70" s="234"/>
      <c r="H70" s="233"/>
      <c r="I70" s="233"/>
      <c r="J70" s="770"/>
      <c r="K70" s="233"/>
      <c r="L70" s="233"/>
      <c r="M70" s="233"/>
      <c r="N70" s="2460"/>
      <c r="O70" s="2460"/>
      <c r="HI70" s="771"/>
    </row>
    <row r="71" spans="2:217">
      <c r="B71" s="233"/>
      <c r="C71" s="233"/>
      <c r="E71" s="770"/>
      <c r="F71" s="836" t="s">
        <v>986</v>
      </c>
      <c r="G71" s="773">
        <f>SUM(I63:I69)</f>
        <v>0</v>
      </c>
      <c r="H71" s="837">
        <f>SUM(J63:J69)</f>
        <v>0</v>
      </c>
      <c r="I71" s="832" t="s">
        <v>348</v>
      </c>
      <c r="J71" s="811">
        <f>H71-G71</f>
        <v>0</v>
      </c>
      <c r="K71" s="233"/>
      <c r="L71" s="233"/>
      <c r="M71" s="233"/>
      <c r="N71" s="2460"/>
      <c r="O71" s="2460"/>
      <c r="S71" s="2469">
        <f>J71</f>
        <v>0</v>
      </c>
      <c r="HI71" s="771"/>
    </row>
    <row r="72" spans="2:217">
      <c r="B72" s="233"/>
      <c r="C72" s="233"/>
      <c r="D72" s="770"/>
      <c r="E72" s="234"/>
      <c r="F72" s="234"/>
      <c r="G72" s="233"/>
      <c r="H72" s="233"/>
      <c r="I72" s="770"/>
      <c r="J72" s="233"/>
      <c r="K72" s="233"/>
      <c r="L72" s="233"/>
      <c r="M72" s="233"/>
      <c r="N72" s="2460"/>
      <c r="O72" s="2460"/>
      <c r="HI72" s="771"/>
    </row>
    <row r="73" spans="2:217">
      <c r="B73" s="233"/>
      <c r="C73" s="233"/>
      <c r="D73" s="770"/>
      <c r="E73" s="234"/>
      <c r="F73" s="234"/>
      <c r="G73" s="233"/>
      <c r="H73" s="233"/>
      <c r="I73" s="770"/>
      <c r="J73" s="233"/>
      <c r="K73" s="233"/>
      <c r="L73" s="233"/>
      <c r="M73" s="233"/>
      <c r="N73" s="2460"/>
      <c r="O73" s="2460"/>
      <c r="HI73" s="771"/>
    </row>
    <row r="74" spans="2:217">
      <c r="B74" s="233"/>
      <c r="C74" s="233"/>
      <c r="D74" s="770"/>
      <c r="E74" s="234"/>
      <c r="F74" s="234"/>
      <c r="G74" s="233"/>
      <c r="H74" s="233"/>
      <c r="I74" s="770"/>
      <c r="J74" s="233"/>
      <c r="K74" s="233"/>
      <c r="L74" s="233"/>
      <c r="M74" s="233"/>
      <c r="N74" s="2460"/>
      <c r="O74" s="2460"/>
      <c r="HI74" s="771"/>
    </row>
    <row r="75" spans="2:217">
      <c r="B75" s="838" t="s">
        <v>987</v>
      </c>
      <c r="C75" s="839"/>
      <c r="D75" s="1233"/>
      <c r="E75" s="1472" t="s">
        <v>690</v>
      </c>
      <c r="F75" s="1473">
        <f>G71+G53+E48+E24+G54</f>
        <v>0</v>
      </c>
      <c r="G75" s="1474" t="s">
        <v>691</v>
      </c>
      <c r="H75" s="1473">
        <f>H71+G56+G48+G24+G55</f>
        <v>0</v>
      </c>
      <c r="I75" s="839" t="s">
        <v>348</v>
      </c>
      <c r="J75" s="944">
        <f>H75-F75</f>
        <v>0</v>
      </c>
      <c r="K75" s="233"/>
      <c r="L75" s="233"/>
      <c r="M75" s="233"/>
      <c r="N75" s="2460"/>
      <c r="O75" s="2460"/>
      <c r="S75" s="2469">
        <f>IF(time=0,0,S71+S57+S47+S30+S23+S15)</f>
        <v>0</v>
      </c>
      <c r="T75" s="1132">
        <f>J75-S75</f>
        <v>0</v>
      </c>
      <c r="HI75" s="771"/>
    </row>
    <row r="76" spans="2:217">
      <c r="B76" s="233"/>
      <c r="C76" s="233"/>
      <c r="D76" s="770"/>
      <c r="E76" s="234"/>
      <c r="F76" s="234"/>
      <c r="G76" s="233"/>
      <c r="H76" s="233"/>
      <c r="I76" s="770"/>
      <c r="J76" s="233"/>
      <c r="K76" s="233"/>
      <c r="L76" s="233"/>
      <c r="M76" s="233"/>
      <c r="N76" s="2460"/>
      <c r="O76" s="2460"/>
      <c r="HI76" s="771"/>
    </row>
    <row r="77" spans="2:217">
      <c r="B77" s="233"/>
      <c r="C77" s="233"/>
      <c r="D77" s="770"/>
      <c r="E77" s="234"/>
      <c r="F77" s="234"/>
      <c r="G77" s="233"/>
      <c r="H77" s="233"/>
      <c r="I77" s="770"/>
      <c r="J77" s="233"/>
      <c r="K77" s="233"/>
      <c r="L77" s="233"/>
      <c r="M77" s="233"/>
      <c r="N77" s="2460"/>
      <c r="O77" s="2460"/>
      <c r="HI77" s="771"/>
    </row>
    <row r="78" spans="2:217">
      <c r="B78" s="233"/>
      <c r="C78" s="233"/>
      <c r="D78" s="770"/>
      <c r="E78" s="234"/>
      <c r="F78" s="234"/>
      <c r="G78" s="233"/>
      <c r="H78" s="233"/>
      <c r="I78" s="770"/>
      <c r="J78" s="233"/>
      <c r="K78" s="233"/>
      <c r="L78" s="233"/>
      <c r="M78" s="233"/>
      <c r="N78" s="2460"/>
      <c r="O78" s="2460"/>
      <c r="HI78" s="771"/>
    </row>
    <row r="79" spans="2:217">
      <c r="B79" s="233"/>
      <c r="C79" s="233"/>
      <c r="D79" s="770"/>
      <c r="E79" s="234"/>
      <c r="F79" s="234"/>
      <c r="G79" s="233"/>
      <c r="H79" s="233"/>
      <c r="I79" s="770"/>
      <c r="J79" s="233"/>
      <c r="K79" s="233"/>
      <c r="L79" s="233"/>
      <c r="M79" s="233"/>
      <c r="N79" s="2460"/>
      <c r="O79" s="2460"/>
      <c r="HI79" s="771"/>
    </row>
    <row r="80" spans="2:217">
      <c r="B80" s="233"/>
      <c r="C80" s="233"/>
      <c r="D80" s="770"/>
      <c r="E80" s="234"/>
      <c r="F80" s="234"/>
      <c r="G80" s="233"/>
      <c r="H80" s="233"/>
      <c r="I80" s="770"/>
      <c r="J80" s="233"/>
      <c r="K80" s="233"/>
      <c r="L80" s="233"/>
      <c r="M80" s="233"/>
      <c r="N80" s="2460"/>
      <c r="O80" s="2460"/>
      <c r="HI80" s="771"/>
    </row>
    <row r="81" spans="2:217">
      <c r="B81" s="233"/>
      <c r="C81" s="233"/>
      <c r="D81" s="770"/>
      <c r="E81" s="234"/>
      <c r="F81" s="234"/>
      <c r="G81" s="233"/>
      <c r="H81" s="233"/>
      <c r="I81" s="770"/>
      <c r="J81" s="233"/>
      <c r="K81" s="233"/>
      <c r="L81" s="233"/>
      <c r="M81" s="233"/>
      <c r="N81" s="2460"/>
      <c r="O81" s="2460"/>
      <c r="HI81" s="771"/>
    </row>
    <row r="82" spans="2:217">
      <c r="B82" s="233"/>
      <c r="C82" s="233"/>
      <c r="D82" s="770"/>
      <c r="E82" s="234"/>
      <c r="F82" s="234"/>
      <c r="G82" s="233"/>
      <c r="H82" s="233"/>
      <c r="I82" s="770"/>
      <c r="J82" s="233"/>
      <c r="K82" s="233"/>
      <c r="L82" s="233"/>
      <c r="M82" s="233"/>
      <c r="N82" s="2460"/>
      <c r="O82" s="2460"/>
      <c r="HI82" s="771"/>
    </row>
    <row r="83" spans="2:217">
      <c r="B83" s="233"/>
      <c r="C83" s="233"/>
      <c r="D83" s="770"/>
      <c r="E83" s="234"/>
      <c r="F83" s="234"/>
      <c r="G83" s="233"/>
      <c r="H83" s="233"/>
      <c r="I83" s="770"/>
      <c r="J83" s="233"/>
      <c r="K83" s="233"/>
      <c r="L83" s="233"/>
      <c r="M83" s="233"/>
      <c r="N83" s="2460"/>
      <c r="O83" s="2460"/>
      <c r="HI83" s="771"/>
    </row>
    <row r="84" spans="2:217">
      <c r="B84" s="233"/>
      <c r="C84" s="233"/>
      <c r="D84" s="770"/>
      <c r="E84" s="234"/>
      <c r="F84" s="234"/>
      <c r="G84" s="233"/>
      <c r="H84" s="233"/>
      <c r="I84" s="770"/>
      <c r="J84" s="233"/>
      <c r="K84" s="233"/>
      <c r="L84" s="233"/>
      <c r="M84" s="233"/>
      <c r="N84" s="2460"/>
      <c r="O84" s="2460"/>
      <c r="HI84" s="771"/>
    </row>
    <row r="85" spans="2:217">
      <c r="B85" s="233"/>
      <c r="C85" s="233"/>
      <c r="D85" s="770"/>
      <c r="E85" s="234"/>
      <c r="F85" s="234"/>
      <c r="G85" s="233"/>
      <c r="H85" s="233"/>
      <c r="I85" s="770"/>
      <c r="J85" s="233"/>
      <c r="K85" s="233"/>
      <c r="L85" s="233"/>
      <c r="M85" s="233"/>
      <c r="N85" s="2460"/>
      <c r="O85" s="2460"/>
      <c r="HI85" s="771"/>
    </row>
    <row r="86" spans="2:217">
      <c r="B86" s="233"/>
      <c r="C86" s="233"/>
      <c r="D86" s="770"/>
      <c r="E86" s="234"/>
      <c r="F86" s="234"/>
      <c r="G86" s="233"/>
      <c r="H86" s="233"/>
      <c r="I86" s="770"/>
      <c r="J86" s="233"/>
      <c r="K86" s="233"/>
      <c r="L86" s="233"/>
      <c r="M86" s="233"/>
      <c r="N86" s="2460"/>
      <c r="O86" s="2460"/>
      <c r="HI86" s="771"/>
    </row>
    <row r="87" spans="2:217">
      <c r="B87" s="233"/>
      <c r="C87" s="233"/>
      <c r="D87" s="770"/>
      <c r="E87" s="234"/>
      <c r="F87" s="234"/>
      <c r="G87" s="233"/>
      <c r="H87" s="233"/>
      <c r="I87" s="770"/>
      <c r="J87" s="233"/>
      <c r="K87" s="233"/>
      <c r="L87" s="233"/>
      <c r="M87" s="233"/>
      <c r="N87" s="2460"/>
      <c r="O87" s="2460"/>
      <c r="HI87" s="771"/>
    </row>
    <row r="88" spans="2:217">
      <c r="C88" s="233"/>
      <c r="D88" s="233"/>
      <c r="E88" s="770"/>
      <c r="F88" s="234"/>
      <c r="G88" s="234"/>
      <c r="H88" s="233"/>
      <c r="I88" s="233"/>
      <c r="J88" s="770"/>
      <c r="K88" s="233"/>
      <c r="L88" s="233"/>
      <c r="M88" s="233"/>
      <c r="N88" s="2460"/>
      <c r="O88" s="2460"/>
    </row>
    <row r="89" spans="2:217">
      <c r="C89" s="233"/>
      <c r="D89" s="233"/>
      <c r="E89" s="770"/>
      <c r="F89" s="234"/>
      <c r="G89" s="234"/>
      <c r="H89" s="233"/>
      <c r="I89" s="233"/>
      <c r="J89" s="770"/>
      <c r="K89" s="233"/>
      <c r="L89" s="233"/>
      <c r="M89" s="233"/>
      <c r="N89" s="2460"/>
      <c r="O89" s="2460"/>
    </row>
    <row r="90" spans="2:217">
      <c r="C90" s="233"/>
      <c r="D90" s="233"/>
      <c r="E90" s="770"/>
      <c r="F90" s="234"/>
      <c r="G90" s="234"/>
      <c r="H90" s="233"/>
      <c r="I90" s="233"/>
      <c r="J90" s="770"/>
      <c r="K90" s="233"/>
      <c r="L90" s="233"/>
      <c r="M90" s="233"/>
      <c r="N90" s="2460"/>
      <c r="O90" s="2460"/>
    </row>
    <row r="91" spans="2:217">
      <c r="C91" s="233"/>
      <c r="D91" s="233"/>
      <c r="E91" s="770"/>
      <c r="F91" s="234"/>
      <c r="G91" s="234"/>
      <c r="H91" s="233"/>
      <c r="I91" s="233"/>
      <c r="J91" s="770"/>
      <c r="K91" s="233"/>
      <c r="L91" s="233"/>
      <c r="M91" s="233"/>
      <c r="N91" s="2460"/>
      <c r="O91" s="2460"/>
    </row>
    <row r="92" spans="2:217">
      <c r="C92" s="233"/>
      <c r="D92" s="233"/>
      <c r="E92" s="770"/>
      <c r="F92" s="234"/>
      <c r="G92" s="234"/>
      <c r="H92" s="233"/>
      <c r="I92" s="233"/>
      <c r="J92" s="770"/>
      <c r="K92" s="233"/>
      <c r="L92" s="233"/>
      <c r="M92" s="233"/>
      <c r="N92" s="2460"/>
      <c r="O92" s="2460"/>
    </row>
    <row r="93" spans="2:217">
      <c r="C93" s="233"/>
      <c r="D93" s="233"/>
      <c r="E93" s="770"/>
      <c r="F93" s="234"/>
      <c r="G93" s="234"/>
      <c r="H93" s="233"/>
      <c r="I93" s="233"/>
      <c r="J93" s="770"/>
      <c r="K93" s="233"/>
      <c r="L93" s="233"/>
      <c r="M93" s="233"/>
      <c r="N93" s="2460"/>
      <c r="O93" s="2460"/>
    </row>
    <row r="94" spans="2:217">
      <c r="C94" s="233"/>
      <c r="D94" s="233"/>
      <c r="E94" s="770"/>
      <c r="F94" s="234"/>
      <c r="G94" s="234"/>
      <c r="H94" s="233"/>
      <c r="I94" s="233"/>
      <c r="J94" s="770"/>
      <c r="K94" s="233"/>
      <c r="L94" s="233"/>
      <c r="M94" s="233"/>
      <c r="N94" s="2460"/>
      <c r="O94" s="2460"/>
    </row>
    <row r="95" spans="2:217">
      <c r="C95" s="233"/>
      <c r="D95" s="233"/>
      <c r="E95" s="770"/>
      <c r="F95" s="234"/>
      <c r="G95" s="234"/>
      <c r="H95" s="233"/>
      <c r="I95" s="233"/>
      <c r="J95" s="770"/>
      <c r="K95" s="233"/>
      <c r="L95" s="233"/>
      <c r="M95" s="233"/>
      <c r="N95" s="2460"/>
      <c r="O95" s="2460"/>
    </row>
    <row r="96" spans="2:217">
      <c r="C96" s="233"/>
      <c r="D96" s="233"/>
      <c r="E96" s="770"/>
      <c r="F96" s="234"/>
      <c r="G96" s="234"/>
      <c r="H96" s="233"/>
      <c r="I96" s="233"/>
      <c r="J96" s="770"/>
      <c r="K96" s="233"/>
      <c r="L96" s="233"/>
      <c r="M96" s="233"/>
      <c r="N96" s="2460"/>
      <c r="O96" s="2460"/>
    </row>
    <row r="97" spans="3:15">
      <c r="C97" s="233"/>
      <c r="D97" s="233"/>
      <c r="E97" s="770"/>
      <c r="F97" s="234"/>
      <c r="G97" s="234"/>
      <c r="H97" s="233"/>
      <c r="I97" s="233"/>
      <c r="J97" s="770"/>
      <c r="K97" s="233"/>
      <c r="L97" s="233"/>
      <c r="M97" s="233"/>
      <c r="N97" s="2460"/>
      <c r="O97" s="2460"/>
    </row>
    <row r="98" spans="3:15">
      <c r="C98" s="233"/>
      <c r="D98" s="233"/>
      <c r="E98" s="770"/>
      <c r="F98" s="234"/>
      <c r="G98" s="234"/>
      <c r="H98" s="233"/>
      <c r="I98" s="233"/>
      <c r="J98" s="770"/>
      <c r="K98" s="233"/>
      <c r="L98" s="233"/>
      <c r="M98" s="233"/>
      <c r="N98" s="2460"/>
      <c r="O98" s="2460"/>
    </row>
    <row r="99" spans="3:15">
      <c r="C99" s="233"/>
      <c r="D99" s="233"/>
      <c r="E99" s="770"/>
      <c r="F99" s="234"/>
      <c r="G99" s="234"/>
      <c r="H99" s="233"/>
      <c r="I99" s="233"/>
      <c r="J99" s="770"/>
      <c r="K99" s="233"/>
      <c r="L99" s="233"/>
      <c r="M99" s="233"/>
      <c r="N99" s="2460"/>
      <c r="O99" s="2460"/>
    </row>
    <row r="100" spans="3:15">
      <c r="C100" s="233"/>
      <c r="D100" s="233"/>
      <c r="E100" s="770"/>
      <c r="F100" s="234"/>
      <c r="G100" s="234"/>
      <c r="H100" s="233"/>
      <c r="I100" s="233"/>
      <c r="J100" s="770"/>
      <c r="K100" s="233"/>
      <c r="L100" s="233"/>
      <c r="M100" s="233"/>
      <c r="N100" s="2460"/>
      <c r="O100" s="2460"/>
    </row>
    <row r="101" spans="3:15">
      <c r="C101" s="233"/>
      <c r="D101" s="233"/>
      <c r="E101" s="770"/>
      <c r="F101" s="234"/>
      <c r="G101" s="234"/>
      <c r="H101" s="233"/>
      <c r="I101" s="233"/>
      <c r="J101" s="770"/>
      <c r="K101" s="233"/>
      <c r="L101" s="233"/>
      <c r="M101" s="233"/>
      <c r="N101" s="2460"/>
      <c r="O101" s="2460"/>
    </row>
    <row r="102" spans="3:15">
      <c r="C102" s="233"/>
      <c r="D102" s="233"/>
      <c r="E102" s="770"/>
      <c r="F102" s="234"/>
      <c r="G102" s="234"/>
      <c r="H102" s="233"/>
      <c r="I102" s="233"/>
      <c r="J102" s="770"/>
      <c r="K102" s="233"/>
      <c r="L102" s="233"/>
      <c r="M102" s="233"/>
      <c r="N102" s="2460"/>
      <c r="O102" s="2460"/>
    </row>
    <row r="103" spans="3:15">
      <c r="C103" s="233"/>
      <c r="D103" s="233"/>
      <c r="E103" s="770"/>
      <c r="F103" s="234"/>
      <c r="G103" s="234"/>
      <c r="H103" s="233"/>
      <c r="I103" s="233"/>
      <c r="J103" s="770"/>
      <c r="K103" s="233"/>
      <c r="L103" s="233"/>
      <c r="M103" s="233"/>
      <c r="N103" s="2460"/>
      <c r="O103" s="2460"/>
    </row>
    <row r="104" spans="3:15">
      <c r="C104" s="233"/>
      <c r="D104" s="233"/>
      <c r="E104" s="770"/>
      <c r="F104" s="234"/>
      <c r="G104" s="234"/>
      <c r="H104" s="233"/>
      <c r="I104" s="233"/>
      <c r="J104" s="770"/>
      <c r="K104" s="233"/>
      <c r="L104" s="233"/>
      <c r="M104" s="233"/>
      <c r="N104" s="2460"/>
      <c r="O104" s="2460"/>
    </row>
    <row r="105" spans="3:15">
      <c r="C105" s="233"/>
      <c r="D105" s="233"/>
      <c r="E105" s="770"/>
      <c r="F105" s="234"/>
      <c r="G105" s="234"/>
      <c r="H105" s="233"/>
      <c r="I105" s="233"/>
      <c r="J105" s="770"/>
      <c r="K105" s="233"/>
      <c r="L105" s="233"/>
      <c r="M105" s="233"/>
      <c r="N105" s="2460"/>
      <c r="O105" s="2460"/>
    </row>
    <row r="106" spans="3:15">
      <c r="C106" s="233"/>
      <c r="D106" s="233"/>
      <c r="E106" s="770"/>
      <c r="F106" s="234"/>
      <c r="G106" s="234"/>
      <c r="H106" s="233"/>
      <c r="I106" s="233"/>
      <c r="J106" s="770"/>
      <c r="K106" s="233"/>
      <c r="L106" s="233"/>
      <c r="M106" s="233"/>
      <c r="N106" s="2460"/>
      <c r="O106" s="2460"/>
    </row>
    <row r="107" spans="3:15">
      <c r="C107" s="233"/>
      <c r="D107" s="233"/>
      <c r="E107" s="770"/>
      <c r="F107" s="234"/>
      <c r="G107" s="234"/>
      <c r="H107" s="233"/>
      <c r="I107" s="233"/>
      <c r="J107" s="770"/>
      <c r="K107" s="233"/>
      <c r="L107" s="233"/>
      <c r="M107" s="233"/>
      <c r="N107" s="2460"/>
      <c r="O107" s="2460"/>
    </row>
    <row r="108" spans="3:15">
      <c r="C108" s="233"/>
      <c r="D108" s="233"/>
      <c r="E108" s="770"/>
      <c r="F108" s="234"/>
      <c r="G108" s="234"/>
      <c r="H108" s="233"/>
      <c r="I108" s="233"/>
      <c r="J108" s="770"/>
      <c r="K108" s="233"/>
      <c r="L108" s="233"/>
      <c r="M108" s="233"/>
      <c r="N108" s="2460"/>
      <c r="O108" s="2460"/>
    </row>
    <row r="109" spans="3:15">
      <c r="C109" s="233"/>
      <c r="D109" s="233"/>
      <c r="E109" s="770"/>
      <c r="F109" s="234"/>
      <c r="G109" s="234"/>
      <c r="H109" s="233"/>
      <c r="I109" s="233"/>
      <c r="J109" s="770"/>
      <c r="K109" s="233"/>
      <c r="L109" s="233"/>
      <c r="M109" s="233"/>
      <c r="N109" s="2460"/>
      <c r="O109" s="2460"/>
    </row>
    <row r="110" spans="3:15">
      <c r="C110" s="233"/>
      <c r="D110" s="233"/>
      <c r="E110" s="770"/>
      <c r="F110" s="234"/>
      <c r="G110" s="234"/>
      <c r="H110" s="233"/>
      <c r="I110" s="233"/>
      <c r="J110" s="770"/>
      <c r="K110" s="233"/>
      <c r="L110" s="233"/>
      <c r="M110" s="233"/>
      <c r="N110" s="2460"/>
      <c r="O110" s="2460"/>
    </row>
    <row r="111" spans="3:15">
      <c r="C111" s="233"/>
      <c r="D111" s="233"/>
      <c r="E111" s="770"/>
      <c r="F111" s="234"/>
      <c r="G111" s="234"/>
      <c r="H111" s="233"/>
      <c r="I111" s="233"/>
      <c r="J111" s="770"/>
      <c r="K111" s="233"/>
      <c r="L111" s="233"/>
      <c r="M111" s="233"/>
      <c r="N111" s="2460"/>
      <c r="O111" s="2460"/>
    </row>
    <row r="112" spans="3:15">
      <c r="C112" s="233"/>
      <c r="D112" s="233"/>
      <c r="E112" s="770"/>
      <c r="F112" s="234"/>
      <c r="G112" s="234"/>
      <c r="H112" s="233"/>
      <c r="I112" s="233"/>
      <c r="J112" s="770"/>
      <c r="K112" s="233"/>
      <c r="L112" s="233"/>
      <c r="M112" s="233"/>
      <c r="N112" s="2460"/>
      <c r="O112" s="2460"/>
    </row>
    <row r="113" spans="3:15">
      <c r="C113" s="233"/>
      <c r="D113" s="233"/>
      <c r="E113" s="770"/>
      <c r="F113" s="234"/>
      <c r="G113" s="234"/>
      <c r="H113" s="233"/>
      <c r="I113" s="233"/>
      <c r="J113" s="770"/>
      <c r="K113" s="233"/>
      <c r="L113" s="233"/>
      <c r="M113" s="233"/>
      <c r="N113" s="2460"/>
      <c r="O113" s="2460"/>
    </row>
    <row r="114" spans="3:15">
      <c r="C114" s="233"/>
      <c r="D114" s="233"/>
      <c r="E114" s="770"/>
      <c r="F114" s="234"/>
      <c r="G114" s="234"/>
      <c r="H114" s="233"/>
      <c r="I114" s="233"/>
      <c r="J114" s="770"/>
      <c r="K114" s="233"/>
      <c r="L114" s="233"/>
      <c r="M114" s="233"/>
      <c r="N114" s="2460"/>
      <c r="O114" s="2460"/>
    </row>
    <row r="115" spans="3:15">
      <c r="C115" s="233"/>
      <c r="D115" s="233"/>
      <c r="E115" s="770"/>
      <c r="F115" s="234"/>
      <c r="G115" s="234"/>
      <c r="H115" s="233"/>
      <c r="I115" s="233"/>
      <c r="J115" s="770"/>
      <c r="K115" s="233"/>
      <c r="L115" s="233"/>
      <c r="M115" s="233"/>
      <c r="N115" s="2460"/>
      <c r="O115" s="2460"/>
    </row>
    <row r="116" spans="3:15">
      <c r="C116" s="233"/>
      <c r="D116" s="233"/>
      <c r="E116" s="770"/>
      <c r="F116" s="234"/>
      <c r="G116" s="234"/>
      <c r="H116" s="233"/>
      <c r="I116" s="233"/>
      <c r="J116" s="770"/>
      <c r="K116" s="233"/>
      <c r="L116" s="233"/>
      <c r="M116" s="233"/>
      <c r="N116" s="2460"/>
      <c r="O116" s="2460"/>
    </row>
    <row r="117" spans="3:15">
      <c r="C117" s="233"/>
      <c r="D117" s="233"/>
      <c r="E117" s="770"/>
      <c r="F117" s="234"/>
      <c r="G117" s="234"/>
      <c r="H117" s="233"/>
      <c r="I117" s="233"/>
      <c r="J117" s="770"/>
      <c r="K117" s="233"/>
      <c r="L117" s="233"/>
      <c r="M117" s="233"/>
      <c r="N117" s="2460"/>
      <c r="O117" s="2460"/>
    </row>
    <row r="118" spans="3:15">
      <c r="C118" s="233"/>
      <c r="D118" s="233"/>
      <c r="E118" s="770"/>
      <c r="F118" s="234"/>
      <c r="G118" s="234"/>
      <c r="H118" s="233"/>
      <c r="I118" s="233"/>
      <c r="J118" s="770"/>
      <c r="K118" s="233"/>
      <c r="L118" s="233"/>
      <c r="M118" s="233"/>
      <c r="N118" s="2460"/>
      <c r="O118" s="2460"/>
    </row>
    <row r="119" spans="3:15">
      <c r="C119" s="233"/>
      <c r="D119" s="233"/>
      <c r="E119" s="770"/>
      <c r="F119" s="234"/>
      <c r="G119" s="234"/>
      <c r="H119" s="233"/>
      <c r="I119" s="233"/>
      <c r="J119" s="770"/>
      <c r="K119" s="233"/>
      <c r="L119" s="233"/>
      <c r="M119" s="233"/>
      <c r="N119" s="2460"/>
      <c r="O119" s="2460"/>
    </row>
    <row r="120" spans="3:15">
      <c r="C120" s="233"/>
      <c r="D120" s="233"/>
      <c r="E120" s="770"/>
      <c r="F120" s="234"/>
      <c r="G120" s="234"/>
      <c r="H120" s="233"/>
      <c r="I120" s="233"/>
      <c r="J120" s="770"/>
      <c r="K120" s="233"/>
      <c r="L120" s="233"/>
      <c r="M120" s="233"/>
      <c r="N120" s="2460"/>
      <c r="O120" s="2460"/>
    </row>
    <row r="121" spans="3:15">
      <c r="C121" s="233"/>
      <c r="D121" s="233"/>
      <c r="E121" s="770"/>
      <c r="F121" s="234"/>
      <c r="G121" s="234"/>
      <c r="H121" s="233"/>
      <c r="I121" s="233"/>
      <c r="J121" s="770"/>
      <c r="K121" s="233"/>
      <c r="L121" s="233"/>
      <c r="M121" s="233"/>
      <c r="N121" s="2460"/>
      <c r="O121" s="2460"/>
    </row>
    <row r="122" spans="3:15">
      <c r="C122" s="233"/>
      <c r="D122" s="233"/>
      <c r="E122" s="770"/>
      <c r="F122" s="234"/>
      <c r="G122" s="234"/>
      <c r="H122" s="233"/>
      <c r="I122" s="233"/>
      <c r="J122" s="770"/>
      <c r="K122" s="233"/>
      <c r="L122" s="233"/>
      <c r="M122" s="233"/>
      <c r="N122" s="2460"/>
      <c r="O122" s="2460"/>
    </row>
    <row r="123" spans="3:15">
      <c r="C123" s="233"/>
      <c r="D123" s="233"/>
      <c r="E123" s="770"/>
      <c r="F123" s="234"/>
      <c r="G123" s="234"/>
      <c r="H123" s="233"/>
      <c r="I123" s="233"/>
      <c r="J123" s="770"/>
      <c r="K123" s="233"/>
      <c r="L123" s="233"/>
      <c r="M123" s="233"/>
      <c r="N123" s="2460"/>
      <c r="O123" s="2460"/>
    </row>
    <row r="124" spans="3:15">
      <c r="C124" s="233"/>
      <c r="D124" s="233"/>
      <c r="E124" s="770"/>
      <c r="F124" s="234"/>
      <c r="G124" s="234"/>
      <c r="H124" s="233"/>
      <c r="I124" s="233"/>
      <c r="J124" s="770"/>
      <c r="K124" s="233"/>
      <c r="L124" s="233"/>
      <c r="M124" s="233"/>
      <c r="N124" s="2460"/>
      <c r="O124" s="2460"/>
    </row>
    <row r="125" spans="3:15">
      <c r="C125" s="233"/>
      <c r="D125" s="233"/>
      <c r="E125" s="770"/>
      <c r="F125" s="234"/>
      <c r="G125" s="234"/>
      <c r="H125" s="233"/>
      <c r="I125" s="233"/>
      <c r="J125" s="770"/>
      <c r="K125" s="233"/>
      <c r="L125" s="233"/>
      <c r="M125" s="233"/>
      <c r="N125" s="2460"/>
      <c r="O125" s="2460"/>
    </row>
    <row r="126" spans="3:15">
      <c r="C126" s="233"/>
      <c r="D126" s="233"/>
      <c r="E126" s="770"/>
      <c r="F126" s="234"/>
      <c r="G126" s="234"/>
      <c r="H126" s="233"/>
      <c r="I126" s="233"/>
      <c r="J126" s="770"/>
      <c r="K126" s="233"/>
      <c r="L126" s="233"/>
      <c r="M126" s="233"/>
      <c r="N126" s="2460"/>
      <c r="O126" s="2460"/>
    </row>
    <row r="127" spans="3:15">
      <c r="C127" s="233"/>
      <c r="D127" s="233"/>
      <c r="E127" s="770"/>
      <c r="F127" s="234"/>
      <c r="G127" s="234"/>
      <c r="H127" s="233"/>
      <c r="I127" s="233"/>
      <c r="J127" s="770"/>
      <c r="K127" s="233"/>
      <c r="L127" s="233"/>
      <c r="M127" s="233"/>
      <c r="N127" s="2460"/>
      <c r="O127" s="2460"/>
    </row>
    <row r="128" spans="3:15">
      <c r="C128" s="233"/>
      <c r="D128" s="233"/>
      <c r="E128" s="770"/>
      <c r="F128" s="234"/>
      <c r="G128" s="234"/>
      <c r="H128" s="233"/>
      <c r="I128" s="233"/>
      <c r="J128" s="770"/>
      <c r="K128" s="233"/>
      <c r="L128" s="233"/>
      <c r="M128" s="233"/>
      <c r="N128" s="2460"/>
      <c r="O128" s="2460"/>
    </row>
    <row r="129" spans="3:15">
      <c r="C129" s="233"/>
      <c r="D129" s="233"/>
      <c r="E129" s="770"/>
      <c r="F129" s="234"/>
      <c r="G129" s="234"/>
      <c r="H129" s="233"/>
      <c r="I129" s="233"/>
      <c r="J129" s="770"/>
      <c r="K129" s="233"/>
      <c r="L129" s="233"/>
      <c r="M129" s="233"/>
      <c r="N129" s="2460"/>
      <c r="O129" s="2460"/>
    </row>
    <row r="130" spans="3:15">
      <c r="C130" s="233"/>
      <c r="D130" s="233"/>
      <c r="E130" s="770"/>
      <c r="F130" s="234"/>
      <c r="G130" s="234"/>
      <c r="H130" s="233"/>
      <c r="I130" s="233"/>
      <c r="J130" s="770"/>
      <c r="K130" s="233"/>
      <c r="L130" s="233"/>
      <c r="M130" s="233"/>
      <c r="N130" s="2460"/>
      <c r="O130" s="2460"/>
    </row>
    <row r="131" spans="3:15">
      <c r="C131" s="233"/>
      <c r="D131" s="233"/>
      <c r="E131" s="770"/>
      <c r="F131" s="234"/>
      <c r="G131" s="234"/>
      <c r="H131" s="233"/>
      <c r="I131" s="233"/>
      <c r="J131" s="770"/>
      <c r="K131" s="233"/>
      <c r="L131" s="233"/>
      <c r="M131" s="233"/>
      <c r="N131" s="2460"/>
      <c r="O131" s="2460"/>
    </row>
    <row r="132" spans="3:15">
      <c r="C132" s="233"/>
      <c r="D132" s="233"/>
      <c r="E132" s="770"/>
      <c r="F132" s="234"/>
      <c r="G132" s="234"/>
      <c r="H132" s="233"/>
      <c r="I132" s="233"/>
      <c r="J132" s="770"/>
      <c r="K132" s="233"/>
      <c r="L132" s="233"/>
      <c r="M132" s="233"/>
      <c r="N132" s="2460"/>
      <c r="O132" s="2460"/>
    </row>
    <row r="133" spans="3:15">
      <c r="C133" s="233"/>
      <c r="D133" s="233"/>
      <c r="E133" s="770"/>
      <c r="F133" s="234"/>
      <c r="G133" s="234"/>
      <c r="H133" s="233"/>
      <c r="I133" s="233"/>
      <c r="J133" s="770"/>
      <c r="K133" s="233"/>
      <c r="L133" s="233"/>
      <c r="M133" s="233"/>
      <c r="N133" s="2460"/>
      <c r="O133" s="2460"/>
    </row>
    <row r="134" spans="3:15">
      <c r="C134" s="233"/>
      <c r="D134" s="233"/>
      <c r="E134" s="770"/>
      <c r="F134" s="234"/>
      <c r="G134" s="234"/>
      <c r="H134" s="233"/>
      <c r="I134" s="233"/>
      <c r="J134" s="770"/>
      <c r="K134" s="233"/>
      <c r="L134" s="233"/>
      <c r="M134" s="233"/>
      <c r="N134" s="2460"/>
      <c r="O134" s="2460"/>
    </row>
    <row r="135" spans="3:15">
      <c r="C135" s="233"/>
      <c r="D135" s="233"/>
      <c r="E135" s="770"/>
      <c r="F135" s="234"/>
      <c r="G135" s="234"/>
      <c r="H135" s="233"/>
      <c r="I135" s="233"/>
      <c r="J135" s="770"/>
      <c r="K135" s="233"/>
      <c r="L135" s="233"/>
      <c r="M135" s="233"/>
      <c r="N135" s="2460"/>
      <c r="O135" s="2460"/>
    </row>
    <row r="136" spans="3:15">
      <c r="C136" s="233"/>
      <c r="D136" s="233"/>
      <c r="E136" s="770"/>
      <c r="F136" s="234"/>
      <c r="G136" s="234"/>
      <c r="H136" s="233"/>
      <c r="I136" s="233"/>
      <c r="J136" s="770"/>
      <c r="K136" s="233"/>
      <c r="L136" s="233"/>
      <c r="M136" s="233"/>
      <c r="N136" s="2460"/>
      <c r="O136" s="2460"/>
    </row>
    <row r="137" spans="3:15">
      <c r="C137" s="233"/>
      <c r="D137" s="233"/>
      <c r="E137" s="770"/>
      <c r="F137" s="234"/>
      <c r="G137" s="234"/>
      <c r="H137" s="233"/>
      <c r="I137" s="233"/>
      <c r="J137" s="770"/>
      <c r="K137" s="233"/>
      <c r="L137" s="233"/>
      <c r="M137" s="233"/>
      <c r="N137" s="2460"/>
      <c r="O137" s="2460"/>
    </row>
    <row r="138" spans="3:15">
      <c r="C138" s="233"/>
      <c r="D138" s="233"/>
      <c r="E138" s="770"/>
      <c r="F138" s="234"/>
      <c r="G138" s="234"/>
      <c r="H138" s="233"/>
      <c r="I138" s="233"/>
      <c r="J138" s="770"/>
      <c r="K138" s="233"/>
      <c r="L138" s="233"/>
      <c r="M138" s="233"/>
      <c r="N138" s="2460"/>
      <c r="O138" s="2460"/>
    </row>
    <row r="139" spans="3:15">
      <c r="C139" s="233"/>
      <c r="D139" s="233"/>
      <c r="E139" s="770"/>
      <c r="F139" s="234"/>
      <c r="G139" s="234"/>
      <c r="H139" s="233"/>
      <c r="I139" s="233"/>
      <c r="J139" s="770"/>
      <c r="K139" s="233"/>
      <c r="L139" s="233"/>
      <c r="M139" s="233"/>
      <c r="N139" s="2460"/>
      <c r="O139" s="2460"/>
    </row>
    <row r="140" spans="3:15">
      <c r="C140" s="233"/>
      <c r="D140" s="233"/>
      <c r="E140" s="770"/>
      <c r="F140" s="234"/>
      <c r="G140" s="234"/>
      <c r="H140" s="233"/>
      <c r="I140" s="233"/>
      <c r="J140" s="770"/>
      <c r="K140" s="233"/>
      <c r="L140" s="233"/>
      <c r="M140" s="233"/>
      <c r="N140" s="2460"/>
      <c r="O140" s="2460"/>
    </row>
    <row r="141" spans="3:15">
      <c r="C141" s="233"/>
      <c r="D141" s="233"/>
      <c r="E141" s="770"/>
      <c r="F141" s="234"/>
      <c r="G141" s="234"/>
      <c r="H141" s="233"/>
      <c r="I141" s="233"/>
      <c r="J141" s="770"/>
      <c r="K141" s="233"/>
      <c r="L141" s="233"/>
      <c r="M141" s="233"/>
      <c r="N141" s="2460"/>
      <c r="O141" s="2460"/>
    </row>
    <row r="142" spans="3:15">
      <c r="C142" s="233"/>
      <c r="D142" s="233"/>
      <c r="E142" s="770"/>
      <c r="F142" s="234"/>
      <c r="G142" s="234"/>
      <c r="H142" s="233"/>
      <c r="I142" s="233"/>
      <c r="J142" s="770"/>
      <c r="K142" s="233"/>
      <c r="L142" s="233"/>
      <c r="M142" s="233"/>
      <c r="N142" s="2460"/>
      <c r="O142" s="2460"/>
    </row>
    <row r="143" spans="3:15">
      <c r="C143" s="233"/>
      <c r="D143" s="233"/>
      <c r="E143" s="770"/>
      <c r="F143" s="234"/>
      <c r="G143" s="234"/>
      <c r="H143" s="233"/>
      <c r="I143" s="233"/>
      <c r="J143" s="770"/>
      <c r="K143" s="233"/>
      <c r="L143" s="233"/>
      <c r="M143" s="233"/>
      <c r="N143" s="2460"/>
      <c r="O143" s="2460"/>
    </row>
    <row r="144" spans="3:15">
      <c r="C144" s="233"/>
      <c r="D144" s="233"/>
      <c r="E144" s="770"/>
      <c r="F144" s="234"/>
      <c r="G144" s="234"/>
      <c r="H144" s="233"/>
      <c r="I144" s="233"/>
      <c r="J144" s="770"/>
      <c r="K144" s="233"/>
      <c r="L144" s="233"/>
      <c r="M144" s="233"/>
      <c r="N144" s="2460"/>
      <c r="O144" s="2460"/>
    </row>
    <row r="145" spans="3:15">
      <c r="C145" s="233"/>
      <c r="D145" s="233"/>
      <c r="E145" s="770"/>
      <c r="F145" s="234"/>
      <c r="G145" s="234"/>
      <c r="H145" s="233"/>
      <c r="I145" s="233"/>
      <c r="J145" s="770"/>
      <c r="K145" s="233"/>
      <c r="L145" s="233"/>
      <c r="M145" s="233"/>
      <c r="N145" s="2460"/>
      <c r="O145" s="2460"/>
    </row>
    <row r="146" spans="3:15">
      <c r="C146" s="233"/>
      <c r="D146" s="233"/>
      <c r="E146" s="770"/>
      <c r="F146" s="234"/>
      <c r="G146" s="234"/>
      <c r="H146" s="233"/>
      <c r="I146" s="233"/>
      <c r="J146" s="770"/>
      <c r="K146" s="233"/>
      <c r="L146" s="233"/>
      <c r="M146" s="233"/>
      <c r="N146" s="2460"/>
      <c r="O146" s="2460"/>
    </row>
    <row r="147" spans="3:15">
      <c r="C147" s="233"/>
      <c r="D147" s="233"/>
      <c r="E147" s="770"/>
      <c r="F147" s="234"/>
      <c r="G147" s="234"/>
      <c r="H147" s="233"/>
      <c r="I147" s="233"/>
      <c r="J147" s="770"/>
      <c r="K147" s="233"/>
      <c r="L147" s="233"/>
      <c r="M147" s="233"/>
      <c r="N147" s="2460"/>
      <c r="O147" s="2460"/>
    </row>
    <row r="148" spans="3:15">
      <c r="C148" s="233"/>
      <c r="D148" s="233"/>
      <c r="E148" s="770"/>
      <c r="F148" s="234"/>
      <c r="G148" s="234"/>
      <c r="H148" s="233"/>
      <c r="I148" s="233"/>
      <c r="J148" s="770"/>
      <c r="K148" s="233"/>
      <c r="L148" s="233"/>
      <c r="M148" s="233"/>
      <c r="N148" s="2460"/>
      <c r="O148" s="2460"/>
    </row>
    <row r="149" spans="3:15">
      <c r="C149" s="233"/>
      <c r="D149" s="233"/>
      <c r="E149" s="770"/>
      <c r="F149" s="234"/>
      <c r="G149" s="234"/>
      <c r="H149" s="233"/>
      <c r="I149" s="233"/>
      <c r="J149" s="770"/>
      <c r="K149" s="233"/>
      <c r="L149" s="233"/>
      <c r="M149" s="233"/>
      <c r="N149" s="2460"/>
      <c r="O149" s="2460"/>
    </row>
    <row r="150" spans="3:15">
      <c r="C150" s="233"/>
      <c r="D150" s="233"/>
      <c r="E150" s="770"/>
      <c r="F150" s="234"/>
      <c r="G150" s="234"/>
      <c r="H150" s="233"/>
      <c r="I150" s="233"/>
      <c r="J150" s="770"/>
      <c r="K150" s="233"/>
      <c r="L150" s="233"/>
      <c r="M150" s="233"/>
      <c r="N150" s="2460"/>
      <c r="O150" s="2460"/>
    </row>
    <row r="151" spans="3:15">
      <c r="C151" s="233"/>
      <c r="D151" s="233"/>
      <c r="E151" s="770"/>
      <c r="F151" s="234"/>
      <c r="G151" s="234"/>
      <c r="H151" s="233"/>
      <c r="I151" s="233"/>
      <c r="J151" s="770"/>
      <c r="K151" s="233"/>
      <c r="L151" s="233"/>
      <c r="M151" s="233"/>
      <c r="N151" s="2460"/>
      <c r="O151" s="2460"/>
    </row>
    <row r="152" spans="3:15">
      <c r="C152" s="233"/>
      <c r="D152" s="233"/>
      <c r="E152" s="770"/>
      <c r="F152" s="234"/>
      <c r="G152" s="234"/>
      <c r="H152" s="233"/>
      <c r="I152" s="233"/>
      <c r="J152" s="770"/>
      <c r="K152" s="233"/>
      <c r="L152" s="233"/>
      <c r="M152" s="233"/>
      <c r="N152" s="2460"/>
      <c r="O152" s="2460"/>
    </row>
    <row r="153" spans="3:15">
      <c r="C153" s="233"/>
      <c r="D153" s="233"/>
      <c r="E153" s="770"/>
      <c r="F153" s="234"/>
      <c r="G153" s="234"/>
      <c r="H153" s="233"/>
      <c r="I153" s="233"/>
      <c r="J153" s="770"/>
      <c r="K153" s="233"/>
      <c r="L153" s="233"/>
      <c r="M153" s="233"/>
      <c r="N153" s="2460"/>
      <c r="O153" s="2460"/>
    </row>
    <row r="154" spans="3:15">
      <c r="C154" s="233"/>
      <c r="D154" s="233"/>
      <c r="E154" s="770"/>
      <c r="F154" s="234"/>
      <c r="G154" s="234"/>
      <c r="H154" s="233"/>
      <c r="I154" s="233"/>
      <c r="J154" s="770"/>
      <c r="K154" s="233"/>
      <c r="L154" s="233"/>
      <c r="M154" s="233"/>
      <c r="N154" s="2460"/>
      <c r="O154" s="2460"/>
    </row>
    <row r="155" spans="3:15">
      <c r="C155" s="233"/>
      <c r="D155" s="233"/>
      <c r="E155" s="770"/>
      <c r="F155" s="234"/>
      <c r="G155" s="234"/>
      <c r="H155" s="233"/>
      <c r="I155" s="233"/>
      <c r="J155" s="770"/>
      <c r="K155" s="233"/>
      <c r="L155" s="233"/>
      <c r="M155" s="233"/>
      <c r="N155" s="2460"/>
      <c r="O155" s="2460"/>
    </row>
    <row r="156" spans="3:15">
      <c r="C156" s="233"/>
      <c r="D156" s="233"/>
      <c r="E156" s="770"/>
      <c r="F156" s="234"/>
      <c r="G156" s="234"/>
      <c r="H156" s="233"/>
      <c r="I156" s="233"/>
      <c r="J156" s="770"/>
      <c r="K156" s="233"/>
      <c r="L156" s="233"/>
      <c r="M156" s="233"/>
      <c r="N156" s="2460"/>
      <c r="O156" s="2460"/>
    </row>
    <row r="157" spans="3:15">
      <c r="C157" s="233"/>
      <c r="D157" s="233"/>
      <c r="E157" s="770"/>
      <c r="F157" s="234"/>
      <c r="G157" s="234"/>
      <c r="H157" s="233"/>
      <c r="I157" s="233"/>
      <c r="J157" s="770"/>
      <c r="K157" s="233"/>
      <c r="L157" s="233"/>
      <c r="M157" s="233"/>
      <c r="N157" s="2460"/>
      <c r="O157" s="2460"/>
    </row>
    <row r="158" spans="3:15">
      <c r="C158" s="233"/>
      <c r="D158" s="233"/>
      <c r="E158" s="770"/>
      <c r="F158" s="234"/>
      <c r="G158" s="234"/>
      <c r="H158" s="233"/>
      <c r="I158" s="233"/>
      <c r="J158" s="770"/>
      <c r="K158" s="233"/>
      <c r="L158" s="233"/>
      <c r="M158" s="233"/>
      <c r="N158" s="2460"/>
      <c r="O158" s="2460"/>
    </row>
    <row r="159" spans="3:15">
      <c r="C159" s="233"/>
      <c r="D159" s="233"/>
      <c r="E159" s="770"/>
      <c r="F159" s="234"/>
      <c r="G159" s="234"/>
      <c r="H159" s="233"/>
      <c r="I159" s="233"/>
      <c r="J159" s="770"/>
      <c r="K159" s="233"/>
      <c r="L159" s="233"/>
      <c r="M159" s="233"/>
      <c r="N159" s="2460"/>
      <c r="O159" s="2460"/>
    </row>
    <row r="160" spans="3:15">
      <c r="C160" s="233"/>
      <c r="D160" s="233"/>
      <c r="E160" s="770"/>
      <c r="F160" s="234"/>
      <c r="G160" s="234"/>
      <c r="H160" s="233"/>
      <c r="I160" s="233"/>
      <c r="J160" s="770"/>
      <c r="K160" s="233"/>
      <c r="L160" s="233"/>
      <c r="M160" s="233"/>
      <c r="N160" s="2460"/>
      <c r="O160" s="2460"/>
    </row>
    <row r="161" spans="3:15">
      <c r="C161" s="233"/>
      <c r="D161" s="233"/>
      <c r="E161" s="770"/>
      <c r="F161" s="234"/>
      <c r="G161" s="234"/>
      <c r="H161" s="233"/>
      <c r="I161" s="233"/>
      <c r="J161" s="770"/>
      <c r="K161" s="233"/>
      <c r="L161" s="233"/>
      <c r="M161" s="233"/>
      <c r="N161" s="2460"/>
      <c r="O161" s="2460"/>
    </row>
    <row r="162" spans="3:15">
      <c r="C162" s="233"/>
      <c r="D162" s="233"/>
      <c r="E162" s="770"/>
      <c r="F162" s="234"/>
      <c r="G162" s="234"/>
      <c r="H162" s="233"/>
      <c r="I162" s="233"/>
      <c r="J162" s="770"/>
      <c r="K162" s="233"/>
      <c r="L162" s="233"/>
      <c r="M162" s="233"/>
      <c r="N162" s="2460"/>
      <c r="O162" s="2460"/>
    </row>
    <row r="163" spans="3:15">
      <c r="C163" s="233"/>
      <c r="D163" s="233"/>
      <c r="E163" s="770"/>
      <c r="F163" s="234"/>
      <c r="G163" s="234"/>
      <c r="H163" s="233"/>
      <c r="I163" s="233"/>
      <c r="J163" s="770"/>
      <c r="K163" s="233"/>
      <c r="L163" s="233"/>
      <c r="M163" s="233"/>
      <c r="N163" s="2460"/>
      <c r="O163" s="2460"/>
    </row>
    <row r="164" spans="3:15">
      <c r="C164" s="233"/>
      <c r="D164" s="233"/>
      <c r="E164" s="770"/>
      <c r="F164" s="234"/>
      <c r="G164" s="234"/>
      <c r="H164" s="233"/>
      <c r="I164" s="233"/>
      <c r="J164" s="770"/>
      <c r="K164" s="233"/>
      <c r="L164" s="233"/>
      <c r="M164" s="233"/>
      <c r="N164" s="2460"/>
      <c r="O164" s="2460"/>
    </row>
    <row r="165" spans="3:15">
      <c r="C165" s="233"/>
      <c r="D165" s="233"/>
      <c r="E165" s="770"/>
      <c r="F165" s="234"/>
      <c r="G165" s="234"/>
      <c r="H165" s="233"/>
      <c r="I165" s="233"/>
      <c r="J165" s="770"/>
      <c r="K165" s="233"/>
      <c r="L165" s="233"/>
      <c r="M165" s="233"/>
      <c r="N165" s="2460"/>
      <c r="O165" s="2460"/>
    </row>
    <row r="166" spans="3:15">
      <c r="C166" s="233"/>
      <c r="D166" s="233"/>
      <c r="E166" s="770"/>
      <c r="F166" s="234"/>
      <c r="G166" s="234"/>
      <c r="H166" s="233"/>
      <c r="I166" s="233"/>
      <c r="J166" s="770"/>
      <c r="K166" s="233"/>
      <c r="L166" s="233"/>
      <c r="M166" s="233"/>
      <c r="N166" s="2460"/>
      <c r="O166" s="2460"/>
    </row>
    <row r="167" spans="3:15">
      <c r="C167" s="233"/>
      <c r="D167" s="233"/>
      <c r="E167" s="770"/>
      <c r="F167" s="234"/>
      <c r="G167" s="234"/>
      <c r="H167" s="233"/>
      <c r="I167" s="233"/>
      <c r="J167" s="770"/>
      <c r="K167" s="233"/>
      <c r="L167" s="233"/>
      <c r="M167" s="233"/>
      <c r="N167" s="2460"/>
      <c r="O167" s="2460"/>
    </row>
    <row r="168" spans="3:15">
      <c r="C168" s="233"/>
      <c r="D168" s="233"/>
      <c r="E168" s="770"/>
      <c r="F168" s="234"/>
      <c r="G168" s="234"/>
      <c r="H168" s="233"/>
      <c r="I168" s="233"/>
      <c r="J168" s="770"/>
      <c r="K168" s="233"/>
      <c r="L168" s="233"/>
      <c r="M168" s="233"/>
      <c r="N168" s="2460"/>
      <c r="O168" s="2460"/>
    </row>
    <row r="169" spans="3:15">
      <c r="C169" s="233"/>
      <c r="D169" s="233"/>
      <c r="E169" s="770"/>
      <c r="F169" s="234"/>
      <c r="G169" s="234"/>
      <c r="H169" s="233"/>
      <c r="I169" s="233"/>
      <c r="J169" s="770"/>
      <c r="K169" s="233"/>
      <c r="L169" s="233"/>
      <c r="M169" s="233"/>
      <c r="N169" s="2460"/>
      <c r="O169" s="2460"/>
    </row>
    <row r="170" spans="3:15">
      <c r="C170" s="233"/>
      <c r="D170" s="233"/>
      <c r="E170" s="770"/>
      <c r="F170" s="234"/>
      <c r="G170" s="234"/>
      <c r="H170" s="233"/>
      <c r="I170" s="233"/>
      <c r="J170" s="770"/>
      <c r="K170" s="233"/>
      <c r="L170" s="233"/>
      <c r="M170" s="233"/>
      <c r="N170" s="2460"/>
      <c r="O170" s="2460"/>
    </row>
    <row r="171" spans="3:15">
      <c r="C171" s="233"/>
      <c r="D171" s="233"/>
      <c r="E171" s="770"/>
      <c r="F171" s="234"/>
      <c r="G171" s="234"/>
      <c r="H171" s="233"/>
      <c r="I171" s="233"/>
      <c r="J171" s="770"/>
      <c r="K171" s="233"/>
      <c r="L171" s="233"/>
      <c r="M171" s="233"/>
      <c r="N171" s="2460"/>
      <c r="O171" s="2460"/>
    </row>
    <row r="172" spans="3:15">
      <c r="C172" s="233"/>
      <c r="D172" s="233"/>
      <c r="E172" s="770"/>
      <c r="F172" s="234"/>
      <c r="G172" s="234"/>
      <c r="H172" s="233"/>
      <c r="I172" s="233"/>
      <c r="J172" s="770"/>
      <c r="K172" s="233"/>
      <c r="L172" s="233"/>
      <c r="M172" s="233"/>
      <c r="N172" s="2460"/>
      <c r="O172" s="2460"/>
    </row>
    <row r="173" spans="3:15">
      <c r="C173" s="233"/>
      <c r="D173" s="233"/>
      <c r="E173" s="770"/>
      <c r="F173" s="234"/>
      <c r="G173" s="234"/>
      <c r="H173" s="233"/>
      <c r="I173" s="233"/>
      <c r="J173" s="770"/>
      <c r="K173" s="233"/>
      <c r="L173" s="233"/>
      <c r="M173" s="233"/>
      <c r="N173" s="2460"/>
      <c r="O173" s="2460"/>
    </row>
    <row r="174" spans="3:15">
      <c r="C174" s="233"/>
      <c r="D174" s="233"/>
      <c r="E174" s="770"/>
      <c r="F174" s="234"/>
      <c r="G174" s="234"/>
      <c r="H174" s="233"/>
      <c r="I174" s="233"/>
      <c r="J174" s="770"/>
      <c r="K174" s="233"/>
      <c r="L174" s="233"/>
      <c r="M174" s="233"/>
      <c r="N174" s="2460"/>
      <c r="O174" s="2460"/>
    </row>
    <row r="175" spans="3:15">
      <c r="C175" s="233"/>
      <c r="D175" s="233"/>
      <c r="E175" s="770"/>
      <c r="F175" s="234"/>
      <c r="G175" s="234"/>
      <c r="H175" s="233"/>
      <c r="I175" s="233"/>
      <c r="J175" s="770"/>
      <c r="K175" s="233"/>
      <c r="L175" s="233"/>
      <c r="M175" s="233"/>
      <c r="N175" s="2460"/>
      <c r="O175" s="2460"/>
    </row>
    <row r="176" spans="3:15">
      <c r="C176" s="233"/>
      <c r="D176" s="233"/>
      <c r="E176" s="770"/>
      <c r="F176" s="234"/>
      <c r="G176" s="234"/>
      <c r="H176" s="233"/>
      <c r="I176" s="233"/>
      <c r="J176" s="770"/>
      <c r="K176" s="233"/>
      <c r="L176" s="233"/>
      <c r="M176" s="233"/>
      <c r="N176" s="2460"/>
      <c r="O176" s="2460"/>
    </row>
    <row r="177" spans="1:222">
      <c r="C177" s="233"/>
      <c r="D177" s="233"/>
      <c r="E177" s="770"/>
      <c r="F177" s="234"/>
      <c r="G177" s="234"/>
      <c r="H177" s="233"/>
      <c r="I177" s="233"/>
      <c r="J177" s="770"/>
      <c r="K177" s="233"/>
      <c r="L177" s="233"/>
      <c r="M177" s="233"/>
      <c r="N177" s="2460"/>
      <c r="O177" s="2460"/>
    </row>
    <row r="178" spans="1:222">
      <c r="C178" s="233"/>
      <c r="D178" s="233"/>
      <c r="E178" s="770"/>
      <c r="F178" s="234"/>
      <c r="G178" s="234"/>
      <c r="H178" s="233"/>
      <c r="I178" s="233"/>
      <c r="J178" s="770"/>
      <c r="K178" s="233"/>
      <c r="L178" s="233"/>
      <c r="M178" s="233"/>
      <c r="N178" s="2460"/>
      <c r="O178" s="2460"/>
    </row>
    <row r="179" spans="1:222">
      <c r="C179" s="233"/>
      <c r="D179" s="233"/>
      <c r="E179" s="770"/>
      <c r="F179" s="234"/>
      <c r="G179" s="234"/>
      <c r="H179" s="233"/>
      <c r="I179" s="233"/>
      <c r="J179" s="770"/>
      <c r="K179" s="233"/>
      <c r="L179" s="233"/>
      <c r="M179" s="233"/>
      <c r="N179" s="2460"/>
      <c r="O179" s="2460"/>
    </row>
    <row r="180" spans="1:222">
      <c r="C180" s="233"/>
      <c r="D180" s="233"/>
      <c r="E180" s="770"/>
      <c r="F180" s="234"/>
      <c r="G180" s="234"/>
      <c r="H180" s="233"/>
      <c r="I180" s="233"/>
      <c r="J180" s="770"/>
      <c r="K180" s="233"/>
      <c r="L180" s="233"/>
      <c r="M180" s="233"/>
      <c r="N180" s="2460"/>
      <c r="O180" s="2460"/>
    </row>
    <row r="181" spans="1:222">
      <c r="C181" s="233"/>
      <c r="D181" s="233"/>
      <c r="E181" s="770"/>
      <c r="F181" s="234"/>
      <c r="G181" s="234"/>
      <c r="H181" s="233"/>
      <c r="I181" s="233"/>
      <c r="J181" s="770"/>
      <c r="K181" s="233"/>
      <c r="L181" s="233"/>
      <c r="M181" s="233"/>
      <c r="N181" s="2460"/>
      <c r="O181" s="2460"/>
    </row>
    <row r="182" spans="1:222">
      <c r="C182" s="233"/>
      <c r="D182" s="233"/>
      <c r="E182" s="770"/>
      <c r="F182" s="234"/>
      <c r="G182" s="234"/>
      <c r="H182" s="233"/>
      <c r="I182" s="233"/>
      <c r="J182" s="770"/>
      <c r="K182" s="233"/>
      <c r="L182" s="233"/>
      <c r="M182" s="233"/>
      <c r="N182" s="2460"/>
      <c r="O182" s="2460"/>
    </row>
    <row r="183" spans="1:222">
      <c r="C183" s="233"/>
      <c r="D183" s="233"/>
      <c r="E183" s="770"/>
      <c r="F183" s="234"/>
      <c r="G183" s="234"/>
      <c r="H183" s="233"/>
      <c r="I183" s="233"/>
      <c r="J183" s="770"/>
      <c r="K183" s="233"/>
      <c r="L183" s="233"/>
      <c r="M183" s="233"/>
      <c r="N183" s="2460"/>
      <c r="O183" s="2460"/>
    </row>
    <row r="184" spans="1:222">
      <c r="C184" s="233"/>
      <c r="D184" s="233"/>
      <c r="E184" s="770"/>
      <c r="F184" s="234"/>
      <c r="G184" s="234"/>
      <c r="H184" s="233"/>
      <c r="I184" s="233"/>
      <c r="J184" s="770"/>
      <c r="K184" s="233"/>
      <c r="L184" s="233"/>
      <c r="M184" s="233"/>
      <c r="N184" s="2460"/>
      <c r="O184" s="2460"/>
    </row>
    <row r="185" spans="1:222">
      <c r="C185" s="233"/>
      <c r="D185" s="233"/>
      <c r="E185" s="770"/>
      <c r="F185" s="234"/>
      <c r="G185" s="234"/>
      <c r="H185" s="233"/>
      <c r="I185" s="233"/>
      <c r="J185" s="770"/>
      <c r="K185" s="233"/>
      <c r="L185" s="233"/>
      <c r="M185" s="233"/>
      <c r="N185" s="2460"/>
      <c r="O185" s="2460"/>
    </row>
    <row r="186" spans="1:222">
      <c r="C186" s="233"/>
      <c r="D186" s="233"/>
      <c r="E186" s="770"/>
      <c r="F186" s="234"/>
      <c r="G186" s="234"/>
      <c r="H186" s="233"/>
      <c r="I186" s="233"/>
      <c r="J186" s="770"/>
      <c r="K186" s="233"/>
      <c r="L186" s="233"/>
      <c r="M186" s="233"/>
      <c r="N186" s="2460"/>
      <c r="O186" s="2460"/>
    </row>
    <row r="187" spans="1:222">
      <c r="C187" s="233"/>
      <c r="D187" s="233"/>
      <c r="E187" s="770"/>
      <c r="F187" s="234"/>
      <c r="G187" s="234"/>
      <c r="H187" s="233"/>
      <c r="I187" s="233"/>
      <c r="J187" s="770"/>
      <c r="K187" s="233"/>
      <c r="L187" s="233"/>
      <c r="M187" s="233"/>
      <c r="N187" s="2460"/>
      <c r="O187" s="2460"/>
    </row>
    <row r="188" spans="1:222" s="233" customFormat="1">
      <c r="A188" s="664"/>
      <c r="B188" s="664"/>
      <c r="E188" s="770"/>
      <c r="F188" s="234"/>
      <c r="G188" s="234"/>
      <c r="J188" s="770"/>
      <c r="N188" s="2460"/>
      <c r="O188" s="2460"/>
      <c r="P188" s="2460"/>
      <c r="Q188" s="2469"/>
      <c r="R188" s="2469"/>
      <c r="S188" s="2469"/>
      <c r="T188" s="1133"/>
      <c r="U188" s="1133"/>
      <c r="V188" s="1133"/>
      <c r="W188" s="1133"/>
      <c r="X188" s="1133"/>
      <c r="Y188" s="1133"/>
      <c r="Z188" s="1133"/>
      <c r="AA188" s="1133"/>
      <c r="AB188" s="1133"/>
      <c r="AC188" s="1133"/>
      <c r="AD188" s="1133"/>
      <c r="HJ188" s="771"/>
      <c r="HK188" s="771"/>
      <c r="HL188" s="771"/>
      <c r="HM188" s="771"/>
      <c r="HN188" s="771"/>
    </row>
    <row r="189" spans="1:222" s="233" customFormat="1">
      <c r="A189" s="664"/>
      <c r="B189" s="664"/>
      <c r="E189" s="770"/>
      <c r="F189" s="234"/>
      <c r="G189" s="234"/>
      <c r="J189" s="770"/>
      <c r="N189" s="2460"/>
      <c r="O189" s="2460"/>
      <c r="P189" s="2460"/>
      <c r="Q189" s="2469"/>
      <c r="R189" s="2469"/>
      <c r="S189" s="2469"/>
      <c r="T189" s="1133"/>
      <c r="U189" s="1133"/>
      <c r="V189" s="1133"/>
      <c r="W189" s="1133"/>
      <c r="X189" s="1133"/>
      <c r="Y189" s="1133"/>
      <c r="Z189" s="1133"/>
      <c r="AA189" s="1133"/>
      <c r="AB189" s="1133"/>
      <c r="AC189" s="1133"/>
      <c r="AD189" s="1133"/>
      <c r="HJ189" s="771"/>
      <c r="HK189" s="771"/>
      <c r="HL189" s="771"/>
      <c r="HM189" s="771"/>
      <c r="HN189" s="771"/>
    </row>
    <row r="190" spans="1:222" s="233" customFormat="1">
      <c r="A190" s="664"/>
      <c r="B190" s="664"/>
      <c r="E190" s="770"/>
      <c r="F190" s="234"/>
      <c r="G190" s="234"/>
      <c r="J190" s="770"/>
      <c r="N190" s="2460"/>
      <c r="O190" s="2460"/>
      <c r="P190" s="2460"/>
      <c r="Q190" s="2469"/>
      <c r="R190" s="2469"/>
      <c r="S190" s="2469"/>
      <c r="T190" s="1133"/>
      <c r="U190" s="1133"/>
      <c r="V190" s="1133"/>
      <c r="W190" s="1133"/>
      <c r="X190" s="1133"/>
      <c r="Y190" s="1133"/>
      <c r="Z190" s="1133"/>
      <c r="AA190" s="1133"/>
      <c r="AB190" s="1133"/>
      <c r="AC190" s="1133"/>
      <c r="AD190" s="1133"/>
      <c r="HJ190" s="771"/>
      <c r="HK190" s="771"/>
      <c r="HL190" s="771"/>
      <c r="HM190" s="771"/>
      <c r="HN190" s="771"/>
    </row>
    <row r="191" spans="1:222" s="233" customFormat="1">
      <c r="A191" s="664"/>
      <c r="B191" s="664"/>
      <c r="E191" s="770"/>
      <c r="F191" s="234"/>
      <c r="G191" s="234"/>
      <c r="J191" s="770"/>
      <c r="N191" s="2460"/>
      <c r="O191" s="2460"/>
      <c r="P191" s="2460"/>
      <c r="Q191" s="2469"/>
      <c r="R191" s="2469"/>
      <c r="S191" s="2469"/>
      <c r="T191" s="1133"/>
      <c r="U191" s="1133"/>
      <c r="V191" s="1133"/>
      <c r="W191" s="1133"/>
      <c r="X191" s="1133"/>
      <c r="Y191" s="1133"/>
      <c r="Z191" s="1133"/>
      <c r="AA191" s="1133"/>
      <c r="AB191" s="1133"/>
      <c r="AC191" s="1133"/>
      <c r="AD191" s="1133"/>
      <c r="HJ191" s="771"/>
      <c r="HK191" s="771"/>
      <c r="HL191" s="771"/>
      <c r="HM191" s="771"/>
      <c r="HN191" s="771"/>
    </row>
    <row r="192" spans="1:222" s="233" customFormat="1">
      <c r="A192" s="664"/>
      <c r="B192" s="664"/>
      <c r="E192" s="770"/>
      <c r="F192" s="234"/>
      <c r="G192" s="234"/>
      <c r="J192" s="770"/>
      <c r="N192" s="2460"/>
      <c r="O192" s="2460"/>
      <c r="P192" s="2460"/>
      <c r="Q192" s="2469"/>
      <c r="R192" s="2469"/>
      <c r="S192" s="2469"/>
      <c r="T192" s="1133"/>
      <c r="U192" s="1133"/>
      <c r="V192" s="1133"/>
      <c r="W192" s="1133"/>
      <c r="X192" s="1133"/>
      <c r="Y192" s="1133"/>
      <c r="Z192" s="1133"/>
      <c r="AA192" s="1133"/>
      <c r="AB192" s="1133"/>
      <c r="AC192" s="1133"/>
      <c r="AD192" s="1133"/>
      <c r="HJ192" s="771"/>
      <c r="HK192" s="771"/>
      <c r="HL192" s="771"/>
      <c r="HM192" s="771"/>
      <c r="HN192" s="771"/>
    </row>
    <row r="193" spans="1:222" s="233" customFormat="1">
      <c r="A193" s="664"/>
      <c r="B193" s="664"/>
      <c r="E193" s="770"/>
      <c r="F193" s="234"/>
      <c r="G193" s="234"/>
      <c r="J193" s="770"/>
      <c r="N193" s="2460"/>
      <c r="O193" s="2460"/>
      <c r="P193" s="2460"/>
      <c r="Q193" s="2469"/>
      <c r="R193" s="2469"/>
      <c r="S193" s="2469"/>
      <c r="T193" s="1133"/>
      <c r="U193" s="1133"/>
      <c r="V193" s="1133"/>
      <c r="W193" s="1133"/>
      <c r="X193" s="1133"/>
      <c r="Y193" s="1133"/>
      <c r="Z193" s="1133"/>
      <c r="AA193" s="1133"/>
      <c r="AB193" s="1133"/>
      <c r="AC193" s="1133"/>
      <c r="AD193" s="1133"/>
      <c r="HJ193" s="771"/>
      <c r="HK193" s="771"/>
      <c r="HL193" s="771"/>
      <c r="HM193" s="771"/>
      <c r="HN193" s="771"/>
    </row>
    <row r="194" spans="1:222" s="233" customFormat="1">
      <c r="A194" s="664"/>
      <c r="B194" s="664"/>
      <c r="E194" s="770"/>
      <c r="F194" s="234"/>
      <c r="G194" s="234"/>
      <c r="J194" s="770"/>
      <c r="N194" s="2460"/>
      <c r="O194" s="2460"/>
      <c r="P194" s="2460"/>
      <c r="Q194" s="2469"/>
      <c r="R194" s="2469"/>
      <c r="S194" s="2469"/>
      <c r="T194" s="1133"/>
      <c r="U194" s="1133"/>
      <c r="V194" s="1133"/>
      <c r="W194" s="1133"/>
      <c r="X194" s="1133"/>
      <c r="Y194" s="1133"/>
      <c r="Z194" s="1133"/>
      <c r="AA194" s="1133"/>
      <c r="AB194" s="1133"/>
      <c r="AC194" s="1133"/>
      <c r="AD194" s="1133"/>
      <c r="HJ194" s="771"/>
      <c r="HK194" s="771"/>
      <c r="HL194" s="771"/>
      <c r="HM194" s="771"/>
      <c r="HN194" s="771"/>
    </row>
    <row r="195" spans="1:222" s="233" customFormat="1">
      <c r="A195" s="664"/>
      <c r="B195" s="664"/>
      <c r="E195" s="770"/>
      <c r="F195" s="234"/>
      <c r="G195" s="234"/>
      <c r="J195" s="770"/>
      <c r="N195" s="2460"/>
      <c r="O195" s="2460"/>
      <c r="P195" s="2460"/>
      <c r="Q195" s="2469"/>
      <c r="R195" s="2469"/>
      <c r="S195" s="2469"/>
      <c r="T195" s="1133"/>
      <c r="U195" s="1133"/>
      <c r="V195" s="1133"/>
      <c r="W195" s="1133"/>
      <c r="X195" s="1133"/>
      <c r="Y195" s="1133"/>
      <c r="Z195" s="1133"/>
      <c r="AA195" s="1133"/>
      <c r="AB195" s="1133"/>
      <c r="AC195" s="1133"/>
      <c r="AD195" s="1133"/>
      <c r="HJ195" s="771"/>
      <c r="HK195" s="771"/>
      <c r="HL195" s="771"/>
      <c r="HM195" s="771"/>
      <c r="HN195" s="771"/>
    </row>
    <row r="196" spans="1:222" s="233" customFormat="1">
      <c r="A196" s="664"/>
      <c r="B196" s="664"/>
      <c r="E196" s="770"/>
      <c r="F196" s="234"/>
      <c r="G196" s="234"/>
      <c r="J196" s="770"/>
      <c r="N196" s="2460"/>
      <c r="O196" s="2460"/>
      <c r="P196" s="2460"/>
      <c r="Q196" s="2469"/>
      <c r="R196" s="2469"/>
      <c r="S196" s="2469"/>
      <c r="T196" s="1133"/>
      <c r="U196" s="1133"/>
      <c r="V196" s="1133"/>
      <c r="W196" s="1133"/>
      <c r="X196" s="1133"/>
      <c r="Y196" s="1133"/>
      <c r="Z196" s="1133"/>
      <c r="AA196" s="1133"/>
      <c r="AB196" s="1133"/>
      <c r="AC196" s="1133"/>
      <c r="AD196" s="1133"/>
      <c r="HJ196" s="771"/>
      <c r="HK196" s="771"/>
      <c r="HL196" s="771"/>
      <c r="HM196" s="771"/>
      <c r="HN196" s="771"/>
    </row>
    <row r="197" spans="1:222" s="233" customFormat="1">
      <c r="A197" s="664"/>
      <c r="B197" s="664"/>
      <c r="E197" s="770"/>
      <c r="F197" s="234"/>
      <c r="G197" s="234"/>
      <c r="J197" s="770"/>
      <c r="N197" s="2460"/>
      <c r="O197" s="2460"/>
      <c r="P197" s="2460"/>
      <c r="Q197" s="2469"/>
      <c r="R197" s="2469"/>
      <c r="S197" s="2469"/>
      <c r="T197" s="1133"/>
      <c r="U197" s="1133"/>
      <c r="V197" s="1133"/>
      <c r="W197" s="1133"/>
      <c r="X197" s="1133"/>
      <c r="Y197" s="1133"/>
      <c r="Z197" s="1133"/>
      <c r="AA197" s="1133"/>
      <c r="AB197" s="1133"/>
      <c r="AC197" s="1133"/>
      <c r="AD197" s="1133"/>
      <c r="HJ197" s="771"/>
      <c r="HK197" s="771"/>
      <c r="HL197" s="771"/>
      <c r="HM197" s="771"/>
      <c r="HN197" s="771"/>
    </row>
    <row r="198" spans="1:222" s="233" customFormat="1">
      <c r="A198" s="664"/>
      <c r="B198" s="664"/>
      <c r="E198" s="770"/>
      <c r="F198" s="234"/>
      <c r="G198" s="234"/>
      <c r="J198" s="770"/>
      <c r="N198" s="2460"/>
      <c r="O198" s="2460"/>
      <c r="P198" s="2460"/>
      <c r="Q198" s="2469"/>
      <c r="R198" s="2469"/>
      <c r="S198" s="2469"/>
      <c r="T198" s="1133"/>
      <c r="U198" s="1133"/>
      <c r="V198" s="1133"/>
      <c r="W198" s="1133"/>
      <c r="X198" s="1133"/>
      <c r="Y198" s="1133"/>
      <c r="Z198" s="1133"/>
      <c r="AA198" s="1133"/>
      <c r="AB198" s="1133"/>
      <c r="AC198" s="1133"/>
      <c r="AD198" s="1133"/>
      <c r="HJ198" s="771"/>
      <c r="HK198" s="771"/>
      <c r="HL198" s="771"/>
      <c r="HM198" s="771"/>
      <c r="HN198" s="771"/>
    </row>
    <row r="199" spans="1:222" s="233" customFormat="1">
      <c r="A199" s="664"/>
      <c r="B199" s="664"/>
      <c r="E199" s="770"/>
      <c r="F199" s="234"/>
      <c r="G199" s="234"/>
      <c r="J199" s="770"/>
      <c r="N199" s="2460"/>
      <c r="O199" s="2460"/>
      <c r="P199" s="2460"/>
      <c r="Q199" s="2469"/>
      <c r="R199" s="2469"/>
      <c r="S199" s="2469"/>
      <c r="T199" s="1133"/>
      <c r="U199" s="1133"/>
      <c r="V199" s="1133"/>
      <c r="W199" s="1133"/>
      <c r="X199" s="1133"/>
      <c r="Y199" s="1133"/>
      <c r="Z199" s="1133"/>
      <c r="AA199" s="1133"/>
      <c r="AB199" s="1133"/>
      <c r="AC199" s="1133"/>
      <c r="AD199" s="1133"/>
      <c r="HJ199" s="771"/>
      <c r="HK199" s="771"/>
      <c r="HL199" s="771"/>
      <c r="HM199" s="771"/>
      <c r="HN199" s="771"/>
    </row>
    <row r="200" spans="1:222">
      <c r="C200" s="233"/>
      <c r="D200" s="233"/>
      <c r="E200" s="770"/>
      <c r="F200" s="234"/>
      <c r="G200" s="234"/>
      <c r="H200" s="233"/>
      <c r="I200" s="233"/>
      <c r="J200" s="770"/>
      <c r="K200" s="233"/>
      <c r="L200" s="233"/>
      <c r="M200" s="233"/>
      <c r="N200" s="2460"/>
      <c r="O200" s="2460"/>
    </row>
    <row r="201" spans="1:222">
      <c r="C201" s="233"/>
      <c r="D201" s="233"/>
      <c r="E201" s="770"/>
      <c r="F201" s="234"/>
      <c r="G201" s="234"/>
      <c r="H201" s="233"/>
      <c r="I201" s="233"/>
      <c r="J201" s="770"/>
      <c r="K201" s="233"/>
      <c r="L201" s="233"/>
      <c r="M201" s="233"/>
      <c r="N201" s="2460"/>
      <c r="O201" s="2460"/>
    </row>
    <row r="202" spans="1:222">
      <c r="C202" s="233"/>
      <c r="D202" s="233"/>
      <c r="E202" s="770"/>
      <c r="F202" s="234"/>
      <c r="G202" s="234"/>
      <c r="H202" s="233"/>
      <c r="I202" s="233"/>
      <c r="J202" s="770"/>
      <c r="K202" s="233"/>
      <c r="L202" s="233"/>
      <c r="M202" s="233"/>
      <c r="N202" s="2460"/>
      <c r="O202" s="2460"/>
    </row>
    <row r="203" spans="1:222">
      <c r="C203" s="233"/>
      <c r="D203" s="233"/>
      <c r="E203" s="770"/>
      <c r="F203" s="234"/>
      <c r="G203" s="234"/>
      <c r="H203" s="233"/>
      <c r="I203" s="233"/>
      <c r="J203" s="770"/>
      <c r="K203" s="233"/>
      <c r="L203" s="233"/>
      <c r="M203" s="233"/>
      <c r="N203" s="2460"/>
      <c r="O203" s="2460"/>
    </row>
    <row r="204" spans="1:222">
      <c r="C204" s="233"/>
      <c r="D204" s="233"/>
      <c r="E204" s="770"/>
      <c r="F204" s="234"/>
      <c r="G204" s="234"/>
      <c r="H204" s="233"/>
      <c r="I204" s="233"/>
      <c r="J204" s="770"/>
      <c r="K204" s="233"/>
      <c r="L204" s="233"/>
      <c r="M204" s="233"/>
      <c r="N204" s="2460"/>
      <c r="O204" s="2460"/>
    </row>
    <row r="205" spans="1:222">
      <c r="C205" s="233"/>
      <c r="D205" s="233"/>
      <c r="E205" s="770"/>
      <c r="F205" s="234"/>
      <c r="G205" s="234"/>
      <c r="H205" s="233"/>
      <c r="I205" s="233"/>
      <c r="J205" s="770"/>
      <c r="K205" s="233"/>
      <c r="L205" s="233"/>
      <c r="M205" s="233"/>
      <c r="N205" s="2460"/>
      <c r="O205" s="2460"/>
    </row>
    <row r="206" spans="1:222">
      <c r="C206" s="233"/>
      <c r="D206" s="233"/>
      <c r="E206" s="770"/>
      <c r="F206" s="234"/>
      <c r="G206" s="234"/>
      <c r="H206" s="233"/>
      <c r="I206" s="233"/>
      <c r="J206" s="770"/>
      <c r="K206" s="233"/>
      <c r="L206" s="233"/>
      <c r="M206" s="233"/>
      <c r="N206" s="2460"/>
      <c r="O206" s="2460"/>
    </row>
    <row r="207" spans="1:222">
      <c r="C207" s="233"/>
      <c r="D207" s="233"/>
      <c r="E207" s="770"/>
      <c r="F207" s="234"/>
      <c r="G207" s="234"/>
      <c r="H207" s="233"/>
      <c r="I207" s="233"/>
      <c r="J207" s="770"/>
      <c r="K207" s="233"/>
      <c r="L207" s="233"/>
      <c r="M207" s="233"/>
      <c r="N207" s="2460"/>
      <c r="O207" s="2460"/>
    </row>
    <row r="208" spans="1:222">
      <c r="C208" s="233"/>
      <c r="D208" s="233"/>
      <c r="E208" s="770"/>
      <c r="F208" s="234"/>
      <c r="G208" s="234"/>
      <c r="H208" s="233"/>
      <c r="I208" s="233"/>
      <c r="J208" s="770"/>
      <c r="K208" s="233"/>
      <c r="L208" s="233"/>
      <c r="M208" s="233"/>
      <c r="N208" s="2460"/>
      <c r="O208" s="2460"/>
    </row>
    <row r="209" spans="3:15">
      <c r="C209" s="233"/>
      <c r="D209" s="233"/>
      <c r="E209" s="770"/>
      <c r="F209" s="234"/>
      <c r="G209" s="234"/>
      <c r="H209" s="233"/>
      <c r="I209" s="233"/>
      <c r="J209" s="770"/>
      <c r="K209" s="233"/>
      <c r="L209" s="233"/>
      <c r="M209" s="233"/>
      <c r="N209" s="2460"/>
      <c r="O209" s="2460"/>
    </row>
    <row r="210" spans="3:15">
      <c r="C210" s="233"/>
      <c r="D210" s="233"/>
      <c r="E210" s="770"/>
      <c r="F210" s="234"/>
      <c r="G210" s="234"/>
      <c r="H210" s="233"/>
      <c r="I210" s="233"/>
      <c r="J210" s="770"/>
      <c r="K210" s="233"/>
      <c r="L210" s="233"/>
      <c r="M210" s="233"/>
      <c r="N210" s="2460"/>
      <c r="O210" s="2460"/>
    </row>
    <row r="211" spans="3:15">
      <c r="C211" s="233"/>
      <c r="D211" s="233"/>
      <c r="E211" s="770"/>
      <c r="F211" s="234"/>
      <c r="G211" s="234"/>
      <c r="H211" s="233"/>
      <c r="I211" s="233"/>
      <c r="J211" s="770"/>
      <c r="K211" s="233"/>
      <c r="L211" s="233"/>
      <c r="M211" s="233"/>
      <c r="N211" s="2460"/>
      <c r="O211" s="2460"/>
    </row>
    <row r="212" spans="3:15">
      <c r="C212" s="233"/>
      <c r="D212" s="233"/>
      <c r="E212" s="770"/>
      <c r="F212" s="234"/>
      <c r="G212" s="234"/>
      <c r="H212" s="233"/>
      <c r="I212" s="233"/>
      <c r="J212" s="770"/>
      <c r="K212" s="233"/>
      <c r="L212" s="233"/>
      <c r="M212" s="233"/>
      <c r="N212" s="2460"/>
      <c r="O212" s="2460"/>
    </row>
    <row r="213" spans="3:15">
      <c r="C213" s="233"/>
      <c r="D213" s="233"/>
      <c r="E213" s="770"/>
      <c r="F213" s="234"/>
      <c r="G213" s="234"/>
      <c r="H213" s="233"/>
      <c r="I213" s="233"/>
      <c r="J213" s="770"/>
      <c r="K213" s="233"/>
      <c r="L213" s="233"/>
      <c r="M213" s="233"/>
      <c r="N213" s="2460"/>
      <c r="O213" s="2460"/>
    </row>
    <row r="214" spans="3:15">
      <c r="C214" s="233"/>
      <c r="D214" s="233"/>
      <c r="E214" s="770"/>
      <c r="F214" s="234"/>
      <c r="G214" s="234"/>
      <c r="H214" s="233"/>
      <c r="I214" s="233"/>
      <c r="J214" s="770"/>
      <c r="K214" s="233"/>
      <c r="L214" s="233"/>
      <c r="M214" s="233"/>
      <c r="N214" s="2460"/>
      <c r="O214" s="2460"/>
    </row>
    <row r="215" spans="3:15">
      <c r="C215" s="233"/>
      <c r="D215" s="233"/>
      <c r="E215" s="770"/>
      <c r="F215" s="234"/>
      <c r="G215" s="234"/>
      <c r="H215" s="233"/>
      <c r="I215" s="233"/>
      <c r="J215" s="770"/>
      <c r="K215" s="233"/>
      <c r="L215" s="233"/>
      <c r="M215" s="233"/>
      <c r="N215" s="2460"/>
      <c r="O215" s="2460"/>
    </row>
    <row r="216" spans="3:15">
      <c r="C216" s="233"/>
      <c r="D216" s="233"/>
      <c r="E216" s="770"/>
      <c r="F216" s="234"/>
      <c r="G216" s="234"/>
      <c r="H216" s="233"/>
      <c r="I216" s="233"/>
      <c r="J216" s="770"/>
      <c r="K216" s="233"/>
      <c r="L216" s="233"/>
      <c r="M216" s="233"/>
      <c r="N216" s="2460"/>
      <c r="O216" s="2460"/>
    </row>
    <row r="217" spans="3:15">
      <c r="C217" s="233"/>
      <c r="D217" s="233"/>
      <c r="E217" s="770"/>
      <c r="F217" s="234"/>
      <c r="G217" s="234"/>
      <c r="H217" s="233"/>
      <c r="I217" s="233"/>
      <c r="J217" s="770"/>
      <c r="K217" s="233"/>
      <c r="L217" s="233"/>
      <c r="M217" s="233"/>
      <c r="N217" s="2460"/>
      <c r="O217" s="2460"/>
    </row>
    <row r="218" spans="3:15">
      <c r="C218" s="233"/>
      <c r="D218" s="233"/>
      <c r="E218" s="770"/>
      <c r="F218" s="234"/>
      <c r="G218" s="234"/>
      <c r="H218" s="233"/>
      <c r="I218" s="233"/>
      <c r="J218" s="770"/>
      <c r="K218" s="233"/>
      <c r="L218" s="233"/>
      <c r="M218" s="233"/>
      <c r="N218" s="2460"/>
      <c r="O218" s="2460"/>
    </row>
    <row r="219" spans="3:15">
      <c r="C219" s="233"/>
      <c r="D219" s="233"/>
      <c r="E219" s="770"/>
      <c r="F219" s="234"/>
      <c r="G219" s="234"/>
      <c r="H219" s="233"/>
      <c r="I219" s="233"/>
      <c r="J219" s="770"/>
      <c r="K219" s="233"/>
      <c r="L219" s="233"/>
      <c r="M219" s="233"/>
      <c r="N219" s="2460"/>
      <c r="O219" s="2460"/>
    </row>
    <row r="220" spans="3:15">
      <c r="C220" s="233"/>
      <c r="D220" s="233"/>
      <c r="E220" s="770"/>
      <c r="F220" s="234"/>
      <c r="G220" s="234"/>
      <c r="H220" s="233"/>
      <c r="I220" s="233"/>
      <c r="J220" s="770"/>
      <c r="K220" s="233"/>
      <c r="L220" s="233"/>
      <c r="M220" s="233"/>
      <c r="N220" s="2460"/>
      <c r="O220" s="2460"/>
    </row>
    <row r="221" spans="3:15">
      <c r="C221" s="233"/>
      <c r="D221" s="233"/>
      <c r="E221" s="770"/>
      <c r="F221" s="234"/>
      <c r="G221" s="234"/>
      <c r="H221" s="233"/>
      <c r="I221" s="233"/>
      <c r="J221" s="770"/>
      <c r="K221" s="233"/>
      <c r="L221" s="233"/>
      <c r="M221" s="233"/>
      <c r="N221" s="2460"/>
      <c r="O221" s="2460"/>
    </row>
    <row r="222" spans="3:15">
      <c r="C222" s="233"/>
      <c r="D222" s="233"/>
      <c r="E222" s="770"/>
      <c r="F222" s="234"/>
      <c r="G222" s="234"/>
      <c r="H222" s="233"/>
      <c r="I222" s="233"/>
      <c r="J222" s="770"/>
      <c r="K222" s="233"/>
      <c r="L222" s="233"/>
      <c r="M222" s="233"/>
      <c r="N222" s="2460"/>
      <c r="O222" s="2460"/>
    </row>
    <row r="223" spans="3:15">
      <c r="C223" s="233"/>
      <c r="D223" s="233"/>
      <c r="E223" s="770"/>
      <c r="F223" s="234"/>
      <c r="G223" s="234"/>
      <c r="H223" s="233"/>
      <c r="I223" s="233"/>
      <c r="J223" s="770"/>
      <c r="K223" s="233"/>
      <c r="L223" s="233"/>
      <c r="M223" s="233"/>
      <c r="N223" s="2460"/>
      <c r="O223" s="2460"/>
    </row>
    <row r="224" spans="3:15">
      <c r="C224" s="233"/>
      <c r="D224" s="233"/>
      <c r="E224" s="770"/>
      <c r="F224" s="234"/>
      <c r="G224" s="234"/>
      <c r="H224" s="233"/>
      <c r="I224" s="233"/>
      <c r="J224" s="770"/>
      <c r="K224" s="233"/>
      <c r="L224" s="233"/>
      <c r="M224" s="233"/>
      <c r="N224" s="2460"/>
      <c r="O224" s="2460"/>
    </row>
    <row r="225" spans="3:15">
      <c r="C225" s="233"/>
      <c r="D225" s="233"/>
      <c r="E225" s="770"/>
      <c r="F225" s="234"/>
      <c r="G225" s="234"/>
      <c r="H225" s="233"/>
      <c r="I225" s="233"/>
      <c r="J225" s="770"/>
      <c r="K225" s="233"/>
      <c r="L225" s="233"/>
      <c r="M225" s="233"/>
      <c r="N225" s="2460"/>
      <c r="O225" s="2460"/>
    </row>
    <row r="226" spans="3:15">
      <c r="C226" s="233"/>
      <c r="D226" s="233"/>
      <c r="E226" s="770"/>
      <c r="F226" s="234"/>
      <c r="G226" s="234"/>
      <c r="H226" s="233"/>
      <c r="I226" s="233"/>
      <c r="J226" s="770"/>
      <c r="K226" s="233"/>
      <c r="L226" s="233"/>
      <c r="M226" s="233"/>
      <c r="N226" s="2460"/>
      <c r="O226" s="2460"/>
    </row>
    <row r="227" spans="3:15">
      <c r="C227" s="233"/>
      <c r="D227" s="233"/>
      <c r="E227" s="770"/>
      <c r="F227" s="234"/>
      <c r="G227" s="234"/>
      <c r="H227" s="233"/>
      <c r="I227" s="233"/>
      <c r="J227" s="770"/>
      <c r="K227" s="233"/>
      <c r="L227" s="233"/>
      <c r="M227" s="233"/>
      <c r="N227" s="2460"/>
      <c r="O227" s="2460"/>
    </row>
    <row r="228" spans="3:15">
      <c r="C228" s="233"/>
      <c r="D228" s="233"/>
      <c r="E228" s="770"/>
      <c r="F228" s="234"/>
      <c r="G228" s="234"/>
      <c r="H228" s="233"/>
      <c r="I228" s="233"/>
      <c r="J228" s="770"/>
      <c r="K228" s="233"/>
      <c r="L228" s="233"/>
      <c r="M228" s="233"/>
      <c r="N228" s="2460"/>
      <c r="O228" s="2460"/>
    </row>
    <row r="229" spans="3:15">
      <c r="C229" s="233"/>
      <c r="D229" s="233"/>
      <c r="E229" s="770"/>
      <c r="F229" s="234"/>
      <c r="G229" s="234"/>
      <c r="H229" s="233"/>
      <c r="I229" s="233"/>
      <c r="J229" s="770"/>
      <c r="K229" s="233"/>
      <c r="L229" s="233"/>
      <c r="M229" s="233"/>
      <c r="N229" s="2460"/>
      <c r="O229" s="2460"/>
    </row>
    <row r="230" spans="3:15">
      <c r="C230" s="233"/>
      <c r="D230" s="233"/>
      <c r="E230" s="770"/>
      <c r="F230" s="234"/>
      <c r="G230" s="234"/>
      <c r="H230" s="233"/>
      <c r="I230" s="233"/>
      <c r="J230" s="770"/>
      <c r="K230" s="233"/>
      <c r="L230" s="233"/>
      <c r="M230" s="233"/>
      <c r="N230" s="2460"/>
      <c r="O230" s="2460"/>
    </row>
    <row r="231" spans="3:15">
      <c r="C231" s="233"/>
      <c r="D231" s="233"/>
      <c r="E231" s="770"/>
      <c r="F231" s="234"/>
      <c r="G231" s="234"/>
      <c r="H231" s="233"/>
      <c r="I231" s="233"/>
      <c r="J231" s="770"/>
      <c r="K231" s="233"/>
      <c r="L231" s="233"/>
      <c r="M231" s="233"/>
      <c r="N231" s="2460"/>
      <c r="O231" s="2460"/>
    </row>
    <row r="232" spans="3:15">
      <c r="C232" s="233"/>
      <c r="D232" s="233"/>
      <c r="E232" s="770"/>
      <c r="F232" s="234"/>
      <c r="G232" s="234"/>
      <c r="H232" s="233"/>
      <c r="I232" s="233"/>
      <c r="J232" s="770"/>
      <c r="K232" s="233"/>
      <c r="L232" s="233"/>
      <c r="M232" s="233"/>
      <c r="N232" s="2460"/>
      <c r="O232" s="2460"/>
    </row>
    <row r="233" spans="3:15">
      <c r="C233" s="233"/>
      <c r="D233" s="233"/>
      <c r="E233" s="770"/>
      <c r="F233" s="234"/>
      <c r="G233" s="234"/>
      <c r="H233" s="233"/>
      <c r="I233" s="233"/>
      <c r="J233" s="770"/>
      <c r="K233" s="233"/>
      <c r="L233" s="233"/>
      <c r="M233" s="233"/>
      <c r="N233" s="2460"/>
      <c r="O233" s="2460"/>
    </row>
    <row r="234" spans="3:15">
      <c r="C234" s="233"/>
      <c r="D234" s="233"/>
      <c r="E234" s="770"/>
      <c r="F234" s="234"/>
      <c r="G234" s="234"/>
      <c r="H234" s="233"/>
      <c r="I234" s="233"/>
      <c r="J234" s="770"/>
      <c r="K234" s="233"/>
      <c r="L234" s="233"/>
      <c r="M234" s="233"/>
      <c r="N234" s="2460"/>
      <c r="O234" s="2460"/>
    </row>
    <row r="235" spans="3:15">
      <c r="C235" s="233"/>
      <c r="D235" s="233"/>
      <c r="E235" s="770"/>
      <c r="F235" s="234"/>
      <c r="G235" s="234"/>
      <c r="H235" s="233"/>
      <c r="I235" s="233"/>
      <c r="J235" s="770"/>
      <c r="K235" s="233"/>
      <c r="L235" s="233"/>
      <c r="M235" s="233"/>
      <c r="N235" s="2460"/>
      <c r="O235" s="2460"/>
    </row>
    <row r="236" spans="3:15">
      <c r="C236" s="233"/>
      <c r="D236" s="233"/>
      <c r="E236" s="770"/>
      <c r="F236" s="234"/>
      <c r="G236" s="234"/>
      <c r="H236" s="233"/>
      <c r="I236" s="233"/>
      <c r="J236" s="770"/>
      <c r="K236" s="233"/>
      <c r="L236" s="233"/>
      <c r="M236" s="233"/>
      <c r="N236" s="2460"/>
      <c r="O236" s="2460"/>
    </row>
    <row r="237" spans="3:15">
      <c r="C237" s="233"/>
      <c r="D237" s="233"/>
      <c r="E237" s="770"/>
      <c r="F237" s="234"/>
      <c r="G237" s="234"/>
      <c r="H237" s="233"/>
      <c r="I237" s="233"/>
      <c r="J237" s="770"/>
      <c r="K237" s="233"/>
      <c r="L237" s="233"/>
      <c r="M237" s="233"/>
      <c r="N237" s="2460"/>
      <c r="O237" s="2460"/>
    </row>
    <row r="238" spans="3:15">
      <c r="C238" s="233"/>
      <c r="D238" s="233"/>
      <c r="E238" s="770"/>
      <c r="F238" s="234"/>
      <c r="G238" s="234"/>
      <c r="H238" s="233"/>
      <c r="I238" s="233"/>
      <c r="J238" s="770"/>
      <c r="K238" s="233"/>
      <c r="L238" s="233"/>
      <c r="M238" s="233"/>
      <c r="N238" s="2460"/>
      <c r="O238" s="2460"/>
    </row>
    <row r="239" spans="3:15">
      <c r="C239" s="233"/>
      <c r="D239" s="233"/>
      <c r="E239" s="770"/>
      <c r="F239" s="234"/>
      <c r="G239" s="234"/>
      <c r="H239" s="233"/>
      <c r="I239" s="233"/>
      <c r="J239" s="770"/>
      <c r="K239" s="233"/>
      <c r="L239" s="233"/>
      <c r="M239" s="233"/>
      <c r="N239" s="2460"/>
      <c r="O239" s="2460"/>
    </row>
    <row r="240" spans="3:15">
      <c r="C240" s="233"/>
      <c r="D240" s="233"/>
      <c r="E240" s="770"/>
      <c r="F240" s="234"/>
      <c r="G240" s="234"/>
      <c r="H240" s="233"/>
      <c r="I240" s="233"/>
      <c r="J240" s="770"/>
      <c r="K240" s="233"/>
      <c r="L240" s="233"/>
      <c r="M240" s="233"/>
      <c r="N240" s="2460"/>
      <c r="O240" s="2460"/>
    </row>
    <row r="241" spans="3:15">
      <c r="C241" s="233"/>
      <c r="D241" s="233"/>
      <c r="E241" s="770"/>
      <c r="F241" s="234"/>
      <c r="G241" s="234"/>
      <c r="H241" s="233"/>
      <c r="I241" s="233"/>
      <c r="J241" s="770"/>
      <c r="K241" s="233"/>
      <c r="L241" s="233"/>
      <c r="M241" s="233"/>
      <c r="N241" s="2460"/>
      <c r="O241" s="2460"/>
    </row>
    <row r="242" spans="3:15">
      <c r="C242" s="233"/>
      <c r="D242" s="233"/>
      <c r="E242" s="770"/>
      <c r="F242" s="234"/>
      <c r="G242" s="234"/>
      <c r="H242" s="233"/>
      <c r="I242" s="233"/>
      <c r="J242" s="770"/>
      <c r="K242" s="233"/>
      <c r="L242" s="233"/>
      <c r="M242" s="233"/>
      <c r="N242" s="2460"/>
      <c r="O242" s="2460"/>
    </row>
    <row r="243" spans="3:15">
      <c r="C243" s="233"/>
      <c r="D243" s="233"/>
      <c r="E243" s="770"/>
      <c r="F243" s="234"/>
      <c r="G243" s="234"/>
      <c r="H243" s="233"/>
      <c r="I243" s="233"/>
      <c r="J243" s="770"/>
      <c r="K243" s="233"/>
      <c r="L243" s="233"/>
      <c r="M243" s="233"/>
      <c r="N243" s="2460"/>
      <c r="O243" s="2460"/>
    </row>
    <row r="244" spans="3:15">
      <c r="C244" s="233"/>
      <c r="D244" s="233"/>
      <c r="E244" s="770"/>
      <c r="F244" s="234"/>
      <c r="G244" s="234"/>
      <c r="H244" s="233"/>
      <c r="I244" s="233"/>
      <c r="J244" s="770"/>
      <c r="K244" s="233"/>
      <c r="L244" s="233"/>
      <c r="M244" s="233"/>
      <c r="N244" s="2460"/>
      <c r="O244" s="2460"/>
    </row>
    <row r="245" spans="3:15">
      <c r="C245" s="233"/>
      <c r="D245" s="233"/>
      <c r="E245" s="770"/>
      <c r="F245" s="234"/>
      <c r="G245" s="234"/>
      <c r="H245" s="233"/>
      <c r="I245" s="233"/>
      <c r="J245" s="770"/>
      <c r="K245" s="233"/>
      <c r="L245" s="233"/>
      <c r="M245" s="233"/>
      <c r="N245" s="2460"/>
      <c r="O245" s="2460"/>
    </row>
    <row r="246" spans="3:15">
      <c r="C246" s="233"/>
      <c r="D246" s="233"/>
      <c r="E246" s="770"/>
      <c r="F246" s="234"/>
      <c r="G246" s="234"/>
      <c r="H246" s="233"/>
      <c r="I246" s="233"/>
      <c r="J246" s="770"/>
      <c r="K246" s="233"/>
      <c r="L246" s="233"/>
      <c r="M246" s="233"/>
      <c r="N246" s="2460"/>
      <c r="O246" s="2460"/>
    </row>
    <row r="247" spans="3:15">
      <c r="C247" s="233"/>
      <c r="D247" s="233"/>
      <c r="E247" s="770"/>
      <c r="F247" s="234"/>
      <c r="G247" s="234"/>
      <c r="H247" s="233"/>
      <c r="I247" s="233"/>
      <c r="J247" s="770"/>
      <c r="K247" s="233"/>
      <c r="L247" s="233"/>
      <c r="M247" s="233"/>
      <c r="N247" s="2460"/>
      <c r="O247" s="2460"/>
    </row>
    <row r="248" spans="3:15">
      <c r="C248" s="233"/>
      <c r="D248" s="233"/>
      <c r="E248" s="770"/>
      <c r="F248" s="234"/>
      <c r="G248" s="234"/>
      <c r="H248" s="233"/>
      <c r="I248" s="233"/>
      <c r="J248" s="770"/>
      <c r="K248" s="233"/>
      <c r="L248" s="233"/>
      <c r="M248" s="233"/>
      <c r="N248" s="2460"/>
      <c r="O248" s="2460"/>
    </row>
    <row r="249" spans="3:15">
      <c r="C249" s="233"/>
      <c r="D249" s="233"/>
      <c r="E249" s="770"/>
      <c r="F249" s="234"/>
      <c r="G249" s="234"/>
      <c r="H249" s="233"/>
      <c r="I249" s="233"/>
      <c r="J249" s="770"/>
      <c r="K249" s="233"/>
      <c r="L249" s="233"/>
      <c r="M249" s="233"/>
      <c r="N249" s="2460"/>
      <c r="O249" s="2460"/>
    </row>
    <row r="250" spans="3:15">
      <c r="C250" s="233"/>
      <c r="D250" s="233"/>
      <c r="E250" s="770"/>
      <c r="F250" s="234"/>
      <c r="G250" s="234"/>
      <c r="H250" s="233"/>
      <c r="I250" s="233"/>
      <c r="J250" s="770"/>
      <c r="K250" s="233"/>
      <c r="L250" s="233"/>
      <c r="M250" s="233"/>
      <c r="N250" s="2460"/>
      <c r="O250" s="2460"/>
    </row>
    <row r="251" spans="3:15">
      <c r="C251" s="233"/>
      <c r="D251" s="233"/>
      <c r="E251" s="770"/>
      <c r="F251" s="234"/>
      <c r="G251" s="234"/>
      <c r="H251" s="233"/>
      <c r="I251" s="233"/>
      <c r="J251" s="770"/>
      <c r="K251" s="233"/>
      <c r="L251" s="233"/>
      <c r="M251" s="233"/>
      <c r="N251" s="2460"/>
      <c r="O251" s="2460"/>
    </row>
    <row r="252" spans="3:15">
      <c r="C252" s="233"/>
      <c r="D252" s="233"/>
      <c r="E252" s="770"/>
      <c r="F252" s="234"/>
      <c r="G252" s="234"/>
      <c r="H252" s="233"/>
      <c r="I252" s="233"/>
      <c r="J252" s="770"/>
      <c r="K252" s="233"/>
      <c r="L252" s="233"/>
      <c r="M252" s="233"/>
      <c r="N252" s="2460"/>
      <c r="O252" s="2460"/>
    </row>
    <row r="253" spans="3:15">
      <c r="C253" s="233"/>
      <c r="D253" s="233"/>
      <c r="E253" s="770"/>
      <c r="F253" s="234"/>
      <c r="G253" s="234"/>
      <c r="H253" s="233"/>
      <c r="I253" s="233"/>
      <c r="J253" s="770"/>
      <c r="K253" s="233"/>
      <c r="L253" s="233"/>
      <c r="M253" s="233"/>
      <c r="N253" s="2460"/>
      <c r="O253" s="2460"/>
    </row>
    <row r="254" spans="3:15">
      <c r="C254" s="233"/>
      <c r="D254" s="233"/>
      <c r="E254" s="770"/>
      <c r="F254" s="234"/>
      <c r="G254" s="234"/>
      <c r="H254" s="233"/>
      <c r="I254" s="233"/>
      <c r="J254" s="770"/>
      <c r="K254" s="233"/>
      <c r="L254" s="233"/>
      <c r="M254" s="233"/>
      <c r="N254" s="2460"/>
      <c r="O254" s="2460"/>
    </row>
    <row r="255" spans="3:15">
      <c r="C255" s="233"/>
      <c r="D255" s="233"/>
      <c r="E255" s="770"/>
      <c r="F255" s="234"/>
      <c r="G255" s="234"/>
      <c r="H255" s="233"/>
      <c r="I255" s="233"/>
      <c r="J255" s="770"/>
      <c r="K255" s="233"/>
      <c r="L255" s="233"/>
      <c r="M255" s="233"/>
      <c r="N255" s="2460"/>
      <c r="O255" s="2460"/>
    </row>
    <row r="256" spans="3:15">
      <c r="C256" s="233"/>
      <c r="D256" s="233"/>
      <c r="E256" s="770"/>
      <c r="F256" s="234"/>
      <c r="G256" s="234"/>
      <c r="H256" s="233"/>
      <c r="I256" s="233"/>
      <c r="J256" s="770"/>
      <c r="K256" s="233"/>
      <c r="L256" s="233"/>
      <c r="M256" s="233"/>
      <c r="N256" s="2460"/>
      <c r="O256" s="2460"/>
    </row>
    <row r="257" spans="3:15">
      <c r="C257" s="233"/>
      <c r="D257" s="233"/>
      <c r="E257" s="770"/>
      <c r="F257" s="234"/>
      <c r="G257" s="234"/>
      <c r="H257" s="233"/>
      <c r="I257" s="233"/>
      <c r="J257" s="770"/>
      <c r="K257" s="233"/>
      <c r="L257" s="233"/>
      <c r="M257" s="233"/>
      <c r="N257" s="2460"/>
      <c r="O257" s="2460"/>
    </row>
    <row r="258" spans="3:15">
      <c r="C258" s="233"/>
      <c r="D258" s="233"/>
      <c r="E258" s="770"/>
      <c r="F258" s="234"/>
      <c r="G258" s="234"/>
      <c r="H258" s="233"/>
      <c r="I258" s="233"/>
      <c r="J258" s="770"/>
      <c r="K258" s="233"/>
      <c r="L258" s="233"/>
      <c r="M258" s="233"/>
      <c r="N258" s="2460"/>
      <c r="O258" s="2460"/>
    </row>
    <row r="259" spans="3:15">
      <c r="C259" s="233"/>
      <c r="D259" s="233"/>
      <c r="E259" s="770"/>
      <c r="F259" s="234"/>
      <c r="G259" s="234"/>
      <c r="H259" s="233"/>
      <c r="I259" s="233"/>
      <c r="J259" s="770"/>
      <c r="K259" s="233"/>
      <c r="L259" s="233"/>
      <c r="M259" s="233"/>
      <c r="N259" s="2460"/>
      <c r="O259" s="2460"/>
    </row>
    <row r="260" spans="3:15">
      <c r="C260" s="233"/>
      <c r="D260" s="233"/>
      <c r="E260" s="770"/>
      <c r="F260" s="234"/>
      <c r="G260" s="234"/>
      <c r="H260" s="233"/>
      <c r="I260" s="233"/>
      <c r="J260" s="770"/>
      <c r="K260" s="233"/>
      <c r="L260" s="233"/>
      <c r="M260" s="233"/>
      <c r="N260" s="2460"/>
      <c r="O260" s="2460"/>
    </row>
    <row r="261" spans="3:15">
      <c r="C261" s="233"/>
      <c r="D261" s="233"/>
      <c r="E261" s="770"/>
      <c r="F261" s="234"/>
      <c r="G261" s="234"/>
      <c r="H261" s="233"/>
      <c r="I261" s="233"/>
      <c r="J261" s="770"/>
      <c r="K261" s="233"/>
      <c r="L261" s="233"/>
      <c r="M261" s="233"/>
      <c r="N261" s="2460"/>
      <c r="O261" s="2460"/>
    </row>
    <row r="262" spans="3:15">
      <c r="C262" s="233"/>
      <c r="D262" s="233"/>
      <c r="E262" s="770"/>
      <c r="F262" s="234"/>
      <c r="G262" s="234"/>
      <c r="H262" s="233"/>
      <c r="I262" s="233"/>
      <c r="J262" s="770"/>
      <c r="K262" s="233"/>
      <c r="L262" s="233"/>
      <c r="M262" s="233"/>
      <c r="N262" s="2460"/>
      <c r="O262" s="2460"/>
    </row>
    <row r="263" spans="3:15">
      <c r="C263" s="233"/>
      <c r="D263" s="233"/>
      <c r="E263" s="770"/>
      <c r="F263" s="234"/>
      <c r="G263" s="234"/>
      <c r="H263" s="233"/>
      <c r="I263" s="233"/>
      <c r="J263" s="770"/>
      <c r="K263" s="233"/>
      <c r="L263" s="233"/>
      <c r="M263" s="233"/>
      <c r="N263" s="2460"/>
      <c r="O263" s="2460"/>
    </row>
    <row r="264" spans="3:15">
      <c r="C264" s="233"/>
      <c r="D264" s="233"/>
      <c r="E264" s="770"/>
      <c r="F264" s="234"/>
      <c r="G264" s="234"/>
      <c r="H264" s="233"/>
      <c r="I264" s="233"/>
      <c r="J264" s="770"/>
      <c r="K264" s="233"/>
      <c r="L264" s="233"/>
      <c r="M264" s="233"/>
      <c r="N264" s="2460"/>
      <c r="O264" s="2460"/>
    </row>
    <row r="265" spans="3:15">
      <c r="C265" s="233"/>
      <c r="D265" s="233"/>
      <c r="E265" s="770"/>
      <c r="F265" s="234"/>
      <c r="G265" s="234"/>
      <c r="H265" s="233"/>
      <c r="I265" s="233"/>
      <c r="J265" s="770"/>
      <c r="K265" s="233"/>
      <c r="L265" s="233"/>
      <c r="M265" s="233"/>
      <c r="N265" s="2460"/>
      <c r="O265" s="2460"/>
    </row>
    <row r="266" spans="3:15">
      <c r="C266" s="233"/>
      <c r="D266" s="233"/>
      <c r="E266" s="770"/>
      <c r="F266" s="234"/>
      <c r="G266" s="234"/>
      <c r="H266" s="233"/>
      <c r="I266" s="233"/>
      <c r="J266" s="770"/>
      <c r="K266" s="233"/>
      <c r="L266" s="233"/>
      <c r="M266" s="233"/>
      <c r="N266" s="2460"/>
      <c r="O266" s="2460"/>
    </row>
    <row r="267" spans="3:15">
      <c r="C267" s="233"/>
      <c r="D267" s="233"/>
      <c r="E267" s="770"/>
      <c r="F267" s="234"/>
      <c r="G267" s="234"/>
      <c r="H267" s="233"/>
      <c r="I267" s="233"/>
      <c r="J267" s="770"/>
      <c r="K267" s="233"/>
      <c r="L267" s="233"/>
      <c r="M267" s="233"/>
      <c r="N267" s="2460"/>
      <c r="O267" s="2460"/>
    </row>
    <row r="268" spans="3:15">
      <c r="C268" s="233"/>
      <c r="D268" s="233"/>
      <c r="E268" s="770"/>
      <c r="F268" s="234"/>
      <c r="G268" s="234"/>
      <c r="H268" s="233"/>
      <c r="I268" s="233"/>
      <c r="J268" s="770"/>
      <c r="K268" s="233"/>
      <c r="L268" s="233"/>
      <c r="M268" s="233"/>
      <c r="N268" s="2460"/>
      <c r="O268" s="2460"/>
    </row>
    <row r="269" spans="3:15">
      <c r="C269" s="233"/>
      <c r="D269" s="233"/>
      <c r="E269" s="770"/>
      <c r="F269" s="234"/>
      <c r="G269" s="234"/>
      <c r="H269" s="233"/>
      <c r="I269" s="233"/>
      <c r="J269" s="770"/>
      <c r="K269" s="233"/>
      <c r="L269" s="233"/>
      <c r="M269" s="233"/>
      <c r="N269" s="2460"/>
      <c r="O269" s="2460"/>
    </row>
    <row r="270" spans="3:15">
      <c r="C270" s="233"/>
      <c r="D270" s="233"/>
      <c r="E270" s="770"/>
      <c r="F270" s="234"/>
      <c r="G270" s="234"/>
      <c r="H270" s="233"/>
      <c r="I270" s="233"/>
      <c r="J270" s="770"/>
      <c r="K270" s="233"/>
      <c r="L270" s="233"/>
      <c r="M270" s="233"/>
      <c r="N270" s="2460"/>
      <c r="O270" s="2460"/>
    </row>
    <row r="271" spans="3:15">
      <c r="C271" s="233"/>
      <c r="D271" s="233"/>
      <c r="E271" s="770"/>
      <c r="F271" s="234"/>
      <c r="G271" s="234"/>
      <c r="H271" s="233"/>
      <c r="I271" s="233"/>
      <c r="J271" s="770"/>
      <c r="K271" s="233"/>
      <c r="L271" s="233"/>
      <c r="M271" s="233"/>
      <c r="N271" s="2460"/>
      <c r="O271" s="2460"/>
    </row>
    <row r="272" spans="3:15">
      <c r="C272" s="233"/>
      <c r="D272" s="233"/>
      <c r="E272" s="770"/>
      <c r="F272" s="234"/>
      <c r="G272" s="234"/>
      <c r="H272" s="233"/>
      <c r="I272" s="233"/>
      <c r="J272" s="770"/>
      <c r="K272" s="233"/>
      <c r="L272" s="233"/>
      <c r="M272" s="233"/>
      <c r="N272" s="2460"/>
      <c r="O272" s="2460"/>
    </row>
    <row r="273" spans="3:15">
      <c r="C273" s="233"/>
      <c r="D273" s="233"/>
      <c r="E273" s="770"/>
      <c r="F273" s="234"/>
      <c r="G273" s="234"/>
      <c r="H273" s="233"/>
      <c r="I273" s="233"/>
      <c r="J273" s="770"/>
      <c r="K273" s="233"/>
      <c r="L273" s="233"/>
      <c r="M273" s="233"/>
      <c r="N273" s="2460"/>
      <c r="O273" s="2460"/>
    </row>
    <row r="274" spans="3:15">
      <c r="C274" s="233"/>
      <c r="D274" s="233"/>
      <c r="E274" s="770"/>
      <c r="F274" s="234"/>
      <c r="G274" s="234"/>
      <c r="H274" s="233"/>
      <c r="I274" s="233"/>
      <c r="J274" s="770"/>
      <c r="K274" s="233"/>
      <c r="L274" s="233"/>
      <c r="M274" s="233"/>
      <c r="N274" s="2460"/>
      <c r="O274" s="2460"/>
    </row>
    <row r="275" spans="3:15">
      <c r="C275" s="233"/>
      <c r="D275" s="233"/>
      <c r="E275" s="770"/>
      <c r="F275" s="234"/>
      <c r="G275" s="234"/>
      <c r="H275" s="233"/>
      <c r="I275" s="233"/>
      <c r="J275" s="770"/>
      <c r="K275" s="233"/>
      <c r="L275" s="233"/>
      <c r="M275" s="233"/>
      <c r="N275" s="2460"/>
      <c r="O275" s="2460"/>
    </row>
    <row r="276" spans="3:15">
      <c r="C276" s="233"/>
      <c r="D276" s="233"/>
      <c r="E276" s="770"/>
      <c r="F276" s="234"/>
      <c r="G276" s="234"/>
      <c r="H276" s="233"/>
      <c r="I276" s="233"/>
      <c r="J276" s="770"/>
      <c r="K276" s="233"/>
      <c r="L276" s="233"/>
      <c r="M276" s="233"/>
      <c r="N276" s="2460"/>
      <c r="O276" s="2460"/>
    </row>
    <row r="277" spans="3:15">
      <c r="C277" s="233"/>
      <c r="D277" s="233"/>
      <c r="E277" s="770"/>
      <c r="F277" s="234"/>
      <c r="G277" s="234"/>
      <c r="H277" s="233"/>
      <c r="I277" s="233"/>
      <c r="J277" s="770"/>
      <c r="K277" s="233"/>
      <c r="L277" s="233"/>
      <c r="M277" s="233"/>
      <c r="N277" s="2460"/>
      <c r="O277" s="2460"/>
    </row>
    <row r="278" spans="3:15">
      <c r="C278" s="233"/>
      <c r="D278" s="233"/>
      <c r="E278" s="770"/>
      <c r="F278" s="234"/>
      <c r="G278" s="234"/>
      <c r="H278" s="233"/>
      <c r="I278" s="233"/>
      <c r="J278" s="770"/>
      <c r="K278" s="233"/>
      <c r="L278" s="233"/>
      <c r="M278" s="233"/>
      <c r="N278" s="2460"/>
      <c r="O278" s="2460"/>
    </row>
    <row r="279" spans="3:15">
      <c r="C279" s="233"/>
      <c r="D279" s="233"/>
      <c r="E279" s="770"/>
      <c r="F279" s="234"/>
      <c r="G279" s="234"/>
      <c r="H279" s="233"/>
      <c r="I279" s="233"/>
      <c r="J279" s="770"/>
      <c r="K279" s="233"/>
      <c r="L279" s="233"/>
      <c r="M279" s="233"/>
      <c r="N279" s="2460"/>
      <c r="O279" s="2460"/>
    </row>
    <row r="280" spans="3:15">
      <c r="C280" s="233"/>
      <c r="D280" s="233"/>
      <c r="E280" s="770"/>
      <c r="F280" s="234"/>
      <c r="G280" s="234"/>
      <c r="H280" s="233"/>
      <c r="I280" s="233"/>
      <c r="J280" s="770"/>
      <c r="K280" s="233"/>
      <c r="L280" s="233"/>
      <c r="M280" s="233"/>
      <c r="N280" s="2460"/>
      <c r="O280" s="2460"/>
    </row>
    <row r="281" spans="3:15">
      <c r="C281" s="233"/>
      <c r="D281" s="233"/>
      <c r="E281" s="770"/>
      <c r="F281" s="234"/>
      <c r="G281" s="234"/>
      <c r="H281" s="233"/>
      <c r="I281" s="233"/>
      <c r="J281" s="770"/>
      <c r="K281" s="233"/>
      <c r="L281" s="233"/>
      <c r="M281" s="233"/>
      <c r="N281" s="2460"/>
      <c r="O281" s="2460"/>
    </row>
    <row r="282" spans="3:15">
      <c r="C282" s="233"/>
      <c r="D282" s="233"/>
      <c r="E282" s="770"/>
      <c r="F282" s="234"/>
      <c r="G282" s="234"/>
      <c r="H282" s="233"/>
      <c r="I282" s="233"/>
      <c r="J282" s="770"/>
      <c r="K282" s="233"/>
      <c r="L282" s="233"/>
      <c r="M282" s="233"/>
      <c r="N282" s="2460"/>
      <c r="O282" s="2460"/>
    </row>
    <row r="283" spans="3:15">
      <c r="C283" s="233"/>
      <c r="D283" s="233"/>
      <c r="E283" s="770"/>
      <c r="F283" s="234"/>
      <c r="G283" s="234"/>
      <c r="H283" s="233"/>
      <c r="I283" s="233"/>
      <c r="J283" s="770"/>
      <c r="K283" s="233"/>
      <c r="L283" s="233"/>
      <c r="M283" s="233"/>
      <c r="N283" s="2460"/>
      <c r="O283" s="2460"/>
    </row>
    <row r="284" spans="3:15">
      <c r="C284" s="233"/>
      <c r="D284" s="233"/>
      <c r="E284" s="770"/>
      <c r="F284" s="234"/>
      <c r="G284" s="234"/>
      <c r="H284" s="233"/>
      <c r="I284" s="233"/>
      <c r="J284" s="770"/>
      <c r="K284" s="233"/>
      <c r="L284" s="233"/>
      <c r="M284" s="233"/>
      <c r="N284" s="2460"/>
      <c r="O284" s="2460"/>
    </row>
    <row r="285" spans="3:15">
      <c r="C285" s="233"/>
      <c r="D285" s="233"/>
      <c r="E285" s="770"/>
      <c r="F285" s="234"/>
      <c r="G285" s="234"/>
      <c r="H285" s="233"/>
      <c r="I285" s="233"/>
      <c r="J285" s="770"/>
      <c r="K285" s="233"/>
      <c r="L285" s="233"/>
      <c r="M285" s="233"/>
      <c r="N285" s="2460"/>
      <c r="O285" s="2460"/>
    </row>
    <row r="286" spans="3:15">
      <c r="C286" s="233"/>
      <c r="D286" s="233"/>
      <c r="E286" s="770"/>
      <c r="F286" s="234"/>
      <c r="G286" s="234"/>
      <c r="H286" s="233"/>
      <c r="I286" s="233"/>
      <c r="J286" s="770"/>
      <c r="K286" s="233"/>
      <c r="L286" s="233"/>
      <c r="M286" s="233"/>
      <c r="N286" s="2460"/>
      <c r="O286" s="2460"/>
    </row>
    <row r="287" spans="3:15">
      <c r="C287" s="233"/>
      <c r="D287" s="233"/>
      <c r="E287" s="770"/>
      <c r="F287" s="234"/>
      <c r="G287" s="234"/>
      <c r="H287" s="233"/>
      <c r="I287" s="233"/>
      <c r="J287" s="770"/>
      <c r="K287" s="233"/>
      <c r="L287" s="233"/>
      <c r="M287" s="233"/>
      <c r="N287" s="2460"/>
      <c r="O287" s="2460"/>
    </row>
    <row r="288" spans="3:15">
      <c r="C288" s="233"/>
      <c r="D288" s="233"/>
      <c r="E288" s="770"/>
      <c r="F288" s="234"/>
      <c r="G288" s="234"/>
      <c r="H288" s="233"/>
      <c r="I288" s="233"/>
      <c r="J288" s="770"/>
      <c r="K288" s="233"/>
      <c r="L288" s="233"/>
      <c r="M288" s="233"/>
      <c r="N288" s="2460"/>
      <c r="O288" s="2460"/>
    </row>
    <row r="289" spans="3:15">
      <c r="C289" s="233"/>
      <c r="D289" s="233"/>
      <c r="E289" s="770"/>
      <c r="F289" s="234"/>
      <c r="G289" s="234"/>
      <c r="H289" s="233"/>
      <c r="I289" s="233"/>
      <c r="J289" s="770"/>
      <c r="K289" s="233"/>
      <c r="L289" s="233"/>
      <c r="M289" s="233"/>
      <c r="N289" s="2460"/>
      <c r="O289" s="2460"/>
    </row>
    <row r="290" spans="3:15">
      <c r="C290" s="233"/>
      <c r="D290" s="233"/>
      <c r="E290" s="770"/>
      <c r="F290" s="234"/>
      <c r="G290" s="234"/>
      <c r="H290" s="233"/>
      <c r="I290" s="233"/>
      <c r="J290" s="770"/>
      <c r="K290" s="233"/>
      <c r="L290" s="233"/>
      <c r="M290" s="233"/>
      <c r="N290" s="2460"/>
      <c r="O290" s="2460"/>
    </row>
    <row r="291" spans="3:15">
      <c r="C291" s="233"/>
      <c r="D291" s="233"/>
      <c r="E291" s="770"/>
      <c r="F291" s="234"/>
      <c r="G291" s="234"/>
      <c r="H291" s="233"/>
      <c r="I291" s="233"/>
      <c r="J291" s="770"/>
      <c r="K291" s="233"/>
      <c r="L291" s="233"/>
      <c r="M291" s="233"/>
      <c r="N291" s="2460"/>
      <c r="O291" s="2460"/>
    </row>
    <row r="292" spans="3:15">
      <c r="C292" s="233"/>
      <c r="D292" s="233"/>
      <c r="E292" s="770"/>
      <c r="F292" s="234"/>
      <c r="G292" s="234"/>
      <c r="H292" s="233"/>
      <c r="I292" s="233"/>
      <c r="J292" s="770"/>
      <c r="K292" s="233"/>
      <c r="L292" s="233"/>
      <c r="M292" s="233"/>
      <c r="N292" s="2460"/>
      <c r="O292" s="2460"/>
    </row>
    <row r="293" spans="3:15">
      <c r="C293" s="233"/>
      <c r="D293" s="233"/>
      <c r="E293" s="770"/>
      <c r="F293" s="234"/>
      <c r="G293" s="234"/>
      <c r="H293" s="233"/>
      <c r="I293" s="233"/>
      <c r="J293" s="770"/>
      <c r="K293" s="233"/>
      <c r="L293" s="233"/>
      <c r="M293" s="233"/>
      <c r="N293" s="2460"/>
      <c r="O293" s="2460"/>
    </row>
    <row r="294" spans="3:15">
      <c r="C294" s="233"/>
      <c r="D294" s="233"/>
      <c r="E294" s="770"/>
      <c r="F294" s="234"/>
      <c r="G294" s="234"/>
      <c r="H294" s="233"/>
      <c r="I294" s="233"/>
      <c r="J294" s="770"/>
      <c r="K294" s="233"/>
      <c r="L294" s="233"/>
      <c r="M294" s="233"/>
      <c r="N294" s="2460"/>
      <c r="O294" s="2460"/>
    </row>
    <row r="295" spans="3:15">
      <c r="C295" s="233"/>
      <c r="D295" s="233"/>
      <c r="E295" s="770"/>
      <c r="F295" s="234"/>
      <c r="G295" s="234"/>
      <c r="H295" s="233"/>
      <c r="I295" s="233"/>
      <c r="J295" s="770"/>
      <c r="K295" s="233"/>
      <c r="L295" s="233"/>
      <c r="M295" s="233"/>
      <c r="N295" s="2460"/>
      <c r="O295" s="2460"/>
    </row>
    <row r="296" spans="3:15">
      <c r="C296" s="233"/>
      <c r="D296" s="233"/>
      <c r="E296" s="770"/>
      <c r="F296" s="234"/>
      <c r="G296" s="234"/>
      <c r="H296" s="233"/>
      <c r="I296" s="233"/>
      <c r="J296" s="770"/>
      <c r="K296" s="233"/>
      <c r="L296" s="233"/>
      <c r="M296" s="233"/>
      <c r="N296" s="2460"/>
      <c r="O296" s="2460"/>
    </row>
    <row r="297" spans="3:15">
      <c r="C297" s="233"/>
      <c r="D297" s="233"/>
      <c r="E297" s="770"/>
      <c r="F297" s="234"/>
      <c r="G297" s="234"/>
      <c r="H297" s="233"/>
      <c r="I297" s="233"/>
      <c r="J297" s="770"/>
      <c r="K297" s="233"/>
      <c r="L297" s="233"/>
      <c r="M297" s="233"/>
      <c r="N297" s="2460"/>
      <c r="O297" s="2460"/>
    </row>
    <row r="298" spans="3:15">
      <c r="C298" s="233"/>
      <c r="D298" s="233"/>
      <c r="E298" s="770"/>
      <c r="F298" s="234"/>
      <c r="G298" s="234"/>
      <c r="H298" s="233"/>
      <c r="I298" s="233"/>
      <c r="J298" s="770"/>
      <c r="K298" s="233"/>
      <c r="L298" s="233"/>
      <c r="M298" s="233"/>
      <c r="N298" s="2460"/>
      <c r="O298" s="2460"/>
    </row>
    <row r="299" spans="3:15">
      <c r="C299" s="233"/>
      <c r="D299" s="233"/>
      <c r="E299" s="770"/>
      <c r="F299" s="234"/>
      <c r="G299" s="234"/>
      <c r="H299" s="233"/>
      <c r="I299" s="233"/>
      <c r="J299" s="770"/>
      <c r="K299" s="233"/>
      <c r="L299" s="233"/>
      <c r="M299" s="233"/>
      <c r="N299" s="2460"/>
      <c r="O299" s="2460"/>
    </row>
    <row r="300" spans="3:15">
      <c r="C300" s="233"/>
      <c r="D300" s="233"/>
      <c r="E300" s="770"/>
      <c r="F300" s="234"/>
      <c r="G300" s="234"/>
      <c r="H300" s="233"/>
      <c r="I300" s="233"/>
      <c r="J300" s="770"/>
      <c r="K300" s="233"/>
      <c r="L300" s="233"/>
      <c r="M300" s="233"/>
      <c r="N300" s="2460"/>
      <c r="O300" s="2460"/>
    </row>
    <row r="301" spans="3:15">
      <c r="C301" s="233"/>
      <c r="D301" s="233"/>
      <c r="E301" s="770"/>
      <c r="F301" s="234"/>
      <c r="G301" s="234"/>
      <c r="H301" s="233"/>
      <c r="I301" s="233"/>
      <c r="J301" s="770"/>
      <c r="K301" s="233"/>
      <c r="L301" s="233"/>
      <c r="M301" s="233"/>
      <c r="N301" s="2460"/>
      <c r="O301" s="2460"/>
    </row>
    <row r="302" spans="3:15">
      <c r="C302" s="233"/>
      <c r="D302" s="233"/>
      <c r="E302" s="770"/>
      <c r="F302" s="234"/>
      <c r="G302" s="234"/>
      <c r="H302" s="233"/>
      <c r="I302" s="233"/>
      <c r="J302" s="770"/>
      <c r="K302" s="233"/>
      <c r="L302" s="233"/>
      <c r="M302" s="233"/>
      <c r="N302" s="2460"/>
      <c r="O302" s="2460"/>
    </row>
    <row r="303" spans="3:15">
      <c r="C303" s="233"/>
      <c r="D303" s="233"/>
      <c r="E303" s="770"/>
      <c r="F303" s="234"/>
      <c r="G303" s="234"/>
      <c r="H303" s="233"/>
      <c r="I303" s="233"/>
      <c r="J303" s="770"/>
      <c r="K303" s="233"/>
      <c r="L303" s="233"/>
      <c r="M303" s="233"/>
      <c r="N303" s="2460"/>
      <c r="O303" s="2460"/>
    </row>
    <row r="304" spans="3:15">
      <c r="C304" s="233"/>
      <c r="D304" s="233"/>
      <c r="E304" s="770"/>
      <c r="F304" s="234"/>
      <c r="G304" s="234"/>
      <c r="H304" s="233"/>
      <c r="I304" s="233"/>
      <c r="J304" s="770"/>
      <c r="K304" s="233"/>
      <c r="L304" s="233"/>
      <c r="M304" s="233"/>
      <c r="N304" s="2460"/>
      <c r="O304" s="2460"/>
    </row>
    <row r="305" spans="3:15">
      <c r="C305" s="233"/>
      <c r="D305" s="233"/>
      <c r="E305" s="770"/>
      <c r="F305" s="234"/>
      <c r="G305" s="234"/>
      <c r="H305" s="233"/>
      <c r="I305" s="233"/>
      <c r="J305" s="770"/>
      <c r="K305" s="233"/>
      <c r="L305" s="233"/>
      <c r="M305" s="233"/>
      <c r="N305" s="2460"/>
      <c r="O305" s="2460"/>
    </row>
    <row r="306" spans="3:15">
      <c r="C306" s="233"/>
      <c r="D306" s="233"/>
      <c r="E306" s="770"/>
      <c r="F306" s="234"/>
      <c r="G306" s="234"/>
      <c r="H306" s="233"/>
      <c r="I306" s="233"/>
      <c r="J306" s="770"/>
      <c r="K306" s="233"/>
      <c r="L306" s="233"/>
      <c r="M306" s="233"/>
      <c r="N306" s="2460"/>
      <c r="O306" s="2460"/>
    </row>
    <row r="307" spans="3:15">
      <c r="C307" s="233"/>
      <c r="D307" s="233"/>
      <c r="E307" s="770"/>
      <c r="F307" s="234"/>
      <c r="G307" s="234"/>
      <c r="H307" s="233"/>
      <c r="I307" s="233"/>
      <c r="J307" s="770"/>
      <c r="K307" s="233"/>
      <c r="L307" s="233"/>
      <c r="M307" s="233"/>
      <c r="N307" s="2460"/>
      <c r="O307" s="2460"/>
    </row>
    <row r="308" spans="3:15">
      <c r="C308" s="233"/>
      <c r="D308" s="233"/>
      <c r="E308" s="770"/>
      <c r="F308" s="234"/>
      <c r="G308" s="234"/>
      <c r="H308" s="233"/>
      <c r="I308" s="233"/>
      <c r="J308" s="770"/>
      <c r="K308" s="233"/>
      <c r="L308" s="233"/>
      <c r="M308" s="233"/>
      <c r="N308" s="2460"/>
      <c r="O308" s="2460"/>
    </row>
    <row r="309" spans="3:15">
      <c r="C309" s="233"/>
      <c r="D309" s="233"/>
      <c r="E309" s="770"/>
      <c r="F309" s="234"/>
      <c r="G309" s="234"/>
      <c r="H309" s="233"/>
      <c r="I309" s="233"/>
      <c r="J309" s="770"/>
      <c r="K309" s="233"/>
      <c r="L309" s="233"/>
      <c r="M309" s="233"/>
      <c r="N309" s="2460"/>
      <c r="O309" s="2460"/>
    </row>
    <row r="310" spans="3:15">
      <c r="C310" s="233"/>
      <c r="D310" s="233"/>
      <c r="E310" s="770"/>
      <c r="F310" s="234"/>
      <c r="G310" s="234"/>
      <c r="H310" s="233"/>
      <c r="I310" s="233"/>
      <c r="J310" s="770"/>
      <c r="K310" s="233"/>
      <c r="L310" s="233"/>
      <c r="M310" s="233"/>
      <c r="N310" s="2460"/>
      <c r="O310" s="2460"/>
    </row>
    <row r="311" spans="3:15">
      <c r="C311" s="233"/>
      <c r="D311" s="233"/>
      <c r="E311" s="770"/>
      <c r="F311" s="234"/>
      <c r="G311" s="234"/>
      <c r="H311" s="233"/>
      <c r="I311" s="233"/>
      <c r="J311" s="770"/>
      <c r="K311" s="233"/>
      <c r="L311" s="233"/>
      <c r="M311" s="233"/>
      <c r="N311" s="2460"/>
      <c r="O311" s="2460"/>
    </row>
    <row r="312" spans="3:15">
      <c r="C312" s="233"/>
      <c r="D312" s="233"/>
      <c r="E312" s="770"/>
      <c r="F312" s="234"/>
      <c r="G312" s="234"/>
      <c r="H312" s="233"/>
      <c r="I312" s="233"/>
      <c r="J312" s="770"/>
      <c r="K312" s="233"/>
      <c r="L312" s="233"/>
      <c r="M312" s="233"/>
      <c r="N312" s="2460"/>
      <c r="O312" s="2460"/>
    </row>
    <row r="313" spans="3:15">
      <c r="C313" s="233"/>
      <c r="D313" s="233"/>
      <c r="E313" s="770"/>
      <c r="F313" s="234"/>
      <c r="G313" s="234"/>
      <c r="H313" s="233"/>
      <c r="I313" s="233"/>
      <c r="J313" s="770"/>
      <c r="K313" s="233"/>
      <c r="L313" s="233"/>
      <c r="M313" s="233"/>
      <c r="N313" s="2460"/>
      <c r="O313" s="2460"/>
    </row>
    <row r="314" spans="3:15">
      <c r="C314" s="233"/>
      <c r="D314" s="233"/>
      <c r="E314" s="770"/>
      <c r="F314" s="234"/>
      <c r="G314" s="234"/>
      <c r="H314" s="233"/>
      <c r="I314" s="233"/>
      <c r="J314" s="770"/>
      <c r="K314" s="233"/>
      <c r="L314" s="233"/>
      <c r="M314" s="233"/>
      <c r="N314" s="2460"/>
      <c r="O314" s="2460"/>
    </row>
    <row r="315" spans="3:15">
      <c r="C315" s="233"/>
      <c r="D315" s="233"/>
      <c r="E315" s="770"/>
      <c r="F315" s="234"/>
      <c r="G315" s="234"/>
      <c r="H315" s="233"/>
      <c r="I315" s="233"/>
      <c r="J315" s="770"/>
      <c r="K315" s="233"/>
      <c r="L315" s="233"/>
      <c r="M315" s="233"/>
      <c r="N315" s="2460"/>
      <c r="O315" s="2460"/>
    </row>
    <row r="316" spans="3:15">
      <c r="C316" s="233"/>
      <c r="D316" s="233"/>
      <c r="E316" s="770"/>
      <c r="F316" s="234"/>
      <c r="G316" s="234"/>
      <c r="H316" s="233"/>
      <c r="I316" s="233"/>
      <c r="J316" s="770"/>
      <c r="K316" s="233"/>
      <c r="L316" s="233"/>
      <c r="M316" s="233"/>
      <c r="N316" s="2460"/>
      <c r="O316" s="2460"/>
    </row>
    <row r="317" spans="3:15">
      <c r="C317" s="233"/>
      <c r="D317" s="233"/>
      <c r="E317" s="770"/>
      <c r="F317" s="234"/>
      <c r="G317" s="234"/>
      <c r="H317" s="233"/>
      <c r="I317" s="233"/>
      <c r="J317" s="770"/>
      <c r="K317" s="233"/>
      <c r="L317" s="233"/>
      <c r="M317" s="233"/>
      <c r="N317" s="2460"/>
      <c r="O317" s="2460"/>
    </row>
    <row r="318" spans="3:15">
      <c r="C318" s="233"/>
      <c r="D318" s="233"/>
      <c r="E318" s="770"/>
      <c r="F318" s="234"/>
      <c r="G318" s="234"/>
      <c r="H318" s="233"/>
      <c r="I318" s="233"/>
      <c r="J318" s="770"/>
      <c r="K318" s="233"/>
      <c r="L318" s="233"/>
      <c r="M318" s="233"/>
      <c r="N318" s="2460"/>
      <c r="O318" s="2460"/>
    </row>
    <row r="319" spans="3:15">
      <c r="C319" s="233"/>
      <c r="D319" s="233"/>
      <c r="E319" s="770"/>
      <c r="F319" s="234"/>
      <c r="G319" s="234"/>
      <c r="H319" s="233"/>
      <c r="I319" s="233"/>
      <c r="J319" s="770"/>
      <c r="K319" s="233"/>
      <c r="L319" s="233"/>
      <c r="M319" s="233"/>
      <c r="N319" s="2460"/>
      <c r="O319" s="2460"/>
    </row>
    <row r="320" spans="3:15">
      <c r="C320" s="233"/>
      <c r="D320" s="233"/>
      <c r="E320" s="770"/>
      <c r="F320" s="234"/>
      <c r="G320" s="234"/>
      <c r="H320" s="233"/>
      <c r="I320" s="233"/>
      <c r="J320" s="770"/>
      <c r="K320" s="233"/>
      <c r="L320" s="233"/>
      <c r="M320" s="233"/>
      <c r="N320" s="2460"/>
      <c r="O320" s="2460"/>
    </row>
    <row r="321" spans="3:15">
      <c r="C321" s="233"/>
      <c r="D321" s="233"/>
      <c r="E321" s="770"/>
      <c r="F321" s="234"/>
      <c r="G321" s="234"/>
      <c r="H321" s="233"/>
      <c r="I321" s="233"/>
      <c r="J321" s="770"/>
      <c r="K321" s="233"/>
      <c r="L321" s="233"/>
      <c r="M321" s="233"/>
      <c r="N321" s="2460"/>
      <c r="O321" s="2460"/>
    </row>
    <row r="322" spans="3:15">
      <c r="C322" s="233"/>
      <c r="D322" s="233"/>
      <c r="E322" s="770"/>
      <c r="F322" s="234"/>
      <c r="G322" s="234"/>
      <c r="H322" s="233"/>
      <c r="I322" s="233"/>
      <c r="J322" s="770"/>
      <c r="K322" s="233"/>
      <c r="L322" s="233"/>
      <c r="M322" s="233"/>
      <c r="N322" s="2460"/>
      <c r="O322" s="2460"/>
    </row>
    <row r="323" spans="3:15">
      <c r="C323" s="233"/>
      <c r="D323" s="233"/>
      <c r="E323" s="770"/>
      <c r="F323" s="234"/>
      <c r="G323" s="234"/>
      <c r="H323" s="233"/>
      <c r="I323" s="233"/>
      <c r="J323" s="770"/>
      <c r="K323" s="233"/>
      <c r="L323" s="233"/>
      <c r="M323" s="233"/>
      <c r="N323" s="2460"/>
      <c r="O323" s="2460"/>
    </row>
    <row r="324" spans="3:15">
      <c r="C324" s="233"/>
      <c r="D324" s="233"/>
      <c r="E324" s="770"/>
      <c r="F324" s="234"/>
      <c r="G324" s="234"/>
      <c r="H324" s="233"/>
      <c r="I324" s="233"/>
      <c r="J324" s="770"/>
      <c r="K324" s="233"/>
      <c r="L324" s="233"/>
      <c r="M324" s="233"/>
      <c r="N324" s="2460"/>
      <c r="O324" s="2460"/>
    </row>
    <row r="325" spans="3:15">
      <c r="C325" s="233"/>
      <c r="D325" s="233"/>
      <c r="E325" s="770"/>
      <c r="F325" s="234"/>
      <c r="G325" s="234"/>
      <c r="H325" s="233"/>
      <c r="I325" s="233"/>
      <c r="J325" s="770"/>
      <c r="K325" s="233"/>
      <c r="L325" s="233"/>
      <c r="M325" s="233"/>
      <c r="N325" s="2460"/>
      <c r="O325" s="2460"/>
    </row>
    <row r="326" spans="3:15">
      <c r="C326" s="233"/>
      <c r="D326" s="233"/>
      <c r="E326" s="770"/>
      <c r="F326" s="234"/>
      <c r="G326" s="234"/>
      <c r="H326" s="233"/>
      <c r="I326" s="233"/>
      <c r="J326" s="770"/>
      <c r="K326" s="233"/>
      <c r="L326" s="233"/>
      <c r="M326" s="233"/>
      <c r="N326" s="2460"/>
      <c r="O326" s="2460"/>
    </row>
    <row r="327" spans="3:15">
      <c r="C327" s="233"/>
      <c r="D327" s="233"/>
      <c r="E327" s="770"/>
      <c r="F327" s="234"/>
      <c r="G327" s="234"/>
      <c r="H327" s="233"/>
      <c r="I327" s="233"/>
      <c r="J327" s="770"/>
      <c r="K327" s="233"/>
      <c r="L327" s="233"/>
      <c r="M327" s="233"/>
      <c r="N327" s="2460"/>
      <c r="O327" s="2460"/>
    </row>
    <row r="328" spans="3:15">
      <c r="C328" s="233"/>
      <c r="D328" s="233"/>
      <c r="E328" s="770"/>
      <c r="F328" s="234"/>
      <c r="G328" s="234"/>
      <c r="H328" s="233"/>
      <c r="I328" s="233"/>
      <c r="J328" s="770"/>
      <c r="K328" s="233"/>
      <c r="L328" s="233"/>
      <c r="M328" s="233"/>
      <c r="N328" s="2460"/>
      <c r="O328" s="2460"/>
    </row>
    <row r="329" spans="3:15">
      <c r="C329" s="233"/>
      <c r="D329" s="233"/>
      <c r="E329" s="770"/>
      <c r="F329" s="234"/>
      <c r="G329" s="234"/>
      <c r="H329" s="233"/>
      <c r="I329" s="233"/>
      <c r="J329" s="770"/>
      <c r="K329" s="233"/>
      <c r="L329" s="233"/>
      <c r="M329" s="233"/>
      <c r="N329" s="2460"/>
      <c r="O329" s="2460"/>
    </row>
    <row r="330" spans="3:15">
      <c r="C330" s="233"/>
      <c r="D330" s="233"/>
      <c r="E330" s="770"/>
      <c r="F330" s="234"/>
      <c r="G330" s="234"/>
      <c r="H330" s="233"/>
      <c r="I330" s="233"/>
      <c r="J330" s="770"/>
      <c r="K330" s="233"/>
      <c r="L330" s="233"/>
      <c r="M330" s="233"/>
      <c r="N330" s="2460"/>
      <c r="O330" s="2460"/>
    </row>
    <row r="331" spans="3:15">
      <c r="C331" s="233"/>
      <c r="D331" s="233"/>
      <c r="E331" s="770"/>
      <c r="F331" s="234"/>
      <c r="G331" s="234"/>
      <c r="H331" s="233"/>
      <c r="I331" s="233"/>
      <c r="J331" s="770"/>
      <c r="K331" s="233"/>
      <c r="L331" s="233"/>
      <c r="M331" s="233"/>
      <c r="N331" s="2460"/>
      <c r="O331" s="2460"/>
    </row>
    <row r="332" spans="3:15">
      <c r="C332" s="233"/>
      <c r="D332" s="233"/>
      <c r="E332" s="770"/>
      <c r="F332" s="234"/>
      <c r="G332" s="234"/>
      <c r="H332" s="233"/>
      <c r="I332" s="233"/>
      <c r="J332" s="770"/>
      <c r="K332" s="233"/>
      <c r="L332" s="233"/>
      <c r="M332" s="233"/>
      <c r="N332" s="2460"/>
      <c r="O332" s="2460"/>
    </row>
    <row r="333" spans="3:15">
      <c r="C333" s="233"/>
      <c r="D333" s="233"/>
      <c r="E333" s="770"/>
      <c r="F333" s="234"/>
      <c r="G333" s="234"/>
      <c r="H333" s="233"/>
      <c r="I333" s="233"/>
      <c r="J333" s="770"/>
      <c r="K333" s="233"/>
      <c r="L333" s="233"/>
      <c r="M333" s="233"/>
      <c r="N333" s="2460"/>
      <c r="O333" s="2460"/>
    </row>
    <row r="334" spans="3:15">
      <c r="C334" s="233"/>
      <c r="D334" s="233"/>
      <c r="E334" s="770"/>
      <c r="F334" s="234"/>
      <c r="G334" s="234"/>
      <c r="H334" s="233"/>
      <c r="I334" s="233"/>
      <c r="J334" s="770"/>
      <c r="K334" s="233"/>
      <c r="L334" s="233"/>
      <c r="M334" s="233"/>
      <c r="N334" s="2460"/>
      <c r="O334" s="2460"/>
    </row>
    <row r="335" spans="3:15">
      <c r="C335" s="233"/>
      <c r="D335" s="233"/>
      <c r="E335" s="770"/>
      <c r="F335" s="234"/>
      <c r="G335" s="234"/>
      <c r="H335" s="233"/>
      <c r="I335" s="233"/>
      <c r="J335" s="770"/>
      <c r="K335" s="233"/>
      <c r="L335" s="233"/>
      <c r="M335" s="233"/>
      <c r="N335" s="2460"/>
      <c r="O335" s="2460"/>
    </row>
    <row r="336" spans="3:15">
      <c r="C336" s="233"/>
      <c r="D336" s="233"/>
      <c r="E336" s="770"/>
      <c r="F336" s="234"/>
      <c r="G336" s="234"/>
      <c r="H336" s="233"/>
      <c r="I336" s="233"/>
      <c r="J336" s="770"/>
      <c r="K336" s="233"/>
      <c r="L336" s="233"/>
      <c r="M336" s="233"/>
      <c r="N336" s="2460"/>
      <c r="O336" s="2460"/>
    </row>
    <row r="337" spans="3:15">
      <c r="C337" s="233"/>
      <c r="D337" s="233"/>
      <c r="E337" s="770"/>
      <c r="F337" s="234"/>
      <c r="G337" s="234"/>
      <c r="H337" s="233"/>
      <c r="I337" s="233"/>
      <c r="J337" s="770"/>
      <c r="K337" s="233"/>
      <c r="L337" s="233"/>
      <c r="M337" s="233"/>
      <c r="N337" s="2460"/>
      <c r="O337" s="2460"/>
    </row>
    <row r="338" spans="3:15">
      <c r="C338" s="233"/>
      <c r="D338" s="233"/>
      <c r="E338" s="770"/>
      <c r="F338" s="234"/>
      <c r="G338" s="234"/>
      <c r="H338" s="233"/>
      <c r="I338" s="233"/>
      <c r="J338" s="770"/>
      <c r="K338" s="233"/>
      <c r="L338" s="233"/>
      <c r="M338" s="233"/>
      <c r="N338" s="2460"/>
      <c r="O338" s="2460"/>
    </row>
    <row r="339" spans="3:15">
      <c r="C339" s="233"/>
      <c r="D339" s="233"/>
      <c r="E339" s="770"/>
      <c r="F339" s="234"/>
      <c r="G339" s="234"/>
      <c r="H339" s="233"/>
      <c r="I339" s="233"/>
      <c r="J339" s="770"/>
      <c r="K339" s="233"/>
      <c r="L339" s="233"/>
      <c r="M339" s="233"/>
      <c r="N339" s="2460"/>
      <c r="O339" s="2460"/>
    </row>
    <row r="340" spans="3:15">
      <c r="C340" s="233"/>
      <c r="D340" s="233"/>
      <c r="E340" s="770"/>
      <c r="F340" s="234"/>
      <c r="G340" s="234"/>
      <c r="H340" s="233"/>
      <c r="I340" s="233"/>
      <c r="J340" s="770"/>
      <c r="K340" s="233"/>
      <c r="L340" s="233"/>
      <c r="M340" s="233"/>
      <c r="N340" s="2460"/>
      <c r="O340" s="2460"/>
    </row>
    <row r="341" spans="3:15">
      <c r="C341" s="233"/>
      <c r="D341" s="233"/>
      <c r="E341" s="770"/>
      <c r="F341" s="234"/>
      <c r="G341" s="234"/>
      <c r="H341" s="233"/>
      <c r="I341" s="233"/>
      <c r="J341" s="770"/>
      <c r="K341" s="233"/>
      <c r="L341" s="233"/>
      <c r="M341" s="233"/>
      <c r="N341" s="2460"/>
      <c r="O341" s="2460"/>
    </row>
    <row r="342" spans="3:15">
      <c r="C342" s="233"/>
      <c r="D342" s="233"/>
      <c r="E342" s="770"/>
      <c r="F342" s="234"/>
      <c r="G342" s="234"/>
      <c r="H342" s="233"/>
      <c r="I342" s="233"/>
      <c r="J342" s="770"/>
      <c r="K342" s="233"/>
      <c r="L342" s="233"/>
      <c r="M342" s="233"/>
      <c r="N342" s="2460"/>
      <c r="O342" s="2460"/>
    </row>
    <row r="343" spans="3:15">
      <c r="C343" s="233"/>
      <c r="D343" s="233"/>
      <c r="E343" s="770"/>
      <c r="F343" s="234"/>
      <c r="G343" s="234"/>
      <c r="H343" s="233"/>
      <c r="I343" s="233"/>
      <c r="J343" s="770"/>
      <c r="K343" s="233"/>
      <c r="L343" s="233"/>
      <c r="M343" s="233"/>
      <c r="N343" s="2460"/>
      <c r="O343" s="2460"/>
    </row>
    <row r="344" spans="3:15">
      <c r="C344" s="233"/>
      <c r="D344" s="233"/>
      <c r="E344" s="770"/>
      <c r="F344" s="234"/>
      <c r="G344" s="234"/>
      <c r="H344" s="233"/>
      <c r="I344" s="233"/>
      <c r="J344" s="770"/>
      <c r="K344" s="233"/>
      <c r="L344" s="233"/>
      <c r="M344" s="233"/>
      <c r="N344" s="2460"/>
      <c r="O344" s="2460"/>
    </row>
    <row r="345" spans="3:15">
      <c r="C345" s="233"/>
      <c r="D345" s="233"/>
      <c r="E345" s="770"/>
      <c r="F345" s="234"/>
      <c r="G345" s="234"/>
      <c r="H345" s="233"/>
      <c r="I345" s="233"/>
      <c r="J345" s="770"/>
      <c r="K345" s="233"/>
      <c r="L345" s="233"/>
      <c r="M345" s="233"/>
      <c r="N345" s="2460"/>
      <c r="O345" s="2460"/>
    </row>
    <row r="346" spans="3:15">
      <c r="C346" s="233"/>
      <c r="D346" s="233"/>
      <c r="E346" s="770"/>
      <c r="F346" s="234"/>
      <c r="G346" s="234"/>
      <c r="H346" s="233"/>
      <c r="I346" s="233"/>
      <c r="J346" s="770"/>
      <c r="K346" s="233"/>
      <c r="L346" s="233"/>
      <c r="M346" s="233"/>
      <c r="N346" s="2460"/>
      <c r="O346" s="2460"/>
    </row>
    <row r="347" spans="3:15">
      <c r="C347" s="233"/>
      <c r="D347" s="233"/>
      <c r="E347" s="770"/>
      <c r="F347" s="234"/>
      <c r="G347" s="234"/>
      <c r="H347" s="233"/>
      <c r="I347" s="233"/>
      <c r="J347" s="770"/>
      <c r="K347" s="233"/>
      <c r="L347" s="233"/>
      <c r="M347" s="233"/>
      <c r="N347" s="2460"/>
      <c r="O347" s="2460"/>
    </row>
    <row r="348" spans="3:15">
      <c r="C348" s="233"/>
      <c r="D348" s="233"/>
      <c r="E348" s="770"/>
      <c r="F348" s="234"/>
      <c r="G348" s="234"/>
      <c r="H348" s="233"/>
      <c r="I348" s="233"/>
      <c r="J348" s="770"/>
      <c r="K348" s="233"/>
      <c r="L348" s="233"/>
      <c r="M348" s="233"/>
      <c r="N348" s="2460"/>
      <c r="O348" s="2460"/>
    </row>
    <row r="349" spans="3:15">
      <c r="C349" s="233"/>
      <c r="D349" s="233"/>
      <c r="E349" s="770"/>
      <c r="F349" s="234"/>
      <c r="G349" s="234"/>
      <c r="H349" s="233"/>
      <c r="I349" s="233"/>
      <c r="J349" s="770"/>
      <c r="K349" s="233"/>
      <c r="L349" s="233"/>
      <c r="M349" s="233"/>
      <c r="N349" s="2460"/>
      <c r="O349" s="2460"/>
    </row>
    <row r="350" spans="3:15">
      <c r="C350" s="233"/>
      <c r="D350" s="233"/>
      <c r="E350" s="770"/>
      <c r="F350" s="234"/>
      <c r="G350" s="234"/>
      <c r="H350" s="233"/>
      <c r="I350" s="233"/>
      <c r="J350" s="770"/>
      <c r="K350" s="233"/>
      <c r="L350" s="233"/>
      <c r="M350" s="233"/>
      <c r="N350" s="2460"/>
      <c r="O350" s="2460"/>
    </row>
    <row r="351" spans="3:15">
      <c r="C351" s="233"/>
      <c r="D351" s="233"/>
      <c r="E351" s="770"/>
      <c r="F351" s="234"/>
      <c r="G351" s="234"/>
      <c r="H351" s="233"/>
      <c r="I351" s="233"/>
      <c r="J351" s="770"/>
      <c r="K351" s="233"/>
      <c r="L351" s="233"/>
      <c r="M351" s="233"/>
      <c r="N351" s="2460"/>
      <c r="O351" s="2460"/>
    </row>
    <row r="352" spans="3:15">
      <c r="C352" s="233"/>
      <c r="D352" s="233"/>
      <c r="E352" s="770"/>
      <c r="F352" s="234"/>
      <c r="G352" s="234"/>
      <c r="H352" s="233"/>
      <c r="I352" s="233"/>
      <c r="J352" s="770"/>
      <c r="K352" s="233"/>
      <c r="L352" s="233"/>
      <c r="M352" s="233"/>
      <c r="N352" s="2460"/>
      <c r="O352" s="2460"/>
    </row>
    <row r="353" spans="3:15">
      <c r="C353" s="233"/>
      <c r="D353" s="233"/>
      <c r="E353" s="770"/>
      <c r="F353" s="234"/>
      <c r="G353" s="234"/>
      <c r="H353" s="233"/>
      <c r="I353" s="233"/>
      <c r="J353" s="770"/>
      <c r="K353" s="233"/>
      <c r="L353" s="233"/>
      <c r="M353" s="233"/>
      <c r="N353" s="2460"/>
      <c r="O353" s="2460"/>
    </row>
    <row r="354" spans="3:15">
      <c r="C354" s="233"/>
      <c r="D354" s="233"/>
      <c r="E354" s="770"/>
      <c r="F354" s="234"/>
      <c r="G354" s="234"/>
      <c r="H354" s="233"/>
      <c r="I354" s="233"/>
      <c r="J354" s="770"/>
      <c r="K354" s="233"/>
      <c r="L354" s="233"/>
      <c r="M354" s="233"/>
      <c r="N354" s="2460"/>
      <c r="O354" s="2460"/>
    </row>
    <row r="355" spans="3:15">
      <c r="C355" s="233"/>
      <c r="D355" s="233"/>
      <c r="E355" s="770"/>
      <c r="F355" s="234"/>
      <c r="G355" s="234"/>
      <c r="H355" s="233"/>
      <c r="I355" s="233"/>
      <c r="J355" s="770"/>
      <c r="K355" s="233"/>
      <c r="L355" s="233"/>
      <c r="M355" s="233"/>
      <c r="N355" s="2460"/>
      <c r="O355" s="2460"/>
    </row>
    <row r="356" spans="3:15">
      <c r="C356" s="233"/>
      <c r="D356" s="233"/>
      <c r="E356" s="770"/>
      <c r="F356" s="234"/>
      <c r="G356" s="234"/>
      <c r="H356" s="233"/>
      <c r="I356" s="233"/>
      <c r="J356" s="770"/>
      <c r="K356" s="233"/>
      <c r="L356" s="233"/>
      <c r="M356" s="233"/>
      <c r="N356" s="2460"/>
      <c r="O356" s="2460"/>
    </row>
    <row r="357" spans="3:15">
      <c r="C357" s="233"/>
      <c r="D357" s="233"/>
      <c r="E357" s="770"/>
      <c r="F357" s="234"/>
      <c r="G357" s="234"/>
      <c r="H357" s="233"/>
      <c r="I357" s="233"/>
      <c r="J357" s="770"/>
      <c r="K357" s="233"/>
      <c r="L357" s="233"/>
      <c r="M357" s="233"/>
      <c r="N357" s="2460"/>
      <c r="O357" s="2460"/>
    </row>
    <row r="358" spans="3:15">
      <c r="C358" s="233"/>
      <c r="D358" s="233"/>
      <c r="E358" s="770"/>
      <c r="F358" s="234"/>
      <c r="G358" s="234"/>
      <c r="H358" s="233"/>
      <c r="I358" s="233"/>
      <c r="J358" s="770"/>
      <c r="K358" s="233"/>
      <c r="L358" s="233"/>
      <c r="M358" s="233"/>
      <c r="N358" s="2460"/>
      <c r="O358" s="2460"/>
    </row>
    <row r="359" spans="3:15">
      <c r="C359" s="233"/>
      <c r="D359" s="233"/>
      <c r="E359" s="770"/>
      <c r="F359" s="234"/>
      <c r="G359" s="234"/>
      <c r="H359" s="233"/>
      <c r="I359" s="233"/>
      <c r="J359" s="770"/>
      <c r="K359" s="233"/>
      <c r="L359" s="233"/>
      <c r="M359" s="233"/>
      <c r="N359" s="2460"/>
      <c r="O359" s="2460"/>
    </row>
    <row r="360" spans="3:15">
      <c r="C360" s="233"/>
      <c r="D360" s="233"/>
      <c r="E360" s="770"/>
      <c r="F360" s="234"/>
      <c r="G360" s="234"/>
      <c r="H360" s="233"/>
      <c r="I360" s="233"/>
      <c r="J360" s="770"/>
      <c r="K360" s="233"/>
      <c r="L360" s="233"/>
      <c r="M360" s="233"/>
      <c r="N360" s="2460"/>
      <c r="O360" s="2460"/>
    </row>
    <row r="361" spans="3:15">
      <c r="C361" s="233"/>
      <c r="D361" s="233"/>
      <c r="E361" s="770"/>
      <c r="F361" s="234"/>
      <c r="G361" s="234"/>
      <c r="H361" s="233"/>
      <c r="I361" s="233"/>
      <c r="J361" s="770"/>
      <c r="K361" s="233"/>
      <c r="L361" s="233"/>
      <c r="M361" s="233"/>
      <c r="N361" s="2460"/>
      <c r="O361" s="2460"/>
    </row>
    <row r="362" spans="3:15">
      <c r="C362" s="233"/>
      <c r="D362" s="233"/>
      <c r="E362" s="770"/>
      <c r="F362" s="234"/>
      <c r="G362" s="234"/>
      <c r="H362" s="233"/>
      <c r="I362" s="233"/>
      <c r="J362" s="770"/>
      <c r="K362" s="233"/>
      <c r="L362" s="233"/>
      <c r="M362" s="233"/>
      <c r="N362" s="2460"/>
      <c r="O362" s="2460"/>
    </row>
    <row r="363" spans="3:15">
      <c r="C363" s="233"/>
      <c r="D363" s="233"/>
      <c r="E363" s="770"/>
      <c r="F363" s="234"/>
      <c r="G363" s="234"/>
      <c r="H363" s="233"/>
      <c r="I363" s="233"/>
      <c r="J363" s="770"/>
      <c r="K363" s="233"/>
      <c r="L363" s="233"/>
      <c r="M363" s="233"/>
      <c r="N363" s="2460"/>
      <c r="O363" s="2460"/>
    </row>
    <row r="364" spans="3:15">
      <c r="C364" s="233"/>
      <c r="D364" s="233"/>
      <c r="E364" s="770"/>
      <c r="F364" s="234"/>
      <c r="G364" s="234"/>
      <c r="H364" s="233"/>
      <c r="I364" s="233"/>
      <c r="J364" s="770"/>
      <c r="K364" s="233"/>
      <c r="L364" s="233"/>
      <c r="M364" s="233"/>
      <c r="N364" s="2460"/>
      <c r="O364" s="2460"/>
    </row>
    <row r="365" spans="3:15">
      <c r="C365" s="233"/>
      <c r="D365" s="233"/>
      <c r="E365" s="770"/>
      <c r="F365" s="234"/>
      <c r="G365" s="234"/>
      <c r="H365" s="233"/>
      <c r="I365" s="233"/>
      <c r="J365" s="770"/>
      <c r="K365" s="233"/>
      <c r="L365" s="233"/>
      <c r="M365" s="233"/>
      <c r="N365" s="2460"/>
      <c r="O365" s="2460"/>
    </row>
    <row r="366" spans="3:15">
      <c r="C366" s="233"/>
      <c r="D366" s="233"/>
      <c r="E366" s="770"/>
      <c r="F366" s="234"/>
      <c r="G366" s="234"/>
      <c r="H366" s="233"/>
      <c r="I366" s="233"/>
      <c r="J366" s="770"/>
      <c r="K366" s="233"/>
      <c r="L366" s="233"/>
      <c r="M366" s="233"/>
      <c r="N366" s="2460"/>
      <c r="O366" s="2460"/>
    </row>
    <row r="367" spans="3:15">
      <c r="C367" s="233"/>
      <c r="D367" s="233"/>
      <c r="E367" s="770"/>
      <c r="F367" s="234"/>
      <c r="G367" s="234"/>
      <c r="H367" s="233"/>
      <c r="I367" s="233"/>
      <c r="J367" s="770"/>
      <c r="K367" s="233"/>
      <c r="L367" s="233"/>
      <c r="M367" s="233"/>
      <c r="N367" s="2460"/>
      <c r="O367" s="2460"/>
    </row>
    <row r="368" spans="3:15">
      <c r="C368" s="233"/>
      <c r="D368" s="233"/>
      <c r="E368" s="770"/>
      <c r="F368" s="234"/>
      <c r="G368" s="234"/>
      <c r="H368" s="233"/>
      <c r="I368" s="233"/>
      <c r="J368" s="770"/>
      <c r="K368" s="233"/>
      <c r="L368" s="233"/>
      <c r="M368" s="233"/>
      <c r="N368" s="2460"/>
      <c r="O368" s="2460"/>
    </row>
    <row r="369" spans="3:15">
      <c r="C369" s="233"/>
      <c r="D369" s="233"/>
      <c r="E369" s="770"/>
      <c r="F369" s="234"/>
      <c r="G369" s="234"/>
      <c r="H369" s="233"/>
      <c r="I369" s="233"/>
      <c r="J369" s="770"/>
      <c r="K369" s="233"/>
      <c r="L369" s="233"/>
      <c r="M369" s="233"/>
      <c r="N369" s="2460"/>
      <c r="O369" s="2460"/>
    </row>
    <row r="370" spans="3:15">
      <c r="C370" s="233"/>
      <c r="D370" s="233"/>
      <c r="E370" s="770"/>
      <c r="F370" s="234"/>
      <c r="G370" s="234"/>
      <c r="H370" s="233"/>
      <c r="I370" s="233"/>
      <c r="J370" s="770"/>
      <c r="K370" s="233"/>
      <c r="L370" s="233"/>
      <c r="M370" s="233"/>
      <c r="N370" s="2460"/>
      <c r="O370" s="2460"/>
    </row>
    <row r="371" spans="3:15">
      <c r="C371" s="233"/>
      <c r="D371" s="233"/>
      <c r="E371" s="770"/>
      <c r="F371" s="234"/>
      <c r="G371" s="234"/>
      <c r="H371" s="233"/>
      <c r="I371" s="233"/>
      <c r="J371" s="770"/>
      <c r="K371" s="233"/>
      <c r="L371" s="233"/>
      <c r="M371" s="233"/>
      <c r="N371" s="2460"/>
      <c r="O371" s="2460"/>
    </row>
    <row r="372" spans="3:15">
      <c r="C372" s="233"/>
      <c r="D372" s="233"/>
      <c r="E372" s="770"/>
      <c r="F372" s="234"/>
      <c r="G372" s="234"/>
      <c r="H372" s="233"/>
      <c r="I372" s="233"/>
      <c r="J372" s="770"/>
      <c r="K372" s="233"/>
      <c r="L372" s="233"/>
      <c r="M372" s="233"/>
      <c r="N372" s="2460"/>
      <c r="O372" s="2460"/>
    </row>
    <row r="373" spans="3:15">
      <c r="C373" s="233"/>
      <c r="D373" s="233"/>
      <c r="E373" s="770"/>
      <c r="F373" s="234"/>
      <c r="G373" s="234"/>
      <c r="H373" s="233"/>
      <c r="I373" s="233"/>
      <c r="J373" s="770"/>
      <c r="K373" s="233"/>
      <c r="L373" s="233"/>
      <c r="M373" s="233"/>
      <c r="N373" s="2460"/>
      <c r="O373" s="2460"/>
    </row>
    <row r="374" spans="3:15">
      <c r="C374" s="233"/>
      <c r="D374" s="233"/>
      <c r="E374" s="770"/>
      <c r="F374" s="234"/>
      <c r="G374" s="234"/>
      <c r="H374" s="233"/>
      <c r="I374" s="233"/>
      <c r="J374" s="770"/>
      <c r="K374" s="233"/>
      <c r="L374" s="233"/>
      <c r="M374" s="233"/>
      <c r="N374" s="2460"/>
      <c r="O374" s="2460"/>
    </row>
    <row r="375" spans="3:15">
      <c r="C375" s="233"/>
      <c r="D375" s="233"/>
      <c r="E375" s="770"/>
      <c r="F375" s="234"/>
      <c r="G375" s="234"/>
      <c r="H375" s="233"/>
      <c r="I375" s="233"/>
      <c r="J375" s="770"/>
      <c r="K375" s="233"/>
      <c r="L375" s="233"/>
      <c r="M375" s="233"/>
      <c r="N375" s="2460"/>
      <c r="O375" s="2460"/>
    </row>
    <row r="376" spans="3:15">
      <c r="C376" s="233"/>
      <c r="D376" s="233"/>
      <c r="E376" s="770"/>
      <c r="F376" s="234"/>
      <c r="G376" s="234"/>
      <c r="H376" s="233"/>
      <c r="I376" s="233"/>
      <c r="J376" s="770"/>
      <c r="K376" s="233"/>
      <c r="L376" s="233"/>
      <c r="M376" s="233"/>
      <c r="N376" s="2460"/>
      <c r="O376" s="2460"/>
    </row>
    <row r="377" spans="3:15">
      <c r="C377" s="233"/>
      <c r="D377" s="233"/>
      <c r="E377" s="770"/>
      <c r="F377" s="234"/>
      <c r="G377" s="234"/>
      <c r="H377" s="233"/>
      <c r="I377" s="233"/>
      <c r="J377" s="770"/>
      <c r="K377" s="233"/>
      <c r="L377" s="233"/>
      <c r="M377" s="233"/>
      <c r="N377" s="2460"/>
      <c r="O377" s="2460"/>
    </row>
    <row r="378" spans="3:15">
      <c r="C378" s="233"/>
      <c r="D378" s="233"/>
      <c r="E378" s="770"/>
      <c r="F378" s="234"/>
      <c r="G378" s="234"/>
      <c r="H378" s="233"/>
      <c r="I378" s="233"/>
      <c r="J378" s="770"/>
      <c r="K378" s="233"/>
      <c r="L378" s="233"/>
      <c r="M378" s="233"/>
      <c r="N378" s="2460"/>
      <c r="O378" s="2460"/>
    </row>
    <row r="379" spans="3:15">
      <c r="C379" s="233"/>
      <c r="D379" s="233"/>
      <c r="E379" s="770"/>
      <c r="F379" s="234"/>
      <c r="G379" s="234"/>
      <c r="H379" s="233"/>
      <c r="I379" s="233"/>
      <c r="J379" s="770"/>
      <c r="K379" s="233"/>
      <c r="L379" s="233"/>
      <c r="M379" s="233"/>
      <c r="N379" s="2460"/>
      <c r="O379" s="2460"/>
    </row>
    <row r="380" spans="3:15">
      <c r="C380" s="233"/>
      <c r="D380" s="233"/>
      <c r="E380" s="770"/>
      <c r="F380" s="234"/>
      <c r="G380" s="234"/>
      <c r="H380" s="233"/>
      <c r="I380" s="233"/>
      <c r="J380" s="770"/>
      <c r="K380" s="233"/>
      <c r="L380" s="233"/>
      <c r="M380" s="233"/>
      <c r="N380" s="2460"/>
      <c r="O380" s="2460"/>
    </row>
    <row r="381" spans="3:15">
      <c r="C381" s="233"/>
      <c r="D381" s="233"/>
      <c r="E381" s="770"/>
      <c r="F381" s="234"/>
      <c r="G381" s="234"/>
      <c r="H381" s="233"/>
      <c r="I381" s="233"/>
      <c r="J381" s="770"/>
      <c r="K381" s="233"/>
      <c r="L381" s="233"/>
      <c r="M381" s="233"/>
      <c r="N381" s="2460"/>
      <c r="O381" s="2460"/>
    </row>
    <row r="382" spans="3:15">
      <c r="C382" s="233"/>
      <c r="D382" s="233"/>
      <c r="E382" s="770"/>
      <c r="F382" s="234"/>
      <c r="G382" s="234"/>
      <c r="H382" s="233"/>
      <c r="I382" s="233"/>
      <c r="J382" s="770"/>
      <c r="K382" s="233"/>
      <c r="L382" s="233"/>
      <c r="M382" s="233"/>
      <c r="N382" s="2460"/>
      <c r="O382" s="2460"/>
    </row>
    <row r="383" spans="3:15">
      <c r="C383" s="233"/>
      <c r="D383" s="233"/>
      <c r="E383" s="770"/>
      <c r="F383" s="234"/>
      <c r="G383" s="234"/>
      <c r="H383" s="233"/>
      <c r="I383" s="233"/>
      <c r="J383" s="770"/>
      <c r="K383" s="233"/>
      <c r="L383" s="233"/>
      <c r="M383" s="233"/>
      <c r="N383" s="2460"/>
      <c r="O383" s="2460"/>
    </row>
    <row r="384" spans="3:15">
      <c r="C384" s="233"/>
      <c r="D384" s="233"/>
      <c r="E384" s="770"/>
      <c r="F384" s="234"/>
      <c r="G384" s="234"/>
      <c r="H384" s="233"/>
      <c r="I384" s="233"/>
      <c r="J384" s="770"/>
      <c r="K384" s="233"/>
      <c r="L384" s="233"/>
      <c r="M384" s="233"/>
      <c r="N384" s="2460"/>
      <c r="O384" s="2460"/>
    </row>
    <row r="385" spans="3:15">
      <c r="C385" s="233"/>
      <c r="D385" s="233"/>
      <c r="E385" s="770"/>
      <c r="F385" s="234"/>
      <c r="G385" s="234"/>
      <c r="H385" s="233"/>
      <c r="I385" s="233"/>
      <c r="J385" s="770"/>
      <c r="K385" s="233"/>
      <c r="L385" s="233"/>
      <c r="M385" s="233"/>
      <c r="N385" s="2460"/>
      <c r="O385" s="2460"/>
    </row>
    <row r="386" spans="3:15">
      <c r="C386" s="233"/>
      <c r="D386" s="233"/>
      <c r="E386" s="770"/>
      <c r="F386" s="234"/>
      <c r="G386" s="234"/>
      <c r="H386" s="233"/>
      <c r="I386" s="233"/>
      <c r="J386" s="770"/>
      <c r="K386" s="233"/>
      <c r="L386" s="233"/>
      <c r="M386" s="233"/>
      <c r="N386" s="2460"/>
      <c r="O386" s="2460"/>
    </row>
    <row r="387" spans="3:15">
      <c r="C387" s="233"/>
      <c r="D387" s="233"/>
      <c r="E387" s="770"/>
      <c r="F387" s="234"/>
      <c r="G387" s="234"/>
      <c r="H387" s="233"/>
      <c r="I387" s="233"/>
      <c r="J387" s="770"/>
      <c r="K387" s="233"/>
      <c r="L387" s="233"/>
      <c r="M387" s="233"/>
      <c r="N387" s="2460"/>
      <c r="O387" s="2460"/>
    </row>
    <row r="388" spans="3:15">
      <c r="C388" s="233"/>
      <c r="D388" s="233"/>
      <c r="E388" s="770"/>
      <c r="F388" s="234"/>
      <c r="G388" s="234"/>
      <c r="H388" s="233"/>
      <c r="I388" s="233"/>
      <c r="J388" s="770"/>
      <c r="K388" s="233"/>
      <c r="L388" s="233"/>
      <c r="M388" s="233"/>
      <c r="N388" s="2460"/>
      <c r="O388" s="2460"/>
    </row>
    <row r="389" spans="3:15">
      <c r="C389" s="233"/>
      <c r="D389" s="233"/>
      <c r="E389" s="770"/>
      <c r="F389" s="234"/>
      <c r="G389" s="234"/>
      <c r="H389" s="233"/>
      <c r="I389" s="233"/>
      <c r="J389" s="770"/>
      <c r="K389" s="233"/>
      <c r="L389" s="233"/>
      <c r="M389" s="233"/>
      <c r="N389" s="2460"/>
      <c r="O389" s="2460"/>
    </row>
    <row r="390" spans="3:15">
      <c r="C390" s="233"/>
      <c r="D390" s="233"/>
      <c r="E390" s="770"/>
      <c r="F390" s="234"/>
      <c r="G390" s="234"/>
      <c r="H390" s="233"/>
      <c r="I390" s="233"/>
      <c r="J390" s="770"/>
      <c r="K390" s="233"/>
      <c r="L390" s="233"/>
      <c r="M390" s="233"/>
      <c r="N390" s="2460"/>
      <c r="O390" s="2460"/>
    </row>
    <row r="391" spans="3:15">
      <c r="C391" s="233"/>
      <c r="D391" s="233"/>
      <c r="E391" s="770"/>
      <c r="F391" s="234"/>
      <c r="G391" s="234"/>
      <c r="H391" s="233"/>
      <c r="I391" s="233"/>
      <c r="J391" s="770"/>
      <c r="K391" s="233"/>
      <c r="L391" s="233"/>
      <c r="M391" s="233"/>
      <c r="N391" s="2460"/>
      <c r="O391" s="2460"/>
    </row>
    <row r="392" spans="3:15">
      <c r="C392" s="233"/>
      <c r="D392" s="233"/>
      <c r="E392" s="770"/>
      <c r="F392" s="234"/>
      <c r="G392" s="234"/>
      <c r="H392" s="233"/>
      <c r="I392" s="233"/>
      <c r="J392" s="770"/>
      <c r="K392" s="233"/>
      <c r="L392" s="233"/>
      <c r="M392" s="233"/>
      <c r="N392" s="2460"/>
      <c r="O392" s="2460"/>
    </row>
    <row r="393" spans="3:15">
      <c r="C393" s="233"/>
      <c r="D393" s="233"/>
      <c r="E393" s="770"/>
      <c r="F393" s="234"/>
      <c r="G393" s="234"/>
      <c r="H393" s="233"/>
      <c r="I393" s="233"/>
      <c r="J393" s="770"/>
      <c r="K393" s="233"/>
      <c r="L393" s="233"/>
      <c r="M393" s="233"/>
      <c r="N393" s="2460"/>
      <c r="O393" s="2460"/>
    </row>
    <row r="394" spans="3:15">
      <c r="C394" s="233"/>
      <c r="D394" s="233"/>
      <c r="E394" s="770"/>
      <c r="F394" s="234"/>
      <c r="G394" s="234"/>
      <c r="H394" s="233"/>
      <c r="I394" s="233"/>
      <c r="J394" s="770"/>
      <c r="K394" s="233"/>
      <c r="L394" s="233"/>
      <c r="M394" s="233"/>
      <c r="N394" s="2460"/>
      <c r="O394" s="2460"/>
    </row>
    <row r="395" spans="3:15">
      <c r="C395" s="233"/>
      <c r="D395" s="233"/>
      <c r="E395" s="770"/>
      <c r="F395" s="234"/>
      <c r="G395" s="234"/>
      <c r="H395" s="233"/>
      <c r="I395" s="233"/>
      <c r="J395" s="770"/>
      <c r="K395" s="233"/>
      <c r="L395" s="233"/>
      <c r="M395" s="233"/>
      <c r="N395" s="2460"/>
      <c r="O395" s="2460"/>
    </row>
    <row r="396" spans="3:15">
      <c r="C396" s="233"/>
      <c r="D396" s="233"/>
      <c r="E396" s="770"/>
      <c r="F396" s="234"/>
      <c r="G396" s="234"/>
      <c r="H396" s="233"/>
      <c r="I396" s="233"/>
      <c r="J396" s="770"/>
      <c r="K396" s="233"/>
      <c r="L396" s="233"/>
      <c r="M396" s="233"/>
      <c r="N396" s="2460"/>
      <c r="O396" s="2460"/>
    </row>
    <row r="397" spans="3:15">
      <c r="C397" s="233"/>
      <c r="D397" s="233"/>
      <c r="E397" s="770"/>
      <c r="F397" s="234"/>
      <c r="G397" s="234"/>
      <c r="H397" s="233"/>
      <c r="I397" s="233"/>
      <c r="J397" s="770"/>
      <c r="K397" s="233"/>
      <c r="L397" s="233"/>
      <c r="M397" s="233"/>
      <c r="N397" s="2460"/>
      <c r="O397" s="2460"/>
    </row>
    <row r="398" spans="3:15">
      <c r="C398" s="233"/>
      <c r="D398" s="233"/>
      <c r="E398" s="770"/>
      <c r="F398" s="234"/>
      <c r="G398" s="234"/>
      <c r="H398" s="233"/>
      <c r="I398" s="233"/>
      <c r="J398" s="770"/>
      <c r="K398" s="233"/>
      <c r="L398" s="233"/>
      <c r="M398" s="233"/>
      <c r="N398" s="2460"/>
      <c r="O398" s="2460"/>
    </row>
    <row r="399" spans="3:15">
      <c r="C399" s="233"/>
      <c r="D399" s="233"/>
      <c r="E399" s="770"/>
      <c r="F399" s="234"/>
      <c r="G399" s="234"/>
      <c r="H399" s="233"/>
      <c r="I399" s="233"/>
      <c r="J399" s="770"/>
      <c r="K399" s="233"/>
      <c r="L399" s="233"/>
      <c r="M399" s="233"/>
      <c r="N399" s="2460"/>
      <c r="O399" s="2460"/>
    </row>
    <row r="400" spans="3:15">
      <c r="C400" s="233"/>
      <c r="D400" s="233"/>
      <c r="E400" s="770"/>
      <c r="F400" s="234"/>
      <c r="G400" s="234"/>
      <c r="H400" s="233"/>
      <c r="I400" s="233"/>
      <c r="J400" s="770"/>
      <c r="K400" s="233"/>
      <c r="L400" s="233"/>
      <c r="M400" s="233"/>
      <c r="N400" s="2460"/>
      <c r="O400" s="2460"/>
    </row>
    <row r="401" spans="3:15">
      <c r="C401" s="233"/>
      <c r="D401" s="233"/>
      <c r="E401" s="770"/>
      <c r="F401" s="234"/>
      <c r="G401" s="234"/>
      <c r="H401" s="233"/>
      <c r="I401" s="233"/>
      <c r="J401" s="770"/>
      <c r="K401" s="233"/>
      <c r="L401" s="233"/>
      <c r="M401" s="233"/>
      <c r="N401" s="2460"/>
      <c r="O401" s="2460"/>
    </row>
    <row r="402" spans="3:15">
      <c r="C402" s="233"/>
      <c r="D402" s="233"/>
      <c r="E402" s="770"/>
      <c r="F402" s="234"/>
      <c r="G402" s="234"/>
      <c r="H402" s="233"/>
      <c r="I402" s="233"/>
      <c r="J402" s="770"/>
      <c r="K402" s="233"/>
      <c r="L402" s="233"/>
      <c r="M402" s="233"/>
      <c r="N402" s="2460"/>
      <c r="O402" s="2460"/>
    </row>
    <row r="403" spans="3:15">
      <c r="C403" s="233"/>
      <c r="D403" s="233"/>
      <c r="E403" s="770"/>
      <c r="F403" s="234"/>
      <c r="G403" s="234"/>
      <c r="H403" s="233"/>
      <c r="I403" s="233"/>
      <c r="J403" s="770"/>
      <c r="K403" s="233"/>
      <c r="L403" s="233"/>
      <c r="M403" s="233"/>
      <c r="N403" s="2460"/>
      <c r="O403" s="2460"/>
    </row>
    <row r="404" spans="3:15">
      <c r="C404" s="233"/>
      <c r="D404" s="233"/>
      <c r="E404" s="770"/>
      <c r="F404" s="234"/>
      <c r="G404" s="234"/>
      <c r="H404" s="233"/>
      <c r="I404" s="233"/>
      <c r="J404" s="770"/>
      <c r="K404" s="233"/>
      <c r="L404" s="233"/>
      <c r="M404" s="233"/>
      <c r="N404" s="2460"/>
      <c r="O404" s="2460"/>
    </row>
    <row r="405" spans="3:15">
      <c r="C405" s="233"/>
      <c r="D405" s="233"/>
      <c r="E405" s="770"/>
      <c r="F405" s="234"/>
      <c r="G405" s="234"/>
      <c r="H405" s="233"/>
      <c r="I405" s="233"/>
      <c r="J405" s="770"/>
      <c r="K405" s="233"/>
      <c r="L405" s="233"/>
      <c r="M405" s="233"/>
      <c r="N405" s="2460"/>
      <c r="O405" s="2460"/>
    </row>
    <row r="406" spans="3:15">
      <c r="C406" s="233"/>
      <c r="D406" s="233"/>
      <c r="E406" s="770"/>
      <c r="F406" s="234"/>
      <c r="G406" s="234"/>
      <c r="H406" s="233"/>
      <c r="I406" s="233"/>
      <c r="J406" s="770"/>
      <c r="K406" s="233"/>
      <c r="L406" s="233"/>
      <c r="M406" s="233"/>
      <c r="N406" s="2460"/>
      <c r="O406" s="2460"/>
    </row>
    <row r="407" spans="3:15">
      <c r="C407" s="233"/>
      <c r="D407" s="233"/>
      <c r="E407" s="770"/>
      <c r="F407" s="234"/>
      <c r="G407" s="234"/>
      <c r="H407" s="233"/>
      <c r="I407" s="233"/>
      <c r="J407" s="770"/>
      <c r="K407" s="233"/>
      <c r="L407" s="233"/>
      <c r="M407" s="233"/>
      <c r="N407" s="2460"/>
      <c r="O407" s="2460"/>
    </row>
    <row r="408" spans="3:15">
      <c r="C408" s="233"/>
      <c r="D408" s="233"/>
      <c r="E408" s="770"/>
      <c r="F408" s="234"/>
      <c r="G408" s="234"/>
      <c r="H408" s="233"/>
      <c r="I408" s="233"/>
      <c r="J408" s="770"/>
      <c r="K408" s="233"/>
      <c r="L408" s="233"/>
      <c r="M408" s="233"/>
      <c r="N408" s="2460"/>
      <c r="O408" s="2460"/>
    </row>
    <row r="409" spans="3:15">
      <c r="C409" s="233"/>
      <c r="D409" s="233"/>
      <c r="E409" s="770"/>
      <c r="F409" s="234"/>
      <c r="G409" s="234"/>
      <c r="H409" s="233"/>
      <c r="I409" s="233"/>
      <c r="J409" s="770"/>
      <c r="K409" s="233"/>
      <c r="L409" s="233"/>
      <c r="M409" s="233"/>
      <c r="N409" s="2460"/>
      <c r="O409" s="2460"/>
    </row>
    <row r="410" spans="3:15">
      <c r="C410" s="233"/>
      <c r="D410" s="233"/>
      <c r="E410" s="770"/>
      <c r="F410" s="234"/>
      <c r="G410" s="234"/>
      <c r="H410" s="233"/>
      <c r="I410" s="233"/>
      <c r="J410" s="770"/>
      <c r="K410" s="233"/>
      <c r="L410" s="233"/>
      <c r="M410" s="233"/>
      <c r="N410" s="2460"/>
      <c r="O410" s="2460"/>
    </row>
    <row r="411" spans="3:15">
      <c r="C411" s="233"/>
      <c r="D411" s="233"/>
      <c r="E411" s="770"/>
      <c r="F411" s="234"/>
      <c r="G411" s="234"/>
      <c r="H411" s="233"/>
      <c r="I411" s="233"/>
      <c r="J411" s="770"/>
      <c r="K411" s="233"/>
      <c r="L411" s="233"/>
      <c r="M411" s="233"/>
      <c r="N411" s="2460"/>
      <c r="O411" s="2460"/>
    </row>
    <row r="412" spans="3:15">
      <c r="C412" s="233"/>
      <c r="D412" s="233"/>
      <c r="E412" s="770"/>
      <c r="F412" s="234"/>
      <c r="G412" s="234"/>
      <c r="H412" s="233"/>
      <c r="I412" s="233"/>
      <c r="J412" s="770"/>
      <c r="K412" s="233"/>
      <c r="L412" s="233"/>
      <c r="M412" s="233"/>
      <c r="N412" s="2460"/>
      <c r="O412" s="2460"/>
    </row>
    <row r="413" spans="3:15">
      <c r="C413" s="233"/>
      <c r="D413" s="233"/>
      <c r="E413" s="770"/>
      <c r="F413" s="234"/>
      <c r="G413" s="234"/>
      <c r="H413" s="233"/>
      <c r="I413" s="233"/>
      <c r="J413" s="770"/>
      <c r="K413" s="233"/>
      <c r="L413" s="233"/>
      <c r="M413" s="233"/>
      <c r="N413" s="2460"/>
      <c r="O413" s="2460"/>
    </row>
    <row r="414" spans="3:15">
      <c r="C414" s="233"/>
      <c r="D414" s="233"/>
      <c r="E414" s="770"/>
      <c r="F414" s="234"/>
      <c r="G414" s="234"/>
      <c r="H414" s="233"/>
      <c r="I414" s="233"/>
      <c r="J414" s="770"/>
      <c r="K414" s="233"/>
      <c r="L414" s="233"/>
      <c r="M414" s="233"/>
      <c r="N414" s="2460"/>
      <c r="O414" s="2460"/>
    </row>
    <row r="415" spans="3:15">
      <c r="C415" s="233"/>
      <c r="D415" s="233"/>
      <c r="E415" s="770"/>
      <c r="F415" s="234"/>
      <c r="G415" s="234"/>
      <c r="H415" s="233"/>
      <c r="I415" s="233"/>
      <c r="J415" s="770"/>
      <c r="K415" s="233"/>
      <c r="L415" s="233"/>
      <c r="M415" s="233"/>
      <c r="N415" s="2460"/>
      <c r="O415" s="2460"/>
    </row>
    <row r="416" spans="3:15">
      <c r="C416" s="233"/>
      <c r="D416" s="233"/>
      <c r="E416" s="770"/>
      <c r="F416" s="234"/>
      <c r="G416" s="234"/>
      <c r="H416" s="233"/>
      <c r="I416" s="233"/>
      <c r="J416" s="770"/>
      <c r="K416" s="233"/>
      <c r="L416" s="233"/>
      <c r="M416" s="233"/>
      <c r="N416" s="2460"/>
      <c r="O416" s="2460"/>
    </row>
    <row r="417" spans="3:15">
      <c r="C417" s="233"/>
      <c r="D417" s="233"/>
      <c r="E417" s="770"/>
      <c r="F417" s="234"/>
      <c r="G417" s="234"/>
      <c r="H417" s="233"/>
      <c r="I417" s="233"/>
      <c r="J417" s="770"/>
      <c r="K417" s="233"/>
      <c r="L417" s="233"/>
      <c r="M417" s="233"/>
      <c r="N417" s="2460"/>
      <c r="O417" s="2460"/>
    </row>
    <row r="418" spans="3:15">
      <c r="C418" s="233"/>
      <c r="D418" s="233"/>
      <c r="E418" s="770"/>
      <c r="F418" s="234"/>
      <c r="G418" s="234"/>
      <c r="H418" s="233"/>
      <c r="I418" s="233"/>
      <c r="J418" s="770"/>
      <c r="K418" s="233"/>
      <c r="L418" s="233"/>
      <c r="M418" s="233"/>
      <c r="N418" s="2460"/>
      <c r="O418" s="2460"/>
    </row>
    <row r="419" spans="3:15">
      <c r="C419" s="233"/>
      <c r="D419" s="233"/>
      <c r="E419" s="770"/>
      <c r="F419" s="234"/>
      <c r="G419" s="234"/>
      <c r="H419" s="233"/>
      <c r="I419" s="233"/>
      <c r="J419" s="770"/>
      <c r="K419" s="233"/>
      <c r="L419" s="233"/>
      <c r="M419" s="233"/>
      <c r="N419" s="2460"/>
      <c r="O419" s="2460"/>
    </row>
    <row r="420" spans="3:15">
      <c r="C420" s="233"/>
      <c r="D420" s="233"/>
      <c r="E420" s="770"/>
      <c r="F420" s="234"/>
      <c r="G420" s="234"/>
      <c r="H420" s="233"/>
      <c r="I420" s="233"/>
      <c r="J420" s="770"/>
      <c r="K420" s="233"/>
      <c r="L420" s="233"/>
      <c r="M420" s="233"/>
      <c r="N420" s="2460"/>
      <c r="O420" s="2460"/>
    </row>
    <row r="421" spans="3:15">
      <c r="C421" s="233"/>
      <c r="D421" s="233"/>
      <c r="E421" s="770"/>
      <c r="F421" s="234"/>
      <c r="G421" s="234"/>
      <c r="H421" s="233"/>
      <c r="I421" s="233"/>
      <c r="J421" s="770"/>
      <c r="K421" s="233"/>
      <c r="L421" s="233"/>
      <c r="M421" s="233"/>
      <c r="N421" s="2460"/>
      <c r="O421" s="2460"/>
    </row>
    <row r="422" spans="3:15">
      <c r="C422" s="233"/>
      <c r="D422" s="233"/>
      <c r="E422" s="770"/>
      <c r="F422" s="234"/>
      <c r="G422" s="234"/>
      <c r="H422" s="233"/>
      <c r="I422" s="233"/>
      <c r="J422" s="770"/>
      <c r="K422" s="233"/>
      <c r="L422" s="233"/>
      <c r="M422" s="233"/>
      <c r="N422" s="2460"/>
      <c r="O422" s="2460"/>
    </row>
    <row r="423" spans="3:15">
      <c r="C423" s="233"/>
      <c r="D423" s="233"/>
      <c r="E423" s="770"/>
      <c r="F423" s="234"/>
      <c r="G423" s="234"/>
      <c r="H423" s="233"/>
      <c r="I423" s="233"/>
      <c r="J423" s="770"/>
      <c r="K423" s="233"/>
      <c r="L423" s="233"/>
      <c r="M423" s="233"/>
      <c r="N423" s="2460"/>
      <c r="O423" s="2460"/>
    </row>
    <row r="424" spans="3:15">
      <c r="C424" s="233"/>
      <c r="D424" s="233"/>
      <c r="E424" s="770"/>
      <c r="F424" s="234"/>
      <c r="G424" s="234"/>
      <c r="H424" s="233"/>
      <c r="I424" s="233"/>
      <c r="J424" s="770"/>
      <c r="K424" s="233"/>
      <c r="L424" s="233"/>
      <c r="M424" s="233"/>
      <c r="N424" s="2460"/>
      <c r="O424" s="2460"/>
    </row>
    <row r="425" spans="3:15">
      <c r="C425" s="233"/>
      <c r="D425" s="233"/>
      <c r="E425" s="770"/>
      <c r="F425" s="234"/>
      <c r="G425" s="234"/>
      <c r="H425" s="233"/>
      <c r="I425" s="233"/>
      <c r="J425" s="770"/>
      <c r="K425" s="233"/>
      <c r="L425" s="233"/>
      <c r="M425" s="233"/>
      <c r="N425" s="2460"/>
      <c r="O425" s="2460"/>
    </row>
    <row r="426" spans="3:15">
      <c r="C426" s="233"/>
      <c r="D426" s="233"/>
      <c r="E426" s="770"/>
      <c r="F426" s="234"/>
      <c r="G426" s="234"/>
      <c r="H426" s="233"/>
      <c r="I426" s="233"/>
      <c r="J426" s="770"/>
      <c r="K426" s="233"/>
      <c r="L426" s="233"/>
      <c r="M426" s="233"/>
      <c r="N426" s="2460"/>
      <c r="O426" s="2460"/>
    </row>
    <row r="427" spans="3:15">
      <c r="C427" s="233"/>
      <c r="D427" s="233"/>
      <c r="E427" s="770"/>
      <c r="F427" s="234"/>
      <c r="G427" s="234"/>
      <c r="H427" s="233"/>
      <c r="I427" s="233"/>
      <c r="J427" s="770"/>
      <c r="K427" s="233"/>
      <c r="L427" s="233"/>
      <c r="M427" s="233"/>
      <c r="N427" s="2460"/>
      <c r="O427" s="2460"/>
    </row>
    <row r="428" spans="3:15">
      <c r="C428" s="233"/>
      <c r="D428" s="233"/>
      <c r="E428" s="770"/>
      <c r="F428" s="234"/>
      <c r="G428" s="234"/>
      <c r="H428" s="233"/>
      <c r="I428" s="233"/>
      <c r="J428" s="770"/>
      <c r="K428" s="233"/>
      <c r="L428" s="233"/>
      <c r="M428" s="233"/>
      <c r="N428" s="2460"/>
      <c r="O428" s="2460"/>
    </row>
    <row r="429" spans="3:15">
      <c r="C429" s="233"/>
      <c r="D429" s="233"/>
      <c r="E429" s="770"/>
      <c r="F429" s="234"/>
      <c r="G429" s="234"/>
      <c r="H429" s="233"/>
      <c r="I429" s="233"/>
      <c r="J429" s="770"/>
      <c r="K429" s="233"/>
      <c r="L429" s="233"/>
      <c r="M429" s="233"/>
      <c r="N429" s="2460"/>
      <c r="O429" s="2460"/>
    </row>
    <row r="430" spans="3:15">
      <c r="C430" s="233"/>
      <c r="D430" s="233"/>
      <c r="E430" s="770"/>
      <c r="F430" s="234"/>
      <c r="G430" s="234"/>
      <c r="H430" s="233"/>
      <c r="I430" s="233"/>
      <c r="J430" s="770"/>
      <c r="K430" s="233"/>
      <c r="L430" s="233"/>
      <c r="M430" s="233"/>
      <c r="N430" s="2460"/>
      <c r="O430" s="2460"/>
    </row>
    <row r="431" spans="3:15">
      <c r="C431" s="233"/>
      <c r="D431" s="233"/>
      <c r="E431" s="770"/>
      <c r="F431" s="234"/>
      <c r="G431" s="234"/>
      <c r="H431" s="233"/>
      <c r="I431" s="233"/>
      <c r="J431" s="770"/>
      <c r="K431" s="233"/>
      <c r="L431" s="233"/>
      <c r="M431" s="233"/>
      <c r="N431" s="2460"/>
      <c r="O431" s="2460"/>
    </row>
    <row r="432" spans="3:15">
      <c r="C432" s="233"/>
      <c r="D432" s="233"/>
      <c r="E432" s="770"/>
      <c r="F432" s="234"/>
      <c r="G432" s="234"/>
      <c r="H432" s="233"/>
      <c r="I432" s="233"/>
      <c r="J432" s="770"/>
      <c r="K432" s="233"/>
      <c r="L432" s="233"/>
      <c r="M432" s="233"/>
      <c r="N432" s="2460"/>
      <c r="O432" s="2460"/>
    </row>
    <row r="433" spans="3:15">
      <c r="C433" s="233"/>
      <c r="D433" s="233"/>
      <c r="E433" s="770"/>
      <c r="F433" s="234"/>
      <c r="G433" s="234"/>
      <c r="H433" s="233"/>
      <c r="I433" s="233"/>
      <c r="J433" s="770"/>
      <c r="K433" s="233"/>
      <c r="L433" s="233"/>
      <c r="M433" s="233"/>
      <c r="N433" s="2460"/>
      <c r="O433" s="2460"/>
    </row>
    <row r="434" spans="3:15">
      <c r="C434" s="233"/>
      <c r="D434" s="233"/>
      <c r="E434" s="770"/>
      <c r="F434" s="234"/>
      <c r="G434" s="234"/>
      <c r="H434" s="233"/>
      <c r="I434" s="233"/>
      <c r="J434" s="770"/>
      <c r="K434" s="233"/>
      <c r="L434" s="233"/>
      <c r="M434" s="233"/>
      <c r="N434" s="2460"/>
      <c r="O434" s="2460"/>
    </row>
    <row r="435" spans="3:15">
      <c r="C435" s="233"/>
      <c r="D435" s="233"/>
      <c r="E435" s="770"/>
      <c r="F435" s="234"/>
      <c r="G435" s="234"/>
      <c r="H435" s="233"/>
      <c r="I435" s="233"/>
      <c r="J435" s="770"/>
      <c r="K435" s="233"/>
      <c r="L435" s="233"/>
      <c r="M435" s="233"/>
      <c r="N435" s="2460"/>
      <c r="O435" s="2460"/>
    </row>
    <row r="436" spans="3:15">
      <c r="C436" s="233"/>
      <c r="D436" s="233"/>
      <c r="E436" s="770"/>
      <c r="F436" s="234"/>
      <c r="G436" s="234"/>
      <c r="H436" s="233"/>
      <c r="I436" s="233"/>
      <c r="J436" s="770"/>
      <c r="K436" s="233"/>
      <c r="L436" s="233"/>
      <c r="M436" s="233"/>
      <c r="N436" s="2460"/>
      <c r="O436" s="2460"/>
    </row>
    <row r="437" spans="3:15">
      <c r="C437" s="233"/>
      <c r="D437" s="233"/>
      <c r="E437" s="770"/>
      <c r="F437" s="234"/>
      <c r="G437" s="234"/>
      <c r="H437" s="233"/>
      <c r="I437" s="233"/>
      <c r="J437" s="770"/>
      <c r="K437" s="233"/>
      <c r="L437" s="233"/>
      <c r="M437" s="233"/>
      <c r="N437" s="2460"/>
      <c r="O437" s="2460"/>
    </row>
    <row r="438" spans="3:15">
      <c r="C438" s="233"/>
      <c r="D438" s="233"/>
      <c r="E438" s="770"/>
      <c r="F438" s="234"/>
      <c r="G438" s="234"/>
      <c r="H438" s="233"/>
      <c r="I438" s="233"/>
      <c r="J438" s="770"/>
      <c r="K438" s="233"/>
      <c r="L438" s="233"/>
      <c r="M438" s="233"/>
      <c r="N438" s="2460"/>
      <c r="O438" s="2460"/>
    </row>
    <row r="439" spans="3:15">
      <c r="C439" s="233"/>
      <c r="D439" s="233"/>
      <c r="E439" s="770"/>
      <c r="F439" s="234"/>
      <c r="G439" s="234"/>
      <c r="H439" s="233"/>
      <c r="I439" s="233"/>
      <c r="J439" s="770"/>
      <c r="K439" s="233"/>
      <c r="L439" s="233"/>
      <c r="M439" s="233"/>
      <c r="N439" s="2460"/>
      <c r="O439" s="2460"/>
    </row>
    <row r="440" spans="3:15">
      <c r="C440" s="233"/>
      <c r="D440" s="233"/>
      <c r="E440" s="770"/>
      <c r="F440" s="234"/>
      <c r="G440" s="234"/>
      <c r="H440" s="233"/>
      <c r="I440" s="233"/>
      <c r="J440" s="770"/>
      <c r="K440" s="233"/>
      <c r="L440" s="233"/>
      <c r="M440" s="233"/>
      <c r="N440" s="2460"/>
      <c r="O440" s="2460"/>
    </row>
    <row r="441" spans="3:15">
      <c r="C441" s="233"/>
      <c r="D441" s="233"/>
      <c r="E441" s="770"/>
      <c r="F441" s="234"/>
      <c r="G441" s="234"/>
      <c r="H441" s="233"/>
      <c r="I441" s="233"/>
      <c r="J441" s="770"/>
      <c r="K441" s="233"/>
      <c r="L441" s="233"/>
      <c r="M441" s="233"/>
      <c r="N441" s="2460"/>
      <c r="O441" s="2460"/>
    </row>
    <row r="442" spans="3:15">
      <c r="C442" s="233"/>
      <c r="D442" s="233"/>
      <c r="E442" s="770"/>
      <c r="F442" s="234"/>
      <c r="G442" s="234"/>
      <c r="H442" s="233"/>
      <c r="I442" s="233"/>
      <c r="J442" s="770"/>
      <c r="K442" s="233"/>
      <c r="L442" s="233"/>
      <c r="M442" s="233"/>
      <c r="N442" s="2460"/>
      <c r="O442" s="2460"/>
    </row>
    <row r="443" spans="3:15">
      <c r="C443" s="233"/>
      <c r="D443" s="233"/>
      <c r="E443" s="770"/>
      <c r="F443" s="234"/>
      <c r="G443" s="234"/>
      <c r="H443" s="233"/>
      <c r="I443" s="233"/>
      <c r="J443" s="770"/>
      <c r="K443" s="233"/>
      <c r="L443" s="233"/>
      <c r="M443" s="233"/>
      <c r="N443" s="2460"/>
      <c r="O443" s="2460"/>
    </row>
    <row r="444" spans="3:15">
      <c r="C444" s="233"/>
      <c r="D444" s="233"/>
      <c r="E444" s="770"/>
      <c r="F444" s="234"/>
      <c r="G444" s="234"/>
      <c r="H444" s="233"/>
      <c r="I444" s="233"/>
      <c r="J444" s="770"/>
      <c r="K444" s="233"/>
      <c r="L444" s="233"/>
      <c r="M444" s="233"/>
      <c r="N444" s="2460"/>
      <c r="O444" s="2460"/>
    </row>
    <row r="445" spans="3:15">
      <c r="C445" s="233"/>
      <c r="D445" s="233"/>
      <c r="E445" s="770"/>
      <c r="F445" s="234"/>
      <c r="G445" s="234"/>
      <c r="H445" s="233"/>
      <c r="I445" s="233"/>
      <c r="J445" s="770"/>
      <c r="K445" s="233"/>
      <c r="L445" s="233"/>
      <c r="M445" s="233"/>
      <c r="N445" s="2460"/>
      <c r="O445" s="2460"/>
    </row>
    <row r="446" spans="3:15">
      <c r="C446" s="233"/>
      <c r="D446" s="233"/>
      <c r="E446" s="770"/>
      <c r="F446" s="234"/>
      <c r="G446" s="234"/>
      <c r="H446" s="233"/>
      <c r="I446" s="233"/>
      <c r="J446" s="770"/>
      <c r="K446" s="233"/>
      <c r="L446" s="233"/>
      <c r="M446" s="233"/>
      <c r="N446" s="2460"/>
      <c r="O446" s="2460"/>
    </row>
    <row r="447" spans="3:15">
      <c r="C447" s="233"/>
      <c r="D447" s="233"/>
      <c r="E447" s="770"/>
      <c r="F447" s="234"/>
      <c r="G447" s="234"/>
      <c r="H447" s="233"/>
      <c r="I447" s="233"/>
      <c r="J447" s="770"/>
      <c r="K447" s="233"/>
      <c r="L447" s="233"/>
      <c r="M447" s="233"/>
      <c r="N447" s="2460"/>
      <c r="O447" s="2460"/>
    </row>
    <row r="448" spans="3:15">
      <c r="C448" s="233"/>
      <c r="D448" s="233"/>
      <c r="E448" s="770"/>
      <c r="F448" s="234"/>
      <c r="G448" s="234"/>
      <c r="H448" s="233"/>
      <c r="I448" s="233"/>
      <c r="J448" s="770"/>
      <c r="K448" s="233"/>
      <c r="L448" s="233"/>
      <c r="M448" s="233"/>
      <c r="N448" s="2460"/>
      <c r="O448" s="2460"/>
    </row>
    <row r="449" spans="3:15">
      <c r="C449" s="233"/>
      <c r="D449" s="233"/>
      <c r="E449" s="770"/>
      <c r="F449" s="234"/>
      <c r="G449" s="234"/>
      <c r="H449" s="233"/>
      <c r="I449" s="233"/>
      <c r="J449" s="770"/>
      <c r="K449" s="233"/>
      <c r="L449" s="233"/>
      <c r="M449" s="233"/>
      <c r="N449" s="2460"/>
      <c r="O449" s="2460"/>
    </row>
    <row r="450" spans="3:15">
      <c r="C450" s="233"/>
      <c r="D450" s="233"/>
      <c r="E450" s="770"/>
      <c r="F450" s="234"/>
      <c r="G450" s="234"/>
      <c r="H450" s="233"/>
      <c r="I450" s="233"/>
      <c r="J450" s="770"/>
      <c r="K450" s="233"/>
      <c r="L450" s="233"/>
      <c r="M450" s="233"/>
      <c r="N450" s="2460"/>
      <c r="O450" s="2460"/>
    </row>
    <row r="451" spans="3:15">
      <c r="C451" s="233"/>
      <c r="D451" s="233"/>
      <c r="E451" s="770"/>
      <c r="F451" s="234"/>
      <c r="G451" s="234"/>
      <c r="H451" s="233"/>
      <c r="I451" s="233"/>
      <c r="J451" s="770"/>
      <c r="K451" s="233"/>
      <c r="L451" s="233"/>
      <c r="M451" s="233"/>
      <c r="N451" s="2460"/>
      <c r="O451" s="2460"/>
    </row>
    <row r="452" spans="3:15">
      <c r="C452" s="233"/>
      <c r="D452" s="233"/>
      <c r="E452" s="770"/>
      <c r="F452" s="234"/>
      <c r="G452" s="234"/>
      <c r="H452" s="233"/>
      <c r="I452" s="233"/>
      <c r="J452" s="770"/>
      <c r="K452" s="233"/>
      <c r="L452" s="233"/>
      <c r="M452" s="233"/>
      <c r="N452" s="2460"/>
      <c r="O452" s="2460"/>
    </row>
    <row r="453" spans="3:15">
      <c r="C453" s="233"/>
      <c r="D453" s="233"/>
      <c r="E453" s="770"/>
      <c r="F453" s="234"/>
      <c r="G453" s="234"/>
      <c r="H453" s="233"/>
      <c r="I453" s="233"/>
      <c r="J453" s="770"/>
      <c r="K453" s="233"/>
      <c r="L453" s="233"/>
      <c r="M453" s="233"/>
      <c r="N453" s="2460"/>
      <c r="O453" s="2460"/>
    </row>
    <row r="454" spans="3:15">
      <c r="C454" s="233"/>
      <c r="D454" s="233"/>
      <c r="E454" s="770"/>
      <c r="F454" s="234"/>
      <c r="G454" s="234"/>
      <c r="H454" s="233"/>
      <c r="I454" s="233"/>
      <c r="J454" s="770"/>
      <c r="K454" s="233"/>
      <c r="L454" s="233"/>
      <c r="M454" s="233"/>
      <c r="N454" s="2460"/>
      <c r="O454" s="2460"/>
    </row>
    <row r="455" spans="3:15">
      <c r="C455" s="233"/>
      <c r="D455" s="233"/>
      <c r="E455" s="770"/>
      <c r="F455" s="234"/>
      <c r="G455" s="234"/>
      <c r="H455" s="233"/>
      <c r="I455" s="233"/>
      <c r="J455" s="770"/>
      <c r="K455" s="233"/>
      <c r="L455" s="233"/>
      <c r="M455" s="233"/>
      <c r="N455" s="2460"/>
      <c r="O455" s="2460"/>
    </row>
    <row r="456" spans="3:15">
      <c r="C456" s="233"/>
      <c r="D456" s="233"/>
      <c r="E456" s="770"/>
      <c r="F456" s="234"/>
      <c r="G456" s="234"/>
      <c r="H456" s="233"/>
      <c r="I456" s="233"/>
      <c r="J456" s="770"/>
      <c r="K456" s="233"/>
      <c r="L456" s="233"/>
      <c r="M456" s="233"/>
      <c r="N456" s="2460"/>
      <c r="O456" s="2460"/>
    </row>
    <row r="457" spans="3:15">
      <c r="C457" s="233"/>
      <c r="D457" s="233"/>
      <c r="E457" s="770"/>
      <c r="F457" s="234"/>
      <c r="G457" s="234"/>
      <c r="H457" s="233"/>
      <c r="I457" s="233"/>
      <c r="J457" s="770"/>
      <c r="K457" s="233"/>
      <c r="L457" s="233"/>
      <c r="M457" s="233"/>
      <c r="N457" s="2460"/>
      <c r="O457" s="2460"/>
    </row>
    <row r="458" spans="3:15">
      <c r="C458" s="233"/>
      <c r="D458" s="233"/>
      <c r="E458" s="770"/>
      <c r="F458" s="234"/>
      <c r="G458" s="234"/>
      <c r="H458" s="233"/>
      <c r="I458" s="233"/>
      <c r="J458" s="770"/>
      <c r="K458" s="233"/>
      <c r="L458" s="233"/>
      <c r="M458" s="233"/>
      <c r="N458" s="2460"/>
      <c r="O458" s="2460"/>
    </row>
    <row r="459" spans="3:15">
      <c r="C459" s="233"/>
      <c r="D459" s="233"/>
      <c r="E459" s="770"/>
      <c r="F459" s="234"/>
      <c r="G459" s="234"/>
      <c r="H459" s="233"/>
      <c r="I459" s="233"/>
      <c r="J459" s="770"/>
      <c r="K459" s="233"/>
      <c r="L459" s="233"/>
      <c r="M459" s="233"/>
      <c r="N459" s="2460"/>
      <c r="O459" s="2460"/>
    </row>
    <row r="460" spans="3:15">
      <c r="C460" s="233"/>
      <c r="D460" s="233"/>
      <c r="E460" s="770"/>
      <c r="F460" s="234"/>
      <c r="G460" s="234"/>
      <c r="H460" s="233"/>
      <c r="I460" s="233"/>
      <c r="J460" s="770"/>
      <c r="K460" s="233"/>
      <c r="L460" s="233"/>
      <c r="M460" s="233"/>
      <c r="N460" s="2460"/>
      <c r="O460" s="2460"/>
    </row>
    <row r="461" spans="3:15">
      <c r="C461" s="233"/>
      <c r="D461" s="233"/>
      <c r="E461" s="770"/>
      <c r="F461" s="234"/>
      <c r="G461" s="234"/>
      <c r="H461" s="233"/>
      <c r="I461" s="233"/>
      <c r="J461" s="770"/>
      <c r="K461" s="233"/>
      <c r="L461" s="233"/>
      <c r="M461" s="233"/>
      <c r="N461" s="2460"/>
      <c r="O461" s="2460"/>
    </row>
    <row r="462" spans="3:15">
      <c r="C462" s="233"/>
      <c r="D462" s="233"/>
      <c r="E462" s="770"/>
      <c r="F462" s="234"/>
      <c r="G462" s="234"/>
      <c r="H462" s="233"/>
      <c r="I462" s="233"/>
      <c r="J462" s="770"/>
      <c r="K462" s="233"/>
      <c r="L462" s="233"/>
      <c r="M462" s="233"/>
      <c r="N462" s="2460"/>
      <c r="O462" s="2460"/>
    </row>
    <row r="463" spans="3:15">
      <c r="C463" s="233"/>
      <c r="D463" s="233"/>
      <c r="E463" s="770"/>
      <c r="F463" s="234"/>
      <c r="G463" s="234"/>
      <c r="H463" s="233"/>
      <c r="I463" s="233"/>
      <c r="J463" s="770"/>
      <c r="K463" s="233"/>
      <c r="L463" s="233"/>
      <c r="M463" s="233"/>
      <c r="N463" s="2460"/>
      <c r="O463" s="2460"/>
    </row>
    <row r="464" spans="3:15">
      <c r="C464" s="233"/>
      <c r="D464" s="233"/>
      <c r="E464" s="770"/>
      <c r="F464" s="234"/>
      <c r="G464" s="234"/>
      <c r="H464" s="233"/>
      <c r="I464" s="233"/>
      <c r="J464" s="770"/>
      <c r="K464" s="233"/>
      <c r="L464" s="233"/>
      <c r="M464" s="233"/>
      <c r="N464" s="2460"/>
      <c r="O464" s="2460"/>
    </row>
    <row r="465" spans="3:15">
      <c r="C465" s="233"/>
      <c r="D465" s="233"/>
      <c r="E465" s="770"/>
      <c r="F465" s="234"/>
      <c r="G465" s="234"/>
      <c r="H465" s="233"/>
      <c r="I465" s="233"/>
      <c r="J465" s="770"/>
      <c r="K465" s="233"/>
      <c r="L465" s="233"/>
      <c r="M465" s="233"/>
      <c r="N465" s="2460"/>
      <c r="O465" s="2460"/>
    </row>
    <row r="466" spans="3:15">
      <c r="C466" s="233"/>
      <c r="D466" s="233"/>
      <c r="E466" s="770"/>
      <c r="F466" s="234"/>
      <c r="G466" s="234"/>
      <c r="H466" s="233"/>
      <c r="I466" s="233"/>
      <c r="J466" s="770"/>
      <c r="K466" s="233"/>
      <c r="L466" s="233"/>
      <c r="M466" s="233"/>
      <c r="N466" s="2460"/>
      <c r="O466" s="2460"/>
    </row>
    <row r="467" spans="3:15">
      <c r="C467" s="233"/>
      <c r="D467" s="233"/>
      <c r="E467" s="770"/>
      <c r="F467" s="234"/>
      <c r="G467" s="234"/>
      <c r="H467" s="233"/>
      <c r="I467" s="233"/>
      <c r="J467" s="770"/>
      <c r="K467" s="233"/>
      <c r="L467" s="233"/>
      <c r="M467" s="233"/>
      <c r="N467" s="2460"/>
      <c r="O467" s="2460"/>
    </row>
    <row r="468" spans="3:15">
      <c r="C468" s="233"/>
      <c r="D468" s="233"/>
      <c r="E468" s="770"/>
      <c r="F468" s="234"/>
      <c r="G468" s="234"/>
      <c r="H468" s="233"/>
      <c r="I468" s="233"/>
      <c r="J468" s="770"/>
      <c r="K468" s="233"/>
      <c r="L468" s="233"/>
      <c r="M468" s="233"/>
      <c r="N468" s="2460"/>
      <c r="O468" s="2460"/>
    </row>
    <row r="469" spans="3:15">
      <c r="C469" s="233"/>
      <c r="D469" s="233"/>
      <c r="E469" s="770"/>
      <c r="F469" s="234"/>
      <c r="G469" s="234"/>
      <c r="H469" s="233"/>
      <c r="I469" s="233"/>
      <c r="J469" s="770"/>
      <c r="K469" s="233"/>
      <c r="L469" s="233"/>
      <c r="M469" s="233"/>
      <c r="N469" s="2460"/>
      <c r="O469" s="2460"/>
    </row>
    <row r="470" spans="3:15">
      <c r="C470" s="233"/>
      <c r="D470" s="233"/>
      <c r="E470" s="770"/>
      <c r="F470" s="234"/>
      <c r="G470" s="234"/>
      <c r="H470" s="233"/>
      <c r="I470" s="233"/>
      <c r="J470" s="770"/>
      <c r="K470" s="233"/>
      <c r="L470" s="233"/>
      <c r="M470" s="233"/>
      <c r="N470" s="2460"/>
      <c r="O470" s="2460"/>
    </row>
    <row r="471" spans="3:15">
      <c r="C471" s="233"/>
      <c r="D471" s="233"/>
      <c r="E471" s="770"/>
      <c r="F471" s="234"/>
      <c r="G471" s="234"/>
      <c r="H471" s="233"/>
      <c r="I471" s="233"/>
      <c r="J471" s="770"/>
      <c r="K471" s="233"/>
      <c r="L471" s="233"/>
      <c r="M471" s="233"/>
      <c r="N471" s="2460"/>
      <c r="O471" s="2460"/>
    </row>
    <row r="472" spans="3:15">
      <c r="C472" s="233"/>
      <c r="D472" s="233"/>
      <c r="E472" s="770"/>
      <c r="F472" s="234"/>
      <c r="G472" s="234"/>
      <c r="H472" s="233"/>
      <c r="I472" s="233"/>
      <c r="J472" s="770"/>
      <c r="K472" s="233"/>
      <c r="L472" s="233"/>
      <c r="M472" s="233"/>
      <c r="N472" s="2460"/>
      <c r="O472" s="2460"/>
    </row>
    <row r="473" spans="3:15">
      <c r="C473" s="233"/>
      <c r="D473" s="233"/>
      <c r="E473" s="770"/>
      <c r="F473" s="234"/>
      <c r="G473" s="234"/>
      <c r="H473" s="233"/>
      <c r="I473" s="233"/>
      <c r="J473" s="770"/>
      <c r="K473" s="233"/>
      <c r="L473" s="233"/>
      <c r="M473" s="233"/>
      <c r="N473" s="2460"/>
      <c r="O473" s="2460"/>
    </row>
    <row r="474" spans="3:15">
      <c r="C474" s="233"/>
      <c r="D474" s="233"/>
      <c r="E474" s="770"/>
      <c r="F474" s="234"/>
      <c r="G474" s="234"/>
      <c r="H474" s="233"/>
      <c r="I474" s="233"/>
      <c r="J474" s="770"/>
      <c r="K474" s="233"/>
      <c r="L474" s="233"/>
      <c r="M474" s="233"/>
      <c r="N474" s="2460"/>
      <c r="O474" s="2460"/>
    </row>
    <row r="475" spans="3:15">
      <c r="C475" s="233"/>
      <c r="D475" s="233"/>
      <c r="E475" s="770"/>
      <c r="F475" s="234"/>
      <c r="G475" s="234"/>
      <c r="H475" s="233"/>
      <c r="I475" s="233"/>
      <c r="J475" s="770"/>
      <c r="K475" s="233"/>
      <c r="L475" s="233"/>
      <c r="M475" s="233"/>
      <c r="N475" s="2460"/>
      <c r="O475" s="2460"/>
    </row>
    <row r="476" spans="3:15">
      <c r="C476" s="233"/>
      <c r="D476" s="233"/>
      <c r="E476" s="770"/>
      <c r="F476" s="234"/>
      <c r="G476" s="234"/>
      <c r="H476" s="233"/>
      <c r="I476" s="233"/>
      <c r="J476" s="770"/>
      <c r="K476" s="233"/>
      <c r="L476" s="233"/>
      <c r="M476" s="233"/>
      <c r="N476" s="2460"/>
      <c r="O476" s="2460"/>
    </row>
    <row r="477" spans="3:15">
      <c r="C477" s="233"/>
      <c r="D477" s="233"/>
      <c r="E477" s="770"/>
      <c r="F477" s="234"/>
      <c r="G477" s="234"/>
      <c r="H477" s="233"/>
      <c r="I477" s="233"/>
      <c r="J477" s="770"/>
      <c r="K477" s="233"/>
      <c r="L477" s="233"/>
      <c r="M477" s="233"/>
      <c r="N477" s="2460"/>
      <c r="O477" s="2460"/>
    </row>
    <row r="478" spans="3:15">
      <c r="C478" s="233"/>
      <c r="D478" s="233"/>
      <c r="E478" s="770"/>
      <c r="F478" s="234"/>
      <c r="G478" s="234"/>
      <c r="H478" s="233"/>
      <c r="I478" s="233"/>
      <c r="J478" s="770"/>
      <c r="K478" s="233"/>
      <c r="L478" s="233"/>
      <c r="M478" s="233"/>
      <c r="N478" s="2460"/>
      <c r="O478" s="2460"/>
    </row>
    <row r="479" spans="3:15">
      <c r="C479" s="233"/>
      <c r="D479" s="233"/>
      <c r="E479" s="770"/>
      <c r="F479" s="234"/>
      <c r="G479" s="234"/>
      <c r="H479" s="233"/>
      <c r="I479" s="233"/>
      <c r="J479" s="770"/>
      <c r="K479" s="233"/>
      <c r="L479" s="233"/>
      <c r="M479" s="233"/>
      <c r="N479" s="2460"/>
      <c r="O479" s="2460"/>
    </row>
    <row r="480" spans="3:15">
      <c r="C480" s="233"/>
      <c r="D480" s="233"/>
      <c r="E480" s="770"/>
      <c r="F480" s="234"/>
      <c r="G480" s="234"/>
      <c r="H480" s="233"/>
      <c r="I480" s="233"/>
      <c r="J480" s="770"/>
      <c r="K480" s="233"/>
      <c r="L480" s="233"/>
      <c r="M480" s="233"/>
      <c r="N480" s="2460"/>
      <c r="O480" s="2460"/>
    </row>
    <row r="481" spans="3:15">
      <c r="C481" s="233"/>
      <c r="D481" s="233"/>
      <c r="E481" s="770"/>
      <c r="F481" s="234"/>
      <c r="G481" s="234"/>
      <c r="H481" s="233"/>
      <c r="I481" s="233"/>
      <c r="J481" s="770"/>
      <c r="K481" s="233"/>
      <c r="L481" s="233"/>
      <c r="M481" s="233"/>
      <c r="N481" s="2460"/>
      <c r="O481" s="2460"/>
    </row>
    <row r="482" spans="3:15">
      <c r="C482" s="233"/>
      <c r="D482" s="233"/>
      <c r="E482" s="770"/>
      <c r="F482" s="234"/>
      <c r="G482" s="234"/>
      <c r="H482" s="233"/>
      <c r="I482" s="233"/>
      <c r="J482" s="770"/>
      <c r="K482" s="233"/>
      <c r="L482" s="233"/>
      <c r="M482" s="233"/>
      <c r="N482" s="2460"/>
      <c r="O482" s="2460"/>
    </row>
    <row r="483" spans="3:15">
      <c r="C483" s="233"/>
      <c r="D483" s="233"/>
      <c r="E483" s="770"/>
      <c r="F483" s="234"/>
      <c r="G483" s="234"/>
      <c r="H483" s="233"/>
      <c r="I483" s="233"/>
      <c r="J483" s="770"/>
      <c r="K483" s="233"/>
      <c r="L483" s="233"/>
      <c r="M483" s="233"/>
      <c r="N483" s="2460"/>
      <c r="O483" s="2460"/>
    </row>
    <row r="484" spans="3:15">
      <c r="C484" s="233"/>
      <c r="D484" s="233"/>
      <c r="E484" s="770"/>
      <c r="F484" s="234"/>
      <c r="G484" s="234"/>
      <c r="H484" s="233"/>
      <c r="I484" s="233"/>
      <c r="J484" s="770"/>
      <c r="K484" s="233"/>
      <c r="L484" s="233"/>
      <c r="M484" s="233"/>
      <c r="N484" s="2460"/>
      <c r="O484" s="2460"/>
    </row>
    <row r="485" spans="3:15">
      <c r="C485" s="233"/>
      <c r="D485" s="233"/>
      <c r="E485" s="770"/>
      <c r="F485" s="234"/>
      <c r="G485" s="234"/>
      <c r="H485" s="233"/>
      <c r="I485" s="233"/>
      <c r="J485" s="770"/>
      <c r="K485" s="233"/>
      <c r="L485" s="233"/>
      <c r="M485" s="233"/>
      <c r="N485" s="2460"/>
      <c r="O485" s="2460"/>
    </row>
    <row r="486" spans="3:15">
      <c r="C486" s="233"/>
      <c r="D486" s="233"/>
      <c r="E486" s="770"/>
      <c r="F486" s="234"/>
      <c r="G486" s="234"/>
      <c r="H486" s="233"/>
      <c r="I486" s="233"/>
      <c r="J486" s="770"/>
      <c r="K486" s="233"/>
      <c r="L486" s="233"/>
      <c r="M486" s="233"/>
      <c r="N486" s="2460"/>
      <c r="O486" s="2460"/>
    </row>
    <row r="487" spans="3:15">
      <c r="C487" s="233"/>
      <c r="D487" s="233"/>
      <c r="E487" s="770"/>
      <c r="F487" s="234"/>
      <c r="G487" s="234"/>
      <c r="H487" s="233"/>
      <c r="I487" s="233"/>
      <c r="J487" s="770"/>
      <c r="K487" s="233"/>
      <c r="L487" s="233"/>
      <c r="M487" s="233"/>
      <c r="N487" s="2460"/>
      <c r="O487" s="2460"/>
    </row>
    <row r="488" spans="3:15">
      <c r="C488" s="233"/>
      <c r="D488" s="233"/>
      <c r="E488" s="770"/>
      <c r="F488" s="234"/>
      <c r="G488" s="234"/>
      <c r="H488" s="233"/>
      <c r="I488" s="233"/>
      <c r="J488" s="770"/>
      <c r="K488" s="233"/>
      <c r="L488" s="233"/>
      <c r="M488" s="233"/>
      <c r="N488" s="2460"/>
      <c r="O488" s="2460"/>
    </row>
    <row r="489" spans="3:15">
      <c r="C489" s="233"/>
      <c r="D489" s="233"/>
      <c r="E489" s="770"/>
      <c r="F489" s="234"/>
      <c r="G489" s="234"/>
      <c r="H489" s="233"/>
      <c r="I489" s="233"/>
      <c r="J489" s="770"/>
      <c r="K489" s="233"/>
      <c r="L489" s="233"/>
      <c r="M489" s="233"/>
      <c r="N489" s="2460"/>
      <c r="O489" s="2460"/>
    </row>
    <row r="490" spans="3:15">
      <c r="C490" s="233"/>
      <c r="D490" s="233"/>
      <c r="E490" s="770"/>
      <c r="F490" s="234"/>
      <c r="G490" s="234"/>
      <c r="H490" s="233"/>
      <c r="I490" s="233"/>
      <c r="J490" s="770"/>
      <c r="K490" s="233"/>
      <c r="L490" s="233"/>
      <c r="M490" s="233"/>
      <c r="N490" s="2460"/>
      <c r="O490" s="2460"/>
    </row>
    <row r="491" spans="3:15">
      <c r="C491" s="233"/>
      <c r="D491" s="233"/>
      <c r="E491" s="770"/>
      <c r="F491" s="234"/>
      <c r="G491" s="234"/>
      <c r="H491" s="233"/>
      <c r="I491" s="233"/>
      <c r="J491" s="770"/>
      <c r="K491" s="233"/>
      <c r="L491" s="233"/>
      <c r="M491" s="233"/>
      <c r="N491" s="2460"/>
      <c r="O491" s="2460"/>
    </row>
    <row r="492" spans="3:15">
      <c r="C492" s="233"/>
      <c r="D492" s="233"/>
      <c r="E492" s="770"/>
      <c r="F492" s="234"/>
      <c r="G492" s="234"/>
      <c r="H492" s="233"/>
      <c r="I492" s="233"/>
      <c r="J492" s="770"/>
      <c r="K492" s="233"/>
      <c r="L492" s="233"/>
      <c r="M492" s="233"/>
      <c r="N492" s="2460"/>
      <c r="O492" s="2460"/>
    </row>
    <row r="493" spans="3:15">
      <c r="C493" s="233"/>
      <c r="D493" s="233"/>
      <c r="E493" s="770"/>
      <c r="F493" s="234"/>
      <c r="G493" s="234"/>
      <c r="H493" s="233"/>
      <c r="I493" s="233"/>
      <c r="J493" s="770"/>
      <c r="K493" s="233"/>
      <c r="L493" s="233"/>
      <c r="M493" s="233"/>
      <c r="N493" s="2460"/>
      <c r="O493" s="2460"/>
    </row>
    <row r="494" spans="3:15">
      <c r="C494" s="233"/>
      <c r="D494" s="233"/>
      <c r="E494" s="770"/>
      <c r="F494" s="234"/>
      <c r="G494" s="234"/>
      <c r="H494" s="233"/>
      <c r="I494" s="233"/>
      <c r="J494" s="770"/>
      <c r="K494" s="233"/>
      <c r="L494" s="233"/>
      <c r="M494" s="233"/>
      <c r="N494" s="2460"/>
      <c r="O494" s="2460"/>
    </row>
    <row r="495" spans="3:15">
      <c r="C495" s="233"/>
      <c r="D495" s="233"/>
      <c r="E495" s="770"/>
      <c r="F495" s="234"/>
      <c r="G495" s="234"/>
      <c r="H495" s="233"/>
      <c r="I495" s="233"/>
      <c r="J495" s="770"/>
      <c r="K495" s="233"/>
      <c r="L495" s="233"/>
      <c r="M495" s="233"/>
      <c r="N495" s="2460"/>
      <c r="O495" s="2460"/>
    </row>
    <row r="496" spans="3:15">
      <c r="C496" s="233"/>
      <c r="D496" s="233"/>
      <c r="E496" s="770"/>
      <c r="F496" s="234"/>
      <c r="G496" s="234"/>
      <c r="H496" s="233"/>
      <c r="I496" s="233"/>
      <c r="J496" s="770"/>
      <c r="K496" s="233"/>
      <c r="L496" s="233"/>
      <c r="M496" s="233"/>
      <c r="N496" s="2460"/>
      <c r="O496" s="2460"/>
    </row>
    <row r="497" spans="3:15">
      <c r="C497" s="233"/>
      <c r="D497" s="233"/>
      <c r="E497" s="770"/>
      <c r="F497" s="234"/>
      <c r="G497" s="234"/>
      <c r="H497" s="233"/>
      <c r="I497" s="233"/>
      <c r="J497" s="770"/>
      <c r="K497" s="233"/>
      <c r="L497" s="233"/>
      <c r="M497" s="233"/>
      <c r="N497" s="2460"/>
      <c r="O497" s="2460"/>
    </row>
    <row r="498" spans="3:15">
      <c r="C498" s="233"/>
      <c r="D498" s="233"/>
      <c r="E498" s="770"/>
      <c r="F498" s="234"/>
      <c r="G498" s="234"/>
      <c r="H498" s="233"/>
      <c r="I498" s="233"/>
      <c r="J498" s="770"/>
      <c r="K498" s="233"/>
      <c r="L498" s="233"/>
      <c r="M498" s="233"/>
      <c r="N498" s="2460"/>
      <c r="O498" s="2460"/>
    </row>
    <row r="499" spans="3:15">
      <c r="C499" s="233"/>
      <c r="D499" s="233"/>
      <c r="E499" s="770"/>
      <c r="F499" s="234"/>
      <c r="G499" s="234"/>
      <c r="H499" s="233"/>
      <c r="I499" s="233"/>
      <c r="J499" s="770"/>
      <c r="K499" s="233"/>
      <c r="L499" s="233"/>
      <c r="M499" s="233"/>
      <c r="N499" s="2460"/>
      <c r="O499" s="2460"/>
    </row>
    <row r="500" spans="3:15">
      <c r="C500" s="233"/>
      <c r="D500" s="233"/>
      <c r="E500" s="770"/>
      <c r="F500" s="234"/>
      <c r="G500" s="234"/>
      <c r="H500" s="233"/>
      <c r="I500" s="233"/>
      <c r="J500" s="770"/>
      <c r="K500" s="233"/>
      <c r="L500" s="233"/>
      <c r="M500" s="233"/>
      <c r="N500" s="2460"/>
      <c r="O500" s="2460"/>
    </row>
    <row r="501" spans="3:15">
      <c r="C501" s="233"/>
      <c r="D501" s="233"/>
      <c r="E501" s="770"/>
      <c r="F501" s="234"/>
      <c r="G501" s="234"/>
      <c r="H501" s="233"/>
      <c r="I501" s="233"/>
      <c r="J501" s="770"/>
      <c r="K501" s="233"/>
      <c r="L501" s="233"/>
      <c r="M501" s="233"/>
      <c r="N501" s="2460"/>
      <c r="O501" s="2460"/>
    </row>
    <row r="502" spans="3:15">
      <c r="C502" s="233"/>
      <c r="D502" s="233"/>
      <c r="E502" s="770"/>
      <c r="F502" s="234"/>
      <c r="G502" s="234"/>
      <c r="H502" s="233"/>
      <c r="I502" s="233"/>
      <c r="J502" s="770"/>
      <c r="K502" s="233"/>
      <c r="L502" s="233"/>
      <c r="M502" s="233"/>
      <c r="N502" s="2460"/>
      <c r="O502" s="2460"/>
    </row>
    <row r="503" spans="3:15">
      <c r="C503" s="233"/>
      <c r="D503" s="233"/>
      <c r="E503" s="770"/>
      <c r="F503" s="234"/>
      <c r="G503" s="234"/>
      <c r="H503" s="233"/>
      <c r="I503" s="233"/>
      <c r="J503" s="770"/>
      <c r="K503" s="233"/>
      <c r="L503" s="233"/>
      <c r="M503" s="233"/>
      <c r="N503" s="2460"/>
      <c r="O503" s="2460"/>
    </row>
    <row r="504" spans="3:15">
      <c r="C504" s="233"/>
      <c r="D504" s="233"/>
      <c r="E504" s="770"/>
      <c r="F504" s="234"/>
      <c r="G504" s="234"/>
      <c r="H504" s="233"/>
      <c r="I504" s="233"/>
      <c r="J504" s="770"/>
      <c r="K504" s="233"/>
      <c r="L504" s="233"/>
      <c r="M504" s="233"/>
      <c r="N504" s="2460"/>
      <c r="O504" s="2460"/>
    </row>
    <row r="505" spans="3:15">
      <c r="C505" s="233"/>
      <c r="D505" s="233"/>
      <c r="E505" s="770"/>
      <c r="F505" s="234"/>
      <c r="G505" s="234"/>
      <c r="H505" s="233"/>
      <c r="I505" s="233"/>
      <c r="J505" s="770"/>
      <c r="K505" s="233"/>
      <c r="L505" s="233"/>
      <c r="M505" s="233"/>
      <c r="N505" s="2460"/>
      <c r="O505" s="2460"/>
    </row>
    <row r="506" spans="3:15">
      <c r="C506" s="233"/>
      <c r="D506" s="233"/>
      <c r="E506" s="770"/>
      <c r="F506" s="234"/>
      <c r="G506" s="234"/>
      <c r="H506" s="233"/>
      <c r="I506" s="233"/>
      <c r="J506" s="770"/>
      <c r="K506" s="233"/>
      <c r="L506" s="233"/>
      <c r="M506" s="233"/>
      <c r="N506" s="2460"/>
      <c r="O506" s="2460"/>
    </row>
    <row r="507" spans="3:15">
      <c r="C507" s="233"/>
      <c r="D507" s="233"/>
      <c r="E507" s="770"/>
      <c r="F507" s="234"/>
      <c r="G507" s="234"/>
      <c r="H507" s="233"/>
      <c r="I507" s="233"/>
      <c r="J507" s="770"/>
      <c r="K507" s="233"/>
      <c r="L507" s="233"/>
      <c r="M507" s="233"/>
      <c r="N507" s="2460"/>
      <c r="O507" s="2460"/>
    </row>
    <row r="508" spans="3:15">
      <c r="C508" s="233"/>
      <c r="D508" s="233"/>
      <c r="E508" s="770"/>
      <c r="F508" s="234"/>
      <c r="G508" s="234"/>
      <c r="H508" s="233"/>
      <c r="I508" s="233"/>
      <c r="J508" s="770"/>
      <c r="K508" s="233"/>
      <c r="L508" s="233"/>
      <c r="M508" s="233"/>
      <c r="N508" s="2460"/>
      <c r="O508" s="2460"/>
    </row>
    <row r="509" spans="3:15">
      <c r="C509" s="233"/>
      <c r="D509" s="233"/>
      <c r="E509" s="770"/>
      <c r="F509" s="234"/>
      <c r="G509" s="234"/>
      <c r="H509" s="233"/>
      <c r="I509" s="233"/>
      <c r="J509" s="770"/>
      <c r="K509" s="233"/>
      <c r="L509" s="233"/>
      <c r="M509" s="233"/>
      <c r="N509" s="2460"/>
      <c r="O509" s="2460"/>
    </row>
    <row r="510" spans="3:15">
      <c r="C510" s="233"/>
      <c r="D510" s="233"/>
      <c r="E510" s="770"/>
      <c r="F510" s="234"/>
      <c r="G510" s="234"/>
      <c r="H510" s="233"/>
      <c r="I510" s="233"/>
      <c r="J510" s="770"/>
      <c r="K510" s="233"/>
      <c r="L510" s="233"/>
      <c r="M510" s="233"/>
      <c r="N510" s="2460"/>
      <c r="O510" s="2460"/>
    </row>
    <row r="511" spans="3:15">
      <c r="C511" s="233"/>
      <c r="D511" s="233"/>
      <c r="E511" s="770"/>
      <c r="F511" s="234"/>
      <c r="G511" s="234"/>
      <c r="H511" s="233"/>
      <c r="I511" s="233"/>
      <c r="J511" s="770"/>
      <c r="K511" s="233"/>
      <c r="L511" s="233"/>
      <c r="M511" s="233"/>
      <c r="N511" s="2460"/>
      <c r="O511" s="2460"/>
    </row>
    <row r="512" spans="3:15">
      <c r="C512" s="233"/>
      <c r="D512" s="233"/>
      <c r="E512" s="770"/>
      <c r="F512" s="234"/>
      <c r="G512" s="234"/>
      <c r="H512" s="233"/>
      <c r="I512" s="233"/>
      <c r="J512" s="770"/>
      <c r="K512" s="233"/>
      <c r="L512" s="233"/>
      <c r="M512" s="233"/>
      <c r="N512" s="2460"/>
      <c r="O512" s="2460"/>
    </row>
    <row r="513" spans="3:15">
      <c r="C513" s="233"/>
      <c r="D513" s="233"/>
      <c r="E513" s="770"/>
      <c r="F513" s="234"/>
      <c r="G513" s="234"/>
      <c r="H513" s="233"/>
      <c r="I513" s="233"/>
      <c r="J513" s="770"/>
      <c r="K513" s="233"/>
      <c r="L513" s="233"/>
      <c r="M513" s="233"/>
      <c r="N513" s="2460"/>
      <c r="O513" s="2460"/>
    </row>
    <row r="514" spans="3:15">
      <c r="C514" s="233"/>
      <c r="D514" s="233"/>
      <c r="E514" s="770"/>
      <c r="F514" s="234"/>
      <c r="G514" s="234"/>
      <c r="H514" s="233"/>
      <c r="I514" s="233"/>
      <c r="J514" s="770"/>
      <c r="K514" s="233"/>
      <c r="L514" s="233"/>
      <c r="M514" s="233"/>
      <c r="N514" s="2460"/>
      <c r="O514" s="2460"/>
    </row>
    <row r="515" spans="3:15">
      <c r="C515" s="233"/>
      <c r="D515" s="233"/>
      <c r="E515" s="770"/>
      <c r="F515" s="234"/>
      <c r="G515" s="234"/>
      <c r="H515" s="233"/>
      <c r="I515" s="233"/>
      <c r="J515" s="770"/>
      <c r="K515" s="233"/>
      <c r="L515" s="233"/>
      <c r="M515" s="233"/>
      <c r="N515" s="2460"/>
      <c r="O515" s="2460"/>
    </row>
    <row r="516" spans="3:15">
      <c r="C516" s="233"/>
      <c r="D516" s="233"/>
      <c r="E516" s="770"/>
      <c r="F516" s="234"/>
      <c r="G516" s="234"/>
      <c r="H516" s="233"/>
      <c r="I516" s="233"/>
      <c r="J516" s="770"/>
      <c r="K516" s="233"/>
      <c r="L516" s="233"/>
      <c r="M516" s="233"/>
      <c r="N516" s="2460"/>
      <c r="O516" s="2460"/>
    </row>
    <row r="517" spans="3:15">
      <c r="C517" s="233"/>
      <c r="D517" s="233"/>
      <c r="E517" s="770"/>
      <c r="F517" s="234"/>
      <c r="G517" s="234"/>
      <c r="H517" s="233"/>
      <c r="I517" s="233"/>
      <c r="J517" s="770"/>
      <c r="K517" s="233"/>
      <c r="L517" s="233"/>
      <c r="M517" s="233"/>
      <c r="N517" s="2460"/>
      <c r="O517" s="2460"/>
    </row>
    <row r="518" spans="3:15">
      <c r="C518" s="233"/>
      <c r="D518" s="233"/>
      <c r="E518" s="770"/>
      <c r="F518" s="234"/>
      <c r="G518" s="234"/>
      <c r="H518" s="233"/>
      <c r="I518" s="233"/>
      <c r="J518" s="770"/>
      <c r="K518" s="233"/>
      <c r="L518" s="233"/>
      <c r="M518" s="233"/>
      <c r="N518" s="2460"/>
      <c r="O518" s="2460"/>
    </row>
    <row r="519" spans="3:15">
      <c r="C519" s="233"/>
      <c r="D519" s="233"/>
      <c r="E519" s="770"/>
      <c r="F519" s="234"/>
      <c r="G519" s="234"/>
      <c r="H519" s="233"/>
      <c r="I519" s="233"/>
      <c r="J519" s="770"/>
      <c r="K519" s="233"/>
      <c r="L519" s="233"/>
      <c r="M519" s="233"/>
      <c r="N519" s="2460"/>
      <c r="O519" s="2460"/>
    </row>
    <row r="520" spans="3:15">
      <c r="C520" s="233"/>
      <c r="D520" s="233"/>
      <c r="E520" s="770"/>
      <c r="F520" s="234"/>
      <c r="G520" s="234"/>
      <c r="H520" s="233"/>
      <c r="I520" s="233"/>
      <c r="J520" s="770"/>
      <c r="K520" s="233"/>
      <c r="L520" s="233"/>
      <c r="M520" s="233"/>
      <c r="N520" s="2460"/>
      <c r="O520" s="2460"/>
    </row>
    <row r="521" spans="3:15">
      <c r="C521" s="233"/>
      <c r="D521" s="233"/>
      <c r="E521" s="770"/>
      <c r="F521" s="234"/>
      <c r="G521" s="234"/>
      <c r="H521" s="233"/>
      <c r="I521" s="233"/>
      <c r="J521" s="770"/>
      <c r="K521" s="233"/>
      <c r="L521" s="233"/>
      <c r="M521" s="233"/>
      <c r="N521" s="2460"/>
      <c r="O521" s="2460"/>
    </row>
    <row r="522" spans="3:15">
      <c r="C522" s="233"/>
      <c r="D522" s="233"/>
      <c r="E522" s="770"/>
      <c r="F522" s="234"/>
      <c r="G522" s="234"/>
      <c r="H522" s="233"/>
      <c r="I522" s="233"/>
      <c r="J522" s="770"/>
      <c r="K522" s="233"/>
      <c r="L522" s="233"/>
      <c r="M522" s="233"/>
      <c r="N522" s="2460"/>
      <c r="O522" s="2460"/>
    </row>
    <row r="523" spans="3:15">
      <c r="C523" s="233"/>
      <c r="D523" s="233"/>
      <c r="E523" s="770"/>
      <c r="F523" s="234"/>
      <c r="G523" s="234"/>
      <c r="H523" s="233"/>
      <c r="I523" s="233"/>
      <c r="J523" s="770"/>
      <c r="K523" s="233"/>
      <c r="L523" s="233"/>
      <c r="M523" s="233"/>
      <c r="N523" s="2460"/>
      <c r="O523" s="2460"/>
    </row>
    <row r="524" spans="3:15">
      <c r="C524" s="233"/>
      <c r="D524" s="233"/>
      <c r="E524" s="770"/>
      <c r="F524" s="234"/>
      <c r="G524" s="234"/>
      <c r="H524" s="233"/>
      <c r="I524" s="233"/>
      <c r="J524" s="770"/>
      <c r="K524" s="233"/>
      <c r="L524" s="233"/>
      <c r="M524" s="233"/>
      <c r="N524" s="2460"/>
      <c r="O524" s="2460"/>
    </row>
    <row r="525" spans="3:15">
      <c r="C525" s="233"/>
      <c r="D525" s="233"/>
      <c r="E525" s="770"/>
      <c r="F525" s="234"/>
      <c r="G525" s="234"/>
      <c r="H525" s="233"/>
      <c r="I525" s="233"/>
      <c r="J525" s="770"/>
      <c r="K525" s="233"/>
      <c r="L525" s="233"/>
      <c r="M525" s="233"/>
      <c r="N525" s="2460"/>
      <c r="O525" s="2460"/>
    </row>
    <row r="526" spans="3:15">
      <c r="C526" s="233"/>
      <c r="D526" s="233"/>
      <c r="E526" s="770"/>
      <c r="F526" s="234"/>
      <c r="G526" s="234"/>
      <c r="H526" s="233"/>
      <c r="I526" s="233"/>
      <c r="J526" s="770"/>
      <c r="K526" s="233"/>
      <c r="L526" s="233"/>
      <c r="M526" s="233"/>
      <c r="N526" s="2460"/>
      <c r="O526" s="2460"/>
    </row>
    <row r="527" spans="3:15">
      <c r="C527" s="233"/>
      <c r="D527" s="233"/>
      <c r="E527" s="770"/>
      <c r="F527" s="234"/>
      <c r="G527" s="234"/>
      <c r="H527" s="233"/>
      <c r="I527" s="233"/>
      <c r="J527" s="770"/>
      <c r="K527" s="233"/>
      <c r="L527" s="233"/>
      <c r="M527" s="233"/>
      <c r="N527" s="2460"/>
      <c r="O527" s="2460"/>
    </row>
    <row r="528" spans="3:15">
      <c r="C528" s="233"/>
      <c r="D528" s="233"/>
      <c r="E528" s="770"/>
      <c r="F528" s="234"/>
      <c r="G528" s="234"/>
      <c r="H528" s="233"/>
      <c r="I528" s="233"/>
      <c r="J528" s="770"/>
      <c r="K528" s="233"/>
      <c r="L528" s="233"/>
      <c r="M528" s="233"/>
      <c r="N528" s="2460"/>
      <c r="O528" s="2460"/>
    </row>
    <row r="529" spans="3:15">
      <c r="C529" s="233"/>
      <c r="D529" s="233"/>
      <c r="E529" s="770"/>
      <c r="F529" s="234"/>
      <c r="G529" s="234"/>
      <c r="H529" s="233"/>
      <c r="I529" s="233"/>
      <c r="J529" s="770"/>
      <c r="K529" s="233"/>
      <c r="L529" s="233"/>
      <c r="M529" s="233"/>
      <c r="N529" s="2460"/>
      <c r="O529" s="2460"/>
    </row>
    <row r="530" spans="3:15">
      <c r="C530" s="233"/>
      <c r="D530" s="233"/>
      <c r="E530" s="770"/>
      <c r="F530" s="234"/>
      <c r="G530" s="234"/>
      <c r="H530" s="233"/>
      <c r="I530" s="233"/>
      <c r="J530" s="770"/>
      <c r="K530" s="233"/>
      <c r="L530" s="233"/>
      <c r="M530" s="233"/>
      <c r="N530" s="2460"/>
      <c r="O530" s="2460"/>
    </row>
    <row r="531" spans="3:15">
      <c r="C531" s="233"/>
      <c r="D531" s="233"/>
      <c r="E531" s="770"/>
      <c r="F531" s="234"/>
      <c r="G531" s="234"/>
      <c r="H531" s="233"/>
      <c r="I531" s="233"/>
      <c r="J531" s="770"/>
      <c r="K531" s="233"/>
      <c r="L531" s="233"/>
      <c r="M531" s="233"/>
      <c r="N531" s="2460"/>
      <c r="O531" s="2460"/>
    </row>
    <row r="532" spans="3:15">
      <c r="C532" s="233"/>
      <c r="D532" s="233"/>
      <c r="E532" s="770"/>
      <c r="F532" s="234"/>
      <c r="G532" s="234"/>
      <c r="H532" s="233"/>
      <c r="I532" s="233"/>
      <c r="J532" s="770"/>
      <c r="K532" s="233"/>
      <c r="L532" s="233"/>
      <c r="M532" s="233"/>
      <c r="N532" s="2460"/>
      <c r="O532" s="2460"/>
    </row>
    <row r="533" spans="3:15">
      <c r="C533" s="233"/>
      <c r="D533" s="233"/>
      <c r="E533" s="770"/>
      <c r="F533" s="234"/>
      <c r="G533" s="234"/>
      <c r="H533" s="233"/>
      <c r="I533" s="233"/>
      <c r="J533" s="770"/>
      <c r="K533" s="233"/>
      <c r="L533" s="233"/>
      <c r="M533" s="233"/>
      <c r="N533" s="2460"/>
      <c r="O533" s="2460"/>
    </row>
    <row r="534" spans="3:15">
      <c r="C534" s="233"/>
      <c r="D534" s="233"/>
      <c r="E534" s="770"/>
      <c r="F534" s="234"/>
      <c r="G534" s="234"/>
      <c r="H534" s="233"/>
      <c r="I534" s="233"/>
      <c r="J534" s="770"/>
      <c r="K534" s="233"/>
      <c r="L534" s="233"/>
      <c r="M534" s="233"/>
      <c r="N534" s="2460"/>
      <c r="O534" s="2460"/>
    </row>
    <row r="535" spans="3:15">
      <c r="C535" s="233"/>
      <c r="D535" s="233"/>
      <c r="E535" s="770"/>
      <c r="F535" s="234"/>
      <c r="G535" s="234"/>
      <c r="H535" s="233"/>
      <c r="I535" s="233"/>
      <c r="J535" s="770"/>
      <c r="K535" s="233"/>
      <c r="L535" s="233"/>
      <c r="M535" s="233"/>
      <c r="N535" s="2460"/>
      <c r="O535" s="2460"/>
    </row>
    <row r="536" spans="3:15">
      <c r="C536" s="233"/>
      <c r="D536" s="233"/>
      <c r="E536" s="770"/>
      <c r="F536" s="234"/>
      <c r="G536" s="234"/>
      <c r="H536" s="233"/>
      <c r="I536" s="233"/>
      <c r="J536" s="770"/>
      <c r="K536" s="233"/>
      <c r="L536" s="233"/>
      <c r="M536" s="233"/>
      <c r="N536" s="2460"/>
      <c r="O536" s="2460"/>
    </row>
    <row r="537" spans="3:15">
      <c r="C537" s="233"/>
      <c r="D537" s="233"/>
      <c r="E537" s="770"/>
      <c r="F537" s="234"/>
      <c r="G537" s="234"/>
      <c r="H537" s="233"/>
      <c r="I537" s="233"/>
      <c r="J537" s="770"/>
      <c r="K537" s="233"/>
      <c r="L537" s="233"/>
      <c r="M537" s="233"/>
      <c r="N537" s="2460"/>
      <c r="O537" s="2460"/>
    </row>
    <row r="538" spans="3:15">
      <c r="C538" s="233"/>
      <c r="D538" s="233"/>
      <c r="E538" s="770"/>
      <c r="F538" s="234"/>
      <c r="G538" s="234"/>
      <c r="H538" s="233"/>
      <c r="I538" s="233"/>
      <c r="J538" s="770"/>
      <c r="K538" s="233"/>
      <c r="L538" s="233"/>
      <c r="M538" s="233"/>
      <c r="N538" s="2460"/>
      <c r="O538" s="2460"/>
    </row>
    <row r="539" spans="3:15">
      <c r="C539" s="233"/>
      <c r="D539" s="233"/>
      <c r="E539" s="770"/>
      <c r="F539" s="234"/>
      <c r="G539" s="234"/>
      <c r="H539" s="233"/>
      <c r="I539" s="233"/>
      <c r="J539" s="770"/>
      <c r="K539" s="233"/>
      <c r="L539" s="233"/>
      <c r="M539" s="233"/>
      <c r="N539" s="2460"/>
      <c r="O539" s="2460"/>
    </row>
    <row r="540" spans="3:15">
      <c r="C540" s="233"/>
      <c r="D540" s="233"/>
      <c r="E540" s="770"/>
      <c r="F540" s="234"/>
      <c r="G540" s="234"/>
      <c r="H540" s="233"/>
      <c r="I540" s="233"/>
      <c r="J540" s="770"/>
      <c r="K540" s="233"/>
      <c r="L540" s="233"/>
      <c r="M540" s="233"/>
      <c r="N540" s="2460"/>
      <c r="O540" s="2460"/>
    </row>
    <row r="541" spans="3:15">
      <c r="C541" s="233"/>
      <c r="D541" s="233"/>
      <c r="E541" s="770"/>
      <c r="F541" s="234"/>
      <c r="G541" s="234"/>
      <c r="H541" s="233"/>
      <c r="I541" s="233"/>
      <c r="J541" s="770"/>
      <c r="K541" s="233"/>
      <c r="L541" s="233"/>
      <c r="M541" s="233"/>
      <c r="N541" s="2460"/>
      <c r="O541" s="2460"/>
    </row>
    <row r="542" spans="3:15">
      <c r="C542" s="233"/>
      <c r="D542" s="233"/>
      <c r="E542" s="770"/>
      <c r="F542" s="234"/>
      <c r="G542" s="234"/>
      <c r="H542" s="233"/>
      <c r="I542" s="233"/>
      <c r="J542" s="770"/>
      <c r="K542" s="233"/>
      <c r="L542" s="233"/>
      <c r="M542" s="233"/>
      <c r="N542" s="2460"/>
      <c r="O542" s="2460"/>
    </row>
    <row r="543" spans="3:15">
      <c r="C543" s="233"/>
      <c r="D543" s="233"/>
      <c r="E543" s="770"/>
      <c r="F543" s="234"/>
      <c r="G543" s="234"/>
      <c r="H543" s="233"/>
      <c r="I543" s="233"/>
      <c r="J543" s="770"/>
      <c r="K543" s="233"/>
      <c r="L543" s="233"/>
      <c r="M543" s="233"/>
      <c r="N543" s="2460"/>
      <c r="O543" s="2460"/>
    </row>
    <row r="544" spans="3:15">
      <c r="C544" s="233"/>
      <c r="D544" s="233"/>
      <c r="E544" s="770"/>
      <c r="F544" s="234"/>
      <c r="G544" s="234"/>
      <c r="H544" s="233"/>
      <c r="I544" s="233"/>
      <c r="J544" s="770"/>
      <c r="K544" s="233"/>
      <c r="L544" s="233"/>
      <c r="M544" s="233"/>
      <c r="N544" s="2460"/>
      <c r="O544" s="2460"/>
    </row>
    <row r="545" spans="3:15">
      <c r="C545" s="233"/>
      <c r="D545" s="233"/>
      <c r="E545" s="770"/>
      <c r="F545" s="234"/>
      <c r="G545" s="234"/>
      <c r="H545" s="233"/>
      <c r="I545" s="233"/>
      <c r="J545" s="770"/>
      <c r="K545" s="233"/>
      <c r="L545" s="233"/>
      <c r="M545" s="233"/>
      <c r="N545" s="2460"/>
      <c r="O545" s="2460"/>
    </row>
    <row r="546" spans="3:15">
      <c r="C546" s="233"/>
      <c r="D546" s="233"/>
      <c r="E546" s="770"/>
      <c r="F546" s="234"/>
      <c r="G546" s="234"/>
      <c r="H546" s="233"/>
      <c r="I546" s="233"/>
      <c r="J546" s="770"/>
      <c r="K546" s="233"/>
      <c r="L546" s="233"/>
      <c r="M546" s="233"/>
      <c r="N546" s="2460"/>
      <c r="O546" s="2460"/>
    </row>
    <row r="547" spans="3:15">
      <c r="C547" s="233"/>
      <c r="D547" s="233"/>
      <c r="E547" s="770"/>
      <c r="F547" s="234"/>
      <c r="G547" s="234"/>
      <c r="H547" s="233"/>
      <c r="I547" s="233"/>
      <c r="J547" s="770"/>
      <c r="K547" s="233"/>
      <c r="L547" s="233"/>
      <c r="M547" s="233"/>
      <c r="N547" s="2460"/>
      <c r="O547" s="2460"/>
    </row>
    <row r="548" spans="3:15">
      <c r="C548" s="233"/>
      <c r="D548" s="233"/>
      <c r="E548" s="770"/>
      <c r="F548" s="234"/>
      <c r="G548" s="234"/>
      <c r="H548" s="233"/>
      <c r="I548" s="233"/>
      <c r="J548" s="770"/>
      <c r="K548" s="233"/>
      <c r="L548" s="233"/>
      <c r="M548" s="233"/>
      <c r="N548" s="2460"/>
      <c r="O548" s="2460"/>
    </row>
    <row r="549" spans="3:15">
      <c r="C549" s="233"/>
      <c r="D549" s="233"/>
      <c r="E549" s="770"/>
      <c r="F549" s="234"/>
      <c r="G549" s="234"/>
      <c r="H549" s="233"/>
      <c r="I549" s="233"/>
      <c r="J549" s="770"/>
      <c r="K549" s="233"/>
      <c r="L549" s="233"/>
      <c r="M549" s="233"/>
      <c r="N549" s="2460"/>
      <c r="O549" s="2460"/>
    </row>
    <row r="550" spans="3:15">
      <c r="C550" s="233"/>
      <c r="D550" s="233"/>
      <c r="E550" s="770"/>
      <c r="F550" s="234"/>
      <c r="G550" s="234"/>
      <c r="H550" s="233"/>
      <c r="I550" s="233"/>
      <c r="J550" s="770"/>
      <c r="K550" s="233"/>
      <c r="L550" s="233"/>
      <c r="M550" s="233"/>
      <c r="N550" s="2460"/>
      <c r="O550" s="2460"/>
    </row>
    <row r="551" spans="3:15">
      <c r="C551" s="233"/>
      <c r="D551" s="233"/>
      <c r="E551" s="770"/>
      <c r="F551" s="234"/>
      <c r="G551" s="234"/>
      <c r="H551" s="233"/>
      <c r="I551" s="233"/>
      <c r="J551" s="770"/>
      <c r="K551" s="233"/>
      <c r="L551" s="233"/>
      <c r="M551" s="233"/>
      <c r="N551" s="2460"/>
      <c r="O551" s="2460"/>
    </row>
    <row r="552" spans="3:15">
      <c r="C552" s="233"/>
      <c r="D552" s="233"/>
      <c r="E552" s="770"/>
      <c r="F552" s="234"/>
      <c r="G552" s="234"/>
      <c r="H552" s="233"/>
      <c r="I552" s="233"/>
      <c r="J552" s="770"/>
      <c r="K552" s="233"/>
      <c r="L552" s="233"/>
      <c r="M552" s="233"/>
      <c r="N552" s="2460"/>
      <c r="O552" s="2460"/>
    </row>
    <row r="553" spans="3:15">
      <c r="C553" s="233"/>
      <c r="D553" s="233"/>
      <c r="E553" s="770"/>
      <c r="F553" s="234"/>
      <c r="G553" s="234"/>
      <c r="H553" s="233"/>
      <c r="I553" s="233"/>
      <c r="J553" s="770"/>
      <c r="K553" s="233"/>
      <c r="L553" s="233"/>
      <c r="M553" s="233"/>
      <c r="N553" s="2460"/>
      <c r="O553" s="2460"/>
    </row>
    <row r="554" spans="3:15">
      <c r="C554" s="233"/>
      <c r="D554" s="233"/>
      <c r="E554" s="770"/>
      <c r="F554" s="234"/>
      <c r="G554" s="234"/>
      <c r="H554" s="233"/>
      <c r="I554" s="233"/>
      <c r="J554" s="770"/>
      <c r="K554" s="233"/>
      <c r="L554" s="233"/>
      <c r="M554" s="233"/>
      <c r="N554" s="2460"/>
      <c r="O554" s="2460"/>
    </row>
    <row r="555" spans="3:15">
      <c r="C555" s="233"/>
      <c r="D555" s="233"/>
      <c r="E555" s="770"/>
      <c r="F555" s="234"/>
      <c r="G555" s="234"/>
      <c r="H555" s="233"/>
      <c r="I555" s="233"/>
      <c r="J555" s="770"/>
      <c r="K555" s="233"/>
      <c r="L555" s="233"/>
      <c r="M555" s="233"/>
      <c r="N555" s="2460"/>
      <c r="O555" s="2460"/>
    </row>
    <row r="556" spans="3:15">
      <c r="C556" s="233"/>
      <c r="D556" s="233"/>
      <c r="E556" s="770"/>
      <c r="F556" s="234"/>
      <c r="G556" s="234"/>
      <c r="H556" s="233"/>
      <c r="I556" s="233"/>
      <c r="J556" s="770"/>
      <c r="K556" s="233"/>
      <c r="L556" s="233"/>
      <c r="M556" s="233"/>
      <c r="N556" s="2460"/>
      <c r="O556" s="2460"/>
    </row>
    <row r="557" spans="3:15">
      <c r="C557" s="233"/>
      <c r="D557" s="233"/>
      <c r="E557" s="770"/>
      <c r="F557" s="234"/>
      <c r="G557" s="234"/>
      <c r="H557" s="233"/>
      <c r="I557" s="233"/>
      <c r="J557" s="770"/>
      <c r="K557" s="233"/>
      <c r="L557" s="233"/>
      <c r="M557" s="233"/>
      <c r="N557" s="2460"/>
      <c r="O557" s="2460"/>
    </row>
    <row r="558" spans="3:15">
      <c r="C558" s="233"/>
      <c r="D558" s="233"/>
      <c r="E558" s="770"/>
      <c r="F558" s="234"/>
      <c r="G558" s="234"/>
      <c r="H558" s="233"/>
      <c r="I558" s="233"/>
      <c r="J558" s="770"/>
      <c r="K558" s="233"/>
      <c r="L558" s="233"/>
      <c r="M558" s="233"/>
      <c r="N558" s="2460"/>
      <c r="O558" s="2460"/>
    </row>
    <row r="559" spans="3:15">
      <c r="C559" s="233"/>
      <c r="D559" s="233"/>
      <c r="E559" s="770"/>
      <c r="F559" s="234"/>
      <c r="G559" s="234"/>
      <c r="H559" s="233"/>
      <c r="I559" s="233"/>
      <c r="J559" s="770"/>
      <c r="K559" s="233"/>
      <c r="L559" s="233"/>
      <c r="M559" s="233"/>
      <c r="N559" s="2460"/>
      <c r="O559" s="2460"/>
    </row>
    <row r="560" spans="3:15">
      <c r="C560" s="233"/>
      <c r="D560" s="233"/>
      <c r="E560" s="770"/>
      <c r="F560" s="234"/>
      <c r="G560" s="234"/>
      <c r="H560" s="233"/>
      <c r="I560" s="233"/>
      <c r="J560" s="770"/>
      <c r="K560" s="233"/>
      <c r="L560" s="233"/>
      <c r="M560" s="233"/>
      <c r="N560" s="2460"/>
      <c r="O560" s="2460"/>
    </row>
    <row r="561" spans="3:15">
      <c r="C561" s="233"/>
      <c r="D561" s="233"/>
      <c r="E561" s="770"/>
      <c r="F561" s="234"/>
      <c r="G561" s="234"/>
      <c r="H561" s="233"/>
      <c r="I561" s="233"/>
      <c r="J561" s="770"/>
      <c r="K561" s="233"/>
      <c r="L561" s="233"/>
      <c r="M561" s="233"/>
      <c r="N561" s="2460"/>
      <c r="O561" s="2460"/>
    </row>
    <row r="562" spans="3:15">
      <c r="C562" s="233"/>
      <c r="D562" s="233"/>
      <c r="E562" s="770"/>
      <c r="F562" s="234"/>
      <c r="G562" s="234"/>
      <c r="H562" s="233"/>
      <c r="I562" s="233"/>
      <c r="J562" s="770"/>
      <c r="K562" s="233"/>
      <c r="L562" s="233"/>
      <c r="M562" s="233"/>
      <c r="N562" s="2460"/>
      <c r="O562" s="2460"/>
    </row>
    <row r="563" spans="3:15">
      <c r="C563" s="233"/>
      <c r="D563" s="233"/>
      <c r="E563" s="770"/>
      <c r="F563" s="234"/>
      <c r="G563" s="234"/>
      <c r="H563" s="233"/>
      <c r="I563" s="233"/>
      <c r="J563" s="770"/>
      <c r="K563" s="233"/>
      <c r="L563" s="233"/>
      <c r="M563" s="233"/>
      <c r="N563" s="2460"/>
      <c r="O563" s="2460"/>
    </row>
    <row r="564" spans="3:15">
      <c r="C564" s="233"/>
      <c r="D564" s="233"/>
      <c r="E564" s="770"/>
      <c r="F564" s="234"/>
      <c r="G564" s="234"/>
      <c r="H564" s="233"/>
      <c r="I564" s="233"/>
      <c r="J564" s="770"/>
      <c r="K564" s="233"/>
      <c r="L564" s="233"/>
      <c r="M564" s="233"/>
      <c r="N564" s="2460"/>
      <c r="O564" s="2460"/>
    </row>
    <row r="565" spans="3:15">
      <c r="C565" s="233"/>
      <c r="D565" s="233"/>
      <c r="E565" s="770"/>
      <c r="F565" s="234"/>
      <c r="G565" s="234"/>
      <c r="H565" s="233"/>
      <c r="I565" s="233"/>
      <c r="J565" s="770"/>
      <c r="K565" s="233"/>
      <c r="L565" s="233"/>
      <c r="M565" s="233"/>
      <c r="N565" s="2460"/>
      <c r="O565" s="2460"/>
    </row>
    <row r="566" spans="3:15">
      <c r="C566" s="233"/>
      <c r="D566" s="233"/>
      <c r="E566" s="770"/>
      <c r="F566" s="234"/>
      <c r="G566" s="234"/>
      <c r="H566" s="233"/>
      <c r="I566" s="233"/>
      <c r="J566" s="770"/>
      <c r="K566" s="233"/>
      <c r="L566" s="233"/>
      <c r="M566" s="233"/>
      <c r="N566" s="2460"/>
      <c r="O566" s="2460"/>
    </row>
    <row r="567" spans="3:15">
      <c r="C567" s="233"/>
      <c r="D567" s="233"/>
      <c r="E567" s="770"/>
      <c r="F567" s="234"/>
      <c r="G567" s="234"/>
      <c r="H567" s="233"/>
      <c r="I567" s="233"/>
      <c r="J567" s="770"/>
      <c r="K567" s="233"/>
      <c r="L567" s="233"/>
      <c r="M567" s="233"/>
      <c r="N567" s="2460"/>
      <c r="O567" s="2460"/>
    </row>
    <row r="568" spans="3:15">
      <c r="C568" s="233"/>
      <c r="D568" s="233"/>
      <c r="E568" s="770"/>
      <c r="F568" s="234"/>
      <c r="G568" s="234"/>
      <c r="H568" s="233"/>
      <c r="I568" s="233"/>
      <c r="J568" s="770"/>
      <c r="K568" s="233"/>
      <c r="L568" s="233"/>
      <c r="M568" s="233"/>
      <c r="N568" s="2460"/>
      <c r="O568" s="2460"/>
    </row>
    <row r="569" spans="3:15">
      <c r="C569" s="233"/>
      <c r="D569" s="233"/>
      <c r="E569" s="770"/>
      <c r="F569" s="234"/>
      <c r="G569" s="234"/>
      <c r="H569" s="233"/>
      <c r="I569" s="233"/>
      <c r="J569" s="770"/>
      <c r="K569" s="233"/>
      <c r="L569" s="233"/>
      <c r="M569" s="233"/>
      <c r="N569" s="2460"/>
      <c r="O569" s="2460"/>
    </row>
    <row r="570" spans="3:15">
      <c r="C570" s="233"/>
      <c r="D570" s="233"/>
      <c r="E570" s="770"/>
      <c r="F570" s="234"/>
      <c r="G570" s="234"/>
      <c r="H570" s="233"/>
      <c r="I570" s="233"/>
      <c r="J570" s="770"/>
      <c r="K570" s="233"/>
      <c r="L570" s="233"/>
      <c r="M570" s="233"/>
      <c r="N570" s="2460"/>
      <c r="O570" s="2460"/>
    </row>
    <row r="571" spans="3:15">
      <c r="C571" s="233"/>
      <c r="D571" s="233"/>
      <c r="E571" s="770"/>
      <c r="F571" s="234"/>
      <c r="G571" s="234"/>
      <c r="H571" s="233"/>
      <c r="I571" s="233"/>
      <c r="J571" s="770"/>
      <c r="K571" s="233"/>
      <c r="L571" s="233"/>
      <c r="M571" s="233"/>
      <c r="N571" s="2460"/>
      <c r="O571" s="2460"/>
    </row>
    <row r="572" spans="3:15">
      <c r="C572" s="233"/>
      <c r="D572" s="233"/>
      <c r="E572" s="770"/>
      <c r="F572" s="234"/>
      <c r="G572" s="234"/>
      <c r="H572" s="233"/>
      <c r="I572" s="233"/>
      <c r="J572" s="770"/>
      <c r="K572" s="233"/>
      <c r="L572" s="233"/>
      <c r="M572" s="233"/>
      <c r="N572" s="2460"/>
      <c r="O572" s="2460"/>
    </row>
    <row r="573" spans="3:15">
      <c r="C573" s="233"/>
      <c r="D573" s="233"/>
      <c r="E573" s="770"/>
      <c r="F573" s="234"/>
      <c r="G573" s="234"/>
      <c r="H573" s="233"/>
      <c r="I573" s="233"/>
      <c r="J573" s="770"/>
      <c r="K573" s="233"/>
      <c r="L573" s="233"/>
      <c r="M573" s="233"/>
      <c r="N573" s="2460"/>
      <c r="O573" s="2460"/>
    </row>
    <row r="574" spans="3:15">
      <c r="C574" s="233"/>
      <c r="D574" s="233"/>
      <c r="E574" s="770"/>
      <c r="F574" s="234"/>
      <c r="G574" s="234"/>
      <c r="H574" s="233"/>
      <c r="I574" s="233"/>
      <c r="J574" s="770"/>
      <c r="K574" s="233"/>
      <c r="L574" s="233"/>
      <c r="M574" s="233"/>
      <c r="N574" s="2460"/>
      <c r="O574" s="2460"/>
    </row>
    <row r="575" spans="3:15">
      <c r="C575" s="233"/>
      <c r="D575" s="233"/>
      <c r="E575" s="770"/>
      <c r="F575" s="234"/>
      <c r="G575" s="234"/>
      <c r="H575" s="233"/>
      <c r="I575" s="233"/>
      <c r="J575" s="770"/>
      <c r="K575" s="233"/>
      <c r="L575" s="233"/>
      <c r="M575" s="233"/>
      <c r="N575" s="2460"/>
      <c r="O575" s="2460"/>
    </row>
    <row r="576" spans="3:15">
      <c r="C576" s="233"/>
      <c r="D576" s="233"/>
      <c r="E576" s="770"/>
      <c r="F576" s="234"/>
      <c r="G576" s="234"/>
      <c r="H576" s="233"/>
      <c r="I576" s="233"/>
      <c r="J576" s="770"/>
      <c r="K576" s="233"/>
      <c r="L576" s="233"/>
      <c r="M576" s="233"/>
      <c r="N576" s="2460"/>
      <c r="O576" s="2460"/>
    </row>
    <row r="577" spans="3:15">
      <c r="C577" s="233"/>
      <c r="D577" s="233"/>
      <c r="E577" s="770"/>
      <c r="F577" s="234"/>
      <c r="G577" s="234"/>
      <c r="H577" s="233"/>
      <c r="I577" s="233"/>
      <c r="J577" s="770"/>
      <c r="K577" s="233"/>
      <c r="L577" s="233"/>
      <c r="M577" s="233"/>
      <c r="N577" s="2460"/>
      <c r="O577" s="2460"/>
    </row>
    <row r="578" spans="3:15">
      <c r="C578" s="233"/>
      <c r="D578" s="233"/>
      <c r="E578" s="770"/>
      <c r="F578" s="234"/>
      <c r="G578" s="234"/>
      <c r="H578" s="233"/>
      <c r="I578" s="233"/>
      <c r="J578" s="770"/>
      <c r="K578" s="233"/>
      <c r="L578" s="233"/>
      <c r="M578" s="233"/>
      <c r="N578" s="2460"/>
      <c r="O578" s="2460"/>
    </row>
    <row r="579" spans="3:15">
      <c r="C579" s="233"/>
      <c r="D579" s="233"/>
      <c r="E579" s="770"/>
      <c r="F579" s="234"/>
      <c r="G579" s="234"/>
      <c r="H579" s="233"/>
      <c r="I579" s="233"/>
      <c r="J579" s="770"/>
      <c r="K579" s="233"/>
      <c r="L579" s="233"/>
      <c r="M579" s="233"/>
      <c r="N579" s="2460"/>
      <c r="O579" s="2460"/>
    </row>
    <row r="580" spans="3:15">
      <c r="C580" s="233"/>
      <c r="D580" s="233"/>
      <c r="E580" s="770"/>
      <c r="F580" s="234"/>
      <c r="G580" s="234"/>
      <c r="H580" s="233"/>
      <c r="I580" s="233"/>
      <c r="J580" s="770"/>
      <c r="K580" s="233"/>
      <c r="L580" s="233"/>
      <c r="M580" s="233"/>
      <c r="N580" s="2460"/>
      <c r="O580" s="2460"/>
    </row>
    <row r="581" spans="3:15">
      <c r="C581" s="233"/>
      <c r="D581" s="233"/>
      <c r="E581" s="770"/>
      <c r="F581" s="234"/>
      <c r="G581" s="234"/>
      <c r="H581" s="233"/>
      <c r="I581" s="233"/>
      <c r="J581" s="770"/>
      <c r="K581" s="233"/>
      <c r="L581" s="233"/>
      <c r="M581" s="233"/>
      <c r="N581" s="2460"/>
      <c r="O581" s="2460"/>
    </row>
    <row r="582" spans="3:15">
      <c r="C582" s="233"/>
      <c r="D582" s="233"/>
      <c r="E582" s="770"/>
      <c r="F582" s="234"/>
      <c r="G582" s="234"/>
      <c r="H582" s="233"/>
      <c r="I582" s="233"/>
      <c r="J582" s="770"/>
      <c r="K582" s="233"/>
      <c r="L582" s="233"/>
      <c r="M582" s="233"/>
      <c r="N582" s="2460"/>
      <c r="O582" s="2460"/>
    </row>
    <row r="583" spans="3:15">
      <c r="C583" s="233"/>
      <c r="D583" s="233"/>
      <c r="E583" s="770"/>
      <c r="F583" s="234"/>
      <c r="G583" s="234"/>
      <c r="H583" s="233"/>
      <c r="I583" s="233"/>
      <c r="J583" s="770"/>
      <c r="K583" s="233"/>
      <c r="L583" s="233"/>
      <c r="M583" s="233"/>
      <c r="N583" s="2460"/>
      <c r="O583" s="2460"/>
    </row>
    <row r="584" spans="3:15">
      <c r="C584" s="233"/>
      <c r="D584" s="233"/>
      <c r="E584" s="770"/>
      <c r="F584" s="234"/>
      <c r="G584" s="234"/>
      <c r="H584" s="233"/>
      <c r="I584" s="233"/>
      <c r="J584" s="770"/>
      <c r="K584" s="233"/>
      <c r="L584" s="233"/>
      <c r="M584" s="233"/>
      <c r="N584" s="2460"/>
      <c r="O584" s="2460"/>
    </row>
    <row r="585" spans="3:15">
      <c r="C585" s="233"/>
      <c r="D585" s="233"/>
      <c r="E585" s="770"/>
      <c r="F585" s="234"/>
      <c r="G585" s="234"/>
      <c r="H585" s="233"/>
      <c r="I585" s="233"/>
      <c r="J585" s="770"/>
      <c r="K585" s="233"/>
      <c r="L585" s="233"/>
      <c r="M585" s="233"/>
      <c r="N585" s="2460"/>
      <c r="O585" s="2460"/>
    </row>
    <row r="586" spans="3:15">
      <c r="C586" s="233"/>
      <c r="D586" s="233"/>
      <c r="E586" s="770"/>
      <c r="F586" s="234"/>
      <c r="G586" s="234"/>
      <c r="H586" s="233"/>
      <c r="I586" s="233"/>
      <c r="J586" s="770"/>
      <c r="K586" s="233"/>
      <c r="L586" s="233"/>
      <c r="M586" s="233"/>
      <c r="N586" s="2460"/>
      <c r="O586" s="2460"/>
    </row>
    <row r="587" spans="3:15">
      <c r="C587" s="233"/>
      <c r="D587" s="233"/>
      <c r="E587" s="770"/>
      <c r="F587" s="234"/>
      <c r="G587" s="234"/>
      <c r="H587" s="233"/>
      <c r="I587" s="233"/>
      <c r="J587" s="770"/>
      <c r="K587" s="233"/>
      <c r="L587" s="233"/>
      <c r="M587" s="233"/>
      <c r="N587" s="2460"/>
      <c r="O587" s="2460"/>
    </row>
    <row r="588" spans="3:15">
      <c r="C588" s="233"/>
      <c r="D588" s="233"/>
      <c r="E588" s="770"/>
      <c r="F588" s="234"/>
      <c r="G588" s="234"/>
      <c r="H588" s="233"/>
      <c r="I588" s="233"/>
      <c r="J588" s="770"/>
      <c r="K588" s="233"/>
      <c r="L588" s="233"/>
      <c r="M588" s="233"/>
      <c r="N588" s="2460"/>
      <c r="O588" s="2460"/>
    </row>
    <row r="589" spans="3:15">
      <c r="C589" s="233"/>
      <c r="D589" s="233"/>
      <c r="E589" s="770"/>
      <c r="F589" s="234"/>
      <c r="G589" s="234"/>
      <c r="H589" s="233"/>
      <c r="I589" s="233"/>
      <c r="J589" s="770"/>
      <c r="K589" s="233"/>
      <c r="L589" s="233"/>
      <c r="M589" s="233"/>
      <c r="N589" s="2460"/>
      <c r="O589" s="2460"/>
    </row>
    <row r="590" spans="3:15">
      <c r="C590" s="233"/>
      <c r="D590" s="233"/>
      <c r="E590" s="770"/>
      <c r="F590" s="234"/>
      <c r="G590" s="234"/>
      <c r="H590" s="233"/>
      <c r="I590" s="233"/>
      <c r="J590" s="770"/>
      <c r="K590" s="233"/>
      <c r="L590" s="233"/>
      <c r="M590" s="233"/>
      <c r="N590" s="2460"/>
      <c r="O590" s="2460"/>
    </row>
    <row r="591" spans="3:15">
      <c r="C591" s="233"/>
      <c r="D591" s="233"/>
      <c r="E591" s="770"/>
      <c r="F591" s="234"/>
      <c r="G591" s="234"/>
      <c r="H591" s="233"/>
      <c r="I591" s="233"/>
      <c r="J591" s="770"/>
      <c r="K591" s="233"/>
      <c r="L591" s="233"/>
      <c r="M591" s="233"/>
      <c r="N591" s="2460"/>
      <c r="O591" s="2460"/>
    </row>
    <row r="592" spans="3:15">
      <c r="C592" s="233"/>
      <c r="D592" s="233"/>
      <c r="E592" s="770"/>
      <c r="F592" s="234"/>
      <c r="G592" s="234"/>
      <c r="H592" s="233"/>
      <c r="I592" s="233"/>
      <c r="J592" s="770"/>
      <c r="K592" s="233"/>
      <c r="L592" s="233"/>
      <c r="M592" s="233"/>
      <c r="N592" s="2460"/>
      <c r="O592" s="2460"/>
    </row>
    <row r="593" spans="3:15">
      <c r="C593" s="233"/>
      <c r="D593" s="233"/>
      <c r="E593" s="770"/>
      <c r="F593" s="234"/>
      <c r="G593" s="234"/>
      <c r="H593" s="233"/>
      <c r="I593" s="233"/>
      <c r="J593" s="770"/>
      <c r="K593" s="233"/>
      <c r="L593" s="233"/>
      <c r="M593" s="233"/>
      <c r="N593" s="2460"/>
      <c r="O593" s="2460"/>
    </row>
    <row r="594" spans="3:15">
      <c r="C594" s="233"/>
      <c r="D594" s="233"/>
      <c r="E594" s="770"/>
      <c r="F594" s="234"/>
      <c r="G594" s="234"/>
      <c r="H594" s="233"/>
      <c r="I594" s="233"/>
      <c r="J594" s="770"/>
      <c r="K594" s="233"/>
      <c r="L594" s="233"/>
      <c r="M594" s="233"/>
      <c r="N594" s="2460"/>
      <c r="O594" s="2460"/>
    </row>
    <row r="595" spans="3:15">
      <c r="C595" s="233"/>
      <c r="D595" s="233"/>
      <c r="E595" s="770"/>
      <c r="F595" s="234"/>
      <c r="G595" s="234"/>
      <c r="H595" s="233"/>
      <c r="I595" s="233"/>
      <c r="J595" s="770"/>
      <c r="K595" s="233"/>
      <c r="L595" s="233"/>
      <c r="M595" s="233"/>
      <c r="N595" s="2460"/>
      <c r="O595" s="2460"/>
    </row>
    <row r="596" spans="3:15">
      <c r="C596" s="233"/>
      <c r="D596" s="233"/>
      <c r="E596" s="770"/>
      <c r="F596" s="234"/>
      <c r="G596" s="234"/>
      <c r="H596" s="233"/>
      <c r="I596" s="233"/>
      <c r="J596" s="770"/>
      <c r="K596" s="233"/>
      <c r="L596" s="233"/>
      <c r="M596" s="233"/>
      <c r="N596" s="2460"/>
      <c r="O596" s="2460"/>
    </row>
    <row r="597" spans="3:15">
      <c r="C597" s="233"/>
      <c r="D597" s="233"/>
      <c r="E597" s="770"/>
      <c r="F597" s="234"/>
      <c r="G597" s="234"/>
      <c r="H597" s="233"/>
      <c r="I597" s="233"/>
      <c r="J597" s="770"/>
      <c r="K597" s="233"/>
      <c r="L597" s="233"/>
      <c r="M597" s="233"/>
      <c r="N597" s="2460"/>
      <c r="O597" s="2460"/>
    </row>
    <row r="598" spans="3:15">
      <c r="C598" s="233"/>
      <c r="D598" s="233"/>
      <c r="E598" s="770"/>
      <c r="F598" s="234"/>
      <c r="G598" s="234"/>
      <c r="H598" s="233"/>
      <c r="I598" s="233"/>
      <c r="J598" s="770"/>
      <c r="K598" s="233"/>
      <c r="L598" s="233"/>
      <c r="M598" s="233"/>
      <c r="N598" s="2460"/>
      <c r="O598" s="2460"/>
    </row>
    <row r="599" spans="3:15">
      <c r="C599" s="233"/>
      <c r="D599" s="233"/>
      <c r="E599" s="770"/>
      <c r="F599" s="234"/>
      <c r="G599" s="234"/>
      <c r="H599" s="233"/>
      <c r="I599" s="233"/>
      <c r="J599" s="770"/>
      <c r="K599" s="233"/>
      <c r="L599" s="233"/>
      <c r="M599" s="233"/>
      <c r="N599" s="2460"/>
      <c r="O599" s="2460"/>
    </row>
    <row r="600" spans="3:15">
      <c r="C600" s="233"/>
      <c r="D600" s="233"/>
      <c r="E600" s="770"/>
      <c r="F600" s="234"/>
      <c r="G600" s="234"/>
      <c r="H600" s="233"/>
      <c r="I600" s="233"/>
      <c r="J600" s="770"/>
      <c r="K600" s="233"/>
      <c r="L600" s="233"/>
      <c r="M600" s="233"/>
      <c r="N600" s="2460"/>
      <c r="O600" s="2460"/>
    </row>
    <row r="601" spans="3:15">
      <c r="C601" s="233"/>
      <c r="D601" s="233"/>
      <c r="E601" s="770"/>
      <c r="F601" s="234"/>
      <c r="G601" s="234"/>
      <c r="H601" s="233"/>
      <c r="I601" s="233"/>
      <c r="J601" s="770"/>
      <c r="K601" s="233"/>
      <c r="L601" s="233"/>
      <c r="M601" s="233"/>
      <c r="N601" s="2460"/>
      <c r="O601" s="2460"/>
    </row>
    <row r="602" spans="3:15">
      <c r="C602" s="233"/>
      <c r="D602" s="233"/>
      <c r="E602" s="770"/>
      <c r="F602" s="234"/>
      <c r="G602" s="234"/>
      <c r="H602" s="233"/>
      <c r="I602" s="233"/>
      <c r="J602" s="770"/>
      <c r="K602" s="233"/>
      <c r="L602" s="233"/>
      <c r="M602" s="233"/>
      <c r="N602" s="2460"/>
      <c r="O602" s="2460"/>
    </row>
    <row r="603" spans="3:15">
      <c r="C603" s="233"/>
      <c r="D603" s="233"/>
      <c r="E603" s="770"/>
      <c r="F603" s="234"/>
      <c r="G603" s="234"/>
      <c r="H603" s="233"/>
      <c r="I603" s="233"/>
      <c r="J603" s="770"/>
      <c r="K603" s="233"/>
      <c r="L603" s="233"/>
      <c r="M603" s="233"/>
      <c r="N603" s="2460"/>
      <c r="O603" s="2460"/>
    </row>
    <row r="604" spans="3:15">
      <c r="C604" s="233"/>
      <c r="D604" s="233"/>
      <c r="E604" s="770"/>
      <c r="F604" s="234"/>
      <c r="G604" s="234"/>
      <c r="H604" s="233"/>
      <c r="I604" s="233"/>
      <c r="J604" s="770"/>
      <c r="K604" s="233"/>
      <c r="L604" s="233"/>
      <c r="M604" s="233"/>
      <c r="N604" s="2460"/>
      <c r="O604" s="2460"/>
    </row>
    <row r="605" spans="3:15">
      <c r="C605" s="233"/>
      <c r="D605" s="233"/>
      <c r="E605" s="770"/>
      <c r="F605" s="234"/>
      <c r="G605" s="234"/>
      <c r="H605" s="233"/>
      <c r="I605" s="233"/>
      <c r="J605" s="770"/>
      <c r="K605" s="233"/>
      <c r="L605" s="233"/>
      <c r="M605" s="233"/>
      <c r="N605" s="2460"/>
      <c r="O605" s="2460"/>
    </row>
    <row r="606" spans="3:15">
      <c r="C606" s="233"/>
      <c r="D606" s="233"/>
      <c r="E606" s="770"/>
      <c r="F606" s="234"/>
      <c r="G606" s="234"/>
      <c r="H606" s="233"/>
      <c r="I606" s="233"/>
      <c r="J606" s="770"/>
      <c r="K606" s="233"/>
      <c r="L606" s="233"/>
      <c r="M606" s="233"/>
      <c r="N606" s="2460"/>
      <c r="O606" s="2460"/>
    </row>
    <row r="607" spans="3:15">
      <c r="C607" s="233"/>
      <c r="D607" s="233"/>
      <c r="E607" s="770"/>
      <c r="F607" s="234"/>
      <c r="G607" s="234"/>
      <c r="H607" s="233"/>
      <c r="I607" s="233"/>
      <c r="J607" s="770"/>
      <c r="K607" s="233"/>
      <c r="L607" s="233"/>
      <c r="M607" s="233"/>
      <c r="N607" s="2460"/>
      <c r="O607" s="2460"/>
    </row>
    <row r="608" spans="3:15">
      <c r="C608" s="233"/>
      <c r="D608" s="233"/>
      <c r="E608" s="770"/>
      <c r="F608" s="234"/>
      <c r="G608" s="234"/>
      <c r="H608" s="233"/>
      <c r="I608" s="233"/>
      <c r="J608" s="770"/>
      <c r="K608" s="233"/>
      <c r="L608" s="233"/>
      <c r="M608" s="233"/>
      <c r="N608" s="2460"/>
      <c r="O608" s="2460"/>
    </row>
    <row r="609" spans="3:15">
      <c r="C609" s="233"/>
      <c r="D609" s="233"/>
      <c r="E609" s="770"/>
      <c r="F609" s="234"/>
      <c r="G609" s="234"/>
      <c r="H609" s="233"/>
      <c r="I609" s="233"/>
      <c r="J609" s="770"/>
      <c r="K609" s="233"/>
      <c r="L609" s="233"/>
      <c r="M609" s="233"/>
      <c r="N609" s="2460"/>
      <c r="O609" s="2460"/>
    </row>
    <row r="610" spans="3:15">
      <c r="C610" s="233"/>
      <c r="D610" s="233"/>
      <c r="E610" s="770"/>
      <c r="F610" s="234"/>
      <c r="G610" s="234"/>
      <c r="H610" s="233"/>
      <c r="I610" s="233"/>
      <c r="J610" s="770"/>
      <c r="K610" s="233"/>
      <c r="L610" s="233"/>
      <c r="M610" s="233"/>
      <c r="N610" s="2460"/>
      <c r="O610" s="2460"/>
    </row>
    <row r="611" spans="3:15">
      <c r="C611" s="233"/>
      <c r="D611" s="233"/>
      <c r="E611" s="770"/>
      <c r="F611" s="234"/>
      <c r="G611" s="234"/>
      <c r="H611" s="233"/>
      <c r="I611" s="233"/>
      <c r="J611" s="770"/>
      <c r="K611" s="233"/>
      <c r="L611" s="233"/>
      <c r="M611" s="233"/>
      <c r="N611" s="2460"/>
      <c r="O611" s="2460"/>
    </row>
    <row r="612" spans="3:15">
      <c r="C612" s="233"/>
      <c r="D612" s="233"/>
      <c r="E612" s="770"/>
      <c r="F612" s="234"/>
      <c r="G612" s="234"/>
      <c r="H612" s="233"/>
      <c r="I612" s="233"/>
      <c r="J612" s="770"/>
      <c r="K612" s="233"/>
      <c r="L612" s="233"/>
      <c r="M612" s="233"/>
      <c r="N612" s="2460"/>
      <c r="O612" s="2460"/>
    </row>
    <row r="613" spans="3:15">
      <c r="C613" s="233"/>
      <c r="D613" s="233"/>
      <c r="E613" s="770"/>
      <c r="F613" s="234"/>
      <c r="G613" s="234"/>
      <c r="H613" s="233"/>
      <c r="I613" s="233"/>
      <c r="J613" s="770"/>
      <c r="K613" s="233"/>
      <c r="L613" s="233"/>
      <c r="M613" s="233"/>
      <c r="N613" s="2460"/>
      <c r="O613" s="2460"/>
    </row>
    <row r="614" spans="3:15">
      <c r="C614" s="233"/>
      <c r="D614" s="233"/>
      <c r="E614" s="770"/>
      <c r="F614" s="234"/>
      <c r="G614" s="234"/>
      <c r="H614" s="233"/>
      <c r="I614" s="233"/>
      <c r="J614" s="770"/>
      <c r="K614" s="233"/>
      <c r="L614" s="233"/>
      <c r="M614" s="233"/>
      <c r="N614" s="2460"/>
      <c r="O614" s="2460"/>
    </row>
    <row r="615" spans="3:15">
      <c r="C615" s="233"/>
      <c r="D615" s="233"/>
      <c r="E615" s="770"/>
      <c r="F615" s="234"/>
      <c r="G615" s="234"/>
      <c r="H615" s="233"/>
      <c r="I615" s="233"/>
      <c r="J615" s="770"/>
      <c r="K615" s="233"/>
      <c r="L615" s="233"/>
      <c r="M615" s="233"/>
      <c r="N615" s="2460"/>
      <c r="O615" s="2460"/>
    </row>
    <row r="616" spans="3:15">
      <c r="C616" s="233"/>
      <c r="D616" s="233"/>
      <c r="E616" s="770"/>
      <c r="F616" s="234"/>
      <c r="G616" s="234"/>
      <c r="H616" s="233"/>
      <c r="I616" s="233"/>
      <c r="J616" s="770"/>
      <c r="K616" s="233"/>
      <c r="L616" s="233"/>
      <c r="M616" s="233"/>
      <c r="N616" s="2460"/>
      <c r="O616" s="2460"/>
    </row>
    <row r="617" spans="3:15">
      <c r="C617" s="233"/>
      <c r="D617" s="233"/>
      <c r="E617" s="770"/>
      <c r="F617" s="234"/>
      <c r="G617" s="234"/>
      <c r="H617" s="233"/>
      <c r="I617" s="233"/>
      <c r="J617" s="770"/>
      <c r="K617" s="233"/>
      <c r="L617" s="233"/>
      <c r="M617" s="233"/>
      <c r="N617" s="2460"/>
      <c r="O617" s="2460"/>
    </row>
    <row r="618" spans="3:15">
      <c r="C618" s="233"/>
      <c r="D618" s="233"/>
      <c r="E618" s="770"/>
      <c r="F618" s="234"/>
      <c r="G618" s="234"/>
      <c r="H618" s="233"/>
      <c r="I618" s="233"/>
      <c r="J618" s="770"/>
      <c r="K618" s="233"/>
      <c r="L618" s="233"/>
      <c r="M618" s="233"/>
      <c r="N618" s="2460"/>
      <c r="O618" s="2460"/>
    </row>
    <row r="619" spans="3:15">
      <c r="C619" s="233"/>
      <c r="D619" s="233"/>
      <c r="E619" s="770"/>
      <c r="F619" s="234"/>
      <c r="G619" s="234"/>
      <c r="H619" s="233"/>
      <c r="I619" s="233"/>
      <c r="J619" s="770"/>
      <c r="K619" s="233"/>
      <c r="L619" s="233"/>
      <c r="M619" s="233"/>
      <c r="N619" s="2460"/>
      <c r="O619" s="2460"/>
    </row>
    <row r="620" spans="3:15">
      <c r="C620" s="233"/>
      <c r="D620" s="233"/>
      <c r="E620" s="770"/>
      <c r="F620" s="234"/>
      <c r="G620" s="234"/>
      <c r="H620" s="233"/>
      <c r="I620" s="233"/>
      <c r="J620" s="770"/>
      <c r="K620" s="233"/>
      <c r="L620" s="233"/>
      <c r="M620" s="233"/>
      <c r="N620" s="2460"/>
      <c r="O620" s="2460"/>
    </row>
    <row r="621" spans="3:15">
      <c r="C621" s="233"/>
      <c r="D621" s="233"/>
      <c r="E621" s="770"/>
      <c r="F621" s="234"/>
      <c r="G621" s="234"/>
      <c r="H621" s="233"/>
      <c r="I621" s="233"/>
      <c r="J621" s="770"/>
      <c r="K621" s="233"/>
      <c r="L621" s="233"/>
      <c r="M621" s="233"/>
      <c r="N621" s="2460"/>
      <c r="O621" s="2460"/>
    </row>
    <row r="622" spans="3:15">
      <c r="C622" s="233"/>
      <c r="D622" s="233"/>
      <c r="E622" s="770"/>
      <c r="F622" s="234"/>
      <c r="G622" s="234"/>
      <c r="H622" s="233"/>
      <c r="I622" s="233"/>
      <c r="J622" s="770"/>
      <c r="K622" s="233"/>
      <c r="L622" s="233"/>
      <c r="M622" s="233"/>
      <c r="N622" s="2460"/>
      <c r="O622" s="2460"/>
    </row>
    <row r="623" spans="3:15">
      <c r="C623" s="233"/>
      <c r="D623" s="233"/>
      <c r="E623" s="770"/>
      <c r="F623" s="234"/>
      <c r="G623" s="234"/>
      <c r="H623" s="233"/>
      <c r="I623" s="233"/>
      <c r="J623" s="770"/>
      <c r="K623" s="233"/>
      <c r="L623" s="233"/>
      <c r="M623" s="233"/>
      <c r="N623" s="2460"/>
      <c r="O623" s="2460"/>
    </row>
    <row r="624" spans="3:15">
      <c r="C624" s="233"/>
      <c r="D624" s="233"/>
      <c r="E624" s="770"/>
      <c r="F624" s="234"/>
      <c r="G624" s="234"/>
      <c r="H624" s="233"/>
      <c r="I624" s="233"/>
      <c r="J624" s="770"/>
      <c r="K624" s="233"/>
      <c r="L624" s="233"/>
      <c r="M624" s="233"/>
      <c r="N624" s="2460"/>
      <c r="O624" s="2460"/>
    </row>
    <row r="625" spans="3:15">
      <c r="C625" s="233"/>
      <c r="D625" s="233"/>
      <c r="E625" s="770"/>
      <c r="F625" s="234"/>
      <c r="G625" s="234"/>
      <c r="H625" s="233"/>
      <c r="I625" s="233"/>
      <c r="J625" s="770"/>
      <c r="K625" s="233"/>
      <c r="L625" s="233"/>
      <c r="M625" s="233"/>
      <c r="N625" s="2460"/>
      <c r="O625" s="2460"/>
    </row>
    <row r="626" spans="3:15">
      <c r="C626" s="233"/>
      <c r="D626" s="233"/>
      <c r="E626" s="770"/>
      <c r="F626" s="234"/>
      <c r="G626" s="234"/>
      <c r="H626" s="233"/>
      <c r="I626" s="233"/>
      <c r="J626" s="770"/>
      <c r="K626" s="233"/>
      <c r="L626" s="233"/>
      <c r="M626" s="233"/>
      <c r="N626" s="2460"/>
      <c r="O626" s="2460"/>
    </row>
    <row r="627" spans="3:15">
      <c r="C627" s="233"/>
      <c r="D627" s="233"/>
      <c r="E627" s="770"/>
      <c r="F627" s="234"/>
      <c r="G627" s="234"/>
      <c r="H627" s="233"/>
      <c r="I627" s="233"/>
      <c r="J627" s="770"/>
      <c r="K627" s="233"/>
      <c r="L627" s="233"/>
      <c r="M627" s="233"/>
      <c r="N627" s="2460"/>
      <c r="O627" s="2460"/>
    </row>
    <row r="628" spans="3:15">
      <c r="C628" s="233"/>
      <c r="D628" s="233"/>
      <c r="E628" s="770"/>
      <c r="F628" s="234"/>
      <c r="G628" s="234"/>
      <c r="H628" s="233"/>
      <c r="I628" s="233"/>
      <c r="J628" s="770"/>
      <c r="K628" s="233"/>
      <c r="L628" s="233"/>
      <c r="M628" s="233"/>
      <c r="N628" s="2460"/>
      <c r="O628" s="2460"/>
    </row>
    <row r="629" spans="3:15">
      <c r="C629" s="233"/>
      <c r="D629" s="233"/>
      <c r="E629" s="770"/>
      <c r="F629" s="234"/>
      <c r="G629" s="234"/>
      <c r="H629" s="233"/>
      <c r="I629" s="233"/>
      <c r="J629" s="770"/>
      <c r="K629" s="233"/>
      <c r="L629" s="233"/>
      <c r="M629" s="233"/>
      <c r="N629" s="2460"/>
      <c r="O629" s="2460"/>
    </row>
    <row r="630" spans="3:15">
      <c r="C630" s="233"/>
      <c r="D630" s="233"/>
      <c r="E630" s="770"/>
      <c r="F630" s="234"/>
      <c r="G630" s="234"/>
      <c r="H630" s="233"/>
      <c r="I630" s="233"/>
      <c r="J630" s="770"/>
      <c r="K630" s="233"/>
      <c r="L630" s="233"/>
      <c r="M630" s="233"/>
      <c r="N630" s="2460"/>
      <c r="O630" s="2460"/>
    </row>
    <row r="631" spans="3:15">
      <c r="C631" s="233"/>
      <c r="D631" s="233"/>
      <c r="E631" s="770"/>
      <c r="F631" s="234"/>
      <c r="G631" s="234"/>
      <c r="H631" s="233"/>
      <c r="I631" s="233"/>
      <c r="J631" s="770"/>
      <c r="K631" s="233"/>
      <c r="L631" s="233"/>
      <c r="M631" s="233"/>
      <c r="N631" s="2460"/>
      <c r="O631" s="2460"/>
    </row>
    <row r="632" spans="3:15">
      <c r="C632" s="233"/>
      <c r="D632" s="233"/>
      <c r="E632" s="770"/>
      <c r="F632" s="234"/>
      <c r="G632" s="234"/>
      <c r="H632" s="233"/>
      <c r="I632" s="233"/>
      <c r="J632" s="770"/>
      <c r="K632" s="233"/>
      <c r="L632" s="233"/>
      <c r="M632" s="233"/>
      <c r="N632" s="2460"/>
      <c r="O632" s="2460"/>
    </row>
    <row r="633" spans="3:15">
      <c r="C633" s="233"/>
      <c r="D633" s="233"/>
      <c r="E633" s="770"/>
      <c r="F633" s="234"/>
      <c r="G633" s="234"/>
      <c r="H633" s="233"/>
      <c r="I633" s="233"/>
      <c r="J633" s="770"/>
      <c r="K633" s="233"/>
      <c r="L633" s="233"/>
      <c r="M633" s="233"/>
      <c r="N633" s="2460"/>
      <c r="O633" s="2460"/>
    </row>
    <row r="634" spans="3:15">
      <c r="C634" s="233"/>
      <c r="D634" s="233"/>
      <c r="E634" s="770"/>
      <c r="F634" s="234"/>
      <c r="G634" s="234"/>
      <c r="H634" s="233"/>
      <c r="I634" s="233"/>
      <c r="J634" s="770"/>
      <c r="K634" s="233"/>
      <c r="L634" s="233"/>
      <c r="M634" s="233"/>
      <c r="N634" s="2460"/>
      <c r="O634" s="2460"/>
    </row>
    <row r="635" spans="3:15">
      <c r="C635" s="233"/>
      <c r="D635" s="233"/>
      <c r="E635" s="770"/>
      <c r="F635" s="234"/>
      <c r="G635" s="234"/>
      <c r="H635" s="233"/>
      <c r="I635" s="233"/>
      <c r="J635" s="770"/>
      <c r="K635" s="233"/>
      <c r="L635" s="233"/>
      <c r="M635" s="233"/>
      <c r="N635" s="2460"/>
      <c r="O635" s="2460"/>
    </row>
    <row r="636" spans="3:15">
      <c r="C636" s="233"/>
      <c r="D636" s="233"/>
      <c r="E636" s="770"/>
      <c r="F636" s="234"/>
      <c r="G636" s="234"/>
      <c r="H636" s="233"/>
      <c r="I636" s="233"/>
      <c r="J636" s="770"/>
      <c r="K636" s="233"/>
      <c r="L636" s="233"/>
      <c r="M636" s="233"/>
      <c r="N636" s="2460"/>
      <c r="O636" s="2460"/>
    </row>
    <row r="637" spans="3:15">
      <c r="C637" s="233"/>
      <c r="D637" s="233"/>
      <c r="E637" s="770"/>
      <c r="F637" s="234"/>
      <c r="G637" s="234"/>
      <c r="H637" s="233"/>
      <c r="I637" s="233"/>
      <c r="J637" s="770"/>
      <c r="K637" s="233"/>
      <c r="L637" s="233"/>
      <c r="M637" s="233"/>
      <c r="N637" s="2460"/>
      <c r="O637" s="2460"/>
    </row>
    <row r="638" spans="3:15">
      <c r="C638" s="233"/>
      <c r="D638" s="233"/>
      <c r="E638" s="770"/>
      <c r="F638" s="234"/>
      <c r="G638" s="234"/>
      <c r="H638" s="233"/>
      <c r="I638" s="233"/>
      <c r="J638" s="770"/>
      <c r="K638" s="233"/>
      <c r="L638" s="233"/>
      <c r="M638" s="233"/>
      <c r="N638" s="2460"/>
      <c r="O638" s="2460"/>
    </row>
    <row r="639" spans="3:15">
      <c r="C639" s="233"/>
      <c r="D639" s="233"/>
      <c r="E639" s="770"/>
      <c r="F639" s="234"/>
      <c r="G639" s="234"/>
      <c r="H639" s="233"/>
      <c r="I639" s="233"/>
      <c r="J639" s="770"/>
      <c r="K639" s="233"/>
      <c r="L639" s="233"/>
      <c r="M639" s="233"/>
      <c r="N639" s="2460"/>
      <c r="O639" s="2460"/>
    </row>
    <row r="640" spans="3:15">
      <c r="C640" s="233"/>
      <c r="D640" s="233"/>
      <c r="E640" s="770"/>
      <c r="F640" s="234"/>
      <c r="G640" s="234"/>
      <c r="H640" s="233"/>
      <c r="I640" s="233"/>
      <c r="J640" s="770"/>
      <c r="K640" s="233"/>
      <c r="L640" s="233"/>
      <c r="M640" s="233"/>
      <c r="N640" s="2460"/>
      <c r="O640" s="2460"/>
    </row>
    <row r="641" spans="3:15">
      <c r="C641" s="233"/>
      <c r="D641" s="233"/>
      <c r="E641" s="770"/>
      <c r="F641" s="234"/>
      <c r="G641" s="234"/>
      <c r="H641" s="233"/>
      <c r="I641" s="233"/>
      <c r="J641" s="770"/>
      <c r="K641" s="233"/>
      <c r="L641" s="233"/>
      <c r="M641" s="233"/>
      <c r="N641" s="2460"/>
      <c r="O641" s="2460"/>
    </row>
    <row r="642" spans="3:15">
      <c r="C642" s="233"/>
      <c r="D642" s="233"/>
      <c r="E642" s="770"/>
      <c r="F642" s="234"/>
      <c r="G642" s="234"/>
      <c r="H642" s="233"/>
      <c r="I642" s="233"/>
      <c r="J642" s="770"/>
      <c r="K642" s="233"/>
      <c r="L642" s="233"/>
      <c r="M642" s="233"/>
      <c r="N642" s="2460"/>
      <c r="O642" s="2460"/>
    </row>
    <row r="643" spans="3:15">
      <c r="C643" s="233"/>
      <c r="D643" s="233"/>
      <c r="E643" s="770"/>
      <c r="F643" s="234"/>
      <c r="G643" s="234"/>
      <c r="H643" s="233"/>
      <c r="I643" s="233"/>
      <c r="J643" s="770"/>
      <c r="K643" s="233"/>
      <c r="L643" s="233"/>
      <c r="M643" s="233"/>
      <c r="N643" s="2460"/>
      <c r="O643" s="2460"/>
    </row>
    <row r="644" spans="3:15">
      <c r="C644" s="233"/>
      <c r="D644" s="233"/>
      <c r="E644" s="770"/>
      <c r="F644" s="234"/>
      <c r="G644" s="234"/>
      <c r="H644" s="233"/>
      <c r="I644" s="233"/>
      <c r="J644" s="770"/>
      <c r="K644" s="233"/>
      <c r="L644" s="233"/>
      <c r="M644" s="233"/>
      <c r="N644" s="2460"/>
      <c r="O644" s="2460"/>
    </row>
    <row r="645" spans="3:15">
      <c r="C645" s="233"/>
      <c r="D645" s="233"/>
      <c r="E645" s="770"/>
      <c r="F645" s="234"/>
      <c r="G645" s="234"/>
      <c r="H645" s="233"/>
      <c r="I645" s="233"/>
      <c r="J645" s="770"/>
      <c r="K645" s="233"/>
      <c r="L645" s="233"/>
      <c r="M645" s="233"/>
      <c r="N645" s="2460"/>
      <c r="O645" s="2460"/>
    </row>
    <row r="646" spans="3:15">
      <c r="C646" s="233"/>
      <c r="D646" s="233"/>
      <c r="E646" s="770"/>
      <c r="F646" s="234"/>
      <c r="G646" s="234"/>
      <c r="H646" s="233"/>
      <c r="I646" s="233"/>
      <c r="J646" s="770"/>
      <c r="K646" s="233"/>
      <c r="L646" s="233"/>
      <c r="M646" s="233"/>
      <c r="N646" s="2460"/>
      <c r="O646" s="2460"/>
    </row>
    <row r="647" spans="3:15">
      <c r="C647" s="233"/>
      <c r="D647" s="233"/>
      <c r="E647" s="770"/>
      <c r="F647" s="234"/>
      <c r="G647" s="234"/>
      <c r="H647" s="233"/>
      <c r="I647" s="233"/>
      <c r="J647" s="770"/>
      <c r="K647" s="233"/>
      <c r="L647" s="233"/>
      <c r="M647" s="233"/>
      <c r="N647" s="2460"/>
      <c r="O647" s="2460"/>
    </row>
    <row r="648" spans="3:15">
      <c r="C648" s="233"/>
      <c r="D648" s="233"/>
      <c r="E648" s="770"/>
      <c r="F648" s="234"/>
      <c r="G648" s="234"/>
      <c r="H648" s="233"/>
      <c r="I648" s="233"/>
      <c r="J648" s="770"/>
      <c r="K648" s="233"/>
      <c r="L648" s="233"/>
      <c r="M648" s="233"/>
      <c r="N648" s="2460"/>
      <c r="O648" s="2460"/>
    </row>
    <row r="649" spans="3:15">
      <c r="C649" s="233"/>
      <c r="D649" s="233"/>
      <c r="E649" s="770"/>
      <c r="F649" s="234"/>
      <c r="G649" s="234"/>
      <c r="H649" s="233"/>
      <c r="I649" s="233"/>
      <c r="J649" s="770"/>
      <c r="K649" s="233"/>
      <c r="L649" s="233"/>
      <c r="M649" s="233"/>
      <c r="N649" s="2460"/>
      <c r="O649" s="2460"/>
    </row>
    <row r="650" spans="3:15">
      <c r="C650" s="233"/>
      <c r="D650" s="233"/>
      <c r="E650" s="770"/>
      <c r="F650" s="234"/>
      <c r="G650" s="234"/>
      <c r="H650" s="233"/>
      <c r="I650" s="233"/>
      <c r="J650" s="770"/>
      <c r="K650" s="233"/>
      <c r="L650" s="233"/>
      <c r="M650" s="233"/>
      <c r="N650" s="2460"/>
      <c r="O650" s="2460"/>
    </row>
    <row r="651" spans="3:15">
      <c r="C651" s="233"/>
      <c r="D651" s="233"/>
      <c r="E651" s="770"/>
      <c r="F651" s="234"/>
      <c r="G651" s="234"/>
      <c r="H651" s="233"/>
      <c r="I651" s="233"/>
      <c r="J651" s="770"/>
      <c r="K651" s="233"/>
      <c r="L651" s="233"/>
      <c r="M651" s="233"/>
      <c r="N651" s="2460"/>
      <c r="O651" s="2460"/>
    </row>
    <row r="652" spans="3:15">
      <c r="C652" s="233"/>
      <c r="D652" s="233"/>
      <c r="E652" s="770"/>
      <c r="F652" s="234"/>
      <c r="G652" s="234"/>
      <c r="H652" s="233"/>
      <c r="I652" s="233"/>
      <c r="J652" s="770"/>
      <c r="K652" s="233"/>
      <c r="L652" s="233"/>
      <c r="M652" s="233"/>
      <c r="N652" s="2460"/>
      <c r="O652" s="2460"/>
    </row>
    <row r="653" spans="3:15">
      <c r="C653" s="233"/>
      <c r="D653" s="233"/>
      <c r="E653" s="770"/>
      <c r="F653" s="234"/>
      <c r="G653" s="234"/>
      <c r="H653" s="233"/>
      <c r="I653" s="233"/>
      <c r="J653" s="770"/>
      <c r="K653" s="233"/>
      <c r="L653" s="233"/>
      <c r="M653" s="233"/>
      <c r="N653" s="2460"/>
      <c r="O653" s="2460"/>
    </row>
    <row r="654" spans="3:15">
      <c r="C654" s="233"/>
      <c r="D654" s="233"/>
      <c r="E654" s="770"/>
      <c r="F654" s="234"/>
      <c r="G654" s="234"/>
      <c r="H654" s="233"/>
      <c r="I654" s="233"/>
      <c r="J654" s="770"/>
      <c r="K654" s="233"/>
      <c r="L654" s="233"/>
      <c r="M654" s="233"/>
      <c r="N654" s="2460"/>
      <c r="O654" s="2460"/>
    </row>
    <row r="655" spans="3:15">
      <c r="C655" s="233"/>
      <c r="D655" s="233"/>
      <c r="E655" s="770"/>
      <c r="F655" s="234"/>
      <c r="G655" s="234"/>
      <c r="H655" s="233"/>
      <c r="I655" s="233"/>
      <c r="J655" s="770"/>
      <c r="K655" s="233"/>
      <c r="L655" s="233"/>
      <c r="M655" s="233"/>
      <c r="N655" s="2460"/>
      <c r="O655" s="2460"/>
    </row>
    <row r="656" spans="3:15">
      <c r="C656" s="233"/>
      <c r="D656" s="233"/>
      <c r="E656" s="770"/>
      <c r="F656" s="234"/>
      <c r="G656" s="234"/>
      <c r="H656" s="233"/>
      <c r="I656" s="233"/>
      <c r="J656" s="770"/>
      <c r="K656" s="233"/>
      <c r="L656" s="233"/>
      <c r="M656" s="233"/>
      <c r="N656" s="2460"/>
      <c r="O656" s="2460"/>
    </row>
    <row r="657" spans="3:15">
      <c r="C657" s="233"/>
      <c r="D657" s="233"/>
      <c r="E657" s="770"/>
      <c r="F657" s="234"/>
      <c r="G657" s="234"/>
      <c r="H657" s="233"/>
      <c r="I657" s="233"/>
      <c r="J657" s="770"/>
      <c r="K657" s="233"/>
      <c r="L657" s="233"/>
      <c r="M657" s="233"/>
      <c r="N657" s="2460"/>
      <c r="O657" s="2460"/>
    </row>
    <row r="658" spans="3:15">
      <c r="C658" s="233"/>
      <c r="D658" s="233"/>
      <c r="E658" s="770"/>
      <c r="F658" s="234"/>
      <c r="G658" s="234"/>
      <c r="H658" s="233"/>
      <c r="I658" s="233"/>
      <c r="J658" s="770"/>
      <c r="K658" s="233"/>
      <c r="L658" s="233"/>
      <c r="M658" s="233"/>
      <c r="N658" s="2460"/>
      <c r="O658" s="2460"/>
    </row>
    <row r="659" spans="3:15">
      <c r="C659" s="233"/>
      <c r="D659" s="233"/>
      <c r="E659" s="770"/>
      <c r="F659" s="234"/>
      <c r="G659" s="234"/>
      <c r="H659" s="233"/>
      <c r="I659" s="233"/>
      <c r="J659" s="770"/>
      <c r="K659" s="233"/>
      <c r="L659" s="233"/>
      <c r="M659" s="233"/>
      <c r="N659" s="2460"/>
      <c r="O659" s="2460"/>
    </row>
    <row r="660" spans="3:15">
      <c r="C660" s="233"/>
      <c r="D660" s="233"/>
      <c r="E660" s="770"/>
      <c r="F660" s="234"/>
      <c r="G660" s="234"/>
      <c r="H660" s="233"/>
      <c r="I660" s="233"/>
      <c r="J660" s="770"/>
      <c r="K660" s="233"/>
      <c r="L660" s="233"/>
      <c r="M660" s="233"/>
      <c r="N660" s="2460"/>
      <c r="O660" s="2460"/>
    </row>
    <row r="661" spans="3:15">
      <c r="C661" s="233"/>
      <c r="D661" s="233"/>
      <c r="E661" s="770"/>
      <c r="F661" s="234"/>
      <c r="G661" s="234"/>
      <c r="H661" s="233"/>
      <c r="I661" s="233"/>
      <c r="J661" s="770"/>
      <c r="K661" s="233"/>
      <c r="L661" s="233"/>
      <c r="M661" s="233"/>
      <c r="N661" s="2460"/>
      <c r="O661" s="2460"/>
    </row>
    <row r="662" spans="3:15">
      <c r="C662" s="233"/>
      <c r="D662" s="233"/>
      <c r="E662" s="770"/>
      <c r="F662" s="234"/>
      <c r="G662" s="234"/>
      <c r="H662" s="233"/>
      <c r="I662" s="233"/>
      <c r="J662" s="770"/>
      <c r="K662" s="233"/>
      <c r="L662" s="233"/>
      <c r="M662" s="233"/>
      <c r="N662" s="2460"/>
      <c r="O662" s="2460"/>
    </row>
    <row r="663" spans="3:15">
      <c r="C663" s="233"/>
      <c r="D663" s="233"/>
      <c r="E663" s="770"/>
      <c r="F663" s="234"/>
      <c r="G663" s="234"/>
      <c r="H663" s="233"/>
      <c r="I663" s="233"/>
      <c r="J663" s="770"/>
      <c r="K663" s="233"/>
      <c r="L663" s="233"/>
      <c r="M663" s="233"/>
      <c r="N663" s="2460"/>
      <c r="O663" s="2460"/>
    </row>
    <row r="664" spans="3:15">
      <c r="C664" s="233"/>
      <c r="D664" s="233"/>
      <c r="E664" s="770"/>
      <c r="F664" s="234"/>
      <c r="G664" s="234"/>
      <c r="H664" s="233"/>
      <c r="I664" s="233"/>
      <c r="J664" s="770"/>
      <c r="K664" s="233"/>
      <c r="L664" s="233"/>
      <c r="M664" s="233"/>
      <c r="N664" s="2460"/>
      <c r="O664" s="2460"/>
    </row>
    <row r="665" spans="3:15">
      <c r="C665" s="233"/>
      <c r="D665" s="233"/>
      <c r="E665" s="770"/>
      <c r="F665" s="234"/>
      <c r="G665" s="234"/>
      <c r="H665" s="233"/>
      <c r="I665" s="233"/>
      <c r="J665" s="770"/>
      <c r="K665" s="233"/>
      <c r="L665" s="233"/>
      <c r="M665" s="233"/>
      <c r="N665" s="2460"/>
      <c r="O665" s="2460"/>
    </row>
    <row r="666" spans="3:15">
      <c r="C666" s="233"/>
      <c r="D666" s="233"/>
      <c r="E666" s="770"/>
      <c r="F666" s="234"/>
      <c r="G666" s="234"/>
      <c r="H666" s="233"/>
      <c r="I666" s="233"/>
      <c r="J666" s="770"/>
      <c r="K666" s="233"/>
      <c r="L666" s="233"/>
      <c r="M666" s="233"/>
      <c r="N666" s="2460"/>
      <c r="O666" s="2460"/>
    </row>
    <row r="667" spans="3:15">
      <c r="C667" s="233"/>
      <c r="D667" s="233"/>
      <c r="E667" s="770"/>
      <c r="F667" s="234"/>
      <c r="G667" s="234"/>
      <c r="H667" s="233"/>
      <c r="I667" s="233"/>
      <c r="J667" s="770"/>
      <c r="K667" s="233"/>
      <c r="L667" s="233"/>
      <c r="M667" s="233"/>
      <c r="N667" s="2460"/>
      <c r="O667" s="2460"/>
    </row>
    <row r="668" spans="3:15">
      <c r="C668" s="233"/>
      <c r="D668" s="233"/>
      <c r="E668" s="770"/>
      <c r="F668" s="234"/>
      <c r="G668" s="234"/>
      <c r="H668" s="233"/>
      <c r="I668" s="233"/>
      <c r="J668" s="770"/>
      <c r="K668" s="233"/>
      <c r="L668" s="233"/>
      <c r="M668" s="233"/>
      <c r="N668" s="2460"/>
      <c r="O668" s="2460"/>
    </row>
    <row r="669" spans="3:15">
      <c r="C669" s="233"/>
      <c r="D669" s="233"/>
      <c r="E669" s="770"/>
      <c r="F669" s="234"/>
      <c r="G669" s="234"/>
      <c r="H669" s="233"/>
      <c r="I669" s="233"/>
      <c r="J669" s="770"/>
      <c r="K669" s="233"/>
      <c r="L669" s="233"/>
      <c r="M669" s="233"/>
      <c r="N669" s="2460"/>
      <c r="O669" s="2460"/>
    </row>
    <row r="670" spans="3:15">
      <c r="C670" s="233"/>
      <c r="D670" s="233"/>
      <c r="E670" s="770"/>
      <c r="F670" s="234"/>
      <c r="G670" s="234"/>
      <c r="H670" s="233"/>
      <c r="I670" s="233"/>
      <c r="J670" s="770"/>
      <c r="K670" s="233"/>
      <c r="L670" s="233"/>
      <c r="M670" s="233"/>
      <c r="N670" s="2460"/>
      <c r="O670" s="2460"/>
    </row>
    <row r="671" spans="3:15">
      <c r="C671" s="233"/>
      <c r="D671" s="233"/>
      <c r="E671" s="770"/>
      <c r="F671" s="234"/>
      <c r="G671" s="234"/>
      <c r="H671" s="233"/>
      <c r="I671" s="233"/>
      <c r="J671" s="770"/>
      <c r="K671" s="233"/>
      <c r="L671" s="233"/>
      <c r="M671" s="233"/>
      <c r="N671" s="2460"/>
      <c r="O671" s="2460"/>
    </row>
    <row r="672" spans="3:15">
      <c r="C672" s="233"/>
      <c r="D672" s="233"/>
      <c r="E672" s="770"/>
      <c r="F672" s="234"/>
      <c r="G672" s="234"/>
      <c r="H672" s="233"/>
      <c r="I672" s="233"/>
      <c r="J672" s="770"/>
      <c r="K672" s="233"/>
      <c r="L672" s="233"/>
      <c r="M672" s="233"/>
      <c r="N672" s="2460"/>
      <c r="O672" s="2460"/>
    </row>
    <row r="673" spans="3:15">
      <c r="C673" s="233"/>
      <c r="D673" s="233"/>
      <c r="E673" s="770"/>
      <c r="F673" s="234"/>
      <c r="G673" s="234"/>
      <c r="H673" s="233"/>
      <c r="I673" s="233"/>
      <c r="J673" s="770"/>
      <c r="K673" s="233"/>
      <c r="L673" s="233"/>
      <c r="M673" s="233"/>
      <c r="N673" s="2460"/>
      <c r="O673" s="2460"/>
    </row>
    <row r="674" spans="3:15">
      <c r="C674" s="233"/>
      <c r="D674" s="233"/>
      <c r="E674" s="770"/>
      <c r="F674" s="234"/>
      <c r="G674" s="234"/>
      <c r="H674" s="233"/>
      <c r="I674" s="233"/>
      <c r="J674" s="770"/>
      <c r="K674" s="233"/>
      <c r="L674" s="233"/>
      <c r="M674" s="233"/>
      <c r="N674" s="2460"/>
      <c r="O674" s="2460"/>
    </row>
    <row r="675" spans="3:15">
      <c r="C675" s="233"/>
      <c r="D675" s="233"/>
      <c r="E675" s="770"/>
      <c r="F675" s="234"/>
      <c r="G675" s="234"/>
      <c r="H675" s="233"/>
      <c r="I675" s="233"/>
      <c r="J675" s="770"/>
      <c r="K675" s="233"/>
      <c r="L675" s="233"/>
      <c r="M675" s="233"/>
      <c r="N675" s="2460"/>
      <c r="O675" s="2460"/>
    </row>
    <row r="676" spans="3:15">
      <c r="C676" s="233"/>
      <c r="D676" s="233"/>
      <c r="E676" s="770"/>
      <c r="F676" s="234"/>
      <c r="G676" s="234"/>
      <c r="H676" s="233"/>
      <c r="I676" s="233"/>
      <c r="J676" s="770"/>
      <c r="K676" s="233"/>
      <c r="L676" s="233"/>
      <c r="M676" s="233"/>
      <c r="N676" s="2460"/>
      <c r="O676" s="2460"/>
    </row>
    <row r="677" spans="3:15">
      <c r="C677" s="233"/>
      <c r="D677" s="233"/>
      <c r="E677" s="770"/>
      <c r="F677" s="234"/>
      <c r="G677" s="234"/>
      <c r="H677" s="233"/>
      <c r="I677" s="233"/>
      <c r="J677" s="770"/>
      <c r="K677" s="233"/>
      <c r="L677" s="233"/>
      <c r="M677" s="233"/>
      <c r="N677" s="2460"/>
      <c r="O677" s="2460"/>
    </row>
    <row r="678" spans="3:15">
      <c r="C678" s="233"/>
      <c r="D678" s="233"/>
      <c r="E678" s="770"/>
      <c r="F678" s="234"/>
      <c r="G678" s="234"/>
      <c r="H678" s="233"/>
      <c r="I678" s="233"/>
      <c r="J678" s="770"/>
      <c r="K678" s="233"/>
      <c r="L678" s="233"/>
      <c r="M678" s="233"/>
      <c r="N678" s="2460"/>
      <c r="O678" s="2460"/>
    </row>
    <row r="679" spans="3:15">
      <c r="C679" s="233"/>
      <c r="D679" s="233"/>
      <c r="E679" s="770"/>
      <c r="F679" s="234"/>
      <c r="G679" s="234"/>
      <c r="H679" s="233"/>
      <c r="I679" s="233"/>
      <c r="J679" s="770"/>
      <c r="K679" s="233"/>
      <c r="L679" s="233"/>
      <c r="M679" s="233"/>
      <c r="N679" s="2460"/>
      <c r="O679" s="2460"/>
    </row>
    <row r="680" spans="3:15">
      <c r="C680" s="233"/>
      <c r="D680" s="233"/>
      <c r="E680" s="770"/>
      <c r="F680" s="234"/>
      <c r="G680" s="234"/>
      <c r="H680" s="233"/>
      <c r="I680" s="233"/>
      <c r="J680" s="770"/>
      <c r="K680" s="233"/>
      <c r="L680" s="233"/>
      <c r="M680" s="233"/>
      <c r="N680" s="2460"/>
      <c r="O680" s="2460"/>
    </row>
    <row r="681" spans="3:15">
      <c r="C681" s="233"/>
      <c r="D681" s="233"/>
      <c r="E681" s="770"/>
      <c r="F681" s="234"/>
      <c r="G681" s="234"/>
      <c r="H681" s="233"/>
      <c r="I681" s="233"/>
      <c r="J681" s="770"/>
      <c r="K681" s="233"/>
      <c r="L681" s="233"/>
      <c r="M681" s="233"/>
      <c r="N681" s="2460"/>
      <c r="O681" s="2460"/>
    </row>
    <row r="682" spans="3:15">
      <c r="C682" s="233"/>
      <c r="D682" s="233"/>
      <c r="E682" s="770"/>
      <c r="F682" s="234"/>
      <c r="G682" s="234"/>
      <c r="H682" s="233"/>
      <c r="I682" s="233"/>
      <c r="J682" s="770"/>
      <c r="K682" s="233"/>
      <c r="L682" s="233"/>
      <c r="M682" s="233"/>
      <c r="N682" s="2460"/>
      <c r="O682" s="2460"/>
    </row>
    <row r="683" spans="3:15">
      <c r="C683" s="233"/>
      <c r="D683" s="233"/>
      <c r="E683" s="770"/>
      <c r="F683" s="234"/>
      <c r="G683" s="234"/>
      <c r="H683" s="233"/>
      <c r="I683" s="233"/>
      <c r="J683" s="770"/>
      <c r="K683" s="233"/>
      <c r="L683" s="233"/>
      <c r="M683" s="233"/>
      <c r="N683" s="2460"/>
      <c r="O683" s="2460"/>
    </row>
    <row r="684" spans="3:15">
      <c r="C684" s="233"/>
      <c r="D684" s="233"/>
      <c r="E684" s="770"/>
      <c r="F684" s="234"/>
      <c r="G684" s="234"/>
      <c r="H684" s="233"/>
      <c r="I684" s="233"/>
      <c r="J684" s="770"/>
      <c r="K684" s="233"/>
      <c r="L684" s="233"/>
      <c r="M684" s="233"/>
      <c r="N684" s="2460"/>
      <c r="O684" s="2460"/>
    </row>
    <row r="685" spans="3:15">
      <c r="C685" s="233"/>
      <c r="D685" s="233"/>
      <c r="E685" s="770"/>
      <c r="F685" s="234"/>
      <c r="G685" s="234"/>
      <c r="H685" s="233"/>
      <c r="I685" s="233"/>
      <c r="J685" s="770"/>
      <c r="K685" s="233"/>
      <c r="L685" s="233"/>
      <c r="M685" s="233"/>
      <c r="N685" s="2460"/>
      <c r="O685" s="2460"/>
    </row>
    <row r="686" spans="3:15">
      <c r="C686" s="233"/>
      <c r="D686" s="233"/>
      <c r="E686" s="770"/>
      <c r="F686" s="234"/>
      <c r="G686" s="234"/>
      <c r="H686" s="233"/>
      <c r="I686" s="233"/>
      <c r="J686" s="770"/>
      <c r="K686" s="233"/>
      <c r="L686" s="233"/>
      <c r="M686" s="233"/>
      <c r="N686" s="2460"/>
      <c r="O686" s="2460"/>
    </row>
    <row r="687" spans="3:15">
      <c r="C687" s="233"/>
      <c r="D687" s="233"/>
      <c r="E687" s="770"/>
      <c r="F687" s="234"/>
      <c r="G687" s="234"/>
      <c r="H687" s="233"/>
      <c r="I687" s="233"/>
      <c r="J687" s="770"/>
      <c r="K687" s="233"/>
      <c r="L687" s="233"/>
      <c r="M687" s="233"/>
      <c r="N687" s="2460"/>
      <c r="O687" s="2460"/>
    </row>
    <row r="688" spans="3:15">
      <c r="C688" s="233"/>
      <c r="D688" s="233"/>
      <c r="E688" s="770"/>
      <c r="F688" s="234"/>
      <c r="G688" s="234"/>
      <c r="H688" s="233"/>
      <c r="I688" s="233"/>
      <c r="J688" s="770"/>
      <c r="K688" s="233"/>
      <c r="L688" s="233"/>
      <c r="M688" s="233"/>
      <c r="N688" s="2460"/>
      <c r="O688" s="2460"/>
    </row>
    <row r="689" spans="3:15">
      <c r="C689" s="233"/>
      <c r="D689" s="233"/>
      <c r="E689" s="770"/>
      <c r="F689" s="234"/>
      <c r="G689" s="234"/>
      <c r="H689" s="233"/>
      <c r="I689" s="233"/>
      <c r="J689" s="770"/>
      <c r="K689" s="233"/>
      <c r="L689" s="233"/>
      <c r="M689" s="233"/>
      <c r="N689" s="2460"/>
      <c r="O689" s="2460"/>
    </row>
    <row r="690" spans="3:15">
      <c r="C690" s="233"/>
      <c r="D690" s="233"/>
      <c r="E690" s="770"/>
      <c r="F690" s="234"/>
      <c r="G690" s="234"/>
      <c r="H690" s="233"/>
      <c r="I690" s="233"/>
      <c r="J690" s="770"/>
      <c r="K690" s="233"/>
      <c r="L690" s="233"/>
      <c r="M690" s="233"/>
      <c r="N690" s="2460"/>
      <c r="O690" s="2460"/>
    </row>
    <row r="691" spans="3:15">
      <c r="C691" s="233"/>
      <c r="D691" s="233"/>
      <c r="E691" s="770"/>
      <c r="F691" s="234"/>
      <c r="G691" s="234"/>
      <c r="H691" s="233"/>
      <c r="I691" s="233"/>
      <c r="J691" s="770"/>
      <c r="K691" s="233"/>
      <c r="L691" s="233"/>
      <c r="M691" s="233"/>
      <c r="N691" s="2460"/>
      <c r="O691" s="2460"/>
    </row>
    <row r="692" spans="3:15">
      <c r="C692" s="233"/>
      <c r="D692" s="233"/>
      <c r="E692" s="770"/>
      <c r="F692" s="234"/>
      <c r="G692" s="234"/>
      <c r="H692" s="233"/>
      <c r="I692" s="233"/>
      <c r="J692" s="770"/>
      <c r="K692" s="233"/>
      <c r="L692" s="233"/>
      <c r="M692" s="233"/>
      <c r="N692" s="2460"/>
      <c r="O692" s="2460"/>
    </row>
    <row r="693" spans="3:15">
      <c r="C693" s="233"/>
      <c r="D693" s="233"/>
      <c r="E693" s="770"/>
      <c r="F693" s="234"/>
      <c r="G693" s="234"/>
      <c r="H693" s="233"/>
      <c r="I693" s="233"/>
      <c r="J693" s="770"/>
      <c r="K693" s="233"/>
      <c r="L693" s="233"/>
      <c r="M693" s="233"/>
      <c r="N693" s="2460"/>
      <c r="O693" s="2460"/>
    </row>
    <row r="694" spans="3:15">
      <c r="C694" s="233"/>
      <c r="D694" s="233"/>
      <c r="E694" s="770"/>
      <c r="F694" s="234"/>
      <c r="G694" s="234"/>
      <c r="H694" s="233"/>
      <c r="I694" s="233"/>
      <c r="J694" s="770"/>
      <c r="K694" s="233"/>
      <c r="L694" s="233"/>
      <c r="M694" s="233"/>
      <c r="N694" s="2460"/>
      <c r="O694" s="2460"/>
    </row>
    <row r="695" spans="3:15">
      <c r="C695" s="233"/>
      <c r="D695" s="233"/>
      <c r="E695" s="770"/>
      <c r="F695" s="234"/>
      <c r="G695" s="234"/>
      <c r="H695" s="233"/>
      <c r="I695" s="233"/>
      <c r="J695" s="770"/>
      <c r="K695" s="233"/>
      <c r="L695" s="233"/>
      <c r="M695" s="233"/>
      <c r="N695" s="2460"/>
      <c r="O695" s="2460"/>
    </row>
    <row r="696" spans="3:15">
      <c r="C696" s="233"/>
      <c r="D696" s="233"/>
      <c r="E696" s="770"/>
      <c r="F696" s="234"/>
      <c r="G696" s="234"/>
      <c r="H696" s="233"/>
      <c r="I696" s="233"/>
      <c r="J696" s="770"/>
      <c r="K696" s="233"/>
      <c r="L696" s="233"/>
      <c r="M696" s="233"/>
      <c r="N696" s="2460"/>
      <c r="O696" s="2460"/>
    </row>
    <row r="697" spans="3:15">
      <c r="C697" s="233"/>
      <c r="D697" s="233"/>
      <c r="E697" s="770"/>
      <c r="F697" s="234"/>
      <c r="G697" s="234"/>
      <c r="H697" s="233"/>
      <c r="I697" s="233"/>
      <c r="J697" s="770"/>
      <c r="K697" s="233"/>
      <c r="L697" s="233"/>
      <c r="M697" s="233"/>
      <c r="N697" s="2460"/>
      <c r="O697" s="2460"/>
    </row>
    <row r="698" spans="3:15">
      <c r="C698" s="233"/>
      <c r="D698" s="233"/>
      <c r="E698" s="770"/>
      <c r="F698" s="234"/>
      <c r="G698" s="234"/>
      <c r="H698" s="233"/>
      <c r="I698" s="233"/>
      <c r="J698" s="770"/>
      <c r="K698" s="233"/>
      <c r="L698" s="233"/>
      <c r="M698" s="233"/>
      <c r="N698" s="2460"/>
      <c r="O698" s="2460"/>
    </row>
    <row r="699" spans="3:15">
      <c r="C699" s="233"/>
      <c r="D699" s="233"/>
      <c r="E699" s="770"/>
      <c r="F699" s="234"/>
      <c r="G699" s="234"/>
      <c r="H699" s="233"/>
      <c r="I699" s="233"/>
      <c r="J699" s="770"/>
      <c r="K699" s="233"/>
      <c r="L699" s="233"/>
      <c r="M699" s="233"/>
      <c r="N699" s="2460"/>
      <c r="O699" s="2460"/>
    </row>
    <row r="700" spans="3:15">
      <c r="C700" s="233"/>
      <c r="D700" s="233"/>
      <c r="E700" s="770"/>
      <c r="F700" s="234"/>
      <c r="G700" s="234"/>
      <c r="H700" s="233"/>
      <c r="I700" s="233"/>
      <c r="J700" s="770"/>
      <c r="K700" s="233"/>
      <c r="L700" s="233"/>
      <c r="M700" s="233"/>
      <c r="N700" s="2460"/>
      <c r="O700" s="2460"/>
    </row>
    <row r="701" spans="3:15">
      <c r="C701" s="233"/>
      <c r="D701" s="233"/>
      <c r="E701" s="770"/>
      <c r="F701" s="234"/>
      <c r="G701" s="234"/>
      <c r="H701" s="233"/>
      <c r="I701" s="233"/>
      <c r="J701" s="770"/>
      <c r="K701" s="233"/>
      <c r="L701" s="233"/>
      <c r="M701" s="233"/>
      <c r="N701" s="2460"/>
      <c r="O701" s="2460"/>
    </row>
    <row r="702" spans="3:15">
      <c r="C702" s="233"/>
      <c r="D702" s="233"/>
      <c r="E702" s="770"/>
      <c r="F702" s="234"/>
      <c r="G702" s="234"/>
      <c r="H702" s="233"/>
      <c r="I702" s="233"/>
      <c r="J702" s="770"/>
      <c r="K702" s="233"/>
      <c r="L702" s="233"/>
      <c r="M702" s="233"/>
      <c r="N702" s="2460"/>
      <c r="O702" s="2460"/>
    </row>
    <row r="703" spans="3:15">
      <c r="C703" s="233"/>
      <c r="D703" s="233"/>
      <c r="E703" s="770"/>
      <c r="F703" s="234"/>
      <c r="G703" s="234"/>
      <c r="H703" s="233"/>
      <c r="I703" s="233"/>
      <c r="J703" s="770"/>
      <c r="K703" s="233"/>
      <c r="L703" s="233"/>
      <c r="M703" s="233"/>
      <c r="N703" s="2460"/>
      <c r="O703" s="2460"/>
    </row>
    <row r="704" spans="3:15">
      <c r="C704" s="233"/>
      <c r="D704" s="233"/>
      <c r="E704" s="770"/>
      <c r="F704" s="234"/>
      <c r="G704" s="234"/>
      <c r="H704" s="233"/>
      <c r="I704" s="233"/>
      <c r="J704" s="770"/>
      <c r="K704" s="233"/>
      <c r="L704" s="233"/>
      <c r="M704" s="233"/>
      <c r="N704" s="2460"/>
      <c r="O704" s="2460"/>
    </row>
    <row r="705" spans="3:15">
      <c r="C705" s="233"/>
      <c r="D705" s="233"/>
      <c r="E705" s="770"/>
      <c r="F705" s="234"/>
      <c r="G705" s="234"/>
      <c r="H705" s="233"/>
      <c r="I705" s="233"/>
      <c r="J705" s="770"/>
      <c r="K705" s="233"/>
      <c r="L705" s="233"/>
      <c r="M705" s="233"/>
      <c r="N705" s="2460"/>
      <c r="O705" s="2460"/>
    </row>
    <row r="706" spans="3:15">
      <c r="C706" s="233"/>
      <c r="D706" s="233"/>
      <c r="E706" s="770"/>
      <c r="F706" s="234"/>
      <c r="G706" s="234"/>
      <c r="H706" s="233"/>
      <c r="I706" s="233"/>
      <c r="J706" s="770"/>
      <c r="K706" s="233"/>
      <c r="L706" s="233"/>
      <c r="M706" s="233"/>
      <c r="N706" s="2460"/>
      <c r="O706" s="2460"/>
    </row>
    <row r="707" spans="3:15">
      <c r="C707" s="233"/>
      <c r="D707" s="233"/>
      <c r="E707" s="770"/>
      <c r="F707" s="234"/>
      <c r="G707" s="234"/>
      <c r="H707" s="233"/>
      <c r="I707" s="233"/>
      <c r="J707" s="770"/>
      <c r="K707" s="233"/>
      <c r="L707" s="233"/>
      <c r="M707" s="233"/>
      <c r="N707" s="2460"/>
      <c r="O707" s="2460"/>
    </row>
    <row r="708" spans="3:15">
      <c r="C708" s="233"/>
      <c r="D708" s="233"/>
      <c r="E708" s="770"/>
      <c r="F708" s="234"/>
      <c r="G708" s="234"/>
      <c r="H708" s="233"/>
      <c r="I708" s="233"/>
      <c r="J708" s="770"/>
      <c r="K708" s="233"/>
      <c r="L708" s="233"/>
      <c r="M708" s="233"/>
      <c r="N708" s="2460"/>
      <c r="O708" s="2460"/>
    </row>
    <row r="709" spans="3:15">
      <c r="C709" s="233"/>
      <c r="D709" s="233"/>
      <c r="E709" s="770"/>
      <c r="F709" s="234"/>
      <c r="G709" s="234"/>
      <c r="H709" s="233"/>
      <c r="I709" s="233"/>
      <c r="J709" s="770"/>
      <c r="K709" s="233"/>
      <c r="L709" s="233"/>
      <c r="M709" s="233"/>
      <c r="N709" s="2460"/>
      <c r="O709" s="2460"/>
    </row>
    <row r="710" spans="3:15">
      <c r="C710" s="233"/>
      <c r="D710" s="233"/>
      <c r="E710" s="770"/>
      <c r="F710" s="234"/>
      <c r="G710" s="234"/>
      <c r="H710" s="233"/>
      <c r="I710" s="233"/>
      <c r="J710" s="770"/>
      <c r="K710" s="233"/>
      <c r="L710" s="233"/>
      <c r="M710" s="233"/>
      <c r="N710" s="2460"/>
      <c r="O710" s="2460"/>
    </row>
    <row r="711" spans="3:15">
      <c r="C711" s="233"/>
      <c r="D711" s="233"/>
      <c r="E711" s="770"/>
      <c r="F711" s="234"/>
      <c r="G711" s="234"/>
      <c r="H711" s="233"/>
      <c r="I711" s="233"/>
      <c r="J711" s="770"/>
      <c r="K711" s="233"/>
      <c r="L711" s="233"/>
      <c r="M711" s="233"/>
      <c r="N711" s="2460"/>
      <c r="O711" s="2460"/>
    </row>
    <row r="712" spans="3:15">
      <c r="C712" s="233"/>
      <c r="D712" s="233"/>
      <c r="E712" s="770"/>
      <c r="F712" s="234"/>
      <c r="G712" s="234"/>
      <c r="H712" s="233"/>
      <c r="I712" s="233"/>
      <c r="J712" s="770"/>
      <c r="K712" s="233"/>
      <c r="L712" s="233"/>
      <c r="M712" s="233"/>
      <c r="N712" s="2460"/>
      <c r="O712" s="2460"/>
    </row>
    <row r="713" spans="3:15">
      <c r="C713" s="233"/>
      <c r="D713" s="233"/>
      <c r="E713" s="770"/>
      <c r="F713" s="234"/>
      <c r="G713" s="234"/>
      <c r="H713" s="233"/>
      <c r="I713" s="233"/>
      <c r="J713" s="770"/>
      <c r="K713" s="233"/>
      <c r="L713" s="233"/>
      <c r="M713" s="233"/>
      <c r="N713" s="2460"/>
      <c r="O713" s="2460"/>
    </row>
    <row r="714" spans="3:15">
      <c r="C714" s="233"/>
      <c r="D714" s="233"/>
      <c r="E714" s="770"/>
      <c r="F714" s="234"/>
      <c r="G714" s="234"/>
      <c r="H714" s="233"/>
      <c r="I714" s="233"/>
      <c r="J714" s="770"/>
      <c r="K714" s="233"/>
      <c r="L714" s="233"/>
      <c r="M714" s="233"/>
      <c r="N714" s="2460"/>
      <c r="O714" s="2460"/>
    </row>
    <row r="715" spans="3:15">
      <c r="C715" s="233"/>
      <c r="D715" s="233"/>
      <c r="E715" s="770"/>
      <c r="F715" s="234"/>
      <c r="G715" s="234"/>
      <c r="H715" s="233"/>
      <c r="I715" s="233"/>
      <c r="J715" s="770"/>
      <c r="K715" s="233"/>
      <c r="L715" s="233"/>
      <c r="M715" s="233"/>
      <c r="N715" s="2460"/>
      <c r="O715" s="2460"/>
    </row>
    <row r="716" spans="3:15">
      <c r="C716" s="233"/>
      <c r="D716" s="233"/>
      <c r="E716" s="770"/>
      <c r="F716" s="234"/>
      <c r="G716" s="234"/>
      <c r="H716" s="233"/>
      <c r="I716" s="233"/>
      <c r="J716" s="770"/>
      <c r="K716" s="233"/>
      <c r="L716" s="233"/>
      <c r="M716" s="233"/>
      <c r="N716" s="2460"/>
      <c r="O716" s="2460"/>
    </row>
    <row r="717" spans="3:15">
      <c r="C717" s="233"/>
      <c r="D717" s="233"/>
      <c r="E717" s="770"/>
      <c r="F717" s="234"/>
      <c r="G717" s="234"/>
      <c r="H717" s="233"/>
      <c r="I717" s="233"/>
      <c r="J717" s="770"/>
      <c r="K717" s="233"/>
      <c r="L717" s="233"/>
      <c r="M717" s="233"/>
      <c r="N717" s="2460"/>
      <c r="O717" s="2460"/>
    </row>
    <row r="718" spans="3:15">
      <c r="C718" s="233"/>
      <c r="D718" s="233"/>
      <c r="E718" s="770"/>
      <c r="F718" s="234"/>
      <c r="G718" s="234"/>
      <c r="H718" s="233"/>
      <c r="I718" s="233"/>
      <c r="J718" s="770"/>
      <c r="K718" s="233"/>
      <c r="L718" s="233"/>
      <c r="M718" s="233"/>
      <c r="N718" s="2460"/>
      <c r="O718" s="2460"/>
    </row>
    <row r="719" spans="3:15">
      <c r="C719" s="233"/>
      <c r="D719" s="233"/>
      <c r="E719" s="770"/>
      <c r="F719" s="234"/>
      <c r="G719" s="234"/>
      <c r="H719" s="233"/>
      <c r="I719" s="233"/>
      <c r="J719" s="770"/>
      <c r="K719" s="233"/>
      <c r="L719" s="233"/>
      <c r="M719" s="233"/>
      <c r="N719" s="2460"/>
      <c r="O719" s="2460"/>
    </row>
    <row r="720" spans="3:15">
      <c r="C720" s="233"/>
      <c r="D720" s="233"/>
      <c r="E720" s="770"/>
      <c r="F720" s="234"/>
      <c r="G720" s="234"/>
      <c r="H720" s="233"/>
      <c r="I720" s="233"/>
      <c r="J720" s="770"/>
      <c r="K720" s="233"/>
      <c r="L720" s="233"/>
      <c r="M720" s="233"/>
      <c r="N720" s="2460"/>
      <c r="O720" s="2460"/>
    </row>
    <row r="721" spans="3:15">
      <c r="C721" s="233"/>
      <c r="D721" s="233"/>
      <c r="E721" s="770"/>
      <c r="F721" s="234"/>
      <c r="G721" s="234"/>
      <c r="H721" s="233"/>
      <c r="I721" s="233"/>
      <c r="J721" s="770"/>
      <c r="K721" s="233"/>
      <c r="L721" s="233"/>
      <c r="M721" s="233"/>
      <c r="N721" s="2460"/>
      <c r="O721" s="2460"/>
    </row>
    <row r="722" spans="3:15">
      <c r="C722" s="233"/>
      <c r="D722" s="233"/>
      <c r="E722" s="770"/>
      <c r="F722" s="234"/>
      <c r="G722" s="234"/>
      <c r="H722" s="233"/>
      <c r="I722" s="233"/>
      <c r="J722" s="770"/>
      <c r="K722" s="233"/>
      <c r="L722" s="233"/>
      <c r="M722" s="233"/>
      <c r="N722" s="2460"/>
      <c r="O722" s="2460"/>
    </row>
    <row r="723" spans="3:15">
      <c r="C723" s="233"/>
      <c r="D723" s="233"/>
      <c r="E723" s="770"/>
      <c r="F723" s="234"/>
      <c r="G723" s="234"/>
      <c r="H723" s="233"/>
      <c r="I723" s="233"/>
      <c r="J723" s="770"/>
      <c r="K723" s="233"/>
      <c r="L723" s="233"/>
      <c r="M723" s="233"/>
      <c r="N723" s="2460"/>
      <c r="O723" s="2460"/>
    </row>
    <row r="724" spans="3:15">
      <c r="C724" s="233"/>
      <c r="D724" s="233"/>
      <c r="E724" s="770"/>
      <c r="F724" s="234"/>
      <c r="G724" s="234"/>
      <c r="H724" s="233"/>
      <c r="I724" s="233"/>
      <c r="J724" s="770"/>
      <c r="K724" s="233"/>
      <c r="L724" s="233"/>
      <c r="M724" s="233"/>
      <c r="N724" s="2460"/>
      <c r="O724" s="2460"/>
    </row>
    <row r="725" spans="3:15">
      <c r="C725" s="233"/>
      <c r="D725" s="233"/>
      <c r="E725" s="770"/>
      <c r="F725" s="234"/>
      <c r="G725" s="234"/>
      <c r="H725" s="233"/>
      <c r="I725" s="233"/>
      <c r="J725" s="770"/>
      <c r="K725" s="233"/>
      <c r="L725" s="233"/>
      <c r="M725" s="233"/>
      <c r="N725" s="2460"/>
      <c r="O725" s="2460"/>
    </row>
    <row r="726" spans="3:15">
      <c r="C726" s="233"/>
      <c r="D726" s="233"/>
      <c r="E726" s="770"/>
      <c r="F726" s="234"/>
      <c r="G726" s="234"/>
      <c r="H726" s="233"/>
      <c r="I726" s="233"/>
      <c r="J726" s="770"/>
      <c r="K726" s="233"/>
      <c r="L726" s="233"/>
      <c r="M726" s="233"/>
      <c r="N726" s="2460"/>
      <c r="O726" s="2460"/>
    </row>
    <row r="727" spans="3:15">
      <c r="C727" s="233"/>
      <c r="D727" s="233"/>
      <c r="E727" s="770"/>
      <c r="F727" s="234"/>
      <c r="G727" s="234"/>
      <c r="H727" s="233"/>
      <c r="I727" s="233"/>
      <c r="J727" s="770"/>
      <c r="K727" s="233"/>
      <c r="L727" s="233"/>
      <c r="M727" s="233"/>
      <c r="N727" s="2460"/>
      <c r="O727" s="2460"/>
    </row>
    <row r="728" spans="3:15">
      <c r="C728" s="233"/>
      <c r="D728" s="233"/>
      <c r="E728" s="770"/>
      <c r="F728" s="234"/>
      <c r="G728" s="234"/>
      <c r="H728" s="233"/>
      <c r="I728" s="233"/>
      <c r="J728" s="770"/>
      <c r="K728" s="233"/>
      <c r="L728" s="233"/>
      <c r="M728" s="233"/>
      <c r="N728" s="2460"/>
      <c r="O728" s="2460"/>
    </row>
    <row r="729" spans="3:15">
      <c r="C729" s="233"/>
      <c r="D729" s="233"/>
      <c r="E729" s="770"/>
      <c r="F729" s="234"/>
      <c r="G729" s="234"/>
      <c r="H729" s="233"/>
      <c r="I729" s="233"/>
      <c r="J729" s="770"/>
      <c r="K729" s="233"/>
      <c r="L729" s="233"/>
      <c r="M729" s="233"/>
      <c r="N729" s="2460"/>
      <c r="O729" s="2460"/>
    </row>
    <row r="730" spans="3:15">
      <c r="C730" s="233"/>
      <c r="D730" s="233"/>
      <c r="E730" s="770"/>
      <c r="F730" s="234"/>
      <c r="G730" s="234"/>
      <c r="H730" s="233"/>
      <c r="I730" s="233"/>
      <c r="J730" s="770"/>
      <c r="K730" s="233"/>
      <c r="L730" s="233"/>
      <c r="M730" s="233"/>
      <c r="N730" s="2460"/>
      <c r="O730" s="2460"/>
    </row>
    <row r="731" spans="3:15">
      <c r="C731" s="233"/>
      <c r="D731" s="233"/>
      <c r="E731" s="770"/>
      <c r="F731" s="234"/>
      <c r="G731" s="234"/>
      <c r="H731" s="233"/>
      <c r="I731" s="233"/>
      <c r="J731" s="770"/>
      <c r="K731" s="233"/>
      <c r="L731" s="233"/>
      <c r="M731" s="233"/>
      <c r="N731" s="2460"/>
      <c r="O731" s="2460"/>
    </row>
    <row r="732" spans="3:15">
      <c r="C732" s="233"/>
      <c r="D732" s="233"/>
      <c r="E732" s="770"/>
      <c r="F732" s="234"/>
      <c r="G732" s="234"/>
      <c r="H732" s="233"/>
      <c r="I732" s="233"/>
      <c r="J732" s="770"/>
      <c r="K732" s="233"/>
      <c r="L732" s="233"/>
      <c r="M732" s="233"/>
      <c r="N732" s="2460"/>
      <c r="O732" s="2460"/>
    </row>
    <row r="733" spans="3:15">
      <c r="C733" s="233"/>
      <c r="D733" s="233"/>
      <c r="E733" s="770"/>
      <c r="F733" s="234"/>
      <c r="G733" s="234"/>
      <c r="H733" s="233"/>
      <c r="I733" s="233"/>
      <c r="J733" s="770"/>
      <c r="K733" s="233"/>
      <c r="L733" s="233"/>
      <c r="M733" s="233"/>
      <c r="N733" s="2460"/>
      <c r="O733" s="2460"/>
    </row>
    <row r="734" spans="3:15">
      <c r="C734" s="233"/>
      <c r="D734" s="233"/>
      <c r="E734" s="770"/>
      <c r="F734" s="234"/>
      <c r="G734" s="234"/>
      <c r="H734" s="233"/>
      <c r="I734" s="233"/>
      <c r="J734" s="770"/>
      <c r="K734" s="233"/>
      <c r="L734" s="233"/>
      <c r="M734" s="233"/>
      <c r="N734" s="2460"/>
      <c r="O734" s="2460"/>
    </row>
    <row r="735" spans="3:15">
      <c r="C735" s="233"/>
      <c r="D735" s="233"/>
      <c r="E735" s="770"/>
      <c r="F735" s="234"/>
      <c r="G735" s="234"/>
      <c r="H735" s="233"/>
      <c r="I735" s="233"/>
      <c r="J735" s="770"/>
      <c r="K735" s="233"/>
      <c r="L735" s="233"/>
      <c r="M735" s="233"/>
      <c r="N735" s="2460"/>
      <c r="O735" s="2460"/>
    </row>
    <row r="736" spans="3:15">
      <c r="C736" s="233"/>
      <c r="D736" s="233"/>
      <c r="E736" s="770"/>
      <c r="F736" s="234"/>
      <c r="G736" s="234"/>
      <c r="H736" s="233"/>
      <c r="I736" s="233"/>
      <c r="J736" s="770"/>
      <c r="K736" s="233"/>
      <c r="L736" s="233"/>
      <c r="M736" s="233"/>
      <c r="N736" s="2460"/>
      <c r="O736" s="2460"/>
    </row>
    <row r="737" spans="3:15">
      <c r="C737" s="233"/>
      <c r="D737" s="233"/>
      <c r="E737" s="770"/>
      <c r="F737" s="234"/>
      <c r="G737" s="234"/>
      <c r="H737" s="233"/>
      <c r="I737" s="233"/>
      <c r="J737" s="770"/>
      <c r="K737" s="233"/>
      <c r="L737" s="233"/>
      <c r="M737" s="233"/>
      <c r="N737" s="2460"/>
      <c r="O737" s="2460"/>
    </row>
    <row r="738" spans="3:15">
      <c r="C738" s="233"/>
      <c r="D738" s="233"/>
      <c r="E738" s="770"/>
      <c r="F738" s="234"/>
      <c r="G738" s="234"/>
      <c r="H738" s="233"/>
      <c r="I738" s="233"/>
      <c r="J738" s="770"/>
      <c r="K738" s="233"/>
      <c r="L738" s="233"/>
      <c r="M738" s="233"/>
      <c r="N738" s="2460"/>
      <c r="O738" s="2460"/>
    </row>
    <row r="739" spans="3:15">
      <c r="C739" s="233"/>
      <c r="D739" s="233"/>
      <c r="E739" s="770"/>
      <c r="F739" s="234"/>
      <c r="G739" s="234"/>
      <c r="H739" s="233"/>
      <c r="I739" s="233"/>
      <c r="J739" s="770"/>
      <c r="K739" s="233"/>
      <c r="L739" s="233"/>
      <c r="M739" s="233"/>
      <c r="N739" s="2460"/>
      <c r="O739" s="2460"/>
    </row>
    <row r="740" spans="3:15">
      <c r="C740" s="233"/>
      <c r="D740" s="233"/>
      <c r="E740" s="770"/>
      <c r="F740" s="234"/>
      <c r="G740" s="234"/>
      <c r="H740" s="233"/>
      <c r="I740" s="233"/>
      <c r="J740" s="770"/>
      <c r="K740" s="233"/>
      <c r="L740" s="233"/>
      <c r="M740" s="233"/>
      <c r="N740" s="2460"/>
      <c r="O740" s="2460"/>
    </row>
    <row r="741" spans="3:15">
      <c r="C741" s="233"/>
      <c r="D741" s="233"/>
      <c r="E741" s="770"/>
      <c r="F741" s="234"/>
      <c r="G741" s="234"/>
      <c r="H741" s="233"/>
      <c r="I741" s="233"/>
      <c r="J741" s="770"/>
      <c r="K741" s="233"/>
      <c r="L741" s="233"/>
      <c r="M741" s="233"/>
      <c r="N741" s="2460"/>
      <c r="O741" s="2460"/>
    </row>
    <row r="742" spans="3:15">
      <c r="C742" s="233"/>
      <c r="D742" s="233"/>
      <c r="E742" s="770"/>
      <c r="F742" s="234"/>
      <c r="G742" s="234"/>
      <c r="H742" s="233"/>
      <c r="I742" s="233"/>
      <c r="J742" s="770"/>
      <c r="K742" s="233"/>
      <c r="L742" s="233"/>
      <c r="M742" s="233"/>
      <c r="N742" s="2460"/>
      <c r="O742" s="2460"/>
    </row>
    <row r="743" spans="3:15">
      <c r="C743" s="233"/>
      <c r="D743" s="233"/>
      <c r="E743" s="770"/>
      <c r="F743" s="234"/>
      <c r="G743" s="234"/>
      <c r="H743" s="233"/>
      <c r="I743" s="233"/>
      <c r="J743" s="770"/>
      <c r="K743" s="233"/>
      <c r="L743" s="233"/>
      <c r="M743" s="233"/>
      <c r="N743" s="2460"/>
      <c r="O743" s="2460"/>
    </row>
    <row r="744" spans="3:15">
      <c r="C744" s="233"/>
      <c r="D744" s="233"/>
      <c r="E744" s="770"/>
      <c r="F744" s="234"/>
      <c r="G744" s="234"/>
      <c r="H744" s="233"/>
      <c r="I744" s="233"/>
      <c r="J744" s="770"/>
      <c r="K744" s="233"/>
      <c r="L744" s="233"/>
      <c r="M744" s="233"/>
      <c r="N744" s="2460"/>
      <c r="O744" s="2460"/>
    </row>
    <row r="745" spans="3:15">
      <c r="C745" s="233"/>
      <c r="D745" s="233"/>
      <c r="E745" s="770"/>
      <c r="F745" s="234"/>
      <c r="G745" s="234"/>
      <c r="H745" s="233"/>
      <c r="I745" s="233"/>
      <c r="J745" s="770"/>
      <c r="K745" s="233"/>
      <c r="L745" s="233"/>
      <c r="M745" s="233"/>
      <c r="N745" s="2460"/>
      <c r="O745" s="2460"/>
    </row>
    <row r="746" spans="3:15">
      <c r="C746" s="233"/>
      <c r="D746" s="233"/>
      <c r="E746" s="770"/>
      <c r="F746" s="234"/>
      <c r="G746" s="234"/>
      <c r="H746" s="233"/>
      <c r="I746" s="233"/>
      <c r="J746" s="770"/>
      <c r="K746" s="233"/>
      <c r="L746" s="233"/>
      <c r="M746" s="233"/>
      <c r="N746" s="2460"/>
      <c r="O746" s="2460"/>
    </row>
    <row r="747" spans="3:15">
      <c r="C747" s="233"/>
      <c r="D747" s="233"/>
      <c r="E747" s="770"/>
      <c r="F747" s="234"/>
      <c r="G747" s="234"/>
      <c r="H747" s="233"/>
      <c r="I747" s="233"/>
      <c r="J747" s="770"/>
      <c r="K747" s="233"/>
      <c r="L747" s="233"/>
      <c r="M747" s="233"/>
      <c r="N747" s="2460"/>
      <c r="O747" s="2460"/>
    </row>
    <row r="748" spans="3:15">
      <c r="C748" s="233"/>
      <c r="D748" s="233"/>
      <c r="E748" s="770"/>
      <c r="F748" s="234"/>
      <c r="G748" s="234"/>
      <c r="H748" s="233"/>
      <c r="I748" s="233"/>
      <c r="J748" s="770"/>
      <c r="K748" s="233"/>
      <c r="L748" s="233"/>
      <c r="M748" s="233"/>
      <c r="N748" s="2460"/>
      <c r="O748" s="2460"/>
    </row>
    <row r="749" spans="3:15">
      <c r="C749" s="233"/>
      <c r="D749" s="233"/>
      <c r="E749" s="770"/>
      <c r="F749" s="234"/>
      <c r="G749" s="234"/>
      <c r="H749" s="233"/>
      <c r="I749" s="233"/>
      <c r="J749" s="770"/>
      <c r="K749" s="233"/>
      <c r="L749" s="233"/>
      <c r="M749" s="233"/>
      <c r="N749" s="2460"/>
      <c r="O749" s="2460"/>
    </row>
    <row r="750" spans="3:15">
      <c r="C750" s="233"/>
      <c r="D750" s="233"/>
      <c r="E750" s="770"/>
      <c r="F750" s="234"/>
      <c r="G750" s="234"/>
      <c r="H750" s="233"/>
      <c r="I750" s="233"/>
      <c r="J750" s="770"/>
      <c r="K750" s="233"/>
      <c r="L750" s="233"/>
      <c r="M750" s="233"/>
      <c r="N750" s="2460"/>
      <c r="O750" s="2460"/>
    </row>
    <row r="751" spans="3:15">
      <c r="C751" s="233"/>
      <c r="D751" s="233"/>
      <c r="E751" s="770"/>
      <c r="F751" s="234"/>
      <c r="G751" s="234"/>
      <c r="H751" s="233"/>
      <c r="I751" s="233"/>
      <c r="J751" s="770"/>
      <c r="K751" s="233"/>
      <c r="L751" s="233"/>
      <c r="M751" s="233"/>
      <c r="N751" s="2460"/>
      <c r="O751" s="2460"/>
    </row>
    <row r="752" spans="3:15">
      <c r="C752" s="233"/>
      <c r="D752" s="233"/>
      <c r="E752" s="770"/>
      <c r="F752" s="234"/>
      <c r="G752" s="234"/>
      <c r="H752" s="233"/>
      <c r="I752" s="233"/>
      <c r="J752" s="770"/>
      <c r="K752" s="233"/>
      <c r="L752" s="233"/>
      <c r="M752" s="233"/>
      <c r="N752" s="2460"/>
      <c r="O752" s="2460"/>
    </row>
    <row r="753" spans="3:15">
      <c r="C753" s="233"/>
      <c r="D753" s="233"/>
      <c r="E753" s="770"/>
      <c r="F753" s="234"/>
      <c r="G753" s="234"/>
      <c r="H753" s="233"/>
      <c r="I753" s="233"/>
      <c r="J753" s="770"/>
      <c r="K753" s="233"/>
      <c r="L753" s="233"/>
      <c r="M753" s="233"/>
      <c r="N753" s="2460"/>
      <c r="O753" s="2460"/>
    </row>
    <row r="754" spans="3:15">
      <c r="C754" s="233"/>
      <c r="D754" s="233"/>
      <c r="E754" s="770"/>
      <c r="F754" s="234"/>
      <c r="G754" s="234"/>
      <c r="H754" s="233"/>
      <c r="I754" s="233"/>
      <c r="J754" s="770"/>
      <c r="K754" s="233"/>
      <c r="L754" s="233"/>
      <c r="M754" s="233"/>
      <c r="N754" s="2460"/>
      <c r="O754" s="2460"/>
    </row>
    <row r="755" spans="3:15">
      <c r="C755" s="233"/>
      <c r="D755" s="233"/>
      <c r="E755" s="770"/>
      <c r="F755" s="234"/>
      <c r="G755" s="234"/>
      <c r="H755" s="233"/>
      <c r="I755" s="233"/>
      <c r="J755" s="770"/>
      <c r="K755" s="233"/>
      <c r="L755" s="233"/>
      <c r="M755" s="233"/>
      <c r="N755" s="2460"/>
      <c r="O755" s="2460"/>
    </row>
    <row r="756" spans="3:15">
      <c r="C756" s="233"/>
      <c r="D756" s="233"/>
      <c r="E756" s="770"/>
      <c r="F756" s="234"/>
      <c r="G756" s="234"/>
      <c r="H756" s="233"/>
      <c r="I756" s="233"/>
      <c r="J756" s="770"/>
      <c r="K756" s="233"/>
      <c r="L756" s="233"/>
      <c r="M756" s="233"/>
      <c r="N756" s="2460"/>
      <c r="O756" s="2460"/>
    </row>
    <row r="757" spans="3:15">
      <c r="C757" s="233"/>
      <c r="D757" s="233"/>
      <c r="E757" s="770"/>
      <c r="F757" s="234"/>
      <c r="G757" s="234"/>
      <c r="H757" s="233"/>
      <c r="I757" s="233"/>
      <c r="J757" s="770"/>
      <c r="K757" s="233"/>
      <c r="L757" s="233"/>
      <c r="M757" s="233"/>
      <c r="N757" s="2460"/>
      <c r="O757" s="2460"/>
    </row>
    <row r="758" spans="3:15">
      <c r="C758" s="233"/>
      <c r="D758" s="233"/>
      <c r="E758" s="770"/>
      <c r="F758" s="234"/>
      <c r="G758" s="234"/>
      <c r="H758" s="233"/>
      <c r="I758" s="233"/>
      <c r="J758" s="770"/>
      <c r="K758" s="233"/>
      <c r="L758" s="233"/>
      <c r="M758" s="233"/>
      <c r="N758" s="2460"/>
      <c r="O758" s="2460"/>
    </row>
    <row r="759" spans="3:15">
      <c r="C759" s="233"/>
      <c r="D759" s="233"/>
      <c r="E759" s="770"/>
      <c r="F759" s="234"/>
      <c r="G759" s="234"/>
      <c r="H759" s="233"/>
      <c r="I759" s="233"/>
      <c r="J759" s="770"/>
      <c r="K759" s="233"/>
      <c r="L759" s="233"/>
      <c r="M759" s="233"/>
      <c r="N759" s="2460"/>
      <c r="O759" s="2460"/>
    </row>
    <row r="760" spans="3:15">
      <c r="C760" s="233"/>
      <c r="D760" s="233"/>
      <c r="E760" s="770"/>
      <c r="F760" s="234"/>
      <c r="G760" s="234"/>
      <c r="H760" s="233"/>
      <c r="I760" s="233"/>
      <c r="J760" s="770"/>
      <c r="K760" s="233"/>
      <c r="L760" s="233"/>
      <c r="M760" s="233"/>
      <c r="N760" s="2460"/>
      <c r="O760" s="2460"/>
    </row>
    <row r="761" spans="3:15">
      <c r="C761" s="233"/>
      <c r="D761" s="233"/>
      <c r="E761" s="770"/>
      <c r="F761" s="234"/>
      <c r="G761" s="234"/>
      <c r="H761" s="233"/>
      <c r="I761" s="233"/>
      <c r="J761" s="770"/>
      <c r="K761" s="233"/>
      <c r="L761" s="233"/>
      <c r="M761" s="233"/>
      <c r="N761" s="2460"/>
      <c r="O761" s="2460"/>
    </row>
    <row r="762" spans="3:15">
      <c r="C762" s="233"/>
      <c r="D762" s="233"/>
      <c r="E762" s="770"/>
      <c r="F762" s="234"/>
      <c r="G762" s="234"/>
      <c r="H762" s="233"/>
      <c r="I762" s="233"/>
      <c r="J762" s="770"/>
      <c r="K762" s="233"/>
      <c r="L762" s="233"/>
      <c r="M762" s="233"/>
      <c r="N762" s="2460"/>
      <c r="O762" s="2460"/>
    </row>
    <row r="763" spans="3:15">
      <c r="C763" s="233"/>
      <c r="D763" s="233"/>
      <c r="E763" s="770"/>
      <c r="F763" s="234"/>
      <c r="G763" s="234"/>
      <c r="H763" s="233"/>
      <c r="I763" s="233"/>
      <c r="J763" s="770"/>
      <c r="K763" s="233"/>
      <c r="L763" s="233"/>
      <c r="M763" s="233"/>
      <c r="N763" s="2460"/>
      <c r="O763" s="2460"/>
    </row>
    <row r="764" spans="3:15">
      <c r="C764" s="233"/>
      <c r="D764" s="233"/>
      <c r="E764" s="770"/>
      <c r="F764" s="234"/>
      <c r="G764" s="234"/>
      <c r="H764" s="233"/>
      <c r="I764" s="233"/>
      <c r="J764" s="770"/>
      <c r="K764" s="233"/>
      <c r="L764" s="233"/>
      <c r="M764" s="233"/>
      <c r="N764" s="2460"/>
      <c r="O764" s="2460"/>
    </row>
    <row r="765" spans="3:15">
      <c r="C765" s="233"/>
      <c r="D765" s="233"/>
      <c r="E765" s="770"/>
      <c r="F765" s="234"/>
      <c r="G765" s="234"/>
      <c r="H765" s="233"/>
      <c r="I765" s="233"/>
      <c r="J765" s="770"/>
      <c r="K765" s="233"/>
      <c r="L765" s="233"/>
      <c r="M765" s="233"/>
      <c r="N765" s="2460"/>
      <c r="O765" s="2460"/>
    </row>
    <row r="766" spans="3:15">
      <c r="C766" s="233"/>
      <c r="D766" s="233"/>
      <c r="E766" s="770"/>
      <c r="F766" s="234"/>
      <c r="G766" s="234"/>
      <c r="H766" s="233"/>
      <c r="I766" s="233"/>
      <c r="J766" s="770"/>
      <c r="K766" s="233"/>
      <c r="L766" s="233"/>
      <c r="M766" s="233"/>
      <c r="N766" s="2460"/>
      <c r="O766" s="2460"/>
    </row>
    <row r="767" spans="3:15">
      <c r="C767" s="233"/>
      <c r="D767" s="233"/>
      <c r="E767" s="770"/>
      <c r="F767" s="234"/>
      <c r="G767" s="234"/>
      <c r="H767" s="233"/>
      <c r="I767" s="233"/>
      <c r="J767" s="770"/>
      <c r="K767" s="233"/>
      <c r="L767" s="233"/>
      <c r="M767" s="233"/>
      <c r="N767" s="2460"/>
      <c r="O767" s="2460"/>
    </row>
    <row r="768" spans="3:15">
      <c r="C768" s="233"/>
      <c r="D768" s="233"/>
      <c r="E768" s="770"/>
      <c r="F768" s="234"/>
      <c r="G768" s="234"/>
      <c r="H768" s="233"/>
      <c r="I768" s="233"/>
      <c r="J768" s="770"/>
      <c r="K768" s="233"/>
      <c r="L768" s="233"/>
      <c r="M768" s="233"/>
      <c r="N768" s="2460"/>
      <c r="O768" s="2460"/>
    </row>
    <row r="769" spans="3:15">
      <c r="C769" s="233"/>
      <c r="D769" s="233"/>
      <c r="E769" s="770"/>
      <c r="F769" s="234"/>
      <c r="G769" s="234"/>
      <c r="H769" s="233"/>
      <c r="I769" s="233"/>
      <c r="J769" s="770"/>
      <c r="K769" s="233"/>
      <c r="L769" s="233"/>
      <c r="M769" s="233"/>
      <c r="N769" s="2460"/>
      <c r="O769" s="2460"/>
    </row>
    <row r="770" spans="3:15">
      <c r="C770" s="233"/>
      <c r="D770" s="233"/>
      <c r="E770" s="770"/>
      <c r="F770" s="234"/>
      <c r="G770" s="234"/>
      <c r="H770" s="233"/>
      <c r="I770" s="233"/>
      <c r="J770" s="770"/>
      <c r="K770" s="233"/>
      <c r="L770" s="233"/>
      <c r="M770" s="233"/>
      <c r="N770" s="2460"/>
      <c r="O770" s="2460"/>
    </row>
    <row r="771" spans="3:15">
      <c r="C771" s="233"/>
      <c r="D771" s="233"/>
      <c r="E771" s="770"/>
      <c r="F771" s="234"/>
      <c r="G771" s="234"/>
      <c r="H771" s="233"/>
      <c r="I771" s="233"/>
      <c r="J771" s="770"/>
      <c r="K771" s="233"/>
      <c r="L771" s="233"/>
      <c r="M771" s="233"/>
      <c r="N771" s="2460"/>
      <c r="O771" s="2460"/>
    </row>
    <row r="772" spans="3:15">
      <c r="C772" s="233"/>
      <c r="D772" s="233"/>
      <c r="E772" s="770"/>
      <c r="F772" s="234"/>
      <c r="G772" s="234"/>
      <c r="H772" s="233"/>
      <c r="I772" s="233"/>
      <c r="J772" s="770"/>
      <c r="K772" s="233"/>
      <c r="L772" s="233"/>
      <c r="M772" s="233"/>
      <c r="N772" s="2460"/>
      <c r="O772" s="2460"/>
    </row>
    <row r="773" spans="3:15">
      <c r="C773" s="233"/>
      <c r="D773" s="233"/>
      <c r="E773" s="770"/>
      <c r="F773" s="234"/>
      <c r="G773" s="234"/>
      <c r="H773" s="233"/>
      <c r="I773" s="233"/>
      <c r="J773" s="770"/>
      <c r="K773" s="233"/>
      <c r="L773" s="233"/>
      <c r="M773" s="233"/>
      <c r="N773" s="2460"/>
      <c r="O773" s="2460"/>
    </row>
    <row r="774" spans="3:15">
      <c r="C774" s="233"/>
      <c r="D774" s="233"/>
      <c r="E774" s="770"/>
      <c r="F774" s="234"/>
      <c r="G774" s="234"/>
      <c r="H774" s="233"/>
      <c r="I774" s="233"/>
      <c r="J774" s="770"/>
      <c r="K774" s="233"/>
      <c r="L774" s="233"/>
      <c r="M774" s="233"/>
      <c r="N774" s="2460"/>
      <c r="O774" s="2460"/>
    </row>
    <row r="775" spans="3:15">
      <c r="C775" s="233"/>
      <c r="D775" s="233"/>
      <c r="E775" s="770"/>
      <c r="F775" s="234"/>
      <c r="G775" s="234"/>
      <c r="H775" s="233"/>
      <c r="I775" s="233"/>
      <c r="J775" s="770"/>
      <c r="K775" s="233"/>
      <c r="L775" s="233"/>
      <c r="M775" s="233"/>
      <c r="N775" s="2460"/>
      <c r="O775" s="2460"/>
    </row>
    <row r="776" spans="3:15">
      <c r="C776" s="233"/>
      <c r="D776" s="233"/>
      <c r="E776" s="770"/>
      <c r="F776" s="234"/>
      <c r="G776" s="234"/>
      <c r="H776" s="233"/>
      <c r="I776" s="233"/>
      <c r="J776" s="770"/>
      <c r="K776" s="233"/>
      <c r="L776" s="233"/>
      <c r="M776" s="233"/>
      <c r="N776" s="2460"/>
      <c r="O776" s="2460"/>
    </row>
    <row r="777" spans="3:15">
      <c r="C777" s="233"/>
      <c r="D777" s="233"/>
      <c r="E777" s="770"/>
      <c r="F777" s="234"/>
      <c r="G777" s="234"/>
      <c r="H777" s="233"/>
      <c r="I777" s="233"/>
      <c r="J777" s="770"/>
      <c r="K777" s="233"/>
      <c r="L777" s="233"/>
      <c r="M777" s="233"/>
      <c r="N777" s="2460"/>
      <c r="O777" s="2460"/>
    </row>
    <row r="778" spans="3:15">
      <c r="C778" s="233"/>
      <c r="D778" s="233"/>
      <c r="E778" s="770"/>
      <c r="F778" s="234"/>
      <c r="G778" s="234"/>
      <c r="H778" s="233"/>
      <c r="I778" s="233"/>
      <c r="J778" s="770"/>
      <c r="K778" s="233"/>
      <c r="L778" s="233"/>
      <c r="M778" s="233"/>
      <c r="N778" s="2460"/>
      <c r="O778" s="2460"/>
    </row>
    <row r="779" spans="3:15">
      <c r="C779" s="233"/>
      <c r="D779" s="233"/>
      <c r="E779" s="770"/>
      <c r="F779" s="234"/>
      <c r="G779" s="234"/>
      <c r="H779" s="233"/>
      <c r="I779" s="233"/>
      <c r="J779" s="770"/>
      <c r="K779" s="233"/>
      <c r="L779" s="233"/>
      <c r="M779" s="233"/>
      <c r="N779" s="2460"/>
      <c r="O779" s="2460"/>
    </row>
    <row r="780" spans="3:15">
      <c r="C780" s="233"/>
      <c r="D780" s="233"/>
      <c r="E780" s="770"/>
      <c r="F780" s="234"/>
      <c r="G780" s="234"/>
      <c r="H780" s="233"/>
      <c r="I780" s="233"/>
      <c r="J780" s="770"/>
      <c r="K780" s="233"/>
      <c r="L780" s="233"/>
      <c r="M780" s="233"/>
      <c r="N780" s="2460"/>
      <c r="O780" s="2460"/>
    </row>
    <row r="781" spans="3:15">
      <c r="C781" s="233"/>
      <c r="D781" s="233"/>
      <c r="E781" s="770"/>
      <c r="F781" s="234"/>
      <c r="G781" s="234"/>
      <c r="H781" s="233"/>
      <c r="I781" s="233"/>
      <c r="J781" s="770"/>
      <c r="K781" s="233"/>
      <c r="L781" s="233"/>
      <c r="M781" s="233"/>
      <c r="N781" s="2460"/>
      <c r="O781" s="2460"/>
    </row>
    <row r="782" spans="3:15">
      <c r="C782" s="233"/>
      <c r="D782" s="233"/>
      <c r="E782" s="770"/>
      <c r="F782" s="234"/>
      <c r="G782" s="234"/>
      <c r="H782" s="233"/>
      <c r="I782" s="233"/>
      <c r="J782" s="770"/>
      <c r="K782" s="233"/>
      <c r="L782" s="233"/>
      <c r="M782" s="233"/>
      <c r="N782" s="2460"/>
      <c r="O782" s="2460"/>
    </row>
    <row r="783" spans="3:15">
      <c r="C783" s="233"/>
      <c r="D783" s="233"/>
      <c r="E783" s="770"/>
      <c r="F783" s="234"/>
      <c r="G783" s="234"/>
      <c r="H783" s="233"/>
      <c r="I783" s="233"/>
      <c r="J783" s="770"/>
      <c r="K783" s="233"/>
      <c r="L783" s="233"/>
      <c r="M783" s="233"/>
      <c r="N783" s="2460"/>
      <c r="O783" s="2460"/>
    </row>
    <row r="784" spans="3:15">
      <c r="C784" s="233"/>
      <c r="D784" s="233"/>
      <c r="E784" s="770"/>
      <c r="F784" s="234"/>
      <c r="G784" s="234"/>
      <c r="H784" s="233"/>
      <c r="I784" s="233"/>
      <c r="J784" s="770"/>
      <c r="K784" s="233"/>
      <c r="L784" s="233"/>
      <c r="M784" s="233"/>
      <c r="N784" s="2460"/>
      <c r="O784" s="2460"/>
    </row>
    <row r="785" spans="3:15">
      <c r="C785" s="233"/>
      <c r="D785" s="233"/>
      <c r="E785" s="770"/>
      <c r="F785" s="234"/>
      <c r="G785" s="234"/>
      <c r="H785" s="233"/>
      <c r="I785" s="233"/>
      <c r="J785" s="770"/>
      <c r="K785" s="233"/>
      <c r="L785" s="233"/>
      <c r="M785" s="233"/>
      <c r="N785" s="2460"/>
      <c r="O785" s="2460"/>
    </row>
    <row r="786" spans="3:15">
      <c r="C786" s="233"/>
      <c r="D786" s="233"/>
      <c r="E786" s="770"/>
      <c r="F786" s="234"/>
      <c r="G786" s="234"/>
      <c r="H786" s="233"/>
      <c r="I786" s="233"/>
      <c r="J786" s="770"/>
      <c r="K786" s="233"/>
      <c r="L786" s="233"/>
      <c r="M786" s="233"/>
      <c r="N786" s="2460"/>
      <c r="O786" s="2460"/>
    </row>
    <row r="787" spans="3:15">
      <c r="C787" s="233"/>
      <c r="D787" s="233"/>
      <c r="E787" s="770"/>
      <c r="F787" s="234"/>
      <c r="G787" s="234"/>
      <c r="H787" s="233"/>
      <c r="I787" s="233"/>
      <c r="J787" s="770"/>
      <c r="K787" s="233"/>
      <c r="L787" s="233"/>
      <c r="M787" s="233"/>
      <c r="N787" s="2460"/>
      <c r="O787" s="2460"/>
    </row>
    <row r="788" spans="3:15">
      <c r="C788" s="233"/>
      <c r="D788" s="233"/>
      <c r="E788" s="770"/>
      <c r="F788" s="234"/>
      <c r="G788" s="234"/>
      <c r="H788" s="233"/>
      <c r="I788" s="233"/>
      <c r="J788" s="770"/>
      <c r="K788" s="233"/>
      <c r="L788" s="233"/>
      <c r="M788" s="233"/>
      <c r="N788" s="2460"/>
      <c r="O788" s="2460"/>
    </row>
    <row r="789" spans="3:15">
      <c r="C789" s="233"/>
      <c r="D789" s="233"/>
      <c r="E789" s="770"/>
      <c r="F789" s="234"/>
      <c r="G789" s="234"/>
      <c r="H789" s="233"/>
      <c r="I789" s="233"/>
      <c r="J789" s="770"/>
      <c r="K789" s="233"/>
      <c r="L789" s="233"/>
      <c r="M789" s="233"/>
      <c r="N789" s="2460"/>
      <c r="O789" s="2460"/>
    </row>
    <row r="790" spans="3:15">
      <c r="C790" s="233"/>
      <c r="D790" s="233"/>
      <c r="E790" s="770"/>
      <c r="F790" s="234"/>
      <c r="G790" s="234"/>
      <c r="H790" s="233"/>
      <c r="I790" s="233"/>
      <c r="J790" s="770"/>
      <c r="K790" s="233"/>
      <c r="L790" s="233"/>
      <c r="M790" s="233"/>
      <c r="N790" s="2460"/>
      <c r="O790" s="2460"/>
    </row>
    <row r="791" spans="3:15">
      <c r="C791" s="233"/>
      <c r="D791" s="233"/>
      <c r="E791" s="770"/>
      <c r="F791" s="234"/>
      <c r="G791" s="234"/>
      <c r="H791" s="233"/>
      <c r="I791" s="233"/>
      <c r="J791" s="770"/>
      <c r="K791" s="233"/>
      <c r="L791" s="233"/>
      <c r="M791" s="233"/>
      <c r="N791" s="2460"/>
      <c r="O791" s="2460"/>
    </row>
    <row r="792" spans="3:15">
      <c r="C792" s="233"/>
      <c r="D792" s="233"/>
      <c r="E792" s="770"/>
      <c r="F792" s="234"/>
      <c r="G792" s="234"/>
      <c r="H792" s="233"/>
      <c r="I792" s="233"/>
      <c r="J792" s="770"/>
      <c r="K792" s="233"/>
      <c r="L792" s="233"/>
      <c r="M792" s="233"/>
      <c r="N792" s="2460"/>
      <c r="O792" s="2460"/>
    </row>
    <row r="793" spans="3:15">
      <c r="C793" s="233"/>
      <c r="D793" s="233"/>
      <c r="E793" s="770"/>
      <c r="F793" s="234"/>
      <c r="G793" s="234"/>
      <c r="H793" s="233"/>
      <c r="I793" s="233"/>
      <c r="J793" s="770"/>
      <c r="K793" s="233"/>
      <c r="L793" s="233"/>
      <c r="M793" s="233"/>
      <c r="N793" s="2460"/>
      <c r="O793" s="2460"/>
    </row>
    <row r="794" spans="3:15">
      <c r="C794" s="233"/>
      <c r="D794" s="233"/>
      <c r="E794" s="770"/>
      <c r="F794" s="234"/>
      <c r="G794" s="234"/>
      <c r="H794" s="233"/>
      <c r="I794" s="233"/>
      <c r="J794" s="770"/>
      <c r="K794" s="233"/>
      <c r="L794" s="233"/>
      <c r="M794" s="233"/>
      <c r="N794" s="2460"/>
      <c r="O794" s="2460"/>
    </row>
    <row r="795" spans="3:15">
      <c r="C795" s="233"/>
      <c r="D795" s="233"/>
      <c r="E795" s="770"/>
      <c r="F795" s="234"/>
      <c r="G795" s="234"/>
      <c r="H795" s="233"/>
      <c r="I795" s="233"/>
      <c r="J795" s="770"/>
      <c r="K795" s="233"/>
      <c r="L795" s="233"/>
      <c r="M795" s="233"/>
      <c r="N795" s="2460"/>
      <c r="O795" s="2460"/>
    </row>
    <row r="796" spans="3:15">
      <c r="C796" s="233"/>
      <c r="D796" s="233"/>
      <c r="E796" s="770"/>
      <c r="F796" s="234"/>
      <c r="G796" s="234"/>
      <c r="H796" s="233"/>
      <c r="I796" s="233"/>
      <c r="J796" s="770"/>
      <c r="K796" s="233"/>
      <c r="L796" s="233"/>
      <c r="M796" s="233"/>
      <c r="N796" s="2460"/>
      <c r="O796" s="2460"/>
    </row>
    <row r="797" spans="3:15">
      <c r="C797" s="233"/>
      <c r="D797" s="233"/>
      <c r="E797" s="770"/>
      <c r="F797" s="234"/>
      <c r="G797" s="234"/>
      <c r="H797" s="233"/>
      <c r="I797" s="233"/>
      <c r="J797" s="770"/>
      <c r="K797" s="233"/>
      <c r="L797" s="233"/>
      <c r="M797" s="233"/>
      <c r="N797" s="2460"/>
      <c r="O797" s="2460"/>
    </row>
    <row r="798" spans="3:15">
      <c r="C798" s="233"/>
      <c r="D798" s="233"/>
      <c r="E798" s="770"/>
      <c r="F798" s="234"/>
      <c r="G798" s="234"/>
      <c r="H798" s="233"/>
      <c r="I798" s="233"/>
      <c r="J798" s="770"/>
      <c r="K798" s="233"/>
      <c r="L798" s="233"/>
      <c r="M798" s="233"/>
      <c r="N798" s="2460"/>
      <c r="O798" s="2460"/>
    </row>
    <row r="799" spans="3:15">
      <c r="C799" s="233"/>
      <c r="D799" s="233"/>
      <c r="E799" s="770"/>
      <c r="F799" s="234"/>
      <c r="G799" s="234"/>
      <c r="H799" s="233"/>
      <c r="I799" s="233"/>
      <c r="J799" s="770"/>
      <c r="K799" s="233"/>
      <c r="L799" s="233"/>
      <c r="M799" s="233"/>
      <c r="N799" s="2460"/>
      <c r="O799" s="2460"/>
    </row>
    <row r="800" spans="3:15">
      <c r="C800" s="233"/>
      <c r="D800" s="233"/>
      <c r="E800" s="770"/>
      <c r="F800" s="234"/>
      <c r="G800" s="234"/>
      <c r="H800" s="233"/>
      <c r="I800" s="233"/>
      <c r="J800" s="770"/>
      <c r="K800" s="233"/>
      <c r="L800" s="233"/>
      <c r="M800" s="233"/>
      <c r="N800" s="2460"/>
      <c r="O800" s="2460"/>
    </row>
    <row r="801" spans="3:15">
      <c r="C801" s="233"/>
      <c r="D801" s="233"/>
      <c r="E801" s="770"/>
      <c r="F801" s="234"/>
      <c r="G801" s="234"/>
      <c r="H801" s="233"/>
      <c r="I801" s="233"/>
      <c r="J801" s="770"/>
      <c r="K801" s="233"/>
      <c r="L801" s="233"/>
      <c r="M801" s="233"/>
      <c r="N801" s="2460"/>
      <c r="O801" s="2460"/>
    </row>
    <row r="802" spans="3:15">
      <c r="C802" s="233"/>
      <c r="D802" s="233"/>
      <c r="E802" s="770"/>
      <c r="F802" s="234"/>
      <c r="G802" s="234"/>
      <c r="H802" s="233"/>
      <c r="I802" s="233"/>
      <c r="J802" s="770"/>
      <c r="K802" s="233"/>
      <c r="L802" s="233"/>
      <c r="M802" s="233"/>
      <c r="N802" s="2460"/>
      <c r="O802" s="2460"/>
    </row>
    <row r="803" spans="3:15">
      <c r="C803" s="233"/>
      <c r="D803" s="233"/>
      <c r="E803" s="770"/>
      <c r="F803" s="234"/>
      <c r="G803" s="234"/>
      <c r="H803" s="233"/>
      <c r="I803" s="233"/>
      <c r="J803" s="770"/>
      <c r="K803" s="233"/>
      <c r="L803" s="233"/>
      <c r="M803" s="233"/>
      <c r="N803" s="2460"/>
      <c r="O803" s="2460"/>
    </row>
    <row r="804" spans="3:15">
      <c r="C804" s="233"/>
      <c r="D804" s="233"/>
      <c r="E804" s="770"/>
      <c r="F804" s="234"/>
      <c r="G804" s="234"/>
      <c r="H804" s="233"/>
      <c r="I804" s="233"/>
      <c r="J804" s="770"/>
      <c r="K804" s="233"/>
      <c r="L804" s="233"/>
      <c r="M804" s="233"/>
      <c r="N804" s="2460"/>
      <c r="O804" s="2460"/>
    </row>
    <row r="805" spans="3:15">
      <c r="C805" s="233"/>
      <c r="D805" s="233"/>
      <c r="E805" s="770"/>
      <c r="F805" s="234"/>
      <c r="G805" s="234"/>
      <c r="H805" s="233"/>
      <c r="I805" s="233"/>
      <c r="J805" s="770"/>
      <c r="K805" s="233"/>
      <c r="L805" s="233"/>
      <c r="M805" s="233"/>
      <c r="N805" s="2460"/>
      <c r="O805" s="2460"/>
    </row>
    <row r="806" spans="3:15">
      <c r="C806" s="233"/>
      <c r="D806" s="233"/>
      <c r="E806" s="770"/>
      <c r="F806" s="234"/>
      <c r="G806" s="234"/>
      <c r="H806" s="233"/>
      <c r="I806" s="233"/>
      <c r="J806" s="770"/>
      <c r="K806" s="233"/>
      <c r="L806" s="233"/>
      <c r="M806" s="233"/>
      <c r="N806" s="2460"/>
      <c r="O806" s="2460"/>
    </row>
    <row r="807" spans="3:15">
      <c r="C807" s="233"/>
      <c r="D807" s="233"/>
      <c r="E807" s="770"/>
      <c r="F807" s="234"/>
      <c r="G807" s="234"/>
      <c r="H807" s="233"/>
      <c r="I807" s="233"/>
      <c r="J807" s="770"/>
      <c r="K807" s="233"/>
      <c r="L807" s="233"/>
      <c r="M807" s="233"/>
      <c r="N807" s="2460"/>
      <c r="O807" s="2460"/>
    </row>
    <row r="808" spans="3:15">
      <c r="C808" s="233"/>
      <c r="D808" s="233"/>
      <c r="E808" s="770"/>
      <c r="F808" s="234"/>
      <c r="G808" s="234"/>
      <c r="H808" s="233"/>
      <c r="I808" s="233"/>
      <c r="J808" s="770"/>
      <c r="K808" s="233"/>
      <c r="L808" s="233"/>
      <c r="M808" s="233"/>
      <c r="N808" s="2460"/>
      <c r="O808" s="2460"/>
    </row>
    <row r="809" spans="3:15">
      <c r="C809" s="233"/>
      <c r="D809" s="233"/>
      <c r="E809" s="770"/>
      <c r="F809" s="234"/>
      <c r="G809" s="234"/>
      <c r="H809" s="233"/>
      <c r="I809" s="233"/>
      <c r="J809" s="770"/>
      <c r="K809" s="233"/>
      <c r="L809" s="233"/>
      <c r="M809" s="233"/>
      <c r="N809" s="2460"/>
      <c r="O809" s="2460"/>
    </row>
    <row r="810" spans="3:15">
      <c r="C810" s="233"/>
      <c r="D810" s="233"/>
      <c r="E810" s="770"/>
      <c r="F810" s="234"/>
      <c r="G810" s="234"/>
      <c r="H810" s="233"/>
      <c r="I810" s="233"/>
      <c r="J810" s="770"/>
      <c r="K810" s="233"/>
      <c r="L810" s="233"/>
      <c r="M810" s="233"/>
      <c r="N810" s="2460"/>
      <c r="O810" s="2460"/>
    </row>
    <row r="811" spans="3:15">
      <c r="C811" s="233"/>
      <c r="D811" s="233"/>
      <c r="E811" s="770"/>
      <c r="F811" s="234"/>
      <c r="G811" s="234"/>
      <c r="H811" s="233"/>
      <c r="I811" s="233"/>
      <c r="J811" s="770"/>
      <c r="K811" s="233"/>
      <c r="L811" s="233"/>
      <c r="M811" s="233"/>
      <c r="N811" s="2460"/>
      <c r="O811" s="2460"/>
    </row>
    <row r="812" spans="3:15">
      <c r="C812" s="233"/>
      <c r="D812" s="233"/>
      <c r="E812" s="770"/>
      <c r="F812" s="234"/>
      <c r="G812" s="234"/>
      <c r="H812" s="233"/>
      <c r="I812" s="233"/>
      <c r="J812" s="770"/>
      <c r="K812" s="233"/>
      <c r="L812" s="233"/>
      <c r="M812" s="233"/>
      <c r="N812" s="2460"/>
      <c r="O812" s="2460"/>
    </row>
    <row r="813" spans="3:15">
      <c r="C813" s="233"/>
      <c r="D813" s="233"/>
      <c r="E813" s="770"/>
      <c r="F813" s="234"/>
      <c r="G813" s="234"/>
      <c r="H813" s="233"/>
      <c r="I813" s="233"/>
      <c r="J813" s="770"/>
      <c r="K813" s="233"/>
      <c r="L813" s="233"/>
      <c r="M813" s="233"/>
      <c r="N813" s="2460"/>
      <c r="O813" s="2460"/>
    </row>
    <row r="814" spans="3:15">
      <c r="C814" s="233"/>
      <c r="D814" s="233"/>
      <c r="E814" s="770"/>
      <c r="F814" s="234"/>
      <c r="G814" s="234"/>
      <c r="H814" s="233"/>
      <c r="I814" s="233"/>
      <c r="J814" s="770"/>
      <c r="K814" s="233"/>
      <c r="L814" s="233"/>
      <c r="M814" s="233"/>
      <c r="N814" s="2460"/>
      <c r="O814" s="2460"/>
    </row>
    <row r="815" spans="3:15">
      <c r="C815" s="233"/>
      <c r="D815" s="233"/>
      <c r="E815" s="770"/>
      <c r="F815" s="234"/>
      <c r="G815" s="234"/>
      <c r="H815" s="233"/>
      <c r="I815" s="233"/>
      <c r="J815" s="770"/>
      <c r="K815" s="233"/>
      <c r="L815" s="233"/>
      <c r="M815" s="233"/>
      <c r="N815" s="2460"/>
      <c r="O815" s="2460"/>
    </row>
    <row r="816" spans="3:15">
      <c r="C816" s="233"/>
      <c r="D816" s="233"/>
      <c r="E816" s="770"/>
      <c r="F816" s="234"/>
      <c r="G816" s="234"/>
      <c r="H816" s="233"/>
      <c r="I816" s="233"/>
      <c r="J816" s="770"/>
      <c r="K816" s="233"/>
      <c r="L816" s="233"/>
      <c r="M816" s="233"/>
      <c r="N816" s="2460"/>
      <c r="O816" s="2460"/>
    </row>
    <row r="817" spans="3:15">
      <c r="C817" s="233"/>
      <c r="D817" s="233"/>
      <c r="E817" s="770"/>
      <c r="F817" s="234"/>
      <c r="G817" s="234"/>
      <c r="H817" s="233"/>
      <c r="I817" s="233"/>
      <c r="J817" s="770"/>
      <c r="K817" s="233"/>
      <c r="L817" s="233"/>
      <c r="M817" s="233"/>
      <c r="N817" s="2460"/>
      <c r="O817" s="2460"/>
    </row>
    <row r="818" spans="3:15">
      <c r="C818" s="233"/>
      <c r="D818" s="233"/>
      <c r="E818" s="770"/>
      <c r="F818" s="234"/>
      <c r="G818" s="234"/>
      <c r="H818" s="233"/>
      <c r="I818" s="233"/>
      <c r="J818" s="770"/>
      <c r="K818" s="233"/>
      <c r="L818" s="233"/>
      <c r="M818" s="233"/>
      <c r="N818" s="2460"/>
      <c r="O818" s="2460"/>
    </row>
    <row r="819" spans="3:15">
      <c r="C819" s="233"/>
      <c r="D819" s="233"/>
      <c r="E819" s="770"/>
      <c r="F819" s="234"/>
      <c r="G819" s="234"/>
      <c r="H819" s="233"/>
      <c r="I819" s="233"/>
      <c r="J819" s="770"/>
      <c r="K819" s="233"/>
      <c r="L819" s="233"/>
      <c r="M819" s="233"/>
      <c r="N819" s="2460"/>
      <c r="O819" s="2460"/>
    </row>
    <row r="820" spans="3:15">
      <c r="C820" s="233"/>
      <c r="D820" s="233"/>
      <c r="E820" s="770"/>
      <c r="F820" s="234"/>
      <c r="G820" s="234"/>
      <c r="H820" s="233"/>
      <c r="I820" s="233"/>
      <c r="J820" s="770"/>
      <c r="K820" s="233"/>
      <c r="L820" s="233"/>
      <c r="M820" s="233"/>
      <c r="N820" s="2460"/>
      <c r="O820" s="2460"/>
    </row>
    <row r="821" spans="3:15">
      <c r="C821" s="233"/>
      <c r="D821" s="233"/>
      <c r="E821" s="770"/>
      <c r="F821" s="234"/>
      <c r="G821" s="234"/>
      <c r="H821" s="233"/>
      <c r="I821" s="233"/>
      <c r="J821" s="770"/>
      <c r="K821" s="233"/>
      <c r="L821" s="233"/>
      <c r="M821" s="233"/>
      <c r="N821" s="2460"/>
      <c r="O821" s="2460"/>
    </row>
    <row r="822" spans="3:15">
      <c r="C822" s="233"/>
      <c r="D822" s="233"/>
      <c r="E822" s="770"/>
      <c r="F822" s="234"/>
      <c r="G822" s="234"/>
      <c r="H822" s="233"/>
      <c r="I822" s="233"/>
      <c r="J822" s="770"/>
      <c r="K822" s="233"/>
      <c r="L822" s="233"/>
      <c r="M822" s="233"/>
      <c r="N822" s="2460"/>
      <c r="O822" s="2460"/>
    </row>
    <row r="823" spans="3:15">
      <c r="C823" s="233"/>
      <c r="D823" s="233"/>
      <c r="E823" s="770"/>
      <c r="F823" s="234"/>
      <c r="G823" s="234"/>
      <c r="H823" s="233"/>
      <c r="I823" s="233"/>
      <c r="J823" s="770"/>
      <c r="K823" s="233"/>
      <c r="L823" s="233"/>
      <c r="M823" s="233"/>
      <c r="N823" s="2460"/>
      <c r="O823" s="2460"/>
    </row>
    <row r="824" spans="3:15">
      <c r="C824" s="233"/>
      <c r="D824" s="233"/>
      <c r="E824" s="770"/>
      <c r="F824" s="234"/>
      <c r="G824" s="234"/>
      <c r="H824" s="233"/>
      <c r="I824" s="233"/>
      <c r="J824" s="770"/>
      <c r="K824" s="233"/>
      <c r="L824" s="233"/>
      <c r="M824" s="233"/>
      <c r="N824" s="2460"/>
      <c r="O824" s="2460"/>
    </row>
    <row r="825" spans="3:15">
      <c r="C825" s="233"/>
      <c r="D825" s="233"/>
      <c r="E825" s="770"/>
      <c r="F825" s="234"/>
      <c r="G825" s="234"/>
      <c r="H825" s="233"/>
      <c r="I825" s="233"/>
      <c r="J825" s="770"/>
      <c r="K825" s="233"/>
      <c r="L825" s="233"/>
      <c r="M825" s="233"/>
      <c r="N825" s="2460"/>
      <c r="O825" s="2460"/>
    </row>
    <row r="826" spans="3:15">
      <c r="C826" s="233"/>
      <c r="D826" s="233"/>
      <c r="E826" s="770"/>
      <c r="F826" s="234"/>
      <c r="G826" s="234"/>
      <c r="H826" s="233"/>
      <c r="I826" s="233"/>
      <c r="J826" s="770"/>
      <c r="K826" s="233"/>
      <c r="L826" s="233"/>
      <c r="M826" s="233"/>
      <c r="N826" s="2460"/>
      <c r="O826" s="2460"/>
    </row>
    <row r="827" spans="3:15">
      <c r="C827" s="233"/>
      <c r="D827" s="233"/>
      <c r="E827" s="770"/>
      <c r="F827" s="234"/>
      <c r="G827" s="234"/>
      <c r="H827" s="233"/>
      <c r="I827" s="233"/>
      <c r="J827" s="770"/>
      <c r="K827" s="233"/>
      <c r="L827" s="233"/>
      <c r="M827" s="233"/>
      <c r="N827" s="2460"/>
      <c r="O827" s="2460"/>
    </row>
    <row r="828" spans="3:15">
      <c r="C828" s="233"/>
      <c r="D828" s="233"/>
      <c r="E828" s="770"/>
      <c r="F828" s="234"/>
      <c r="G828" s="234"/>
      <c r="H828" s="233"/>
      <c r="I828" s="233"/>
      <c r="J828" s="770"/>
      <c r="K828" s="233"/>
      <c r="L828" s="233"/>
      <c r="M828" s="233"/>
      <c r="N828" s="2460"/>
      <c r="O828" s="2460"/>
    </row>
    <row r="829" spans="3:15">
      <c r="C829" s="233"/>
      <c r="D829" s="233"/>
      <c r="E829" s="770"/>
      <c r="F829" s="234"/>
      <c r="G829" s="234"/>
      <c r="H829" s="233"/>
      <c r="I829" s="233"/>
      <c r="J829" s="770"/>
      <c r="K829" s="233"/>
      <c r="L829" s="233"/>
      <c r="M829" s="233"/>
      <c r="N829" s="2460"/>
      <c r="O829" s="2460"/>
    </row>
    <row r="830" spans="3:15">
      <c r="C830" s="233"/>
      <c r="D830" s="233"/>
      <c r="E830" s="770"/>
      <c r="F830" s="234"/>
      <c r="G830" s="234"/>
      <c r="H830" s="233"/>
      <c r="I830" s="233"/>
      <c r="J830" s="770"/>
      <c r="K830" s="233"/>
      <c r="L830" s="233"/>
      <c r="M830" s="233"/>
      <c r="N830" s="2460"/>
      <c r="O830" s="2460"/>
    </row>
    <row r="831" spans="3:15">
      <c r="C831" s="233"/>
      <c r="D831" s="233"/>
      <c r="E831" s="770"/>
      <c r="F831" s="234"/>
      <c r="G831" s="234"/>
      <c r="H831" s="233"/>
      <c r="I831" s="233"/>
      <c r="J831" s="770"/>
      <c r="K831" s="233"/>
      <c r="L831" s="233"/>
      <c r="M831" s="233"/>
      <c r="N831" s="2460"/>
      <c r="O831" s="2460"/>
    </row>
    <row r="832" spans="3:15">
      <c r="C832" s="233"/>
      <c r="D832" s="233"/>
      <c r="E832" s="770"/>
      <c r="F832" s="234"/>
      <c r="G832" s="234"/>
      <c r="H832" s="233"/>
      <c r="I832" s="233"/>
      <c r="J832" s="770"/>
      <c r="K832" s="233"/>
      <c r="L832" s="233"/>
      <c r="M832" s="233"/>
      <c r="N832" s="2460"/>
      <c r="O832" s="2460"/>
    </row>
    <row r="833" spans="3:15">
      <c r="C833" s="233"/>
      <c r="D833" s="233"/>
      <c r="E833" s="770"/>
      <c r="F833" s="234"/>
      <c r="G833" s="234"/>
      <c r="H833" s="233"/>
      <c r="I833" s="233"/>
      <c r="J833" s="770"/>
      <c r="K833" s="233"/>
      <c r="L833" s="233"/>
      <c r="M833" s="233"/>
      <c r="N833" s="2460"/>
      <c r="O833" s="2460"/>
    </row>
    <row r="834" spans="3:15">
      <c r="C834" s="233"/>
      <c r="D834" s="233"/>
      <c r="E834" s="770"/>
      <c r="F834" s="234"/>
      <c r="G834" s="234"/>
      <c r="H834" s="233"/>
      <c r="I834" s="233"/>
      <c r="J834" s="770"/>
      <c r="K834" s="233"/>
      <c r="L834" s="233"/>
      <c r="M834" s="233"/>
      <c r="N834" s="2460"/>
      <c r="O834" s="2460"/>
    </row>
    <row r="835" spans="3:15">
      <c r="C835" s="233"/>
      <c r="D835" s="233"/>
      <c r="E835" s="770"/>
      <c r="F835" s="234"/>
      <c r="G835" s="234"/>
      <c r="H835" s="233"/>
      <c r="I835" s="233"/>
      <c r="J835" s="770"/>
      <c r="K835" s="233"/>
      <c r="L835" s="233"/>
      <c r="M835" s="233"/>
      <c r="N835" s="2460"/>
      <c r="O835" s="2460"/>
    </row>
    <row r="836" spans="3:15">
      <c r="C836" s="233"/>
      <c r="D836" s="233"/>
      <c r="E836" s="770"/>
      <c r="F836" s="234"/>
      <c r="G836" s="234"/>
      <c r="H836" s="233"/>
      <c r="I836" s="233"/>
      <c r="J836" s="770"/>
      <c r="K836" s="233"/>
      <c r="L836" s="233"/>
      <c r="M836" s="233"/>
      <c r="N836" s="2460"/>
      <c r="O836" s="2460"/>
    </row>
    <row r="837" spans="3:15">
      <c r="C837" s="233"/>
      <c r="D837" s="233"/>
      <c r="E837" s="770"/>
      <c r="F837" s="234"/>
      <c r="G837" s="234"/>
      <c r="H837" s="233"/>
      <c r="I837" s="233"/>
      <c r="J837" s="770"/>
      <c r="K837" s="233"/>
      <c r="L837" s="233"/>
      <c r="M837" s="233"/>
      <c r="N837" s="2460"/>
      <c r="O837" s="2460"/>
    </row>
    <row r="838" spans="3:15">
      <c r="C838" s="233"/>
      <c r="D838" s="233"/>
      <c r="E838" s="770"/>
      <c r="F838" s="234"/>
      <c r="G838" s="234"/>
      <c r="H838" s="233"/>
      <c r="I838" s="233"/>
      <c r="J838" s="770"/>
      <c r="K838" s="233"/>
      <c r="L838" s="233"/>
      <c r="M838" s="233"/>
      <c r="N838" s="2460"/>
      <c r="O838" s="2460"/>
    </row>
    <row r="839" spans="3:15">
      <c r="C839" s="233"/>
      <c r="D839" s="233"/>
      <c r="E839" s="770"/>
      <c r="F839" s="234"/>
      <c r="G839" s="234"/>
      <c r="H839" s="233"/>
      <c r="I839" s="233"/>
      <c r="J839" s="770"/>
      <c r="K839" s="233"/>
      <c r="L839" s="233"/>
      <c r="M839" s="233"/>
      <c r="N839" s="2460"/>
      <c r="O839" s="2460"/>
    </row>
    <row r="840" spans="3:15">
      <c r="C840" s="233"/>
      <c r="D840" s="233"/>
      <c r="E840" s="770"/>
      <c r="F840" s="234"/>
      <c r="G840" s="234"/>
      <c r="H840" s="233"/>
      <c r="I840" s="233"/>
      <c r="J840" s="770"/>
      <c r="K840" s="233"/>
      <c r="L840" s="233"/>
      <c r="M840" s="233"/>
      <c r="N840" s="2460"/>
      <c r="O840" s="2460"/>
    </row>
    <row r="841" spans="3:15">
      <c r="C841" s="233"/>
      <c r="D841" s="233"/>
      <c r="E841" s="770"/>
      <c r="F841" s="234"/>
      <c r="G841" s="234"/>
      <c r="H841" s="233"/>
      <c r="I841" s="233"/>
      <c r="J841" s="770"/>
      <c r="K841" s="233"/>
      <c r="L841" s="233"/>
      <c r="M841" s="233"/>
      <c r="N841" s="2460"/>
      <c r="O841" s="2460"/>
    </row>
    <row r="842" spans="3:15">
      <c r="C842" s="233"/>
      <c r="D842" s="233"/>
      <c r="E842" s="770"/>
      <c r="F842" s="234"/>
      <c r="G842" s="234"/>
      <c r="H842" s="233"/>
      <c r="I842" s="233"/>
      <c r="J842" s="770"/>
      <c r="K842" s="233"/>
      <c r="L842" s="233"/>
      <c r="M842" s="233"/>
      <c r="N842" s="2460"/>
      <c r="O842" s="2460"/>
    </row>
    <row r="843" spans="3:15">
      <c r="C843" s="233"/>
      <c r="D843" s="233"/>
      <c r="E843" s="770"/>
      <c r="F843" s="234"/>
      <c r="G843" s="234"/>
      <c r="H843" s="233"/>
      <c r="I843" s="233"/>
      <c r="J843" s="770"/>
      <c r="K843" s="233"/>
      <c r="L843" s="233"/>
      <c r="M843" s="233"/>
      <c r="N843" s="2460"/>
      <c r="O843" s="2460"/>
    </row>
    <row r="844" spans="3:15">
      <c r="C844" s="233"/>
      <c r="D844" s="233"/>
      <c r="E844" s="770"/>
      <c r="F844" s="234"/>
      <c r="G844" s="234"/>
      <c r="H844" s="233"/>
      <c r="I844" s="233"/>
      <c r="J844" s="770"/>
      <c r="K844" s="233"/>
      <c r="L844" s="233"/>
      <c r="M844" s="233"/>
      <c r="N844" s="2460"/>
      <c r="O844" s="2460"/>
    </row>
    <row r="845" spans="3:15">
      <c r="C845" s="233"/>
      <c r="D845" s="233"/>
      <c r="E845" s="770"/>
      <c r="F845" s="234"/>
      <c r="G845" s="234"/>
      <c r="H845" s="233"/>
      <c r="I845" s="233"/>
      <c r="J845" s="770"/>
      <c r="K845" s="233"/>
      <c r="L845" s="233"/>
      <c r="M845" s="233"/>
      <c r="N845" s="2460"/>
      <c r="O845" s="2460"/>
    </row>
    <row r="846" spans="3:15">
      <c r="C846" s="233"/>
      <c r="D846" s="233"/>
      <c r="E846" s="770"/>
      <c r="F846" s="234"/>
      <c r="G846" s="234"/>
      <c r="H846" s="233"/>
      <c r="I846" s="233"/>
      <c r="J846" s="770"/>
      <c r="K846" s="233"/>
      <c r="L846" s="233"/>
      <c r="M846" s="233"/>
      <c r="N846" s="2460"/>
      <c r="O846" s="2460"/>
    </row>
    <row r="847" spans="3:15">
      <c r="C847" s="233"/>
      <c r="D847" s="233"/>
      <c r="E847" s="770"/>
      <c r="F847" s="234"/>
      <c r="G847" s="234"/>
      <c r="H847" s="233"/>
      <c r="I847" s="233"/>
      <c r="J847" s="770"/>
      <c r="K847" s="233"/>
      <c r="L847" s="233"/>
      <c r="M847" s="233"/>
      <c r="N847" s="2460"/>
      <c r="O847" s="2460"/>
    </row>
    <row r="848" spans="3:15">
      <c r="C848" s="233"/>
      <c r="D848" s="233"/>
      <c r="E848" s="770"/>
      <c r="F848" s="234"/>
      <c r="G848" s="234"/>
      <c r="H848" s="233"/>
      <c r="I848" s="233"/>
      <c r="J848" s="770"/>
      <c r="K848" s="233"/>
      <c r="L848" s="233"/>
      <c r="M848" s="233"/>
      <c r="N848" s="2460"/>
      <c r="O848" s="2460"/>
    </row>
    <row r="849" spans="3:15">
      <c r="C849" s="233"/>
      <c r="D849" s="233"/>
      <c r="E849" s="770"/>
      <c r="F849" s="234"/>
      <c r="G849" s="234"/>
      <c r="H849" s="233"/>
      <c r="I849" s="233"/>
      <c r="J849" s="770"/>
      <c r="K849" s="233"/>
      <c r="L849" s="233"/>
      <c r="M849" s="233"/>
      <c r="N849" s="2460"/>
      <c r="O849" s="2460"/>
    </row>
    <row r="850" spans="3:15">
      <c r="C850" s="233"/>
      <c r="D850" s="233"/>
      <c r="E850" s="770"/>
      <c r="F850" s="234"/>
      <c r="G850" s="234"/>
      <c r="H850" s="233"/>
      <c r="I850" s="233"/>
      <c r="J850" s="770"/>
      <c r="K850" s="233"/>
      <c r="L850" s="233"/>
      <c r="M850" s="233"/>
      <c r="N850" s="2460"/>
      <c r="O850" s="2460"/>
    </row>
    <row r="851" spans="3:15">
      <c r="C851" s="233"/>
      <c r="D851" s="233"/>
      <c r="E851" s="770"/>
      <c r="F851" s="234"/>
      <c r="G851" s="234"/>
      <c r="H851" s="233"/>
      <c r="I851" s="233"/>
      <c r="J851" s="770"/>
      <c r="K851" s="233"/>
      <c r="L851" s="233"/>
      <c r="M851" s="233"/>
      <c r="N851" s="2460"/>
      <c r="O851" s="2460"/>
    </row>
    <row r="852" spans="3:15">
      <c r="C852" s="233"/>
      <c r="D852" s="233"/>
      <c r="E852" s="770"/>
      <c r="F852" s="234"/>
      <c r="G852" s="234"/>
      <c r="H852" s="233"/>
      <c r="I852" s="233"/>
      <c r="J852" s="770"/>
      <c r="K852" s="233"/>
      <c r="L852" s="233"/>
      <c r="M852" s="233"/>
      <c r="N852" s="2460"/>
      <c r="O852" s="2460"/>
    </row>
    <row r="853" spans="3:15">
      <c r="C853" s="233"/>
      <c r="D853" s="233"/>
      <c r="E853" s="770"/>
      <c r="F853" s="234"/>
      <c r="G853" s="234"/>
      <c r="H853" s="233"/>
      <c r="I853" s="233"/>
      <c r="J853" s="770"/>
      <c r="K853" s="233"/>
      <c r="L853" s="233"/>
      <c r="M853" s="233"/>
      <c r="N853" s="2460"/>
      <c r="O853" s="2460"/>
    </row>
    <row r="854" spans="3:15">
      <c r="C854" s="233"/>
      <c r="D854" s="233"/>
      <c r="E854" s="770"/>
      <c r="F854" s="234"/>
      <c r="G854" s="234"/>
      <c r="H854" s="233"/>
      <c r="I854" s="233"/>
      <c r="J854" s="770"/>
      <c r="K854" s="233"/>
      <c r="L854" s="233"/>
      <c r="M854" s="233"/>
      <c r="N854" s="2460"/>
      <c r="O854" s="2460"/>
    </row>
    <row r="855" spans="3:15">
      <c r="C855" s="233"/>
      <c r="D855" s="233"/>
      <c r="E855" s="770"/>
      <c r="F855" s="234"/>
      <c r="G855" s="234"/>
      <c r="H855" s="233"/>
      <c r="I855" s="233"/>
      <c r="J855" s="770"/>
      <c r="K855" s="233"/>
      <c r="L855" s="233"/>
      <c r="M855" s="233"/>
      <c r="N855" s="2460"/>
      <c r="O855" s="2460"/>
    </row>
    <row r="856" spans="3:15">
      <c r="C856" s="233"/>
      <c r="D856" s="233"/>
      <c r="E856" s="770"/>
      <c r="F856" s="234"/>
      <c r="G856" s="234"/>
      <c r="H856" s="233"/>
      <c r="I856" s="233"/>
      <c r="J856" s="770"/>
      <c r="K856" s="233"/>
      <c r="L856" s="233"/>
      <c r="M856" s="233"/>
      <c r="N856" s="2460"/>
      <c r="O856" s="2460"/>
    </row>
    <row r="857" spans="3:15">
      <c r="C857" s="233"/>
      <c r="D857" s="233"/>
      <c r="E857" s="770"/>
      <c r="F857" s="234"/>
      <c r="G857" s="234"/>
      <c r="H857" s="233"/>
      <c r="I857" s="233"/>
      <c r="J857" s="770"/>
      <c r="K857" s="233"/>
      <c r="L857" s="233"/>
      <c r="M857" s="233"/>
      <c r="N857" s="2460"/>
      <c r="O857" s="2460"/>
    </row>
    <row r="858" spans="3:15">
      <c r="C858" s="233"/>
      <c r="D858" s="233"/>
      <c r="E858" s="770"/>
      <c r="F858" s="234"/>
      <c r="G858" s="234"/>
      <c r="H858" s="233"/>
      <c r="I858" s="233"/>
      <c r="J858" s="770"/>
      <c r="K858" s="233"/>
      <c r="L858" s="233"/>
      <c r="M858" s="233"/>
      <c r="N858" s="2460"/>
      <c r="O858" s="2460"/>
    </row>
    <row r="859" spans="3:15">
      <c r="C859" s="233"/>
      <c r="D859" s="233"/>
      <c r="E859" s="770"/>
      <c r="F859" s="234"/>
      <c r="G859" s="234"/>
      <c r="H859" s="233"/>
      <c r="I859" s="233"/>
      <c r="J859" s="770"/>
      <c r="K859" s="233"/>
      <c r="L859" s="233"/>
      <c r="M859" s="233"/>
      <c r="N859" s="2460"/>
      <c r="O859" s="2460"/>
    </row>
    <row r="860" spans="3:15">
      <c r="C860" s="233"/>
      <c r="D860" s="233"/>
      <c r="E860" s="770"/>
      <c r="F860" s="234"/>
      <c r="G860" s="234"/>
      <c r="H860" s="233"/>
      <c r="I860" s="233"/>
      <c r="J860" s="770"/>
      <c r="K860" s="233"/>
      <c r="L860" s="233"/>
      <c r="M860" s="233"/>
      <c r="N860" s="2460"/>
      <c r="O860" s="2460"/>
    </row>
    <row r="861" spans="3:15">
      <c r="C861" s="233"/>
      <c r="D861" s="233"/>
      <c r="E861" s="770"/>
      <c r="F861" s="234"/>
      <c r="G861" s="234"/>
      <c r="H861" s="233"/>
      <c r="I861" s="233"/>
      <c r="J861" s="770"/>
      <c r="K861" s="233"/>
      <c r="L861" s="233"/>
      <c r="M861" s="233"/>
      <c r="N861" s="2460"/>
      <c r="O861" s="2460"/>
    </row>
    <row r="862" spans="3:15">
      <c r="C862" s="233"/>
      <c r="D862" s="233"/>
      <c r="E862" s="770"/>
      <c r="F862" s="234"/>
      <c r="G862" s="234"/>
      <c r="H862" s="233"/>
      <c r="I862" s="233"/>
      <c r="J862" s="770"/>
      <c r="K862" s="233"/>
      <c r="L862" s="233"/>
      <c r="M862" s="233"/>
      <c r="N862" s="2460"/>
      <c r="O862" s="2460"/>
    </row>
    <row r="863" spans="3:15">
      <c r="C863" s="233"/>
      <c r="D863" s="233"/>
      <c r="E863" s="770"/>
      <c r="F863" s="234"/>
      <c r="G863" s="234"/>
      <c r="H863" s="233"/>
      <c r="I863" s="233"/>
      <c r="J863" s="770"/>
      <c r="K863" s="233"/>
      <c r="L863" s="233"/>
      <c r="M863" s="233"/>
      <c r="N863" s="2460"/>
      <c r="O863" s="2460"/>
    </row>
    <row r="864" spans="3:15">
      <c r="C864" s="233"/>
      <c r="D864" s="233"/>
      <c r="E864" s="770"/>
      <c r="F864" s="234"/>
      <c r="G864" s="234"/>
      <c r="H864" s="233"/>
      <c r="I864" s="233"/>
      <c r="J864" s="770"/>
      <c r="K864" s="233"/>
      <c r="L864" s="233"/>
      <c r="M864" s="233"/>
      <c r="N864" s="2460"/>
      <c r="O864" s="2460"/>
    </row>
    <row r="865" spans="3:15">
      <c r="C865" s="233"/>
      <c r="D865" s="233"/>
      <c r="E865" s="770"/>
      <c r="F865" s="234"/>
      <c r="G865" s="234"/>
      <c r="H865" s="233"/>
      <c r="I865" s="233"/>
      <c r="J865" s="770"/>
      <c r="K865" s="233"/>
      <c r="L865" s="233"/>
      <c r="M865" s="233"/>
      <c r="N865" s="2460"/>
      <c r="O865" s="2460"/>
    </row>
    <row r="866" spans="3:15">
      <c r="C866" s="233"/>
      <c r="D866" s="233"/>
      <c r="E866" s="770"/>
      <c r="F866" s="234"/>
      <c r="G866" s="234"/>
      <c r="H866" s="233"/>
      <c r="I866" s="233"/>
      <c r="J866" s="770"/>
      <c r="K866" s="233"/>
      <c r="L866" s="233"/>
      <c r="M866" s="233"/>
      <c r="N866" s="2460"/>
      <c r="O866" s="2460"/>
    </row>
    <row r="867" spans="3:15">
      <c r="C867" s="233"/>
      <c r="D867" s="233"/>
      <c r="E867" s="770"/>
      <c r="F867" s="234"/>
      <c r="G867" s="234"/>
      <c r="H867" s="233"/>
      <c r="I867" s="233"/>
      <c r="J867" s="770"/>
      <c r="K867" s="233"/>
      <c r="L867" s="233"/>
      <c r="M867" s="233"/>
      <c r="N867" s="2460"/>
      <c r="O867" s="2460"/>
    </row>
    <row r="868" spans="3:15">
      <c r="C868" s="233"/>
      <c r="D868" s="233"/>
      <c r="E868" s="770"/>
      <c r="F868" s="234"/>
      <c r="G868" s="234"/>
      <c r="H868" s="233"/>
      <c r="I868" s="233"/>
      <c r="J868" s="770"/>
      <c r="K868" s="233"/>
      <c r="L868" s="233"/>
      <c r="M868" s="233"/>
      <c r="N868" s="2460"/>
      <c r="O868" s="2460"/>
    </row>
    <row r="869" spans="3:15">
      <c r="C869" s="233"/>
      <c r="D869" s="233"/>
      <c r="E869" s="770"/>
      <c r="F869" s="234"/>
      <c r="G869" s="234"/>
      <c r="H869" s="233"/>
      <c r="I869" s="233"/>
      <c r="J869" s="770"/>
      <c r="K869" s="233"/>
      <c r="L869" s="233"/>
      <c r="M869" s="233"/>
      <c r="N869" s="2460"/>
      <c r="O869" s="2460"/>
    </row>
    <row r="870" spans="3:15">
      <c r="C870" s="233"/>
      <c r="D870" s="233"/>
      <c r="E870" s="770"/>
      <c r="F870" s="234"/>
      <c r="G870" s="234"/>
      <c r="H870" s="233"/>
      <c r="I870" s="233"/>
      <c r="J870" s="770"/>
      <c r="K870" s="233"/>
      <c r="L870" s="233"/>
      <c r="M870" s="233"/>
      <c r="N870" s="2460"/>
      <c r="O870" s="2460"/>
    </row>
    <row r="871" spans="3:15">
      <c r="C871" s="233"/>
      <c r="D871" s="233"/>
      <c r="E871" s="770"/>
      <c r="F871" s="234"/>
      <c r="G871" s="234"/>
      <c r="H871" s="233"/>
      <c r="I871" s="233"/>
      <c r="J871" s="770"/>
      <c r="K871" s="233"/>
      <c r="L871" s="233"/>
      <c r="M871" s="233"/>
      <c r="N871" s="2460"/>
      <c r="O871" s="2460"/>
    </row>
    <row r="872" spans="3:15">
      <c r="C872" s="233"/>
      <c r="D872" s="233"/>
      <c r="E872" s="770"/>
      <c r="F872" s="234"/>
      <c r="G872" s="234"/>
      <c r="H872" s="233"/>
      <c r="I872" s="233"/>
      <c r="J872" s="770"/>
      <c r="K872" s="233"/>
      <c r="L872" s="233"/>
      <c r="M872" s="233"/>
      <c r="N872" s="2460"/>
      <c r="O872" s="2460"/>
    </row>
    <row r="873" spans="3:15">
      <c r="C873" s="233"/>
      <c r="D873" s="233"/>
      <c r="E873" s="770"/>
      <c r="F873" s="234"/>
      <c r="G873" s="234"/>
      <c r="H873" s="233"/>
      <c r="I873" s="233"/>
      <c r="J873" s="770"/>
      <c r="K873" s="233"/>
      <c r="L873" s="233"/>
      <c r="M873" s="233"/>
      <c r="N873" s="2460"/>
      <c r="O873" s="2460"/>
    </row>
    <row r="874" spans="3:15">
      <c r="C874" s="233"/>
      <c r="D874" s="233"/>
      <c r="E874" s="770"/>
      <c r="F874" s="234"/>
      <c r="G874" s="234"/>
      <c r="H874" s="233"/>
      <c r="I874" s="233"/>
      <c r="J874" s="770"/>
      <c r="K874" s="233"/>
      <c r="L874" s="233"/>
      <c r="M874" s="233"/>
      <c r="N874" s="2460"/>
      <c r="O874" s="2460"/>
    </row>
    <row r="875" spans="3:15">
      <c r="C875" s="233"/>
      <c r="D875" s="233"/>
      <c r="E875" s="770"/>
      <c r="F875" s="234"/>
      <c r="G875" s="234"/>
      <c r="H875" s="233"/>
      <c r="I875" s="233"/>
      <c r="J875" s="770"/>
      <c r="K875" s="233"/>
      <c r="L875" s="233"/>
      <c r="M875" s="233"/>
      <c r="N875" s="2460"/>
      <c r="O875" s="2460"/>
    </row>
    <row r="876" spans="3:15">
      <c r="C876" s="233"/>
      <c r="D876" s="233"/>
      <c r="E876" s="770"/>
      <c r="F876" s="234"/>
      <c r="G876" s="234"/>
      <c r="H876" s="233"/>
      <c r="I876" s="233"/>
      <c r="J876" s="770"/>
      <c r="K876" s="233"/>
      <c r="L876" s="233"/>
      <c r="M876" s="233"/>
      <c r="N876" s="2460"/>
      <c r="O876" s="2460"/>
    </row>
    <row r="877" spans="3:15">
      <c r="C877" s="233"/>
      <c r="D877" s="233"/>
      <c r="E877" s="770"/>
      <c r="F877" s="234"/>
      <c r="G877" s="234"/>
      <c r="H877" s="233"/>
      <c r="I877" s="233"/>
      <c r="J877" s="770"/>
      <c r="K877" s="233"/>
      <c r="L877" s="233"/>
      <c r="M877" s="233"/>
      <c r="N877" s="2460"/>
      <c r="O877" s="2460"/>
    </row>
    <row r="878" spans="3:15">
      <c r="C878" s="233"/>
      <c r="D878" s="233"/>
      <c r="E878" s="770"/>
      <c r="F878" s="234"/>
      <c r="G878" s="234"/>
      <c r="H878" s="233"/>
      <c r="I878" s="233"/>
      <c r="J878" s="770"/>
      <c r="K878" s="233"/>
      <c r="L878" s="233"/>
      <c r="M878" s="233"/>
      <c r="N878" s="2460"/>
      <c r="O878" s="2460"/>
    </row>
    <row r="879" spans="3:15">
      <c r="C879" s="233"/>
      <c r="D879" s="233"/>
      <c r="E879" s="770"/>
      <c r="F879" s="234"/>
      <c r="G879" s="234"/>
      <c r="H879" s="233"/>
      <c r="I879" s="233"/>
      <c r="J879" s="770"/>
      <c r="K879" s="233"/>
      <c r="L879" s="233"/>
      <c r="M879" s="233"/>
      <c r="N879" s="2460"/>
      <c r="O879" s="2460"/>
    </row>
    <row r="880" spans="3:15">
      <c r="C880" s="233"/>
      <c r="D880" s="233"/>
      <c r="E880" s="770"/>
      <c r="F880" s="234"/>
      <c r="G880" s="234"/>
      <c r="H880" s="233"/>
      <c r="I880" s="233"/>
      <c r="J880" s="770"/>
      <c r="K880" s="233"/>
      <c r="L880" s="233"/>
      <c r="M880" s="233"/>
      <c r="N880" s="2460"/>
      <c r="O880" s="2460"/>
    </row>
    <row r="881" spans="3:15">
      <c r="C881" s="233"/>
      <c r="D881" s="233"/>
      <c r="E881" s="770"/>
      <c r="F881" s="234"/>
      <c r="G881" s="234"/>
      <c r="H881" s="233"/>
      <c r="I881" s="233"/>
      <c r="J881" s="770"/>
      <c r="K881" s="233"/>
      <c r="L881" s="233"/>
      <c r="M881" s="233"/>
      <c r="N881" s="2460"/>
      <c r="O881" s="2460"/>
    </row>
    <row r="882" spans="3:15">
      <c r="C882" s="233"/>
      <c r="D882" s="233"/>
      <c r="E882" s="770"/>
      <c r="F882" s="234"/>
      <c r="G882" s="234"/>
      <c r="H882" s="233"/>
      <c r="I882" s="233"/>
      <c r="J882" s="770"/>
      <c r="K882" s="233"/>
      <c r="L882" s="233"/>
      <c r="M882" s="233"/>
      <c r="N882" s="2460"/>
      <c r="O882" s="2460"/>
    </row>
    <row r="883" spans="3:15">
      <c r="C883" s="233"/>
      <c r="D883" s="233"/>
      <c r="E883" s="770"/>
      <c r="F883" s="234"/>
      <c r="G883" s="234"/>
      <c r="H883" s="233"/>
      <c r="I883" s="233"/>
      <c r="J883" s="770"/>
      <c r="K883" s="233"/>
      <c r="L883" s="233"/>
      <c r="M883" s="233"/>
      <c r="N883" s="2460"/>
      <c r="O883" s="2460"/>
    </row>
    <row r="884" spans="3:15">
      <c r="C884" s="233"/>
      <c r="D884" s="233"/>
      <c r="E884" s="770"/>
      <c r="F884" s="234"/>
      <c r="G884" s="234"/>
      <c r="H884" s="233"/>
      <c r="I884" s="233"/>
      <c r="J884" s="770"/>
      <c r="K884" s="233"/>
      <c r="L884" s="233"/>
      <c r="M884" s="233"/>
      <c r="N884" s="2460"/>
      <c r="O884" s="2460"/>
    </row>
    <row r="885" spans="3:15">
      <c r="C885" s="233"/>
      <c r="D885" s="233"/>
      <c r="E885" s="770"/>
      <c r="F885" s="234"/>
      <c r="G885" s="234"/>
      <c r="H885" s="233"/>
      <c r="I885" s="233"/>
      <c r="J885" s="770"/>
      <c r="K885" s="233"/>
      <c r="L885" s="233"/>
      <c r="M885" s="233"/>
      <c r="N885" s="2460"/>
      <c r="O885" s="2460"/>
    </row>
    <row r="886" spans="3:15">
      <c r="C886" s="233"/>
      <c r="D886" s="233"/>
      <c r="E886" s="770"/>
      <c r="F886" s="234"/>
      <c r="G886" s="234"/>
      <c r="H886" s="233"/>
      <c r="I886" s="233"/>
      <c r="J886" s="770"/>
      <c r="K886" s="233"/>
      <c r="L886" s="233"/>
      <c r="M886" s="233"/>
      <c r="N886" s="2460"/>
      <c r="O886" s="2460"/>
    </row>
    <row r="887" spans="3:15">
      <c r="C887" s="233"/>
      <c r="D887" s="233"/>
      <c r="E887" s="770"/>
      <c r="F887" s="234"/>
      <c r="G887" s="234"/>
      <c r="H887" s="233"/>
      <c r="I887" s="233"/>
      <c r="J887" s="770"/>
      <c r="K887" s="233"/>
      <c r="L887" s="233"/>
      <c r="M887" s="233"/>
      <c r="N887" s="2460"/>
      <c r="O887" s="2460"/>
    </row>
    <row r="888" spans="3:15">
      <c r="C888" s="233"/>
      <c r="D888" s="233"/>
      <c r="E888" s="770"/>
      <c r="F888" s="234"/>
      <c r="G888" s="234"/>
      <c r="H888" s="233"/>
      <c r="I888" s="233"/>
      <c r="J888" s="770"/>
      <c r="K888" s="233"/>
      <c r="L888" s="233"/>
      <c r="M888" s="233"/>
      <c r="N888" s="2460"/>
      <c r="O888" s="2460"/>
    </row>
    <row r="889" spans="3:15">
      <c r="C889" s="233"/>
      <c r="D889" s="233"/>
      <c r="E889" s="770"/>
      <c r="F889" s="234"/>
      <c r="G889" s="234"/>
      <c r="H889" s="233"/>
      <c r="I889" s="233"/>
      <c r="J889" s="770"/>
      <c r="K889" s="233"/>
      <c r="L889" s="233"/>
      <c r="M889" s="233"/>
      <c r="N889" s="2460"/>
      <c r="O889" s="2460"/>
    </row>
    <row r="890" spans="3:15">
      <c r="C890" s="233"/>
      <c r="D890" s="233"/>
      <c r="E890" s="770"/>
      <c r="F890" s="234"/>
      <c r="G890" s="234"/>
      <c r="H890" s="233"/>
      <c r="I890" s="233"/>
      <c r="J890" s="770"/>
      <c r="K890" s="233"/>
      <c r="L890" s="233"/>
      <c r="M890" s="233"/>
      <c r="N890" s="2460"/>
      <c r="O890" s="2460"/>
    </row>
    <row r="891" spans="3:15">
      <c r="C891" s="233"/>
      <c r="D891" s="233"/>
      <c r="E891" s="770"/>
      <c r="F891" s="234"/>
      <c r="G891" s="234"/>
      <c r="H891" s="233"/>
      <c r="I891" s="233"/>
      <c r="J891" s="770"/>
      <c r="K891" s="233"/>
      <c r="L891" s="233"/>
      <c r="M891" s="233"/>
      <c r="N891" s="2460"/>
      <c r="O891" s="2460"/>
    </row>
    <row r="892" spans="3:15">
      <c r="C892" s="233"/>
      <c r="D892" s="233"/>
      <c r="E892" s="770"/>
      <c r="F892" s="234"/>
      <c r="G892" s="234"/>
      <c r="H892" s="233"/>
      <c r="I892" s="233"/>
      <c r="J892" s="770"/>
      <c r="K892" s="233"/>
      <c r="L892" s="233"/>
      <c r="M892" s="233"/>
      <c r="N892" s="2460"/>
      <c r="O892" s="2460"/>
    </row>
    <row r="893" spans="3:15">
      <c r="C893" s="233"/>
      <c r="D893" s="233"/>
      <c r="E893" s="770"/>
      <c r="F893" s="234"/>
      <c r="G893" s="234"/>
      <c r="H893" s="233"/>
      <c r="I893" s="233"/>
      <c r="J893" s="770"/>
      <c r="K893" s="233"/>
      <c r="L893" s="233"/>
      <c r="M893" s="233"/>
      <c r="N893" s="2460"/>
      <c r="O893" s="2460"/>
    </row>
    <row r="894" spans="3:15">
      <c r="C894" s="233"/>
      <c r="D894" s="233"/>
      <c r="E894" s="770"/>
      <c r="F894" s="234"/>
      <c r="G894" s="234"/>
      <c r="H894" s="233"/>
      <c r="I894" s="233"/>
      <c r="J894" s="770"/>
      <c r="K894" s="233"/>
      <c r="L894" s="233"/>
      <c r="M894" s="233"/>
      <c r="N894" s="2460"/>
      <c r="O894" s="2460"/>
    </row>
    <row r="895" spans="3:15">
      <c r="C895" s="233"/>
      <c r="D895" s="233"/>
      <c r="E895" s="770"/>
      <c r="F895" s="234"/>
      <c r="G895" s="234"/>
      <c r="H895" s="233"/>
      <c r="I895" s="233"/>
      <c r="J895" s="770"/>
      <c r="K895" s="233"/>
      <c r="L895" s="233"/>
      <c r="M895" s="233"/>
      <c r="N895" s="2460"/>
      <c r="O895" s="2460"/>
    </row>
    <row r="896" spans="3:15">
      <c r="C896" s="233"/>
      <c r="D896" s="233"/>
      <c r="E896" s="770"/>
      <c r="F896" s="234"/>
      <c r="G896" s="234"/>
      <c r="H896" s="233"/>
      <c r="I896" s="233"/>
      <c r="J896" s="770"/>
      <c r="K896" s="233"/>
      <c r="L896" s="233"/>
      <c r="M896" s="233"/>
      <c r="N896" s="2460"/>
      <c r="O896" s="2460"/>
    </row>
    <row r="897" spans="3:15">
      <c r="C897" s="233"/>
      <c r="D897" s="233"/>
      <c r="E897" s="770"/>
      <c r="F897" s="234"/>
      <c r="G897" s="234"/>
      <c r="H897" s="233"/>
      <c r="I897" s="233"/>
      <c r="J897" s="770"/>
      <c r="K897" s="233"/>
      <c r="L897" s="233"/>
      <c r="M897" s="233"/>
      <c r="N897" s="2460"/>
      <c r="O897" s="2460"/>
    </row>
    <row r="898" spans="3:15">
      <c r="C898" s="233"/>
      <c r="D898" s="233"/>
      <c r="E898" s="770"/>
      <c r="F898" s="234"/>
      <c r="G898" s="234"/>
      <c r="H898" s="233"/>
      <c r="I898" s="233"/>
      <c r="J898" s="770"/>
      <c r="K898" s="233"/>
      <c r="L898" s="233"/>
      <c r="M898" s="233"/>
      <c r="N898" s="2460"/>
      <c r="O898" s="2460"/>
    </row>
    <row r="899" spans="3:15">
      <c r="C899" s="233"/>
      <c r="D899" s="233"/>
      <c r="E899" s="770"/>
      <c r="F899" s="234"/>
      <c r="G899" s="234"/>
      <c r="H899" s="233"/>
      <c r="I899" s="233"/>
      <c r="J899" s="770"/>
      <c r="K899" s="233"/>
      <c r="L899" s="233"/>
      <c r="M899" s="233"/>
      <c r="N899" s="2460"/>
      <c r="O899" s="2460"/>
    </row>
    <row r="900" spans="3:15">
      <c r="C900" s="233"/>
      <c r="D900" s="233"/>
      <c r="E900" s="770"/>
      <c r="F900" s="234"/>
      <c r="G900" s="234"/>
      <c r="H900" s="233"/>
      <c r="I900" s="233"/>
      <c r="J900" s="770"/>
      <c r="K900" s="233"/>
      <c r="L900" s="233"/>
      <c r="M900" s="233"/>
      <c r="N900" s="2460"/>
      <c r="O900" s="2460"/>
    </row>
    <row r="901" spans="3:15">
      <c r="C901" s="233"/>
      <c r="D901" s="233"/>
      <c r="E901" s="770"/>
      <c r="F901" s="234"/>
      <c r="G901" s="234"/>
      <c r="H901" s="233"/>
      <c r="I901" s="233"/>
      <c r="J901" s="770"/>
      <c r="K901" s="233"/>
      <c r="L901" s="233"/>
      <c r="M901" s="233"/>
      <c r="N901" s="2460"/>
      <c r="O901" s="2460"/>
    </row>
    <row r="902" spans="3:15">
      <c r="C902" s="233"/>
      <c r="D902" s="233"/>
      <c r="E902" s="770"/>
      <c r="F902" s="234"/>
      <c r="G902" s="234"/>
      <c r="H902" s="233"/>
      <c r="I902" s="233"/>
      <c r="J902" s="770"/>
      <c r="K902" s="233"/>
      <c r="L902" s="233"/>
      <c r="M902" s="233"/>
      <c r="N902" s="2460"/>
      <c r="O902" s="2460"/>
    </row>
    <row r="903" spans="3:15">
      <c r="C903" s="233"/>
      <c r="D903" s="233"/>
      <c r="E903" s="770"/>
      <c r="F903" s="234"/>
      <c r="G903" s="234"/>
      <c r="H903" s="233"/>
      <c r="I903" s="233"/>
      <c r="J903" s="770"/>
      <c r="K903" s="233"/>
      <c r="L903" s="233"/>
      <c r="M903" s="233"/>
      <c r="N903" s="2460"/>
      <c r="O903" s="2460"/>
    </row>
    <row r="904" spans="3:15">
      <c r="C904" s="233"/>
      <c r="D904" s="233"/>
      <c r="E904" s="770"/>
      <c r="F904" s="234"/>
      <c r="G904" s="234"/>
      <c r="H904" s="233"/>
      <c r="I904" s="233"/>
      <c r="J904" s="770"/>
      <c r="K904" s="233"/>
      <c r="L904" s="233"/>
      <c r="M904" s="233"/>
      <c r="N904" s="2460"/>
      <c r="O904" s="2460"/>
    </row>
    <row r="905" spans="3:15">
      <c r="C905" s="233"/>
      <c r="D905" s="233"/>
      <c r="E905" s="770"/>
      <c r="F905" s="234"/>
      <c r="G905" s="234"/>
      <c r="H905" s="233"/>
      <c r="I905" s="233"/>
      <c r="J905" s="770"/>
      <c r="K905" s="233"/>
      <c r="L905" s="233"/>
      <c r="M905" s="233"/>
      <c r="N905" s="2460"/>
      <c r="O905" s="2460"/>
    </row>
    <row r="906" spans="3:15">
      <c r="C906" s="233"/>
      <c r="D906" s="233"/>
      <c r="E906" s="770"/>
      <c r="F906" s="234"/>
      <c r="G906" s="234"/>
      <c r="H906" s="233"/>
      <c r="I906" s="233"/>
      <c r="J906" s="770"/>
      <c r="K906" s="233"/>
      <c r="L906" s="233"/>
      <c r="M906" s="233"/>
      <c r="N906" s="2460"/>
      <c r="O906" s="2460"/>
    </row>
    <row r="907" spans="3:15">
      <c r="C907" s="233"/>
      <c r="D907" s="233"/>
      <c r="E907" s="770"/>
      <c r="F907" s="234"/>
      <c r="G907" s="234"/>
      <c r="H907" s="233"/>
      <c r="I907" s="233"/>
      <c r="J907" s="770"/>
      <c r="K907" s="233"/>
      <c r="L907" s="233"/>
      <c r="M907" s="233"/>
      <c r="N907" s="2460"/>
      <c r="O907" s="2460"/>
    </row>
    <row r="908" spans="3:15">
      <c r="C908" s="233"/>
      <c r="D908" s="233"/>
      <c r="E908" s="770"/>
      <c r="F908" s="234"/>
      <c r="G908" s="234"/>
      <c r="H908" s="233"/>
      <c r="I908" s="233"/>
      <c r="J908" s="770"/>
      <c r="K908" s="233"/>
      <c r="L908" s="233"/>
      <c r="M908" s="233"/>
      <c r="N908" s="2460"/>
      <c r="O908" s="2460"/>
    </row>
    <row r="909" spans="3:15">
      <c r="C909" s="233"/>
      <c r="D909" s="233"/>
      <c r="E909" s="770"/>
      <c r="F909" s="234"/>
      <c r="G909" s="234"/>
      <c r="H909" s="233"/>
      <c r="I909" s="233"/>
      <c r="J909" s="770"/>
      <c r="K909" s="233"/>
      <c r="L909" s="233"/>
      <c r="M909" s="233"/>
      <c r="N909" s="2460"/>
      <c r="O909" s="2460"/>
    </row>
    <row r="910" spans="3:15">
      <c r="C910" s="233"/>
      <c r="D910" s="233"/>
      <c r="E910" s="770"/>
      <c r="F910" s="234"/>
      <c r="G910" s="234"/>
      <c r="H910" s="233"/>
      <c r="I910" s="233"/>
      <c r="J910" s="770"/>
      <c r="K910" s="233"/>
      <c r="L910" s="233"/>
      <c r="M910" s="233"/>
      <c r="N910" s="2460"/>
      <c r="O910" s="2460"/>
    </row>
    <row r="911" spans="3:15">
      <c r="C911" s="233"/>
      <c r="D911" s="233"/>
      <c r="E911" s="770"/>
      <c r="F911" s="234"/>
      <c r="G911" s="234"/>
      <c r="H911" s="233"/>
      <c r="I911" s="233"/>
      <c r="J911" s="770"/>
      <c r="K911" s="233"/>
      <c r="L911" s="233"/>
      <c r="M911" s="233"/>
      <c r="N911" s="2460"/>
      <c r="O911" s="2460"/>
    </row>
    <row r="912" spans="3:15">
      <c r="C912" s="233"/>
      <c r="D912" s="233"/>
      <c r="E912" s="770"/>
      <c r="F912" s="234"/>
      <c r="G912" s="234"/>
      <c r="H912" s="233"/>
      <c r="I912" s="233"/>
      <c r="J912" s="770"/>
      <c r="K912" s="233"/>
      <c r="L912" s="233"/>
      <c r="M912" s="233"/>
      <c r="N912" s="2460"/>
      <c r="O912" s="2460"/>
    </row>
    <row r="913" spans="3:15">
      <c r="C913" s="233"/>
      <c r="D913" s="233"/>
      <c r="E913" s="770"/>
      <c r="F913" s="234"/>
      <c r="G913" s="234"/>
      <c r="H913" s="233"/>
      <c r="I913" s="233"/>
      <c r="J913" s="770"/>
      <c r="K913" s="233"/>
      <c r="L913" s="233"/>
      <c r="M913" s="233"/>
      <c r="N913" s="2460"/>
      <c r="O913" s="2460"/>
    </row>
    <row r="914" spans="3:15">
      <c r="C914" s="233"/>
      <c r="D914" s="233"/>
      <c r="E914" s="770"/>
      <c r="F914" s="234"/>
      <c r="G914" s="234"/>
      <c r="H914" s="233"/>
      <c r="I914" s="233"/>
      <c r="J914" s="770"/>
      <c r="K914" s="233"/>
      <c r="L914" s="233"/>
      <c r="M914" s="233"/>
      <c r="N914" s="2460"/>
      <c r="O914" s="2460"/>
    </row>
    <row r="915" spans="3:15">
      <c r="C915" s="233"/>
      <c r="D915" s="233"/>
      <c r="E915" s="770"/>
      <c r="F915" s="234"/>
      <c r="G915" s="234"/>
      <c r="H915" s="233"/>
      <c r="I915" s="233"/>
      <c r="J915" s="770"/>
      <c r="K915" s="233"/>
      <c r="L915" s="233"/>
      <c r="M915" s="233"/>
      <c r="N915" s="2460"/>
      <c r="O915" s="2460"/>
    </row>
    <row r="916" spans="3:15">
      <c r="C916" s="233"/>
      <c r="D916" s="233"/>
      <c r="E916" s="770"/>
      <c r="F916" s="234"/>
      <c r="G916" s="234"/>
      <c r="H916" s="233"/>
      <c r="I916" s="233"/>
      <c r="J916" s="770"/>
      <c r="K916" s="233"/>
      <c r="L916" s="233"/>
      <c r="M916" s="233"/>
      <c r="N916" s="2460"/>
      <c r="O916" s="2460"/>
    </row>
    <row r="917" spans="3:15">
      <c r="C917" s="233"/>
      <c r="D917" s="233"/>
      <c r="E917" s="770"/>
      <c r="F917" s="234"/>
      <c r="G917" s="234"/>
      <c r="H917" s="233"/>
      <c r="I917" s="233"/>
      <c r="J917" s="770"/>
      <c r="K917" s="233"/>
      <c r="L917" s="233"/>
      <c r="M917" s="233"/>
      <c r="N917" s="2460"/>
      <c r="O917" s="2460"/>
    </row>
    <row r="918" spans="3:15">
      <c r="C918" s="233"/>
      <c r="D918" s="233"/>
      <c r="E918" s="770"/>
      <c r="F918" s="234"/>
      <c r="G918" s="234"/>
      <c r="H918" s="233"/>
      <c r="I918" s="233"/>
      <c r="J918" s="770"/>
      <c r="K918" s="233"/>
      <c r="L918" s="233"/>
      <c r="M918" s="233"/>
      <c r="N918" s="2460"/>
      <c r="O918" s="2460"/>
    </row>
    <row r="919" spans="3:15">
      <c r="C919" s="233"/>
      <c r="D919" s="233"/>
      <c r="E919" s="770"/>
      <c r="F919" s="234"/>
      <c r="G919" s="234"/>
      <c r="H919" s="233"/>
      <c r="I919" s="233"/>
      <c r="J919" s="770"/>
      <c r="K919" s="233"/>
      <c r="L919" s="233"/>
      <c r="M919" s="233"/>
      <c r="N919" s="2460"/>
      <c r="O919" s="2460"/>
    </row>
    <row r="920" spans="3:15">
      <c r="C920" s="233"/>
      <c r="D920" s="233"/>
      <c r="E920" s="770"/>
      <c r="F920" s="234"/>
      <c r="G920" s="234"/>
      <c r="H920" s="233"/>
      <c r="I920" s="233"/>
      <c r="J920" s="770"/>
      <c r="K920" s="233"/>
      <c r="L920" s="233"/>
      <c r="M920" s="233"/>
      <c r="N920" s="2460"/>
      <c r="O920" s="2460"/>
    </row>
    <row r="921" spans="3:15">
      <c r="C921" s="233"/>
      <c r="D921" s="233"/>
      <c r="E921" s="770"/>
      <c r="F921" s="234"/>
      <c r="G921" s="234"/>
      <c r="H921" s="233"/>
      <c r="I921" s="233"/>
      <c r="J921" s="770"/>
      <c r="K921" s="233"/>
      <c r="L921" s="233"/>
      <c r="M921" s="233"/>
      <c r="N921" s="2460"/>
      <c r="O921" s="2460"/>
    </row>
    <row r="922" spans="3:15">
      <c r="C922" s="233"/>
      <c r="D922" s="233"/>
      <c r="E922" s="770"/>
      <c r="F922" s="234"/>
      <c r="G922" s="234"/>
      <c r="H922" s="233"/>
      <c r="I922" s="233"/>
      <c r="J922" s="770"/>
      <c r="K922" s="233"/>
      <c r="L922" s="233"/>
      <c r="M922" s="233"/>
      <c r="N922" s="2460"/>
      <c r="O922" s="2460"/>
    </row>
    <row r="923" spans="3:15">
      <c r="C923" s="233"/>
      <c r="D923" s="233"/>
      <c r="E923" s="770"/>
      <c r="F923" s="234"/>
      <c r="G923" s="234"/>
      <c r="H923" s="233"/>
      <c r="I923" s="233"/>
      <c r="J923" s="770"/>
      <c r="K923" s="233"/>
      <c r="L923" s="233"/>
      <c r="M923" s="233"/>
      <c r="N923" s="2460"/>
      <c r="O923" s="2460"/>
    </row>
    <row r="924" spans="3:15">
      <c r="C924" s="233"/>
      <c r="D924" s="233"/>
      <c r="E924" s="770"/>
      <c r="F924" s="234"/>
      <c r="G924" s="234"/>
      <c r="H924" s="233"/>
      <c r="I924" s="233"/>
      <c r="J924" s="770"/>
      <c r="K924" s="233"/>
      <c r="L924" s="233"/>
      <c r="M924" s="233"/>
      <c r="N924" s="2460"/>
      <c r="O924" s="2460"/>
    </row>
    <row r="925" spans="3:15">
      <c r="C925" s="233"/>
      <c r="D925" s="233"/>
      <c r="E925" s="770"/>
      <c r="F925" s="234"/>
      <c r="G925" s="234"/>
      <c r="H925" s="233"/>
      <c r="I925" s="233"/>
      <c r="J925" s="770"/>
      <c r="K925" s="233"/>
      <c r="L925" s="233"/>
      <c r="M925" s="233"/>
      <c r="N925" s="2460"/>
      <c r="O925" s="2460"/>
    </row>
    <row r="926" spans="3:15">
      <c r="C926" s="233"/>
      <c r="D926" s="233"/>
      <c r="E926" s="770"/>
      <c r="F926" s="234"/>
      <c r="G926" s="234"/>
      <c r="H926" s="233"/>
      <c r="I926" s="233"/>
      <c r="J926" s="770"/>
      <c r="K926" s="233"/>
      <c r="L926" s="233"/>
      <c r="M926" s="233"/>
      <c r="N926" s="2460"/>
      <c r="O926" s="2460"/>
    </row>
    <row r="927" spans="3:15">
      <c r="C927" s="233"/>
      <c r="D927" s="233"/>
      <c r="E927" s="770"/>
      <c r="F927" s="234"/>
      <c r="G927" s="234"/>
      <c r="H927" s="233"/>
      <c r="I927" s="233"/>
      <c r="J927" s="770"/>
      <c r="K927" s="233"/>
      <c r="L927" s="233"/>
      <c r="M927" s="233"/>
      <c r="N927" s="2460"/>
      <c r="O927" s="2460"/>
    </row>
    <row r="928" spans="3:15">
      <c r="C928" s="233"/>
      <c r="D928" s="233"/>
      <c r="E928" s="770"/>
      <c r="F928" s="234"/>
      <c r="G928" s="234"/>
      <c r="H928" s="233"/>
      <c r="I928" s="233"/>
      <c r="J928" s="770"/>
      <c r="K928" s="233"/>
      <c r="L928" s="233"/>
      <c r="M928" s="233"/>
      <c r="N928" s="2460"/>
      <c r="O928" s="2460"/>
    </row>
    <row r="929" spans="3:15">
      <c r="C929" s="233"/>
      <c r="D929" s="233"/>
      <c r="E929" s="770"/>
      <c r="F929" s="234"/>
      <c r="G929" s="234"/>
      <c r="H929" s="233"/>
      <c r="I929" s="233"/>
      <c r="J929" s="770"/>
      <c r="K929" s="233"/>
      <c r="L929" s="233"/>
      <c r="M929" s="233"/>
      <c r="N929" s="2460"/>
      <c r="O929" s="2460"/>
    </row>
    <row r="930" spans="3:15">
      <c r="C930" s="233"/>
      <c r="D930" s="233"/>
      <c r="E930" s="770"/>
      <c r="F930" s="234"/>
      <c r="G930" s="234"/>
      <c r="H930" s="233"/>
      <c r="I930" s="233"/>
      <c r="J930" s="770"/>
      <c r="K930" s="233"/>
      <c r="L930" s="233"/>
      <c r="M930" s="233"/>
      <c r="N930" s="2460"/>
      <c r="O930" s="2460"/>
    </row>
    <row r="931" spans="3:15">
      <c r="C931" s="233"/>
      <c r="D931" s="233"/>
      <c r="E931" s="770"/>
      <c r="F931" s="234"/>
      <c r="G931" s="234"/>
      <c r="H931" s="233"/>
      <c r="I931" s="233"/>
      <c r="J931" s="770"/>
      <c r="K931" s="233"/>
      <c r="L931" s="233"/>
      <c r="M931" s="233"/>
      <c r="N931" s="2460"/>
      <c r="O931" s="2460"/>
    </row>
    <row r="932" spans="3:15">
      <c r="C932" s="233"/>
      <c r="D932" s="233"/>
      <c r="E932" s="770"/>
      <c r="F932" s="234"/>
      <c r="G932" s="234"/>
      <c r="H932" s="233"/>
      <c r="I932" s="233"/>
      <c r="J932" s="770"/>
      <c r="K932" s="233"/>
      <c r="L932" s="233"/>
      <c r="M932" s="233"/>
      <c r="N932" s="2460"/>
      <c r="O932" s="2460"/>
    </row>
    <row r="933" spans="3:15">
      <c r="C933" s="233"/>
      <c r="D933" s="233"/>
      <c r="E933" s="770"/>
      <c r="F933" s="234"/>
      <c r="G933" s="234"/>
      <c r="H933" s="233"/>
      <c r="I933" s="233"/>
      <c r="J933" s="770"/>
      <c r="K933" s="233"/>
      <c r="L933" s="233"/>
      <c r="M933" s="233"/>
      <c r="N933" s="2460"/>
      <c r="O933" s="2460"/>
    </row>
    <row r="934" spans="3:15">
      <c r="C934" s="233"/>
      <c r="D934" s="233"/>
      <c r="E934" s="770"/>
      <c r="F934" s="234"/>
      <c r="G934" s="234"/>
      <c r="H934" s="233"/>
      <c r="I934" s="233"/>
      <c r="J934" s="770"/>
      <c r="K934" s="233"/>
      <c r="L934" s="233"/>
      <c r="M934" s="233"/>
      <c r="N934" s="2460"/>
      <c r="O934" s="2460"/>
    </row>
    <row r="935" spans="3:15">
      <c r="C935" s="233"/>
      <c r="D935" s="233"/>
      <c r="E935" s="770"/>
      <c r="F935" s="234"/>
      <c r="G935" s="234"/>
      <c r="H935" s="233"/>
      <c r="I935" s="233"/>
      <c r="J935" s="770"/>
      <c r="K935" s="233"/>
      <c r="L935" s="233"/>
      <c r="M935" s="233"/>
      <c r="N935" s="2460"/>
      <c r="O935" s="2460"/>
    </row>
    <row r="936" spans="3:15">
      <c r="C936" s="233"/>
      <c r="D936" s="233"/>
      <c r="E936" s="770"/>
      <c r="F936" s="234"/>
      <c r="G936" s="234"/>
      <c r="H936" s="233"/>
      <c r="I936" s="233"/>
      <c r="J936" s="770"/>
      <c r="K936" s="233"/>
      <c r="L936" s="233"/>
      <c r="M936" s="233"/>
      <c r="N936" s="2460"/>
      <c r="O936" s="2460"/>
    </row>
    <row r="937" spans="3:15">
      <c r="C937" s="233"/>
      <c r="D937" s="233"/>
      <c r="E937" s="770"/>
      <c r="F937" s="234"/>
      <c r="G937" s="234"/>
      <c r="H937" s="233"/>
      <c r="I937" s="233"/>
      <c r="J937" s="770"/>
      <c r="K937" s="233"/>
      <c r="L937" s="233"/>
      <c r="M937" s="233"/>
      <c r="N937" s="2460"/>
      <c r="O937" s="2460"/>
    </row>
    <row r="938" spans="3:15">
      <c r="C938" s="233"/>
      <c r="D938" s="233"/>
      <c r="E938" s="770"/>
      <c r="F938" s="234"/>
      <c r="G938" s="234"/>
      <c r="H938" s="233"/>
      <c r="I938" s="233"/>
      <c r="J938" s="770"/>
      <c r="K938" s="233"/>
      <c r="L938" s="233"/>
      <c r="M938" s="233"/>
      <c r="N938" s="2460"/>
      <c r="O938" s="2460"/>
    </row>
    <row r="939" spans="3:15">
      <c r="C939" s="233"/>
      <c r="D939" s="233"/>
      <c r="E939" s="770"/>
      <c r="F939" s="234"/>
      <c r="G939" s="234"/>
      <c r="H939" s="233"/>
      <c r="I939" s="233"/>
      <c r="J939" s="770"/>
      <c r="K939" s="233"/>
      <c r="L939" s="233"/>
      <c r="M939" s="233"/>
      <c r="N939" s="2460"/>
      <c r="O939" s="2460"/>
    </row>
    <row r="940" spans="3:15">
      <c r="C940" s="233"/>
      <c r="D940" s="233"/>
      <c r="E940" s="770"/>
      <c r="F940" s="234"/>
      <c r="G940" s="234"/>
      <c r="H940" s="233"/>
      <c r="I940" s="233"/>
      <c r="J940" s="770"/>
      <c r="K940" s="233"/>
      <c r="L940" s="233"/>
      <c r="M940" s="233"/>
      <c r="N940" s="2460"/>
      <c r="O940" s="2460"/>
    </row>
    <row r="941" spans="3:15">
      <c r="C941" s="233"/>
      <c r="D941" s="233"/>
      <c r="E941" s="770"/>
      <c r="F941" s="234"/>
      <c r="G941" s="234"/>
      <c r="H941" s="233"/>
      <c r="I941" s="233"/>
      <c r="J941" s="770"/>
      <c r="K941" s="233"/>
      <c r="L941" s="233"/>
      <c r="M941" s="233"/>
      <c r="N941" s="2460"/>
      <c r="O941" s="2460"/>
    </row>
    <row r="942" spans="3:15">
      <c r="C942" s="233"/>
      <c r="D942" s="233"/>
      <c r="E942" s="770"/>
      <c r="F942" s="234"/>
      <c r="G942" s="234"/>
      <c r="H942" s="233"/>
      <c r="I942" s="233"/>
      <c r="J942" s="770"/>
      <c r="K942" s="233"/>
      <c r="L942" s="233"/>
      <c r="M942" s="233"/>
      <c r="N942" s="2460"/>
      <c r="O942" s="2460"/>
    </row>
    <row r="943" spans="3:15">
      <c r="C943" s="233"/>
      <c r="D943" s="233"/>
      <c r="E943" s="770"/>
      <c r="F943" s="234"/>
      <c r="G943" s="234"/>
      <c r="H943" s="233"/>
      <c r="I943" s="233"/>
      <c r="J943" s="770"/>
      <c r="K943" s="233"/>
      <c r="L943" s="233"/>
      <c r="M943" s="233"/>
      <c r="N943" s="2460"/>
      <c r="O943" s="2460"/>
    </row>
    <row r="944" spans="3:15">
      <c r="C944" s="233"/>
      <c r="D944" s="233"/>
      <c r="E944" s="770"/>
      <c r="F944" s="234"/>
      <c r="G944" s="234"/>
      <c r="H944" s="233"/>
      <c r="I944" s="233"/>
      <c r="J944" s="770"/>
      <c r="K944" s="233"/>
      <c r="L944" s="233"/>
      <c r="M944" s="233"/>
      <c r="N944" s="2460"/>
      <c r="O944" s="2460"/>
    </row>
    <row r="945" spans="3:15">
      <c r="C945" s="233"/>
      <c r="D945" s="233"/>
      <c r="E945" s="770"/>
      <c r="F945" s="234"/>
      <c r="G945" s="234"/>
      <c r="H945" s="233"/>
      <c r="I945" s="233"/>
      <c r="J945" s="770"/>
      <c r="K945" s="233"/>
      <c r="L945" s="233"/>
      <c r="M945" s="233"/>
      <c r="N945" s="2460"/>
      <c r="O945" s="2460"/>
    </row>
    <row r="946" spans="3:15">
      <c r="C946" s="233"/>
      <c r="D946" s="233"/>
      <c r="E946" s="770"/>
      <c r="F946" s="234"/>
      <c r="G946" s="234"/>
      <c r="H946" s="233"/>
      <c r="I946" s="233"/>
      <c r="J946" s="770"/>
      <c r="K946" s="233"/>
      <c r="L946" s="233"/>
      <c r="M946" s="233"/>
      <c r="N946" s="2460"/>
      <c r="O946" s="2460"/>
    </row>
    <row r="947" spans="3:15">
      <c r="C947" s="233"/>
      <c r="D947" s="233"/>
      <c r="E947" s="770"/>
      <c r="F947" s="234"/>
      <c r="G947" s="234"/>
      <c r="H947" s="233"/>
      <c r="I947" s="233"/>
      <c r="J947" s="770"/>
      <c r="K947" s="233"/>
      <c r="L947" s="233"/>
      <c r="M947" s="233"/>
      <c r="N947" s="2460"/>
      <c r="O947" s="2460"/>
    </row>
    <row r="948" spans="3:15">
      <c r="C948" s="233"/>
      <c r="D948" s="233"/>
      <c r="E948" s="770"/>
      <c r="F948" s="234"/>
      <c r="G948" s="234"/>
      <c r="H948" s="233"/>
      <c r="I948" s="233"/>
      <c r="J948" s="770"/>
      <c r="K948" s="233"/>
      <c r="L948" s="233"/>
      <c r="M948" s="233"/>
      <c r="N948" s="2460"/>
      <c r="O948" s="2460"/>
    </row>
    <row r="949" spans="3:15">
      <c r="C949" s="233"/>
      <c r="D949" s="233"/>
      <c r="E949" s="770"/>
      <c r="F949" s="234"/>
      <c r="G949" s="234"/>
      <c r="H949" s="233"/>
      <c r="I949" s="233"/>
      <c r="J949" s="770"/>
      <c r="K949" s="233"/>
      <c r="L949" s="233"/>
      <c r="M949" s="233"/>
      <c r="N949" s="2460"/>
      <c r="O949" s="2460"/>
    </row>
    <row r="950" spans="3:15">
      <c r="C950" s="233"/>
      <c r="D950" s="233"/>
      <c r="E950" s="770"/>
      <c r="F950" s="234"/>
      <c r="G950" s="234"/>
      <c r="H950" s="233"/>
      <c r="I950" s="233"/>
      <c r="J950" s="770"/>
      <c r="K950" s="233"/>
      <c r="L950" s="233"/>
      <c r="M950" s="233"/>
      <c r="N950" s="2460"/>
      <c r="O950" s="2460"/>
    </row>
    <row r="951" spans="3:15">
      <c r="C951" s="233"/>
      <c r="D951" s="233"/>
      <c r="E951" s="770"/>
      <c r="F951" s="234"/>
      <c r="G951" s="234"/>
      <c r="H951" s="233"/>
      <c r="I951" s="233"/>
      <c r="J951" s="770"/>
      <c r="K951" s="233"/>
      <c r="L951" s="233"/>
      <c r="M951" s="233"/>
      <c r="N951" s="2460"/>
      <c r="O951" s="2460"/>
    </row>
    <row r="952" spans="3:15">
      <c r="C952" s="233"/>
      <c r="D952" s="233"/>
      <c r="E952" s="770"/>
      <c r="F952" s="234"/>
      <c r="G952" s="234"/>
      <c r="H952" s="233"/>
      <c r="I952" s="233"/>
      <c r="J952" s="770"/>
      <c r="K952" s="233"/>
      <c r="L952" s="233"/>
      <c r="M952" s="233"/>
      <c r="N952" s="2460"/>
      <c r="O952" s="2460"/>
    </row>
    <row r="953" spans="3:15">
      <c r="C953" s="233"/>
      <c r="D953" s="233"/>
      <c r="E953" s="770"/>
      <c r="F953" s="234"/>
      <c r="G953" s="234"/>
      <c r="H953" s="233"/>
      <c r="I953" s="233"/>
      <c r="J953" s="770"/>
      <c r="K953" s="233"/>
      <c r="L953" s="233"/>
      <c r="M953" s="233"/>
      <c r="N953" s="2460"/>
      <c r="O953" s="2460"/>
    </row>
    <row r="954" spans="3:15">
      <c r="C954" s="233"/>
      <c r="D954" s="233"/>
      <c r="E954" s="770"/>
      <c r="F954" s="234"/>
      <c r="G954" s="234"/>
      <c r="H954" s="233"/>
      <c r="I954" s="233"/>
      <c r="J954" s="770"/>
      <c r="K954" s="233"/>
      <c r="L954" s="233"/>
      <c r="M954" s="233"/>
      <c r="N954" s="2460"/>
      <c r="O954" s="2460"/>
    </row>
    <row r="955" spans="3:15">
      <c r="C955" s="233"/>
      <c r="D955" s="233"/>
      <c r="E955" s="770"/>
      <c r="F955" s="234"/>
      <c r="G955" s="234"/>
      <c r="H955" s="233"/>
      <c r="I955" s="233"/>
      <c r="J955" s="770"/>
      <c r="K955" s="233"/>
      <c r="L955" s="233"/>
      <c r="M955" s="233"/>
      <c r="N955" s="2460"/>
      <c r="O955" s="2460"/>
    </row>
    <row r="956" spans="3:15">
      <c r="C956" s="233"/>
      <c r="D956" s="233"/>
      <c r="E956" s="770"/>
      <c r="F956" s="234"/>
      <c r="G956" s="234"/>
      <c r="H956" s="233"/>
      <c r="I956" s="233"/>
      <c r="J956" s="770"/>
      <c r="K956" s="233"/>
      <c r="L956" s="233"/>
      <c r="M956" s="233"/>
      <c r="N956" s="2460"/>
      <c r="O956" s="2460"/>
    </row>
    <row r="957" spans="3:15">
      <c r="C957" s="233"/>
      <c r="D957" s="233"/>
      <c r="E957" s="770"/>
      <c r="F957" s="234"/>
      <c r="G957" s="234"/>
      <c r="H957" s="233"/>
      <c r="I957" s="233"/>
      <c r="J957" s="770"/>
      <c r="K957" s="233"/>
      <c r="L957" s="233"/>
      <c r="M957" s="233"/>
      <c r="N957" s="2460"/>
      <c r="O957" s="2460"/>
    </row>
    <row r="958" spans="3:15">
      <c r="C958" s="233"/>
      <c r="D958" s="233"/>
      <c r="E958" s="770"/>
      <c r="F958" s="234"/>
      <c r="G958" s="234"/>
      <c r="H958" s="233"/>
      <c r="I958" s="233"/>
      <c r="J958" s="770"/>
      <c r="K958" s="233"/>
      <c r="L958" s="233"/>
      <c r="M958" s="233"/>
      <c r="N958" s="2460"/>
      <c r="O958" s="2460"/>
    </row>
    <row r="959" spans="3:15">
      <c r="C959" s="233"/>
      <c r="D959" s="233"/>
      <c r="E959" s="770"/>
      <c r="F959" s="234"/>
      <c r="G959" s="234"/>
      <c r="H959" s="233"/>
      <c r="I959" s="233"/>
      <c r="J959" s="770"/>
      <c r="K959" s="233"/>
      <c r="L959" s="233"/>
      <c r="M959" s="233"/>
      <c r="N959" s="2460"/>
      <c r="O959" s="2460"/>
    </row>
    <row r="960" spans="3:15">
      <c r="C960" s="233"/>
      <c r="D960" s="233"/>
      <c r="E960" s="770"/>
      <c r="F960" s="234"/>
      <c r="G960" s="234"/>
      <c r="H960" s="233"/>
      <c r="I960" s="233"/>
      <c r="J960" s="770"/>
      <c r="K960" s="233"/>
      <c r="L960" s="233"/>
      <c r="M960" s="233"/>
      <c r="N960" s="2460"/>
      <c r="O960" s="2460"/>
    </row>
    <row r="961" spans="3:15">
      <c r="C961" s="233"/>
      <c r="D961" s="233"/>
      <c r="E961" s="770"/>
      <c r="F961" s="234"/>
      <c r="G961" s="234"/>
      <c r="H961" s="233"/>
      <c r="I961" s="233"/>
      <c r="J961" s="770"/>
      <c r="K961" s="233"/>
      <c r="L961" s="233"/>
      <c r="M961" s="233"/>
      <c r="N961" s="2460"/>
      <c r="O961" s="2460"/>
    </row>
    <row r="962" spans="3:15">
      <c r="C962" s="233"/>
      <c r="D962" s="233"/>
      <c r="E962" s="770"/>
      <c r="F962" s="234"/>
      <c r="G962" s="234"/>
      <c r="H962" s="233"/>
      <c r="I962" s="233"/>
      <c r="J962" s="770"/>
      <c r="K962" s="233"/>
      <c r="L962" s="233"/>
      <c r="M962" s="233"/>
      <c r="N962" s="2460"/>
      <c r="O962" s="2460"/>
    </row>
    <row r="963" spans="3:15">
      <c r="C963" s="233"/>
      <c r="D963" s="233"/>
      <c r="E963" s="770"/>
      <c r="F963" s="234"/>
      <c r="G963" s="234"/>
      <c r="H963" s="233"/>
      <c r="I963" s="233"/>
      <c r="J963" s="770"/>
      <c r="K963" s="233"/>
      <c r="L963" s="233"/>
      <c r="M963" s="233"/>
      <c r="N963" s="2460"/>
      <c r="O963" s="2460"/>
    </row>
    <row r="964" spans="3:15">
      <c r="C964" s="233"/>
      <c r="D964" s="233"/>
      <c r="E964" s="770"/>
      <c r="F964" s="234"/>
      <c r="G964" s="234"/>
      <c r="H964" s="233"/>
      <c r="I964" s="233"/>
      <c r="J964" s="770"/>
      <c r="K964" s="233"/>
      <c r="L964" s="233"/>
      <c r="M964" s="233"/>
      <c r="N964" s="2460"/>
      <c r="O964" s="2460"/>
    </row>
    <row r="965" spans="3:15">
      <c r="C965" s="233"/>
      <c r="D965" s="233"/>
      <c r="E965" s="770"/>
      <c r="F965" s="234"/>
      <c r="G965" s="234"/>
      <c r="H965" s="233"/>
      <c r="I965" s="233"/>
      <c r="J965" s="770"/>
      <c r="K965" s="233"/>
      <c r="L965" s="233"/>
      <c r="M965" s="233"/>
      <c r="N965" s="2460"/>
      <c r="O965" s="2460"/>
    </row>
    <row r="966" spans="3:15">
      <c r="C966" s="233"/>
      <c r="D966" s="233"/>
      <c r="E966" s="770"/>
      <c r="F966" s="234"/>
      <c r="G966" s="234"/>
      <c r="H966" s="233"/>
      <c r="I966" s="233"/>
      <c r="J966" s="770"/>
      <c r="K966" s="233"/>
      <c r="L966" s="233"/>
      <c r="M966" s="233"/>
      <c r="N966" s="2460"/>
      <c r="O966" s="2460"/>
    </row>
    <row r="967" spans="3:15">
      <c r="C967" s="233"/>
      <c r="D967" s="233"/>
      <c r="E967" s="770"/>
      <c r="F967" s="234"/>
      <c r="G967" s="234"/>
      <c r="H967" s="233"/>
      <c r="I967" s="233"/>
      <c r="J967" s="770"/>
      <c r="K967" s="233"/>
      <c r="L967" s="233"/>
      <c r="M967" s="233"/>
      <c r="N967" s="2460"/>
      <c r="O967" s="2460"/>
    </row>
    <row r="968" spans="3:15">
      <c r="C968" s="233"/>
      <c r="D968" s="233"/>
      <c r="E968" s="770"/>
      <c r="F968" s="234"/>
      <c r="G968" s="234"/>
      <c r="H968" s="233"/>
      <c r="I968" s="233"/>
      <c r="J968" s="770"/>
      <c r="K968" s="233"/>
      <c r="L968" s="233"/>
      <c r="M968" s="233"/>
      <c r="N968" s="2460"/>
      <c r="O968" s="2460"/>
    </row>
    <row r="969" spans="3:15">
      <c r="C969" s="233"/>
      <c r="D969" s="233"/>
      <c r="E969" s="770"/>
      <c r="F969" s="234"/>
      <c r="G969" s="234"/>
      <c r="H969" s="233"/>
      <c r="I969" s="233"/>
      <c r="J969" s="770"/>
      <c r="K969" s="233"/>
      <c r="L969" s="233"/>
      <c r="M969" s="233"/>
      <c r="N969" s="2460"/>
      <c r="O969" s="2460"/>
    </row>
    <row r="970" spans="3:15">
      <c r="C970" s="233"/>
      <c r="D970" s="233"/>
      <c r="E970" s="770"/>
      <c r="F970" s="234"/>
      <c r="G970" s="234"/>
      <c r="H970" s="233"/>
      <c r="I970" s="233"/>
      <c r="J970" s="770"/>
      <c r="K970" s="233"/>
      <c r="L970" s="233"/>
      <c r="M970" s="233"/>
      <c r="N970" s="2460"/>
      <c r="O970" s="2460"/>
    </row>
    <row r="971" spans="3:15">
      <c r="C971" s="233"/>
      <c r="D971" s="233"/>
      <c r="E971" s="770"/>
      <c r="F971" s="234"/>
      <c r="G971" s="234"/>
      <c r="H971" s="233"/>
      <c r="I971" s="233"/>
      <c r="J971" s="770"/>
      <c r="K971" s="233"/>
      <c r="L971" s="233"/>
      <c r="M971" s="233"/>
      <c r="N971" s="2460"/>
      <c r="O971" s="2460"/>
    </row>
    <row r="972" spans="3:15">
      <c r="C972" s="233"/>
      <c r="D972" s="233"/>
      <c r="E972" s="770"/>
      <c r="F972" s="234"/>
      <c r="G972" s="234"/>
      <c r="H972" s="233"/>
      <c r="I972" s="233"/>
      <c r="J972" s="770"/>
      <c r="K972" s="233"/>
      <c r="L972" s="233"/>
      <c r="M972" s="233"/>
      <c r="N972" s="2460"/>
      <c r="O972" s="2460"/>
    </row>
    <row r="973" spans="3:15">
      <c r="C973" s="233"/>
      <c r="D973" s="233"/>
      <c r="E973" s="770"/>
      <c r="F973" s="234"/>
      <c r="G973" s="234"/>
      <c r="H973" s="233"/>
      <c r="I973" s="233"/>
      <c r="J973" s="770"/>
      <c r="K973" s="233"/>
      <c r="L973" s="233"/>
      <c r="M973" s="233"/>
      <c r="N973" s="2460"/>
      <c r="O973" s="2460"/>
    </row>
    <row r="974" spans="3:15">
      <c r="C974" s="233"/>
      <c r="D974" s="233"/>
      <c r="E974" s="770"/>
      <c r="F974" s="234"/>
      <c r="G974" s="234"/>
      <c r="H974" s="233"/>
      <c r="I974" s="233"/>
      <c r="J974" s="770"/>
      <c r="K974" s="233"/>
      <c r="L974" s="233"/>
      <c r="M974" s="233"/>
      <c r="N974" s="2460"/>
      <c r="O974" s="2460"/>
    </row>
    <row r="975" spans="3:15">
      <c r="C975" s="233"/>
      <c r="D975" s="233"/>
      <c r="E975" s="770"/>
      <c r="F975" s="234"/>
      <c r="G975" s="234"/>
      <c r="H975" s="233"/>
      <c r="I975" s="233"/>
      <c r="J975" s="770"/>
      <c r="K975" s="233"/>
      <c r="L975" s="233"/>
      <c r="M975" s="233"/>
      <c r="N975" s="2460"/>
      <c r="O975" s="2460"/>
    </row>
    <row r="976" spans="3:15">
      <c r="C976" s="233"/>
      <c r="D976" s="233"/>
      <c r="E976" s="770"/>
      <c r="F976" s="234"/>
      <c r="G976" s="234"/>
      <c r="H976" s="233"/>
      <c r="I976" s="233"/>
      <c r="J976" s="770"/>
      <c r="K976" s="233"/>
      <c r="L976" s="233"/>
      <c r="M976" s="233"/>
      <c r="N976" s="2460"/>
      <c r="O976" s="2460"/>
    </row>
    <row r="977" spans="3:15">
      <c r="C977" s="233"/>
      <c r="D977" s="233"/>
      <c r="E977" s="770"/>
      <c r="F977" s="234"/>
      <c r="G977" s="234"/>
      <c r="H977" s="233"/>
      <c r="I977" s="233"/>
      <c r="J977" s="770"/>
      <c r="K977" s="233"/>
      <c r="L977" s="233"/>
      <c r="M977" s="233"/>
      <c r="N977" s="2460"/>
      <c r="O977" s="2460"/>
    </row>
    <row r="978" spans="3:15">
      <c r="C978" s="233"/>
      <c r="D978" s="233"/>
      <c r="E978" s="770"/>
      <c r="F978" s="234"/>
      <c r="G978" s="234"/>
      <c r="H978" s="233"/>
      <c r="I978" s="233"/>
      <c r="J978" s="770"/>
      <c r="K978" s="233"/>
      <c r="L978" s="233"/>
      <c r="M978" s="233"/>
      <c r="N978" s="2460"/>
      <c r="O978" s="2460"/>
    </row>
    <row r="979" spans="3:15">
      <c r="C979" s="233"/>
      <c r="D979" s="233"/>
      <c r="E979" s="770"/>
      <c r="F979" s="234"/>
      <c r="G979" s="234"/>
      <c r="H979" s="233"/>
      <c r="I979" s="233"/>
      <c r="J979" s="770"/>
      <c r="K979" s="233"/>
      <c r="L979" s="233"/>
      <c r="M979" s="233"/>
      <c r="N979" s="2460"/>
      <c r="O979" s="2460"/>
    </row>
    <row r="980" spans="3:15">
      <c r="C980" s="233"/>
      <c r="D980" s="233"/>
      <c r="E980" s="770"/>
      <c r="F980" s="234"/>
      <c r="G980" s="234"/>
      <c r="H980" s="233"/>
      <c r="I980" s="233"/>
      <c r="J980" s="770"/>
      <c r="K980" s="233"/>
      <c r="L980" s="233"/>
      <c r="M980" s="233"/>
      <c r="N980" s="2460"/>
      <c r="O980" s="2460"/>
    </row>
    <row r="981" spans="3:15">
      <c r="C981" s="233"/>
      <c r="D981" s="233"/>
      <c r="E981" s="770"/>
      <c r="F981" s="234"/>
      <c r="G981" s="234"/>
      <c r="H981" s="233"/>
      <c r="I981" s="233"/>
      <c r="J981" s="770"/>
      <c r="K981" s="233"/>
      <c r="L981" s="233"/>
      <c r="M981" s="233"/>
      <c r="N981" s="2460"/>
      <c r="O981" s="2460"/>
    </row>
    <row r="982" spans="3:15">
      <c r="C982" s="233"/>
      <c r="D982" s="233"/>
      <c r="E982" s="770"/>
      <c r="F982" s="234"/>
      <c r="G982" s="234"/>
      <c r="H982" s="233"/>
      <c r="I982" s="233"/>
      <c r="J982" s="770"/>
      <c r="K982" s="233"/>
      <c r="L982" s="233"/>
      <c r="M982" s="233"/>
      <c r="N982" s="2460"/>
      <c r="O982" s="2460"/>
    </row>
    <row r="983" spans="3:15">
      <c r="C983" s="233"/>
      <c r="D983" s="233"/>
      <c r="E983" s="770"/>
      <c r="F983" s="234"/>
      <c r="G983" s="234"/>
      <c r="H983" s="233"/>
      <c r="I983" s="233"/>
      <c r="J983" s="770"/>
      <c r="K983" s="233"/>
      <c r="L983" s="233"/>
      <c r="M983" s="233"/>
      <c r="N983" s="2460"/>
      <c r="O983" s="2460"/>
    </row>
    <row r="984" spans="3:15">
      <c r="C984" s="233"/>
      <c r="D984" s="233"/>
      <c r="E984" s="770"/>
      <c r="F984" s="234"/>
      <c r="G984" s="234"/>
      <c r="H984" s="233"/>
      <c r="I984" s="233"/>
      <c r="J984" s="770"/>
      <c r="K984" s="233"/>
      <c r="L984" s="233"/>
      <c r="M984" s="233"/>
      <c r="N984" s="2460"/>
      <c r="O984" s="2460"/>
    </row>
    <row r="985" spans="3:15">
      <c r="C985" s="233"/>
      <c r="D985" s="233"/>
      <c r="E985" s="770"/>
      <c r="F985" s="234"/>
      <c r="G985" s="234"/>
      <c r="H985" s="233"/>
      <c r="I985" s="233"/>
      <c r="J985" s="770"/>
      <c r="K985" s="233"/>
      <c r="L985" s="233"/>
      <c r="M985" s="233"/>
      <c r="N985" s="2460"/>
      <c r="O985" s="2460"/>
    </row>
    <row r="986" spans="3:15">
      <c r="C986" s="233"/>
      <c r="D986" s="233"/>
      <c r="E986" s="770"/>
      <c r="F986" s="234"/>
      <c r="G986" s="234"/>
      <c r="H986" s="233"/>
      <c r="I986" s="233"/>
      <c r="J986" s="770"/>
      <c r="K986" s="233"/>
      <c r="L986" s="233"/>
      <c r="M986" s="233"/>
      <c r="N986" s="2460"/>
      <c r="O986" s="2460"/>
    </row>
    <row r="987" spans="3:15">
      <c r="C987" s="233"/>
      <c r="D987" s="233"/>
      <c r="E987" s="770"/>
      <c r="F987" s="234"/>
      <c r="G987" s="234"/>
      <c r="H987" s="233"/>
      <c r="I987" s="233"/>
      <c r="J987" s="770"/>
      <c r="K987" s="233"/>
      <c r="L987" s="233"/>
      <c r="M987" s="233"/>
      <c r="N987" s="2460"/>
      <c r="O987" s="2460"/>
    </row>
    <row r="988" spans="3:15">
      <c r="C988" s="233"/>
      <c r="D988" s="233"/>
      <c r="E988" s="770"/>
      <c r="F988" s="234"/>
      <c r="G988" s="234"/>
      <c r="H988" s="233"/>
      <c r="I988" s="233"/>
      <c r="J988" s="770"/>
      <c r="K988" s="233"/>
      <c r="L988" s="233"/>
      <c r="M988" s="233"/>
      <c r="N988" s="2460"/>
      <c r="O988" s="2460"/>
    </row>
    <row r="989" spans="3:15">
      <c r="C989" s="233"/>
      <c r="D989" s="233"/>
      <c r="E989" s="770"/>
      <c r="F989" s="234"/>
      <c r="G989" s="234"/>
      <c r="H989" s="233"/>
      <c r="I989" s="233"/>
      <c r="J989" s="770"/>
      <c r="K989" s="233"/>
      <c r="L989" s="233"/>
      <c r="M989" s="233"/>
      <c r="N989" s="2460"/>
      <c r="O989" s="2460"/>
    </row>
    <row r="990" spans="3:15">
      <c r="C990" s="233"/>
      <c r="D990" s="233"/>
      <c r="E990" s="770"/>
      <c r="F990" s="234"/>
      <c r="G990" s="234"/>
      <c r="H990" s="233"/>
      <c r="I990" s="233"/>
      <c r="J990" s="770"/>
      <c r="K990" s="233"/>
      <c r="L990" s="233"/>
      <c r="M990" s="233"/>
      <c r="N990" s="2460"/>
      <c r="O990" s="2460"/>
    </row>
    <row r="991" spans="3:15">
      <c r="C991" s="233"/>
      <c r="D991" s="233"/>
      <c r="E991" s="770"/>
      <c r="F991" s="234"/>
      <c r="G991" s="234"/>
      <c r="H991" s="233"/>
      <c r="I991" s="233"/>
      <c r="J991" s="770"/>
      <c r="K991" s="233"/>
      <c r="L991" s="233"/>
      <c r="M991" s="233"/>
      <c r="N991" s="2460"/>
      <c r="O991" s="2460"/>
    </row>
    <row r="992" spans="3:15">
      <c r="C992" s="233"/>
      <c r="D992" s="233"/>
      <c r="E992" s="770"/>
      <c r="F992" s="234"/>
      <c r="G992" s="234"/>
      <c r="H992" s="233"/>
      <c r="I992" s="233"/>
      <c r="J992" s="770"/>
      <c r="K992" s="233"/>
      <c r="L992" s="233"/>
      <c r="M992" s="233"/>
      <c r="N992" s="2460"/>
      <c r="O992" s="2460"/>
    </row>
    <row r="993" spans="3:15">
      <c r="C993" s="233"/>
      <c r="D993" s="233"/>
      <c r="E993" s="770"/>
      <c r="F993" s="234"/>
      <c r="G993" s="234"/>
      <c r="H993" s="233"/>
      <c r="I993" s="233"/>
      <c r="J993" s="770"/>
      <c r="K993" s="233"/>
      <c r="L993" s="233"/>
      <c r="M993" s="233"/>
      <c r="N993" s="2460"/>
      <c r="O993" s="2460"/>
    </row>
    <row r="994" spans="3:15">
      <c r="C994" s="233"/>
      <c r="D994" s="233"/>
      <c r="E994" s="770"/>
      <c r="F994" s="234"/>
      <c r="G994" s="234"/>
      <c r="H994" s="233"/>
      <c r="I994" s="233"/>
      <c r="J994" s="770"/>
      <c r="K994" s="233"/>
      <c r="L994" s="233"/>
      <c r="M994" s="233"/>
      <c r="N994" s="2460"/>
      <c r="O994" s="2460"/>
    </row>
    <row r="995" spans="3:15">
      <c r="C995" s="233"/>
      <c r="D995" s="233"/>
      <c r="E995" s="770"/>
      <c r="F995" s="234"/>
      <c r="G995" s="234"/>
      <c r="H995" s="233"/>
      <c r="I995" s="233"/>
      <c r="J995" s="770"/>
      <c r="K995" s="233"/>
      <c r="L995" s="233"/>
      <c r="M995" s="233"/>
      <c r="N995" s="2460"/>
      <c r="O995" s="2460"/>
    </row>
    <row r="996" spans="3:15">
      <c r="C996" s="233"/>
      <c r="D996" s="233"/>
      <c r="E996" s="770"/>
      <c r="F996" s="234"/>
      <c r="G996" s="234"/>
      <c r="H996" s="233"/>
      <c r="I996" s="233"/>
      <c r="J996" s="770"/>
      <c r="K996" s="233"/>
      <c r="L996" s="233"/>
      <c r="M996" s="233"/>
      <c r="N996" s="2460"/>
      <c r="O996" s="2460"/>
    </row>
    <row r="997" spans="3:15">
      <c r="C997" s="233"/>
      <c r="D997" s="233"/>
      <c r="E997" s="770"/>
      <c r="F997" s="234"/>
      <c r="G997" s="234"/>
      <c r="H997" s="233"/>
      <c r="I997" s="233"/>
      <c r="J997" s="770"/>
      <c r="K997" s="233"/>
      <c r="L997" s="233"/>
      <c r="M997" s="233"/>
      <c r="N997" s="2460"/>
      <c r="O997" s="2460"/>
    </row>
    <row r="998" spans="3:15">
      <c r="C998" s="233"/>
      <c r="D998" s="233"/>
      <c r="E998" s="770"/>
      <c r="F998" s="234"/>
      <c r="G998" s="234"/>
      <c r="H998" s="233"/>
      <c r="I998" s="233"/>
      <c r="J998" s="770"/>
      <c r="K998" s="233"/>
      <c r="L998" s="233"/>
      <c r="M998" s="233"/>
      <c r="N998" s="2460"/>
      <c r="O998" s="2460"/>
    </row>
    <row r="999" spans="3:15">
      <c r="C999" s="233"/>
      <c r="D999" s="233"/>
      <c r="E999" s="770"/>
      <c r="F999" s="234"/>
      <c r="G999" s="234"/>
      <c r="H999" s="233"/>
      <c r="I999" s="233"/>
      <c r="J999" s="770"/>
      <c r="K999" s="233"/>
      <c r="L999" s="233"/>
      <c r="M999" s="233"/>
      <c r="N999" s="2460"/>
      <c r="O999" s="2460"/>
    </row>
    <row r="1000" spans="3:15">
      <c r="C1000" s="233"/>
      <c r="D1000" s="233"/>
      <c r="E1000" s="770"/>
      <c r="F1000" s="234"/>
      <c r="G1000" s="234"/>
      <c r="H1000" s="233"/>
      <c r="I1000" s="233"/>
      <c r="J1000" s="770"/>
      <c r="K1000" s="233"/>
      <c r="L1000" s="233"/>
      <c r="M1000" s="233"/>
      <c r="N1000" s="2460"/>
      <c r="O1000" s="2460"/>
    </row>
    <row r="1001" spans="3:15">
      <c r="C1001" s="233"/>
      <c r="D1001" s="233"/>
      <c r="E1001" s="770"/>
      <c r="F1001" s="234"/>
      <c r="G1001" s="234"/>
      <c r="H1001" s="233"/>
      <c r="I1001" s="233"/>
      <c r="J1001" s="770"/>
      <c r="K1001" s="233"/>
      <c r="L1001" s="233"/>
      <c r="M1001" s="233"/>
      <c r="N1001" s="2460"/>
      <c r="O1001" s="2460"/>
    </row>
    <row r="1002" spans="3:15">
      <c r="C1002" s="233"/>
      <c r="D1002" s="233"/>
      <c r="E1002" s="770"/>
      <c r="F1002" s="234"/>
      <c r="G1002" s="234"/>
      <c r="H1002" s="233"/>
      <c r="I1002" s="233"/>
      <c r="J1002" s="770"/>
      <c r="K1002" s="233"/>
      <c r="L1002" s="233"/>
      <c r="M1002" s="233"/>
      <c r="N1002" s="2460"/>
      <c r="O1002" s="2460"/>
    </row>
    <row r="1003" spans="3:15">
      <c r="C1003" s="233"/>
      <c r="D1003" s="233"/>
      <c r="E1003" s="770"/>
      <c r="F1003" s="234"/>
      <c r="G1003" s="234"/>
      <c r="H1003" s="233"/>
      <c r="I1003" s="233"/>
      <c r="J1003" s="770"/>
      <c r="K1003" s="233"/>
      <c r="L1003" s="233"/>
      <c r="M1003" s="233"/>
      <c r="N1003" s="2460"/>
      <c r="O1003" s="2460"/>
    </row>
    <row r="1004" spans="3:15">
      <c r="C1004" s="233"/>
      <c r="D1004" s="233"/>
      <c r="E1004" s="770"/>
      <c r="F1004" s="234"/>
      <c r="G1004" s="234"/>
      <c r="H1004" s="233"/>
      <c r="I1004" s="233"/>
      <c r="J1004" s="770"/>
      <c r="K1004" s="233"/>
      <c r="L1004" s="233"/>
      <c r="M1004" s="233"/>
      <c r="N1004" s="2460"/>
      <c r="O1004" s="2460"/>
    </row>
    <row r="1005" spans="3:15">
      <c r="C1005" s="233"/>
      <c r="D1005" s="233"/>
      <c r="E1005" s="770"/>
      <c r="F1005" s="234"/>
      <c r="G1005" s="234"/>
      <c r="H1005" s="233"/>
      <c r="I1005" s="233"/>
      <c r="J1005" s="770"/>
      <c r="K1005" s="233"/>
      <c r="L1005" s="233"/>
      <c r="M1005" s="233"/>
      <c r="N1005" s="2460"/>
      <c r="O1005" s="2460"/>
    </row>
    <row r="1006" spans="3:15">
      <c r="C1006" s="233"/>
      <c r="D1006" s="233"/>
      <c r="E1006" s="770"/>
      <c r="F1006" s="234"/>
      <c r="G1006" s="234"/>
      <c r="H1006" s="233"/>
      <c r="I1006" s="233"/>
      <c r="J1006" s="770"/>
      <c r="K1006" s="233"/>
      <c r="L1006" s="233"/>
      <c r="M1006" s="233"/>
      <c r="N1006" s="2460"/>
      <c r="O1006" s="2460"/>
    </row>
    <row r="1007" spans="3:15">
      <c r="C1007" s="233"/>
      <c r="D1007" s="233"/>
      <c r="E1007" s="770"/>
      <c r="F1007" s="234"/>
      <c r="G1007" s="234"/>
      <c r="H1007" s="233"/>
      <c r="I1007" s="233"/>
      <c r="J1007" s="770"/>
      <c r="K1007" s="233"/>
      <c r="L1007" s="233"/>
      <c r="M1007" s="233"/>
      <c r="N1007" s="2460"/>
      <c r="O1007" s="2460"/>
    </row>
    <row r="1008" spans="3:15">
      <c r="C1008" s="233"/>
      <c r="D1008" s="233"/>
      <c r="E1008" s="770"/>
      <c r="F1008" s="234"/>
      <c r="G1008" s="234"/>
      <c r="H1008" s="233"/>
      <c r="I1008" s="233"/>
      <c r="J1008" s="770"/>
      <c r="K1008" s="233"/>
      <c r="L1008" s="233"/>
      <c r="M1008" s="233"/>
      <c r="N1008" s="2460"/>
      <c r="O1008" s="2460"/>
    </row>
    <row r="1009" spans="3:15">
      <c r="C1009" s="233"/>
      <c r="D1009" s="233"/>
      <c r="E1009" s="770"/>
      <c r="F1009" s="234"/>
      <c r="G1009" s="234"/>
      <c r="H1009" s="233"/>
      <c r="I1009" s="233"/>
      <c r="J1009" s="770"/>
      <c r="K1009" s="233"/>
      <c r="L1009" s="233"/>
      <c r="M1009" s="233"/>
      <c r="N1009" s="2460"/>
      <c r="O1009" s="2460"/>
    </row>
    <row r="1010" spans="3:15">
      <c r="C1010" s="233"/>
      <c r="D1010" s="233"/>
      <c r="E1010" s="770"/>
      <c r="F1010" s="234"/>
      <c r="G1010" s="234"/>
      <c r="H1010" s="233"/>
      <c r="I1010" s="233"/>
      <c r="J1010" s="770"/>
      <c r="K1010" s="233"/>
      <c r="L1010" s="233"/>
      <c r="M1010" s="233"/>
      <c r="N1010" s="2460"/>
      <c r="O1010" s="2460"/>
    </row>
    <row r="1011" spans="3:15">
      <c r="C1011" s="233"/>
      <c r="D1011" s="233"/>
      <c r="E1011" s="770"/>
      <c r="F1011" s="234"/>
      <c r="G1011" s="234"/>
      <c r="H1011" s="233"/>
      <c r="I1011" s="233"/>
      <c r="J1011" s="770"/>
      <c r="K1011" s="233"/>
      <c r="L1011" s="233"/>
      <c r="M1011" s="233"/>
      <c r="N1011" s="2460"/>
      <c r="O1011" s="2460"/>
    </row>
    <row r="1012" spans="3:15">
      <c r="C1012" s="233"/>
      <c r="D1012" s="233"/>
      <c r="E1012" s="770"/>
      <c r="F1012" s="234"/>
      <c r="G1012" s="234"/>
      <c r="H1012" s="233"/>
      <c r="I1012" s="233"/>
      <c r="J1012" s="770"/>
      <c r="K1012" s="233"/>
      <c r="L1012" s="233"/>
      <c r="M1012" s="233"/>
      <c r="N1012" s="2460"/>
      <c r="O1012" s="2460"/>
    </row>
    <row r="1013" spans="3:15">
      <c r="C1013" s="233"/>
      <c r="D1013" s="233"/>
      <c r="E1013" s="770"/>
      <c r="F1013" s="234"/>
      <c r="G1013" s="234"/>
      <c r="H1013" s="233"/>
      <c r="I1013" s="233"/>
      <c r="J1013" s="770"/>
      <c r="K1013" s="233"/>
      <c r="L1013" s="233"/>
      <c r="M1013" s="233"/>
      <c r="N1013" s="2460"/>
      <c r="O1013" s="2460"/>
    </row>
    <row r="1014" spans="3:15">
      <c r="C1014" s="233"/>
      <c r="D1014" s="233"/>
      <c r="E1014" s="770"/>
      <c r="F1014" s="234"/>
      <c r="G1014" s="234"/>
      <c r="H1014" s="233"/>
      <c r="I1014" s="233"/>
      <c r="J1014" s="770"/>
      <c r="K1014" s="233"/>
      <c r="L1014" s="233"/>
      <c r="M1014" s="233"/>
      <c r="N1014" s="2460"/>
      <c r="O1014" s="2460"/>
    </row>
    <row r="1015" spans="3:15">
      <c r="C1015" s="233"/>
      <c r="D1015" s="233"/>
      <c r="E1015" s="770"/>
      <c r="F1015" s="234"/>
      <c r="G1015" s="234"/>
      <c r="H1015" s="233"/>
      <c r="I1015" s="233"/>
      <c r="J1015" s="770"/>
      <c r="K1015" s="233"/>
      <c r="L1015" s="233"/>
      <c r="M1015" s="233"/>
      <c r="N1015" s="2460"/>
      <c r="O1015" s="2460"/>
    </row>
    <row r="1016" spans="3:15">
      <c r="C1016" s="233"/>
      <c r="D1016" s="233"/>
      <c r="E1016" s="770"/>
      <c r="F1016" s="234"/>
      <c r="G1016" s="234"/>
      <c r="H1016" s="233"/>
      <c r="I1016" s="233"/>
      <c r="J1016" s="770"/>
      <c r="K1016" s="233"/>
      <c r="L1016" s="233"/>
      <c r="M1016" s="233"/>
      <c r="N1016" s="2460"/>
      <c r="O1016" s="2460"/>
    </row>
    <row r="1017" spans="3:15">
      <c r="C1017" s="233"/>
      <c r="D1017" s="233"/>
      <c r="E1017" s="770"/>
      <c r="F1017" s="234"/>
      <c r="G1017" s="234"/>
      <c r="H1017" s="233"/>
      <c r="I1017" s="233"/>
      <c r="J1017" s="770"/>
      <c r="K1017" s="233"/>
      <c r="L1017" s="233"/>
      <c r="M1017" s="233"/>
      <c r="N1017" s="2460"/>
      <c r="O1017" s="2460"/>
    </row>
    <row r="1018" spans="3:15">
      <c r="C1018" s="233"/>
      <c r="D1018" s="233"/>
      <c r="E1018" s="770"/>
      <c r="F1018" s="234"/>
      <c r="G1018" s="234"/>
      <c r="H1018" s="233"/>
      <c r="I1018" s="233"/>
      <c r="J1018" s="770"/>
      <c r="K1018" s="233"/>
      <c r="L1018" s="233"/>
      <c r="M1018" s="233"/>
      <c r="N1018" s="2460"/>
      <c r="O1018" s="2460"/>
    </row>
    <row r="1019" spans="3:15">
      <c r="C1019" s="233"/>
      <c r="D1019" s="233"/>
      <c r="E1019" s="770"/>
      <c r="F1019" s="234"/>
      <c r="G1019" s="234"/>
      <c r="H1019" s="233"/>
      <c r="I1019" s="233"/>
      <c r="J1019" s="770"/>
      <c r="K1019" s="233"/>
      <c r="L1019" s="233"/>
      <c r="M1019" s="233"/>
      <c r="N1019" s="2460"/>
      <c r="O1019" s="2460"/>
    </row>
    <row r="1020" spans="3:15">
      <c r="C1020" s="233"/>
      <c r="D1020" s="233"/>
      <c r="E1020" s="770"/>
      <c r="F1020" s="234"/>
      <c r="G1020" s="234"/>
      <c r="H1020" s="233"/>
      <c r="I1020" s="233"/>
      <c r="J1020" s="770"/>
      <c r="K1020" s="233"/>
      <c r="L1020" s="233"/>
      <c r="M1020" s="233"/>
      <c r="N1020" s="2460"/>
      <c r="O1020" s="2460"/>
    </row>
    <row r="1021" spans="3:15">
      <c r="C1021" s="233"/>
      <c r="D1021" s="233"/>
      <c r="E1021" s="770"/>
      <c r="F1021" s="234"/>
      <c r="G1021" s="234"/>
      <c r="H1021" s="233"/>
      <c r="I1021" s="233"/>
      <c r="J1021" s="770"/>
      <c r="K1021" s="233"/>
      <c r="L1021" s="233"/>
      <c r="M1021" s="233"/>
      <c r="N1021" s="2460"/>
      <c r="O1021" s="2460"/>
    </row>
    <row r="1022" spans="3:15">
      <c r="C1022" s="233"/>
      <c r="D1022" s="233"/>
      <c r="E1022" s="770"/>
      <c r="F1022" s="234"/>
      <c r="G1022" s="234"/>
      <c r="H1022" s="233"/>
      <c r="I1022" s="233"/>
      <c r="J1022" s="770"/>
      <c r="K1022" s="233"/>
      <c r="L1022" s="233"/>
      <c r="M1022" s="233"/>
      <c r="N1022" s="2460"/>
      <c r="O1022" s="2460"/>
    </row>
    <row r="1023" spans="3:15">
      <c r="C1023" s="233"/>
      <c r="D1023" s="233"/>
      <c r="E1023" s="770"/>
      <c r="F1023" s="234"/>
      <c r="G1023" s="234"/>
      <c r="H1023" s="233"/>
      <c r="I1023" s="233"/>
      <c r="J1023" s="770"/>
      <c r="K1023" s="233"/>
      <c r="L1023" s="233"/>
      <c r="M1023" s="233"/>
      <c r="N1023" s="2460"/>
      <c r="O1023" s="2460"/>
    </row>
    <row r="1024" spans="3:15">
      <c r="C1024" s="233"/>
      <c r="D1024" s="233"/>
      <c r="E1024" s="770"/>
      <c r="F1024" s="234"/>
      <c r="G1024" s="234"/>
      <c r="H1024" s="233"/>
      <c r="I1024" s="233"/>
      <c r="J1024" s="770"/>
      <c r="K1024" s="233"/>
      <c r="L1024" s="233"/>
      <c r="M1024" s="233"/>
      <c r="N1024" s="2460"/>
      <c r="O1024" s="2460"/>
    </row>
    <row r="1025" spans="3:15">
      <c r="C1025" s="233"/>
      <c r="D1025" s="233"/>
      <c r="E1025" s="770"/>
      <c r="F1025" s="234"/>
      <c r="G1025" s="234"/>
      <c r="H1025" s="233"/>
      <c r="I1025" s="233"/>
      <c r="J1025" s="770"/>
      <c r="K1025" s="233"/>
      <c r="L1025" s="233"/>
      <c r="M1025" s="233"/>
      <c r="N1025" s="2460"/>
      <c r="O1025" s="2460"/>
    </row>
    <row r="1026" spans="3:15">
      <c r="C1026" s="233"/>
      <c r="D1026" s="233"/>
      <c r="E1026" s="770"/>
      <c r="F1026" s="234"/>
      <c r="G1026" s="234"/>
      <c r="H1026" s="233"/>
      <c r="I1026" s="233"/>
      <c r="J1026" s="770"/>
      <c r="K1026" s="233"/>
      <c r="L1026" s="233"/>
      <c r="M1026" s="233"/>
      <c r="N1026" s="2460"/>
      <c r="O1026" s="2460"/>
    </row>
    <row r="1027" spans="3:15">
      <c r="C1027" s="233"/>
      <c r="D1027" s="233"/>
      <c r="E1027" s="770"/>
      <c r="F1027" s="234"/>
      <c r="G1027" s="234"/>
      <c r="H1027" s="233"/>
      <c r="I1027" s="233"/>
      <c r="J1027" s="770"/>
      <c r="K1027" s="233"/>
      <c r="L1027" s="233"/>
      <c r="M1027" s="233"/>
      <c r="N1027" s="2460"/>
      <c r="O1027" s="2460"/>
    </row>
    <row r="1028" spans="3:15">
      <c r="C1028" s="233"/>
      <c r="D1028" s="233"/>
      <c r="E1028" s="770"/>
      <c r="F1028" s="234"/>
      <c r="G1028" s="234"/>
      <c r="H1028" s="233"/>
      <c r="I1028" s="233"/>
      <c r="J1028" s="770"/>
      <c r="K1028" s="233"/>
      <c r="L1028" s="233"/>
      <c r="M1028" s="233"/>
      <c r="N1028" s="2460"/>
      <c r="O1028" s="2460"/>
    </row>
    <row r="1029" spans="3:15">
      <c r="C1029" s="233"/>
      <c r="D1029" s="233"/>
      <c r="E1029" s="770"/>
      <c r="F1029" s="234"/>
      <c r="G1029" s="234"/>
      <c r="H1029" s="233"/>
      <c r="I1029" s="233"/>
      <c r="J1029" s="770"/>
      <c r="K1029" s="233"/>
      <c r="L1029" s="233"/>
      <c r="M1029" s="233"/>
      <c r="N1029" s="2460"/>
      <c r="O1029" s="2460"/>
    </row>
    <row r="1030" spans="3:15">
      <c r="C1030" s="233"/>
      <c r="D1030" s="233"/>
      <c r="E1030" s="770"/>
      <c r="F1030" s="234"/>
      <c r="G1030" s="234"/>
      <c r="H1030" s="233"/>
      <c r="I1030" s="233"/>
      <c r="J1030" s="770"/>
      <c r="K1030" s="233"/>
      <c r="L1030" s="233"/>
      <c r="M1030" s="233"/>
      <c r="N1030" s="2460"/>
      <c r="O1030" s="2460"/>
    </row>
    <row r="1031" spans="3:15">
      <c r="C1031" s="233"/>
      <c r="D1031" s="233"/>
      <c r="E1031" s="770"/>
      <c r="F1031" s="234"/>
      <c r="G1031" s="234"/>
      <c r="H1031" s="233"/>
      <c r="I1031" s="233"/>
      <c r="J1031" s="770"/>
      <c r="K1031" s="233"/>
      <c r="L1031" s="233"/>
      <c r="M1031" s="233"/>
      <c r="N1031" s="2460"/>
      <c r="O1031" s="2460"/>
    </row>
    <row r="1032" spans="3:15">
      <c r="C1032" s="233"/>
      <c r="D1032" s="233"/>
      <c r="E1032" s="770"/>
      <c r="F1032" s="234"/>
      <c r="G1032" s="234"/>
      <c r="H1032" s="233"/>
      <c r="I1032" s="233"/>
      <c r="J1032" s="770"/>
      <c r="K1032" s="233"/>
      <c r="L1032" s="233"/>
      <c r="M1032" s="233"/>
      <c r="N1032" s="2460"/>
      <c r="O1032" s="2460"/>
    </row>
    <row r="1033" spans="3:15">
      <c r="C1033" s="233"/>
      <c r="D1033" s="233"/>
      <c r="E1033" s="770"/>
      <c r="F1033" s="234"/>
      <c r="G1033" s="234"/>
      <c r="H1033" s="233"/>
      <c r="I1033" s="233"/>
      <c r="J1033" s="770"/>
      <c r="K1033" s="233"/>
      <c r="L1033" s="233"/>
      <c r="M1033" s="233"/>
      <c r="N1033" s="2460"/>
      <c r="O1033" s="2460"/>
    </row>
    <row r="1034" spans="3:15">
      <c r="C1034" s="233"/>
      <c r="D1034" s="233"/>
      <c r="E1034" s="770"/>
      <c r="F1034" s="234"/>
      <c r="G1034" s="234"/>
      <c r="H1034" s="233"/>
      <c r="I1034" s="233"/>
      <c r="J1034" s="770"/>
      <c r="K1034" s="233"/>
      <c r="L1034" s="233"/>
      <c r="M1034" s="233"/>
      <c r="N1034" s="2460"/>
      <c r="O1034" s="2460"/>
    </row>
    <row r="1035" spans="3:15">
      <c r="C1035" s="233"/>
      <c r="D1035" s="233"/>
      <c r="E1035" s="770"/>
      <c r="F1035" s="234"/>
      <c r="G1035" s="234"/>
      <c r="H1035" s="233"/>
      <c r="I1035" s="233"/>
      <c r="J1035" s="770"/>
      <c r="K1035" s="233"/>
      <c r="L1035" s="233"/>
      <c r="M1035" s="233"/>
      <c r="N1035" s="2460"/>
      <c r="O1035" s="2460"/>
    </row>
    <row r="1036" spans="3:15">
      <c r="C1036" s="233"/>
      <c r="D1036" s="233"/>
      <c r="E1036" s="770"/>
      <c r="F1036" s="234"/>
      <c r="G1036" s="234"/>
      <c r="H1036" s="233"/>
      <c r="I1036" s="233"/>
      <c r="J1036" s="770"/>
      <c r="K1036" s="233"/>
      <c r="L1036" s="233"/>
      <c r="M1036" s="233"/>
      <c r="N1036" s="2460"/>
      <c r="O1036" s="2460"/>
    </row>
    <row r="1037" spans="3:15">
      <c r="C1037" s="233"/>
      <c r="D1037" s="233"/>
      <c r="E1037" s="770"/>
      <c r="F1037" s="234"/>
      <c r="G1037" s="234"/>
      <c r="H1037" s="233"/>
      <c r="I1037" s="233"/>
      <c r="J1037" s="770"/>
      <c r="K1037" s="233"/>
      <c r="L1037" s="233"/>
      <c r="M1037" s="233"/>
      <c r="N1037" s="2460"/>
      <c r="O1037" s="2460"/>
    </row>
    <row r="1038" spans="3:15">
      <c r="C1038" s="233"/>
      <c r="D1038" s="233"/>
      <c r="E1038" s="770"/>
      <c r="F1038" s="234"/>
      <c r="G1038" s="234"/>
      <c r="H1038" s="233"/>
      <c r="I1038" s="233"/>
      <c r="J1038" s="770"/>
      <c r="K1038" s="233"/>
      <c r="L1038" s="233"/>
      <c r="M1038" s="233"/>
      <c r="N1038" s="2460"/>
      <c r="O1038" s="2460"/>
    </row>
    <row r="1039" spans="3:15">
      <c r="C1039" s="233"/>
      <c r="D1039" s="233"/>
      <c r="E1039" s="770"/>
      <c r="F1039" s="234"/>
      <c r="G1039" s="234"/>
      <c r="H1039" s="233"/>
      <c r="I1039" s="233"/>
      <c r="J1039" s="770"/>
      <c r="K1039" s="233"/>
      <c r="L1039" s="233"/>
      <c r="M1039" s="233"/>
      <c r="N1039" s="2460"/>
      <c r="O1039" s="2460"/>
    </row>
    <row r="1040" spans="3:15">
      <c r="C1040" s="233"/>
      <c r="D1040" s="233"/>
      <c r="E1040" s="770"/>
      <c r="F1040" s="234"/>
      <c r="G1040" s="234"/>
      <c r="H1040" s="233"/>
      <c r="I1040" s="233"/>
      <c r="J1040" s="770"/>
      <c r="K1040" s="233"/>
      <c r="L1040" s="233"/>
      <c r="M1040" s="233"/>
      <c r="N1040" s="2460"/>
      <c r="O1040" s="2460"/>
    </row>
    <row r="1041" spans="3:15">
      <c r="C1041" s="233"/>
      <c r="D1041" s="233"/>
      <c r="E1041" s="770"/>
      <c r="F1041" s="234"/>
      <c r="G1041" s="234"/>
      <c r="H1041" s="233"/>
      <c r="I1041" s="233"/>
      <c r="J1041" s="770"/>
      <c r="K1041" s="233"/>
      <c r="L1041" s="233"/>
      <c r="M1041" s="233"/>
      <c r="N1041" s="2460"/>
      <c r="O1041" s="2460"/>
    </row>
    <row r="1042" spans="3:15">
      <c r="C1042" s="233"/>
      <c r="D1042" s="233"/>
      <c r="E1042" s="770"/>
      <c r="F1042" s="234"/>
      <c r="G1042" s="234"/>
      <c r="H1042" s="233"/>
      <c r="I1042" s="233"/>
      <c r="J1042" s="770"/>
      <c r="K1042" s="233"/>
      <c r="L1042" s="233"/>
      <c r="M1042" s="233"/>
      <c r="N1042" s="2460"/>
      <c r="O1042" s="2460"/>
    </row>
    <row r="1043" spans="3:15">
      <c r="C1043" s="233"/>
      <c r="D1043" s="233"/>
      <c r="E1043" s="770"/>
      <c r="F1043" s="234"/>
      <c r="G1043" s="234"/>
      <c r="H1043" s="233"/>
      <c r="I1043" s="233"/>
      <c r="J1043" s="770"/>
      <c r="K1043" s="233"/>
      <c r="L1043" s="233"/>
      <c r="M1043" s="233"/>
      <c r="N1043" s="2460"/>
      <c r="O1043" s="2460"/>
    </row>
    <row r="1044" spans="3:15">
      <c r="C1044" s="233"/>
      <c r="D1044" s="233"/>
      <c r="E1044" s="770"/>
      <c r="F1044" s="234"/>
      <c r="G1044" s="234"/>
      <c r="H1044" s="233"/>
      <c r="I1044" s="233"/>
      <c r="J1044" s="770"/>
      <c r="K1044" s="233"/>
      <c r="L1044" s="233"/>
      <c r="M1044" s="233"/>
      <c r="N1044" s="2460"/>
      <c r="O1044" s="2460"/>
    </row>
    <row r="1045" spans="3:15">
      <c r="C1045" s="233"/>
      <c r="D1045" s="233"/>
      <c r="E1045" s="770"/>
      <c r="F1045" s="234"/>
      <c r="G1045" s="234"/>
      <c r="H1045" s="233"/>
      <c r="I1045" s="233"/>
      <c r="J1045" s="770"/>
      <c r="K1045" s="233"/>
      <c r="L1045" s="233"/>
      <c r="M1045" s="233"/>
      <c r="N1045" s="2460"/>
      <c r="O1045" s="2460"/>
    </row>
    <row r="1046" spans="3:15">
      <c r="C1046" s="233"/>
      <c r="D1046" s="233"/>
      <c r="E1046" s="770"/>
      <c r="F1046" s="234"/>
      <c r="G1046" s="234"/>
      <c r="H1046" s="233"/>
      <c r="I1046" s="233"/>
      <c r="J1046" s="770"/>
      <c r="K1046" s="233"/>
      <c r="L1046" s="233"/>
      <c r="M1046" s="233"/>
      <c r="N1046" s="2460"/>
      <c r="O1046" s="2460"/>
    </row>
    <row r="1047" spans="3:15">
      <c r="C1047" s="233"/>
      <c r="D1047" s="233"/>
      <c r="E1047" s="770"/>
      <c r="F1047" s="234"/>
      <c r="G1047" s="234"/>
      <c r="H1047" s="233"/>
      <c r="I1047" s="233"/>
      <c r="J1047" s="770"/>
      <c r="K1047" s="233"/>
      <c r="L1047" s="233"/>
      <c r="M1047" s="233"/>
      <c r="N1047" s="2460"/>
      <c r="O1047" s="2460"/>
    </row>
    <row r="1048" spans="3:15">
      <c r="C1048" s="233"/>
      <c r="D1048" s="233"/>
      <c r="E1048" s="770"/>
      <c r="F1048" s="234"/>
      <c r="G1048" s="234"/>
      <c r="H1048" s="233"/>
      <c r="I1048" s="233"/>
      <c r="J1048" s="770"/>
      <c r="K1048" s="233"/>
      <c r="L1048" s="233"/>
      <c r="M1048" s="233"/>
      <c r="N1048" s="2460"/>
      <c r="O1048" s="2460"/>
    </row>
    <row r="1049" spans="3:15">
      <c r="C1049" s="233"/>
      <c r="D1049" s="233"/>
      <c r="E1049" s="770"/>
      <c r="F1049" s="234"/>
      <c r="G1049" s="234"/>
      <c r="H1049" s="233"/>
      <c r="I1049" s="233"/>
      <c r="J1049" s="770"/>
      <c r="K1049" s="233"/>
      <c r="L1049" s="233"/>
      <c r="M1049" s="233"/>
      <c r="N1049" s="2460"/>
      <c r="O1049" s="2460"/>
    </row>
    <row r="1050" spans="3:15">
      <c r="C1050" s="233"/>
      <c r="D1050" s="233"/>
      <c r="E1050" s="770"/>
      <c r="F1050" s="234"/>
      <c r="G1050" s="234"/>
      <c r="H1050" s="233"/>
      <c r="I1050" s="233"/>
      <c r="J1050" s="770"/>
      <c r="K1050" s="233"/>
      <c r="L1050" s="233"/>
      <c r="M1050" s="233"/>
      <c r="N1050" s="2460"/>
      <c r="O1050" s="2460"/>
    </row>
    <row r="1051" spans="3:15">
      <c r="C1051" s="233"/>
      <c r="D1051" s="233"/>
      <c r="E1051" s="770"/>
      <c r="F1051" s="234"/>
      <c r="G1051" s="234"/>
      <c r="H1051" s="233"/>
      <c r="I1051" s="233"/>
      <c r="J1051" s="770"/>
      <c r="K1051" s="233"/>
      <c r="L1051" s="233"/>
      <c r="M1051" s="233"/>
      <c r="N1051" s="2460"/>
      <c r="O1051" s="2460"/>
    </row>
    <row r="1052" spans="3:15">
      <c r="C1052" s="233"/>
      <c r="D1052" s="233"/>
      <c r="E1052" s="770"/>
      <c r="F1052" s="234"/>
      <c r="G1052" s="234"/>
      <c r="H1052" s="233"/>
      <c r="I1052" s="233"/>
      <c r="J1052" s="770"/>
      <c r="K1052" s="233"/>
      <c r="L1052" s="233"/>
      <c r="M1052" s="233"/>
      <c r="N1052" s="2460"/>
      <c r="O1052" s="2460"/>
    </row>
    <row r="1053" spans="3:15">
      <c r="C1053" s="233"/>
      <c r="D1053" s="233"/>
      <c r="E1053" s="770"/>
      <c r="F1053" s="234"/>
      <c r="G1053" s="234"/>
      <c r="H1053" s="233"/>
      <c r="I1053" s="233"/>
      <c r="J1053" s="770"/>
      <c r="K1053" s="233"/>
      <c r="L1053" s="233"/>
      <c r="M1053" s="233"/>
      <c r="N1053" s="2460"/>
      <c r="O1053" s="2460"/>
    </row>
    <row r="1054" spans="3:15">
      <c r="C1054" s="233"/>
      <c r="D1054" s="233"/>
      <c r="E1054" s="770"/>
      <c r="F1054" s="234"/>
      <c r="G1054" s="234"/>
      <c r="H1054" s="233"/>
      <c r="I1054" s="233"/>
      <c r="J1054" s="770"/>
      <c r="K1054" s="233"/>
      <c r="L1054" s="233"/>
      <c r="M1054" s="233"/>
      <c r="N1054" s="2460"/>
      <c r="O1054" s="2460"/>
    </row>
    <row r="1055" spans="3:15">
      <c r="C1055" s="233"/>
      <c r="D1055" s="233"/>
      <c r="E1055" s="770"/>
      <c r="F1055" s="234"/>
      <c r="G1055" s="234"/>
      <c r="H1055" s="233"/>
      <c r="I1055" s="233"/>
      <c r="J1055" s="770"/>
      <c r="K1055" s="233"/>
      <c r="L1055" s="233"/>
      <c r="M1055" s="233"/>
      <c r="N1055" s="2460"/>
      <c r="O1055" s="2460"/>
    </row>
    <row r="1056" spans="3:15">
      <c r="C1056" s="233"/>
      <c r="D1056" s="233"/>
      <c r="E1056" s="770"/>
      <c r="F1056" s="234"/>
      <c r="G1056" s="234"/>
      <c r="H1056" s="233"/>
      <c r="I1056" s="233"/>
      <c r="J1056" s="770"/>
      <c r="K1056" s="233"/>
      <c r="L1056" s="233"/>
      <c r="M1056" s="233"/>
      <c r="N1056" s="2460"/>
      <c r="O1056" s="2460"/>
    </row>
    <row r="1057" spans="3:15">
      <c r="C1057" s="233"/>
      <c r="D1057" s="233"/>
      <c r="E1057" s="770"/>
      <c r="F1057" s="234"/>
      <c r="G1057" s="234"/>
      <c r="H1057" s="233"/>
      <c r="I1057" s="233"/>
      <c r="J1057" s="770"/>
      <c r="K1057" s="233"/>
      <c r="L1057" s="233"/>
      <c r="M1057" s="233"/>
      <c r="N1057" s="2460"/>
      <c r="O1057" s="2460"/>
    </row>
    <row r="1058" spans="3:15">
      <c r="C1058" s="233"/>
      <c r="D1058" s="233"/>
      <c r="E1058" s="770"/>
      <c r="F1058" s="234"/>
      <c r="G1058" s="234"/>
      <c r="H1058" s="233"/>
      <c r="I1058" s="233"/>
      <c r="J1058" s="770"/>
      <c r="K1058" s="233"/>
      <c r="L1058" s="233"/>
      <c r="M1058" s="233"/>
      <c r="N1058" s="2460"/>
      <c r="O1058" s="2460"/>
    </row>
    <row r="1059" spans="3:15">
      <c r="C1059" s="233"/>
      <c r="D1059" s="233"/>
      <c r="E1059" s="770"/>
      <c r="F1059" s="234"/>
      <c r="G1059" s="234"/>
      <c r="H1059" s="233"/>
      <c r="I1059" s="233"/>
      <c r="J1059" s="770"/>
      <c r="K1059" s="233"/>
      <c r="L1059" s="233"/>
      <c r="M1059" s="233"/>
      <c r="N1059" s="2460"/>
      <c r="O1059" s="2460"/>
    </row>
    <row r="1060" spans="3:15">
      <c r="C1060" s="233"/>
      <c r="D1060" s="233"/>
      <c r="E1060" s="770"/>
      <c r="F1060" s="234"/>
      <c r="G1060" s="234"/>
      <c r="H1060" s="233"/>
      <c r="I1060" s="233"/>
      <c r="J1060" s="770"/>
      <c r="K1060" s="233"/>
      <c r="L1060" s="233"/>
      <c r="M1060" s="233"/>
      <c r="N1060" s="2460"/>
      <c r="O1060" s="2460"/>
    </row>
    <row r="1061" spans="3:15">
      <c r="C1061" s="233"/>
      <c r="D1061" s="233"/>
      <c r="E1061" s="770"/>
      <c r="F1061" s="234"/>
      <c r="G1061" s="234"/>
      <c r="H1061" s="233"/>
      <c r="I1061" s="233"/>
      <c r="J1061" s="770"/>
      <c r="K1061" s="233"/>
      <c r="L1061" s="233"/>
      <c r="M1061" s="233"/>
      <c r="N1061" s="2460"/>
      <c r="O1061" s="2460"/>
    </row>
    <row r="1062" spans="3:15">
      <c r="C1062" s="233"/>
      <c r="D1062" s="233"/>
      <c r="E1062" s="770"/>
      <c r="F1062" s="234"/>
      <c r="G1062" s="234"/>
      <c r="H1062" s="233"/>
      <c r="I1062" s="233"/>
      <c r="J1062" s="770"/>
      <c r="K1062" s="233"/>
      <c r="L1062" s="233"/>
      <c r="M1062" s="233"/>
      <c r="N1062" s="2460"/>
      <c r="O1062" s="2460"/>
    </row>
    <row r="1063" spans="3:15">
      <c r="C1063" s="233"/>
      <c r="D1063" s="233"/>
      <c r="E1063" s="770"/>
      <c r="F1063" s="234"/>
      <c r="G1063" s="234"/>
      <c r="H1063" s="233"/>
      <c r="I1063" s="233"/>
      <c r="J1063" s="770"/>
      <c r="K1063" s="233"/>
      <c r="L1063" s="233"/>
      <c r="M1063" s="233"/>
      <c r="N1063" s="2460"/>
      <c r="O1063" s="2460"/>
    </row>
    <row r="1064" spans="3:15">
      <c r="C1064" s="233"/>
      <c r="D1064" s="233"/>
      <c r="E1064" s="770"/>
      <c r="F1064" s="234"/>
      <c r="G1064" s="234"/>
      <c r="H1064" s="233"/>
      <c r="I1064" s="233"/>
      <c r="J1064" s="770"/>
      <c r="K1064" s="233"/>
      <c r="L1064" s="233"/>
      <c r="M1064" s="233"/>
      <c r="N1064" s="2460"/>
      <c r="O1064" s="2460"/>
    </row>
    <row r="1065" spans="3:15">
      <c r="C1065" s="233"/>
      <c r="D1065" s="233"/>
      <c r="E1065" s="770"/>
      <c r="F1065" s="234"/>
      <c r="G1065" s="234"/>
      <c r="H1065" s="233"/>
      <c r="I1065" s="233"/>
      <c r="J1065" s="770"/>
      <c r="K1065" s="233"/>
      <c r="L1065" s="233"/>
      <c r="M1065" s="233"/>
      <c r="N1065" s="2460"/>
      <c r="O1065" s="2460"/>
    </row>
    <row r="1066" spans="3:15">
      <c r="C1066" s="233"/>
      <c r="D1066" s="233"/>
      <c r="E1066" s="770"/>
      <c r="F1066" s="234"/>
      <c r="G1066" s="234"/>
      <c r="H1066" s="233"/>
      <c r="I1066" s="233"/>
      <c r="J1066" s="770"/>
      <c r="K1066" s="233"/>
      <c r="L1066" s="233"/>
      <c r="M1066" s="233"/>
      <c r="N1066" s="2460"/>
      <c r="O1066" s="2460"/>
    </row>
    <row r="1067" spans="3:15">
      <c r="C1067" s="233"/>
      <c r="D1067" s="233"/>
      <c r="E1067" s="770"/>
      <c r="F1067" s="234"/>
      <c r="G1067" s="234"/>
      <c r="H1067" s="233"/>
      <c r="I1067" s="233"/>
      <c r="J1067" s="770"/>
      <c r="K1067" s="233"/>
      <c r="L1067" s="233"/>
      <c r="M1067" s="233"/>
      <c r="N1067" s="2460"/>
      <c r="O1067" s="2460"/>
    </row>
    <row r="1068" spans="3:15">
      <c r="C1068" s="233"/>
      <c r="D1068" s="233"/>
      <c r="E1068" s="770"/>
      <c r="F1068" s="234"/>
      <c r="G1068" s="234"/>
      <c r="H1068" s="233"/>
      <c r="I1068" s="233"/>
      <c r="J1068" s="770"/>
      <c r="K1068" s="233"/>
      <c r="L1068" s="233"/>
      <c r="M1068" s="233"/>
      <c r="N1068" s="2460"/>
      <c r="O1068" s="2460"/>
    </row>
    <row r="1069" spans="3:15">
      <c r="C1069" s="233"/>
      <c r="D1069" s="233"/>
      <c r="E1069" s="770"/>
      <c r="F1069" s="234"/>
      <c r="G1069" s="234"/>
      <c r="H1069" s="233"/>
      <c r="I1069" s="233"/>
      <c r="J1069" s="770"/>
      <c r="K1069" s="233"/>
      <c r="L1069" s="233"/>
      <c r="M1069" s="233"/>
      <c r="N1069" s="2460"/>
      <c r="O1069" s="2460"/>
    </row>
    <row r="1070" spans="3:15">
      <c r="C1070" s="233"/>
      <c r="D1070" s="233"/>
      <c r="E1070" s="770"/>
      <c r="F1070" s="234"/>
      <c r="G1070" s="234"/>
      <c r="H1070" s="233"/>
      <c r="I1070" s="233"/>
      <c r="J1070" s="770"/>
      <c r="K1070" s="233"/>
      <c r="L1070" s="233"/>
      <c r="M1070" s="233"/>
      <c r="N1070" s="2460"/>
      <c r="O1070" s="2460"/>
    </row>
    <row r="1071" spans="3:15">
      <c r="C1071" s="233"/>
      <c r="D1071" s="233"/>
      <c r="E1071" s="770"/>
      <c r="F1071" s="234"/>
      <c r="G1071" s="234"/>
      <c r="H1071" s="233"/>
      <c r="I1071" s="233"/>
      <c r="J1071" s="770"/>
      <c r="K1071" s="233"/>
      <c r="L1071" s="233"/>
      <c r="M1071" s="233"/>
      <c r="N1071" s="2460"/>
      <c r="O1071" s="2460"/>
    </row>
    <row r="1072" spans="3:15">
      <c r="C1072" s="233"/>
      <c r="D1072" s="233"/>
      <c r="E1072" s="770"/>
      <c r="F1072" s="234"/>
      <c r="G1072" s="234"/>
      <c r="H1072" s="233"/>
      <c r="I1072" s="233"/>
      <c r="J1072" s="770"/>
      <c r="K1072" s="233"/>
      <c r="L1072" s="233"/>
      <c r="M1072" s="233"/>
      <c r="N1072" s="2460"/>
      <c r="O1072" s="2460"/>
    </row>
    <row r="1073" spans="3:15">
      <c r="C1073" s="233"/>
      <c r="D1073" s="233"/>
      <c r="E1073" s="770"/>
      <c r="F1073" s="234"/>
      <c r="G1073" s="234"/>
      <c r="H1073" s="233"/>
      <c r="I1073" s="233"/>
      <c r="J1073" s="770"/>
      <c r="K1073" s="233"/>
      <c r="L1073" s="233"/>
      <c r="M1073" s="233"/>
      <c r="N1073" s="2460"/>
      <c r="O1073" s="2460"/>
    </row>
    <row r="1074" spans="3:15">
      <c r="C1074" s="233"/>
      <c r="D1074" s="233"/>
      <c r="E1074" s="770"/>
      <c r="F1074" s="234"/>
      <c r="G1074" s="234"/>
      <c r="H1074" s="233"/>
      <c r="I1074" s="233"/>
      <c r="J1074" s="770"/>
      <c r="K1074" s="233"/>
      <c r="L1074" s="233"/>
      <c r="M1074" s="233"/>
      <c r="N1074" s="2460"/>
      <c r="O1074" s="2460"/>
    </row>
    <row r="1075" spans="3:15">
      <c r="C1075" s="233"/>
      <c r="D1075" s="233"/>
      <c r="E1075" s="770"/>
      <c r="F1075" s="234"/>
      <c r="G1075" s="234"/>
      <c r="H1075" s="233"/>
      <c r="I1075" s="233"/>
      <c r="J1075" s="770"/>
      <c r="K1075" s="233"/>
      <c r="L1075" s="233"/>
      <c r="M1075" s="233"/>
      <c r="N1075" s="2460"/>
      <c r="O1075" s="2460"/>
    </row>
    <row r="1076" spans="3:15">
      <c r="C1076" s="233"/>
      <c r="D1076" s="233"/>
      <c r="E1076" s="770"/>
      <c r="F1076" s="234"/>
      <c r="G1076" s="234"/>
      <c r="H1076" s="233"/>
      <c r="I1076" s="233"/>
      <c r="J1076" s="770"/>
      <c r="K1076" s="233"/>
      <c r="L1076" s="233"/>
      <c r="M1076" s="233"/>
      <c r="N1076" s="2460"/>
      <c r="O1076" s="2460"/>
    </row>
    <row r="1077" spans="3:15">
      <c r="C1077" s="233"/>
      <c r="D1077" s="233"/>
      <c r="E1077" s="770"/>
      <c r="F1077" s="234"/>
      <c r="G1077" s="234"/>
      <c r="H1077" s="233"/>
      <c r="I1077" s="233"/>
      <c r="J1077" s="770"/>
      <c r="K1077" s="233"/>
      <c r="L1077" s="233"/>
      <c r="M1077" s="233"/>
      <c r="N1077" s="2460"/>
      <c r="O1077" s="2460"/>
    </row>
    <row r="1078" spans="3:15">
      <c r="C1078" s="233"/>
      <c r="D1078" s="233"/>
      <c r="E1078" s="770"/>
      <c r="F1078" s="234"/>
      <c r="G1078" s="234"/>
      <c r="H1078" s="233"/>
      <c r="I1078" s="233"/>
      <c r="J1078" s="770"/>
      <c r="K1078" s="233"/>
      <c r="L1078" s="233"/>
      <c r="M1078" s="233"/>
      <c r="N1078" s="2460"/>
      <c r="O1078" s="2460"/>
    </row>
    <row r="1079" spans="3:15">
      <c r="C1079" s="233"/>
      <c r="D1079" s="233"/>
      <c r="E1079" s="770"/>
      <c r="F1079" s="234"/>
      <c r="G1079" s="234"/>
      <c r="H1079" s="233"/>
      <c r="I1079" s="233"/>
      <c r="J1079" s="770"/>
      <c r="K1079" s="233"/>
      <c r="L1079" s="233"/>
      <c r="M1079" s="233"/>
      <c r="N1079" s="2460"/>
      <c r="O1079" s="2460"/>
    </row>
    <row r="1080" spans="3:15">
      <c r="C1080" s="233"/>
      <c r="D1080" s="233"/>
      <c r="E1080" s="770"/>
      <c r="F1080" s="234"/>
      <c r="G1080" s="234"/>
      <c r="H1080" s="233"/>
      <c r="I1080" s="233"/>
      <c r="J1080" s="770"/>
      <c r="K1080" s="233"/>
      <c r="L1080" s="233"/>
      <c r="M1080" s="233"/>
      <c r="N1080" s="2460"/>
      <c r="O1080" s="2460"/>
    </row>
    <row r="1081" spans="3:15">
      <c r="C1081" s="233"/>
      <c r="D1081" s="233"/>
      <c r="E1081" s="770"/>
      <c r="F1081" s="234"/>
      <c r="G1081" s="234"/>
      <c r="H1081" s="233"/>
      <c r="I1081" s="233"/>
      <c r="J1081" s="770"/>
      <c r="K1081" s="233"/>
      <c r="L1081" s="233"/>
      <c r="M1081" s="233"/>
      <c r="N1081" s="2460"/>
      <c r="O1081" s="2460"/>
    </row>
    <row r="1082" spans="3:15">
      <c r="C1082" s="233"/>
      <c r="D1082" s="233"/>
      <c r="E1082" s="770"/>
      <c r="F1082" s="234"/>
      <c r="G1082" s="234"/>
      <c r="H1082" s="233"/>
      <c r="I1082" s="233"/>
      <c r="J1082" s="770"/>
      <c r="K1082" s="233"/>
      <c r="L1082" s="233"/>
      <c r="M1082" s="233"/>
      <c r="N1082" s="2460"/>
      <c r="O1082" s="2460"/>
    </row>
    <row r="1083" spans="3:15">
      <c r="C1083" s="233"/>
      <c r="D1083" s="233"/>
      <c r="E1083" s="770"/>
      <c r="F1083" s="234"/>
      <c r="G1083" s="234"/>
      <c r="H1083" s="233"/>
      <c r="I1083" s="233"/>
      <c r="J1083" s="770"/>
      <c r="K1083" s="233"/>
      <c r="L1083" s="233"/>
      <c r="M1083" s="233"/>
      <c r="N1083" s="2460"/>
      <c r="O1083" s="2460"/>
    </row>
    <row r="1084" spans="3:15">
      <c r="C1084" s="233"/>
      <c r="D1084" s="233"/>
      <c r="E1084" s="770"/>
      <c r="F1084" s="234"/>
      <c r="G1084" s="234"/>
      <c r="H1084" s="233"/>
      <c r="I1084" s="233"/>
      <c r="J1084" s="770"/>
      <c r="K1084" s="233"/>
      <c r="L1084" s="233"/>
      <c r="M1084" s="233"/>
      <c r="N1084" s="2460"/>
      <c r="O1084" s="2460"/>
    </row>
    <row r="1085" spans="3:15">
      <c r="C1085" s="233"/>
      <c r="D1085" s="233"/>
      <c r="E1085" s="770"/>
      <c r="F1085" s="234"/>
      <c r="G1085" s="234"/>
      <c r="H1085" s="233"/>
      <c r="I1085" s="233"/>
      <c r="J1085" s="770"/>
      <c r="K1085" s="233"/>
      <c r="L1085" s="233"/>
      <c r="M1085" s="233"/>
      <c r="N1085" s="2460"/>
      <c r="O1085" s="2460"/>
    </row>
    <row r="1086" spans="3:15">
      <c r="C1086" s="233"/>
      <c r="D1086" s="233"/>
      <c r="E1086" s="770"/>
      <c r="F1086" s="234"/>
      <c r="G1086" s="234"/>
      <c r="H1086" s="233"/>
      <c r="I1086" s="233"/>
      <c r="J1086" s="770"/>
      <c r="K1086" s="233"/>
      <c r="L1086" s="233"/>
      <c r="M1086" s="233"/>
      <c r="N1086" s="2460"/>
      <c r="O1086" s="2460"/>
    </row>
    <row r="1087" spans="3:15">
      <c r="C1087" s="233"/>
      <c r="D1087" s="233"/>
      <c r="E1087" s="770"/>
      <c r="F1087" s="234"/>
      <c r="G1087" s="234"/>
      <c r="H1087" s="233"/>
      <c r="I1087" s="233"/>
      <c r="J1087" s="770"/>
      <c r="K1087" s="233"/>
      <c r="L1087" s="233"/>
      <c r="M1087" s="233"/>
      <c r="N1087" s="2460"/>
      <c r="O1087" s="2460"/>
    </row>
    <row r="1088" spans="3:15">
      <c r="C1088" s="233"/>
      <c r="D1088" s="233"/>
      <c r="E1088" s="770"/>
      <c r="F1088" s="234"/>
      <c r="G1088" s="234"/>
      <c r="H1088" s="233"/>
      <c r="I1088" s="233"/>
      <c r="J1088" s="770"/>
      <c r="K1088" s="233"/>
      <c r="L1088" s="233"/>
      <c r="M1088" s="233"/>
      <c r="N1088" s="2460"/>
      <c r="O1088" s="2460"/>
    </row>
    <row r="1089" spans="3:15">
      <c r="C1089" s="233"/>
      <c r="D1089" s="233"/>
      <c r="E1089" s="770"/>
      <c r="F1089" s="234"/>
      <c r="G1089" s="234"/>
      <c r="H1089" s="233"/>
      <c r="I1089" s="233"/>
      <c r="J1089" s="770"/>
      <c r="K1089" s="233"/>
      <c r="L1089" s="233"/>
      <c r="M1089" s="233"/>
      <c r="N1089" s="2460"/>
      <c r="O1089" s="2460"/>
    </row>
    <row r="1090" spans="3:15">
      <c r="C1090" s="233"/>
      <c r="D1090" s="233"/>
      <c r="E1090" s="770"/>
      <c r="F1090" s="234"/>
      <c r="G1090" s="234"/>
      <c r="H1090" s="233"/>
      <c r="I1090" s="233"/>
      <c r="J1090" s="770"/>
      <c r="K1090" s="233"/>
      <c r="L1090" s="233"/>
      <c r="M1090" s="233"/>
      <c r="N1090" s="2460"/>
      <c r="O1090" s="2460"/>
    </row>
    <row r="1091" spans="3:15">
      <c r="C1091" s="233"/>
      <c r="D1091" s="233"/>
      <c r="E1091" s="770"/>
      <c r="F1091" s="234"/>
      <c r="G1091" s="234"/>
      <c r="H1091" s="233"/>
      <c r="I1091" s="233"/>
      <c r="J1091" s="770"/>
      <c r="K1091" s="233"/>
      <c r="L1091" s="233"/>
      <c r="M1091" s="233"/>
      <c r="N1091" s="2460"/>
      <c r="O1091" s="2460"/>
    </row>
    <row r="1092" spans="3:15">
      <c r="C1092" s="233"/>
      <c r="D1092" s="233"/>
      <c r="E1092" s="770"/>
      <c r="F1092" s="234"/>
      <c r="G1092" s="234"/>
      <c r="H1092" s="233"/>
      <c r="I1092" s="233"/>
      <c r="J1092" s="770"/>
      <c r="K1092" s="233"/>
      <c r="L1092" s="233"/>
      <c r="M1092" s="233"/>
      <c r="N1092" s="2460"/>
      <c r="O1092" s="2460"/>
    </row>
    <row r="1093" spans="3:15">
      <c r="C1093" s="233"/>
      <c r="D1093" s="233"/>
      <c r="E1093" s="770"/>
      <c r="F1093" s="234"/>
      <c r="G1093" s="234"/>
      <c r="H1093" s="233"/>
      <c r="I1093" s="233"/>
      <c r="J1093" s="770"/>
      <c r="K1093" s="233"/>
      <c r="L1093" s="233"/>
      <c r="M1093" s="233"/>
      <c r="N1093" s="2460"/>
      <c r="O1093" s="2460"/>
    </row>
    <row r="1094" spans="3:15">
      <c r="C1094" s="233"/>
      <c r="D1094" s="233"/>
      <c r="E1094" s="770"/>
      <c r="F1094" s="234"/>
      <c r="G1094" s="234"/>
      <c r="H1094" s="233"/>
      <c r="I1094" s="233"/>
      <c r="J1094" s="770"/>
      <c r="K1094" s="233"/>
      <c r="L1094" s="233"/>
      <c r="M1094" s="233"/>
      <c r="N1094" s="2460"/>
      <c r="O1094" s="2460"/>
    </row>
    <row r="1095" spans="3:15">
      <c r="C1095" s="233"/>
      <c r="D1095" s="233"/>
      <c r="E1095" s="770"/>
      <c r="F1095" s="234"/>
      <c r="G1095" s="234"/>
      <c r="H1095" s="233"/>
      <c r="I1095" s="233"/>
      <c r="J1095" s="770"/>
      <c r="K1095" s="233"/>
      <c r="L1095" s="233"/>
      <c r="M1095" s="233"/>
      <c r="N1095" s="2460"/>
      <c r="O1095" s="2460"/>
    </row>
    <row r="1096" spans="3:15">
      <c r="C1096" s="233"/>
      <c r="D1096" s="233"/>
      <c r="E1096" s="770"/>
      <c r="F1096" s="234"/>
      <c r="G1096" s="234"/>
      <c r="H1096" s="233"/>
      <c r="I1096" s="233"/>
      <c r="J1096" s="770"/>
      <c r="K1096" s="233"/>
      <c r="L1096" s="233"/>
      <c r="M1096" s="233"/>
      <c r="N1096" s="2460"/>
      <c r="O1096" s="2460"/>
    </row>
    <row r="1097" spans="3:15">
      <c r="C1097" s="233"/>
      <c r="D1097" s="233"/>
      <c r="E1097" s="770"/>
      <c r="F1097" s="234"/>
      <c r="G1097" s="234"/>
      <c r="H1097" s="233"/>
      <c r="I1097" s="233"/>
      <c r="J1097" s="770"/>
      <c r="K1097" s="233"/>
      <c r="L1097" s="233"/>
      <c r="M1097" s="233"/>
      <c r="N1097" s="2460"/>
      <c r="O1097" s="2460"/>
    </row>
    <row r="1098" spans="3:15">
      <c r="C1098" s="233"/>
      <c r="D1098" s="233"/>
      <c r="E1098" s="770"/>
      <c r="F1098" s="234"/>
      <c r="G1098" s="234"/>
      <c r="H1098" s="233"/>
      <c r="I1098" s="233"/>
      <c r="J1098" s="770"/>
      <c r="K1098" s="233"/>
      <c r="L1098" s="233"/>
      <c r="M1098" s="233"/>
      <c r="N1098" s="2460"/>
      <c r="O1098" s="2460"/>
    </row>
    <row r="1099" spans="3:15">
      <c r="C1099" s="233"/>
      <c r="D1099" s="233"/>
      <c r="E1099" s="770"/>
      <c r="F1099" s="234"/>
      <c r="G1099" s="234"/>
      <c r="H1099" s="233"/>
      <c r="I1099" s="233"/>
      <c r="J1099" s="770"/>
      <c r="K1099" s="233"/>
      <c r="L1099" s="233"/>
      <c r="M1099" s="233"/>
      <c r="N1099" s="2460"/>
      <c r="O1099" s="2460"/>
    </row>
    <row r="1100" spans="3:15">
      <c r="C1100" s="233"/>
      <c r="D1100" s="233"/>
      <c r="E1100" s="770"/>
      <c r="F1100" s="234"/>
      <c r="G1100" s="234"/>
      <c r="H1100" s="233"/>
      <c r="I1100" s="233"/>
      <c r="J1100" s="770"/>
      <c r="K1100" s="233"/>
      <c r="L1100" s="233"/>
      <c r="M1100" s="233"/>
      <c r="N1100" s="2460"/>
      <c r="O1100" s="2460"/>
    </row>
    <row r="1101" spans="3:15">
      <c r="C1101" s="233"/>
      <c r="D1101" s="233"/>
      <c r="E1101" s="770"/>
      <c r="F1101" s="234"/>
      <c r="G1101" s="234"/>
      <c r="H1101" s="233"/>
      <c r="I1101" s="233"/>
      <c r="J1101" s="770"/>
      <c r="K1101" s="233"/>
      <c r="L1101" s="233"/>
      <c r="M1101" s="233"/>
      <c r="N1101" s="2460"/>
      <c r="O1101" s="2460"/>
    </row>
    <row r="1102" spans="3:15">
      <c r="C1102" s="233"/>
      <c r="D1102" s="233"/>
      <c r="E1102" s="770"/>
      <c r="F1102" s="234"/>
      <c r="G1102" s="234"/>
      <c r="H1102" s="233"/>
      <c r="I1102" s="233"/>
      <c r="J1102" s="770"/>
      <c r="K1102" s="233"/>
      <c r="L1102" s="233"/>
      <c r="M1102" s="233"/>
      <c r="N1102" s="2460"/>
      <c r="O1102" s="2460"/>
    </row>
    <row r="1103" spans="3:15">
      <c r="C1103" s="233"/>
      <c r="D1103" s="233"/>
      <c r="E1103" s="770"/>
      <c r="F1103" s="234"/>
      <c r="G1103" s="234"/>
      <c r="H1103" s="233"/>
      <c r="I1103" s="233"/>
      <c r="J1103" s="770"/>
      <c r="K1103" s="233"/>
      <c r="L1103" s="233"/>
      <c r="M1103" s="233"/>
      <c r="N1103" s="2460"/>
      <c r="O1103" s="2460"/>
    </row>
    <row r="1104" spans="3:15">
      <c r="C1104" s="233"/>
      <c r="D1104" s="233"/>
      <c r="E1104" s="770"/>
      <c r="F1104" s="234"/>
      <c r="G1104" s="234"/>
      <c r="H1104" s="233"/>
      <c r="I1104" s="233"/>
      <c r="J1104" s="770"/>
      <c r="K1104" s="233"/>
      <c r="L1104" s="233"/>
      <c r="M1104" s="233"/>
      <c r="N1104" s="2460"/>
      <c r="O1104" s="2460"/>
    </row>
    <row r="1105" spans="3:15">
      <c r="C1105" s="233"/>
      <c r="D1105" s="233"/>
      <c r="E1105" s="770"/>
      <c r="F1105" s="234"/>
      <c r="G1105" s="234"/>
      <c r="H1105" s="233"/>
      <c r="I1105" s="233"/>
      <c r="J1105" s="770"/>
      <c r="K1105" s="233"/>
      <c r="L1105" s="233"/>
      <c r="M1105" s="233"/>
      <c r="N1105" s="2460"/>
      <c r="O1105" s="2460"/>
    </row>
    <row r="1106" spans="3:15">
      <c r="C1106" s="233"/>
      <c r="D1106" s="233"/>
      <c r="E1106" s="770"/>
      <c r="F1106" s="234"/>
      <c r="G1106" s="234"/>
      <c r="H1106" s="233"/>
      <c r="I1106" s="233"/>
      <c r="J1106" s="770"/>
      <c r="K1106" s="233"/>
      <c r="L1106" s="233"/>
      <c r="M1106" s="233"/>
      <c r="N1106" s="2460"/>
      <c r="O1106" s="2460"/>
    </row>
    <row r="1107" spans="3:15">
      <c r="C1107" s="233"/>
      <c r="D1107" s="233"/>
      <c r="E1107" s="770"/>
      <c r="F1107" s="234"/>
      <c r="G1107" s="234"/>
      <c r="H1107" s="233"/>
      <c r="I1107" s="233"/>
      <c r="J1107" s="770"/>
      <c r="K1107" s="233"/>
      <c r="L1107" s="233"/>
      <c r="M1107" s="233"/>
      <c r="N1107" s="2460"/>
      <c r="O1107" s="2460"/>
    </row>
    <row r="1108" spans="3:15">
      <c r="C1108" s="233"/>
      <c r="D1108" s="233"/>
      <c r="E1108" s="770"/>
      <c r="F1108" s="234"/>
      <c r="G1108" s="234"/>
      <c r="H1108" s="233"/>
      <c r="I1108" s="233"/>
      <c r="J1108" s="770"/>
      <c r="K1108" s="233"/>
      <c r="L1108" s="233"/>
      <c r="M1108" s="233"/>
      <c r="N1108" s="2460"/>
      <c r="O1108" s="2460"/>
    </row>
    <row r="1109" spans="3:15">
      <c r="C1109" s="233"/>
      <c r="D1109" s="233"/>
      <c r="E1109" s="770"/>
      <c r="F1109" s="234"/>
      <c r="G1109" s="234"/>
      <c r="H1109" s="233"/>
      <c r="I1109" s="233"/>
      <c r="J1109" s="770"/>
      <c r="K1109" s="233"/>
      <c r="L1109" s="233"/>
      <c r="M1109" s="233"/>
      <c r="N1109" s="2460"/>
      <c r="O1109" s="2460"/>
    </row>
    <row r="1110" spans="3:15">
      <c r="C1110" s="233"/>
      <c r="D1110" s="233"/>
      <c r="E1110" s="770"/>
      <c r="F1110" s="234"/>
      <c r="G1110" s="234"/>
      <c r="H1110" s="233"/>
      <c r="I1110" s="233"/>
      <c r="J1110" s="770"/>
      <c r="K1110" s="233"/>
      <c r="L1110" s="233"/>
      <c r="M1110" s="233"/>
      <c r="N1110" s="2460"/>
      <c r="O1110" s="2460"/>
    </row>
    <row r="1111" spans="3:15">
      <c r="C1111" s="233"/>
      <c r="D1111" s="233"/>
      <c r="E1111" s="770"/>
      <c r="F1111" s="234"/>
      <c r="G1111" s="234"/>
      <c r="H1111" s="233"/>
      <c r="I1111" s="233"/>
      <c r="J1111" s="770"/>
      <c r="K1111" s="233"/>
      <c r="L1111" s="233"/>
      <c r="M1111" s="233"/>
      <c r="N1111" s="2460"/>
      <c r="O1111" s="2460"/>
    </row>
    <row r="1112" spans="3:15">
      <c r="C1112" s="233"/>
      <c r="D1112" s="233"/>
      <c r="E1112" s="770"/>
      <c r="F1112" s="234"/>
      <c r="G1112" s="234"/>
      <c r="H1112" s="233"/>
      <c r="I1112" s="233"/>
      <c r="J1112" s="770"/>
      <c r="K1112" s="233"/>
      <c r="L1112" s="233"/>
      <c r="M1112" s="233"/>
      <c r="N1112" s="2460"/>
      <c r="O1112" s="2460"/>
    </row>
    <row r="1113" spans="3:15">
      <c r="C1113" s="233"/>
      <c r="D1113" s="233"/>
      <c r="E1113" s="770"/>
      <c r="F1113" s="234"/>
      <c r="G1113" s="234"/>
      <c r="H1113" s="233"/>
      <c r="I1113" s="233"/>
      <c r="J1113" s="770"/>
      <c r="K1113" s="233"/>
      <c r="L1113" s="233"/>
      <c r="M1113" s="233"/>
      <c r="N1113" s="2460"/>
      <c r="O1113" s="2460"/>
    </row>
    <row r="1114" spans="3:15">
      <c r="C1114" s="233"/>
      <c r="D1114" s="233"/>
      <c r="E1114" s="770"/>
      <c r="F1114" s="234"/>
      <c r="G1114" s="234"/>
      <c r="H1114" s="233"/>
      <c r="I1114" s="233"/>
      <c r="J1114" s="770"/>
      <c r="K1114" s="233"/>
      <c r="L1114" s="233"/>
      <c r="M1114" s="233"/>
      <c r="N1114" s="2460"/>
      <c r="O1114" s="2460"/>
    </row>
    <row r="1115" spans="3:15">
      <c r="C1115" s="233"/>
      <c r="D1115" s="233"/>
      <c r="E1115" s="770"/>
      <c r="F1115" s="234"/>
      <c r="G1115" s="234"/>
      <c r="H1115" s="233"/>
      <c r="I1115" s="233"/>
      <c r="J1115" s="770"/>
      <c r="K1115" s="233"/>
      <c r="L1115" s="233"/>
      <c r="M1115" s="233"/>
      <c r="N1115" s="2460"/>
      <c r="O1115" s="2460"/>
    </row>
    <row r="1116" spans="3:15">
      <c r="C1116" s="233"/>
      <c r="D1116" s="233"/>
      <c r="E1116" s="770"/>
      <c r="F1116" s="234"/>
      <c r="G1116" s="234"/>
      <c r="H1116" s="233"/>
      <c r="I1116" s="233"/>
      <c r="J1116" s="770"/>
      <c r="K1116" s="233"/>
      <c r="L1116" s="233"/>
      <c r="M1116" s="233"/>
      <c r="N1116" s="2460"/>
      <c r="O1116" s="2460"/>
    </row>
    <row r="1117" spans="3:15">
      <c r="C1117" s="233"/>
      <c r="D1117" s="233"/>
      <c r="E1117" s="770"/>
      <c r="F1117" s="234"/>
      <c r="G1117" s="234"/>
      <c r="H1117" s="233"/>
      <c r="I1117" s="233"/>
      <c r="J1117" s="770"/>
      <c r="K1117" s="233"/>
      <c r="L1117" s="233"/>
      <c r="M1117" s="233"/>
      <c r="N1117" s="2460"/>
      <c r="O1117" s="2460"/>
    </row>
    <row r="1118" spans="3:15">
      <c r="C1118" s="233"/>
      <c r="D1118" s="233"/>
      <c r="E1118" s="770"/>
      <c r="F1118" s="234"/>
      <c r="G1118" s="234"/>
      <c r="H1118" s="233"/>
      <c r="I1118" s="233"/>
      <c r="J1118" s="770"/>
      <c r="K1118" s="233"/>
      <c r="L1118" s="233"/>
      <c r="M1118" s="233"/>
      <c r="N1118" s="2460"/>
      <c r="O1118" s="2460"/>
    </row>
    <row r="1119" spans="3:15">
      <c r="C1119" s="233"/>
      <c r="D1119" s="233"/>
      <c r="E1119" s="770"/>
      <c r="F1119" s="234"/>
      <c r="G1119" s="234"/>
      <c r="H1119" s="233"/>
      <c r="I1119" s="233"/>
      <c r="J1119" s="770"/>
      <c r="K1119" s="233"/>
      <c r="L1119" s="233"/>
      <c r="M1119" s="233"/>
      <c r="N1119" s="2460"/>
      <c r="O1119" s="2460"/>
    </row>
    <row r="1120" spans="3:15">
      <c r="C1120" s="233"/>
      <c r="D1120" s="233"/>
      <c r="E1120" s="770"/>
      <c r="F1120" s="234"/>
      <c r="G1120" s="234"/>
      <c r="H1120" s="233"/>
      <c r="I1120" s="233"/>
      <c r="J1120" s="770"/>
      <c r="K1120" s="233"/>
      <c r="L1120" s="233"/>
      <c r="M1120" s="233"/>
      <c r="N1120" s="2460"/>
      <c r="O1120" s="2460"/>
    </row>
    <row r="1121" spans="3:15">
      <c r="C1121" s="233"/>
      <c r="D1121" s="233"/>
      <c r="E1121" s="770"/>
      <c r="F1121" s="234"/>
      <c r="G1121" s="234"/>
      <c r="H1121" s="233"/>
      <c r="I1121" s="233"/>
      <c r="J1121" s="770"/>
      <c r="K1121" s="233"/>
      <c r="L1121" s="233"/>
      <c r="M1121" s="233"/>
      <c r="N1121" s="2460"/>
      <c r="O1121" s="2460"/>
    </row>
    <row r="1122" spans="3:15">
      <c r="C1122" s="233"/>
      <c r="D1122" s="233"/>
      <c r="E1122" s="770"/>
      <c r="F1122" s="234"/>
      <c r="G1122" s="234"/>
      <c r="H1122" s="233"/>
      <c r="I1122" s="233"/>
      <c r="J1122" s="770"/>
      <c r="K1122" s="233"/>
      <c r="L1122" s="233"/>
      <c r="M1122" s="233"/>
      <c r="N1122" s="2460"/>
      <c r="O1122" s="2460"/>
    </row>
    <row r="1123" spans="3:15">
      <c r="C1123" s="233"/>
      <c r="D1123" s="233"/>
      <c r="E1123" s="770"/>
      <c r="F1123" s="234"/>
      <c r="G1123" s="234"/>
      <c r="H1123" s="233"/>
      <c r="I1123" s="233"/>
      <c r="J1123" s="770"/>
      <c r="K1123" s="233"/>
      <c r="L1123" s="233"/>
      <c r="M1123" s="233"/>
      <c r="N1123" s="2460"/>
      <c r="O1123" s="2460"/>
    </row>
    <row r="1124" spans="3:15">
      <c r="C1124" s="233"/>
      <c r="D1124" s="233"/>
      <c r="E1124" s="770"/>
      <c r="F1124" s="234"/>
      <c r="G1124" s="234"/>
      <c r="H1124" s="233"/>
      <c r="I1124" s="233"/>
      <c r="J1124" s="770"/>
      <c r="K1124" s="233"/>
      <c r="L1124" s="233"/>
      <c r="M1124" s="233"/>
      <c r="N1124" s="2460"/>
      <c r="O1124" s="2460"/>
    </row>
    <row r="1125" spans="3:15">
      <c r="C1125" s="233"/>
      <c r="D1125" s="233"/>
      <c r="E1125" s="770"/>
      <c r="F1125" s="234"/>
      <c r="G1125" s="234"/>
      <c r="H1125" s="233"/>
      <c r="I1125" s="233"/>
      <c r="J1125" s="770"/>
      <c r="K1125" s="233"/>
      <c r="L1125" s="233"/>
      <c r="M1125" s="233"/>
      <c r="N1125" s="2460"/>
      <c r="O1125" s="2460"/>
    </row>
    <row r="1126" spans="3:15">
      <c r="C1126" s="233"/>
      <c r="D1126" s="233"/>
      <c r="E1126" s="770"/>
      <c r="F1126" s="234"/>
      <c r="G1126" s="234"/>
      <c r="H1126" s="233"/>
      <c r="I1126" s="233"/>
      <c r="J1126" s="770"/>
      <c r="K1126" s="233"/>
      <c r="L1126" s="233"/>
      <c r="M1126" s="233"/>
      <c r="N1126" s="2460"/>
      <c r="O1126" s="2460"/>
    </row>
    <row r="1127" spans="3:15">
      <c r="C1127" s="233"/>
      <c r="D1127" s="233"/>
      <c r="E1127" s="770"/>
      <c r="F1127" s="234"/>
      <c r="G1127" s="234"/>
      <c r="H1127" s="233"/>
      <c r="I1127" s="233"/>
      <c r="J1127" s="770"/>
      <c r="K1127" s="233"/>
      <c r="L1127" s="233"/>
      <c r="M1127" s="233"/>
      <c r="N1127" s="2460"/>
      <c r="O1127" s="2460"/>
    </row>
    <row r="1128" spans="3:15">
      <c r="C1128" s="233"/>
      <c r="D1128" s="233"/>
      <c r="E1128" s="770"/>
      <c r="F1128" s="234"/>
      <c r="G1128" s="234"/>
      <c r="H1128" s="233"/>
      <c r="I1128" s="233"/>
      <c r="J1128" s="770"/>
      <c r="K1128" s="233"/>
      <c r="L1128" s="233"/>
      <c r="M1128" s="233"/>
      <c r="N1128" s="2460"/>
      <c r="O1128" s="2460"/>
    </row>
    <row r="1129" spans="3:15">
      <c r="C1129" s="233"/>
      <c r="D1129" s="233"/>
      <c r="E1129" s="770"/>
      <c r="F1129" s="234"/>
      <c r="G1129" s="234"/>
      <c r="H1129" s="233"/>
      <c r="I1129" s="233"/>
      <c r="J1129" s="770"/>
      <c r="K1129" s="233"/>
      <c r="L1129" s="233"/>
      <c r="M1129" s="233"/>
      <c r="N1129" s="2460"/>
      <c r="O1129" s="2460"/>
    </row>
    <row r="1130" spans="3:15">
      <c r="C1130" s="233"/>
      <c r="D1130" s="233"/>
      <c r="E1130" s="770"/>
      <c r="F1130" s="234"/>
      <c r="G1130" s="234"/>
      <c r="H1130" s="233"/>
      <c r="I1130" s="233"/>
      <c r="J1130" s="770"/>
      <c r="K1130" s="233"/>
      <c r="L1130" s="233"/>
      <c r="M1130" s="233"/>
      <c r="N1130" s="2460"/>
      <c r="O1130" s="2460"/>
    </row>
    <row r="1131" spans="3:15">
      <c r="C1131" s="233"/>
      <c r="D1131" s="233"/>
      <c r="E1131" s="770"/>
      <c r="F1131" s="234"/>
      <c r="G1131" s="234"/>
      <c r="H1131" s="233"/>
      <c r="I1131" s="233"/>
      <c r="J1131" s="770"/>
      <c r="K1131" s="233"/>
      <c r="L1131" s="233"/>
      <c r="M1131" s="233"/>
      <c r="N1131" s="2460"/>
      <c r="O1131" s="2460"/>
    </row>
    <row r="1132" spans="3:15">
      <c r="C1132" s="233"/>
      <c r="D1132" s="233"/>
      <c r="E1132" s="770"/>
      <c r="F1132" s="234"/>
      <c r="G1132" s="234"/>
      <c r="H1132" s="233"/>
      <c r="I1132" s="233"/>
      <c r="J1132" s="770"/>
      <c r="K1132" s="233"/>
      <c r="L1132" s="233"/>
      <c r="M1132" s="233"/>
      <c r="N1132" s="2460"/>
      <c r="O1132" s="2460"/>
    </row>
    <row r="1133" spans="3:15">
      <c r="C1133" s="233"/>
      <c r="D1133" s="233"/>
      <c r="E1133" s="770"/>
      <c r="F1133" s="234"/>
      <c r="G1133" s="234"/>
      <c r="H1133" s="233"/>
      <c r="I1133" s="233"/>
      <c r="J1133" s="770"/>
      <c r="K1133" s="233"/>
      <c r="L1133" s="233"/>
      <c r="M1133" s="233"/>
      <c r="N1133" s="2460"/>
      <c r="O1133" s="2460"/>
    </row>
    <row r="1134" spans="3:15">
      <c r="C1134" s="233"/>
      <c r="D1134" s="233"/>
      <c r="E1134" s="770"/>
      <c r="F1134" s="234"/>
      <c r="G1134" s="234"/>
      <c r="H1134" s="233"/>
      <c r="I1134" s="233"/>
      <c r="J1134" s="770"/>
      <c r="K1134" s="233"/>
      <c r="L1134" s="233"/>
      <c r="M1134" s="233"/>
      <c r="N1134" s="2460"/>
      <c r="O1134" s="2460"/>
    </row>
    <row r="1135" spans="3:15">
      <c r="C1135" s="233"/>
      <c r="D1135" s="233"/>
      <c r="E1135" s="770"/>
      <c r="F1135" s="234"/>
      <c r="G1135" s="234"/>
      <c r="H1135" s="233"/>
      <c r="I1135" s="233"/>
      <c r="J1135" s="770"/>
      <c r="K1135" s="233"/>
      <c r="L1135" s="233"/>
      <c r="M1135" s="233"/>
      <c r="N1135" s="2460"/>
      <c r="O1135" s="2460"/>
    </row>
    <row r="1136" spans="3:15">
      <c r="C1136" s="233"/>
      <c r="D1136" s="233"/>
      <c r="E1136" s="770"/>
      <c r="F1136" s="234"/>
      <c r="G1136" s="234"/>
      <c r="H1136" s="233"/>
      <c r="I1136" s="233"/>
      <c r="J1136" s="770"/>
      <c r="K1136" s="233"/>
      <c r="L1136" s="233"/>
      <c r="M1136" s="233"/>
      <c r="N1136" s="2460"/>
      <c r="O1136" s="2460"/>
    </row>
    <row r="1137" spans="3:15">
      <c r="C1137" s="233"/>
      <c r="D1137" s="233"/>
      <c r="E1137" s="770"/>
      <c r="F1137" s="234"/>
      <c r="G1137" s="234"/>
      <c r="H1137" s="233"/>
      <c r="I1137" s="233"/>
      <c r="J1137" s="770"/>
      <c r="K1137" s="233"/>
      <c r="L1137" s="233"/>
      <c r="M1137" s="233"/>
      <c r="N1137" s="2460"/>
      <c r="O1137" s="2460"/>
    </row>
    <row r="1138" spans="3:15">
      <c r="C1138" s="233"/>
      <c r="D1138" s="233"/>
      <c r="E1138" s="770"/>
      <c r="F1138" s="234"/>
      <c r="G1138" s="234"/>
      <c r="H1138" s="233"/>
      <c r="I1138" s="233"/>
      <c r="J1138" s="770"/>
      <c r="K1138" s="233"/>
      <c r="L1138" s="233"/>
      <c r="M1138" s="233"/>
      <c r="N1138" s="2460"/>
      <c r="O1138" s="2460"/>
    </row>
    <row r="1139" spans="3:15">
      <c r="C1139" s="233"/>
      <c r="D1139" s="233"/>
      <c r="E1139" s="770"/>
      <c r="F1139" s="234"/>
      <c r="G1139" s="234"/>
      <c r="H1139" s="233"/>
      <c r="I1139" s="233"/>
      <c r="J1139" s="770"/>
      <c r="K1139" s="233"/>
      <c r="L1139" s="233"/>
      <c r="M1139" s="233"/>
      <c r="N1139" s="2460"/>
      <c r="O1139" s="2460"/>
    </row>
    <row r="1140" spans="3:15">
      <c r="C1140" s="233"/>
      <c r="D1140" s="233"/>
      <c r="E1140" s="770"/>
      <c r="F1140" s="234"/>
      <c r="G1140" s="234"/>
      <c r="H1140" s="233"/>
      <c r="I1140" s="233"/>
      <c r="J1140" s="770"/>
      <c r="K1140" s="233"/>
      <c r="L1140" s="233"/>
      <c r="M1140" s="233"/>
      <c r="N1140" s="2460"/>
      <c r="O1140" s="2460"/>
    </row>
    <row r="1141" spans="3:15">
      <c r="C1141" s="233"/>
      <c r="D1141" s="233"/>
      <c r="E1141" s="770"/>
      <c r="F1141" s="234"/>
      <c r="G1141" s="234"/>
      <c r="H1141" s="233"/>
      <c r="I1141" s="233"/>
      <c r="J1141" s="770"/>
      <c r="K1141" s="233"/>
      <c r="L1141" s="233"/>
      <c r="M1141" s="233"/>
      <c r="N1141" s="2460"/>
      <c r="O1141" s="2460"/>
    </row>
    <row r="1142" spans="3:15">
      <c r="C1142" s="233"/>
      <c r="D1142" s="233"/>
      <c r="E1142" s="770"/>
      <c r="F1142" s="234"/>
      <c r="G1142" s="234"/>
      <c r="H1142" s="233"/>
      <c r="I1142" s="233"/>
      <c r="J1142" s="770"/>
      <c r="K1142" s="233"/>
      <c r="L1142" s="233"/>
      <c r="M1142" s="233"/>
      <c r="N1142" s="2460"/>
      <c r="O1142" s="2460"/>
    </row>
    <row r="1143" spans="3:15">
      <c r="C1143" s="233"/>
      <c r="D1143" s="233"/>
      <c r="E1143" s="770"/>
      <c r="F1143" s="234"/>
      <c r="G1143" s="234"/>
      <c r="H1143" s="233"/>
      <c r="I1143" s="233"/>
      <c r="J1143" s="770"/>
      <c r="K1143" s="233"/>
      <c r="L1143" s="233"/>
      <c r="M1143" s="233"/>
      <c r="N1143" s="2460"/>
      <c r="O1143" s="2460"/>
    </row>
    <row r="1144" spans="3:15">
      <c r="C1144" s="233"/>
      <c r="D1144" s="233"/>
      <c r="E1144" s="770"/>
      <c r="F1144" s="234"/>
      <c r="G1144" s="234"/>
      <c r="H1144" s="233"/>
      <c r="I1144" s="233"/>
      <c r="J1144" s="770"/>
      <c r="K1144" s="233"/>
      <c r="L1144" s="233"/>
      <c r="M1144" s="233"/>
      <c r="N1144" s="2460"/>
      <c r="O1144" s="2460"/>
    </row>
    <row r="1145" spans="3:15">
      <c r="C1145" s="233"/>
      <c r="D1145" s="233"/>
      <c r="E1145" s="770"/>
      <c r="F1145" s="234"/>
      <c r="G1145" s="234"/>
      <c r="H1145" s="233"/>
      <c r="I1145" s="233"/>
      <c r="J1145" s="770"/>
      <c r="K1145" s="233"/>
      <c r="L1145" s="233"/>
      <c r="M1145" s="233"/>
      <c r="N1145" s="2460"/>
      <c r="O1145" s="2460"/>
    </row>
    <row r="1146" spans="3:15">
      <c r="C1146" s="233"/>
      <c r="D1146" s="233"/>
      <c r="E1146" s="770"/>
      <c r="F1146" s="234"/>
      <c r="G1146" s="234"/>
      <c r="H1146" s="233"/>
      <c r="I1146" s="233"/>
      <c r="J1146" s="770"/>
      <c r="K1146" s="233"/>
      <c r="L1146" s="233"/>
      <c r="M1146" s="233"/>
      <c r="N1146" s="2460"/>
      <c r="O1146" s="2460"/>
    </row>
    <row r="1147" spans="3:15">
      <c r="C1147" s="233"/>
      <c r="D1147" s="233"/>
      <c r="E1147" s="770"/>
      <c r="F1147" s="234"/>
      <c r="G1147" s="234"/>
      <c r="H1147" s="233"/>
      <c r="I1147" s="233"/>
      <c r="J1147" s="770"/>
      <c r="K1147" s="233"/>
      <c r="L1147" s="233"/>
      <c r="M1147" s="233"/>
      <c r="N1147" s="2460"/>
      <c r="O1147" s="2460"/>
    </row>
    <row r="1148" spans="3:15">
      <c r="C1148" s="233"/>
      <c r="D1148" s="233"/>
      <c r="E1148" s="770"/>
      <c r="F1148" s="234"/>
      <c r="G1148" s="234"/>
      <c r="H1148" s="233"/>
      <c r="I1148" s="233"/>
      <c r="J1148" s="770"/>
      <c r="K1148" s="233"/>
      <c r="L1148" s="233"/>
      <c r="M1148" s="233"/>
      <c r="N1148" s="2460"/>
      <c r="O1148" s="2460"/>
    </row>
    <row r="1149" spans="3:15">
      <c r="C1149" s="233"/>
      <c r="D1149" s="233"/>
      <c r="E1149" s="770"/>
      <c r="F1149" s="234"/>
      <c r="G1149" s="234"/>
      <c r="H1149" s="233"/>
      <c r="I1149" s="233"/>
      <c r="J1149" s="770"/>
      <c r="K1149" s="233"/>
      <c r="L1149" s="233"/>
      <c r="M1149" s="233"/>
      <c r="N1149" s="2460"/>
      <c r="O1149" s="2460"/>
    </row>
    <row r="1150" spans="3:15">
      <c r="C1150" s="233"/>
      <c r="D1150" s="233"/>
      <c r="E1150" s="770"/>
      <c r="F1150" s="234"/>
      <c r="G1150" s="234"/>
      <c r="H1150" s="233"/>
      <c r="I1150" s="233"/>
      <c r="J1150" s="770"/>
      <c r="K1150" s="233"/>
      <c r="L1150" s="233"/>
      <c r="M1150" s="233"/>
      <c r="N1150" s="2460"/>
      <c r="O1150" s="2460"/>
    </row>
    <row r="1151" spans="3:15">
      <c r="C1151" s="233"/>
      <c r="D1151" s="233"/>
      <c r="E1151" s="770"/>
      <c r="F1151" s="234"/>
      <c r="G1151" s="234"/>
      <c r="H1151" s="233"/>
      <c r="I1151" s="233"/>
      <c r="J1151" s="770"/>
      <c r="K1151" s="233"/>
      <c r="L1151" s="233"/>
      <c r="M1151" s="233"/>
      <c r="N1151" s="2460"/>
      <c r="O1151" s="2460"/>
    </row>
    <row r="1152" spans="3:15">
      <c r="C1152" s="233"/>
      <c r="D1152" s="233"/>
      <c r="E1152" s="770"/>
      <c r="F1152" s="234"/>
      <c r="G1152" s="234"/>
      <c r="H1152" s="233"/>
      <c r="I1152" s="233"/>
      <c r="J1152" s="770"/>
      <c r="K1152" s="233"/>
      <c r="L1152" s="233"/>
      <c r="M1152" s="233"/>
      <c r="N1152" s="2460"/>
      <c r="O1152" s="2460"/>
    </row>
    <row r="1153" spans="3:15">
      <c r="C1153" s="233"/>
      <c r="D1153" s="233"/>
      <c r="E1153" s="770"/>
      <c r="F1153" s="234"/>
      <c r="G1153" s="234"/>
      <c r="H1153" s="233"/>
      <c r="I1153" s="233"/>
      <c r="J1153" s="770"/>
      <c r="K1153" s="233"/>
      <c r="L1153" s="233"/>
      <c r="M1153" s="233"/>
      <c r="N1153" s="2460"/>
      <c r="O1153" s="2460"/>
    </row>
    <row r="1154" spans="3:15">
      <c r="C1154" s="233"/>
      <c r="D1154" s="233"/>
      <c r="E1154" s="770"/>
      <c r="F1154" s="234"/>
      <c r="G1154" s="234"/>
      <c r="H1154" s="233"/>
      <c r="I1154" s="233"/>
      <c r="J1154" s="770"/>
      <c r="K1154" s="233"/>
      <c r="L1154" s="233"/>
      <c r="M1154" s="233"/>
      <c r="N1154" s="2460"/>
      <c r="O1154" s="2460"/>
    </row>
    <row r="1155" spans="3:15">
      <c r="C1155" s="233"/>
      <c r="D1155" s="233"/>
      <c r="E1155" s="770"/>
      <c r="F1155" s="234"/>
      <c r="G1155" s="234"/>
      <c r="H1155" s="233"/>
      <c r="I1155" s="233"/>
      <c r="J1155" s="770"/>
      <c r="K1155" s="233"/>
      <c r="L1155" s="233"/>
      <c r="M1155" s="233"/>
      <c r="N1155" s="2460"/>
      <c r="O1155" s="2460"/>
    </row>
    <row r="1156" spans="3:15">
      <c r="C1156" s="233"/>
      <c r="D1156" s="233"/>
      <c r="E1156" s="770"/>
      <c r="F1156" s="234"/>
      <c r="G1156" s="234"/>
      <c r="H1156" s="233"/>
      <c r="I1156" s="233"/>
      <c r="J1156" s="770"/>
      <c r="K1156" s="233"/>
      <c r="L1156" s="233"/>
      <c r="M1156" s="233"/>
      <c r="N1156" s="2460"/>
      <c r="O1156" s="2460"/>
    </row>
    <row r="1157" spans="3:15">
      <c r="C1157" s="233"/>
      <c r="D1157" s="233"/>
      <c r="E1157" s="770"/>
      <c r="F1157" s="234"/>
      <c r="G1157" s="234"/>
      <c r="H1157" s="233"/>
      <c r="I1157" s="233"/>
      <c r="J1157" s="770"/>
      <c r="K1157" s="233"/>
      <c r="L1157" s="233"/>
      <c r="M1157" s="233"/>
      <c r="N1157" s="2460"/>
      <c r="O1157" s="2460"/>
    </row>
    <row r="1158" spans="3:15">
      <c r="C1158" s="233"/>
      <c r="D1158" s="233"/>
      <c r="E1158" s="770"/>
      <c r="F1158" s="234"/>
      <c r="G1158" s="234"/>
      <c r="H1158" s="233"/>
      <c r="I1158" s="233"/>
      <c r="J1158" s="770"/>
      <c r="K1158" s="233"/>
      <c r="L1158" s="233"/>
      <c r="M1158" s="233"/>
      <c r="N1158" s="2460"/>
      <c r="O1158" s="2460"/>
    </row>
    <row r="1159" spans="3:15">
      <c r="C1159" s="233"/>
      <c r="D1159" s="233"/>
      <c r="E1159" s="770"/>
      <c r="F1159" s="234"/>
      <c r="G1159" s="234"/>
      <c r="H1159" s="233"/>
      <c r="I1159" s="233"/>
      <c r="J1159" s="770"/>
      <c r="K1159" s="233"/>
      <c r="L1159" s="233"/>
      <c r="M1159" s="233"/>
      <c r="N1159" s="2460"/>
      <c r="O1159" s="2460"/>
    </row>
    <row r="1160" spans="3:15">
      <c r="C1160" s="233"/>
      <c r="D1160" s="233"/>
      <c r="E1160" s="770"/>
      <c r="F1160" s="234"/>
      <c r="G1160" s="234"/>
      <c r="H1160" s="233"/>
      <c r="I1160" s="233"/>
      <c r="J1160" s="770"/>
      <c r="K1160" s="233"/>
      <c r="L1160" s="233"/>
      <c r="M1160" s="233"/>
      <c r="N1160" s="2460"/>
      <c r="O1160" s="2460"/>
    </row>
    <row r="1161" spans="3:15">
      <c r="C1161" s="233"/>
      <c r="D1161" s="233"/>
      <c r="E1161" s="770"/>
      <c r="F1161" s="234"/>
      <c r="G1161" s="234"/>
      <c r="H1161" s="233"/>
      <c r="I1161" s="233"/>
      <c r="J1161" s="770"/>
      <c r="K1161" s="233"/>
      <c r="L1161" s="233"/>
      <c r="M1161" s="233"/>
      <c r="N1161" s="2460"/>
      <c r="O1161" s="2460"/>
    </row>
    <row r="1162" spans="3:15">
      <c r="C1162" s="233"/>
      <c r="D1162" s="233"/>
      <c r="E1162" s="770"/>
      <c r="F1162" s="234"/>
      <c r="G1162" s="234"/>
      <c r="H1162" s="233"/>
      <c r="I1162" s="233"/>
      <c r="J1162" s="770"/>
      <c r="K1162" s="233"/>
      <c r="L1162" s="233"/>
      <c r="M1162" s="233"/>
      <c r="N1162" s="2460"/>
      <c r="O1162" s="2460"/>
    </row>
    <row r="1163" spans="3:15">
      <c r="C1163" s="233"/>
      <c r="D1163" s="233"/>
      <c r="E1163" s="770"/>
      <c r="F1163" s="234"/>
      <c r="G1163" s="234"/>
      <c r="H1163" s="233"/>
      <c r="I1163" s="233"/>
      <c r="J1163" s="770"/>
      <c r="K1163" s="233"/>
      <c r="L1163" s="233"/>
      <c r="M1163" s="233"/>
      <c r="N1163" s="2460"/>
      <c r="O1163" s="2460"/>
    </row>
    <row r="1164" spans="3:15">
      <c r="C1164" s="233"/>
      <c r="D1164" s="233"/>
      <c r="E1164" s="770"/>
      <c r="F1164" s="234"/>
      <c r="G1164" s="234"/>
      <c r="H1164" s="233"/>
      <c r="I1164" s="233"/>
      <c r="J1164" s="770"/>
      <c r="K1164" s="233"/>
      <c r="L1164" s="233"/>
      <c r="M1164" s="233"/>
      <c r="N1164" s="2460"/>
      <c r="O1164" s="2460"/>
    </row>
    <row r="1165" spans="3:15">
      <c r="C1165" s="233"/>
      <c r="D1165" s="233"/>
      <c r="E1165" s="770"/>
      <c r="F1165" s="234"/>
      <c r="G1165" s="234"/>
      <c r="H1165" s="233"/>
      <c r="I1165" s="233"/>
      <c r="J1165" s="770"/>
      <c r="K1165" s="233"/>
      <c r="L1165" s="233"/>
      <c r="M1165" s="233"/>
      <c r="N1165" s="2460"/>
      <c r="O1165" s="2460"/>
    </row>
    <row r="1166" spans="3:15">
      <c r="C1166" s="233"/>
      <c r="D1166" s="233"/>
      <c r="E1166" s="770"/>
      <c r="F1166" s="234"/>
      <c r="G1166" s="234"/>
      <c r="H1166" s="233"/>
      <c r="I1166" s="233"/>
      <c r="J1166" s="770"/>
      <c r="K1166" s="233"/>
      <c r="L1166" s="233"/>
      <c r="M1166" s="233"/>
      <c r="N1166" s="2460"/>
      <c r="O1166" s="2460"/>
    </row>
    <row r="1167" spans="3:15">
      <c r="C1167" s="233"/>
      <c r="D1167" s="233"/>
      <c r="E1167" s="770"/>
      <c r="F1167" s="234"/>
      <c r="G1167" s="234"/>
      <c r="H1167" s="233"/>
      <c r="I1167" s="233"/>
      <c r="J1167" s="770"/>
      <c r="K1167" s="233"/>
      <c r="L1167" s="233"/>
      <c r="M1167" s="233"/>
      <c r="N1167" s="2460"/>
      <c r="O1167" s="2460"/>
    </row>
    <row r="1168" spans="3:15">
      <c r="C1168" s="233"/>
      <c r="D1168" s="233"/>
      <c r="E1168" s="770"/>
      <c r="F1168" s="234"/>
      <c r="G1168" s="234"/>
      <c r="H1168" s="233"/>
      <c r="I1168" s="233"/>
      <c r="J1168" s="770"/>
      <c r="K1168" s="233"/>
      <c r="L1168" s="233"/>
      <c r="M1168" s="233"/>
      <c r="N1168" s="2460"/>
      <c r="O1168" s="2460"/>
    </row>
    <row r="1169" spans="3:15">
      <c r="C1169" s="233"/>
      <c r="D1169" s="233"/>
      <c r="E1169" s="770"/>
      <c r="F1169" s="234"/>
      <c r="G1169" s="234"/>
      <c r="H1169" s="233"/>
      <c r="I1169" s="233"/>
      <c r="J1169" s="770"/>
      <c r="K1169" s="233"/>
      <c r="L1169" s="233"/>
      <c r="M1169" s="233"/>
      <c r="N1169" s="2460"/>
      <c r="O1169" s="2460"/>
    </row>
    <row r="1170" spans="3:15">
      <c r="C1170" s="233"/>
      <c r="D1170" s="233"/>
      <c r="E1170" s="770"/>
      <c r="F1170" s="234"/>
      <c r="G1170" s="234"/>
      <c r="H1170" s="233"/>
      <c r="I1170" s="233"/>
      <c r="J1170" s="770"/>
      <c r="K1170" s="233"/>
      <c r="L1170" s="233"/>
      <c r="M1170" s="233"/>
      <c r="N1170" s="2460"/>
      <c r="O1170" s="2460"/>
    </row>
    <row r="1171" spans="3:15">
      <c r="C1171" s="233"/>
      <c r="D1171" s="233"/>
      <c r="E1171" s="770"/>
      <c r="F1171" s="234"/>
      <c r="G1171" s="234"/>
      <c r="H1171" s="233"/>
      <c r="I1171" s="233"/>
      <c r="J1171" s="770"/>
      <c r="K1171" s="233"/>
      <c r="L1171" s="233"/>
      <c r="M1171" s="233"/>
      <c r="N1171" s="2460"/>
      <c r="O1171" s="2460"/>
    </row>
    <row r="1172" spans="3:15">
      <c r="C1172" s="233"/>
      <c r="D1172" s="233"/>
      <c r="E1172" s="770"/>
      <c r="F1172" s="234"/>
      <c r="G1172" s="234"/>
      <c r="H1172" s="233"/>
      <c r="I1172" s="233"/>
      <c r="J1172" s="770"/>
      <c r="K1172" s="233"/>
      <c r="L1172" s="233"/>
      <c r="M1172" s="233"/>
      <c r="N1172" s="2460"/>
      <c r="O1172" s="2460"/>
    </row>
    <row r="1173" spans="3:15">
      <c r="C1173" s="233"/>
      <c r="D1173" s="233"/>
      <c r="E1173" s="770"/>
      <c r="F1173" s="234"/>
      <c r="G1173" s="234"/>
      <c r="H1173" s="233"/>
      <c r="I1173" s="233"/>
      <c r="J1173" s="770"/>
      <c r="K1173" s="233"/>
      <c r="L1173" s="233"/>
      <c r="M1173" s="233"/>
      <c r="N1173" s="2460"/>
      <c r="O1173" s="2460"/>
    </row>
    <row r="1174" spans="3:15">
      <c r="C1174" s="233"/>
      <c r="D1174" s="233"/>
      <c r="E1174" s="770"/>
      <c r="F1174" s="234"/>
      <c r="G1174" s="234"/>
      <c r="H1174" s="233"/>
      <c r="I1174" s="233"/>
      <c r="J1174" s="770"/>
      <c r="K1174" s="233"/>
      <c r="L1174" s="233"/>
      <c r="M1174" s="233"/>
      <c r="N1174" s="2460"/>
      <c r="O1174" s="2460"/>
    </row>
    <row r="1175" spans="3:15">
      <c r="C1175" s="233"/>
      <c r="D1175" s="233"/>
      <c r="E1175" s="770"/>
      <c r="F1175" s="234"/>
      <c r="G1175" s="234"/>
      <c r="H1175" s="233"/>
      <c r="I1175" s="233"/>
      <c r="J1175" s="770"/>
      <c r="K1175" s="233"/>
      <c r="L1175" s="233"/>
      <c r="M1175" s="233"/>
      <c r="N1175" s="2460"/>
      <c r="O1175" s="2460"/>
    </row>
    <row r="1176" spans="3:15">
      <c r="C1176" s="233"/>
      <c r="D1176" s="233"/>
      <c r="E1176" s="770"/>
      <c r="F1176" s="234"/>
      <c r="G1176" s="234"/>
      <c r="H1176" s="233"/>
      <c r="I1176" s="233"/>
      <c r="J1176" s="770"/>
      <c r="K1176" s="233"/>
      <c r="L1176" s="233"/>
      <c r="M1176" s="233"/>
      <c r="N1176" s="2460"/>
      <c r="O1176" s="2460"/>
    </row>
    <row r="1177" spans="3:15">
      <c r="C1177" s="233"/>
      <c r="D1177" s="233"/>
      <c r="E1177" s="770"/>
      <c r="F1177" s="234"/>
      <c r="G1177" s="234"/>
      <c r="H1177" s="233"/>
      <c r="I1177" s="233"/>
      <c r="J1177" s="770"/>
      <c r="K1177" s="233"/>
      <c r="L1177" s="233"/>
      <c r="M1177" s="233"/>
      <c r="N1177" s="2460"/>
      <c r="O1177" s="2460"/>
    </row>
    <row r="1178" spans="3:15">
      <c r="C1178" s="233"/>
      <c r="D1178" s="233"/>
      <c r="E1178" s="770"/>
      <c r="F1178" s="234"/>
      <c r="G1178" s="234"/>
      <c r="H1178" s="233"/>
      <c r="I1178" s="233"/>
      <c r="J1178" s="770"/>
      <c r="K1178" s="233"/>
      <c r="L1178" s="233"/>
      <c r="M1178" s="233"/>
      <c r="N1178" s="2460"/>
      <c r="O1178" s="2460"/>
    </row>
    <row r="1179" spans="3:15">
      <c r="C1179" s="233"/>
      <c r="D1179" s="233"/>
      <c r="E1179" s="770"/>
      <c r="F1179" s="234"/>
      <c r="G1179" s="234"/>
      <c r="H1179" s="233"/>
      <c r="I1179" s="233"/>
      <c r="J1179" s="770"/>
      <c r="K1179" s="233"/>
      <c r="L1179" s="233"/>
      <c r="M1179" s="233"/>
      <c r="N1179" s="2460"/>
      <c r="O1179" s="2460"/>
    </row>
    <row r="1180" spans="3:15">
      <c r="C1180" s="233"/>
      <c r="D1180" s="233"/>
      <c r="E1180" s="770"/>
      <c r="F1180" s="234"/>
      <c r="G1180" s="234"/>
      <c r="H1180" s="233"/>
      <c r="I1180" s="233"/>
      <c r="J1180" s="770"/>
      <c r="K1180" s="233"/>
      <c r="L1180" s="233"/>
      <c r="M1180" s="233"/>
      <c r="N1180" s="2460"/>
      <c r="O1180" s="2460"/>
    </row>
    <row r="1181" spans="3:15">
      <c r="C1181" s="233"/>
      <c r="D1181" s="233"/>
      <c r="E1181" s="770"/>
      <c r="F1181" s="234"/>
      <c r="G1181" s="234"/>
      <c r="H1181" s="233"/>
      <c r="I1181" s="233"/>
      <c r="J1181" s="770"/>
      <c r="K1181" s="233"/>
      <c r="L1181" s="233"/>
      <c r="M1181" s="233"/>
      <c r="N1181" s="2460"/>
      <c r="O1181" s="2460"/>
    </row>
    <row r="1182" spans="3:15">
      <c r="C1182" s="233"/>
      <c r="D1182" s="233"/>
      <c r="E1182" s="770"/>
      <c r="F1182" s="234"/>
      <c r="G1182" s="234"/>
      <c r="H1182" s="233"/>
      <c r="I1182" s="233"/>
      <c r="J1182" s="770"/>
      <c r="K1182" s="233"/>
      <c r="L1182" s="233"/>
      <c r="M1182" s="233"/>
      <c r="N1182" s="2460"/>
      <c r="O1182" s="2460"/>
    </row>
    <row r="1183" spans="3:15">
      <c r="C1183" s="233"/>
      <c r="D1183" s="233"/>
      <c r="E1183" s="770"/>
      <c r="F1183" s="234"/>
      <c r="G1183" s="234"/>
      <c r="H1183" s="233"/>
      <c r="I1183" s="233"/>
      <c r="J1183" s="770"/>
      <c r="K1183" s="233"/>
      <c r="L1183" s="233"/>
      <c r="M1183" s="233"/>
      <c r="N1183" s="2460"/>
      <c r="O1183" s="2460"/>
    </row>
    <row r="1184" spans="3:15">
      <c r="C1184" s="233"/>
      <c r="D1184" s="233"/>
      <c r="E1184" s="770"/>
      <c r="F1184" s="234"/>
      <c r="G1184" s="234"/>
      <c r="H1184" s="233"/>
      <c r="I1184" s="233"/>
      <c r="J1184" s="770"/>
      <c r="K1184" s="233"/>
      <c r="L1184" s="233"/>
      <c r="M1184" s="233"/>
      <c r="N1184" s="2460"/>
      <c r="O1184" s="2460"/>
    </row>
    <row r="1185" spans="3:15">
      <c r="C1185" s="233"/>
      <c r="D1185" s="233"/>
      <c r="E1185" s="770"/>
      <c r="F1185" s="234"/>
      <c r="G1185" s="234"/>
      <c r="H1185" s="233"/>
      <c r="I1185" s="233"/>
      <c r="J1185" s="770"/>
      <c r="K1185" s="233"/>
      <c r="L1185" s="233"/>
      <c r="M1185" s="233"/>
      <c r="N1185" s="2460"/>
      <c r="O1185" s="2460"/>
    </row>
    <row r="1186" spans="3:15">
      <c r="C1186" s="233"/>
      <c r="D1186" s="233"/>
      <c r="E1186" s="770"/>
      <c r="F1186" s="234"/>
      <c r="G1186" s="234"/>
      <c r="H1186" s="233"/>
      <c r="I1186" s="233"/>
      <c r="J1186" s="770"/>
      <c r="K1186" s="233"/>
      <c r="L1186" s="233"/>
      <c r="M1186" s="233"/>
      <c r="N1186" s="2460"/>
      <c r="O1186" s="2460"/>
    </row>
    <row r="1187" spans="3:15">
      <c r="C1187" s="233"/>
      <c r="D1187" s="233"/>
      <c r="E1187" s="770"/>
      <c r="F1187" s="234"/>
      <c r="G1187" s="234"/>
      <c r="H1187" s="233"/>
      <c r="I1187" s="233"/>
      <c r="J1187" s="770"/>
      <c r="K1187" s="233"/>
      <c r="L1187" s="233"/>
      <c r="M1187" s="233"/>
      <c r="N1187" s="2460"/>
      <c r="O1187" s="2460"/>
    </row>
    <row r="1188" spans="3:15">
      <c r="C1188" s="233"/>
      <c r="D1188" s="233"/>
      <c r="E1188" s="770"/>
      <c r="F1188" s="234"/>
      <c r="G1188" s="234"/>
      <c r="H1188" s="233"/>
      <c r="I1188" s="233"/>
      <c r="J1188" s="770"/>
      <c r="K1188" s="233"/>
      <c r="L1188" s="233"/>
      <c r="M1188" s="233"/>
      <c r="N1188" s="2460"/>
      <c r="O1188" s="2460"/>
    </row>
    <row r="1189" spans="3:15">
      <c r="C1189" s="233"/>
      <c r="D1189" s="233"/>
      <c r="E1189" s="770"/>
      <c r="F1189" s="234"/>
      <c r="G1189" s="234"/>
      <c r="H1189" s="233"/>
      <c r="I1189" s="233"/>
      <c r="J1189" s="770"/>
      <c r="K1189" s="233"/>
      <c r="L1189" s="233"/>
      <c r="M1189" s="233"/>
      <c r="N1189" s="2460"/>
      <c r="O1189" s="2460"/>
    </row>
    <row r="1190" spans="3:15">
      <c r="C1190" s="233"/>
      <c r="D1190" s="233"/>
      <c r="E1190" s="770"/>
      <c r="F1190" s="234"/>
      <c r="G1190" s="234"/>
      <c r="H1190" s="233"/>
      <c r="I1190" s="233"/>
      <c r="J1190" s="770"/>
      <c r="K1190" s="233"/>
      <c r="L1190" s="233"/>
      <c r="M1190" s="233"/>
      <c r="N1190" s="2460"/>
      <c r="O1190" s="2460"/>
    </row>
    <row r="1191" spans="3:15">
      <c r="C1191" s="233"/>
      <c r="D1191" s="233"/>
      <c r="E1191" s="770"/>
      <c r="F1191" s="234"/>
      <c r="G1191" s="234"/>
      <c r="H1191" s="233"/>
      <c r="I1191" s="233"/>
      <c r="J1191" s="770"/>
      <c r="K1191" s="233"/>
      <c r="L1191" s="233"/>
      <c r="M1191" s="233"/>
      <c r="N1191" s="2460"/>
      <c r="O1191" s="2460"/>
    </row>
    <row r="1192" spans="3:15">
      <c r="C1192" s="233"/>
      <c r="D1192" s="233"/>
      <c r="E1192" s="770"/>
      <c r="F1192" s="234"/>
      <c r="G1192" s="234"/>
      <c r="H1192" s="233"/>
      <c r="I1192" s="233"/>
      <c r="J1192" s="770"/>
      <c r="K1192" s="233"/>
      <c r="L1192" s="233"/>
      <c r="M1192" s="233"/>
      <c r="N1192" s="2460"/>
      <c r="O1192" s="2460"/>
    </row>
    <row r="1193" spans="3:15">
      <c r="C1193" s="233"/>
      <c r="D1193" s="233"/>
      <c r="E1193" s="770"/>
      <c r="F1193" s="234"/>
      <c r="G1193" s="234"/>
      <c r="H1193" s="233"/>
      <c r="I1193" s="233"/>
      <c r="J1193" s="770"/>
      <c r="K1193" s="233"/>
      <c r="L1193" s="233"/>
      <c r="M1193" s="233"/>
      <c r="N1193" s="2460"/>
      <c r="O1193" s="2460"/>
    </row>
    <row r="1194" spans="3:15">
      <c r="C1194" s="233"/>
      <c r="D1194" s="233"/>
      <c r="E1194" s="770"/>
      <c r="F1194" s="234"/>
      <c r="G1194" s="234"/>
      <c r="H1194" s="233"/>
      <c r="I1194" s="233"/>
      <c r="J1194" s="770"/>
      <c r="K1194" s="233"/>
      <c r="L1194" s="233"/>
      <c r="M1194" s="233"/>
      <c r="N1194" s="2460"/>
      <c r="O1194" s="2460"/>
    </row>
    <row r="1195" spans="3:15">
      <c r="C1195" s="233"/>
      <c r="D1195" s="233"/>
      <c r="E1195" s="770"/>
      <c r="F1195" s="234"/>
      <c r="G1195" s="234"/>
      <c r="H1195" s="233"/>
      <c r="I1195" s="233"/>
      <c r="J1195" s="770"/>
      <c r="K1195" s="233"/>
      <c r="L1195" s="233"/>
      <c r="M1195" s="233"/>
      <c r="N1195" s="2460"/>
      <c r="O1195" s="2460"/>
    </row>
    <row r="1196" spans="3:15">
      <c r="C1196" s="233"/>
      <c r="D1196" s="233"/>
      <c r="E1196" s="770"/>
      <c r="F1196" s="234"/>
      <c r="G1196" s="234"/>
      <c r="H1196" s="233"/>
      <c r="I1196" s="233"/>
      <c r="J1196" s="770"/>
      <c r="K1196" s="233"/>
      <c r="L1196" s="233"/>
      <c r="M1196" s="233"/>
      <c r="N1196" s="2460"/>
      <c r="O1196" s="2460"/>
    </row>
    <row r="1197" spans="3:15">
      <c r="C1197" s="233"/>
      <c r="D1197" s="233"/>
      <c r="E1197" s="770"/>
      <c r="F1197" s="234"/>
      <c r="G1197" s="234"/>
      <c r="H1197" s="233"/>
      <c r="I1197" s="233"/>
      <c r="J1197" s="770"/>
      <c r="K1197" s="233"/>
      <c r="L1197" s="233"/>
      <c r="M1197" s="233"/>
      <c r="N1197" s="2460"/>
      <c r="O1197" s="2460"/>
    </row>
    <row r="1198" spans="3:15">
      <c r="C1198" s="233"/>
      <c r="D1198" s="233"/>
      <c r="E1198" s="770"/>
      <c r="F1198" s="234"/>
      <c r="G1198" s="234"/>
      <c r="H1198" s="233"/>
      <c r="I1198" s="233"/>
      <c r="J1198" s="770"/>
      <c r="K1198" s="233"/>
      <c r="L1198" s="233"/>
      <c r="M1198" s="233"/>
      <c r="N1198" s="2460"/>
      <c r="O1198" s="2460"/>
    </row>
    <row r="1199" spans="3:15">
      <c r="C1199" s="233"/>
      <c r="D1199" s="233"/>
      <c r="E1199" s="770"/>
      <c r="F1199" s="234"/>
      <c r="G1199" s="234"/>
      <c r="H1199" s="233"/>
      <c r="I1199" s="233"/>
      <c r="J1199" s="770"/>
      <c r="K1199" s="233"/>
      <c r="L1199" s="233"/>
      <c r="M1199" s="233"/>
      <c r="N1199" s="2460"/>
      <c r="O1199" s="2460"/>
    </row>
    <row r="1200" spans="3:15">
      <c r="C1200" s="233"/>
      <c r="D1200" s="233"/>
      <c r="E1200" s="770"/>
      <c r="F1200" s="234"/>
      <c r="G1200" s="234"/>
      <c r="H1200" s="233"/>
      <c r="I1200" s="233"/>
      <c r="J1200" s="770"/>
      <c r="K1200" s="233"/>
      <c r="L1200" s="233"/>
      <c r="M1200" s="233"/>
      <c r="N1200" s="2460"/>
      <c r="O1200" s="2460"/>
    </row>
    <row r="1201" spans="3:15">
      <c r="C1201" s="233"/>
      <c r="D1201" s="233"/>
      <c r="E1201" s="770"/>
      <c r="F1201" s="234"/>
      <c r="G1201" s="234"/>
      <c r="H1201" s="233"/>
      <c r="I1201" s="233"/>
      <c r="J1201" s="770"/>
      <c r="K1201" s="233"/>
      <c r="L1201" s="233"/>
      <c r="M1201" s="233"/>
      <c r="N1201" s="2460"/>
      <c r="O1201" s="2460"/>
    </row>
    <row r="1202" spans="3:15">
      <c r="C1202" s="233"/>
      <c r="D1202" s="233"/>
      <c r="E1202" s="770"/>
      <c r="F1202" s="234"/>
      <c r="G1202" s="234"/>
      <c r="H1202" s="233"/>
      <c r="I1202" s="233"/>
      <c r="J1202" s="770"/>
      <c r="K1202" s="233"/>
      <c r="L1202" s="233"/>
      <c r="M1202" s="233"/>
      <c r="N1202" s="2460"/>
      <c r="O1202" s="2460"/>
    </row>
    <row r="1203" spans="3:15">
      <c r="C1203" s="233"/>
      <c r="D1203" s="233"/>
      <c r="E1203" s="770"/>
      <c r="F1203" s="234"/>
      <c r="G1203" s="234"/>
      <c r="H1203" s="233"/>
      <c r="I1203" s="233"/>
      <c r="J1203" s="770"/>
      <c r="K1203" s="233"/>
      <c r="L1203" s="233"/>
      <c r="M1203" s="233"/>
      <c r="N1203" s="2460"/>
      <c r="O1203" s="2460"/>
    </row>
    <row r="1204" spans="3:15">
      <c r="C1204" s="233"/>
      <c r="D1204" s="233"/>
      <c r="E1204" s="770"/>
      <c r="F1204" s="234"/>
      <c r="G1204" s="234"/>
      <c r="H1204" s="233"/>
      <c r="I1204" s="233"/>
      <c r="J1204" s="770"/>
      <c r="K1204" s="233"/>
      <c r="L1204" s="233"/>
      <c r="M1204" s="233"/>
      <c r="N1204" s="2460"/>
      <c r="O1204" s="2460"/>
    </row>
    <row r="1205" spans="3:15">
      <c r="C1205" s="233"/>
      <c r="D1205" s="233"/>
      <c r="E1205" s="770"/>
      <c r="F1205" s="234"/>
      <c r="G1205" s="234"/>
      <c r="H1205" s="233"/>
      <c r="I1205" s="233"/>
      <c r="J1205" s="770"/>
      <c r="K1205" s="233"/>
      <c r="L1205" s="233"/>
      <c r="M1205" s="233"/>
      <c r="N1205" s="2460"/>
      <c r="O1205" s="2460"/>
    </row>
    <row r="1206" spans="3:15">
      <c r="C1206" s="233"/>
      <c r="D1206" s="233"/>
      <c r="E1206" s="770"/>
      <c r="F1206" s="234"/>
      <c r="G1206" s="234"/>
      <c r="H1206" s="233"/>
      <c r="I1206" s="233"/>
      <c r="J1206" s="770"/>
      <c r="K1206" s="233"/>
      <c r="L1206" s="233"/>
      <c r="M1206" s="233"/>
      <c r="N1206" s="2460"/>
      <c r="O1206" s="2460"/>
    </row>
    <row r="1207" spans="3:15">
      <c r="C1207" s="233"/>
      <c r="D1207" s="233"/>
      <c r="E1207" s="770"/>
      <c r="F1207" s="234"/>
      <c r="G1207" s="234"/>
      <c r="H1207" s="233"/>
      <c r="I1207" s="233"/>
      <c r="J1207" s="770"/>
      <c r="K1207" s="233"/>
      <c r="L1207" s="233"/>
      <c r="M1207" s="233"/>
      <c r="N1207" s="2460"/>
      <c r="O1207" s="2460"/>
    </row>
    <row r="1208" spans="3:15">
      <c r="C1208" s="233"/>
      <c r="D1208" s="233"/>
      <c r="E1208" s="770"/>
      <c r="F1208" s="234"/>
      <c r="G1208" s="234"/>
      <c r="H1208" s="233"/>
      <c r="I1208" s="233"/>
      <c r="J1208" s="770"/>
      <c r="K1208" s="233"/>
      <c r="L1208" s="233"/>
      <c r="M1208" s="233"/>
      <c r="N1208" s="2460"/>
      <c r="O1208" s="2460"/>
    </row>
    <row r="1209" spans="3:15">
      <c r="C1209" s="233"/>
      <c r="D1209" s="233"/>
      <c r="E1209" s="770"/>
      <c r="F1209" s="234"/>
      <c r="G1209" s="234"/>
      <c r="H1209" s="233"/>
      <c r="I1209" s="233"/>
      <c r="J1209" s="770"/>
      <c r="K1209" s="233"/>
      <c r="L1209" s="233"/>
      <c r="M1209" s="233"/>
      <c r="N1209" s="2460"/>
      <c r="O1209" s="2460"/>
    </row>
    <row r="1210" spans="3:15">
      <c r="C1210" s="233"/>
      <c r="D1210" s="233"/>
      <c r="E1210" s="770"/>
      <c r="F1210" s="234"/>
      <c r="G1210" s="234"/>
      <c r="H1210" s="233"/>
      <c r="I1210" s="233"/>
      <c r="J1210" s="770"/>
      <c r="K1210" s="233"/>
      <c r="L1210" s="233"/>
      <c r="M1210" s="233"/>
      <c r="N1210" s="2460"/>
      <c r="O1210" s="2460"/>
    </row>
    <row r="1211" spans="3:15">
      <c r="C1211" s="233"/>
      <c r="D1211" s="233"/>
      <c r="E1211" s="770"/>
      <c r="F1211" s="234"/>
      <c r="G1211" s="234"/>
      <c r="H1211" s="233"/>
      <c r="I1211" s="233"/>
      <c r="J1211" s="770"/>
      <c r="K1211" s="233"/>
      <c r="L1211" s="233"/>
      <c r="M1211" s="233"/>
      <c r="N1211" s="2460"/>
      <c r="O1211" s="2460"/>
    </row>
    <row r="1212" spans="3:15">
      <c r="C1212" s="233"/>
      <c r="D1212" s="233"/>
      <c r="E1212" s="770"/>
      <c r="F1212" s="234"/>
      <c r="G1212" s="234"/>
      <c r="H1212" s="233"/>
      <c r="I1212" s="233"/>
      <c r="J1212" s="770"/>
      <c r="K1212" s="233"/>
      <c r="L1212" s="233"/>
      <c r="M1212" s="233"/>
      <c r="N1212" s="2460"/>
      <c r="O1212" s="2460"/>
    </row>
    <row r="1213" spans="3:15">
      <c r="C1213" s="233"/>
      <c r="D1213" s="233"/>
      <c r="E1213" s="770"/>
      <c r="F1213" s="234"/>
      <c r="G1213" s="234"/>
      <c r="H1213" s="233"/>
      <c r="I1213" s="233"/>
      <c r="J1213" s="770"/>
      <c r="K1213" s="233"/>
      <c r="L1213" s="233"/>
      <c r="M1213" s="233"/>
      <c r="N1213" s="2460"/>
      <c r="O1213" s="2460"/>
    </row>
    <row r="1214" spans="3:15">
      <c r="C1214" s="233"/>
      <c r="D1214" s="233"/>
      <c r="E1214" s="770"/>
      <c r="F1214" s="234"/>
      <c r="G1214" s="234"/>
      <c r="H1214" s="233"/>
      <c r="I1214" s="233"/>
      <c r="J1214" s="770"/>
      <c r="K1214" s="233"/>
      <c r="L1214" s="233"/>
      <c r="M1214" s="233"/>
      <c r="N1214" s="2460"/>
      <c r="O1214" s="2460"/>
    </row>
    <row r="1215" spans="3:15">
      <c r="C1215" s="233"/>
      <c r="D1215" s="233"/>
      <c r="E1215" s="770"/>
      <c r="F1215" s="234"/>
      <c r="G1215" s="234"/>
      <c r="H1215" s="233"/>
      <c r="I1215" s="233"/>
      <c r="J1215" s="770"/>
      <c r="K1215" s="233"/>
      <c r="L1215" s="233"/>
      <c r="M1215" s="233"/>
      <c r="N1215" s="2460"/>
      <c r="O1215" s="2460"/>
    </row>
    <row r="1216" spans="3:15">
      <c r="C1216" s="233"/>
      <c r="D1216" s="233"/>
      <c r="E1216" s="770"/>
      <c r="F1216" s="234"/>
      <c r="G1216" s="234"/>
      <c r="H1216" s="233"/>
      <c r="I1216" s="233"/>
      <c r="J1216" s="770"/>
      <c r="K1216" s="233"/>
      <c r="L1216" s="233"/>
      <c r="M1216" s="233"/>
      <c r="N1216" s="2460"/>
      <c r="O1216" s="2460"/>
    </row>
    <row r="1217" spans="3:15">
      <c r="C1217" s="233"/>
      <c r="D1217" s="233"/>
      <c r="E1217" s="770"/>
      <c r="F1217" s="234"/>
      <c r="G1217" s="234"/>
      <c r="H1217" s="233"/>
      <c r="I1217" s="233"/>
      <c r="J1217" s="770"/>
      <c r="K1217" s="233"/>
      <c r="L1217" s="233"/>
      <c r="M1217" s="233"/>
      <c r="N1217" s="2460"/>
      <c r="O1217" s="2460"/>
    </row>
    <row r="1218" spans="3:15">
      <c r="C1218" s="233"/>
      <c r="D1218" s="233"/>
      <c r="E1218" s="770"/>
      <c r="F1218" s="234"/>
      <c r="G1218" s="234"/>
      <c r="H1218" s="233"/>
      <c r="I1218" s="233"/>
      <c r="J1218" s="770"/>
      <c r="K1218" s="233"/>
      <c r="L1218" s="233"/>
      <c r="M1218" s="233"/>
      <c r="N1218" s="2460"/>
      <c r="O1218" s="2460"/>
    </row>
    <row r="1219" spans="3:15">
      <c r="C1219" s="233"/>
      <c r="D1219" s="233"/>
      <c r="E1219" s="770"/>
      <c r="F1219" s="234"/>
      <c r="G1219" s="234"/>
      <c r="H1219" s="233"/>
      <c r="I1219" s="233"/>
      <c r="J1219" s="770"/>
      <c r="K1219" s="233"/>
      <c r="L1219" s="233"/>
      <c r="M1219" s="233"/>
      <c r="N1219" s="2460"/>
      <c r="O1219" s="2460"/>
    </row>
    <row r="1220" spans="3:15">
      <c r="C1220" s="233"/>
      <c r="D1220" s="233"/>
      <c r="E1220" s="770"/>
      <c r="F1220" s="234"/>
      <c r="G1220" s="234"/>
      <c r="H1220" s="233"/>
      <c r="I1220" s="233"/>
      <c r="J1220" s="770"/>
      <c r="K1220" s="233"/>
      <c r="L1220" s="233"/>
      <c r="M1220" s="233"/>
      <c r="N1220" s="2460"/>
      <c r="O1220" s="2460"/>
    </row>
    <row r="1221" spans="3:15">
      <c r="C1221" s="233"/>
      <c r="D1221" s="233"/>
      <c r="E1221" s="770"/>
      <c r="F1221" s="234"/>
      <c r="G1221" s="234"/>
      <c r="H1221" s="233"/>
      <c r="I1221" s="233"/>
      <c r="J1221" s="770"/>
      <c r="K1221" s="233"/>
      <c r="L1221" s="233"/>
      <c r="M1221" s="233"/>
      <c r="N1221" s="2460"/>
      <c r="O1221" s="2460"/>
    </row>
    <row r="1222" spans="3:15">
      <c r="C1222" s="233"/>
      <c r="D1222" s="233"/>
      <c r="E1222" s="770"/>
      <c r="F1222" s="234"/>
      <c r="G1222" s="234"/>
      <c r="H1222" s="233"/>
      <c r="I1222" s="233"/>
      <c r="J1222" s="770"/>
      <c r="K1222" s="233"/>
      <c r="L1222" s="233"/>
      <c r="M1222" s="233"/>
      <c r="N1222" s="2460"/>
      <c r="O1222" s="2460"/>
    </row>
    <row r="1223" spans="3:15">
      <c r="C1223" s="233"/>
      <c r="D1223" s="233"/>
      <c r="E1223" s="770"/>
      <c r="F1223" s="234"/>
      <c r="G1223" s="234"/>
      <c r="H1223" s="233"/>
      <c r="I1223" s="233"/>
      <c r="J1223" s="770"/>
      <c r="K1223" s="233"/>
      <c r="L1223" s="233"/>
      <c r="M1223" s="233"/>
      <c r="N1223" s="2460"/>
      <c r="O1223" s="2460"/>
    </row>
    <row r="1224" spans="3:15">
      <c r="C1224" s="233"/>
      <c r="D1224" s="233"/>
      <c r="E1224" s="770"/>
      <c r="F1224" s="234"/>
      <c r="G1224" s="234"/>
      <c r="H1224" s="233"/>
      <c r="I1224" s="233"/>
      <c r="J1224" s="770"/>
      <c r="K1224" s="233"/>
      <c r="L1224" s="233"/>
      <c r="M1224" s="233"/>
      <c r="N1224" s="2460"/>
      <c r="O1224" s="2460"/>
    </row>
    <row r="1225" spans="3:15">
      <c r="C1225" s="233"/>
      <c r="D1225" s="233"/>
      <c r="E1225" s="770"/>
      <c r="F1225" s="234"/>
      <c r="G1225" s="234"/>
      <c r="H1225" s="233"/>
      <c r="I1225" s="233"/>
      <c r="J1225" s="770"/>
      <c r="K1225" s="233"/>
      <c r="L1225" s="233"/>
      <c r="M1225" s="233"/>
      <c r="N1225" s="2460"/>
      <c r="O1225" s="2460"/>
    </row>
    <row r="1226" spans="3:15">
      <c r="C1226" s="233"/>
      <c r="D1226" s="233"/>
      <c r="E1226" s="770"/>
      <c r="F1226" s="234"/>
      <c r="G1226" s="234"/>
      <c r="H1226" s="233"/>
      <c r="I1226" s="233"/>
      <c r="J1226" s="770"/>
      <c r="K1226" s="233"/>
      <c r="L1226" s="233"/>
      <c r="M1226" s="233"/>
      <c r="N1226" s="2460"/>
      <c r="O1226" s="2460"/>
    </row>
    <row r="1227" spans="3:15">
      <c r="C1227" s="233"/>
      <c r="D1227" s="233"/>
      <c r="E1227" s="770"/>
      <c r="F1227" s="234"/>
      <c r="G1227" s="234"/>
      <c r="H1227" s="233"/>
      <c r="I1227" s="233"/>
      <c r="J1227" s="770"/>
      <c r="K1227" s="233"/>
      <c r="L1227" s="233"/>
      <c r="M1227" s="233"/>
      <c r="N1227" s="2460"/>
      <c r="O1227" s="2460"/>
    </row>
    <row r="1228" spans="3:15">
      <c r="C1228" s="233"/>
      <c r="D1228" s="233"/>
      <c r="E1228" s="770"/>
      <c r="F1228" s="234"/>
      <c r="G1228" s="234"/>
      <c r="H1228" s="233"/>
      <c r="I1228" s="233"/>
      <c r="J1228" s="770"/>
      <c r="K1228" s="233"/>
      <c r="L1228" s="233"/>
      <c r="M1228" s="233"/>
      <c r="N1228" s="2460"/>
      <c r="O1228" s="2460"/>
    </row>
    <row r="1229" spans="3:15">
      <c r="C1229" s="233"/>
      <c r="D1229" s="233"/>
      <c r="E1229" s="770"/>
      <c r="F1229" s="234"/>
      <c r="G1229" s="234"/>
      <c r="H1229" s="233"/>
      <c r="I1229" s="233"/>
      <c r="J1229" s="770"/>
      <c r="K1229" s="233"/>
      <c r="L1229" s="233"/>
      <c r="M1229" s="233"/>
      <c r="N1229" s="2460"/>
      <c r="O1229" s="2460"/>
    </row>
    <row r="1230" spans="3:15">
      <c r="C1230" s="233"/>
      <c r="D1230" s="233"/>
      <c r="E1230" s="770"/>
      <c r="F1230" s="234"/>
      <c r="G1230" s="234"/>
      <c r="H1230" s="233"/>
      <c r="I1230" s="233"/>
      <c r="J1230" s="770"/>
      <c r="K1230" s="233"/>
      <c r="L1230" s="233"/>
      <c r="M1230" s="233"/>
      <c r="N1230" s="2460"/>
      <c r="O1230" s="2460"/>
    </row>
    <row r="1231" spans="3:15">
      <c r="C1231" s="233"/>
      <c r="D1231" s="233"/>
      <c r="E1231" s="770"/>
      <c r="F1231" s="234"/>
      <c r="G1231" s="234"/>
      <c r="H1231" s="233"/>
      <c r="I1231" s="233"/>
      <c r="J1231" s="770"/>
      <c r="K1231" s="233"/>
      <c r="L1231" s="233"/>
      <c r="M1231" s="233"/>
      <c r="N1231" s="2460"/>
      <c r="O1231" s="2460"/>
    </row>
    <row r="1232" spans="3:15">
      <c r="C1232" s="233"/>
      <c r="D1232" s="233"/>
      <c r="E1232" s="770"/>
      <c r="F1232" s="234"/>
      <c r="G1232" s="234"/>
      <c r="H1232" s="233"/>
      <c r="I1232" s="233"/>
      <c r="J1232" s="770"/>
      <c r="K1232" s="233"/>
      <c r="L1232" s="233"/>
      <c r="M1232" s="233"/>
      <c r="N1232" s="2460"/>
      <c r="O1232" s="2460"/>
    </row>
    <row r="1233" spans="3:15">
      <c r="C1233" s="233"/>
      <c r="D1233" s="233"/>
      <c r="E1233" s="770"/>
      <c r="F1233" s="234"/>
      <c r="G1233" s="234"/>
      <c r="H1233" s="233"/>
      <c r="I1233" s="233"/>
      <c r="J1233" s="770"/>
      <c r="K1233" s="233"/>
      <c r="L1233" s="233"/>
      <c r="M1233" s="233"/>
      <c r="N1233" s="2460"/>
      <c r="O1233" s="2460"/>
    </row>
    <row r="1234" spans="3:15">
      <c r="C1234" s="233"/>
      <c r="D1234" s="233"/>
      <c r="E1234" s="770"/>
      <c r="F1234" s="234"/>
      <c r="G1234" s="234"/>
      <c r="H1234" s="233"/>
      <c r="I1234" s="233"/>
      <c r="J1234" s="770"/>
      <c r="K1234" s="233"/>
      <c r="L1234" s="233"/>
      <c r="M1234" s="233"/>
      <c r="N1234" s="2460"/>
      <c r="O1234" s="2460"/>
    </row>
    <row r="1235" spans="3:15">
      <c r="C1235" s="233"/>
      <c r="D1235" s="233"/>
      <c r="E1235" s="770"/>
      <c r="F1235" s="234"/>
      <c r="G1235" s="234"/>
      <c r="H1235" s="233"/>
      <c r="I1235" s="233"/>
      <c r="J1235" s="770"/>
      <c r="K1235" s="233"/>
      <c r="L1235" s="233"/>
      <c r="M1235" s="233"/>
      <c r="N1235" s="2460"/>
      <c r="O1235" s="2460"/>
    </row>
    <row r="1236" spans="3:15">
      <c r="C1236" s="233"/>
      <c r="D1236" s="233"/>
      <c r="E1236" s="770"/>
      <c r="F1236" s="234"/>
      <c r="G1236" s="234"/>
      <c r="H1236" s="233"/>
      <c r="I1236" s="233"/>
      <c r="J1236" s="770"/>
      <c r="K1236" s="233"/>
      <c r="L1236" s="233"/>
      <c r="M1236" s="233"/>
      <c r="N1236" s="2460"/>
      <c r="O1236" s="2460"/>
    </row>
    <row r="1237" spans="3:15">
      <c r="C1237" s="233"/>
      <c r="D1237" s="233"/>
      <c r="E1237" s="770"/>
      <c r="F1237" s="234"/>
      <c r="G1237" s="234"/>
      <c r="H1237" s="233"/>
      <c r="I1237" s="233"/>
      <c r="J1237" s="770"/>
      <c r="K1237" s="233"/>
      <c r="L1237" s="233"/>
      <c r="M1237" s="233"/>
      <c r="N1237" s="2460"/>
      <c r="O1237" s="2460"/>
    </row>
    <row r="1238" spans="3:15">
      <c r="C1238" s="233"/>
      <c r="D1238" s="233"/>
      <c r="E1238" s="770"/>
      <c r="F1238" s="234"/>
      <c r="G1238" s="234"/>
      <c r="H1238" s="233"/>
      <c r="I1238" s="233"/>
      <c r="J1238" s="770"/>
      <c r="K1238" s="233"/>
      <c r="L1238" s="233"/>
      <c r="M1238" s="233"/>
      <c r="N1238" s="2460"/>
      <c r="O1238" s="2460"/>
    </row>
    <row r="1239" spans="3:15">
      <c r="C1239" s="233"/>
      <c r="D1239" s="233"/>
      <c r="E1239" s="770"/>
      <c r="F1239" s="234"/>
      <c r="G1239" s="234"/>
      <c r="H1239" s="233"/>
      <c r="I1239" s="233"/>
      <c r="J1239" s="770"/>
      <c r="K1239" s="233"/>
      <c r="L1239" s="233"/>
      <c r="M1239" s="233"/>
      <c r="N1239" s="2460"/>
      <c r="O1239" s="2460"/>
    </row>
    <row r="1240" spans="3:15">
      <c r="C1240" s="233"/>
      <c r="D1240" s="233"/>
      <c r="E1240" s="770"/>
      <c r="F1240" s="234"/>
      <c r="G1240" s="234"/>
      <c r="H1240" s="233"/>
      <c r="I1240" s="233"/>
      <c r="J1240" s="770"/>
      <c r="K1240" s="233"/>
      <c r="L1240" s="233"/>
      <c r="M1240" s="233"/>
      <c r="N1240" s="2460"/>
      <c r="O1240" s="2460"/>
    </row>
    <row r="1241" spans="3:15">
      <c r="C1241" s="233"/>
      <c r="D1241" s="233"/>
      <c r="E1241" s="770"/>
      <c r="F1241" s="234"/>
      <c r="G1241" s="234"/>
      <c r="H1241" s="233"/>
      <c r="I1241" s="233"/>
      <c r="J1241" s="770"/>
      <c r="K1241" s="233"/>
      <c r="L1241" s="233"/>
      <c r="M1241" s="233"/>
      <c r="N1241" s="2460"/>
      <c r="O1241" s="2460"/>
    </row>
    <row r="1242" spans="3:15">
      <c r="C1242" s="233"/>
      <c r="D1242" s="233"/>
      <c r="E1242" s="770"/>
      <c r="F1242" s="234"/>
      <c r="G1242" s="234"/>
      <c r="H1242" s="233"/>
      <c r="I1242" s="233"/>
      <c r="J1242" s="770"/>
      <c r="K1242" s="233"/>
      <c r="L1242" s="233"/>
      <c r="M1242" s="233"/>
      <c r="N1242" s="2460"/>
      <c r="O1242" s="2460"/>
    </row>
    <row r="1243" spans="3:15">
      <c r="C1243" s="233"/>
      <c r="D1243" s="233"/>
      <c r="E1243" s="770"/>
      <c r="F1243" s="234"/>
      <c r="G1243" s="234"/>
      <c r="H1243" s="233"/>
      <c r="I1243" s="233"/>
      <c r="J1243" s="770"/>
      <c r="K1243" s="233"/>
      <c r="L1243" s="233"/>
      <c r="M1243" s="233"/>
      <c r="N1243" s="2460"/>
      <c r="O1243" s="2460"/>
    </row>
    <row r="1244" spans="3:15">
      <c r="C1244" s="233"/>
      <c r="D1244" s="233"/>
      <c r="E1244" s="770"/>
      <c r="F1244" s="234"/>
      <c r="G1244" s="234"/>
      <c r="H1244" s="233"/>
      <c r="I1244" s="233"/>
      <c r="J1244" s="770"/>
      <c r="K1244" s="233"/>
      <c r="L1244" s="233"/>
      <c r="M1244" s="233"/>
      <c r="N1244" s="2460"/>
      <c r="O1244" s="2460"/>
    </row>
    <row r="1245" spans="3:15">
      <c r="C1245" s="233"/>
      <c r="D1245" s="233"/>
      <c r="E1245" s="770"/>
      <c r="F1245" s="234"/>
      <c r="G1245" s="234"/>
      <c r="H1245" s="233"/>
      <c r="I1245" s="233"/>
      <c r="J1245" s="770"/>
      <c r="K1245" s="233"/>
      <c r="L1245" s="233"/>
      <c r="M1245" s="233"/>
      <c r="N1245" s="2460"/>
      <c r="O1245" s="2460"/>
    </row>
    <row r="1246" spans="3:15">
      <c r="C1246" s="233"/>
      <c r="D1246" s="233"/>
      <c r="E1246" s="770"/>
      <c r="F1246" s="234"/>
      <c r="G1246" s="234"/>
      <c r="H1246" s="233"/>
      <c r="I1246" s="233"/>
      <c r="J1246" s="770"/>
      <c r="K1246" s="233"/>
      <c r="L1246" s="233"/>
      <c r="M1246" s="233"/>
      <c r="N1246" s="2460"/>
      <c r="O1246" s="2460"/>
    </row>
    <row r="1247" spans="3:15">
      <c r="C1247" s="233"/>
      <c r="D1247" s="233"/>
      <c r="E1247" s="770"/>
      <c r="F1247" s="234"/>
      <c r="G1247" s="234"/>
      <c r="H1247" s="233"/>
      <c r="I1247" s="233"/>
      <c r="J1247" s="770"/>
      <c r="K1247" s="233"/>
      <c r="L1247" s="233"/>
      <c r="M1247" s="233"/>
      <c r="N1247" s="2460"/>
      <c r="O1247" s="2460"/>
    </row>
    <row r="1248" spans="3:15">
      <c r="C1248" s="233"/>
      <c r="D1248" s="233"/>
      <c r="E1248" s="770"/>
      <c r="F1248" s="234"/>
      <c r="G1248" s="234"/>
      <c r="H1248" s="233"/>
      <c r="I1248" s="233"/>
      <c r="J1248" s="770"/>
      <c r="K1248" s="233"/>
      <c r="L1248" s="233"/>
      <c r="M1248" s="233"/>
      <c r="N1248" s="2460"/>
      <c r="O1248" s="2460"/>
    </row>
    <row r="1249" spans="3:15">
      <c r="C1249" s="233"/>
      <c r="D1249" s="233"/>
      <c r="E1249" s="770"/>
      <c r="F1249" s="234"/>
      <c r="G1249" s="234"/>
      <c r="H1249" s="233"/>
      <c r="I1249" s="233"/>
      <c r="J1249" s="770"/>
      <c r="K1249" s="233"/>
      <c r="L1249" s="233"/>
      <c r="M1249" s="233"/>
      <c r="N1249" s="2460"/>
      <c r="O1249" s="2460"/>
    </row>
    <row r="1250" spans="3:15">
      <c r="C1250" s="233"/>
      <c r="D1250" s="233"/>
      <c r="E1250" s="770"/>
      <c r="F1250" s="234"/>
      <c r="G1250" s="234"/>
      <c r="H1250" s="233"/>
      <c r="I1250" s="233"/>
      <c r="J1250" s="770"/>
      <c r="K1250" s="233"/>
      <c r="L1250" s="233"/>
      <c r="M1250" s="233"/>
      <c r="N1250" s="2460"/>
      <c r="O1250" s="2460"/>
    </row>
    <row r="1251" spans="3:15">
      <c r="C1251" s="233"/>
      <c r="D1251" s="233"/>
      <c r="E1251" s="770"/>
      <c r="F1251" s="234"/>
      <c r="G1251" s="234"/>
      <c r="H1251" s="233"/>
      <c r="I1251" s="233"/>
      <c r="J1251" s="770"/>
      <c r="K1251" s="233"/>
      <c r="L1251" s="233"/>
      <c r="M1251" s="233"/>
      <c r="N1251" s="2460"/>
      <c r="O1251" s="2460"/>
    </row>
    <row r="1252" spans="3:15">
      <c r="C1252" s="233"/>
      <c r="D1252" s="233"/>
      <c r="E1252" s="770"/>
      <c r="F1252" s="234"/>
      <c r="G1252" s="234"/>
      <c r="H1252" s="233"/>
      <c r="I1252" s="233"/>
      <c r="J1252" s="770"/>
      <c r="K1252" s="233"/>
      <c r="L1252" s="233"/>
      <c r="M1252" s="233"/>
      <c r="N1252" s="2460"/>
      <c r="O1252" s="2460"/>
    </row>
    <row r="1253" spans="3:15">
      <c r="C1253" s="233"/>
      <c r="D1253" s="233"/>
      <c r="E1253" s="770"/>
      <c r="F1253" s="234"/>
      <c r="G1253" s="234"/>
      <c r="H1253" s="233"/>
      <c r="I1253" s="233"/>
      <c r="J1253" s="770"/>
      <c r="K1253" s="233"/>
      <c r="L1253" s="233"/>
      <c r="M1253" s="233"/>
      <c r="N1253" s="2460"/>
      <c r="O1253" s="2460"/>
    </row>
    <row r="1254" spans="3:15">
      <c r="C1254" s="233"/>
      <c r="D1254" s="233"/>
      <c r="E1254" s="770"/>
      <c r="F1254" s="234"/>
      <c r="G1254" s="234"/>
      <c r="H1254" s="233"/>
      <c r="I1254" s="233"/>
      <c r="J1254" s="770"/>
      <c r="K1254" s="233"/>
      <c r="L1254" s="233"/>
      <c r="M1254" s="233"/>
      <c r="N1254" s="2460"/>
      <c r="O1254" s="2460"/>
    </row>
    <row r="1255" spans="3:15">
      <c r="C1255" s="233"/>
      <c r="D1255" s="233"/>
      <c r="E1255" s="770"/>
      <c r="F1255" s="234"/>
      <c r="G1255" s="234"/>
      <c r="H1255" s="233"/>
      <c r="I1255" s="233"/>
      <c r="J1255" s="770"/>
      <c r="K1255" s="233"/>
      <c r="L1255" s="233"/>
      <c r="M1255" s="233"/>
      <c r="N1255" s="2460"/>
      <c r="O1255" s="2460"/>
    </row>
    <row r="1256" spans="3:15">
      <c r="C1256" s="233"/>
      <c r="D1256" s="233"/>
      <c r="E1256" s="770"/>
      <c r="F1256" s="234"/>
      <c r="G1256" s="234"/>
      <c r="H1256" s="233"/>
      <c r="I1256" s="233"/>
      <c r="J1256" s="770"/>
      <c r="K1256" s="233"/>
      <c r="L1256" s="233"/>
      <c r="M1256" s="233"/>
      <c r="N1256" s="2460"/>
      <c r="O1256" s="2460"/>
    </row>
    <row r="1257" spans="3:15">
      <c r="C1257" s="233"/>
      <c r="D1257" s="233"/>
      <c r="E1257" s="770"/>
      <c r="F1257" s="234"/>
      <c r="G1257" s="234"/>
      <c r="H1257" s="233"/>
      <c r="I1257" s="233"/>
      <c r="J1257" s="770"/>
      <c r="K1257" s="233"/>
      <c r="L1257" s="233"/>
      <c r="M1257" s="233"/>
      <c r="N1257" s="2460"/>
      <c r="O1257" s="2460"/>
    </row>
    <row r="1258" spans="3:15">
      <c r="C1258" s="233"/>
      <c r="D1258" s="233"/>
      <c r="E1258" s="770"/>
      <c r="F1258" s="234"/>
      <c r="G1258" s="234"/>
      <c r="H1258" s="233"/>
      <c r="I1258" s="233"/>
      <c r="J1258" s="770"/>
      <c r="K1258" s="233"/>
      <c r="L1258" s="233"/>
      <c r="M1258" s="233"/>
      <c r="N1258" s="2460"/>
      <c r="O1258" s="2460"/>
    </row>
    <row r="1259" spans="3:15">
      <c r="C1259" s="233"/>
      <c r="D1259" s="233"/>
      <c r="E1259" s="770"/>
      <c r="F1259" s="234"/>
      <c r="G1259" s="234"/>
      <c r="H1259" s="233"/>
      <c r="I1259" s="233"/>
      <c r="J1259" s="770"/>
      <c r="K1259" s="233"/>
      <c r="L1259" s="233"/>
      <c r="M1259" s="233"/>
      <c r="N1259" s="2460"/>
      <c r="O1259" s="2460"/>
    </row>
    <row r="1260" spans="3:15">
      <c r="C1260" s="233"/>
      <c r="D1260" s="233"/>
      <c r="E1260" s="770"/>
      <c r="F1260" s="234"/>
      <c r="G1260" s="234"/>
      <c r="H1260" s="233"/>
      <c r="I1260" s="233"/>
      <c r="J1260" s="770"/>
      <c r="K1260" s="233"/>
      <c r="L1260" s="233"/>
      <c r="M1260" s="233"/>
      <c r="N1260" s="2460"/>
      <c r="O1260" s="2460"/>
    </row>
    <row r="1261" spans="3:15">
      <c r="C1261" s="233"/>
      <c r="D1261" s="233"/>
      <c r="E1261" s="770"/>
      <c r="F1261" s="234"/>
      <c r="G1261" s="234"/>
      <c r="H1261" s="233"/>
      <c r="I1261" s="233"/>
      <c r="J1261" s="770"/>
      <c r="K1261" s="233"/>
      <c r="L1261" s="233"/>
      <c r="M1261" s="233"/>
      <c r="N1261" s="2460"/>
      <c r="O1261" s="2460"/>
    </row>
    <row r="1262" spans="3:15">
      <c r="C1262" s="233"/>
      <c r="D1262" s="233"/>
      <c r="E1262" s="770"/>
      <c r="F1262" s="234"/>
      <c r="G1262" s="234"/>
      <c r="H1262" s="233"/>
      <c r="I1262" s="233"/>
      <c r="J1262" s="770"/>
      <c r="K1262" s="233"/>
      <c r="L1262" s="233"/>
      <c r="M1262" s="233"/>
      <c r="N1262" s="2460"/>
      <c r="O1262" s="2460"/>
    </row>
    <row r="1263" spans="3:15">
      <c r="C1263" s="233"/>
      <c r="D1263" s="233"/>
      <c r="E1263" s="770"/>
      <c r="F1263" s="234"/>
      <c r="G1263" s="234"/>
      <c r="H1263" s="233"/>
      <c r="I1263" s="233"/>
      <c r="J1263" s="770"/>
      <c r="K1263" s="233"/>
      <c r="L1263" s="233"/>
      <c r="M1263" s="233"/>
      <c r="N1263" s="2460"/>
      <c r="O1263" s="2460"/>
    </row>
    <row r="1264" spans="3:15">
      <c r="C1264" s="233"/>
      <c r="D1264" s="233"/>
      <c r="E1264" s="770"/>
      <c r="F1264" s="234"/>
      <c r="G1264" s="234"/>
      <c r="H1264" s="233"/>
      <c r="I1264" s="233"/>
      <c r="J1264" s="770"/>
      <c r="K1264" s="233"/>
      <c r="L1264" s="233"/>
      <c r="M1264" s="233"/>
      <c r="N1264" s="2460"/>
      <c r="O1264" s="2460"/>
    </row>
    <row r="1265" spans="3:15">
      <c r="C1265" s="233"/>
      <c r="D1265" s="233"/>
      <c r="E1265" s="770"/>
      <c r="F1265" s="234"/>
      <c r="G1265" s="234"/>
      <c r="H1265" s="233"/>
      <c r="I1265" s="233"/>
      <c r="J1265" s="770"/>
      <c r="K1265" s="233"/>
      <c r="L1265" s="233"/>
      <c r="M1265" s="233"/>
      <c r="N1265" s="2460"/>
      <c r="O1265" s="2460"/>
    </row>
    <row r="1266" spans="3:15">
      <c r="C1266" s="233"/>
      <c r="D1266" s="233"/>
      <c r="E1266" s="770"/>
      <c r="F1266" s="234"/>
      <c r="G1266" s="234"/>
      <c r="H1266" s="233"/>
      <c r="I1266" s="233"/>
      <c r="J1266" s="770"/>
      <c r="K1266" s="233"/>
      <c r="L1266" s="233"/>
      <c r="M1266" s="233"/>
      <c r="N1266" s="2460"/>
      <c r="O1266" s="2460"/>
    </row>
    <row r="1267" spans="3:15">
      <c r="C1267" s="233"/>
      <c r="D1267" s="233"/>
      <c r="E1267" s="770"/>
      <c r="F1267" s="234"/>
      <c r="G1267" s="234"/>
      <c r="H1267" s="233"/>
      <c r="I1267" s="233"/>
      <c r="J1267" s="770"/>
      <c r="K1267" s="233"/>
      <c r="L1267" s="233"/>
      <c r="M1267" s="233"/>
      <c r="N1267" s="2460"/>
      <c r="O1267" s="2460"/>
    </row>
    <row r="1268" spans="3:15">
      <c r="C1268" s="233"/>
      <c r="D1268" s="233"/>
      <c r="E1268" s="770"/>
      <c r="F1268" s="234"/>
      <c r="G1268" s="234"/>
      <c r="H1268" s="233"/>
      <c r="I1268" s="233"/>
      <c r="J1268" s="770"/>
      <c r="K1268" s="233"/>
      <c r="L1268" s="233"/>
      <c r="M1268" s="233"/>
      <c r="N1268" s="2460"/>
      <c r="O1268" s="2460"/>
    </row>
    <row r="1269" spans="3:15">
      <c r="C1269" s="233"/>
      <c r="D1269" s="233"/>
      <c r="E1269" s="770"/>
      <c r="F1269" s="234"/>
      <c r="G1269" s="234"/>
      <c r="H1269" s="233"/>
      <c r="I1269" s="233"/>
      <c r="J1269" s="770"/>
      <c r="K1269" s="233"/>
      <c r="L1269" s="233"/>
      <c r="M1269" s="233"/>
      <c r="N1269" s="2460"/>
      <c r="O1269" s="2460"/>
    </row>
    <row r="1270" spans="3:15">
      <c r="C1270" s="233"/>
      <c r="D1270" s="233"/>
      <c r="E1270" s="770"/>
      <c r="F1270" s="234"/>
      <c r="G1270" s="234"/>
      <c r="H1270" s="233"/>
      <c r="I1270" s="233"/>
      <c r="J1270" s="770"/>
      <c r="K1270" s="233"/>
      <c r="L1270" s="233"/>
      <c r="M1270" s="233"/>
      <c r="N1270" s="2460"/>
      <c r="O1270" s="2460"/>
    </row>
    <row r="1271" spans="3:15">
      <c r="C1271" s="233"/>
      <c r="D1271" s="233"/>
      <c r="E1271" s="770"/>
      <c r="F1271" s="234"/>
      <c r="G1271" s="234"/>
      <c r="H1271" s="233"/>
      <c r="I1271" s="233"/>
      <c r="J1271" s="770"/>
      <c r="K1271" s="233"/>
      <c r="L1271" s="233"/>
      <c r="M1271" s="233"/>
      <c r="N1271" s="2460"/>
      <c r="O1271" s="2460"/>
    </row>
    <row r="1272" spans="3:15">
      <c r="C1272" s="233"/>
      <c r="D1272" s="233"/>
      <c r="E1272" s="770"/>
      <c r="F1272" s="234"/>
      <c r="G1272" s="234"/>
      <c r="H1272" s="233"/>
      <c r="I1272" s="233"/>
      <c r="J1272" s="770"/>
      <c r="K1272" s="233"/>
      <c r="L1272" s="233"/>
      <c r="M1272" s="233"/>
      <c r="N1272" s="2460"/>
      <c r="O1272" s="2460"/>
    </row>
    <row r="1273" spans="3:15">
      <c r="C1273" s="233"/>
      <c r="D1273" s="233"/>
      <c r="E1273" s="770"/>
      <c r="F1273" s="234"/>
      <c r="G1273" s="234"/>
      <c r="H1273" s="233"/>
      <c r="I1273" s="233"/>
      <c r="J1273" s="770"/>
      <c r="K1273" s="233"/>
      <c r="L1273" s="233"/>
      <c r="M1273" s="233"/>
      <c r="N1273" s="2460"/>
      <c r="O1273" s="2460"/>
    </row>
    <row r="1274" spans="3:15">
      <c r="C1274" s="233"/>
      <c r="D1274" s="233"/>
      <c r="E1274" s="770"/>
      <c r="F1274" s="234"/>
      <c r="G1274" s="234"/>
      <c r="H1274" s="233"/>
      <c r="I1274" s="233"/>
      <c r="J1274" s="770"/>
      <c r="K1274" s="233"/>
      <c r="L1274" s="233"/>
      <c r="M1274" s="233"/>
      <c r="N1274" s="2460"/>
      <c r="O1274" s="2460"/>
    </row>
    <row r="1275" spans="3:15">
      <c r="C1275" s="233"/>
      <c r="D1275" s="233"/>
      <c r="E1275" s="770"/>
      <c r="F1275" s="234"/>
      <c r="G1275" s="234"/>
      <c r="H1275" s="233"/>
      <c r="I1275" s="233"/>
      <c r="J1275" s="770"/>
      <c r="K1275" s="233"/>
      <c r="L1275" s="233"/>
      <c r="M1275" s="233"/>
      <c r="N1275" s="2460"/>
      <c r="O1275" s="2460"/>
    </row>
    <row r="1276" spans="3:15">
      <c r="C1276" s="233"/>
      <c r="D1276" s="233"/>
      <c r="E1276" s="770"/>
      <c r="F1276" s="234"/>
      <c r="G1276" s="234"/>
      <c r="H1276" s="233"/>
      <c r="I1276" s="233"/>
      <c r="J1276" s="770"/>
      <c r="K1276" s="233"/>
      <c r="L1276" s="233"/>
      <c r="M1276" s="233"/>
      <c r="N1276" s="2460"/>
      <c r="O1276" s="2460"/>
    </row>
    <row r="1277" spans="3:15">
      <c r="C1277" s="233"/>
      <c r="D1277" s="233"/>
      <c r="E1277" s="770"/>
      <c r="F1277" s="234"/>
      <c r="G1277" s="234"/>
      <c r="H1277" s="233"/>
      <c r="I1277" s="233"/>
      <c r="J1277" s="770"/>
      <c r="K1277" s="233"/>
      <c r="L1277" s="233"/>
      <c r="M1277" s="233"/>
      <c r="N1277" s="2460"/>
      <c r="O1277" s="2460"/>
    </row>
    <row r="1278" spans="3:15">
      <c r="C1278" s="233"/>
      <c r="D1278" s="233"/>
      <c r="E1278" s="770"/>
      <c r="F1278" s="234"/>
      <c r="G1278" s="234"/>
      <c r="H1278" s="233"/>
      <c r="I1278" s="233"/>
      <c r="J1278" s="770"/>
      <c r="K1278" s="233"/>
      <c r="L1278" s="233"/>
      <c r="M1278" s="233"/>
      <c r="N1278" s="2460"/>
      <c r="O1278" s="2460"/>
    </row>
    <row r="1279" spans="3:15">
      <c r="C1279" s="233"/>
      <c r="D1279" s="233"/>
      <c r="E1279" s="770"/>
      <c r="F1279" s="234"/>
      <c r="G1279" s="234"/>
      <c r="H1279" s="233"/>
      <c r="I1279" s="233"/>
      <c r="J1279" s="770"/>
      <c r="K1279" s="233"/>
      <c r="L1279" s="233"/>
      <c r="M1279" s="233"/>
      <c r="N1279" s="2460"/>
      <c r="O1279" s="2460"/>
    </row>
    <row r="1280" spans="3:15">
      <c r="C1280" s="233"/>
      <c r="D1280" s="233"/>
      <c r="E1280" s="770"/>
      <c r="F1280" s="234"/>
      <c r="G1280" s="234"/>
      <c r="H1280" s="233"/>
      <c r="I1280" s="233"/>
      <c r="J1280" s="770"/>
      <c r="K1280" s="233"/>
      <c r="L1280" s="233"/>
      <c r="M1280" s="233"/>
      <c r="N1280" s="2460"/>
      <c r="O1280" s="2460"/>
    </row>
    <row r="1281" spans="3:15">
      <c r="C1281" s="233"/>
      <c r="D1281" s="233"/>
      <c r="E1281" s="770"/>
      <c r="F1281" s="234"/>
      <c r="G1281" s="234"/>
      <c r="H1281" s="233"/>
      <c r="I1281" s="233"/>
      <c r="J1281" s="770"/>
      <c r="K1281" s="233"/>
      <c r="L1281" s="233"/>
      <c r="M1281" s="233"/>
      <c r="N1281" s="2460"/>
      <c r="O1281" s="2460"/>
    </row>
    <row r="1282" spans="3:15">
      <c r="C1282" s="233"/>
      <c r="D1282" s="233"/>
      <c r="E1282" s="770"/>
      <c r="F1282" s="234"/>
      <c r="G1282" s="234"/>
      <c r="H1282" s="233"/>
      <c r="I1282" s="233"/>
      <c r="J1282" s="770"/>
      <c r="K1282" s="233"/>
      <c r="L1282" s="233"/>
      <c r="M1282" s="233"/>
      <c r="N1282" s="2460"/>
      <c r="O1282" s="2460"/>
    </row>
    <row r="1283" spans="3:15">
      <c r="C1283" s="233"/>
      <c r="D1283" s="233"/>
      <c r="E1283" s="770"/>
      <c r="F1283" s="234"/>
      <c r="G1283" s="234"/>
      <c r="H1283" s="233"/>
      <c r="I1283" s="233"/>
      <c r="J1283" s="770"/>
      <c r="K1283" s="233"/>
      <c r="L1283" s="233"/>
      <c r="M1283" s="233"/>
      <c r="N1283" s="2460"/>
      <c r="O1283" s="2460"/>
    </row>
    <row r="1284" spans="3:15">
      <c r="C1284" s="233"/>
      <c r="D1284" s="233"/>
      <c r="E1284" s="770"/>
      <c r="F1284" s="234"/>
      <c r="G1284" s="234"/>
      <c r="H1284" s="233"/>
      <c r="I1284" s="233"/>
      <c r="J1284" s="770"/>
      <c r="K1284" s="233"/>
      <c r="L1284" s="233"/>
      <c r="M1284" s="233"/>
      <c r="N1284" s="2460"/>
      <c r="O1284" s="2460"/>
    </row>
    <row r="1285" spans="3:15">
      <c r="C1285" s="233"/>
      <c r="D1285" s="233"/>
      <c r="E1285" s="770"/>
      <c r="F1285" s="234"/>
      <c r="G1285" s="234"/>
      <c r="H1285" s="233"/>
      <c r="I1285" s="233"/>
      <c r="J1285" s="770"/>
      <c r="K1285" s="233"/>
      <c r="L1285" s="233"/>
      <c r="M1285" s="233"/>
      <c r="N1285" s="2460"/>
      <c r="O1285" s="2460"/>
    </row>
    <row r="1286" spans="3:15">
      <c r="C1286" s="233"/>
      <c r="D1286" s="233"/>
      <c r="E1286" s="770"/>
      <c r="F1286" s="234"/>
      <c r="G1286" s="234"/>
      <c r="H1286" s="233"/>
      <c r="I1286" s="233"/>
      <c r="J1286" s="770"/>
      <c r="K1286" s="233"/>
      <c r="L1286" s="233"/>
      <c r="M1286" s="233"/>
      <c r="N1286" s="2460"/>
      <c r="O1286" s="2460"/>
    </row>
    <row r="1287" spans="3:15">
      <c r="C1287" s="233"/>
      <c r="D1287" s="233"/>
      <c r="E1287" s="770"/>
      <c r="F1287" s="234"/>
      <c r="G1287" s="234"/>
      <c r="H1287" s="233"/>
      <c r="I1287" s="233"/>
      <c r="J1287" s="770"/>
      <c r="K1287" s="233"/>
      <c r="L1287" s="233"/>
      <c r="M1287" s="233"/>
      <c r="N1287" s="2460"/>
      <c r="O1287" s="2460"/>
    </row>
    <row r="1288" spans="3:15">
      <c r="C1288" s="233"/>
      <c r="D1288" s="233"/>
      <c r="E1288" s="770"/>
      <c r="F1288" s="234"/>
      <c r="G1288" s="234"/>
      <c r="H1288" s="233"/>
      <c r="I1288" s="233"/>
      <c r="J1288" s="770"/>
      <c r="K1288" s="233"/>
      <c r="L1288" s="233"/>
      <c r="M1288" s="233"/>
      <c r="N1288" s="2460"/>
      <c r="O1288" s="2460"/>
    </row>
    <row r="1289" spans="3:15">
      <c r="C1289" s="233"/>
      <c r="D1289" s="233"/>
      <c r="E1289" s="770"/>
      <c r="F1289" s="234"/>
      <c r="G1289" s="234"/>
      <c r="H1289" s="233"/>
      <c r="I1289" s="233"/>
      <c r="J1289" s="770"/>
      <c r="K1289" s="233"/>
      <c r="L1289" s="233"/>
      <c r="M1289" s="233"/>
      <c r="N1289" s="2460"/>
      <c r="O1289" s="2460"/>
    </row>
    <row r="1290" spans="3:15">
      <c r="C1290" s="233"/>
      <c r="D1290" s="233"/>
      <c r="E1290" s="770"/>
      <c r="F1290" s="234"/>
      <c r="G1290" s="234"/>
      <c r="H1290" s="233"/>
      <c r="I1290" s="233"/>
      <c r="J1290" s="770"/>
      <c r="K1290" s="233"/>
      <c r="L1290" s="233"/>
      <c r="M1290" s="233"/>
      <c r="N1290" s="2460"/>
      <c r="O1290" s="2460"/>
    </row>
    <row r="1291" spans="3:15">
      <c r="C1291" s="233"/>
      <c r="D1291" s="233"/>
      <c r="E1291" s="770"/>
      <c r="F1291" s="234"/>
      <c r="G1291" s="234"/>
      <c r="H1291" s="233"/>
      <c r="I1291" s="233"/>
      <c r="J1291" s="770"/>
      <c r="K1291" s="233"/>
      <c r="L1291" s="233"/>
      <c r="M1291" s="233"/>
      <c r="N1291" s="2460"/>
      <c r="O1291" s="2460"/>
    </row>
    <row r="1292" spans="3:15">
      <c r="C1292" s="233"/>
      <c r="D1292" s="233"/>
      <c r="E1292" s="770"/>
      <c r="F1292" s="234"/>
      <c r="G1292" s="234"/>
      <c r="H1292" s="233"/>
      <c r="I1292" s="233"/>
      <c r="J1292" s="770"/>
      <c r="K1292" s="233"/>
      <c r="L1292" s="233"/>
      <c r="M1292" s="233"/>
      <c r="N1292" s="2460"/>
      <c r="O1292" s="2460"/>
    </row>
    <row r="1293" spans="3:15">
      <c r="C1293" s="233"/>
      <c r="D1293" s="233"/>
      <c r="E1293" s="770"/>
      <c r="F1293" s="234"/>
      <c r="G1293" s="234"/>
      <c r="H1293" s="233"/>
      <c r="I1293" s="233"/>
      <c r="J1293" s="770"/>
      <c r="K1293" s="233"/>
      <c r="L1293" s="233"/>
      <c r="M1293" s="233"/>
      <c r="N1293" s="2460"/>
      <c r="O1293" s="2460"/>
    </row>
    <row r="1294" spans="3:15">
      <c r="C1294" s="233"/>
      <c r="D1294" s="233"/>
      <c r="E1294" s="770"/>
      <c r="F1294" s="234"/>
      <c r="G1294" s="234"/>
      <c r="H1294" s="233"/>
      <c r="I1294" s="233"/>
      <c r="J1294" s="770"/>
      <c r="K1294" s="233"/>
      <c r="L1294" s="233"/>
      <c r="M1294" s="233"/>
      <c r="N1294" s="2460"/>
      <c r="O1294" s="2460"/>
    </row>
    <row r="1295" spans="3:15">
      <c r="C1295" s="233"/>
      <c r="D1295" s="233"/>
      <c r="E1295" s="770"/>
      <c r="F1295" s="234"/>
      <c r="G1295" s="234"/>
      <c r="H1295" s="233"/>
      <c r="I1295" s="233"/>
      <c r="J1295" s="770"/>
      <c r="K1295" s="233"/>
      <c r="L1295" s="233"/>
      <c r="M1295" s="233"/>
      <c r="N1295" s="2460"/>
      <c r="O1295" s="2460"/>
    </row>
    <row r="1296" spans="3:15">
      <c r="C1296" s="233"/>
      <c r="D1296" s="233"/>
      <c r="E1296" s="770"/>
      <c r="F1296" s="234"/>
      <c r="G1296" s="234"/>
      <c r="H1296" s="233"/>
      <c r="I1296" s="233"/>
      <c r="J1296" s="770"/>
      <c r="K1296" s="233"/>
      <c r="L1296" s="233"/>
      <c r="M1296" s="233"/>
      <c r="N1296" s="2460"/>
      <c r="O1296" s="2460"/>
    </row>
    <row r="1297" spans="3:15">
      <c r="C1297" s="233"/>
      <c r="D1297" s="233"/>
      <c r="E1297" s="770"/>
      <c r="F1297" s="234"/>
      <c r="G1297" s="234"/>
      <c r="H1297" s="233"/>
      <c r="I1297" s="233"/>
      <c r="J1297" s="770"/>
      <c r="K1297" s="233"/>
      <c r="L1297" s="233"/>
      <c r="M1297" s="233"/>
      <c r="N1297" s="2460"/>
      <c r="O1297" s="2460"/>
    </row>
    <row r="1298" spans="3:15">
      <c r="C1298" s="233"/>
      <c r="D1298" s="233"/>
      <c r="E1298" s="770"/>
      <c r="F1298" s="234"/>
      <c r="G1298" s="234"/>
      <c r="H1298" s="233"/>
      <c r="I1298" s="233"/>
      <c r="J1298" s="770"/>
      <c r="K1298" s="233"/>
      <c r="L1298" s="233"/>
      <c r="M1298" s="233"/>
      <c r="N1298" s="2460"/>
      <c r="O1298" s="2460"/>
    </row>
    <row r="1299" spans="3:15">
      <c r="C1299" s="233"/>
      <c r="D1299" s="233"/>
      <c r="E1299" s="770"/>
      <c r="F1299" s="234"/>
      <c r="G1299" s="234"/>
      <c r="H1299" s="233"/>
      <c r="I1299" s="233"/>
      <c r="J1299" s="770"/>
      <c r="K1299" s="233"/>
      <c r="L1299" s="233"/>
      <c r="M1299" s="233"/>
      <c r="N1299" s="2460"/>
      <c r="O1299" s="2460"/>
    </row>
    <row r="1300" spans="3:15">
      <c r="C1300" s="233"/>
      <c r="D1300" s="233"/>
      <c r="E1300" s="770"/>
      <c r="F1300" s="234"/>
      <c r="G1300" s="234"/>
      <c r="H1300" s="233"/>
      <c r="I1300" s="233"/>
      <c r="J1300" s="770"/>
      <c r="K1300" s="233"/>
      <c r="L1300" s="233"/>
      <c r="M1300" s="233"/>
      <c r="N1300" s="2460"/>
      <c r="O1300" s="2460"/>
    </row>
    <row r="1301" spans="3:15">
      <c r="C1301" s="233"/>
      <c r="D1301" s="233"/>
      <c r="E1301" s="770"/>
      <c r="F1301" s="234"/>
      <c r="G1301" s="234"/>
      <c r="H1301" s="233"/>
      <c r="I1301" s="233"/>
      <c r="J1301" s="770"/>
      <c r="K1301" s="233"/>
      <c r="L1301" s="233"/>
      <c r="M1301" s="233"/>
      <c r="N1301" s="2460"/>
      <c r="O1301" s="2460"/>
    </row>
    <row r="1302" spans="3:15">
      <c r="C1302" s="233"/>
      <c r="D1302" s="233"/>
      <c r="E1302" s="770"/>
      <c r="F1302" s="234"/>
      <c r="G1302" s="234"/>
      <c r="H1302" s="233"/>
      <c r="I1302" s="233"/>
      <c r="J1302" s="770"/>
      <c r="K1302" s="233"/>
      <c r="L1302" s="233"/>
      <c r="M1302" s="233"/>
      <c r="N1302" s="2460"/>
      <c r="O1302" s="2460"/>
    </row>
    <row r="1303" spans="3:15">
      <c r="C1303" s="233"/>
      <c r="D1303" s="233"/>
      <c r="E1303" s="770"/>
      <c r="F1303" s="234"/>
      <c r="G1303" s="234"/>
      <c r="H1303" s="233"/>
      <c r="I1303" s="233"/>
      <c r="J1303" s="770"/>
      <c r="K1303" s="233"/>
      <c r="L1303" s="233"/>
      <c r="M1303" s="233"/>
      <c r="N1303" s="2460"/>
      <c r="O1303" s="2460"/>
    </row>
    <row r="1304" spans="3:15">
      <c r="C1304" s="233"/>
      <c r="D1304" s="233"/>
      <c r="E1304" s="770"/>
      <c r="F1304" s="234"/>
      <c r="G1304" s="234"/>
      <c r="H1304" s="233"/>
      <c r="I1304" s="233"/>
      <c r="J1304" s="770"/>
      <c r="K1304" s="233"/>
      <c r="L1304" s="233"/>
      <c r="M1304" s="233"/>
      <c r="N1304" s="2460"/>
      <c r="O1304" s="2460"/>
    </row>
    <row r="1305" spans="3:15">
      <c r="C1305" s="233"/>
      <c r="D1305" s="233"/>
      <c r="E1305" s="770"/>
      <c r="F1305" s="234"/>
      <c r="G1305" s="234"/>
      <c r="H1305" s="233"/>
      <c r="I1305" s="233"/>
      <c r="J1305" s="770"/>
      <c r="K1305" s="233"/>
      <c r="L1305" s="233"/>
      <c r="M1305" s="233"/>
      <c r="N1305" s="2460"/>
      <c r="O1305" s="2460"/>
    </row>
    <row r="1306" spans="3:15">
      <c r="C1306" s="233"/>
      <c r="D1306" s="233"/>
      <c r="E1306" s="770"/>
      <c r="F1306" s="234"/>
      <c r="G1306" s="234"/>
      <c r="H1306" s="233"/>
      <c r="I1306" s="233"/>
      <c r="J1306" s="770"/>
      <c r="K1306" s="233"/>
      <c r="L1306" s="233"/>
      <c r="M1306" s="233"/>
      <c r="N1306" s="2460"/>
      <c r="O1306" s="2460"/>
    </row>
    <row r="1307" spans="3:15">
      <c r="C1307" s="233"/>
      <c r="D1307" s="233"/>
      <c r="E1307" s="770"/>
      <c r="F1307" s="234"/>
      <c r="G1307" s="234"/>
      <c r="H1307" s="233"/>
      <c r="I1307" s="233"/>
      <c r="J1307" s="770"/>
      <c r="K1307" s="233"/>
      <c r="L1307" s="233"/>
      <c r="M1307" s="233"/>
      <c r="N1307" s="2460"/>
      <c r="O1307" s="2460"/>
    </row>
    <row r="1308" spans="3:15">
      <c r="C1308" s="233"/>
      <c r="D1308" s="233"/>
      <c r="E1308" s="770"/>
      <c r="F1308" s="234"/>
      <c r="G1308" s="234"/>
      <c r="H1308" s="233"/>
      <c r="I1308" s="233"/>
      <c r="J1308" s="770"/>
      <c r="K1308" s="233"/>
      <c r="L1308" s="233"/>
      <c r="M1308" s="233"/>
      <c r="N1308" s="2460"/>
      <c r="O1308" s="2460"/>
    </row>
    <row r="1309" spans="3:15">
      <c r="C1309" s="233"/>
      <c r="D1309" s="233"/>
      <c r="E1309" s="770"/>
      <c r="F1309" s="234"/>
      <c r="G1309" s="234"/>
      <c r="H1309" s="233"/>
      <c r="I1309" s="233"/>
      <c r="J1309" s="770"/>
      <c r="K1309" s="233"/>
      <c r="L1309" s="233"/>
      <c r="M1309" s="233"/>
      <c r="N1309" s="2460"/>
      <c r="O1309" s="2460"/>
    </row>
    <row r="1310" spans="3:15">
      <c r="C1310" s="233"/>
      <c r="D1310" s="233"/>
      <c r="E1310" s="770"/>
      <c r="F1310" s="234"/>
      <c r="G1310" s="234"/>
      <c r="H1310" s="233"/>
      <c r="I1310" s="233"/>
      <c r="J1310" s="770"/>
      <c r="K1310" s="233"/>
      <c r="L1310" s="233"/>
      <c r="M1310" s="233"/>
      <c r="N1310" s="2460"/>
      <c r="O1310" s="2460"/>
    </row>
    <row r="1311" spans="3:15">
      <c r="C1311" s="233"/>
      <c r="D1311" s="233"/>
      <c r="E1311" s="770"/>
      <c r="F1311" s="234"/>
      <c r="G1311" s="234"/>
      <c r="H1311" s="233"/>
      <c r="I1311" s="233"/>
      <c r="J1311" s="770"/>
      <c r="K1311" s="233"/>
      <c r="L1311" s="233"/>
      <c r="M1311" s="233"/>
      <c r="N1311" s="2460"/>
      <c r="O1311" s="2460"/>
    </row>
    <row r="1312" spans="3:15">
      <c r="C1312" s="233"/>
      <c r="D1312" s="233"/>
      <c r="E1312" s="770"/>
      <c r="F1312" s="234"/>
      <c r="G1312" s="234"/>
      <c r="H1312" s="233"/>
      <c r="I1312" s="233"/>
      <c r="J1312" s="770"/>
      <c r="K1312" s="233"/>
      <c r="L1312" s="233"/>
      <c r="M1312" s="233"/>
      <c r="N1312" s="2460"/>
      <c r="O1312" s="2460"/>
    </row>
    <row r="1313" spans="3:15">
      <c r="C1313" s="233"/>
      <c r="D1313" s="233"/>
      <c r="E1313" s="770"/>
      <c r="F1313" s="234"/>
      <c r="G1313" s="234"/>
      <c r="H1313" s="233"/>
      <c r="I1313" s="233"/>
      <c r="J1313" s="770"/>
      <c r="K1313" s="233"/>
      <c r="L1313" s="233"/>
      <c r="M1313" s="233"/>
      <c r="N1313" s="2460"/>
      <c r="O1313" s="2460"/>
    </row>
    <row r="1314" spans="3:15">
      <c r="C1314" s="233"/>
      <c r="D1314" s="233"/>
      <c r="E1314" s="770"/>
      <c r="F1314" s="234"/>
      <c r="G1314" s="234"/>
      <c r="H1314" s="233"/>
      <c r="I1314" s="233"/>
      <c r="J1314" s="770"/>
      <c r="K1314" s="233"/>
      <c r="L1314" s="233"/>
      <c r="M1314" s="233"/>
      <c r="N1314" s="2460"/>
      <c r="O1314" s="2460"/>
    </row>
    <row r="1315" spans="3:15">
      <c r="C1315" s="233"/>
      <c r="D1315" s="233"/>
      <c r="E1315" s="770"/>
      <c r="F1315" s="234"/>
      <c r="G1315" s="234"/>
      <c r="H1315" s="233"/>
      <c r="I1315" s="233"/>
      <c r="J1315" s="770"/>
      <c r="K1315" s="233"/>
      <c r="L1315" s="233"/>
      <c r="M1315" s="233"/>
      <c r="N1315" s="2460"/>
      <c r="O1315" s="2460"/>
    </row>
    <row r="1316" spans="3:15">
      <c r="C1316" s="233"/>
      <c r="D1316" s="233"/>
      <c r="E1316" s="770"/>
      <c r="F1316" s="234"/>
      <c r="G1316" s="234"/>
      <c r="H1316" s="233"/>
      <c r="I1316" s="233"/>
      <c r="J1316" s="770"/>
      <c r="K1316" s="233"/>
      <c r="L1316" s="233"/>
      <c r="M1316" s="233"/>
      <c r="N1316" s="2460"/>
      <c r="O1316" s="2460"/>
    </row>
    <row r="1317" spans="3:15">
      <c r="C1317" s="233"/>
      <c r="D1317" s="233"/>
      <c r="E1317" s="770"/>
      <c r="F1317" s="234"/>
      <c r="G1317" s="234"/>
      <c r="H1317" s="233"/>
      <c r="I1317" s="233"/>
      <c r="J1317" s="770"/>
      <c r="K1317" s="233"/>
      <c r="L1317" s="233"/>
      <c r="M1317" s="233"/>
      <c r="N1317" s="2460"/>
      <c r="O1317" s="2460"/>
    </row>
    <row r="1318" spans="3:15">
      <c r="C1318" s="233"/>
      <c r="D1318" s="233"/>
      <c r="E1318" s="770"/>
      <c r="F1318" s="234"/>
      <c r="G1318" s="234"/>
      <c r="H1318" s="233"/>
      <c r="I1318" s="233"/>
      <c r="J1318" s="770"/>
      <c r="K1318" s="233"/>
      <c r="L1318" s="233"/>
      <c r="M1318" s="233"/>
      <c r="N1318" s="2460"/>
      <c r="O1318" s="2460"/>
    </row>
    <row r="1319" spans="3:15">
      <c r="C1319" s="233"/>
      <c r="D1319" s="233"/>
      <c r="E1319" s="770"/>
      <c r="F1319" s="234"/>
      <c r="G1319" s="234"/>
      <c r="H1319" s="233"/>
      <c r="I1319" s="233"/>
      <c r="J1319" s="770"/>
      <c r="K1319" s="233"/>
      <c r="L1319" s="233"/>
      <c r="M1319" s="233"/>
      <c r="N1319" s="2460"/>
      <c r="O1319" s="2460"/>
    </row>
    <row r="1320" spans="3:15">
      <c r="C1320" s="233"/>
      <c r="D1320" s="233"/>
      <c r="E1320" s="770"/>
      <c r="F1320" s="234"/>
      <c r="G1320" s="234"/>
      <c r="H1320" s="233"/>
      <c r="I1320" s="233"/>
      <c r="J1320" s="770"/>
      <c r="K1320" s="233"/>
      <c r="L1320" s="233"/>
      <c r="M1320" s="233"/>
      <c r="N1320" s="2460"/>
      <c r="O1320" s="2460"/>
    </row>
    <row r="1321" spans="3:15">
      <c r="C1321" s="233"/>
      <c r="D1321" s="233"/>
      <c r="E1321" s="770"/>
      <c r="F1321" s="234"/>
      <c r="G1321" s="234"/>
      <c r="H1321" s="233"/>
      <c r="I1321" s="233"/>
      <c r="J1321" s="770"/>
      <c r="K1321" s="233"/>
      <c r="L1321" s="233"/>
      <c r="M1321" s="233"/>
      <c r="N1321" s="2460"/>
      <c r="O1321" s="2460"/>
    </row>
    <row r="1322" spans="3:15">
      <c r="C1322" s="233"/>
      <c r="D1322" s="233"/>
      <c r="E1322" s="770"/>
      <c r="F1322" s="234"/>
      <c r="G1322" s="234"/>
      <c r="H1322" s="233"/>
      <c r="I1322" s="233"/>
      <c r="J1322" s="770"/>
      <c r="K1322" s="233"/>
      <c r="L1322" s="233"/>
      <c r="M1322" s="233"/>
      <c r="N1322" s="2460"/>
      <c r="O1322" s="2460"/>
    </row>
    <row r="1323" spans="3:15">
      <c r="C1323" s="233"/>
      <c r="D1323" s="233"/>
      <c r="E1323" s="770"/>
      <c r="F1323" s="234"/>
      <c r="G1323" s="234"/>
      <c r="H1323" s="233"/>
      <c r="I1323" s="233"/>
      <c r="J1323" s="770"/>
      <c r="K1323" s="233"/>
      <c r="L1323" s="233"/>
      <c r="M1323" s="233"/>
      <c r="N1323" s="2460"/>
      <c r="O1323" s="2460"/>
    </row>
    <row r="1324" spans="3:15">
      <c r="C1324" s="233"/>
      <c r="D1324" s="233"/>
      <c r="E1324" s="770"/>
      <c r="F1324" s="234"/>
      <c r="G1324" s="234"/>
      <c r="H1324" s="233"/>
      <c r="I1324" s="233"/>
      <c r="J1324" s="770"/>
      <c r="K1324" s="233"/>
      <c r="L1324" s="233"/>
      <c r="M1324" s="233"/>
      <c r="N1324" s="2460"/>
      <c r="O1324" s="2460"/>
    </row>
    <row r="1325" spans="3:15">
      <c r="C1325" s="233"/>
      <c r="D1325" s="233"/>
      <c r="E1325" s="770"/>
      <c r="F1325" s="234"/>
      <c r="G1325" s="234"/>
      <c r="H1325" s="233"/>
      <c r="I1325" s="233"/>
      <c r="J1325" s="770"/>
      <c r="K1325" s="233"/>
      <c r="L1325" s="233"/>
      <c r="M1325" s="233"/>
      <c r="N1325" s="2460"/>
      <c r="O1325" s="2460"/>
    </row>
    <row r="1326" spans="3:15">
      <c r="C1326" s="233"/>
      <c r="D1326" s="233"/>
      <c r="E1326" s="770"/>
      <c r="F1326" s="234"/>
      <c r="G1326" s="234"/>
      <c r="H1326" s="233"/>
      <c r="I1326" s="233"/>
      <c r="J1326" s="770"/>
      <c r="K1326" s="233"/>
      <c r="L1326" s="233"/>
      <c r="M1326" s="233"/>
      <c r="N1326" s="2460"/>
      <c r="O1326" s="2460"/>
    </row>
    <row r="1327" spans="3:15">
      <c r="C1327" s="233"/>
      <c r="D1327" s="233"/>
      <c r="E1327" s="770"/>
      <c r="F1327" s="234"/>
      <c r="G1327" s="234"/>
      <c r="H1327" s="233"/>
      <c r="I1327" s="233"/>
      <c r="J1327" s="770"/>
      <c r="K1327" s="233"/>
      <c r="L1327" s="233"/>
      <c r="M1327" s="233"/>
      <c r="N1327" s="2460"/>
      <c r="O1327" s="2460"/>
    </row>
    <row r="1328" spans="3:15">
      <c r="C1328" s="233"/>
      <c r="D1328" s="233"/>
      <c r="E1328" s="770"/>
      <c r="F1328" s="234"/>
      <c r="G1328" s="234"/>
      <c r="H1328" s="233"/>
      <c r="I1328" s="233"/>
      <c r="J1328" s="770"/>
      <c r="K1328" s="233"/>
      <c r="L1328" s="233"/>
      <c r="M1328" s="233"/>
      <c r="N1328" s="2460"/>
      <c r="O1328" s="2460"/>
    </row>
    <row r="1329" spans="3:15">
      <c r="C1329" s="233"/>
      <c r="D1329" s="233"/>
      <c r="E1329" s="770"/>
      <c r="F1329" s="234"/>
      <c r="G1329" s="234"/>
      <c r="H1329" s="233"/>
      <c r="I1329" s="233"/>
      <c r="J1329" s="770"/>
      <c r="K1329" s="233"/>
      <c r="L1329" s="233"/>
      <c r="M1329" s="233"/>
      <c r="N1329" s="2460"/>
      <c r="O1329" s="2460"/>
    </row>
    <row r="1330" spans="3:15">
      <c r="C1330" s="233"/>
      <c r="D1330" s="233"/>
      <c r="E1330" s="770"/>
      <c r="F1330" s="234"/>
      <c r="G1330" s="234"/>
      <c r="H1330" s="233"/>
      <c r="I1330" s="233"/>
      <c r="J1330" s="770"/>
      <c r="K1330" s="233"/>
      <c r="L1330" s="233"/>
      <c r="M1330" s="233"/>
      <c r="N1330" s="2460"/>
      <c r="O1330" s="2460"/>
    </row>
    <row r="1331" spans="3:15">
      <c r="C1331" s="233"/>
      <c r="D1331" s="233"/>
      <c r="E1331" s="770"/>
      <c r="F1331" s="234"/>
      <c r="G1331" s="234"/>
      <c r="H1331" s="233"/>
      <c r="I1331" s="233"/>
      <c r="J1331" s="770"/>
      <c r="K1331" s="233"/>
      <c r="L1331" s="233"/>
      <c r="M1331" s="233"/>
      <c r="N1331" s="2460"/>
      <c r="O1331" s="2460"/>
    </row>
    <row r="1332" spans="3:15">
      <c r="C1332" s="233"/>
      <c r="D1332" s="233"/>
      <c r="E1332" s="770"/>
      <c r="F1332" s="234"/>
      <c r="G1332" s="234"/>
      <c r="H1332" s="233"/>
      <c r="I1332" s="233"/>
      <c r="J1332" s="770"/>
      <c r="K1332" s="233"/>
      <c r="L1332" s="233"/>
      <c r="M1332" s="233"/>
      <c r="N1332" s="2460"/>
      <c r="O1332" s="2460"/>
    </row>
    <row r="1333" spans="3:15">
      <c r="C1333" s="233"/>
      <c r="D1333" s="233"/>
      <c r="E1333" s="770"/>
      <c r="F1333" s="234"/>
      <c r="G1333" s="234"/>
      <c r="H1333" s="233"/>
      <c r="I1333" s="233"/>
      <c r="J1333" s="770"/>
      <c r="K1333" s="233"/>
      <c r="L1333" s="233"/>
      <c r="M1333" s="233"/>
      <c r="N1333" s="2460"/>
      <c r="O1333" s="2460"/>
    </row>
    <row r="1334" spans="3:15">
      <c r="C1334" s="233"/>
      <c r="D1334" s="233"/>
      <c r="E1334" s="770"/>
      <c r="F1334" s="234"/>
      <c r="G1334" s="234"/>
      <c r="H1334" s="233"/>
      <c r="I1334" s="233"/>
      <c r="J1334" s="770"/>
      <c r="K1334" s="233"/>
      <c r="L1334" s="233"/>
      <c r="M1334" s="233"/>
      <c r="N1334" s="2460"/>
      <c r="O1334" s="2460"/>
    </row>
    <row r="1335" spans="3:15">
      <c r="C1335" s="233"/>
      <c r="D1335" s="233"/>
      <c r="E1335" s="770"/>
      <c r="F1335" s="234"/>
      <c r="G1335" s="234"/>
      <c r="H1335" s="233"/>
      <c r="I1335" s="233"/>
      <c r="J1335" s="770"/>
      <c r="K1335" s="233"/>
      <c r="L1335" s="233"/>
      <c r="M1335" s="233"/>
      <c r="N1335" s="2460"/>
      <c r="O1335" s="2460"/>
    </row>
    <row r="1336" spans="3:15">
      <c r="C1336" s="233"/>
      <c r="D1336" s="233"/>
      <c r="E1336" s="770"/>
      <c r="F1336" s="234"/>
      <c r="G1336" s="234"/>
      <c r="H1336" s="233"/>
      <c r="I1336" s="233"/>
      <c r="J1336" s="770"/>
      <c r="K1336" s="233"/>
      <c r="L1336" s="233"/>
      <c r="M1336" s="233"/>
      <c r="N1336" s="2460"/>
      <c r="O1336" s="2460"/>
    </row>
    <row r="1337" spans="3:15">
      <c r="C1337" s="233"/>
      <c r="D1337" s="233"/>
      <c r="E1337" s="770"/>
      <c r="F1337" s="234"/>
      <c r="G1337" s="234"/>
      <c r="H1337" s="233"/>
      <c r="I1337" s="233"/>
      <c r="J1337" s="770"/>
      <c r="K1337" s="233"/>
      <c r="L1337" s="233"/>
      <c r="M1337" s="233"/>
      <c r="N1337" s="2460"/>
      <c r="O1337" s="2460"/>
    </row>
    <row r="1338" spans="3:15">
      <c r="C1338" s="233"/>
      <c r="D1338" s="233"/>
      <c r="E1338" s="770"/>
      <c r="F1338" s="234"/>
      <c r="G1338" s="234"/>
      <c r="H1338" s="233"/>
      <c r="I1338" s="233"/>
      <c r="J1338" s="770"/>
      <c r="K1338" s="233"/>
      <c r="L1338" s="233"/>
      <c r="M1338" s="233"/>
      <c r="N1338" s="2460"/>
      <c r="O1338" s="2460"/>
    </row>
    <row r="1339" spans="3:15">
      <c r="C1339" s="233"/>
      <c r="D1339" s="233"/>
      <c r="E1339" s="770"/>
      <c r="F1339" s="234"/>
      <c r="G1339" s="234"/>
      <c r="H1339" s="233"/>
      <c r="I1339" s="233"/>
      <c r="J1339" s="770"/>
      <c r="K1339" s="233"/>
      <c r="L1339" s="233"/>
      <c r="M1339" s="233"/>
      <c r="N1339" s="2460"/>
      <c r="O1339" s="2460"/>
    </row>
    <row r="1340" spans="3:15">
      <c r="C1340" s="233"/>
      <c r="D1340" s="233"/>
      <c r="E1340" s="770"/>
      <c r="F1340" s="234"/>
      <c r="G1340" s="234"/>
      <c r="H1340" s="233"/>
      <c r="I1340" s="233"/>
      <c r="J1340" s="770"/>
      <c r="K1340" s="233"/>
      <c r="L1340" s="233"/>
      <c r="M1340" s="233"/>
      <c r="N1340" s="2460"/>
      <c r="O1340" s="2460"/>
    </row>
    <row r="1341" spans="3:15">
      <c r="C1341" s="233"/>
      <c r="D1341" s="233"/>
      <c r="E1341" s="770"/>
      <c r="F1341" s="234"/>
      <c r="G1341" s="234"/>
      <c r="H1341" s="233"/>
      <c r="I1341" s="233"/>
      <c r="J1341" s="770"/>
      <c r="K1341" s="233"/>
      <c r="L1341" s="233"/>
      <c r="M1341" s="233"/>
      <c r="N1341" s="2460"/>
      <c r="O1341" s="2460"/>
    </row>
    <row r="1342" spans="3:15">
      <c r="C1342" s="233"/>
      <c r="D1342" s="233"/>
      <c r="E1342" s="770"/>
      <c r="F1342" s="234"/>
      <c r="G1342" s="234"/>
      <c r="H1342" s="233"/>
      <c r="I1342" s="233"/>
      <c r="J1342" s="770"/>
      <c r="K1342" s="233"/>
      <c r="L1342" s="233"/>
      <c r="M1342" s="233"/>
      <c r="N1342" s="2460"/>
      <c r="O1342" s="2460"/>
    </row>
    <row r="1343" spans="3:15">
      <c r="C1343" s="233"/>
      <c r="D1343" s="233"/>
      <c r="E1343" s="770"/>
      <c r="F1343" s="234"/>
      <c r="G1343" s="234"/>
      <c r="H1343" s="233"/>
      <c r="I1343" s="233"/>
      <c r="J1343" s="770"/>
      <c r="K1343" s="233"/>
      <c r="L1343" s="233"/>
      <c r="M1343" s="233"/>
      <c r="N1343" s="2460"/>
      <c r="O1343" s="2460"/>
    </row>
    <row r="1344" spans="3:15">
      <c r="C1344" s="233"/>
      <c r="D1344" s="233"/>
      <c r="E1344" s="770"/>
      <c r="F1344" s="234"/>
      <c r="G1344" s="234"/>
      <c r="H1344" s="233"/>
      <c r="I1344" s="233"/>
      <c r="J1344" s="770"/>
      <c r="K1344" s="233"/>
      <c r="L1344" s="233"/>
      <c r="M1344" s="233"/>
      <c r="N1344" s="2460"/>
      <c r="O1344" s="2460"/>
    </row>
    <row r="1345" spans="3:15">
      <c r="C1345" s="233"/>
      <c r="D1345" s="233"/>
      <c r="E1345" s="770"/>
      <c r="F1345" s="234"/>
      <c r="G1345" s="234"/>
      <c r="H1345" s="233"/>
      <c r="I1345" s="233"/>
      <c r="J1345" s="770"/>
      <c r="K1345" s="233"/>
      <c r="L1345" s="233"/>
      <c r="M1345" s="233"/>
      <c r="N1345" s="2460"/>
      <c r="O1345" s="2460"/>
    </row>
    <row r="1346" spans="3:15">
      <c r="C1346" s="233"/>
      <c r="D1346" s="233"/>
      <c r="E1346" s="770"/>
      <c r="F1346" s="234"/>
      <c r="G1346" s="234"/>
      <c r="H1346" s="233"/>
      <c r="I1346" s="233"/>
      <c r="J1346" s="770"/>
      <c r="K1346" s="233"/>
      <c r="L1346" s="233"/>
      <c r="M1346" s="233"/>
      <c r="N1346" s="2460"/>
      <c r="O1346" s="2460"/>
    </row>
    <row r="1347" spans="3:15">
      <c r="C1347" s="233"/>
      <c r="D1347" s="233"/>
      <c r="E1347" s="770"/>
      <c r="F1347" s="234"/>
      <c r="G1347" s="234"/>
      <c r="H1347" s="233"/>
      <c r="I1347" s="233"/>
      <c r="J1347" s="770"/>
      <c r="K1347" s="233"/>
      <c r="L1347" s="233"/>
      <c r="M1347" s="233"/>
      <c r="N1347" s="2460"/>
      <c r="O1347" s="2460"/>
    </row>
    <row r="1348" spans="3:15">
      <c r="C1348" s="233"/>
      <c r="D1348" s="233"/>
      <c r="E1348" s="770"/>
      <c r="F1348" s="234"/>
      <c r="G1348" s="234"/>
      <c r="H1348" s="233"/>
      <c r="I1348" s="233"/>
      <c r="J1348" s="770"/>
      <c r="K1348" s="233"/>
      <c r="L1348" s="233"/>
      <c r="M1348" s="233"/>
      <c r="N1348" s="2460"/>
      <c r="O1348" s="2460"/>
    </row>
    <row r="1349" spans="3:15">
      <c r="C1349" s="233"/>
      <c r="D1349" s="233"/>
      <c r="E1349" s="770"/>
      <c r="F1349" s="234"/>
      <c r="G1349" s="234"/>
      <c r="H1349" s="233"/>
      <c r="I1349" s="233"/>
      <c r="J1349" s="770"/>
      <c r="K1349" s="233"/>
      <c r="L1349" s="233"/>
      <c r="M1349" s="233"/>
      <c r="N1349" s="2460"/>
      <c r="O1349" s="2460"/>
    </row>
    <row r="1350" spans="3:15">
      <c r="C1350" s="233"/>
      <c r="D1350" s="233"/>
      <c r="E1350" s="770"/>
      <c r="F1350" s="234"/>
      <c r="G1350" s="234"/>
      <c r="H1350" s="233"/>
      <c r="I1350" s="233"/>
      <c r="J1350" s="770"/>
      <c r="K1350" s="233"/>
      <c r="L1350" s="233"/>
      <c r="M1350" s="233"/>
      <c r="N1350" s="2460"/>
      <c r="O1350" s="2460"/>
    </row>
    <row r="1351" spans="3:15">
      <c r="C1351" s="233"/>
      <c r="D1351" s="233"/>
      <c r="E1351" s="770"/>
      <c r="F1351" s="234"/>
      <c r="G1351" s="234"/>
      <c r="H1351" s="233"/>
      <c r="I1351" s="233"/>
      <c r="J1351" s="770"/>
      <c r="K1351" s="233"/>
      <c r="L1351" s="233"/>
      <c r="M1351" s="233"/>
      <c r="N1351" s="2460"/>
      <c r="O1351" s="2460"/>
    </row>
    <row r="1352" spans="3:15">
      <c r="C1352" s="233"/>
      <c r="D1352" s="233"/>
      <c r="E1352" s="770"/>
      <c r="F1352" s="234"/>
      <c r="G1352" s="234"/>
      <c r="H1352" s="233"/>
      <c r="I1352" s="233"/>
      <c r="J1352" s="770"/>
      <c r="K1352" s="233"/>
      <c r="L1352" s="233"/>
      <c r="M1352" s="233"/>
      <c r="N1352" s="2460"/>
      <c r="O1352" s="2460"/>
    </row>
    <row r="1353" spans="3:15">
      <c r="C1353" s="233"/>
      <c r="D1353" s="233"/>
      <c r="E1353" s="770"/>
      <c r="F1353" s="234"/>
      <c r="G1353" s="234"/>
      <c r="H1353" s="233"/>
      <c r="I1353" s="233"/>
      <c r="J1353" s="770"/>
      <c r="K1353" s="233"/>
      <c r="L1353" s="233"/>
      <c r="M1353" s="233"/>
      <c r="N1353" s="2460"/>
      <c r="O1353" s="2460"/>
    </row>
    <row r="1354" spans="3:15">
      <c r="C1354" s="233"/>
      <c r="D1354" s="233"/>
      <c r="E1354" s="770"/>
      <c r="F1354" s="234"/>
      <c r="G1354" s="234"/>
      <c r="H1354" s="233"/>
      <c r="I1354" s="233"/>
      <c r="J1354" s="770"/>
      <c r="K1354" s="233"/>
      <c r="L1354" s="233"/>
      <c r="M1354" s="233"/>
      <c r="N1354" s="2460"/>
      <c r="O1354" s="2460"/>
    </row>
    <row r="1355" spans="3:15">
      <c r="C1355" s="233"/>
      <c r="D1355" s="233"/>
      <c r="E1355" s="770"/>
      <c r="F1355" s="234"/>
      <c r="G1355" s="234"/>
      <c r="H1355" s="233"/>
      <c r="I1355" s="233"/>
      <c r="J1355" s="770"/>
      <c r="K1355" s="233"/>
      <c r="L1355" s="233"/>
      <c r="M1355" s="233"/>
      <c r="N1355" s="2460"/>
      <c r="O1355" s="2460"/>
    </row>
    <row r="1356" spans="3:15">
      <c r="C1356" s="233"/>
      <c r="D1356" s="233"/>
      <c r="E1356" s="770"/>
      <c r="F1356" s="234"/>
      <c r="G1356" s="234"/>
      <c r="H1356" s="233"/>
      <c r="I1356" s="233"/>
      <c r="J1356" s="770"/>
      <c r="K1356" s="233"/>
      <c r="L1356" s="233"/>
      <c r="M1356" s="233"/>
      <c r="N1356" s="2460"/>
      <c r="O1356" s="2460"/>
    </row>
    <row r="1357" spans="3:15">
      <c r="C1357" s="233"/>
      <c r="D1357" s="233"/>
      <c r="E1357" s="770"/>
      <c r="F1357" s="234"/>
      <c r="G1357" s="234"/>
      <c r="H1357" s="233"/>
      <c r="I1357" s="233"/>
      <c r="J1357" s="770"/>
      <c r="K1357" s="233"/>
      <c r="L1357" s="233"/>
      <c r="M1357" s="233"/>
      <c r="N1357" s="2460"/>
      <c r="O1357" s="2460"/>
    </row>
    <row r="1358" spans="3:15">
      <c r="C1358" s="233"/>
      <c r="D1358" s="233"/>
      <c r="E1358" s="770"/>
      <c r="F1358" s="234"/>
      <c r="G1358" s="234"/>
      <c r="H1358" s="233"/>
      <c r="I1358" s="233"/>
      <c r="J1358" s="770"/>
      <c r="K1358" s="233"/>
      <c r="L1358" s="233"/>
      <c r="M1358" s="233"/>
      <c r="N1358" s="2460"/>
      <c r="O1358" s="2460"/>
    </row>
    <row r="1359" spans="3:15">
      <c r="C1359" s="233"/>
      <c r="D1359" s="233"/>
      <c r="E1359" s="770"/>
      <c r="F1359" s="234"/>
      <c r="G1359" s="234"/>
      <c r="H1359" s="233"/>
      <c r="I1359" s="233"/>
      <c r="J1359" s="770"/>
      <c r="K1359" s="233"/>
      <c r="L1359" s="233"/>
      <c r="M1359" s="233"/>
      <c r="N1359" s="2460"/>
      <c r="O1359" s="2460"/>
    </row>
    <row r="1360" spans="3:15">
      <c r="C1360" s="233"/>
      <c r="D1360" s="233"/>
      <c r="E1360" s="770"/>
      <c r="F1360" s="234"/>
      <c r="G1360" s="234"/>
      <c r="H1360" s="233"/>
      <c r="I1360" s="233"/>
      <c r="J1360" s="770"/>
      <c r="K1360" s="233"/>
      <c r="L1360" s="233"/>
      <c r="M1360" s="233"/>
      <c r="N1360" s="2460"/>
      <c r="O1360" s="2460"/>
    </row>
    <row r="1361" spans="3:15">
      <c r="C1361" s="233"/>
      <c r="D1361" s="233"/>
      <c r="E1361" s="770"/>
      <c r="F1361" s="234"/>
      <c r="G1361" s="234"/>
      <c r="H1361" s="233"/>
      <c r="I1361" s="233"/>
      <c r="J1361" s="770"/>
      <c r="K1361" s="233"/>
      <c r="L1361" s="233"/>
      <c r="M1361" s="233"/>
      <c r="N1361" s="2460"/>
      <c r="O1361" s="2460"/>
    </row>
    <row r="1362" spans="3:15">
      <c r="C1362" s="233"/>
      <c r="D1362" s="233"/>
      <c r="E1362" s="770"/>
      <c r="F1362" s="234"/>
      <c r="G1362" s="234"/>
      <c r="H1362" s="233"/>
      <c r="I1362" s="233"/>
      <c r="J1362" s="770"/>
      <c r="K1362" s="233"/>
      <c r="L1362" s="233"/>
      <c r="M1362" s="233"/>
      <c r="N1362" s="2460"/>
      <c r="O1362" s="2460"/>
    </row>
    <row r="1363" spans="3:15">
      <c r="C1363" s="233"/>
      <c r="D1363" s="233"/>
      <c r="E1363" s="770"/>
      <c r="F1363" s="234"/>
      <c r="G1363" s="234"/>
      <c r="H1363" s="233"/>
      <c r="I1363" s="233"/>
      <c r="J1363" s="770"/>
      <c r="K1363" s="233"/>
      <c r="L1363" s="233"/>
      <c r="M1363" s="233"/>
      <c r="N1363" s="2460"/>
      <c r="O1363" s="2460"/>
    </row>
    <row r="1364" spans="3:15">
      <c r="C1364" s="233"/>
      <c r="D1364" s="233"/>
      <c r="E1364" s="770"/>
      <c r="F1364" s="234"/>
      <c r="G1364" s="234"/>
      <c r="H1364" s="233"/>
      <c r="I1364" s="233"/>
      <c r="J1364" s="770"/>
      <c r="K1364" s="233"/>
      <c r="L1364" s="233"/>
      <c r="M1364" s="233"/>
      <c r="N1364" s="2460"/>
      <c r="O1364" s="2460"/>
    </row>
    <row r="1365" spans="3:15">
      <c r="C1365" s="233"/>
      <c r="D1365" s="233"/>
      <c r="E1365" s="770"/>
      <c r="F1365" s="234"/>
      <c r="G1365" s="234"/>
      <c r="H1365" s="233"/>
      <c r="I1365" s="233"/>
      <c r="J1365" s="770"/>
      <c r="K1365" s="233"/>
      <c r="L1365" s="233"/>
      <c r="M1365" s="233"/>
      <c r="N1365" s="2460"/>
      <c r="O1365" s="2460"/>
    </row>
    <row r="1366" spans="3:15">
      <c r="C1366" s="233"/>
      <c r="D1366" s="233"/>
      <c r="E1366" s="770"/>
      <c r="F1366" s="234"/>
      <c r="G1366" s="234"/>
      <c r="H1366" s="233"/>
      <c r="I1366" s="233"/>
      <c r="J1366" s="770"/>
      <c r="K1366" s="233"/>
      <c r="L1366" s="233"/>
      <c r="M1366" s="233"/>
      <c r="N1366" s="2460"/>
      <c r="O1366" s="2460"/>
    </row>
    <row r="1367" spans="3:15">
      <c r="C1367" s="233"/>
      <c r="D1367" s="233"/>
      <c r="E1367" s="770"/>
      <c r="F1367" s="234"/>
      <c r="G1367" s="234"/>
      <c r="H1367" s="233"/>
      <c r="I1367" s="233"/>
      <c r="J1367" s="770"/>
      <c r="K1367" s="233"/>
      <c r="L1367" s="233"/>
      <c r="M1367" s="233"/>
      <c r="N1367" s="2460"/>
      <c r="O1367" s="2460"/>
    </row>
    <row r="1368" spans="3:15">
      <c r="C1368" s="233"/>
      <c r="D1368" s="233"/>
      <c r="E1368" s="770"/>
      <c r="F1368" s="234"/>
      <c r="G1368" s="234"/>
      <c r="H1368" s="233"/>
      <c r="I1368" s="233"/>
      <c r="J1368" s="770"/>
      <c r="K1368" s="233"/>
      <c r="L1368" s="233"/>
      <c r="M1368" s="233"/>
      <c r="N1368" s="2460"/>
      <c r="O1368" s="2460"/>
    </row>
    <row r="1369" spans="3:15">
      <c r="C1369" s="233"/>
      <c r="D1369" s="233"/>
      <c r="E1369" s="770"/>
      <c r="F1369" s="234"/>
      <c r="G1369" s="234"/>
      <c r="H1369" s="233"/>
      <c r="I1369" s="233"/>
      <c r="J1369" s="770"/>
      <c r="K1369" s="233"/>
      <c r="L1369" s="233"/>
      <c r="M1369" s="233"/>
      <c r="N1369" s="2460"/>
      <c r="O1369" s="2460"/>
    </row>
    <row r="1370" spans="3:15">
      <c r="C1370" s="233"/>
      <c r="D1370" s="233"/>
      <c r="E1370" s="770"/>
      <c r="F1370" s="234"/>
      <c r="G1370" s="234"/>
      <c r="H1370" s="233"/>
      <c r="I1370" s="233"/>
      <c r="J1370" s="770"/>
      <c r="K1370" s="233"/>
      <c r="L1370" s="233"/>
      <c r="M1370" s="233"/>
      <c r="N1370" s="2460"/>
      <c r="O1370" s="2460"/>
    </row>
    <row r="1371" spans="3:15">
      <c r="C1371" s="233"/>
      <c r="D1371" s="233"/>
      <c r="E1371" s="770"/>
      <c r="F1371" s="234"/>
      <c r="G1371" s="234"/>
      <c r="H1371" s="233"/>
      <c r="I1371" s="233"/>
      <c r="J1371" s="770"/>
      <c r="K1371" s="233"/>
      <c r="L1371" s="233"/>
      <c r="M1371" s="233"/>
      <c r="N1371" s="2460"/>
      <c r="O1371" s="2460"/>
    </row>
    <row r="1372" spans="3:15">
      <c r="C1372" s="233"/>
      <c r="D1372" s="233"/>
      <c r="E1372" s="770"/>
      <c r="F1372" s="234"/>
      <c r="G1372" s="234"/>
      <c r="H1372" s="233"/>
      <c r="I1372" s="233"/>
      <c r="J1372" s="770"/>
      <c r="K1372" s="233"/>
      <c r="L1372" s="233"/>
      <c r="M1372" s="233"/>
      <c r="N1372" s="2460"/>
      <c r="O1372" s="2460"/>
    </row>
    <row r="1373" spans="3:15">
      <c r="C1373" s="233"/>
      <c r="D1373" s="233"/>
      <c r="E1373" s="770"/>
      <c r="F1373" s="234"/>
      <c r="G1373" s="234"/>
      <c r="H1373" s="233"/>
      <c r="I1373" s="233"/>
      <c r="J1373" s="770"/>
      <c r="K1373" s="233"/>
      <c r="L1373" s="233"/>
      <c r="M1373" s="233"/>
      <c r="N1373" s="2460"/>
      <c r="O1373" s="2460"/>
    </row>
    <row r="1374" spans="3:15">
      <c r="C1374" s="233"/>
      <c r="D1374" s="233"/>
      <c r="E1374" s="770"/>
      <c r="F1374" s="234"/>
      <c r="G1374" s="234"/>
      <c r="H1374" s="233"/>
      <c r="I1374" s="233"/>
      <c r="J1374" s="770"/>
      <c r="K1374" s="233"/>
      <c r="L1374" s="233"/>
      <c r="M1374" s="233"/>
      <c r="N1374" s="2460"/>
      <c r="O1374" s="2460"/>
    </row>
    <row r="1375" spans="3:15">
      <c r="C1375" s="233"/>
      <c r="D1375" s="233"/>
      <c r="E1375" s="770"/>
      <c r="F1375" s="234"/>
      <c r="G1375" s="234"/>
      <c r="H1375" s="233"/>
      <c r="I1375" s="233"/>
      <c r="J1375" s="770"/>
      <c r="K1375" s="233"/>
      <c r="L1375" s="233"/>
      <c r="M1375" s="233"/>
      <c r="N1375" s="2460"/>
      <c r="O1375" s="2460"/>
    </row>
    <row r="1376" spans="3:15">
      <c r="C1376" s="233"/>
      <c r="D1376" s="233"/>
      <c r="E1376" s="770"/>
      <c r="F1376" s="234"/>
      <c r="G1376" s="234"/>
      <c r="H1376" s="233"/>
      <c r="I1376" s="233"/>
      <c r="J1376" s="770"/>
      <c r="K1376" s="233"/>
      <c r="L1376" s="233"/>
      <c r="M1376" s="233"/>
      <c r="N1376" s="2460"/>
      <c r="O1376" s="2460"/>
    </row>
    <row r="1377" spans="3:15">
      <c r="C1377" s="233"/>
      <c r="D1377" s="233"/>
      <c r="E1377" s="770"/>
      <c r="F1377" s="234"/>
      <c r="G1377" s="234"/>
      <c r="H1377" s="233"/>
      <c r="I1377" s="233"/>
      <c r="J1377" s="770"/>
      <c r="K1377" s="233"/>
      <c r="L1377" s="233"/>
      <c r="M1377" s="233"/>
      <c r="N1377" s="2460"/>
      <c r="O1377" s="2460"/>
    </row>
    <row r="1378" spans="3:15">
      <c r="C1378" s="233"/>
      <c r="D1378" s="233"/>
      <c r="E1378" s="770"/>
      <c r="F1378" s="234"/>
      <c r="G1378" s="234"/>
      <c r="H1378" s="233"/>
      <c r="I1378" s="233"/>
      <c r="J1378" s="770"/>
      <c r="K1378" s="233"/>
      <c r="L1378" s="233"/>
      <c r="M1378" s="233"/>
      <c r="N1378" s="2460"/>
      <c r="O1378" s="2460"/>
    </row>
    <row r="1379" spans="3:15">
      <c r="C1379" s="233"/>
      <c r="D1379" s="233"/>
      <c r="E1379" s="770"/>
      <c r="F1379" s="234"/>
      <c r="G1379" s="234"/>
      <c r="H1379" s="233"/>
      <c r="I1379" s="233"/>
      <c r="J1379" s="770"/>
      <c r="K1379" s="233"/>
      <c r="L1379" s="233"/>
      <c r="M1379" s="233"/>
      <c r="N1379" s="2460"/>
      <c r="O1379" s="2460"/>
    </row>
    <row r="1380" spans="3:15">
      <c r="C1380" s="233"/>
      <c r="D1380" s="233"/>
      <c r="E1380" s="770"/>
      <c r="F1380" s="234"/>
      <c r="G1380" s="234"/>
      <c r="H1380" s="233"/>
      <c r="I1380" s="233"/>
      <c r="J1380" s="770"/>
      <c r="K1380" s="233"/>
      <c r="L1380" s="233"/>
      <c r="M1380" s="233"/>
      <c r="N1380" s="2460"/>
      <c r="O1380" s="2460"/>
    </row>
    <row r="1381" spans="3:15">
      <c r="C1381" s="233"/>
      <c r="D1381" s="233"/>
      <c r="E1381" s="770"/>
      <c r="F1381" s="234"/>
      <c r="G1381" s="234"/>
      <c r="H1381" s="233"/>
      <c r="I1381" s="233"/>
      <c r="J1381" s="770"/>
      <c r="K1381" s="233"/>
      <c r="L1381" s="233"/>
      <c r="M1381" s="233"/>
      <c r="N1381" s="2460"/>
      <c r="O1381" s="2460"/>
    </row>
    <row r="1382" spans="3:15">
      <c r="C1382" s="233"/>
      <c r="D1382" s="233"/>
      <c r="E1382" s="770"/>
      <c r="F1382" s="234"/>
      <c r="G1382" s="234"/>
      <c r="H1382" s="233"/>
      <c r="I1382" s="233"/>
      <c r="J1382" s="770"/>
      <c r="K1382" s="233"/>
      <c r="L1382" s="233"/>
      <c r="M1382" s="233"/>
      <c r="N1382" s="2460"/>
      <c r="O1382" s="2460"/>
    </row>
    <row r="1383" spans="3:15">
      <c r="C1383" s="233"/>
      <c r="D1383" s="233"/>
      <c r="E1383" s="770"/>
      <c r="F1383" s="234"/>
      <c r="G1383" s="234"/>
      <c r="H1383" s="233"/>
      <c r="I1383" s="233"/>
      <c r="J1383" s="770"/>
      <c r="K1383" s="233"/>
      <c r="L1383" s="233"/>
      <c r="M1383" s="233"/>
      <c r="N1383" s="2460"/>
      <c r="O1383" s="2460"/>
    </row>
    <row r="1384" spans="3:15">
      <c r="C1384" s="233"/>
      <c r="D1384" s="233"/>
      <c r="E1384" s="770"/>
      <c r="F1384" s="234"/>
      <c r="G1384" s="234"/>
      <c r="H1384" s="233"/>
      <c r="I1384" s="233"/>
      <c r="J1384" s="770"/>
      <c r="K1384" s="233"/>
      <c r="L1384" s="233"/>
      <c r="M1384" s="233"/>
      <c r="N1384" s="2460"/>
      <c r="O1384" s="2460"/>
    </row>
    <row r="1385" spans="3:15">
      <c r="C1385" s="233"/>
      <c r="D1385" s="233"/>
      <c r="E1385" s="770"/>
      <c r="F1385" s="234"/>
      <c r="G1385" s="234"/>
      <c r="H1385" s="233"/>
      <c r="I1385" s="233"/>
      <c r="J1385" s="770"/>
      <c r="K1385" s="233"/>
      <c r="L1385" s="233"/>
      <c r="M1385" s="233"/>
      <c r="N1385" s="2460"/>
      <c r="O1385" s="2460"/>
    </row>
    <row r="1386" spans="3:15">
      <c r="C1386" s="233"/>
      <c r="D1386" s="233"/>
      <c r="E1386" s="770"/>
      <c r="F1386" s="234"/>
      <c r="G1386" s="234"/>
      <c r="H1386" s="233"/>
      <c r="I1386" s="233"/>
      <c r="J1386" s="770"/>
      <c r="K1386" s="233"/>
      <c r="L1386" s="233"/>
      <c r="M1386" s="233"/>
      <c r="N1386" s="2460"/>
      <c r="O1386" s="2460"/>
    </row>
    <row r="1387" spans="3:15">
      <c r="C1387" s="233"/>
      <c r="D1387" s="233"/>
      <c r="E1387" s="770"/>
      <c r="F1387" s="234"/>
      <c r="G1387" s="234"/>
      <c r="H1387" s="233"/>
      <c r="I1387" s="233"/>
      <c r="J1387" s="770"/>
      <c r="K1387" s="233"/>
      <c r="L1387" s="233"/>
      <c r="M1387" s="233"/>
      <c r="N1387" s="2460"/>
      <c r="O1387" s="2460"/>
    </row>
    <row r="1388" spans="3:15">
      <c r="C1388" s="233"/>
      <c r="D1388" s="233"/>
      <c r="E1388" s="770"/>
      <c r="F1388" s="234"/>
      <c r="G1388" s="234"/>
      <c r="H1388" s="233"/>
      <c r="I1388" s="233"/>
      <c r="J1388" s="770"/>
      <c r="K1388" s="233"/>
      <c r="L1388" s="233"/>
      <c r="M1388" s="233"/>
      <c r="N1388" s="2460"/>
      <c r="O1388" s="2460"/>
    </row>
    <row r="1389" spans="3:15">
      <c r="C1389" s="233"/>
      <c r="D1389" s="233"/>
      <c r="E1389" s="770"/>
      <c r="F1389" s="234"/>
      <c r="G1389" s="234"/>
      <c r="H1389" s="233"/>
      <c r="I1389" s="233"/>
      <c r="J1389" s="770"/>
      <c r="K1389" s="233"/>
      <c r="L1389" s="233"/>
      <c r="M1389" s="233"/>
      <c r="N1389" s="2460"/>
      <c r="O1389" s="2460"/>
    </row>
    <row r="1390" spans="3:15">
      <c r="C1390" s="233"/>
      <c r="D1390" s="233"/>
      <c r="E1390" s="770"/>
      <c r="F1390" s="234"/>
      <c r="G1390" s="234"/>
      <c r="H1390" s="233"/>
      <c r="I1390" s="233"/>
      <c r="J1390" s="770"/>
      <c r="K1390" s="233"/>
      <c r="L1390" s="233"/>
      <c r="M1390" s="233"/>
      <c r="N1390" s="2460"/>
      <c r="O1390" s="2460"/>
    </row>
    <row r="1391" spans="3:15">
      <c r="C1391" s="233"/>
      <c r="D1391" s="233"/>
      <c r="E1391" s="770"/>
      <c r="F1391" s="234"/>
      <c r="G1391" s="234"/>
      <c r="H1391" s="233"/>
      <c r="I1391" s="233"/>
      <c r="J1391" s="770"/>
      <c r="K1391" s="233"/>
      <c r="L1391" s="233"/>
      <c r="M1391" s="233"/>
      <c r="N1391" s="2460"/>
      <c r="O1391" s="2460"/>
    </row>
    <row r="1392" spans="3:15">
      <c r="C1392" s="233"/>
      <c r="D1392" s="233"/>
      <c r="E1392" s="770"/>
      <c r="F1392" s="234"/>
      <c r="G1392" s="234"/>
      <c r="H1392" s="233"/>
      <c r="I1392" s="233"/>
      <c r="J1392" s="770"/>
      <c r="K1392" s="233"/>
      <c r="L1392" s="233"/>
      <c r="M1392" s="233"/>
      <c r="N1392" s="2460"/>
      <c r="O1392" s="2460"/>
    </row>
    <row r="1393" spans="3:15">
      <c r="C1393" s="233"/>
      <c r="D1393" s="233"/>
      <c r="E1393" s="770"/>
      <c r="F1393" s="234"/>
      <c r="G1393" s="234"/>
      <c r="H1393" s="233"/>
      <c r="I1393" s="233"/>
      <c r="J1393" s="770"/>
      <c r="K1393" s="233"/>
      <c r="L1393" s="233"/>
      <c r="M1393" s="233"/>
      <c r="N1393" s="2460"/>
      <c r="O1393" s="2460"/>
    </row>
    <row r="1394" spans="3:15">
      <c r="C1394" s="233"/>
      <c r="D1394" s="233"/>
      <c r="E1394" s="770"/>
      <c r="F1394" s="234"/>
      <c r="G1394" s="234"/>
      <c r="H1394" s="233"/>
      <c r="I1394" s="233"/>
      <c r="J1394" s="770"/>
      <c r="K1394" s="233"/>
      <c r="L1394" s="233"/>
      <c r="M1394" s="233"/>
      <c r="N1394" s="2460"/>
      <c r="O1394" s="2460"/>
    </row>
    <row r="1395" spans="3:15">
      <c r="C1395" s="233"/>
      <c r="D1395" s="233"/>
      <c r="E1395" s="770"/>
      <c r="F1395" s="234"/>
      <c r="G1395" s="234"/>
      <c r="H1395" s="233"/>
      <c r="I1395" s="233"/>
      <c r="J1395" s="770"/>
      <c r="K1395" s="233"/>
      <c r="L1395" s="233"/>
      <c r="M1395" s="233"/>
      <c r="N1395" s="2460"/>
      <c r="O1395" s="2460"/>
    </row>
    <row r="1396" spans="3:15">
      <c r="C1396" s="233"/>
      <c r="D1396" s="233"/>
      <c r="E1396" s="770"/>
      <c r="F1396" s="234"/>
      <c r="G1396" s="234"/>
      <c r="H1396" s="233"/>
      <c r="I1396" s="233"/>
      <c r="J1396" s="770"/>
      <c r="K1396" s="233"/>
      <c r="L1396" s="233"/>
      <c r="M1396" s="233"/>
      <c r="N1396" s="2460"/>
      <c r="O1396" s="2460"/>
    </row>
    <row r="1397" spans="3:15">
      <c r="C1397" s="233"/>
      <c r="D1397" s="233"/>
      <c r="E1397" s="770"/>
      <c r="F1397" s="234"/>
      <c r="G1397" s="234"/>
      <c r="H1397" s="233"/>
      <c r="I1397" s="233"/>
      <c r="J1397" s="770"/>
      <c r="K1397" s="233"/>
      <c r="L1397" s="233"/>
      <c r="M1397" s="233"/>
      <c r="N1397" s="2460"/>
      <c r="O1397" s="2460"/>
    </row>
    <row r="1398" spans="3:15">
      <c r="C1398" s="233"/>
      <c r="D1398" s="233"/>
      <c r="E1398" s="770"/>
      <c r="F1398" s="234"/>
      <c r="G1398" s="234"/>
      <c r="H1398" s="233"/>
      <c r="I1398" s="233"/>
      <c r="J1398" s="770"/>
      <c r="K1398" s="233"/>
      <c r="L1398" s="233"/>
      <c r="M1398" s="233"/>
      <c r="N1398" s="2460"/>
      <c r="O1398" s="2460"/>
    </row>
    <row r="1399" spans="3:15">
      <c r="C1399" s="233"/>
      <c r="D1399" s="233"/>
      <c r="E1399" s="770"/>
      <c r="F1399" s="234"/>
      <c r="G1399" s="234"/>
      <c r="H1399" s="233"/>
      <c r="I1399" s="233"/>
      <c r="J1399" s="770"/>
      <c r="K1399" s="233"/>
      <c r="L1399" s="233"/>
      <c r="M1399" s="233"/>
      <c r="N1399" s="2460"/>
      <c r="O1399" s="2460"/>
    </row>
    <row r="1400" spans="3:15">
      <c r="C1400" s="233"/>
      <c r="D1400" s="233"/>
      <c r="E1400" s="770"/>
      <c r="F1400" s="234"/>
      <c r="G1400" s="234"/>
      <c r="H1400" s="233"/>
      <c r="I1400" s="233"/>
      <c r="J1400" s="770"/>
      <c r="K1400" s="233"/>
      <c r="L1400" s="233"/>
      <c r="M1400" s="233"/>
      <c r="N1400" s="2460"/>
      <c r="O1400" s="2460"/>
    </row>
    <row r="1401" spans="3:15">
      <c r="C1401" s="233"/>
      <c r="D1401" s="233"/>
      <c r="E1401" s="770"/>
      <c r="F1401" s="234"/>
      <c r="G1401" s="234"/>
      <c r="H1401" s="233"/>
      <c r="I1401" s="233"/>
      <c r="J1401" s="770"/>
      <c r="K1401" s="233"/>
      <c r="L1401" s="233"/>
      <c r="M1401" s="233"/>
      <c r="N1401" s="2460"/>
      <c r="O1401" s="2460"/>
    </row>
    <row r="1402" spans="3:15">
      <c r="C1402" s="233"/>
      <c r="D1402" s="233"/>
      <c r="E1402" s="770"/>
      <c r="F1402" s="234"/>
      <c r="G1402" s="234"/>
      <c r="H1402" s="233"/>
      <c r="I1402" s="233"/>
      <c r="J1402" s="770"/>
      <c r="K1402" s="233"/>
      <c r="L1402" s="233"/>
      <c r="M1402" s="233"/>
      <c r="N1402" s="2460"/>
      <c r="O1402" s="2460"/>
    </row>
    <row r="1403" spans="3:15">
      <c r="C1403" s="233"/>
      <c r="D1403" s="233"/>
      <c r="E1403" s="770"/>
      <c r="F1403" s="234"/>
      <c r="G1403" s="234"/>
      <c r="H1403" s="233"/>
      <c r="I1403" s="233"/>
      <c r="J1403" s="770"/>
      <c r="K1403" s="233"/>
      <c r="L1403" s="233"/>
      <c r="M1403" s="233"/>
      <c r="N1403" s="2460"/>
      <c r="O1403" s="2460"/>
    </row>
    <row r="1404" spans="3:15">
      <c r="C1404" s="233"/>
      <c r="D1404" s="233"/>
      <c r="E1404" s="770"/>
      <c r="F1404" s="234"/>
      <c r="G1404" s="234"/>
      <c r="H1404" s="233"/>
      <c r="I1404" s="233"/>
      <c r="J1404" s="770"/>
      <c r="K1404" s="233"/>
      <c r="L1404" s="233"/>
      <c r="M1404" s="233"/>
      <c r="N1404" s="2460"/>
      <c r="O1404" s="2460"/>
    </row>
    <row r="1405" spans="3:15">
      <c r="C1405" s="233"/>
      <c r="D1405" s="233"/>
      <c r="E1405" s="770"/>
      <c r="F1405" s="234"/>
      <c r="G1405" s="234"/>
      <c r="H1405" s="233"/>
      <c r="I1405" s="233"/>
      <c r="J1405" s="770"/>
      <c r="K1405" s="233"/>
      <c r="L1405" s="233"/>
      <c r="M1405" s="233"/>
      <c r="N1405" s="2460"/>
      <c r="O1405" s="2460"/>
    </row>
    <row r="1406" spans="3:15">
      <c r="C1406" s="233"/>
      <c r="D1406" s="233"/>
      <c r="E1406" s="770"/>
      <c r="F1406" s="234"/>
      <c r="G1406" s="234"/>
      <c r="H1406" s="233"/>
      <c r="I1406" s="233"/>
      <c r="J1406" s="770"/>
      <c r="K1406" s="233"/>
      <c r="L1406" s="233"/>
      <c r="M1406" s="233"/>
      <c r="N1406" s="2460"/>
      <c r="O1406" s="2460"/>
    </row>
    <row r="1407" spans="3:15">
      <c r="C1407" s="233"/>
      <c r="D1407" s="233"/>
      <c r="E1407" s="770"/>
      <c r="F1407" s="234"/>
      <c r="G1407" s="234"/>
      <c r="H1407" s="233"/>
      <c r="I1407" s="233"/>
      <c r="J1407" s="770"/>
      <c r="K1407" s="233"/>
      <c r="L1407" s="233"/>
      <c r="M1407" s="233"/>
      <c r="N1407" s="2460"/>
      <c r="O1407" s="2460"/>
    </row>
    <row r="1408" spans="3:15">
      <c r="C1408" s="233"/>
      <c r="D1408" s="233"/>
      <c r="E1408" s="770"/>
      <c r="F1408" s="234"/>
      <c r="G1408" s="234"/>
      <c r="H1408" s="233"/>
      <c r="I1408" s="233"/>
      <c r="J1408" s="770"/>
      <c r="K1408" s="233"/>
      <c r="L1408" s="233"/>
      <c r="M1408" s="233"/>
      <c r="N1408" s="2460"/>
      <c r="O1408" s="2460"/>
    </row>
    <row r="1409" spans="3:15">
      <c r="C1409" s="233"/>
      <c r="D1409" s="233"/>
      <c r="E1409" s="770"/>
      <c r="F1409" s="234"/>
      <c r="G1409" s="234"/>
      <c r="H1409" s="233"/>
      <c r="I1409" s="233"/>
      <c r="J1409" s="770"/>
      <c r="K1409" s="233"/>
      <c r="L1409" s="233"/>
      <c r="M1409" s="233"/>
      <c r="N1409" s="2460"/>
      <c r="O1409" s="2460"/>
    </row>
    <row r="1410" spans="3:15">
      <c r="C1410" s="233"/>
      <c r="D1410" s="233"/>
      <c r="E1410" s="770"/>
      <c r="F1410" s="234"/>
      <c r="G1410" s="234"/>
      <c r="H1410" s="233"/>
      <c r="I1410" s="233"/>
      <c r="J1410" s="770"/>
      <c r="K1410" s="233"/>
      <c r="L1410" s="233"/>
      <c r="M1410" s="233"/>
      <c r="N1410" s="2460"/>
      <c r="O1410" s="2460"/>
    </row>
    <row r="1411" spans="3:15">
      <c r="C1411" s="233"/>
      <c r="D1411" s="233"/>
      <c r="E1411" s="770"/>
      <c r="F1411" s="234"/>
      <c r="G1411" s="234"/>
      <c r="H1411" s="233"/>
      <c r="I1411" s="233"/>
      <c r="J1411" s="770"/>
      <c r="K1411" s="233"/>
      <c r="L1411" s="233"/>
      <c r="M1411" s="233"/>
      <c r="N1411" s="2460"/>
      <c r="O1411" s="2460"/>
    </row>
    <row r="1412" spans="3:15">
      <c r="C1412" s="233"/>
      <c r="D1412" s="233"/>
      <c r="E1412" s="770"/>
      <c r="F1412" s="234"/>
      <c r="G1412" s="234"/>
      <c r="H1412" s="233"/>
      <c r="I1412" s="233"/>
      <c r="J1412" s="770"/>
      <c r="K1412" s="233"/>
      <c r="L1412" s="233"/>
      <c r="M1412" s="233"/>
      <c r="N1412" s="2460"/>
      <c r="O1412" s="2460"/>
    </row>
    <row r="1413" spans="3:15">
      <c r="C1413" s="233"/>
      <c r="D1413" s="233"/>
      <c r="E1413" s="770"/>
      <c r="F1413" s="234"/>
      <c r="G1413" s="234"/>
      <c r="H1413" s="233"/>
      <c r="I1413" s="233"/>
      <c r="J1413" s="770"/>
      <c r="K1413" s="233"/>
      <c r="L1413" s="233"/>
      <c r="M1413" s="233"/>
      <c r="N1413" s="2460"/>
      <c r="O1413" s="2460"/>
    </row>
    <row r="1414" spans="3:15">
      <c r="C1414" s="233"/>
      <c r="D1414" s="233"/>
      <c r="E1414" s="770"/>
      <c r="F1414" s="234"/>
      <c r="G1414" s="234"/>
      <c r="H1414" s="233"/>
      <c r="I1414" s="233"/>
      <c r="J1414" s="770"/>
      <c r="K1414" s="233"/>
      <c r="L1414" s="233"/>
      <c r="M1414" s="233"/>
      <c r="N1414" s="2460"/>
      <c r="O1414" s="2460"/>
    </row>
    <row r="1415" spans="3:15">
      <c r="C1415" s="233"/>
      <c r="D1415" s="233"/>
      <c r="E1415" s="770"/>
      <c r="F1415" s="234"/>
      <c r="G1415" s="234"/>
      <c r="H1415" s="233"/>
      <c r="I1415" s="233"/>
      <c r="J1415" s="770"/>
      <c r="K1415" s="233"/>
      <c r="L1415" s="233"/>
      <c r="M1415" s="233"/>
      <c r="N1415" s="2460"/>
      <c r="O1415" s="2460"/>
    </row>
    <row r="1416" spans="3:15">
      <c r="C1416" s="233"/>
      <c r="D1416" s="233"/>
      <c r="E1416" s="770"/>
      <c r="F1416" s="234"/>
      <c r="G1416" s="234"/>
      <c r="H1416" s="233"/>
      <c r="I1416" s="233"/>
      <c r="J1416" s="770"/>
      <c r="K1416" s="233"/>
      <c r="L1416" s="233"/>
      <c r="M1416" s="233"/>
      <c r="N1416" s="2460"/>
      <c r="O1416" s="2460"/>
    </row>
    <row r="1417" spans="3:15">
      <c r="C1417" s="233"/>
      <c r="D1417" s="233"/>
      <c r="E1417" s="770"/>
      <c r="F1417" s="234"/>
      <c r="G1417" s="234"/>
      <c r="H1417" s="233"/>
      <c r="I1417" s="233"/>
      <c r="J1417" s="770"/>
      <c r="K1417" s="233"/>
      <c r="L1417" s="233"/>
      <c r="M1417" s="233"/>
      <c r="N1417" s="2460"/>
      <c r="O1417" s="2460"/>
    </row>
    <row r="1418" spans="3:15">
      <c r="C1418" s="233"/>
      <c r="D1418" s="233"/>
      <c r="E1418" s="770"/>
      <c r="F1418" s="234"/>
      <c r="G1418" s="234"/>
      <c r="H1418" s="233"/>
      <c r="I1418" s="233"/>
      <c r="J1418" s="770"/>
      <c r="K1418" s="233"/>
      <c r="L1418" s="233"/>
      <c r="M1418" s="233"/>
      <c r="N1418" s="2460"/>
      <c r="O1418" s="2460"/>
    </row>
    <row r="1419" spans="3:15">
      <c r="C1419" s="233"/>
      <c r="D1419" s="233"/>
      <c r="E1419" s="770"/>
      <c r="F1419" s="234"/>
      <c r="G1419" s="234"/>
      <c r="H1419" s="233"/>
      <c r="I1419" s="233"/>
      <c r="J1419" s="770"/>
      <c r="K1419" s="233"/>
      <c r="L1419" s="233"/>
      <c r="M1419" s="233"/>
      <c r="N1419" s="2460"/>
      <c r="O1419" s="2460"/>
    </row>
    <row r="1420" spans="3:15">
      <c r="C1420" s="233"/>
      <c r="D1420" s="233"/>
      <c r="E1420" s="770"/>
      <c r="F1420" s="234"/>
      <c r="G1420" s="234"/>
      <c r="H1420" s="233"/>
      <c r="I1420" s="233"/>
      <c r="J1420" s="770"/>
      <c r="K1420" s="233"/>
      <c r="L1420" s="233"/>
      <c r="M1420" s="233"/>
      <c r="N1420" s="2460"/>
      <c r="O1420" s="2460"/>
    </row>
    <row r="1421" spans="3:15">
      <c r="C1421" s="233"/>
      <c r="D1421" s="233"/>
      <c r="E1421" s="770"/>
      <c r="F1421" s="234"/>
      <c r="G1421" s="234"/>
      <c r="H1421" s="233"/>
      <c r="I1421" s="233"/>
      <c r="J1421" s="770"/>
      <c r="K1421" s="233"/>
      <c r="L1421" s="233"/>
      <c r="M1421" s="233"/>
      <c r="N1421" s="2460"/>
      <c r="O1421" s="2460"/>
    </row>
    <row r="1422" spans="3:15">
      <c r="C1422" s="233"/>
      <c r="D1422" s="233"/>
      <c r="E1422" s="770"/>
      <c r="F1422" s="234"/>
      <c r="G1422" s="234"/>
      <c r="H1422" s="233"/>
      <c r="I1422" s="233"/>
      <c r="J1422" s="770"/>
      <c r="K1422" s="233"/>
      <c r="L1422" s="233"/>
      <c r="M1422" s="233"/>
      <c r="N1422" s="2460"/>
      <c r="O1422" s="2460"/>
    </row>
    <row r="1423" spans="3:15">
      <c r="C1423" s="233"/>
      <c r="D1423" s="233"/>
      <c r="E1423" s="770"/>
      <c r="F1423" s="234"/>
      <c r="G1423" s="234"/>
      <c r="H1423" s="233"/>
      <c r="I1423" s="233"/>
      <c r="J1423" s="770"/>
      <c r="K1423" s="233"/>
      <c r="L1423" s="233"/>
      <c r="M1423" s="233"/>
      <c r="N1423" s="2460"/>
      <c r="O1423" s="2460"/>
    </row>
    <row r="1424" spans="3:15">
      <c r="C1424" s="233"/>
      <c r="D1424" s="233"/>
      <c r="E1424" s="770"/>
      <c r="F1424" s="234"/>
      <c r="G1424" s="234"/>
      <c r="H1424" s="233"/>
      <c r="I1424" s="233"/>
      <c r="J1424" s="770"/>
      <c r="K1424" s="233"/>
      <c r="L1424" s="233"/>
      <c r="M1424" s="233"/>
      <c r="N1424" s="2460"/>
      <c r="O1424" s="2460"/>
    </row>
    <row r="1425" spans="3:15">
      <c r="C1425" s="233"/>
      <c r="D1425" s="233"/>
      <c r="E1425" s="770"/>
      <c r="F1425" s="234"/>
      <c r="G1425" s="234"/>
      <c r="H1425" s="233"/>
      <c r="I1425" s="233"/>
      <c r="J1425" s="770"/>
      <c r="K1425" s="233"/>
      <c r="L1425" s="233"/>
      <c r="M1425" s="233"/>
      <c r="N1425" s="2460"/>
      <c r="O1425" s="2460"/>
    </row>
    <row r="1426" spans="3:15">
      <c r="C1426" s="233"/>
      <c r="D1426" s="233"/>
      <c r="E1426" s="770"/>
      <c r="F1426" s="234"/>
      <c r="G1426" s="234"/>
      <c r="H1426" s="233"/>
      <c r="I1426" s="233"/>
      <c r="J1426" s="770"/>
      <c r="K1426" s="233"/>
      <c r="L1426" s="233"/>
      <c r="M1426" s="233"/>
      <c r="N1426" s="2460"/>
      <c r="O1426" s="2460"/>
    </row>
    <row r="1427" spans="3:15">
      <c r="C1427" s="233"/>
      <c r="D1427" s="233"/>
      <c r="E1427" s="770"/>
      <c r="F1427" s="234"/>
      <c r="G1427" s="234"/>
      <c r="H1427" s="233"/>
      <c r="I1427" s="233"/>
      <c r="J1427" s="770"/>
      <c r="K1427" s="233"/>
      <c r="L1427" s="233"/>
      <c r="M1427" s="233"/>
      <c r="N1427" s="2460"/>
      <c r="O1427" s="2460"/>
    </row>
    <row r="1428" spans="3:15">
      <c r="C1428" s="233"/>
      <c r="D1428" s="233"/>
      <c r="E1428" s="770"/>
      <c r="F1428" s="234"/>
      <c r="G1428" s="234"/>
      <c r="H1428" s="233"/>
      <c r="I1428" s="233"/>
      <c r="J1428" s="770"/>
      <c r="K1428" s="233"/>
      <c r="L1428" s="233"/>
      <c r="M1428" s="233"/>
      <c r="N1428" s="2460"/>
      <c r="O1428" s="2460"/>
    </row>
    <row r="1429" spans="3:15">
      <c r="C1429" s="233"/>
      <c r="D1429" s="233"/>
      <c r="E1429" s="770"/>
      <c r="F1429" s="234"/>
      <c r="G1429" s="234"/>
      <c r="H1429" s="233"/>
      <c r="I1429" s="233"/>
      <c r="J1429" s="770"/>
      <c r="K1429" s="233"/>
      <c r="L1429" s="233"/>
      <c r="M1429" s="233"/>
      <c r="N1429" s="2460"/>
      <c r="O1429" s="2460"/>
    </row>
    <row r="1430" spans="3:15">
      <c r="C1430" s="233"/>
      <c r="D1430" s="233"/>
      <c r="E1430" s="770"/>
      <c r="F1430" s="234"/>
      <c r="G1430" s="234"/>
      <c r="H1430" s="233"/>
      <c r="I1430" s="233"/>
      <c r="J1430" s="770"/>
      <c r="K1430" s="233"/>
      <c r="L1430" s="233"/>
      <c r="M1430" s="233"/>
      <c r="N1430" s="2460"/>
      <c r="O1430" s="2460"/>
    </row>
    <row r="1431" spans="3:15">
      <c r="C1431" s="233"/>
      <c r="D1431" s="233"/>
      <c r="E1431" s="770"/>
      <c r="F1431" s="234"/>
      <c r="G1431" s="234"/>
      <c r="H1431" s="233"/>
      <c r="I1431" s="233"/>
      <c r="J1431" s="770"/>
      <c r="K1431" s="233"/>
      <c r="L1431" s="233"/>
      <c r="M1431" s="233"/>
      <c r="N1431" s="2460"/>
      <c r="O1431" s="2460"/>
    </row>
    <row r="1432" spans="3:15">
      <c r="C1432" s="233"/>
      <c r="D1432" s="233"/>
      <c r="E1432" s="770"/>
      <c r="F1432" s="234"/>
      <c r="G1432" s="234"/>
      <c r="H1432" s="233"/>
      <c r="I1432" s="233"/>
      <c r="J1432" s="770"/>
      <c r="K1432" s="233"/>
      <c r="L1432" s="233"/>
      <c r="M1432" s="233"/>
      <c r="N1432" s="2460"/>
      <c r="O1432" s="2460"/>
    </row>
    <row r="1433" spans="3:15">
      <c r="C1433" s="233"/>
      <c r="D1433" s="233"/>
      <c r="E1433" s="770"/>
      <c r="F1433" s="234"/>
      <c r="G1433" s="234"/>
      <c r="H1433" s="233"/>
      <c r="I1433" s="233"/>
      <c r="J1433" s="770"/>
      <c r="K1433" s="233"/>
      <c r="L1433" s="233"/>
      <c r="M1433" s="233"/>
      <c r="N1433" s="2460"/>
      <c r="O1433" s="2460"/>
    </row>
    <row r="1434" spans="3:15">
      <c r="C1434" s="233"/>
      <c r="D1434" s="233"/>
      <c r="E1434" s="770"/>
      <c r="F1434" s="234"/>
      <c r="G1434" s="234"/>
      <c r="H1434" s="233"/>
      <c r="I1434" s="233"/>
      <c r="J1434" s="770"/>
      <c r="K1434" s="233"/>
      <c r="L1434" s="233"/>
      <c r="M1434" s="233"/>
      <c r="N1434" s="2460"/>
      <c r="O1434" s="2460"/>
    </row>
    <row r="1435" spans="3:15">
      <c r="C1435" s="233"/>
      <c r="D1435" s="233"/>
      <c r="E1435" s="770"/>
      <c r="F1435" s="234"/>
      <c r="G1435" s="234"/>
      <c r="H1435" s="233"/>
      <c r="I1435" s="233"/>
      <c r="J1435" s="770"/>
      <c r="K1435" s="233"/>
      <c r="L1435" s="233"/>
      <c r="M1435" s="233"/>
      <c r="N1435" s="2460"/>
      <c r="O1435" s="2460"/>
    </row>
    <row r="1436" spans="3:15">
      <c r="C1436" s="233"/>
      <c r="D1436" s="233"/>
      <c r="E1436" s="770"/>
      <c r="F1436" s="234"/>
      <c r="G1436" s="234"/>
      <c r="H1436" s="233"/>
      <c r="I1436" s="233"/>
      <c r="J1436" s="770"/>
      <c r="K1436" s="233"/>
      <c r="L1436" s="233"/>
      <c r="M1436" s="233"/>
      <c r="N1436" s="2460"/>
      <c r="O1436" s="2460"/>
    </row>
    <row r="1437" spans="3:15">
      <c r="C1437" s="233"/>
      <c r="D1437" s="233"/>
      <c r="E1437" s="770"/>
      <c r="F1437" s="234"/>
      <c r="G1437" s="234"/>
      <c r="H1437" s="233"/>
      <c r="I1437" s="233"/>
      <c r="J1437" s="770"/>
      <c r="K1437" s="233"/>
      <c r="L1437" s="233"/>
      <c r="M1437" s="233"/>
      <c r="N1437" s="2460"/>
      <c r="O1437" s="2460"/>
    </row>
    <row r="1438" spans="3:15">
      <c r="C1438" s="233"/>
      <c r="D1438" s="233"/>
      <c r="E1438" s="770"/>
      <c r="F1438" s="234"/>
      <c r="G1438" s="234"/>
      <c r="H1438" s="233"/>
      <c r="I1438" s="233"/>
      <c r="J1438" s="770"/>
      <c r="K1438" s="233"/>
      <c r="L1438" s="233"/>
      <c r="M1438" s="233"/>
      <c r="N1438" s="2460"/>
      <c r="O1438" s="2460"/>
    </row>
    <row r="1439" spans="3:15">
      <c r="C1439" s="233"/>
      <c r="D1439" s="233"/>
      <c r="E1439" s="770"/>
      <c r="F1439" s="234"/>
      <c r="G1439" s="234"/>
      <c r="H1439" s="233"/>
      <c r="I1439" s="233"/>
      <c r="J1439" s="770"/>
      <c r="K1439" s="233"/>
      <c r="L1439" s="233"/>
      <c r="M1439" s="233"/>
      <c r="N1439" s="2460"/>
      <c r="O1439" s="2460"/>
    </row>
    <row r="1440" spans="3:15">
      <c r="C1440" s="233"/>
      <c r="D1440" s="233"/>
      <c r="E1440" s="770"/>
      <c r="F1440" s="234"/>
      <c r="G1440" s="234"/>
      <c r="H1440" s="233"/>
      <c r="I1440" s="233"/>
      <c r="J1440" s="770"/>
      <c r="K1440" s="233"/>
      <c r="L1440" s="233"/>
      <c r="M1440" s="233"/>
      <c r="N1440" s="2460"/>
      <c r="O1440" s="2460"/>
    </row>
    <row r="1441" spans="3:15">
      <c r="C1441" s="233"/>
      <c r="D1441" s="233"/>
      <c r="E1441" s="770"/>
      <c r="F1441" s="234"/>
      <c r="G1441" s="234"/>
      <c r="H1441" s="233"/>
      <c r="I1441" s="233"/>
      <c r="J1441" s="770"/>
      <c r="K1441" s="233"/>
      <c r="L1441" s="233"/>
      <c r="M1441" s="233"/>
      <c r="N1441" s="2460"/>
      <c r="O1441" s="2460"/>
    </row>
    <row r="1442" spans="3:15">
      <c r="C1442" s="233"/>
      <c r="D1442" s="233"/>
      <c r="E1442" s="770"/>
      <c r="F1442" s="234"/>
      <c r="G1442" s="234"/>
      <c r="H1442" s="233"/>
      <c r="I1442" s="233"/>
      <c r="J1442" s="770"/>
      <c r="K1442" s="233"/>
      <c r="L1442" s="233"/>
      <c r="M1442" s="233"/>
      <c r="N1442" s="2460"/>
      <c r="O1442" s="2460"/>
    </row>
    <row r="1443" spans="3:15">
      <c r="C1443" s="233"/>
      <c r="D1443" s="233"/>
      <c r="E1443" s="770"/>
      <c r="F1443" s="234"/>
      <c r="G1443" s="234"/>
      <c r="H1443" s="233"/>
      <c r="I1443" s="233"/>
      <c r="J1443" s="770"/>
      <c r="K1443" s="233"/>
      <c r="L1443" s="233"/>
      <c r="M1443" s="233"/>
      <c r="N1443" s="2460"/>
      <c r="O1443" s="2460"/>
    </row>
    <row r="1444" spans="3:15">
      <c r="C1444" s="233"/>
      <c r="D1444" s="233"/>
      <c r="E1444" s="770"/>
      <c r="F1444" s="234"/>
      <c r="G1444" s="234"/>
      <c r="H1444" s="233"/>
      <c r="I1444" s="233"/>
      <c r="J1444" s="770"/>
      <c r="K1444" s="233"/>
      <c r="L1444" s="233"/>
      <c r="M1444" s="233"/>
      <c r="N1444" s="2460"/>
      <c r="O1444" s="2460"/>
    </row>
    <row r="1445" spans="3:15">
      <c r="C1445" s="233"/>
      <c r="D1445" s="233"/>
      <c r="E1445" s="770"/>
      <c r="F1445" s="234"/>
      <c r="G1445" s="234"/>
      <c r="H1445" s="233"/>
      <c r="I1445" s="233"/>
      <c r="J1445" s="770"/>
      <c r="K1445" s="233"/>
      <c r="L1445" s="233"/>
      <c r="M1445" s="233"/>
      <c r="N1445" s="2460"/>
      <c r="O1445" s="2460"/>
    </row>
    <row r="1446" spans="3:15">
      <c r="C1446" s="233"/>
      <c r="D1446" s="233"/>
      <c r="E1446" s="770"/>
      <c r="F1446" s="234"/>
      <c r="G1446" s="234"/>
      <c r="H1446" s="233"/>
      <c r="I1446" s="233"/>
      <c r="J1446" s="770"/>
      <c r="K1446" s="233"/>
      <c r="L1446" s="233"/>
      <c r="M1446" s="233"/>
      <c r="N1446" s="2460"/>
      <c r="O1446" s="2460"/>
    </row>
    <row r="1447" spans="3:15">
      <c r="C1447" s="233"/>
      <c r="D1447" s="233"/>
      <c r="E1447" s="770"/>
      <c r="F1447" s="234"/>
      <c r="G1447" s="234"/>
      <c r="H1447" s="233"/>
      <c r="I1447" s="233"/>
      <c r="J1447" s="770"/>
      <c r="K1447" s="233"/>
      <c r="L1447" s="233"/>
      <c r="M1447" s="233"/>
      <c r="N1447" s="2460"/>
      <c r="O1447" s="2460"/>
    </row>
    <row r="1448" spans="3:15">
      <c r="C1448" s="233"/>
      <c r="D1448" s="233"/>
      <c r="E1448" s="770"/>
      <c r="F1448" s="234"/>
      <c r="G1448" s="234"/>
      <c r="H1448" s="233"/>
      <c r="I1448" s="233"/>
      <c r="J1448" s="770"/>
      <c r="K1448" s="233"/>
      <c r="L1448" s="233"/>
      <c r="M1448" s="233"/>
      <c r="N1448" s="2460"/>
      <c r="O1448" s="2460"/>
    </row>
    <row r="1449" spans="3:15">
      <c r="C1449" s="233"/>
      <c r="D1449" s="233"/>
      <c r="E1449" s="770"/>
      <c r="F1449" s="234"/>
      <c r="G1449" s="234"/>
      <c r="H1449" s="233"/>
      <c r="I1449" s="233"/>
      <c r="J1449" s="770"/>
      <c r="K1449" s="233"/>
      <c r="L1449" s="233"/>
      <c r="M1449" s="233"/>
      <c r="N1449" s="2460"/>
      <c r="O1449" s="2460"/>
    </row>
    <row r="1450" spans="3:15">
      <c r="C1450" s="233"/>
      <c r="D1450" s="233"/>
      <c r="E1450" s="770"/>
      <c r="F1450" s="234"/>
      <c r="G1450" s="234"/>
      <c r="H1450" s="233"/>
      <c r="I1450" s="233"/>
      <c r="J1450" s="770"/>
      <c r="K1450" s="233"/>
      <c r="L1450" s="233"/>
      <c r="M1450" s="233"/>
      <c r="N1450" s="2460"/>
      <c r="O1450" s="2460"/>
    </row>
    <row r="1451" spans="3:15">
      <c r="C1451" s="233"/>
      <c r="D1451" s="233"/>
      <c r="E1451" s="770"/>
      <c r="F1451" s="234"/>
      <c r="G1451" s="234"/>
      <c r="H1451" s="233"/>
      <c r="I1451" s="233"/>
      <c r="J1451" s="770"/>
      <c r="K1451" s="233"/>
      <c r="L1451" s="233"/>
      <c r="M1451" s="233"/>
      <c r="N1451" s="2460"/>
      <c r="O1451" s="2460"/>
    </row>
    <row r="1452" spans="3:15">
      <c r="C1452" s="233"/>
      <c r="D1452" s="233"/>
      <c r="E1452" s="770"/>
      <c r="F1452" s="234"/>
      <c r="G1452" s="234"/>
      <c r="H1452" s="233"/>
      <c r="I1452" s="233"/>
      <c r="J1452" s="770"/>
      <c r="K1452" s="233"/>
      <c r="L1452" s="233"/>
      <c r="M1452" s="233"/>
      <c r="N1452" s="2460"/>
      <c r="O1452" s="2460"/>
    </row>
    <row r="1453" spans="3:15">
      <c r="C1453" s="233"/>
      <c r="D1453" s="233"/>
      <c r="E1453" s="770"/>
      <c r="F1453" s="234"/>
      <c r="G1453" s="234"/>
      <c r="H1453" s="233"/>
      <c r="I1453" s="233"/>
      <c r="J1453" s="770"/>
      <c r="K1453" s="233"/>
      <c r="L1453" s="233"/>
      <c r="M1453" s="233"/>
      <c r="N1453" s="2460"/>
      <c r="O1453" s="2460"/>
    </row>
    <row r="1454" spans="3:15">
      <c r="C1454" s="233"/>
      <c r="D1454" s="233"/>
      <c r="E1454" s="770"/>
      <c r="F1454" s="234"/>
      <c r="G1454" s="234"/>
      <c r="H1454" s="233"/>
      <c r="I1454" s="233"/>
      <c r="J1454" s="770"/>
      <c r="K1454" s="233"/>
      <c r="L1454" s="233"/>
      <c r="M1454" s="233"/>
      <c r="N1454" s="2460"/>
      <c r="O1454" s="2460"/>
    </row>
    <row r="1455" spans="3:15">
      <c r="C1455" s="233"/>
      <c r="D1455" s="233"/>
      <c r="E1455" s="770"/>
      <c r="F1455" s="234"/>
      <c r="G1455" s="234"/>
      <c r="H1455" s="233"/>
      <c r="I1455" s="233"/>
      <c r="J1455" s="770"/>
      <c r="K1455" s="233"/>
      <c r="L1455" s="233"/>
      <c r="M1455" s="233"/>
      <c r="N1455" s="2460"/>
      <c r="O1455" s="2460"/>
    </row>
    <row r="1456" spans="3:15">
      <c r="C1456" s="233"/>
      <c r="D1456" s="233"/>
      <c r="E1456" s="770"/>
      <c r="F1456" s="234"/>
      <c r="G1456" s="234"/>
      <c r="H1456" s="233"/>
      <c r="I1456" s="233"/>
      <c r="J1456" s="770"/>
      <c r="K1456" s="233"/>
      <c r="L1456" s="233"/>
      <c r="M1456" s="233"/>
      <c r="N1456" s="2460"/>
      <c r="O1456" s="2460"/>
    </row>
    <row r="1457" spans="3:15">
      <c r="C1457" s="233"/>
      <c r="D1457" s="233"/>
      <c r="E1457" s="770"/>
      <c r="F1457" s="234"/>
      <c r="G1457" s="234"/>
      <c r="H1457" s="233"/>
      <c r="I1457" s="233"/>
      <c r="J1457" s="770"/>
      <c r="K1457" s="233"/>
      <c r="L1457" s="233"/>
      <c r="M1457" s="233"/>
      <c r="N1457" s="2460"/>
      <c r="O1457" s="2460"/>
    </row>
    <row r="1458" spans="3:15">
      <c r="C1458" s="233"/>
      <c r="D1458" s="233"/>
      <c r="E1458" s="770"/>
      <c r="F1458" s="234"/>
      <c r="G1458" s="234"/>
      <c r="H1458" s="233"/>
      <c r="I1458" s="233"/>
      <c r="J1458" s="770"/>
      <c r="K1458" s="233"/>
      <c r="L1458" s="233"/>
      <c r="M1458" s="233"/>
      <c r="N1458" s="2460"/>
      <c r="O1458" s="2460"/>
    </row>
    <row r="1459" spans="3:15">
      <c r="C1459" s="233"/>
      <c r="D1459" s="233"/>
      <c r="E1459" s="770"/>
      <c r="F1459" s="234"/>
      <c r="G1459" s="234"/>
      <c r="H1459" s="233"/>
      <c r="I1459" s="233"/>
      <c r="J1459" s="770"/>
      <c r="K1459" s="233"/>
      <c r="L1459" s="233"/>
      <c r="M1459" s="233"/>
      <c r="N1459" s="2460"/>
      <c r="O1459" s="2460"/>
    </row>
    <row r="1460" spans="3:15">
      <c r="C1460" s="233"/>
      <c r="D1460" s="233"/>
      <c r="E1460" s="770"/>
      <c r="F1460" s="234"/>
      <c r="G1460" s="234"/>
      <c r="H1460" s="233"/>
      <c r="I1460" s="233"/>
      <c r="J1460" s="770"/>
      <c r="K1460" s="233"/>
      <c r="L1460" s="233"/>
      <c r="M1460" s="233"/>
      <c r="N1460" s="2460"/>
      <c r="O1460" s="2460"/>
    </row>
    <row r="1461" spans="3:15">
      <c r="C1461" s="233"/>
      <c r="D1461" s="233"/>
      <c r="E1461" s="770"/>
      <c r="F1461" s="234"/>
      <c r="G1461" s="234"/>
      <c r="H1461" s="233"/>
      <c r="I1461" s="233"/>
      <c r="J1461" s="770"/>
      <c r="K1461" s="233"/>
      <c r="L1461" s="233"/>
      <c r="M1461" s="233"/>
      <c r="N1461" s="2460"/>
      <c r="O1461" s="2460"/>
    </row>
    <row r="1462" spans="3:15">
      <c r="C1462" s="233"/>
      <c r="D1462" s="233"/>
      <c r="E1462" s="770"/>
      <c r="F1462" s="234"/>
      <c r="G1462" s="234"/>
      <c r="H1462" s="233"/>
      <c r="I1462" s="233"/>
      <c r="J1462" s="770"/>
      <c r="K1462" s="233"/>
      <c r="L1462" s="233"/>
      <c r="M1462" s="233"/>
      <c r="N1462" s="2460"/>
      <c r="O1462" s="2460"/>
    </row>
    <row r="1463" spans="3:15">
      <c r="C1463" s="233"/>
      <c r="D1463" s="233"/>
      <c r="E1463" s="770"/>
      <c r="F1463" s="234"/>
      <c r="G1463" s="234"/>
      <c r="H1463" s="233"/>
      <c r="I1463" s="233"/>
      <c r="J1463" s="770"/>
      <c r="K1463" s="233"/>
      <c r="L1463" s="233"/>
      <c r="M1463" s="233"/>
      <c r="N1463" s="2460"/>
      <c r="O1463" s="2460"/>
    </row>
    <row r="1464" spans="3:15">
      <c r="C1464" s="233"/>
      <c r="D1464" s="233"/>
      <c r="E1464" s="770"/>
      <c r="F1464" s="234"/>
      <c r="G1464" s="234"/>
      <c r="H1464" s="233"/>
      <c r="I1464" s="233"/>
      <c r="J1464" s="770"/>
      <c r="K1464" s="233"/>
      <c r="L1464" s="233"/>
      <c r="M1464" s="233"/>
      <c r="N1464" s="2460"/>
      <c r="O1464" s="2460"/>
    </row>
    <row r="1465" spans="3:15">
      <c r="C1465" s="233"/>
      <c r="D1465" s="233"/>
      <c r="E1465" s="770"/>
      <c r="F1465" s="234"/>
      <c r="G1465" s="234"/>
      <c r="H1465" s="233"/>
      <c r="I1465" s="233"/>
      <c r="J1465" s="770"/>
      <c r="K1465" s="233"/>
      <c r="L1465" s="233"/>
      <c r="M1465" s="233"/>
      <c r="N1465" s="2460"/>
      <c r="O1465" s="2460"/>
    </row>
    <row r="1466" spans="3:15">
      <c r="C1466" s="233"/>
      <c r="D1466" s="233"/>
      <c r="E1466" s="770"/>
      <c r="F1466" s="234"/>
      <c r="G1466" s="234"/>
      <c r="H1466" s="233"/>
      <c r="I1466" s="233"/>
      <c r="J1466" s="770"/>
      <c r="K1466" s="233"/>
      <c r="L1466" s="233"/>
      <c r="M1466" s="233"/>
      <c r="N1466" s="2460"/>
      <c r="O1466" s="2460"/>
    </row>
    <row r="1467" spans="3:15">
      <c r="C1467" s="233"/>
      <c r="D1467" s="233"/>
      <c r="E1467" s="770"/>
      <c r="F1467" s="234"/>
      <c r="G1467" s="234"/>
      <c r="H1467" s="233"/>
      <c r="I1467" s="233"/>
      <c r="J1467" s="770"/>
      <c r="K1467" s="233"/>
      <c r="L1467" s="233"/>
      <c r="M1467" s="233"/>
      <c r="N1467" s="2460"/>
      <c r="O1467" s="2460"/>
    </row>
    <row r="1468" spans="3:15">
      <c r="C1468" s="233"/>
      <c r="D1468" s="233"/>
      <c r="E1468" s="770"/>
      <c r="F1468" s="234"/>
      <c r="G1468" s="234"/>
      <c r="H1468" s="233"/>
      <c r="I1468" s="233"/>
      <c r="J1468" s="770"/>
      <c r="K1468" s="233"/>
      <c r="L1468" s="233"/>
      <c r="M1468" s="233"/>
      <c r="N1468" s="2460"/>
      <c r="O1468" s="2460"/>
    </row>
    <row r="1469" spans="3:15">
      <c r="C1469" s="233"/>
      <c r="D1469" s="233"/>
      <c r="E1469" s="770"/>
      <c r="F1469" s="234"/>
      <c r="G1469" s="234"/>
      <c r="H1469" s="233"/>
      <c r="I1469" s="233"/>
      <c r="J1469" s="770"/>
      <c r="K1469" s="233"/>
      <c r="L1469" s="233"/>
      <c r="M1469" s="233"/>
      <c r="N1469" s="2460"/>
      <c r="O1469" s="2460"/>
    </row>
    <row r="1470" spans="3:15">
      <c r="C1470" s="233"/>
      <c r="D1470" s="233"/>
      <c r="E1470" s="770"/>
      <c r="F1470" s="234"/>
      <c r="G1470" s="234"/>
      <c r="H1470" s="233"/>
      <c r="I1470" s="233"/>
      <c r="J1470" s="770"/>
      <c r="K1470" s="233"/>
      <c r="L1470" s="233"/>
      <c r="M1470" s="233"/>
      <c r="N1470" s="2460"/>
      <c r="O1470" s="2460"/>
    </row>
    <row r="1471" spans="3:15">
      <c r="C1471" s="233"/>
      <c r="D1471" s="233"/>
      <c r="E1471" s="770"/>
      <c r="F1471" s="234"/>
      <c r="G1471" s="234"/>
      <c r="H1471" s="233"/>
      <c r="I1471" s="233"/>
      <c r="J1471" s="770"/>
      <c r="K1471" s="233"/>
      <c r="L1471" s="233"/>
      <c r="M1471" s="233"/>
      <c r="N1471" s="2460"/>
      <c r="O1471" s="2460"/>
    </row>
    <row r="1472" spans="3:15">
      <c r="C1472" s="233"/>
      <c r="D1472" s="233"/>
      <c r="E1472" s="770"/>
      <c r="F1472" s="234"/>
      <c r="G1472" s="234"/>
      <c r="H1472" s="233"/>
      <c r="I1472" s="233"/>
      <c r="J1472" s="770"/>
      <c r="K1472" s="233"/>
      <c r="L1472" s="233"/>
      <c r="M1472" s="233"/>
      <c r="N1472" s="2460"/>
      <c r="O1472" s="2460"/>
    </row>
    <row r="1473" spans="3:15">
      <c r="C1473" s="233"/>
      <c r="D1473" s="233"/>
      <c r="E1473" s="770"/>
      <c r="F1473" s="234"/>
      <c r="G1473" s="234"/>
      <c r="H1473" s="233"/>
      <c r="I1473" s="233"/>
      <c r="J1473" s="770"/>
      <c r="K1473" s="233"/>
      <c r="L1473" s="233"/>
      <c r="M1473" s="233"/>
      <c r="N1473" s="2460"/>
      <c r="O1473" s="2460"/>
    </row>
    <row r="1474" spans="3:15">
      <c r="C1474" s="233"/>
      <c r="D1474" s="233"/>
      <c r="E1474" s="770"/>
      <c r="F1474" s="234"/>
      <c r="G1474" s="234"/>
      <c r="H1474" s="233"/>
      <c r="I1474" s="233"/>
      <c r="J1474" s="770"/>
      <c r="K1474" s="233"/>
      <c r="L1474" s="233"/>
      <c r="M1474" s="233"/>
      <c r="N1474" s="2460"/>
      <c r="O1474" s="2460"/>
    </row>
    <row r="1475" spans="3:15">
      <c r="C1475" s="233"/>
      <c r="D1475" s="233"/>
      <c r="E1475" s="770"/>
      <c r="F1475" s="234"/>
      <c r="G1475" s="234"/>
      <c r="H1475" s="233"/>
      <c r="I1475" s="233"/>
      <c r="J1475" s="770"/>
      <c r="K1475" s="233"/>
      <c r="L1475" s="233"/>
      <c r="M1475" s="233"/>
      <c r="N1475" s="2460"/>
      <c r="O1475" s="2460"/>
    </row>
    <row r="1476" spans="3:15">
      <c r="C1476" s="233"/>
      <c r="D1476" s="233"/>
      <c r="E1476" s="770"/>
      <c r="F1476" s="234"/>
      <c r="G1476" s="234"/>
      <c r="H1476" s="233"/>
      <c r="I1476" s="233"/>
      <c r="J1476" s="770"/>
      <c r="K1476" s="233"/>
      <c r="L1476" s="233"/>
      <c r="M1476" s="233"/>
      <c r="N1476" s="2460"/>
      <c r="O1476" s="2460"/>
    </row>
    <row r="1477" spans="3:15">
      <c r="C1477" s="233"/>
      <c r="D1477" s="233"/>
      <c r="E1477" s="770"/>
      <c r="F1477" s="234"/>
      <c r="G1477" s="234"/>
      <c r="H1477" s="233"/>
      <c r="I1477" s="233"/>
      <c r="J1477" s="770"/>
      <c r="K1477" s="233"/>
      <c r="L1477" s="233"/>
      <c r="M1477" s="233"/>
      <c r="N1477" s="2460"/>
      <c r="O1477" s="2460"/>
    </row>
    <row r="1478" spans="3:15">
      <c r="C1478" s="233"/>
      <c r="D1478" s="233"/>
      <c r="E1478" s="770"/>
      <c r="F1478" s="234"/>
      <c r="G1478" s="234"/>
      <c r="H1478" s="233"/>
      <c r="I1478" s="233"/>
      <c r="J1478" s="770"/>
      <c r="K1478" s="233"/>
      <c r="L1478" s="233"/>
      <c r="M1478" s="233"/>
      <c r="N1478" s="2460"/>
      <c r="O1478" s="2460"/>
    </row>
    <row r="1479" spans="3:15">
      <c r="C1479" s="233"/>
      <c r="D1479" s="233"/>
      <c r="E1479" s="770"/>
      <c r="F1479" s="234"/>
      <c r="G1479" s="234"/>
      <c r="H1479" s="233"/>
      <c r="I1479" s="233"/>
      <c r="J1479" s="770"/>
      <c r="K1479" s="233"/>
      <c r="L1479" s="233"/>
      <c r="M1479" s="233"/>
      <c r="N1479" s="2460"/>
      <c r="O1479" s="2460"/>
    </row>
    <row r="1480" spans="3:15">
      <c r="C1480" s="233"/>
      <c r="D1480" s="233"/>
      <c r="E1480" s="770"/>
      <c r="F1480" s="234"/>
      <c r="G1480" s="234"/>
      <c r="H1480" s="233"/>
      <c r="I1480" s="233"/>
      <c r="J1480" s="770"/>
      <c r="K1480" s="233"/>
      <c r="L1480" s="233"/>
      <c r="M1480" s="233"/>
      <c r="N1480" s="2460"/>
      <c r="O1480" s="2460"/>
    </row>
    <row r="1481" spans="3:15">
      <c r="C1481" s="233"/>
      <c r="D1481" s="233"/>
      <c r="E1481" s="770"/>
      <c r="F1481" s="234"/>
      <c r="G1481" s="234"/>
      <c r="H1481" s="233"/>
      <c r="I1481" s="233"/>
      <c r="J1481" s="770"/>
      <c r="K1481" s="233"/>
      <c r="L1481" s="233"/>
      <c r="M1481" s="233"/>
      <c r="N1481" s="2460"/>
      <c r="O1481" s="2460"/>
    </row>
    <row r="1482" spans="3:15">
      <c r="C1482" s="233"/>
      <c r="D1482" s="233"/>
      <c r="E1482" s="770"/>
      <c r="F1482" s="234"/>
      <c r="G1482" s="234"/>
      <c r="H1482" s="233"/>
      <c r="I1482" s="233"/>
      <c r="J1482" s="770"/>
      <c r="K1482" s="233"/>
      <c r="L1482" s="233"/>
      <c r="M1482" s="233"/>
      <c r="N1482" s="2460"/>
      <c r="O1482" s="2460"/>
    </row>
    <row r="1483" spans="3:15">
      <c r="C1483" s="233"/>
      <c r="D1483" s="233"/>
      <c r="E1483" s="770"/>
      <c r="F1483" s="234"/>
      <c r="G1483" s="234"/>
      <c r="H1483" s="233"/>
      <c r="I1483" s="233"/>
      <c r="J1483" s="770"/>
      <c r="K1483" s="233"/>
      <c r="L1483" s="233"/>
      <c r="M1483" s="233"/>
      <c r="N1483" s="2460"/>
      <c r="O1483" s="2460"/>
    </row>
    <row r="1484" spans="3:15">
      <c r="C1484" s="233"/>
      <c r="D1484" s="233"/>
      <c r="E1484" s="770"/>
      <c r="F1484" s="234"/>
      <c r="G1484" s="234"/>
      <c r="H1484" s="233"/>
      <c r="I1484" s="233"/>
      <c r="J1484" s="770"/>
      <c r="K1484" s="233"/>
      <c r="L1484" s="233"/>
      <c r="M1484" s="233"/>
      <c r="N1484" s="2460"/>
      <c r="O1484" s="2460"/>
    </row>
    <row r="1485" spans="3:15">
      <c r="C1485" s="233"/>
      <c r="D1485" s="233"/>
      <c r="E1485" s="770"/>
      <c r="F1485" s="234"/>
      <c r="G1485" s="234"/>
      <c r="H1485" s="233"/>
      <c r="I1485" s="233"/>
      <c r="J1485" s="770"/>
      <c r="K1485" s="233"/>
      <c r="L1485" s="233"/>
      <c r="M1485" s="233"/>
      <c r="N1485" s="2460"/>
      <c r="O1485" s="2460"/>
    </row>
    <row r="1486" spans="3:15">
      <c r="C1486" s="233"/>
      <c r="D1486" s="233"/>
      <c r="E1486" s="770"/>
      <c r="F1486" s="234"/>
      <c r="G1486" s="234"/>
      <c r="H1486" s="233"/>
      <c r="I1486" s="233"/>
      <c r="J1486" s="770"/>
      <c r="K1486" s="233"/>
      <c r="L1486" s="233"/>
      <c r="M1486" s="233"/>
      <c r="N1486" s="2460"/>
      <c r="O1486" s="2460"/>
    </row>
    <row r="1487" spans="3:15">
      <c r="C1487" s="233"/>
      <c r="D1487" s="233"/>
      <c r="E1487" s="770"/>
      <c r="F1487" s="234"/>
      <c r="G1487" s="234"/>
      <c r="H1487" s="233"/>
      <c r="I1487" s="233"/>
      <c r="J1487" s="770"/>
      <c r="K1487" s="233"/>
      <c r="L1487" s="233"/>
      <c r="M1487" s="233"/>
      <c r="N1487" s="2460"/>
      <c r="O1487" s="2460"/>
    </row>
    <row r="1488" spans="3:15">
      <c r="C1488" s="233"/>
      <c r="D1488" s="233"/>
      <c r="E1488" s="770"/>
      <c r="F1488" s="234"/>
      <c r="G1488" s="234"/>
      <c r="H1488" s="233"/>
      <c r="I1488" s="233"/>
      <c r="J1488" s="770"/>
      <c r="K1488" s="233"/>
      <c r="L1488" s="233"/>
      <c r="M1488" s="233"/>
      <c r="N1488" s="2460"/>
      <c r="O1488" s="2460"/>
    </row>
    <row r="1489" spans="3:15">
      <c r="C1489" s="233"/>
      <c r="D1489" s="233"/>
      <c r="E1489" s="770"/>
      <c r="F1489" s="234"/>
      <c r="G1489" s="234"/>
      <c r="H1489" s="233"/>
      <c r="I1489" s="233"/>
      <c r="J1489" s="770"/>
      <c r="K1489" s="233"/>
      <c r="L1489" s="233"/>
      <c r="M1489" s="233"/>
      <c r="N1489" s="2460"/>
      <c r="O1489" s="2460"/>
    </row>
    <row r="1490" spans="3:15">
      <c r="C1490" s="233"/>
      <c r="D1490" s="233"/>
      <c r="E1490" s="770"/>
      <c r="F1490" s="234"/>
      <c r="G1490" s="234"/>
      <c r="H1490" s="233"/>
      <c r="I1490" s="233"/>
      <c r="J1490" s="770"/>
      <c r="K1490" s="233"/>
      <c r="L1490" s="233"/>
      <c r="M1490" s="233"/>
      <c r="N1490" s="2460"/>
      <c r="O1490" s="2460"/>
    </row>
    <row r="1491" spans="3:15">
      <c r="C1491" s="233"/>
      <c r="D1491" s="233"/>
      <c r="E1491" s="770"/>
      <c r="F1491" s="234"/>
      <c r="G1491" s="234"/>
      <c r="H1491" s="233"/>
      <c r="I1491" s="233"/>
      <c r="J1491" s="770"/>
      <c r="K1491" s="233"/>
      <c r="L1491" s="233"/>
      <c r="M1491" s="233"/>
      <c r="N1491" s="2460"/>
      <c r="O1491" s="2460"/>
    </row>
    <row r="1492" spans="3:15">
      <c r="C1492" s="233"/>
      <c r="D1492" s="233"/>
      <c r="E1492" s="770"/>
      <c r="F1492" s="234"/>
      <c r="G1492" s="234"/>
      <c r="H1492" s="233"/>
      <c r="I1492" s="233"/>
      <c r="J1492" s="770"/>
      <c r="K1492" s="233"/>
      <c r="L1492" s="233"/>
      <c r="M1492" s="233"/>
      <c r="N1492" s="2460"/>
      <c r="O1492" s="2460"/>
    </row>
    <row r="1493" spans="3:15">
      <c r="C1493" s="233"/>
      <c r="D1493" s="233"/>
      <c r="E1493" s="770"/>
      <c r="F1493" s="234"/>
      <c r="G1493" s="234"/>
      <c r="H1493" s="233"/>
      <c r="I1493" s="233"/>
      <c r="J1493" s="770"/>
      <c r="K1493" s="233"/>
      <c r="L1493" s="233"/>
      <c r="M1493" s="233"/>
      <c r="N1493" s="2460"/>
      <c r="O1493" s="2460"/>
    </row>
    <row r="1494" spans="3:15">
      <c r="C1494" s="233"/>
      <c r="D1494" s="233"/>
      <c r="E1494" s="770"/>
      <c r="F1494" s="234"/>
      <c r="G1494" s="234"/>
      <c r="H1494" s="233"/>
      <c r="I1494" s="233"/>
      <c r="J1494" s="770"/>
      <c r="K1494" s="233"/>
      <c r="L1494" s="233"/>
      <c r="M1494" s="233"/>
      <c r="N1494" s="2460"/>
      <c r="O1494" s="2460"/>
    </row>
    <row r="1495" spans="3:15">
      <c r="C1495" s="233"/>
      <c r="D1495" s="233"/>
      <c r="E1495" s="770"/>
      <c r="F1495" s="234"/>
      <c r="G1495" s="234"/>
      <c r="H1495" s="233"/>
      <c r="I1495" s="233"/>
      <c r="J1495" s="770"/>
      <c r="K1495" s="233"/>
      <c r="L1495" s="233"/>
      <c r="M1495" s="233"/>
      <c r="N1495" s="2460"/>
      <c r="O1495" s="2460"/>
    </row>
    <row r="1496" spans="3:15">
      <c r="C1496" s="233"/>
      <c r="D1496" s="233"/>
      <c r="E1496" s="770"/>
      <c r="F1496" s="234"/>
      <c r="G1496" s="234"/>
      <c r="H1496" s="233"/>
      <c r="I1496" s="233"/>
      <c r="J1496" s="770"/>
      <c r="K1496" s="233"/>
      <c r="L1496" s="233"/>
      <c r="M1496" s="233"/>
      <c r="N1496" s="2460"/>
      <c r="O1496" s="2460"/>
    </row>
    <row r="1497" spans="3:15">
      <c r="C1497" s="233"/>
      <c r="D1497" s="233"/>
      <c r="E1497" s="770"/>
      <c r="F1497" s="234"/>
      <c r="G1497" s="234"/>
      <c r="H1497" s="233"/>
      <c r="I1497" s="233"/>
      <c r="J1497" s="770"/>
      <c r="K1497" s="233"/>
      <c r="L1497" s="233"/>
      <c r="M1497" s="233"/>
      <c r="N1497" s="2460"/>
      <c r="O1497" s="2460"/>
    </row>
    <row r="1498" spans="3:15">
      <c r="C1498" s="233"/>
      <c r="D1498" s="233"/>
      <c r="E1498" s="770"/>
      <c r="F1498" s="234"/>
      <c r="G1498" s="234"/>
      <c r="H1498" s="233"/>
      <c r="I1498" s="233"/>
      <c r="J1498" s="770"/>
      <c r="K1498" s="233"/>
      <c r="L1498" s="233"/>
      <c r="M1498" s="233"/>
      <c r="N1498" s="2460"/>
      <c r="O1498" s="2460"/>
    </row>
    <row r="1499" spans="3:15">
      <c r="C1499" s="233"/>
      <c r="D1499" s="233"/>
      <c r="E1499" s="770"/>
      <c r="F1499" s="234"/>
      <c r="G1499" s="234"/>
      <c r="H1499" s="233"/>
      <c r="I1499" s="233"/>
      <c r="J1499" s="770"/>
      <c r="K1499" s="233"/>
      <c r="L1499" s="233"/>
      <c r="M1499" s="233"/>
      <c r="N1499" s="2460"/>
      <c r="O1499" s="2460"/>
    </row>
    <row r="1500" spans="3:15">
      <c r="C1500" s="233"/>
      <c r="D1500" s="233"/>
      <c r="E1500" s="770"/>
      <c r="F1500" s="234"/>
      <c r="G1500" s="234"/>
      <c r="H1500" s="233"/>
      <c r="I1500" s="233"/>
      <c r="J1500" s="770"/>
      <c r="K1500" s="233"/>
      <c r="L1500" s="233"/>
      <c r="M1500" s="233"/>
      <c r="N1500" s="2460"/>
      <c r="O1500" s="2460"/>
    </row>
    <row r="1501" spans="3:15">
      <c r="C1501" s="233"/>
      <c r="D1501" s="233"/>
      <c r="E1501" s="770"/>
      <c r="F1501" s="234"/>
      <c r="G1501" s="234"/>
      <c r="H1501" s="233"/>
      <c r="I1501" s="233"/>
      <c r="J1501" s="770"/>
      <c r="K1501" s="233"/>
      <c r="L1501" s="233"/>
      <c r="M1501" s="233"/>
      <c r="N1501" s="2460"/>
      <c r="O1501" s="2460"/>
    </row>
    <row r="1502" spans="3:15">
      <c r="C1502" s="233"/>
      <c r="D1502" s="233"/>
      <c r="E1502" s="770"/>
      <c r="F1502" s="234"/>
      <c r="G1502" s="234"/>
      <c r="H1502" s="233"/>
      <c r="I1502" s="233"/>
      <c r="J1502" s="770"/>
      <c r="K1502" s="233"/>
      <c r="L1502" s="233"/>
      <c r="M1502" s="233"/>
      <c r="N1502" s="2460"/>
      <c r="O1502" s="2460"/>
    </row>
    <row r="1503" spans="3:15">
      <c r="C1503" s="233"/>
      <c r="D1503" s="233"/>
      <c r="E1503" s="770"/>
      <c r="F1503" s="234"/>
      <c r="G1503" s="234"/>
      <c r="H1503" s="233"/>
      <c r="I1503" s="233"/>
      <c r="J1503" s="770"/>
      <c r="K1503" s="233"/>
      <c r="L1503" s="233"/>
      <c r="M1503" s="233"/>
      <c r="N1503" s="2460"/>
      <c r="O1503" s="2460"/>
    </row>
    <row r="1504" spans="3:15">
      <c r="C1504" s="233"/>
      <c r="D1504" s="233"/>
      <c r="E1504" s="770"/>
      <c r="F1504" s="234"/>
      <c r="G1504" s="234"/>
      <c r="H1504" s="233"/>
      <c r="I1504" s="233"/>
      <c r="J1504" s="770"/>
      <c r="K1504" s="233"/>
      <c r="L1504" s="233"/>
      <c r="M1504" s="233"/>
      <c r="N1504" s="2460"/>
      <c r="O1504" s="2460"/>
    </row>
    <row r="1505" spans="3:15">
      <c r="C1505" s="233"/>
      <c r="D1505" s="233"/>
      <c r="E1505" s="770"/>
      <c r="F1505" s="234"/>
      <c r="G1505" s="234"/>
      <c r="H1505" s="233"/>
      <c r="I1505" s="233"/>
      <c r="J1505" s="770"/>
      <c r="K1505" s="233"/>
      <c r="L1505" s="233"/>
      <c r="M1505" s="233"/>
      <c r="N1505" s="2460"/>
      <c r="O1505" s="2460"/>
    </row>
    <row r="1506" spans="3:15">
      <c r="C1506" s="233"/>
      <c r="D1506" s="233"/>
      <c r="E1506" s="770"/>
      <c r="F1506" s="234"/>
      <c r="G1506" s="234"/>
      <c r="H1506" s="233"/>
      <c r="I1506" s="233"/>
      <c r="J1506" s="770"/>
      <c r="K1506" s="233"/>
      <c r="L1506" s="233"/>
      <c r="M1506" s="233"/>
      <c r="N1506" s="2460"/>
      <c r="O1506" s="2460"/>
    </row>
    <row r="1507" spans="3:15">
      <c r="C1507" s="233"/>
      <c r="D1507" s="233"/>
      <c r="E1507" s="770"/>
      <c r="F1507" s="234"/>
      <c r="G1507" s="234"/>
      <c r="H1507" s="233"/>
      <c r="I1507" s="233"/>
      <c r="J1507" s="770"/>
      <c r="K1507" s="233"/>
      <c r="L1507" s="233"/>
      <c r="M1507" s="233"/>
      <c r="N1507" s="2460"/>
      <c r="O1507" s="2460"/>
    </row>
    <row r="1508" spans="3:15">
      <c r="C1508" s="233"/>
      <c r="D1508" s="233"/>
      <c r="E1508" s="770"/>
      <c r="F1508" s="234"/>
      <c r="G1508" s="234"/>
      <c r="H1508" s="233"/>
      <c r="I1508" s="233"/>
      <c r="J1508" s="770"/>
      <c r="K1508" s="233"/>
      <c r="L1508" s="233"/>
      <c r="M1508" s="233"/>
      <c r="N1508" s="2460"/>
      <c r="O1508" s="2460"/>
    </row>
    <row r="1509" spans="3:15">
      <c r="C1509" s="233"/>
      <c r="D1509" s="233"/>
      <c r="E1509" s="770"/>
      <c r="F1509" s="234"/>
      <c r="G1509" s="234"/>
      <c r="H1509" s="233"/>
      <c r="I1509" s="233"/>
      <c r="J1509" s="770"/>
      <c r="K1509" s="233"/>
      <c r="L1509" s="233"/>
      <c r="M1509" s="233"/>
      <c r="N1509" s="2460"/>
      <c r="O1509" s="2460"/>
    </row>
    <row r="1510" spans="3:15">
      <c r="C1510" s="233"/>
      <c r="D1510" s="233"/>
      <c r="E1510" s="770"/>
      <c r="F1510" s="234"/>
      <c r="G1510" s="234"/>
      <c r="H1510" s="233"/>
      <c r="I1510" s="233"/>
      <c r="J1510" s="770"/>
      <c r="K1510" s="233"/>
      <c r="L1510" s="233"/>
      <c r="M1510" s="233"/>
      <c r="N1510" s="2460"/>
      <c r="O1510" s="2460"/>
    </row>
    <row r="1511" spans="3:15">
      <c r="C1511" s="233"/>
      <c r="D1511" s="233"/>
      <c r="E1511" s="770"/>
      <c r="F1511" s="234"/>
      <c r="G1511" s="234"/>
      <c r="H1511" s="233"/>
      <c r="I1511" s="233"/>
      <c r="J1511" s="770"/>
      <c r="K1511" s="233"/>
      <c r="L1511" s="233"/>
      <c r="M1511" s="233"/>
      <c r="N1511" s="2460"/>
      <c r="O1511" s="2460"/>
    </row>
    <row r="1512" spans="3:15">
      <c r="C1512" s="233"/>
      <c r="D1512" s="233"/>
      <c r="E1512" s="770"/>
      <c r="F1512" s="234"/>
      <c r="G1512" s="234"/>
      <c r="H1512" s="233"/>
      <c r="I1512" s="233"/>
      <c r="J1512" s="770"/>
      <c r="K1512" s="233"/>
      <c r="L1512" s="233"/>
      <c r="M1512" s="233"/>
      <c r="N1512" s="2460"/>
      <c r="O1512" s="2460"/>
    </row>
    <row r="1513" spans="3:15">
      <c r="C1513" s="233"/>
      <c r="D1513" s="233"/>
      <c r="E1513" s="770"/>
      <c r="F1513" s="234"/>
      <c r="G1513" s="234"/>
      <c r="H1513" s="233"/>
      <c r="I1513" s="233"/>
      <c r="J1513" s="770"/>
      <c r="K1513" s="233"/>
      <c r="L1513" s="233"/>
      <c r="M1513" s="233"/>
      <c r="N1513" s="2460"/>
      <c r="O1513" s="2460"/>
    </row>
    <row r="1514" spans="3:15">
      <c r="C1514" s="233"/>
      <c r="D1514" s="233"/>
      <c r="E1514" s="770"/>
      <c r="F1514" s="234"/>
      <c r="G1514" s="234"/>
      <c r="H1514" s="233"/>
      <c r="I1514" s="233"/>
      <c r="J1514" s="770"/>
      <c r="K1514" s="233"/>
      <c r="L1514" s="233"/>
      <c r="M1514" s="233"/>
      <c r="N1514" s="2460"/>
      <c r="O1514" s="2460"/>
    </row>
    <row r="1515" spans="3:15">
      <c r="C1515" s="233"/>
      <c r="D1515" s="233"/>
      <c r="E1515" s="770"/>
      <c r="F1515" s="234"/>
      <c r="G1515" s="234"/>
      <c r="H1515" s="233"/>
      <c r="I1515" s="233"/>
      <c r="J1515" s="770"/>
      <c r="K1515" s="233"/>
      <c r="L1515" s="233"/>
      <c r="M1515" s="233"/>
      <c r="N1515" s="2460"/>
      <c r="O1515" s="2460"/>
    </row>
    <row r="1516" spans="3:15">
      <c r="C1516" s="233"/>
      <c r="D1516" s="233"/>
      <c r="E1516" s="770"/>
      <c r="F1516" s="234"/>
      <c r="G1516" s="234"/>
      <c r="H1516" s="233"/>
      <c r="I1516" s="233"/>
      <c r="J1516" s="770"/>
      <c r="K1516" s="233"/>
      <c r="L1516" s="233"/>
      <c r="M1516" s="233"/>
      <c r="N1516" s="2460"/>
      <c r="O1516" s="2460"/>
    </row>
    <row r="1517" spans="3:15">
      <c r="C1517" s="233"/>
      <c r="D1517" s="233"/>
      <c r="E1517" s="770"/>
      <c r="F1517" s="234"/>
      <c r="G1517" s="234"/>
      <c r="H1517" s="233"/>
      <c r="I1517" s="233"/>
      <c r="J1517" s="770"/>
      <c r="K1517" s="233"/>
      <c r="L1517" s="233"/>
      <c r="M1517" s="233"/>
      <c r="N1517" s="2460"/>
      <c r="O1517" s="2460"/>
    </row>
    <row r="1518" spans="3:15">
      <c r="C1518" s="233"/>
      <c r="D1518" s="233"/>
      <c r="E1518" s="770"/>
      <c r="F1518" s="234"/>
      <c r="G1518" s="234"/>
      <c r="H1518" s="233"/>
      <c r="I1518" s="233"/>
      <c r="J1518" s="770"/>
      <c r="K1518" s="233"/>
      <c r="L1518" s="233"/>
      <c r="M1518" s="233"/>
      <c r="N1518" s="2460"/>
      <c r="O1518" s="2460"/>
    </row>
    <row r="1519" spans="3:15">
      <c r="C1519" s="233"/>
      <c r="D1519" s="233"/>
      <c r="E1519" s="770"/>
      <c r="F1519" s="234"/>
      <c r="G1519" s="234"/>
      <c r="H1519" s="233"/>
      <c r="I1519" s="233"/>
      <c r="J1519" s="770"/>
      <c r="K1519" s="233"/>
      <c r="L1519" s="233"/>
      <c r="M1519" s="233"/>
      <c r="N1519" s="2460"/>
      <c r="O1519" s="2460"/>
    </row>
    <row r="1520" spans="3:15">
      <c r="C1520" s="233"/>
      <c r="D1520" s="233"/>
      <c r="E1520" s="770"/>
      <c r="F1520" s="234"/>
      <c r="G1520" s="234"/>
      <c r="H1520" s="233"/>
      <c r="I1520" s="233"/>
      <c r="J1520" s="770"/>
      <c r="K1520" s="233"/>
      <c r="L1520" s="233"/>
      <c r="M1520" s="233"/>
      <c r="N1520" s="2460"/>
      <c r="O1520" s="2460"/>
    </row>
    <row r="1521" spans="3:15">
      <c r="C1521" s="233"/>
      <c r="D1521" s="233"/>
      <c r="E1521" s="770"/>
      <c r="F1521" s="234"/>
      <c r="G1521" s="234"/>
      <c r="H1521" s="233"/>
      <c r="I1521" s="233"/>
      <c r="J1521" s="770"/>
      <c r="K1521" s="233"/>
      <c r="L1521" s="233"/>
      <c r="M1521" s="233"/>
      <c r="N1521" s="2460"/>
      <c r="O1521" s="2460"/>
    </row>
    <row r="1522" spans="3:15">
      <c r="C1522" s="233"/>
      <c r="D1522" s="233"/>
      <c r="E1522" s="770"/>
      <c r="F1522" s="234"/>
      <c r="G1522" s="234"/>
      <c r="H1522" s="233"/>
      <c r="I1522" s="233"/>
      <c r="J1522" s="770"/>
      <c r="K1522" s="233"/>
      <c r="L1522" s="233"/>
      <c r="M1522" s="233"/>
      <c r="N1522" s="2460"/>
      <c r="O1522" s="2460"/>
    </row>
    <row r="1523" spans="3:15">
      <c r="C1523" s="233"/>
      <c r="D1523" s="233"/>
      <c r="E1523" s="770"/>
      <c r="F1523" s="234"/>
      <c r="G1523" s="234"/>
      <c r="H1523" s="233"/>
      <c r="I1523" s="233"/>
      <c r="J1523" s="770"/>
      <c r="K1523" s="233"/>
      <c r="L1523" s="233"/>
      <c r="M1523" s="233"/>
      <c r="N1523" s="2460"/>
      <c r="O1523" s="2460"/>
    </row>
    <row r="1524" spans="3:15">
      <c r="C1524" s="233"/>
      <c r="D1524" s="233"/>
      <c r="E1524" s="770"/>
      <c r="F1524" s="234"/>
      <c r="G1524" s="234"/>
      <c r="H1524" s="233"/>
      <c r="I1524" s="233"/>
      <c r="J1524" s="770"/>
      <c r="K1524" s="233"/>
      <c r="L1524" s="233"/>
      <c r="M1524" s="233"/>
      <c r="N1524" s="2460"/>
      <c r="O1524" s="2460"/>
    </row>
    <row r="1525" spans="3:15">
      <c r="C1525" s="233"/>
      <c r="D1525" s="233"/>
      <c r="E1525" s="770"/>
      <c r="F1525" s="234"/>
      <c r="G1525" s="234"/>
      <c r="H1525" s="233"/>
      <c r="I1525" s="233"/>
      <c r="J1525" s="770"/>
      <c r="K1525" s="233"/>
      <c r="L1525" s="233"/>
      <c r="M1525" s="233"/>
      <c r="N1525" s="2460"/>
      <c r="O1525" s="2460"/>
    </row>
    <row r="1526" spans="3:15">
      <c r="C1526" s="233"/>
      <c r="D1526" s="233"/>
      <c r="E1526" s="770"/>
      <c r="F1526" s="234"/>
      <c r="G1526" s="234"/>
      <c r="H1526" s="233"/>
      <c r="I1526" s="233"/>
      <c r="J1526" s="770"/>
      <c r="K1526" s="233"/>
      <c r="L1526" s="233"/>
      <c r="M1526" s="233"/>
      <c r="N1526" s="2460"/>
      <c r="O1526" s="2460"/>
    </row>
    <row r="1527" spans="3:15">
      <c r="C1527" s="233"/>
      <c r="D1527" s="233"/>
      <c r="E1527" s="770"/>
      <c r="F1527" s="234"/>
      <c r="G1527" s="234"/>
      <c r="H1527" s="233"/>
      <c r="I1527" s="233"/>
      <c r="J1527" s="770"/>
      <c r="K1527" s="233"/>
      <c r="L1527" s="233"/>
      <c r="M1527" s="233"/>
      <c r="N1527" s="2460"/>
      <c r="O1527" s="2460"/>
    </row>
    <row r="1528" spans="3:15">
      <c r="C1528" s="233"/>
      <c r="D1528" s="233"/>
      <c r="E1528" s="770"/>
      <c r="F1528" s="234"/>
      <c r="G1528" s="234"/>
      <c r="H1528" s="233"/>
      <c r="I1528" s="233"/>
      <c r="J1528" s="770"/>
      <c r="K1528" s="233"/>
      <c r="L1528" s="233"/>
      <c r="M1528" s="233"/>
      <c r="N1528" s="2460"/>
      <c r="O1528" s="2460"/>
    </row>
    <row r="1529" spans="3:15">
      <c r="C1529" s="233"/>
      <c r="D1529" s="233"/>
      <c r="E1529" s="770"/>
      <c r="F1529" s="234"/>
      <c r="G1529" s="234"/>
      <c r="H1529" s="233"/>
      <c r="I1529" s="233"/>
      <c r="J1529" s="770"/>
      <c r="K1529" s="233"/>
      <c r="L1529" s="233"/>
      <c r="M1529" s="233"/>
      <c r="N1529" s="2460"/>
      <c r="O1529" s="2460"/>
    </row>
    <row r="1530" spans="3:15">
      <c r="C1530" s="233"/>
      <c r="D1530" s="233"/>
      <c r="E1530" s="770"/>
      <c r="F1530" s="234"/>
      <c r="G1530" s="234"/>
      <c r="H1530" s="233"/>
      <c r="I1530" s="233"/>
      <c r="J1530" s="770"/>
      <c r="K1530" s="233"/>
      <c r="L1530" s="233"/>
      <c r="M1530" s="233"/>
      <c r="N1530" s="2460"/>
      <c r="O1530" s="2460"/>
    </row>
    <row r="1531" spans="3:15">
      <c r="C1531" s="233"/>
      <c r="D1531" s="233"/>
      <c r="E1531" s="770"/>
      <c r="F1531" s="234"/>
      <c r="G1531" s="234"/>
      <c r="H1531" s="233"/>
      <c r="I1531" s="233"/>
      <c r="J1531" s="770"/>
      <c r="K1531" s="233"/>
      <c r="L1531" s="233"/>
      <c r="M1531" s="233"/>
      <c r="N1531" s="2460"/>
      <c r="O1531" s="2460"/>
    </row>
    <row r="1532" spans="3:15">
      <c r="C1532" s="233"/>
      <c r="D1532" s="233"/>
      <c r="E1532" s="770"/>
      <c r="F1532" s="234"/>
      <c r="G1532" s="234"/>
      <c r="H1532" s="233"/>
      <c r="I1532" s="233"/>
      <c r="J1532" s="770"/>
      <c r="K1532" s="233"/>
      <c r="L1532" s="233"/>
      <c r="M1532" s="233"/>
      <c r="N1532" s="2460"/>
      <c r="O1532" s="2460"/>
    </row>
    <row r="1533" spans="3:15">
      <c r="C1533" s="233"/>
      <c r="D1533" s="233"/>
      <c r="E1533" s="770"/>
      <c r="F1533" s="234"/>
      <c r="G1533" s="234"/>
      <c r="H1533" s="233"/>
      <c r="I1533" s="233"/>
      <c r="J1533" s="770"/>
      <c r="K1533" s="233"/>
      <c r="L1533" s="233"/>
      <c r="M1533" s="233"/>
      <c r="N1533" s="2460"/>
      <c r="O1533" s="2460"/>
    </row>
    <row r="1534" spans="3:15">
      <c r="C1534" s="233"/>
      <c r="D1534" s="233"/>
      <c r="E1534" s="770"/>
      <c r="F1534" s="234"/>
      <c r="G1534" s="234"/>
      <c r="H1534" s="233"/>
      <c r="I1534" s="233"/>
      <c r="J1534" s="770"/>
      <c r="K1534" s="233"/>
      <c r="L1534" s="233"/>
      <c r="M1534" s="233"/>
      <c r="N1534" s="2460"/>
      <c r="O1534" s="2460"/>
    </row>
    <row r="1535" spans="3:15">
      <c r="C1535" s="233"/>
      <c r="D1535" s="233"/>
      <c r="E1535" s="770"/>
      <c r="F1535" s="234"/>
      <c r="G1535" s="234"/>
      <c r="H1535" s="233"/>
      <c r="I1535" s="233"/>
      <c r="J1535" s="770"/>
      <c r="K1535" s="233"/>
      <c r="L1535" s="233"/>
      <c r="M1535" s="233"/>
      <c r="N1535" s="2460"/>
      <c r="O1535" s="2460"/>
    </row>
    <row r="1536" spans="3:15">
      <c r="C1536" s="233"/>
      <c r="D1536" s="233"/>
      <c r="E1536" s="770"/>
      <c r="F1536" s="234"/>
      <c r="G1536" s="234"/>
      <c r="H1536" s="233"/>
      <c r="I1536" s="233"/>
      <c r="J1536" s="770"/>
      <c r="K1536" s="233"/>
      <c r="L1536" s="233"/>
      <c r="M1536" s="233"/>
      <c r="N1536" s="2460"/>
      <c r="O1536" s="2460"/>
    </row>
    <row r="1537" spans="3:15">
      <c r="C1537" s="233"/>
      <c r="D1537" s="233"/>
      <c r="E1537" s="770"/>
      <c r="F1537" s="234"/>
      <c r="G1537" s="234"/>
      <c r="H1537" s="233"/>
      <c r="I1537" s="233"/>
      <c r="J1537" s="770"/>
      <c r="K1537" s="233"/>
      <c r="L1537" s="233"/>
      <c r="M1537" s="233"/>
      <c r="N1537" s="2460"/>
      <c r="O1537" s="2460"/>
    </row>
    <row r="1538" spans="3:15">
      <c r="C1538" s="233"/>
      <c r="D1538" s="233"/>
      <c r="E1538" s="770"/>
      <c r="F1538" s="234"/>
      <c r="G1538" s="234"/>
      <c r="H1538" s="233"/>
      <c r="I1538" s="233"/>
      <c r="J1538" s="770"/>
      <c r="K1538" s="233"/>
      <c r="L1538" s="233"/>
      <c r="M1538" s="233"/>
      <c r="N1538" s="2460"/>
      <c r="O1538" s="2460"/>
    </row>
    <row r="1539" spans="3:15">
      <c r="C1539" s="233"/>
      <c r="D1539" s="233"/>
      <c r="E1539" s="770"/>
      <c r="F1539" s="234"/>
      <c r="G1539" s="234"/>
      <c r="H1539" s="233"/>
      <c r="I1539" s="233"/>
      <c r="J1539" s="770"/>
      <c r="K1539" s="233"/>
      <c r="L1539" s="233"/>
      <c r="M1539" s="233"/>
      <c r="N1539" s="2460"/>
      <c r="O1539" s="2460"/>
    </row>
    <row r="1540" spans="3:15">
      <c r="C1540" s="233"/>
      <c r="D1540" s="233"/>
      <c r="E1540" s="770"/>
      <c r="F1540" s="234"/>
      <c r="G1540" s="234"/>
      <c r="H1540" s="233"/>
      <c r="I1540" s="233"/>
      <c r="J1540" s="770"/>
      <c r="K1540" s="233"/>
      <c r="L1540" s="233"/>
      <c r="M1540" s="233"/>
      <c r="N1540" s="2460"/>
      <c r="O1540" s="2460"/>
    </row>
    <row r="1541" spans="3:15">
      <c r="C1541" s="233"/>
      <c r="D1541" s="233"/>
      <c r="E1541" s="770"/>
      <c r="F1541" s="234"/>
      <c r="G1541" s="234"/>
      <c r="H1541" s="233"/>
      <c r="I1541" s="233"/>
      <c r="J1541" s="770"/>
      <c r="K1541" s="233"/>
      <c r="L1541" s="233"/>
      <c r="M1541" s="233"/>
      <c r="N1541" s="2460"/>
      <c r="O1541" s="2460"/>
    </row>
    <row r="1542" spans="3:15">
      <c r="C1542" s="233"/>
      <c r="D1542" s="233"/>
      <c r="E1542" s="770"/>
      <c r="F1542" s="234"/>
      <c r="G1542" s="234"/>
      <c r="H1542" s="233"/>
      <c r="I1542" s="233"/>
      <c r="J1542" s="770"/>
      <c r="K1542" s="233"/>
      <c r="L1542" s="233"/>
      <c r="M1542" s="233"/>
      <c r="N1542" s="2460"/>
      <c r="O1542" s="2460"/>
    </row>
    <row r="1543" spans="3:15">
      <c r="C1543" s="233"/>
      <c r="D1543" s="233"/>
      <c r="E1543" s="770"/>
      <c r="F1543" s="234"/>
      <c r="G1543" s="234"/>
      <c r="H1543" s="233"/>
      <c r="I1543" s="233"/>
      <c r="J1543" s="770"/>
      <c r="K1543" s="233"/>
      <c r="L1543" s="233"/>
      <c r="M1543" s="233"/>
      <c r="N1543" s="2460"/>
      <c r="O1543" s="2460"/>
    </row>
    <row r="1544" spans="3:15">
      <c r="C1544" s="233"/>
      <c r="D1544" s="233"/>
      <c r="E1544" s="770"/>
      <c r="F1544" s="234"/>
      <c r="G1544" s="234"/>
      <c r="H1544" s="233"/>
      <c r="I1544" s="233"/>
      <c r="J1544" s="770"/>
      <c r="K1544" s="233"/>
      <c r="L1544" s="233"/>
      <c r="M1544" s="233"/>
      <c r="N1544" s="2460"/>
      <c r="O1544" s="2460"/>
    </row>
    <row r="1545" spans="3:15">
      <c r="C1545" s="233"/>
      <c r="D1545" s="233"/>
      <c r="E1545" s="770"/>
      <c r="F1545" s="234"/>
      <c r="G1545" s="234"/>
      <c r="H1545" s="233"/>
      <c r="I1545" s="233"/>
      <c r="J1545" s="770"/>
      <c r="K1545" s="233"/>
      <c r="L1545" s="233"/>
      <c r="M1545" s="233"/>
      <c r="N1545" s="2460"/>
      <c r="O1545" s="2460"/>
    </row>
    <row r="1546" spans="3:15">
      <c r="C1546" s="233"/>
      <c r="D1546" s="233"/>
      <c r="E1546" s="770"/>
      <c r="F1546" s="234"/>
      <c r="G1546" s="234"/>
      <c r="H1546" s="233"/>
      <c r="I1546" s="233"/>
      <c r="J1546" s="770"/>
      <c r="K1546" s="233"/>
      <c r="L1546" s="233"/>
      <c r="M1546" s="233"/>
      <c r="N1546" s="2460"/>
      <c r="O1546" s="2460"/>
    </row>
    <row r="1547" spans="3:15">
      <c r="C1547" s="233"/>
      <c r="D1547" s="233"/>
      <c r="E1547" s="770"/>
      <c r="F1547" s="234"/>
      <c r="G1547" s="234"/>
      <c r="H1547" s="233"/>
      <c r="I1547" s="233"/>
      <c r="J1547" s="770"/>
      <c r="K1547" s="233"/>
      <c r="L1547" s="233"/>
      <c r="M1547" s="233"/>
      <c r="N1547" s="2460"/>
      <c r="O1547" s="2460"/>
    </row>
    <row r="1548" spans="3:15">
      <c r="C1548" s="233"/>
      <c r="D1548" s="233"/>
      <c r="E1548" s="770"/>
      <c r="F1548" s="234"/>
      <c r="G1548" s="234"/>
      <c r="H1548" s="233"/>
      <c r="I1548" s="233"/>
      <c r="J1548" s="770"/>
      <c r="K1548" s="233"/>
      <c r="L1548" s="233"/>
      <c r="M1548" s="233"/>
      <c r="N1548" s="2460"/>
      <c r="O1548" s="2460"/>
    </row>
    <row r="1549" spans="3:15">
      <c r="C1549" s="233"/>
      <c r="D1549" s="233"/>
      <c r="E1549" s="770"/>
      <c r="F1549" s="234"/>
      <c r="G1549" s="234"/>
      <c r="H1549" s="233"/>
      <c r="I1549" s="233"/>
      <c r="J1549" s="770"/>
      <c r="K1549" s="233"/>
      <c r="L1549" s="233"/>
      <c r="M1549" s="233"/>
      <c r="N1549" s="2460"/>
      <c r="O1549" s="2460"/>
    </row>
    <row r="1550" spans="3:15">
      <c r="C1550" s="233"/>
      <c r="D1550" s="233"/>
      <c r="E1550" s="770"/>
      <c r="F1550" s="234"/>
      <c r="G1550" s="234"/>
      <c r="H1550" s="233"/>
      <c r="I1550" s="233"/>
      <c r="J1550" s="770"/>
      <c r="K1550" s="233"/>
      <c r="L1550" s="233"/>
      <c r="M1550" s="233"/>
      <c r="N1550" s="2460"/>
      <c r="O1550" s="2460"/>
    </row>
    <row r="1551" spans="3:15">
      <c r="C1551" s="233"/>
      <c r="D1551" s="233"/>
      <c r="E1551" s="770"/>
      <c r="F1551" s="234"/>
      <c r="G1551" s="234"/>
      <c r="H1551" s="233"/>
      <c r="I1551" s="233"/>
      <c r="J1551" s="770"/>
      <c r="K1551" s="233"/>
      <c r="L1551" s="233"/>
      <c r="M1551" s="233"/>
      <c r="N1551" s="2460"/>
      <c r="O1551" s="2460"/>
    </row>
    <row r="1552" spans="3:15">
      <c r="C1552" s="233"/>
      <c r="D1552" s="233"/>
      <c r="E1552" s="770"/>
      <c r="F1552" s="234"/>
      <c r="G1552" s="234"/>
      <c r="H1552" s="233"/>
      <c r="I1552" s="233"/>
      <c r="J1552" s="770"/>
      <c r="K1552" s="233"/>
      <c r="L1552" s="233"/>
      <c r="M1552" s="233"/>
      <c r="N1552" s="2460"/>
      <c r="O1552" s="2460"/>
    </row>
    <row r="1553" spans="3:15">
      <c r="C1553" s="233"/>
      <c r="D1553" s="233"/>
      <c r="E1553" s="770"/>
      <c r="F1553" s="234"/>
      <c r="G1553" s="234"/>
      <c r="H1553" s="233"/>
      <c r="I1553" s="233"/>
      <c r="J1553" s="770"/>
      <c r="K1553" s="233"/>
      <c r="L1553" s="233"/>
      <c r="M1553" s="233"/>
      <c r="N1553" s="2460"/>
      <c r="O1553" s="2460"/>
    </row>
    <row r="1554" spans="3:15">
      <c r="C1554" s="233"/>
      <c r="D1554" s="233"/>
      <c r="E1554" s="770"/>
      <c r="F1554" s="234"/>
      <c r="G1554" s="234"/>
      <c r="H1554" s="233"/>
      <c r="I1554" s="233"/>
      <c r="J1554" s="770"/>
      <c r="K1554" s="233"/>
      <c r="L1554" s="233"/>
      <c r="M1554" s="233"/>
      <c r="N1554" s="2460"/>
      <c r="O1554" s="2460"/>
    </row>
    <row r="1555" spans="3:15">
      <c r="C1555" s="233"/>
      <c r="D1555" s="233"/>
      <c r="E1555" s="770"/>
      <c r="F1555" s="234"/>
      <c r="G1555" s="234"/>
      <c r="H1555" s="233"/>
      <c r="I1555" s="233"/>
      <c r="J1555" s="770"/>
      <c r="K1555" s="233"/>
      <c r="L1555" s="233"/>
      <c r="M1555" s="233"/>
      <c r="N1555" s="2460"/>
      <c r="O1555" s="2460"/>
    </row>
    <row r="1556" spans="3:15">
      <c r="C1556" s="233"/>
      <c r="D1556" s="233"/>
      <c r="E1556" s="770"/>
      <c r="F1556" s="234"/>
      <c r="G1556" s="234"/>
      <c r="H1556" s="233"/>
      <c r="I1556" s="233"/>
      <c r="J1556" s="770"/>
      <c r="K1556" s="233"/>
      <c r="L1556" s="233"/>
      <c r="M1556" s="233"/>
      <c r="N1556" s="2460"/>
      <c r="O1556" s="2460"/>
    </row>
    <row r="1557" spans="3:15">
      <c r="C1557" s="233"/>
      <c r="D1557" s="233"/>
      <c r="E1557" s="770"/>
      <c r="F1557" s="234"/>
      <c r="G1557" s="234"/>
      <c r="H1557" s="233"/>
      <c r="I1557" s="233"/>
      <c r="J1557" s="770"/>
      <c r="K1557" s="233"/>
      <c r="L1557" s="233"/>
      <c r="M1557" s="233"/>
      <c r="N1557" s="2460"/>
      <c r="O1557" s="2460"/>
    </row>
    <row r="1558" spans="3:15">
      <c r="C1558" s="233"/>
      <c r="D1558" s="233"/>
      <c r="E1558" s="770"/>
      <c r="F1558" s="234"/>
      <c r="G1558" s="234"/>
      <c r="H1558" s="233"/>
      <c r="I1558" s="233"/>
      <c r="J1558" s="770"/>
      <c r="K1558" s="233"/>
      <c r="L1558" s="233"/>
      <c r="M1558" s="233"/>
      <c r="N1558" s="2460"/>
      <c r="O1558" s="2460"/>
    </row>
    <row r="1559" spans="3:15">
      <c r="C1559" s="233"/>
      <c r="D1559" s="233"/>
      <c r="E1559" s="770"/>
      <c r="F1559" s="234"/>
      <c r="G1559" s="234"/>
      <c r="H1559" s="233"/>
      <c r="I1559" s="233"/>
      <c r="J1559" s="770"/>
      <c r="K1559" s="233"/>
      <c r="L1559" s="233"/>
      <c r="M1559" s="233"/>
      <c r="N1559" s="2460"/>
      <c r="O1559" s="2460"/>
    </row>
    <row r="1560" spans="3:15">
      <c r="C1560" s="233"/>
      <c r="D1560" s="233"/>
      <c r="E1560" s="770"/>
      <c r="F1560" s="234"/>
      <c r="G1560" s="234"/>
      <c r="H1560" s="233"/>
      <c r="I1560" s="233"/>
      <c r="J1560" s="770"/>
      <c r="K1560" s="233"/>
      <c r="L1560" s="233"/>
      <c r="M1560" s="233"/>
      <c r="N1560" s="2460"/>
      <c r="O1560" s="2460"/>
    </row>
    <row r="1561" spans="3:15">
      <c r="C1561" s="233"/>
      <c r="D1561" s="233"/>
      <c r="E1561" s="770"/>
      <c r="F1561" s="234"/>
      <c r="G1561" s="234"/>
      <c r="H1561" s="233"/>
      <c r="I1561" s="233"/>
      <c r="J1561" s="770"/>
      <c r="K1561" s="233"/>
      <c r="L1561" s="233"/>
      <c r="M1561" s="233"/>
      <c r="N1561" s="2460"/>
      <c r="O1561" s="2460"/>
    </row>
    <row r="1562" spans="3:15">
      <c r="C1562" s="233"/>
      <c r="D1562" s="233"/>
      <c r="E1562" s="770"/>
      <c r="F1562" s="234"/>
      <c r="G1562" s="234"/>
      <c r="H1562" s="233"/>
      <c r="I1562" s="233"/>
      <c r="J1562" s="770"/>
      <c r="K1562" s="233"/>
      <c r="L1562" s="233"/>
      <c r="M1562" s="233"/>
      <c r="N1562" s="2460"/>
      <c r="O1562" s="2460"/>
    </row>
    <row r="1563" spans="3:15">
      <c r="C1563" s="233"/>
      <c r="D1563" s="233"/>
      <c r="E1563" s="770"/>
      <c r="F1563" s="234"/>
      <c r="G1563" s="234"/>
      <c r="H1563" s="233"/>
      <c r="I1563" s="233"/>
      <c r="J1563" s="770"/>
      <c r="K1563" s="233"/>
      <c r="L1563" s="233"/>
      <c r="M1563" s="233"/>
      <c r="N1563" s="2460"/>
      <c r="O1563" s="2460"/>
    </row>
    <row r="1564" spans="3:15">
      <c r="C1564" s="233"/>
      <c r="D1564" s="233"/>
      <c r="E1564" s="770"/>
      <c r="F1564" s="234"/>
      <c r="G1564" s="234"/>
      <c r="H1564" s="233"/>
      <c r="I1564" s="233"/>
      <c r="J1564" s="770"/>
      <c r="K1564" s="233"/>
      <c r="L1564" s="233"/>
      <c r="M1564" s="233"/>
      <c r="N1564" s="2460"/>
      <c r="O1564" s="2460"/>
    </row>
    <row r="1565" spans="3:15">
      <c r="C1565" s="233"/>
      <c r="D1565" s="233"/>
      <c r="E1565" s="770"/>
      <c r="F1565" s="234"/>
      <c r="G1565" s="234"/>
      <c r="H1565" s="233"/>
      <c r="I1565" s="233"/>
      <c r="J1565" s="770"/>
      <c r="K1565" s="233"/>
      <c r="L1565" s="233"/>
      <c r="M1565" s="233"/>
      <c r="N1565" s="2460"/>
      <c r="O1565" s="2460"/>
    </row>
    <row r="1566" spans="3:15">
      <c r="C1566" s="233"/>
      <c r="D1566" s="233"/>
      <c r="E1566" s="770"/>
      <c r="F1566" s="234"/>
      <c r="G1566" s="234"/>
      <c r="H1566" s="233"/>
      <c r="I1566" s="233"/>
      <c r="J1566" s="770"/>
      <c r="K1566" s="233"/>
      <c r="L1566" s="233"/>
      <c r="M1566" s="233"/>
      <c r="N1566" s="2460"/>
      <c r="O1566" s="2460"/>
    </row>
    <row r="1567" spans="3:15">
      <c r="C1567" s="233"/>
      <c r="D1567" s="233"/>
      <c r="E1567" s="770"/>
      <c r="F1567" s="234"/>
      <c r="G1567" s="234"/>
      <c r="H1567" s="233"/>
      <c r="I1567" s="233"/>
      <c r="J1567" s="770"/>
      <c r="K1567" s="233"/>
      <c r="L1567" s="233"/>
      <c r="M1567" s="233"/>
      <c r="N1567" s="2460"/>
      <c r="O1567" s="2460"/>
    </row>
    <row r="1568" spans="3:15">
      <c r="C1568" s="233"/>
      <c r="D1568" s="233"/>
      <c r="E1568" s="770"/>
      <c r="F1568" s="234"/>
      <c r="G1568" s="234"/>
      <c r="H1568" s="233"/>
      <c r="I1568" s="233"/>
      <c r="J1568" s="770"/>
      <c r="K1568" s="233"/>
      <c r="L1568" s="233"/>
      <c r="M1568" s="233"/>
      <c r="N1568" s="2460"/>
      <c r="O1568" s="2460"/>
    </row>
    <row r="1569" spans="3:15">
      <c r="C1569" s="233"/>
      <c r="D1569" s="233"/>
      <c r="E1569" s="770"/>
      <c r="F1569" s="234"/>
      <c r="G1569" s="234"/>
      <c r="H1569" s="233"/>
      <c r="I1569" s="233"/>
      <c r="J1569" s="770"/>
      <c r="K1569" s="233"/>
      <c r="L1569" s="233"/>
      <c r="M1569" s="233"/>
      <c r="N1569" s="2460"/>
      <c r="O1569" s="2460"/>
    </row>
    <row r="1570" spans="3:15">
      <c r="C1570" s="233"/>
      <c r="D1570" s="233"/>
      <c r="E1570" s="770"/>
      <c r="F1570" s="234"/>
      <c r="G1570" s="234"/>
      <c r="H1570" s="233"/>
      <c r="I1570" s="233"/>
      <c r="J1570" s="770"/>
      <c r="K1570" s="233"/>
      <c r="L1570" s="233"/>
      <c r="M1570" s="233"/>
      <c r="N1570" s="2460"/>
      <c r="O1570" s="2460"/>
    </row>
    <row r="1571" spans="3:15">
      <c r="C1571" s="233"/>
      <c r="D1571" s="233"/>
      <c r="E1571" s="770"/>
      <c r="F1571" s="234"/>
      <c r="G1571" s="234"/>
      <c r="H1571" s="233"/>
      <c r="I1571" s="233"/>
      <c r="J1571" s="770"/>
      <c r="K1571" s="233"/>
      <c r="L1571" s="233"/>
      <c r="M1571" s="233"/>
      <c r="N1571" s="2460"/>
      <c r="O1571" s="2460"/>
    </row>
    <row r="1572" spans="3:15">
      <c r="C1572" s="233"/>
      <c r="D1572" s="233"/>
      <c r="E1572" s="770"/>
      <c r="F1572" s="234"/>
      <c r="G1572" s="234"/>
      <c r="H1572" s="233"/>
      <c r="I1572" s="233"/>
      <c r="J1572" s="770"/>
      <c r="K1572" s="233"/>
      <c r="L1572" s="233"/>
      <c r="M1572" s="233"/>
      <c r="N1572" s="2460"/>
      <c r="O1572" s="2460"/>
    </row>
    <row r="1573" spans="3:15">
      <c r="C1573" s="233"/>
      <c r="D1573" s="233"/>
      <c r="E1573" s="770"/>
      <c r="F1573" s="234"/>
      <c r="G1573" s="234"/>
      <c r="H1573" s="233"/>
      <c r="I1573" s="233"/>
      <c r="J1573" s="770"/>
      <c r="K1573" s="233"/>
      <c r="L1573" s="233"/>
      <c r="M1573" s="233"/>
      <c r="N1573" s="2460"/>
      <c r="O1573" s="2460"/>
    </row>
    <row r="1574" spans="3:15">
      <c r="C1574" s="233"/>
      <c r="D1574" s="233"/>
      <c r="E1574" s="770"/>
      <c r="F1574" s="234"/>
      <c r="G1574" s="234"/>
      <c r="H1574" s="233"/>
      <c r="I1574" s="233"/>
      <c r="J1574" s="770"/>
      <c r="K1574" s="233"/>
      <c r="L1574" s="233"/>
      <c r="M1574" s="233"/>
      <c r="N1574" s="2460"/>
      <c r="O1574" s="2460"/>
    </row>
    <row r="1575" spans="3:15">
      <c r="C1575" s="233"/>
      <c r="D1575" s="233"/>
      <c r="E1575" s="770"/>
      <c r="F1575" s="234"/>
      <c r="G1575" s="234"/>
      <c r="H1575" s="233"/>
      <c r="I1575" s="233"/>
      <c r="J1575" s="770"/>
      <c r="K1575" s="233"/>
      <c r="L1575" s="233"/>
      <c r="M1575" s="233"/>
      <c r="N1575" s="2460"/>
      <c r="O1575" s="2460"/>
    </row>
    <row r="1576" spans="3:15">
      <c r="C1576" s="233"/>
      <c r="D1576" s="233"/>
      <c r="E1576" s="770"/>
      <c r="F1576" s="234"/>
      <c r="G1576" s="234"/>
      <c r="H1576" s="233"/>
      <c r="I1576" s="233"/>
      <c r="J1576" s="770"/>
      <c r="K1576" s="233"/>
      <c r="L1576" s="233"/>
      <c r="M1576" s="233"/>
      <c r="N1576" s="2460"/>
      <c r="O1576" s="2460"/>
    </row>
    <row r="1577" spans="3:15">
      <c r="C1577" s="233"/>
      <c r="D1577" s="233"/>
      <c r="E1577" s="770"/>
      <c r="F1577" s="234"/>
      <c r="G1577" s="234"/>
      <c r="H1577" s="233"/>
      <c r="I1577" s="233"/>
      <c r="J1577" s="770"/>
      <c r="K1577" s="233"/>
      <c r="L1577" s="233"/>
      <c r="M1577" s="233"/>
      <c r="N1577" s="2460"/>
      <c r="O1577" s="2460"/>
    </row>
    <row r="1578" spans="3:15">
      <c r="C1578" s="233"/>
      <c r="D1578" s="233"/>
      <c r="E1578" s="770"/>
      <c r="F1578" s="234"/>
      <c r="G1578" s="234"/>
      <c r="H1578" s="233"/>
      <c r="I1578" s="233"/>
      <c r="J1578" s="770"/>
      <c r="K1578" s="233"/>
      <c r="L1578" s="233"/>
      <c r="M1578" s="233"/>
      <c r="N1578" s="2460"/>
      <c r="O1578" s="2460"/>
    </row>
    <row r="1579" spans="3:15">
      <c r="C1579" s="233"/>
      <c r="D1579" s="233"/>
      <c r="E1579" s="770"/>
      <c r="F1579" s="234"/>
      <c r="G1579" s="234"/>
      <c r="H1579" s="233"/>
      <c r="I1579" s="233"/>
      <c r="J1579" s="770"/>
      <c r="K1579" s="233"/>
      <c r="L1579" s="233"/>
      <c r="M1579" s="233"/>
      <c r="N1579" s="2460"/>
      <c r="O1579" s="2460"/>
    </row>
    <row r="1580" spans="3:15">
      <c r="C1580" s="233"/>
      <c r="D1580" s="233"/>
      <c r="E1580" s="770"/>
      <c r="F1580" s="234"/>
      <c r="G1580" s="234"/>
      <c r="H1580" s="233"/>
      <c r="I1580" s="233"/>
      <c r="J1580" s="770"/>
      <c r="K1580" s="233"/>
      <c r="L1580" s="233"/>
      <c r="M1580" s="233"/>
      <c r="N1580" s="2460"/>
      <c r="O1580" s="2460"/>
    </row>
    <row r="1581" spans="3:15">
      <c r="C1581" s="233"/>
      <c r="D1581" s="233"/>
      <c r="E1581" s="770"/>
      <c r="F1581" s="234"/>
      <c r="G1581" s="234"/>
      <c r="H1581" s="233"/>
      <c r="I1581" s="233"/>
      <c r="J1581" s="770"/>
      <c r="K1581" s="233"/>
      <c r="L1581" s="233"/>
      <c r="M1581" s="233"/>
      <c r="N1581" s="2460"/>
      <c r="O1581" s="2460"/>
    </row>
    <row r="1582" spans="3:15">
      <c r="C1582" s="233"/>
      <c r="D1582" s="233"/>
      <c r="E1582" s="770"/>
      <c r="F1582" s="234"/>
      <c r="G1582" s="234"/>
      <c r="H1582" s="233"/>
      <c r="I1582" s="233"/>
      <c r="J1582" s="770"/>
      <c r="K1582" s="233"/>
      <c r="L1582" s="233"/>
      <c r="M1582" s="233"/>
      <c r="N1582" s="2460"/>
      <c r="O1582" s="2460"/>
    </row>
    <row r="1583" spans="3:15">
      <c r="C1583" s="233"/>
      <c r="D1583" s="233"/>
      <c r="E1583" s="770"/>
      <c r="F1583" s="234"/>
      <c r="G1583" s="234"/>
      <c r="H1583" s="233"/>
      <c r="I1583" s="233"/>
      <c r="J1583" s="770"/>
      <c r="K1583" s="233"/>
      <c r="L1583" s="233"/>
      <c r="M1583" s="233"/>
      <c r="N1583" s="2460"/>
      <c r="O1583" s="2460"/>
    </row>
    <row r="1584" spans="3:15">
      <c r="C1584" s="233"/>
      <c r="D1584" s="233"/>
      <c r="E1584" s="770"/>
      <c r="F1584" s="234"/>
      <c r="G1584" s="234"/>
      <c r="H1584" s="233"/>
      <c r="I1584" s="233"/>
      <c r="J1584" s="770"/>
      <c r="K1584" s="233"/>
      <c r="L1584" s="233"/>
      <c r="M1584" s="233"/>
      <c r="N1584" s="2460"/>
      <c r="O1584" s="2460"/>
    </row>
    <row r="1585" spans="3:15">
      <c r="C1585" s="233"/>
      <c r="D1585" s="233"/>
      <c r="E1585" s="770"/>
      <c r="F1585" s="234"/>
      <c r="G1585" s="234"/>
      <c r="H1585" s="233"/>
      <c r="I1585" s="233"/>
      <c r="J1585" s="770"/>
      <c r="K1585" s="233"/>
      <c r="L1585" s="233"/>
      <c r="M1585" s="233"/>
      <c r="N1585" s="2460"/>
      <c r="O1585" s="2460"/>
    </row>
    <row r="1586" spans="3:15">
      <c r="C1586" s="233"/>
      <c r="D1586" s="233"/>
      <c r="E1586" s="770"/>
      <c r="F1586" s="234"/>
      <c r="G1586" s="234"/>
      <c r="H1586" s="233"/>
      <c r="I1586" s="233"/>
      <c r="J1586" s="770"/>
      <c r="K1586" s="233"/>
      <c r="L1586" s="233"/>
      <c r="M1586" s="233"/>
      <c r="N1586" s="2460"/>
      <c r="O1586" s="2460"/>
    </row>
    <row r="1587" spans="3:15">
      <c r="C1587" s="233"/>
      <c r="D1587" s="233"/>
      <c r="E1587" s="770"/>
      <c r="F1587" s="234"/>
      <c r="G1587" s="234"/>
      <c r="H1587" s="233"/>
      <c r="I1587" s="233"/>
      <c r="J1587" s="770"/>
      <c r="K1587" s="233"/>
      <c r="L1587" s="233"/>
      <c r="M1587" s="233"/>
      <c r="N1587" s="2460"/>
      <c r="O1587" s="2460"/>
    </row>
    <row r="1588" spans="3:15">
      <c r="C1588" s="233"/>
      <c r="D1588" s="233"/>
      <c r="E1588" s="770"/>
      <c r="F1588" s="234"/>
      <c r="G1588" s="234"/>
      <c r="H1588" s="233"/>
      <c r="I1588" s="233"/>
      <c r="J1588" s="770"/>
      <c r="K1588" s="233"/>
      <c r="L1588" s="233"/>
      <c r="M1588" s="233"/>
      <c r="N1588" s="2460"/>
      <c r="O1588" s="2460"/>
    </row>
    <row r="1589" spans="3:15">
      <c r="C1589" s="233"/>
      <c r="D1589" s="233"/>
      <c r="E1589" s="770"/>
      <c r="F1589" s="234"/>
      <c r="G1589" s="234"/>
      <c r="H1589" s="233"/>
      <c r="I1589" s="233"/>
      <c r="J1589" s="770"/>
      <c r="K1589" s="233"/>
      <c r="L1589" s="233"/>
      <c r="M1589" s="233"/>
      <c r="N1589" s="2460"/>
      <c r="O1589" s="2460"/>
    </row>
    <row r="1590" spans="3:15">
      <c r="C1590" s="233"/>
      <c r="D1590" s="233"/>
      <c r="E1590" s="770"/>
      <c r="F1590" s="234"/>
      <c r="G1590" s="234"/>
      <c r="H1590" s="233"/>
      <c r="I1590" s="233"/>
      <c r="J1590" s="770"/>
      <c r="K1590" s="233"/>
      <c r="L1590" s="233"/>
      <c r="M1590" s="233"/>
      <c r="N1590" s="2460"/>
      <c r="O1590" s="2460"/>
    </row>
    <row r="1591" spans="3:15">
      <c r="C1591" s="233"/>
      <c r="D1591" s="233"/>
      <c r="E1591" s="770"/>
      <c r="F1591" s="234"/>
      <c r="G1591" s="234"/>
      <c r="H1591" s="233"/>
      <c r="I1591" s="233"/>
      <c r="J1591" s="770"/>
      <c r="K1591" s="233"/>
      <c r="L1591" s="233"/>
      <c r="M1591" s="233"/>
      <c r="N1591" s="2460"/>
      <c r="O1591" s="2460"/>
    </row>
    <row r="1592" spans="3:15">
      <c r="C1592" s="233"/>
      <c r="D1592" s="233"/>
      <c r="E1592" s="770"/>
      <c r="F1592" s="234"/>
      <c r="G1592" s="234"/>
      <c r="H1592" s="233"/>
      <c r="I1592" s="233"/>
      <c r="J1592" s="770"/>
      <c r="K1592" s="233"/>
      <c r="L1592" s="233"/>
      <c r="M1592" s="233"/>
      <c r="N1592" s="2460"/>
      <c r="O1592" s="2460"/>
    </row>
    <row r="1593" spans="3:15">
      <c r="C1593" s="233"/>
      <c r="D1593" s="233"/>
      <c r="E1593" s="770"/>
      <c r="F1593" s="234"/>
      <c r="G1593" s="234"/>
      <c r="H1593" s="233"/>
      <c r="I1593" s="233"/>
      <c r="J1593" s="770"/>
      <c r="K1593" s="233"/>
      <c r="L1593" s="233"/>
      <c r="M1593" s="233"/>
      <c r="N1593" s="2460"/>
      <c r="O1593" s="2460"/>
    </row>
    <row r="1594" spans="3:15">
      <c r="C1594" s="233"/>
      <c r="D1594" s="233"/>
      <c r="E1594" s="770"/>
      <c r="F1594" s="234"/>
      <c r="G1594" s="234"/>
      <c r="H1594" s="233"/>
      <c r="I1594" s="233"/>
      <c r="J1594" s="770"/>
      <c r="K1594" s="233"/>
      <c r="L1594" s="233"/>
      <c r="M1594" s="233"/>
      <c r="N1594" s="2460"/>
      <c r="O1594" s="2460"/>
    </row>
    <row r="1595" spans="3:15">
      <c r="C1595" s="233"/>
      <c r="D1595" s="233"/>
      <c r="E1595" s="770"/>
      <c r="F1595" s="234"/>
      <c r="G1595" s="234"/>
      <c r="H1595" s="233"/>
      <c r="I1595" s="233"/>
      <c r="J1595" s="770"/>
      <c r="K1595" s="233"/>
      <c r="L1595" s="233"/>
      <c r="M1595" s="233"/>
      <c r="N1595" s="2460"/>
      <c r="O1595" s="2460"/>
    </row>
    <row r="1596" spans="3:15">
      <c r="C1596" s="233"/>
      <c r="D1596" s="233"/>
      <c r="E1596" s="770"/>
      <c r="F1596" s="234"/>
      <c r="G1596" s="234"/>
      <c r="H1596" s="233"/>
      <c r="I1596" s="233"/>
      <c r="J1596" s="770"/>
      <c r="K1596" s="233"/>
      <c r="L1596" s="233"/>
      <c r="M1596" s="233"/>
      <c r="N1596" s="2460"/>
      <c r="O1596" s="2460"/>
    </row>
    <row r="1597" spans="3:15">
      <c r="C1597" s="233"/>
      <c r="D1597" s="233"/>
      <c r="E1597" s="770"/>
      <c r="F1597" s="234"/>
      <c r="G1597" s="234"/>
      <c r="H1597" s="233"/>
      <c r="I1597" s="233"/>
      <c r="J1597" s="770"/>
      <c r="K1597" s="233"/>
      <c r="L1597" s="233"/>
      <c r="M1597" s="233"/>
      <c r="N1597" s="2460"/>
      <c r="O1597" s="2460"/>
    </row>
    <row r="1598" spans="3:15">
      <c r="C1598" s="233"/>
      <c r="D1598" s="233"/>
      <c r="E1598" s="770"/>
      <c r="F1598" s="234"/>
      <c r="G1598" s="234"/>
      <c r="H1598" s="233"/>
      <c r="I1598" s="233"/>
      <c r="J1598" s="770"/>
      <c r="K1598" s="233"/>
      <c r="L1598" s="233"/>
      <c r="M1598" s="233"/>
      <c r="N1598" s="2460"/>
      <c r="O1598" s="2460"/>
    </row>
    <row r="1599" spans="3:15">
      <c r="C1599" s="233"/>
      <c r="D1599" s="233"/>
      <c r="E1599" s="770"/>
      <c r="F1599" s="234"/>
      <c r="G1599" s="234"/>
      <c r="H1599" s="233"/>
      <c r="I1599" s="233"/>
      <c r="J1599" s="770"/>
      <c r="K1599" s="233"/>
      <c r="L1599" s="233"/>
      <c r="M1599" s="233"/>
      <c r="N1599" s="2460"/>
      <c r="O1599" s="2460"/>
    </row>
    <row r="1600" spans="3:15">
      <c r="C1600" s="233"/>
      <c r="D1600" s="233"/>
      <c r="E1600" s="770"/>
      <c r="F1600" s="234"/>
      <c r="G1600" s="234"/>
      <c r="H1600" s="233"/>
      <c r="I1600" s="233"/>
      <c r="J1600" s="770"/>
      <c r="K1600" s="233"/>
      <c r="L1600" s="233"/>
      <c r="M1600" s="233"/>
      <c r="N1600" s="2460"/>
      <c r="O1600" s="2460"/>
    </row>
    <row r="1601" spans="3:15">
      <c r="C1601" s="233"/>
      <c r="D1601" s="233"/>
      <c r="E1601" s="770"/>
      <c r="F1601" s="234"/>
      <c r="G1601" s="234"/>
      <c r="H1601" s="233"/>
      <c r="I1601" s="233"/>
      <c r="J1601" s="770"/>
      <c r="K1601" s="233"/>
      <c r="L1601" s="233"/>
      <c r="M1601" s="233"/>
      <c r="N1601" s="2460"/>
      <c r="O1601" s="2460"/>
    </row>
    <row r="1602" spans="3:15">
      <c r="C1602" s="233"/>
      <c r="D1602" s="233"/>
      <c r="E1602" s="770"/>
      <c r="F1602" s="234"/>
      <c r="G1602" s="234"/>
      <c r="H1602" s="233"/>
      <c r="I1602" s="233"/>
      <c r="J1602" s="770"/>
      <c r="K1602" s="233"/>
      <c r="L1602" s="233"/>
      <c r="M1602" s="233"/>
      <c r="N1602" s="2460"/>
      <c r="O1602" s="2460"/>
    </row>
    <row r="1603" spans="3:15">
      <c r="C1603" s="233"/>
      <c r="D1603" s="233"/>
      <c r="E1603" s="770"/>
      <c r="F1603" s="234"/>
      <c r="G1603" s="234"/>
      <c r="H1603" s="233"/>
      <c r="I1603" s="233"/>
      <c r="J1603" s="770"/>
      <c r="K1603" s="233"/>
      <c r="L1603" s="233"/>
      <c r="M1603" s="233"/>
      <c r="N1603" s="2460"/>
      <c r="O1603" s="2460"/>
    </row>
    <row r="1604" spans="3:15">
      <c r="C1604" s="233"/>
      <c r="D1604" s="233"/>
      <c r="E1604" s="770"/>
      <c r="F1604" s="234"/>
      <c r="G1604" s="234"/>
      <c r="H1604" s="233"/>
      <c r="I1604" s="233"/>
      <c r="J1604" s="770"/>
      <c r="K1604" s="233"/>
      <c r="L1604" s="233"/>
      <c r="M1604" s="233"/>
      <c r="N1604" s="2460"/>
      <c r="O1604" s="2460"/>
    </row>
    <row r="1605" spans="3:15">
      <c r="C1605" s="233"/>
      <c r="D1605" s="233"/>
      <c r="E1605" s="770"/>
      <c r="F1605" s="234"/>
      <c r="G1605" s="234"/>
      <c r="H1605" s="233"/>
      <c r="I1605" s="233"/>
      <c r="J1605" s="770"/>
      <c r="K1605" s="233"/>
      <c r="L1605" s="233"/>
      <c r="M1605" s="233"/>
      <c r="N1605" s="2460"/>
      <c r="O1605" s="2460"/>
    </row>
    <row r="1606" spans="3:15">
      <c r="C1606" s="233"/>
      <c r="D1606" s="233"/>
      <c r="E1606" s="770"/>
      <c r="F1606" s="234"/>
      <c r="G1606" s="234"/>
      <c r="H1606" s="233"/>
      <c r="I1606" s="233"/>
      <c r="J1606" s="770"/>
      <c r="K1606" s="233"/>
      <c r="L1606" s="233"/>
      <c r="M1606" s="233"/>
      <c r="N1606" s="2460"/>
      <c r="O1606" s="2460"/>
    </row>
    <row r="1607" spans="3:15">
      <c r="C1607" s="233"/>
      <c r="D1607" s="233"/>
      <c r="E1607" s="770"/>
      <c r="F1607" s="234"/>
      <c r="G1607" s="234"/>
      <c r="H1607" s="233"/>
      <c r="I1607" s="233"/>
      <c r="J1607" s="770"/>
      <c r="K1607" s="233"/>
      <c r="L1607" s="233"/>
      <c r="M1607" s="233"/>
      <c r="N1607" s="2460"/>
      <c r="O1607" s="2460"/>
    </row>
    <row r="1608" spans="3:15">
      <c r="C1608" s="233"/>
      <c r="D1608" s="233"/>
      <c r="E1608" s="770"/>
      <c r="F1608" s="234"/>
      <c r="G1608" s="234"/>
      <c r="H1608" s="233"/>
      <c r="I1608" s="233"/>
      <c r="J1608" s="770"/>
      <c r="K1608" s="233"/>
      <c r="L1608" s="233"/>
      <c r="M1608" s="233"/>
      <c r="N1608" s="2460"/>
      <c r="O1608" s="2460"/>
    </row>
    <row r="1609" spans="3:15">
      <c r="C1609" s="233"/>
      <c r="D1609" s="233"/>
      <c r="E1609" s="770"/>
      <c r="F1609" s="234"/>
      <c r="G1609" s="234"/>
      <c r="H1609" s="233"/>
      <c r="I1609" s="233"/>
      <c r="J1609" s="770"/>
      <c r="K1609" s="233"/>
      <c r="L1609" s="233"/>
      <c r="M1609" s="233"/>
      <c r="N1609" s="2460"/>
      <c r="O1609" s="2460"/>
    </row>
    <row r="1610" spans="3:15">
      <c r="C1610" s="233"/>
      <c r="D1610" s="233"/>
      <c r="E1610" s="770"/>
      <c r="F1610" s="234"/>
      <c r="G1610" s="234"/>
      <c r="H1610" s="233"/>
      <c r="I1610" s="233"/>
      <c r="J1610" s="770"/>
      <c r="K1610" s="233"/>
      <c r="L1610" s="233"/>
      <c r="M1610" s="233"/>
      <c r="N1610" s="2460"/>
      <c r="O1610" s="2460"/>
    </row>
    <row r="1611" spans="3:15">
      <c r="C1611" s="233"/>
      <c r="D1611" s="233"/>
      <c r="E1611" s="770"/>
      <c r="F1611" s="234"/>
      <c r="G1611" s="234"/>
      <c r="H1611" s="233"/>
      <c r="I1611" s="233"/>
      <c r="J1611" s="770"/>
      <c r="K1611" s="233"/>
      <c r="L1611" s="233"/>
      <c r="M1611" s="233"/>
      <c r="N1611" s="2460"/>
      <c r="O1611" s="2460"/>
    </row>
    <row r="1612" spans="3:15">
      <c r="C1612" s="233"/>
      <c r="D1612" s="233"/>
      <c r="E1612" s="770"/>
      <c r="F1612" s="234"/>
      <c r="G1612" s="234"/>
      <c r="H1612" s="233"/>
      <c r="I1612" s="233"/>
      <c r="J1612" s="770"/>
      <c r="K1612" s="233"/>
      <c r="L1612" s="233"/>
      <c r="M1612" s="233"/>
      <c r="N1612" s="2460"/>
      <c r="O1612" s="2460"/>
    </row>
    <row r="1613" spans="3:15">
      <c r="C1613" s="233"/>
      <c r="D1613" s="233"/>
      <c r="E1613" s="770"/>
      <c r="F1613" s="234"/>
      <c r="G1613" s="234"/>
      <c r="H1613" s="233"/>
      <c r="I1613" s="233"/>
      <c r="J1613" s="770"/>
      <c r="K1613" s="233"/>
      <c r="L1613" s="233"/>
      <c r="M1613" s="233"/>
      <c r="N1613" s="2460"/>
      <c r="O1613" s="2460"/>
    </row>
    <row r="1614" spans="3:15">
      <c r="C1614" s="233"/>
      <c r="D1614" s="233"/>
      <c r="E1614" s="770"/>
      <c r="F1614" s="234"/>
      <c r="G1614" s="234"/>
      <c r="H1614" s="233"/>
      <c r="I1614" s="233"/>
      <c r="J1614" s="770"/>
      <c r="K1614" s="233"/>
      <c r="L1614" s="233"/>
      <c r="M1614" s="233"/>
      <c r="N1614" s="2460"/>
      <c r="O1614" s="2460"/>
    </row>
    <row r="1615" spans="3:15">
      <c r="C1615" s="233"/>
      <c r="D1615" s="233"/>
      <c r="E1615" s="770"/>
      <c r="F1615" s="234"/>
      <c r="G1615" s="234"/>
      <c r="H1615" s="233"/>
      <c r="I1615" s="233"/>
      <c r="J1615" s="770"/>
      <c r="K1615" s="233"/>
      <c r="L1615" s="233"/>
      <c r="M1615" s="233"/>
      <c r="N1615" s="2460"/>
      <c r="O1615" s="2460"/>
    </row>
    <row r="1616" spans="3:15">
      <c r="C1616" s="233"/>
      <c r="D1616" s="233"/>
      <c r="E1616" s="770"/>
      <c r="F1616" s="234"/>
      <c r="G1616" s="234"/>
      <c r="H1616" s="233"/>
      <c r="I1616" s="233"/>
      <c r="J1616" s="770"/>
      <c r="K1616" s="233"/>
      <c r="L1616" s="233"/>
      <c r="M1616" s="233"/>
      <c r="N1616" s="2460"/>
      <c r="O1616" s="2460"/>
    </row>
    <row r="1617" spans="3:15">
      <c r="C1617" s="233"/>
      <c r="D1617" s="233"/>
      <c r="E1617" s="770"/>
      <c r="F1617" s="234"/>
      <c r="G1617" s="234"/>
      <c r="H1617" s="233"/>
      <c r="I1617" s="233"/>
      <c r="J1617" s="770"/>
      <c r="K1617" s="233"/>
      <c r="L1617" s="233"/>
      <c r="M1617" s="233"/>
      <c r="N1617" s="2460"/>
      <c r="O1617" s="2460"/>
    </row>
    <row r="1618" spans="3:15">
      <c r="C1618" s="233"/>
      <c r="D1618" s="233"/>
      <c r="E1618" s="770"/>
      <c r="F1618" s="234"/>
      <c r="G1618" s="234"/>
      <c r="H1618" s="233"/>
      <c r="I1618" s="233"/>
      <c r="J1618" s="770"/>
      <c r="K1618" s="233"/>
      <c r="L1618" s="233"/>
      <c r="M1618" s="233"/>
      <c r="N1618" s="2460"/>
      <c r="O1618" s="2460"/>
    </row>
    <row r="1619" spans="3:15">
      <c r="C1619" s="233"/>
      <c r="D1619" s="233"/>
      <c r="E1619" s="770"/>
      <c r="F1619" s="234"/>
      <c r="G1619" s="234"/>
      <c r="H1619" s="233"/>
      <c r="I1619" s="233"/>
      <c r="J1619" s="770"/>
      <c r="K1619" s="233"/>
      <c r="L1619" s="233"/>
      <c r="M1619" s="233"/>
      <c r="N1619" s="2460"/>
      <c r="O1619" s="2460"/>
    </row>
    <row r="1620" spans="3:15">
      <c r="C1620" s="233"/>
      <c r="D1620" s="233"/>
      <c r="E1620" s="770"/>
      <c r="F1620" s="234"/>
      <c r="G1620" s="234"/>
      <c r="H1620" s="233"/>
      <c r="I1620" s="233"/>
      <c r="J1620" s="770"/>
      <c r="K1620" s="233"/>
      <c r="L1620" s="233"/>
      <c r="M1620" s="233"/>
      <c r="N1620" s="2460"/>
      <c r="O1620" s="2460"/>
    </row>
    <row r="1621" spans="3:15">
      <c r="C1621" s="233"/>
      <c r="D1621" s="233"/>
      <c r="E1621" s="770"/>
      <c r="F1621" s="234"/>
      <c r="G1621" s="234"/>
      <c r="H1621" s="233"/>
      <c r="I1621" s="233"/>
      <c r="J1621" s="770"/>
      <c r="K1621" s="233"/>
      <c r="L1621" s="233"/>
      <c r="M1621" s="233"/>
      <c r="N1621" s="2460"/>
      <c r="O1621" s="2460"/>
    </row>
    <row r="1622" spans="3:15">
      <c r="C1622" s="233"/>
      <c r="D1622" s="233"/>
      <c r="E1622" s="770"/>
      <c r="F1622" s="234"/>
      <c r="G1622" s="234"/>
      <c r="H1622" s="233"/>
      <c r="I1622" s="233"/>
      <c r="J1622" s="770"/>
      <c r="K1622" s="233"/>
      <c r="L1622" s="233"/>
      <c r="M1622" s="233"/>
      <c r="N1622" s="2460"/>
      <c r="O1622" s="2460"/>
    </row>
    <row r="1623" spans="3:15">
      <c r="C1623" s="233"/>
      <c r="D1623" s="233"/>
      <c r="E1623" s="770"/>
      <c r="F1623" s="234"/>
      <c r="G1623" s="234"/>
      <c r="H1623" s="233"/>
      <c r="I1623" s="233"/>
      <c r="J1623" s="770"/>
      <c r="K1623" s="233"/>
      <c r="L1623" s="233"/>
      <c r="M1623" s="233"/>
      <c r="N1623" s="2460"/>
      <c r="O1623" s="2460"/>
    </row>
    <row r="1624" spans="3:15">
      <c r="C1624" s="233"/>
      <c r="D1624" s="233"/>
      <c r="E1624" s="770"/>
      <c r="F1624" s="234"/>
      <c r="G1624" s="234"/>
      <c r="H1624" s="233"/>
      <c r="I1624" s="233"/>
      <c r="J1624" s="770"/>
      <c r="K1624" s="233"/>
      <c r="L1624" s="233"/>
      <c r="M1624" s="233"/>
      <c r="N1624" s="2460"/>
      <c r="O1624" s="2460"/>
    </row>
    <row r="1625" spans="3:15">
      <c r="C1625" s="233"/>
      <c r="D1625" s="233"/>
      <c r="E1625" s="770"/>
      <c r="F1625" s="234"/>
      <c r="G1625" s="234"/>
      <c r="H1625" s="233"/>
      <c r="I1625" s="233"/>
      <c r="J1625" s="770"/>
      <c r="K1625" s="233"/>
      <c r="L1625" s="233"/>
      <c r="M1625" s="233"/>
      <c r="N1625" s="2460"/>
      <c r="O1625" s="2460"/>
    </row>
    <row r="1626" spans="3:15">
      <c r="C1626" s="233"/>
      <c r="D1626" s="233"/>
      <c r="E1626" s="770"/>
      <c r="F1626" s="234"/>
      <c r="G1626" s="234"/>
      <c r="H1626" s="233"/>
      <c r="I1626" s="233"/>
      <c r="J1626" s="770"/>
      <c r="K1626" s="233"/>
      <c r="L1626" s="233"/>
      <c r="M1626" s="233"/>
      <c r="N1626" s="2460"/>
      <c r="O1626" s="2460"/>
    </row>
    <row r="1627" spans="3:15">
      <c r="C1627" s="233"/>
      <c r="D1627" s="233"/>
      <c r="E1627" s="770"/>
      <c r="F1627" s="234"/>
      <c r="G1627" s="234"/>
      <c r="H1627" s="233"/>
      <c r="I1627" s="233"/>
      <c r="J1627" s="770"/>
      <c r="K1627" s="233"/>
      <c r="L1627" s="233"/>
      <c r="M1627" s="233"/>
      <c r="N1627" s="2460"/>
      <c r="O1627" s="2460"/>
    </row>
    <row r="1628" spans="3:15">
      <c r="C1628" s="233"/>
      <c r="D1628" s="233"/>
      <c r="E1628" s="770"/>
      <c r="F1628" s="234"/>
      <c r="G1628" s="234"/>
      <c r="H1628" s="233"/>
      <c r="I1628" s="233"/>
      <c r="J1628" s="770"/>
      <c r="K1628" s="233"/>
      <c r="L1628" s="233"/>
      <c r="M1628" s="233"/>
      <c r="N1628" s="2460"/>
      <c r="O1628" s="2460"/>
    </row>
    <row r="1629" spans="3:15">
      <c r="C1629" s="233"/>
      <c r="D1629" s="233"/>
      <c r="E1629" s="770"/>
      <c r="F1629" s="234"/>
      <c r="G1629" s="234"/>
      <c r="H1629" s="233"/>
      <c r="I1629" s="233"/>
      <c r="J1629" s="770"/>
      <c r="K1629" s="233"/>
      <c r="L1629" s="233"/>
      <c r="M1629" s="233"/>
      <c r="N1629" s="2460"/>
      <c r="O1629" s="2460"/>
    </row>
    <row r="1630" spans="3:15">
      <c r="C1630" s="233"/>
      <c r="D1630" s="233"/>
      <c r="E1630" s="770"/>
      <c r="F1630" s="234"/>
      <c r="G1630" s="234"/>
      <c r="H1630" s="233"/>
      <c r="I1630" s="233"/>
      <c r="J1630" s="770"/>
      <c r="K1630" s="233"/>
      <c r="L1630" s="233"/>
      <c r="M1630" s="233"/>
      <c r="N1630" s="2460"/>
      <c r="O1630" s="2460"/>
    </row>
    <row r="1631" spans="3:15">
      <c r="C1631" s="233"/>
      <c r="D1631" s="233"/>
      <c r="E1631" s="770"/>
      <c r="F1631" s="234"/>
      <c r="G1631" s="234"/>
      <c r="H1631" s="233"/>
      <c r="I1631" s="233"/>
      <c r="J1631" s="770"/>
      <c r="K1631" s="233"/>
      <c r="L1631" s="233"/>
      <c r="M1631" s="233"/>
      <c r="N1631" s="2460"/>
      <c r="O1631" s="2460"/>
    </row>
    <row r="1632" spans="3:15">
      <c r="C1632" s="233"/>
      <c r="D1632" s="233"/>
      <c r="E1632" s="770"/>
      <c r="F1632" s="234"/>
      <c r="G1632" s="234"/>
      <c r="H1632" s="233"/>
      <c r="I1632" s="233"/>
      <c r="J1632" s="770"/>
      <c r="K1632" s="233"/>
      <c r="L1632" s="233"/>
      <c r="M1632" s="233"/>
      <c r="N1632" s="2460"/>
      <c r="O1632" s="2460"/>
    </row>
    <row r="1633" spans="3:15">
      <c r="C1633" s="233"/>
      <c r="D1633" s="233"/>
      <c r="E1633" s="770"/>
      <c r="F1633" s="234"/>
      <c r="G1633" s="234"/>
      <c r="H1633" s="233"/>
      <c r="I1633" s="233"/>
      <c r="J1633" s="770"/>
      <c r="K1633" s="233"/>
      <c r="L1633" s="233"/>
      <c r="M1633" s="233"/>
      <c r="N1633" s="2460"/>
      <c r="O1633" s="2460"/>
    </row>
    <row r="1634" spans="3:15">
      <c r="C1634" s="233"/>
      <c r="D1634" s="233"/>
      <c r="E1634" s="770"/>
      <c r="F1634" s="234"/>
      <c r="G1634" s="234"/>
      <c r="H1634" s="233"/>
      <c r="I1634" s="233"/>
      <c r="J1634" s="770"/>
      <c r="K1634" s="233"/>
      <c r="L1634" s="233"/>
      <c r="M1634" s="233"/>
      <c r="N1634" s="2460"/>
      <c r="O1634" s="2460"/>
    </row>
    <row r="1635" spans="3:15">
      <c r="C1635" s="233"/>
      <c r="D1635" s="233"/>
      <c r="E1635" s="770"/>
      <c r="F1635" s="234"/>
      <c r="G1635" s="234"/>
      <c r="H1635" s="233"/>
      <c r="I1635" s="233"/>
      <c r="J1635" s="770"/>
      <c r="K1635" s="233"/>
      <c r="L1635" s="233"/>
      <c r="M1635" s="233"/>
      <c r="N1635" s="2460"/>
      <c r="O1635" s="2460"/>
    </row>
    <row r="1636" spans="3:15">
      <c r="C1636" s="233"/>
      <c r="D1636" s="233"/>
      <c r="E1636" s="770"/>
      <c r="F1636" s="234"/>
      <c r="G1636" s="234"/>
      <c r="H1636" s="233"/>
      <c r="I1636" s="233"/>
      <c r="J1636" s="770"/>
      <c r="K1636" s="233"/>
      <c r="L1636" s="233"/>
      <c r="M1636" s="233"/>
      <c r="N1636" s="2460"/>
      <c r="O1636" s="2460"/>
    </row>
    <row r="1637" spans="3:15">
      <c r="C1637" s="233"/>
      <c r="D1637" s="233"/>
      <c r="E1637" s="770"/>
      <c r="F1637" s="234"/>
      <c r="G1637" s="234"/>
      <c r="H1637" s="233"/>
      <c r="I1637" s="233"/>
      <c r="J1637" s="770"/>
      <c r="K1637" s="233"/>
      <c r="L1637" s="233"/>
      <c r="M1637" s="233"/>
      <c r="N1637" s="2460"/>
      <c r="O1637" s="2460"/>
    </row>
    <row r="1638" spans="3:15">
      <c r="C1638" s="233"/>
      <c r="D1638" s="233"/>
      <c r="E1638" s="770"/>
      <c r="F1638" s="234"/>
      <c r="G1638" s="234"/>
      <c r="H1638" s="233"/>
      <c r="I1638" s="233"/>
      <c r="J1638" s="770"/>
      <c r="K1638" s="233"/>
      <c r="L1638" s="233"/>
      <c r="M1638" s="233"/>
      <c r="N1638" s="2460"/>
      <c r="O1638" s="2460"/>
    </row>
    <row r="1639" spans="3:15">
      <c r="C1639" s="233"/>
      <c r="D1639" s="233"/>
      <c r="E1639" s="770"/>
      <c r="F1639" s="234"/>
      <c r="G1639" s="234"/>
      <c r="H1639" s="233"/>
      <c r="I1639" s="233"/>
      <c r="J1639" s="770"/>
      <c r="K1639" s="233"/>
      <c r="L1639" s="233"/>
      <c r="M1639" s="233"/>
      <c r="N1639" s="2460"/>
      <c r="O1639" s="2460"/>
    </row>
    <row r="1640" spans="3:15">
      <c r="C1640" s="233"/>
      <c r="D1640" s="233"/>
      <c r="E1640" s="770"/>
      <c r="F1640" s="234"/>
      <c r="G1640" s="234"/>
      <c r="H1640" s="233"/>
      <c r="I1640" s="233"/>
      <c r="J1640" s="770"/>
      <c r="K1640" s="233"/>
      <c r="L1640" s="233"/>
      <c r="M1640" s="233"/>
      <c r="N1640" s="2460"/>
      <c r="O1640" s="2460"/>
    </row>
    <row r="1641" spans="3:15">
      <c r="C1641" s="233"/>
      <c r="D1641" s="233"/>
      <c r="E1641" s="770"/>
      <c r="F1641" s="234"/>
      <c r="G1641" s="234"/>
      <c r="H1641" s="233"/>
      <c r="I1641" s="233"/>
      <c r="J1641" s="770"/>
      <c r="K1641" s="233"/>
      <c r="L1641" s="233"/>
      <c r="M1641" s="233"/>
      <c r="N1641" s="2460"/>
      <c r="O1641" s="2460"/>
    </row>
    <row r="1642" spans="3:15">
      <c r="C1642" s="233"/>
      <c r="D1642" s="233"/>
      <c r="E1642" s="770"/>
      <c r="F1642" s="234"/>
      <c r="G1642" s="234"/>
      <c r="H1642" s="233"/>
      <c r="I1642" s="233"/>
      <c r="J1642" s="770"/>
      <c r="K1642" s="233"/>
      <c r="L1642" s="233"/>
      <c r="M1642" s="233"/>
      <c r="N1642" s="2460"/>
      <c r="O1642" s="2460"/>
    </row>
    <row r="1643" spans="3:15">
      <c r="C1643" s="233"/>
      <c r="D1643" s="233"/>
      <c r="E1643" s="770"/>
      <c r="F1643" s="234"/>
      <c r="G1643" s="234"/>
      <c r="H1643" s="233"/>
      <c r="I1643" s="233"/>
      <c r="J1643" s="770"/>
      <c r="K1643" s="233"/>
      <c r="L1643" s="233"/>
      <c r="M1643" s="233"/>
      <c r="N1643" s="2460"/>
      <c r="O1643" s="2460"/>
    </row>
    <row r="1644" spans="3:15">
      <c r="C1644" s="233"/>
      <c r="D1644" s="233"/>
      <c r="E1644" s="770"/>
      <c r="F1644" s="234"/>
      <c r="G1644" s="234"/>
      <c r="H1644" s="233"/>
      <c r="I1644" s="233"/>
      <c r="J1644" s="770"/>
      <c r="K1644" s="233"/>
      <c r="L1644" s="233"/>
      <c r="M1644" s="233"/>
      <c r="N1644" s="2460"/>
      <c r="O1644" s="2460"/>
    </row>
    <row r="1645" spans="3:15">
      <c r="C1645" s="233"/>
      <c r="D1645" s="233"/>
      <c r="E1645" s="770"/>
      <c r="F1645" s="234"/>
      <c r="G1645" s="234"/>
      <c r="H1645" s="233"/>
      <c r="I1645" s="233"/>
      <c r="J1645" s="770"/>
      <c r="K1645" s="233"/>
      <c r="L1645" s="233"/>
      <c r="M1645" s="233"/>
      <c r="N1645" s="2460"/>
      <c r="O1645" s="2460"/>
    </row>
    <row r="1646" spans="3:15">
      <c r="C1646" s="233"/>
      <c r="D1646" s="233"/>
      <c r="E1646" s="770"/>
      <c r="F1646" s="234"/>
      <c r="G1646" s="234"/>
      <c r="H1646" s="233"/>
      <c r="I1646" s="233"/>
      <c r="J1646" s="770"/>
      <c r="K1646" s="233"/>
      <c r="L1646" s="233"/>
      <c r="M1646" s="233"/>
      <c r="N1646" s="2460"/>
      <c r="O1646" s="2460"/>
    </row>
    <row r="1647" spans="3:15">
      <c r="C1647" s="233"/>
      <c r="D1647" s="233"/>
      <c r="E1647" s="770"/>
      <c r="F1647" s="234"/>
      <c r="G1647" s="234"/>
      <c r="H1647" s="233"/>
      <c r="I1647" s="233"/>
      <c r="J1647" s="770"/>
      <c r="K1647" s="233"/>
      <c r="L1647" s="233"/>
      <c r="M1647" s="233"/>
      <c r="N1647" s="2460"/>
      <c r="O1647" s="2460"/>
    </row>
    <row r="1648" spans="3:15">
      <c r="C1648" s="233"/>
      <c r="D1648" s="233"/>
      <c r="E1648" s="770"/>
      <c r="F1648" s="234"/>
      <c r="G1648" s="234"/>
      <c r="H1648" s="233"/>
      <c r="I1648" s="233"/>
      <c r="J1648" s="770"/>
      <c r="K1648" s="233"/>
      <c r="L1648" s="233"/>
      <c r="M1648" s="233"/>
      <c r="N1648" s="2460"/>
      <c r="O1648" s="2460"/>
    </row>
    <row r="1649" spans="3:15">
      <c r="C1649" s="233"/>
      <c r="D1649" s="233"/>
      <c r="E1649" s="770"/>
      <c r="F1649" s="234"/>
      <c r="G1649" s="234"/>
      <c r="H1649" s="233"/>
      <c r="I1649" s="233"/>
      <c r="J1649" s="770"/>
      <c r="K1649" s="233"/>
      <c r="L1649" s="233"/>
      <c r="M1649" s="233"/>
      <c r="N1649" s="2460"/>
      <c r="O1649" s="2460"/>
    </row>
    <row r="1650" spans="3:15">
      <c r="C1650" s="233"/>
      <c r="D1650" s="233"/>
      <c r="E1650" s="770"/>
      <c r="F1650" s="234"/>
      <c r="G1650" s="234"/>
      <c r="H1650" s="233"/>
      <c r="I1650" s="233"/>
      <c r="J1650" s="770"/>
      <c r="K1650" s="233"/>
      <c r="L1650" s="233"/>
      <c r="M1650" s="233"/>
      <c r="N1650" s="2460"/>
      <c r="O1650" s="2460"/>
    </row>
    <row r="1651" spans="3:15">
      <c r="C1651" s="233"/>
      <c r="D1651" s="233"/>
      <c r="E1651" s="770"/>
      <c r="F1651" s="234"/>
      <c r="G1651" s="234"/>
      <c r="H1651" s="233"/>
      <c r="I1651" s="233"/>
      <c r="J1651" s="770"/>
      <c r="K1651" s="233"/>
      <c r="L1651" s="233"/>
      <c r="M1651" s="233"/>
      <c r="N1651" s="2460"/>
      <c r="O1651" s="2460"/>
    </row>
    <row r="1652" spans="3:15">
      <c r="C1652" s="233"/>
      <c r="D1652" s="233"/>
      <c r="E1652" s="770"/>
      <c r="F1652" s="234"/>
      <c r="G1652" s="234"/>
      <c r="H1652" s="233"/>
      <c r="I1652" s="233"/>
      <c r="J1652" s="770"/>
      <c r="K1652" s="233"/>
      <c r="L1652" s="233"/>
      <c r="M1652" s="233"/>
      <c r="N1652" s="2460"/>
      <c r="O1652" s="2460"/>
    </row>
    <row r="1653" spans="3:15">
      <c r="C1653" s="233"/>
      <c r="D1653" s="233"/>
      <c r="E1653" s="770"/>
      <c r="F1653" s="234"/>
      <c r="G1653" s="234"/>
      <c r="H1653" s="233"/>
      <c r="I1653" s="233"/>
      <c r="J1653" s="770"/>
      <c r="K1653" s="233"/>
      <c r="L1653" s="233"/>
      <c r="M1653" s="233"/>
      <c r="N1653" s="2460"/>
      <c r="O1653" s="2460"/>
    </row>
    <row r="1654" spans="3:15">
      <c r="C1654" s="233"/>
      <c r="D1654" s="233"/>
      <c r="E1654" s="770"/>
      <c r="F1654" s="234"/>
      <c r="G1654" s="234"/>
      <c r="H1654" s="233"/>
      <c r="I1654" s="233"/>
      <c r="J1654" s="770"/>
      <c r="K1654" s="233"/>
      <c r="L1654" s="233"/>
      <c r="M1654" s="233"/>
      <c r="N1654" s="2460"/>
      <c r="O1654" s="2460"/>
    </row>
    <row r="1655" spans="3:15">
      <c r="C1655" s="233"/>
      <c r="D1655" s="233"/>
      <c r="E1655" s="770"/>
      <c r="F1655" s="234"/>
      <c r="G1655" s="234"/>
      <c r="H1655" s="233"/>
      <c r="I1655" s="233"/>
      <c r="J1655" s="770"/>
      <c r="K1655" s="233"/>
      <c r="L1655" s="233"/>
      <c r="M1655" s="233"/>
      <c r="N1655" s="2460"/>
      <c r="O1655" s="2460"/>
    </row>
    <row r="1656" spans="3:15">
      <c r="C1656" s="233"/>
      <c r="D1656" s="233"/>
      <c r="E1656" s="770"/>
      <c r="F1656" s="234"/>
      <c r="G1656" s="234"/>
      <c r="H1656" s="233"/>
      <c r="I1656" s="233"/>
      <c r="J1656" s="770"/>
      <c r="K1656" s="233"/>
      <c r="L1656" s="233"/>
      <c r="M1656" s="233"/>
      <c r="N1656" s="2460"/>
      <c r="O1656" s="2460"/>
    </row>
    <row r="1657" spans="3:15">
      <c r="C1657" s="233"/>
      <c r="D1657" s="233"/>
      <c r="E1657" s="770"/>
      <c r="F1657" s="234"/>
      <c r="G1657" s="234"/>
      <c r="H1657" s="233"/>
      <c r="I1657" s="233"/>
      <c r="J1657" s="770"/>
      <c r="K1657" s="233"/>
      <c r="L1657" s="233"/>
      <c r="M1657" s="233"/>
      <c r="N1657" s="2460"/>
      <c r="O1657" s="2460"/>
    </row>
    <row r="1658" spans="3:15">
      <c r="C1658" s="233"/>
      <c r="D1658" s="233"/>
      <c r="E1658" s="770"/>
      <c r="F1658" s="234"/>
      <c r="G1658" s="234"/>
      <c r="H1658" s="233"/>
      <c r="I1658" s="233"/>
      <c r="J1658" s="770"/>
      <c r="K1658" s="233"/>
      <c r="L1658" s="233"/>
      <c r="M1658" s="233"/>
      <c r="N1658" s="2460"/>
      <c r="O1658" s="2460"/>
    </row>
    <row r="1659" spans="3:15">
      <c r="C1659" s="233"/>
      <c r="D1659" s="233"/>
      <c r="E1659" s="770"/>
      <c r="F1659" s="234"/>
      <c r="G1659" s="234"/>
      <c r="H1659" s="233"/>
      <c r="I1659" s="233"/>
      <c r="J1659" s="770"/>
      <c r="K1659" s="233"/>
      <c r="L1659" s="233"/>
      <c r="M1659" s="233"/>
      <c r="N1659" s="2460"/>
      <c r="O1659" s="2460"/>
    </row>
    <row r="1660" spans="3:15">
      <c r="C1660" s="233"/>
      <c r="D1660" s="233"/>
      <c r="E1660" s="770"/>
      <c r="F1660" s="234"/>
      <c r="G1660" s="234"/>
      <c r="H1660" s="233"/>
      <c r="I1660" s="233"/>
      <c r="J1660" s="770"/>
      <c r="K1660" s="233"/>
      <c r="L1660" s="233"/>
      <c r="M1660" s="233"/>
      <c r="N1660" s="2460"/>
      <c r="O1660" s="2460"/>
    </row>
    <row r="1661" spans="3:15">
      <c r="C1661" s="233"/>
      <c r="D1661" s="233"/>
      <c r="E1661" s="770"/>
      <c r="F1661" s="234"/>
      <c r="G1661" s="234"/>
      <c r="H1661" s="233"/>
      <c r="I1661" s="233"/>
      <c r="J1661" s="770"/>
      <c r="K1661" s="233"/>
      <c r="L1661" s="233"/>
      <c r="M1661" s="233"/>
      <c r="N1661" s="2460"/>
      <c r="O1661" s="2460"/>
    </row>
    <row r="1662" spans="3:15">
      <c r="C1662" s="233"/>
      <c r="D1662" s="233"/>
      <c r="E1662" s="770"/>
      <c r="F1662" s="234"/>
      <c r="G1662" s="234"/>
      <c r="H1662" s="233"/>
      <c r="I1662" s="233"/>
      <c r="J1662" s="770"/>
      <c r="K1662" s="233"/>
      <c r="L1662" s="233"/>
      <c r="M1662" s="233"/>
      <c r="N1662" s="2460"/>
      <c r="O1662" s="2460"/>
    </row>
    <row r="1663" spans="3:15">
      <c r="C1663" s="233"/>
      <c r="D1663" s="233"/>
      <c r="E1663" s="770"/>
      <c r="F1663" s="234"/>
      <c r="G1663" s="234"/>
      <c r="H1663" s="233"/>
      <c r="I1663" s="233"/>
      <c r="J1663" s="770"/>
      <c r="K1663" s="233"/>
      <c r="L1663" s="233"/>
      <c r="M1663" s="233"/>
      <c r="N1663" s="2460"/>
      <c r="O1663" s="2460"/>
    </row>
    <row r="1664" spans="3:15">
      <c r="C1664" s="233"/>
      <c r="D1664" s="233"/>
      <c r="E1664" s="770"/>
      <c r="F1664" s="234"/>
      <c r="G1664" s="234"/>
      <c r="H1664" s="233"/>
      <c r="I1664" s="233"/>
      <c r="J1664" s="770"/>
      <c r="K1664" s="233"/>
      <c r="L1664" s="233"/>
      <c r="M1664" s="233"/>
      <c r="N1664" s="2460"/>
      <c r="O1664" s="2460"/>
    </row>
    <row r="1665" spans="3:15">
      <c r="C1665" s="233"/>
      <c r="D1665" s="233"/>
      <c r="E1665" s="770"/>
      <c r="F1665" s="234"/>
      <c r="G1665" s="234"/>
      <c r="H1665" s="233"/>
      <c r="I1665" s="233"/>
      <c r="J1665" s="770"/>
      <c r="K1665" s="233"/>
      <c r="L1665" s="233"/>
      <c r="M1665" s="233"/>
      <c r="N1665" s="2460"/>
      <c r="O1665" s="2460"/>
    </row>
    <row r="1666" spans="3:15">
      <c r="C1666" s="233"/>
      <c r="D1666" s="233"/>
      <c r="E1666" s="770"/>
      <c r="F1666" s="234"/>
      <c r="G1666" s="234"/>
      <c r="H1666" s="233"/>
      <c r="I1666" s="233"/>
      <c r="J1666" s="770"/>
      <c r="K1666" s="233"/>
      <c r="L1666" s="233"/>
      <c r="M1666" s="233"/>
      <c r="N1666" s="2460"/>
      <c r="O1666" s="2460"/>
    </row>
    <row r="1667" spans="3:15">
      <c r="C1667" s="233"/>
      <c r="D1667" s="233"/>
      <c r="E1667" s="770"/>
      <c r="F1667" s="234"/>
      <c r="G1667" s="234"/>
      <c r="H1667" s="233"/>
      <c r="I1667" s="233"/>
      <c r="J1667" s="770"/>
      <c r="K1667" s="233"/>
      <c r="L1667" s="233"/>
      <c r="M1667" s="233"/>
      <c r="N1667" s="2460"/>
      <c r="O1667" s="2460"/>
    </row>
    <row r="1668" spans="3:15">
      <c r="C1668" s="233"/>
      <c r="D1668" s="233"/>
      <c r="E1668" s="770"/>
      <c r="F1668" s="234"/>
      <c r="G1668" s="234"/>
      <c r="H1668" s="233"/>
      <c r="I1668" s="233"/>
      <c r="J1668" s="770"/>
      <c r="K1668" s="233"/>
      <c r="L1668" s="233"/>
      <c r="M1668" s="233"/>
      <c r="N1668" s="2460"/>
      <c r="O1668" s="2460"/>
    </row>
    <row r="1669" spans="3:15">
      <c r="C1669" s="233"/>
      <c r="D1669" s="233"/>
      <c r="E1669" s="770"/>
      <c r="F1669" s="234"/>
      <c r="G1669" s="234"/>
      <c r="H1669" s="233"/>
      <c r="I1669" s="233"/>
      <c r="J1669" s="770"/>
      <c r="K1669" s="233"/>
      <c r="L1669" s="233"/>
      <c r="M1669" s="233"/>
      <c r="N1669" s="2460"/>
      <c r="O1669" s="2460"/>
    </row>
    <row r="1670" spans="3:15">
      <c r="C1670" s="233"/>
      <c r="D1670" s="233"/>
      <c r="E1670" s="770"/>
      <c r="F1670" s="234"/>
      <c r="G1670" s="234"/>
      <c r="H1670" s="233"/>
      <c r="I1670" s="233"/>
      <c r="J1670" s="770"/>
      <c r="K1670" s="233"/>
      <c r="L1670" s="233"/>
      <c r="M1670" s="233"/>
      <c r="N1670" s="2460"/>
      <c r="O1670" s="2460"/>
    </row>
    <row r="1671" spans="3:15">
      <c r="C1671" s="233"/>
      <c r="D1671" s="233"/>
      <c r="E1671" s="770"/>
      <c r="F1671" s="234"/>
      <c r="G1671" s="234"/>
      <c r="H1671" s="233"/>
      <c r="I1671" s="233"/>
      <c r="J1671" s="770"/>
      <c r="K1671" s="233"/>
      <c r="L1671" s="233"/>
      <c r="M1671" s="233"/>
      <c r="N1671" s="2460"/>
      <c r="O1671" s="2460"/>
    </row>
    <row r="1672" spans="3:15">
      <c r="C1672" s="233"/>
      <c r="D1672" s="233"/>
      <c r="E1672" s="770"/>
      <c r="F1672" s="234"/>
      <c r="G1672" s="234"/>
      <c r="H1672" s="233"/>
      <c r="I1672" s="233"/>
      <c r="J1672" s="770"/>
      <c r="K1672" s="233"/>
      <c r="L1672" s="233"/>
      <c r="M1672" s="233"/>
      <c r="N1672" s="2460"/>
      <c r="O1672" s="2460"/>
    </row>
    <row r="1673" spans="3:15">
      <c r="C1673" s="233"/>
      <c r="D1673" s="233"/>
      <c r="E1673" s="770"/>
      <c r="F1673" s="234"/>
      <c r="G1673" s="234"/>
      <c r="H1673" s="233"/>
      <c r="I1673" s="233"/>
      <c r="J1673" s="770"/>
      <c r="K1673" s="233"/>
      <c r="L1673" s="233"/>
      <c r="M1673" s="233"/>
      <c r="N1673" s="2460"/>
      <c r="O1673" s="2460"/>
    </row>
    <row r="1674" spans="3:15">
      <c r="C1674" s="233"/>
      <c r="D1674" s="233"/>
      <c r="E1674" s="770"/>
      <c r="F1674" s="234"/>
      <c r="G1674" s="234"/>
      <c r="H1674" s="233"/>
      <c r="I1674" s="233"/>
      <c r="J1674" s="770"/>
      <c r="K1674" s="233"/>
      <c r="L1674" s="233"/>
      <c r="M1674" s="233"/>
      <c r="N1674" s="2460"/>
      <c r="O1674" s="2460"/>
    </row>
    <row r="1675" spans="3:15">
      <c r="C1675" s="233"/>
      <c r="D1675" s="233"/>
      <c r="E1675" s="770"/>
      <c r="F1675" s="234"/>
      <c r="G1675" s="234"/>
      <c r="H1675" s="233"/>
      <c r="I1675" s="233"/>
      <c r="J1675" s="770"/>
      <c r="K1675" s="233"/>
      <c r="L1675" s="233"/>
      <c r="M1675" s="233"/>
      <c r="N1675" s="2460"/>
      <c r="O1675" s="2460"/>
    </row>
    <row r="1676" spans="3:15">
      <c r="C1676" s="233"/>
      <c r="D1676" s="233"/>
      <c r="E1676" s="770"/>
      <c r="F1676" s="234"/>
      <c r="G1676" s="234"/>
      <c r="H1676" s="233"/>
      <c r="I1676" s="233"/>
      <c r="J1676" s="770"/>
      <c r="K1676" s="233"/>
      <c r="L1676" s="233"/>
      <c r="M1676" s="233"/>
      <c r="N1676" s="2460"/>
      <c r="O1676" s="2460"/>
    </row>
    <row r="1677" spans="3:15">
      <c r="C1677" s="233"/>
      <c r="D1677" s="233"/>
      <c r="E1677" s="770"/>
      <c r="F1677" s="234"/>
      <c r="G1677" s="234"/>
      <c r="H1677" s="233"/>
      <c r="I1677" s="233"/>
      <c r="J1677" s="770"/>
      <c r="K1677" s="233"/>
      <c r="L1677" s="233"/>
      <c r="M1677" s="233"/>
      <c r="N1677" s="2460"/>
      <c r="O1677" s="2460"/>
    </row>
    <row r="1678" spans="3:15">
      <c r="C1678" s="233"/>
      <c r="D1678" s="233"/>
      <c r="E1678" s="770"/>
      <c r="F1678" s="234"/>
      <c r="G1678" s="234"/>
      <c r="H1678" s="233"/>
      <c r="I1678" s="233"/>
      <c r="J1678" s="770"/>
      <c r="K1678" s="233"/>
      <c r="L1678" s="233"/>
      <c r="M1678" s="233"/>
      <c r="N1678" s="2460"/>
      <c r="O1678" s="2460"/>
    </row>
    <row r="1679" spans="3:15">
      <c r="C1679" s="233"/>
      <c r="D1679" s="233"/>
      <c r="E1679" s="770"/>
      <c r="F1679" s="234"/>
      <c r="G1679" s="234"/>
      <c r="H1679" s="233"/>
      <c r="I1679" s="233"/>
      <c r="J1679" s="770"/>
      <c r="K1679" s="233"/>
      <c r="L1679" s="233"/>
      <c r="M1679" s="233"/>
      <c r="N1679" s="2460"/>
      <c r="O1679" s="2460"/>
    </row>
    <row r="1680" spans="3:15">
      <c r="C1680" s="233"/>
      <c r="D1680" s="233"/>
      <c r="E1680" s="770"/>
      <c r="F1680" s="234"/>
      <c r="G1680" s="234"/>
      <c r="H1680" s="233"/>
      <c r="I1680" s="233"/>
      <c r="J1680" s="770"/>
      <c r="K1680" s="233"/>
      <c r="L1680" s="233"/>
      <c r="M1680" s="233"/>
      <c r="N1680" s="2460"/>
      <c r="O1680" s="2460"/>
    </row>
    <row r="1681" spans="3:15">
      <c r="C1681" s="233"/>
      <c r="D1681" s="233"/>
      <c r="E1681" s="770"/>
      <c r="F1681" s="234"/>
      <c r="G1681" s="234"/>
      <c r="H1681" s="233"/>
      <c r="I1681" s="233"/>
      <c r="J1681" s="770"/>
      <c r="K1681" s="233"/>
      <c r="L1681" s="233"/>
      <c r="M1681" s="233"/>
      <c r="N1681" s="2460"/>
      <c r="O1681" s="2460"/>
    </row>
    <row r="1682" spans="3:15">
      <c r="C1682" s="233"/>
      <c r="D1682" s="233"/>
      <c r="E1682" s="770"/>
      <c r="F1682" s="234"/>
      <c r="G1682" s="234"/>
      <c r="H1682" s="233"/>
      <c r="I1682" s="233"/>
      <c r="J1682" s="770"/>
      <c r="K1682" s="233"/>
      <c r="L1682" s="233"/>
      <c r="M1682" s="233"/>
      <c r="N1682" s="2460"/>
      <c r="O1682" s="2460"/>
    </row>
    <row r="1683" spans="3:15">
      <c r="C1683" s="233"/>
      <c r="D1683" s="233"/>
      <c r="E1683" s="770"/>
      <c r="F1683" s="234"/>
      <c r="G1683" s="234"/>
      <c r="H1683" s="233"/>
      <c r="I1683" s="233"/>
      <c r="J1683" s="770"/>
      <c r="K1683" s="233"/>
      <c r="L1683" s="233"/>
      <c r="M1683" s="233"/>
      <c r="N1683" s="2460"/>
      <c r="O1683" s="2460"/>
    </row>
    <row r="1684" spans="3:15">
      <c r="C1684" s="233"/>
      <c r="D1684" s="233"/>
      <c r="E1684" s="770"/>
      <c r="F1684" s="234"/>
      <c r="G1684" s="234"/>
      <c r="H1684" s="233"/>
      <c r="I1684" s="233"/>
      <c r="J1684" s="770"/>
      <c r="K1684" s="233"/>
      <c r="L1684" s="233"/>
      <c r="M1684" s="233"/>
      <c r="N1684" s="2460"/>
      <c r="O1684" s="2460"/>
    </row>
    <row r="1685" spans="3:15">
      <c r="C1685" s="233"/>
      <c r="D1685" s="233"/>
      <c r="E1685" s="770"/>
      <c r="F1685" s="234"/>
      <c r="G1685" s="234"/>
      <c r="H1685" s="233"/>
      <c r="I1685" s="233"/>
      <c r="J1685" s="770"/>
      <c r="K1685" s="233"/>
      <c r="L1685" s="233"/>
      <c r="M1685" s="233"/>
      <c r="N1685" s="2460"/>
      <c r="O1685" s="2460"/>
    </row>
    <row r="1686" spans="3:15">
      <c r="C1686" s="233"/>
      <c r="D1686" s="233"/>
      <c r="E1686" s="770"/>
      <c r="F1686" s="234"/>
      <c r="G1686" s="234"/>
      <c r="H1686" s="233"/>
      <c r="I1686" s="233"/>
      <c r="J1686" s="770"/>
      <c r="K1686" s="233"/>
      <c r="L1686" s="233"/>
      <c r="M1686" s="233"/>
      <c r="N1686" s="2460"/>
      <c r="O1686" s="2460"/>
    </row>
    <row r="1687" spans="3:15">
      <c r="C1687" s="233"/>
      <c r="D1687" s="233"/>
      <c r="E1687" s="770"/>
      <c r="F1687" s="234"/>
      <c r="G1687" s="234"/>
      <c r="H1687" s="233"/>
      <c r="I1687" s="233"/>
      <c r="J1687" s="770"/>
      <c r="K1687" s="233"/>
      <c r="L1687" s="233"/>
      <c r="M1687" s="233"/>
      <c r="N1687" s="2460"/>
      <c r="O1687" s="2460"/>
    </row>
    <row r="1688" spans="3:15">
      <c r="C1688" s="233"/>
      <c r="D1688" s="233"/>
      <c r="E1688" s="770"/>
      <c r="F1688" s="234"/>
      <c r="G1688" s="234"/>
      <c r="H1688" s="233"/>
      <c r="I1688" s="233"/>
      <c r="J1688" s="770"/>
      <c r="K1688" s="233"/>
      <c r="L1688" s="233"/>
      <c r="M1688" s="233"/>
      <c r="N1688" s="2460"/>
      <c r="O1688" s="2460"/>
    </row>
    <row r="1689" spans="3:15">
      <c r="C1689" s="233"/>
      <c r="D1689" s="233"/>
      <c r="E1689" s="770"/>
      <c r="F1689" s="234"/>
      <c r="G1689" s="234"/>
      <c r="H1689" s="233"/>
      <c r="I1689" s="233"/>
      <c r="J1689" s="770"/>
      <c r="K1689" s="233"/>
      <c r="L1689" s="233"/>
      <c r="M1689" s="233"/>
      <c r="N1689" s="2460"/>
      <c r="O1689" s="2460"/>
    </row>
    <row r="1690" spans="3:15">
      <c r="C1690" s="233"/>
      <c r="D1690" s="233"/>
      <c r="E1690" s="770"/>
      <c r="F1690" s="234"/>
      <c r="G1690" s="234"/>
      <c r="H1690" s="233"/>
      <c r="I1690" s="233"/>
      <c r="J1690" s="770"/>
      <c r="K1690" s="233"/>
      <c r="L1690" s="233"/>
      <c r="M1690" s="233"/>
      <c r="N1690" s="2460"/>
      <c r="O1690" s="2460"/>
    </row>
    <row r="1691" spans="3:15">
      <c r="C1691" s="233"/>
      <c r="D1691" s="233"/>
      <c r="E1691" s="770"/>
      <c r="F1691" s="234"/>
      <c r="G1691" s="234"/>
      <c r="H1691" s="233"/>
      <c r="I1691" s="233"/>
      <c r="J1691" s="770"/>
      <c r="K1691" s="233"/>
      <c r="L1691" s="233"/>
      <c r="M1691" s="233"/>
      <c r="N1691" s="2460"/>
      <c r="O1691" s="2460"/>
    </row>
    <row r="1692" spans="3:15">
      <c r="C1692" s="233"/>
      <c r="D1692" s="233"/>
      <c r="E1692" s="770"/>
      <c r="F1692" s="234"/>
      <c r="G1692" s="234"/>
      <c r="H1692" s="233"/>
      <c r="I1692" s="233"/>
      <c r="J1692" s="770"/>
      <c r="K1692" s="233"/>
      <c r="L1692" s="233"/>
      <c r="M1692" s="233"/>
      <c r="N1692" s="2460"/>
      <c r="O1692" s="2460"/>
    </row>
    <row r="1693" spans="3:15">
      <c r="C1693" s="233"/>
      <c r="D1693" s="233"/>
      <c r="E1693" s="770"/>
      <c r="F1693" s="234"/>
      <c r="G1693" s="234"/>
      <c r="H1693" s="233"/>
      <c r="I1693" s="233"/>
      <c r="J1693" s="770"/>
      <c r="K1693" s="233"/>
      <c r="L1693" s="233"/>
      <c r="M1693" s="233"/>
      <c r="N1693" s="2460"/>
      <c r="O1693" s="2460"/>
    </row>
    <row r="1694" spans="3:15">
      <c r="C1694" s="233"/>
      <c r="D1694" s="233"/>
      <c r="E1694" s="770"/>
      <c r="F1694" s="234"/>
      <c r="G1694" s="234"/>
      <c r="H1694" s="233"/>
      <c r="I1694" s="233"/>
      <c r="J1694" s="770"/>
      <c r="K1694" s="233"/>
      <c r="L1694" s="233"/>
      <c r="M1694" s="233"/>
      <c r="N1694" s="2460"/>
      <c r="O1694" s="2460"/>
    </row>
    <row r="1695" spans="3:15">
      <c r="C1695" s="233"/>
      <c r="D1695" s="233"/>
      <c r="E1695" s="770"/>
      <c r="F1695" s="234"/>
      <c r="G1695" s="234"/>
      <c r="H1695" s="233"/>
      <c r="I1695" s="233"/>
      <c r="J1695" s="770"/>
      <c r="K1695" s="233"/>
      <c r="L1695" s="233"/>
      <c r="M1695" s="233"/>
      <c r="N1695" s="2460"/>
      <c r="O1695" s="2460"/>
    </row>
    <row r="1696" spans="3:15">
      <c r="C1696" s="233"/>
      <c r="D1696" s="233"/>
      <c r="E1696" s="770"/>
      <c r="F1696" s="234"/>
      <c r="G1696" s="234"/>
      <c r="H1696" s="233"/>
      <c r="I1696" s="233"/>
      <c r="J1696" s="770"/>
      <c r="K1696" s="233"/>
      <c r="L1696" s="233"/>
      <c r="M1696" s="233"/>
      <c r="N1696" s="2460"/>
      <c r="O1696" s="2460"/>
    </row>
    <row r="1697" spans="3:15">
      <c r="C1697" s="233"/>
      <c r="D1697" s="233"/>
      <c r="E1697" s="770"/>
      <c r="F1697" s="234"/>
      <c r="G1697" s="234"/>
      <c r="H1697" s="233"/>
      <c r="I1697" s="233"/>
      <c r="J1697" s="770"/>
      <c r="K1697" s="233"/>
      <c r="L1697" s="233"/>
      <c r="M1697" s="233"/>
      <c r="N1697" s="2460"/>
      <c r="O1697" s="2460"/>
    </row>
    <row r="1698" spans="3:15">
      <c r="C1698" s="233"/>
      <c r="D1698" s="233"/>
      <c r="E1698" s="770"/>
      <c r="F1698" s="234"/>
      <c r="G1698" s="234"/>
      <c r="H1698" s="233"/>
      <c r="I1698" s="233"/>
      <c r="J1698" s="770"/>
      <c r="K1698" s="233"/>
      <c r="L1698" s="233"/>
      <c r="M1698" s="233"/>
      <c r="N1698" s="2460"/>
      <c r="O1698" s="2460"/>
    </row>
    <row r="1699" spans="3:15">
      <c r="C1699" s="233"/>
      <c r="D1699" s="233"/>
      <c r="E1699" s="770"/>
      <c r="F1699" s="234"/>
      <c r="G1699" s="234"/>
      <c r="H1699" s="233"/>
      <c r="I1699" s="233"/>
      <c r="J1699" s="770"/>
      <c r="K1699" s="233"/>
      <c r="L1699" s="233"/>
      <c r="M1699" s="233"/>
      <c r="N1699" s="2460"/>
      <c r="O1699" s="2460"/>
    </row>
    <row r="1700" spans="3:15">
      <c r="C1700" s="233"/>
      <c r="D1700" s="233"/>
      <c r="E1700" s="770"/>
      <c r="F1700" s="234"/>
      <c r="G1700" s="234"/>
      <c r="H1700" s="233"/>
      <c r="I1700" s="233"/>
      <c r="J1700" s="770"/>
      <c r="K1700" s="233"/>
      <c r="L1700" s="233"/>
      <c r="M1700" s="233"/>
      <c r="N1700" s="2460"/>
      <c r="O1700" s="2460"/>
    </row>
    <row r="1701" spans="3:15">
      <c r="C1701" s="233"/>
      <c r="D1701" s="233"/>
      <c r="E1701" s="770"/>
      <c r="F1701" s="234"/>
      <c r="G1701" s="234"/>
      <c r="H1701" s="233"/>
      <c r="I1701" s="233"/>
      <c r="J1701" s="770"/>
      <c r="K1701" s="233"/>
      <c r="L1701" s="233"/>
      <c r="M1701" s="233"/>
      <c r="N1701" s="2460"/>
      <c r="O1701" s="2460"/>
    </row>
    <row r="1702" spans="3:15">
      <c r="C1702" s="233"/>
      <c r="D1702" s="233"/>
      <c r="E1702" s="770"/>
      <c r="F1702" s="234"/>
      <c r="G1702" s="234"/>
      <c r="H1702" s="233"/>
      <c r="I1702" s="233"/>
      <c r="J1702" s="770"/>
      <c r="K1702" s="233"/>
      <c r="L1702" s="233"/>
      <c r="M1702" s="233"/>
      <c r="N1702" s="2460"/>
      <c r="O1702" s="2460"/>
    </row>
    <row r="1703" spans="3:15">
      <c r="C1703" s="233"/>
      <c r="D1703" s="233"/>
      <c r="E1703" s="770"/>
      <c r="F1703" s="234"/>
      <c r="G1703" s="234"/>
      <c r="H1703" s="233"/>
      <c r="I1703" s="233"/>
      <c r="J1703" s="770"/>
      <c r="K1703" s="233"/>
      <c r="L1703" s="233"/>
      <c r="M1703" s="233"/>
      <c r="N1703" s="2460"/>
      <c r="O1703" s="2460"/>
    </row>
    <row r="1704" spans="3:15">
      <c r="C1704" s="233"/>
      <c r="D1704" s="233"/>
      <c r="E1704" s="770"/>
      <c r="F1704" s="234"/>
      <c r="G1704" s="234"/>
      <c r="H1704" s="233"/>
      <c r="I1704" s="233"/>
      <c r="J1704" s="770"/>
      <c r="K1704" s="233"/>
      <c r="L1704" s="233"/>
      <c r="M1704" s="233"/>
      <c r="N1704" s="2460"/>
      <c r="O1704" s="2460"/>
    </row>
    <row r="1705" spans="3:15">
      <c r="C1705" s="233"/>
      <c r="D1705" s="233"/>
      <c r="E1705" s="770"/>
      <c r="F1705" s="234"/>
      <c r="G1705" s="234"/>
      <c r="H1705" s="233"/>
      <c r="I1705" s="233"/>
      <c r="J1705" s="770"/>
      <c r="K1705" s="233"/>
      <c r="L1705" s="233"/>
      <c r="M1705" s="233"/>
      <c r="N1705" s="2460"/>
      <c r="O1705" s="2460"/>
    </row>
    <row r="1706" spans="3:15">
      <c r="C1706" s="233"/>
      <c r="D1706" s="233"/>
      <c r="E1706" s="770"/>
      <c r="F1706" s="234"/>
      <c r="G1706" s="234"/>
      <c r="H1706" s="233"/>
      <c r="I1706" s="233"/>
      <c r="J1706" s="770"/>
      <c r="K1706" s="233"/>
      <c r="L1706" s="233"/>
      <c r="M1706" s="233"/>
      <c r="N1706" s="2460"/>
      <c r="O1706" s="2460"/>
    </row>
    <row r="1707" spans="3:15">
      <c r="C1707" s="233"/>
      <c r="D1707" s="233"/>
      <c r="E1707" s="770"/>
      <c r="F1707" s="234"/>
      <c r="G1707" s="234"/>
      <c r="H1707" s="233"/>
      <c r="I1707" s="233"/>
      <c r="J1707" s="770"/>
      <c r="K1707" s="233"/>
      <c r="L1707" s="233"/>
      <c r="M1707" s="233"/>
      <c r="N1707" s="2460"/>
      <c r="O1707" s="2460"/>
    </row>
    <row r="1708" spans="3:15">
      <c r="C1708" s="233"/>
      <c r="D1708" s="233"/>
      <c r="E1708" s="770"/>
      <c r="F1708" s="234"/>
      <c r="G1708" s="234"/>
      <c r="H1708" s="233"/>
      <c r="I1708" s="233"/>
      <c r="J1708" s="770"/>
      <c r="K1708" s="233"/>
      <c r="L1708" s="233"/>
      <c r="M1708" s="233"/>
      <c r="N1708" s="2460"/>
      <c r="O1708" s="2460"/>
    </row>
    <row r="1709" spans="3:15">
      <c r="C1709" s="233"/>
      <c r="D1709" s="233"/>
      <c r="E1709" s="770"/>
      <c r="F1709" s="234"/>
      <c r="G1709" s="234"/>
      <c r="H1709" s="233"/>
      <c r="I1709" s="233"/>
      <c r="J1709" s="770"/>
      <c r="K1709" s="233"/>
      <c r="L1709" s="233"/>
      <c r="M1709" s="233"/>
      <c r="N1709" s="2460"/>
      <c r="O1709" s="2460"/>
    </row>
    <row r="1710" spans="3:15">
      <c r="C1710" s="233"/>
      <c r="D1710" s="233"/>
      <c r="E1710" s="770"/>
      <c r="F1710" s="234"/>
      <c r="G1710" s="234"/>
      <c r="H1710" s="233"/>
      <c r="I1710" s="233"/>
      <c r="J1710" s="770"/>
      <c r="K1710" s="233"/>
      <c r="L1710" s="233"/>
      <c r="M1710" s="233"/>
      <c r="N1710" s="2460"/>
      <c r="O1710" s="2460"/>
    </row>
    <row r="1711" spans="3:15">
      <c r="C1711" s="233"/>
      <c r="D1711" s="233"/>
      <c r="E1711" s="770"/>
      <c r="F1711" s="234"/>
      <c r="G1711" s="234"/>
      <c r="H1711" s="233"/>
      <c r="I1711" s="233"/>
      <c r="J1711" s="770"/>
      <c r="K1711" s="233"/>
      <c r="L1711" s="233"/>
      <c r="M1711" s="233"/>
      <c r="N1711" s="2460"/>
      <c r="O1711" s="2460"/>
    </row>
    <row r="1712" spans="3:15">
      <c r="C1712" s="233"/>
      <c r="D1712" s="233"/>
      <c r="E1712" s="770"/>
      <c r="F1712" s="234"/>
      <c r="G1712" s="234"/>
      <c r="H1712" s="233"/>
      <c r="I1712" s="233"/>
      <c r="J1712" s="770"/>
      <c r="K1712" s="233"/>
      <c r="L1712" s="233"/>
      <c r="M1712" s="233"/>
      <c r="N1712" s="2460"/>
      <c r="O1712" s="2460"/>
    </row>
    <row r="1713" spans="3:15">
      <c r="C1713" s="233"/>
      <c r="D1713" s="233"/>
      <c r="E1713" s="770"/>
      <c r="F1713" s="234"/>
      <c r="G1713" s="234"/>
      <c r="H1713" s="233"/>
      <c r="I1713" s="233"/>
      <c r="J1713" s="770"/>
      <c r="K1713" s="233"/>
      <c r="L1713" s="233"/>
      <c r="M1713" s="233"/>
      <c r="N1713" s="2460"/>
      <c r="O1713" s="2460"/>
    </row>
    <row r="1714" spans="3:15">
      <c r="C1714" s="233"/>
      <c r="D1714" s="233"/>
      <c r="E1714" s="770"/>
      <c r="F1714" s="234"/>
      <c r="G1714" s="234"/>
      <c r="H1714" s="233"/>
      <c r="I1714" s="233"/>
      <c r="J1714" s="770"/>
      <c r="K1714" s="233"/>
      <c r="L1714" s="233"/>
      <c r="M1714" s="233"/>
      <c r="N1714" s="2460"/>
      <c r="O1714" s="2460"/>
    </row>
    <row r="1715" spans="3:15">
      <c r="C1715" s="233"/>
      <c r="D1715" s="233"/>
      <c r="E1715" s="770"/>
      <c r="F1715" s="234"/>
      <c r="G1715" s="234"/>
      <c r="H1715" s="233"/>
      <c r="I1715" s="233"/>
      <c r="J1715" s="770"/>
      <c r="K1715" s="233"/>
      <c r="L1715" s="233"/>
      <c r="M1715" s="233"/>
      <c r="N1715" s="2460"/>
      <c r="O1715" s="2460"/>
    </row>
    <row r="1716" spans="3:15">
      <c r="C1716" s="233"/>
      <c r="D1716" s="233"/>
      <c r="E1716" s="770"/>
      <c r="F1716" s="234"/>
      <c r="G1716" s="234"/>
      <c r="H1716" s="233"/>
      <c r="I1716" s="233"/>
      <c r="J1716" s="770"/>
      <c r="K1716" s="233"/>
      <c r="L1716" s="233"/>
      <c r="M1716" s="233"/>
      <c r="N1716" s="2460"/>
      <c r="O1716" s="2460"/>
    </row>
    <row r="1717" spans="3:15">
      <c r="C1717" s="233"/>
      <c r="D1717" s="233"/>
      <c r="E1717" s="770"/>
      <c r="F1717" s="234"/>
      <c r="G1717" s="234"/>
      <c r="H1717" s="233"/>
      <c r="I1717" s="233"/>
      <c r="J1717" s="770"/>
      <c r="K1717" s="233"/>
      <c r="L1717" s="233"/>
      <c r="M1717" s="233"/>
      <c r="N1717" s="2460"/>
      <c r="O1717" s="2460"/>
    </row>
    <row r="1718" spans="3:15">
      <c r="C1718" s="233"/>
      <c r="D1718" s="233"/>
      <c r="E1718" s="770"/>
      <c r="F1718" s="234"/>
      <c r="G1718" s="234"/>
      <c r="H1718" s="233"/>
      <c r="I1718" s="233"/>
      <c r="J1718" s="770"/>
      <c r="K1718" s="233"/>
      <c r="L1718" s="233"/>
      <c r="M1718" s="233"/>
      <c r="N1718" s="2460"/>
      <c r="O1718" s="2460"/>
    </row>
    <row r="1719" spans="3:15">
      <c r="C1719" s="233"/>
      <c r="D1719" s="233"/>
      <c r="E1719" s="770"/>
      <c r="F1719" s="234"/>
      <c r="G1719" s="234"/>
      <c r="H1719" s="233"/>
      <c r="I1719" s="233"/>
      <c r="J1719" s="770"/>
      <c r="K1719" s="233"/>
      <c r="L1719" s="233"/>
      <c r="M1719" s="233"/>
      <c r="N1719" s="2460"/>
      <c r="O1719" s="2460"/>
    </row>
    <row r="1720" spans="3:15">
      <c r="C1720" s="233"/>
      <c r="D1720" s="233"/>
      <c r="E1720" s="770"/>
      <c r="F1720" s="234"/>
      <c r="G1720" s="234"/>
      <c r="H1720" s="233"/>
      <c r="I1720" s="233"/>
      <c r="J1720" s="770"/>
      <c r="K1720" s="233"/>
      <c r="L1720" s="233"/>
      <c r="M1720" s="233"/>
      <c r="N1720" s="2460"/>
      <c r="O1720" s="2460"/>
    </row>
    <row r="1721" spans="3:15">
      <c r="C1721" s="233"/>
      <c r="D1721" s="233"/>
      <c r="E1721" s="770"/>
      <c r="F1721" s="234"/>
      <c r="G1721" s="234"/>
      <c r="H1721" s="233"/>
      <c r="I1721" s="233"/>
      <c r="J1721" s="770"/>
      <c r="K1721" s="233"/>
      <c r="L1721" s="233"/>
      <c r="M1721" s="233"/>
      <c r="N1721" s="2460"/>
      <c r="O1721" s="2460"/>
    </row>
    <row r="1722" spans="3:15">
      <c r="C1722" s="233"/>
      <c r="D1722" s="233"/>
      <c r="E1722" s="770"/>
      <c r="F1722" s="234"/>
      <c r="G1722" s="234"/>
      <c r="H1722" s="233"/>
      <c r="I1722" s="233"/>
      <c r="J1722" s="770"/>
      <c r="K1722" s="233"/>
      <c r="L1722" s="233"/>
      <c r="M1722" s="233"/>
      <c r="N1722" s="2460"/>
      <c r="O1722" s="2460"/>
    </row>
    <row r="1723" spans="3:15">
      <c r="C1723" s="233"/>
      <c r="D1723" s="233"/>
      <c r="E1723" s="770"/>
      <c r="F1723" s="234"/>
      <c r="G1723" s="234"/>
      <c r="H1723" s="233"/>
      <c r="I1723" s="233"/>
      <c r="J1723" s="770"/>
      <c r="K1723" s="233"/>
      <c r="L1723" s="233"/>
      <c r="M1723" s="233"/>
      <c r="N1723" s="2460"/>
      <c r="O1723" s="2460"/>
    </row>
    <row r="1724" spans="3:15">
      <c r="C1724" s="233"/>
      <c r="D1724" s="233"/>
      <c r="E1724" s="770"/>
      <c r="F1724" s="234"/>
      <c r="G1724" s="234"/>
      <c r="H1724" s="233"/>
      <c r="I1724" s="233"/>
      <c r="J1724" s="770"/>
      <c r="K1724" s="233"/>
      <c r="L1724" s="233"/>
      <c r="M1724" s="233"/>
      <c r="N1724" s="2460"/>
      <c r="O1724" s="2460"/>
    </row>
    <row r="1725" spans="3:15">
      <c r="C1725" s="233"/>
      <c r="D1725" s="233"/>
      <c r="E1725" s="770"/>
      <c r="F1725" s="234"/>
      <c r="G1725" s="234"/>
      <c r="H1725" s="233"/>
      <c r="I1725" s="233"/>
      <c r="J1725" s="770"/>
      <c r="K1725" s="233"/>
      <c r="L1725" s="233"/>
      <c r="M1725" s="233"/>
      <c r="N1725" s="2460"/>
      <c r="O1725" s="2460"/>
    </row>
    <row r="1726" spans="3:15">
      <c r="C1726" s="233"/>
      <c r="D1726" s="233"/>
      <c r="E1726" s="770"/>
      <c r="F1726" s="234"/>
      <c r="G1726" s="234"/>
      <c r="H1726" s="233"/>
      <c r="I1726" s="233"/>
      <c r="J1726" s="770"/>
      <c r="K1726" s="233"/>
      <c r="L1726" s="233"/>
      <c r="M1726" s="233"/>
      <c r="N1726" s="2460"/>
      <c r="O1726" s="2460"/>
    </row>
    <row r="1727" spans="3:15">
      <c r="C1727" s="233"/>
      <c r="D1727" s="233"/>
      <c r="E1727" s="770"/>
      <c r="F1727" s="234"/>
      <c r="G1727" s="234"/>
      <c r="H1727" s="233"/>
      <c r="I1727" s="233"/>
      <c r="J1727" s="770"/>
      <c r="K1727" s="233"/>
      <c r="L1727" s="233"/>
      <c r="M1727" s="233"/>
      <c r="N1727" s="2460"/>
      <c r="O1727" s="2460"/>
    </row>
    <row r="1728" spans="3:15">
      <c r="C1728" s="233"/>
      <c r="D1728" s="233"/>
      <c r="E1728" s="770"/>
      <c r="F1728" s="234"/>
      <c r="G1728" s="234"/>
      <c r="H1728" s="233"/>
      <c r="I1728" s="233"/>
      <c r="J1728" s="770"/>
      <c r="K1728" s="233"/>
      <c r="L1728" s="233"/>
      <c r="M1728" s="233"/>
      <c r="N1728" s="2460"/>
      <c r="O1728" s="2460"/>
    </row>
    <row r="1729" spans="3:15">
      <c r="C1729" s="233"/>
      <c r="D1729" s="233"/>
      <c r="E1729" s="770"/>
      <c r="F1729" s="234"/>
      <c r="G1729" s="234"/>
      <c r="H1729" s="233"/>
      <c r="I1729" s="233"/>
      <c r="J1729" s="770"/>
      <c r="K1729" s="233"/>
      <c r="L1729" s="233"/>
      <c r="M1729" s="233"/>
      <c r="N1729" s="2460"/>
      <c r="O1729" s="2460"/>
    </row>
    <row r="1730" spans="3:15">
      <c r="C1730" s="233"/>
      <c r="D1730" s="233"/>
      <c r="E1730" s="770"/>
      <c r="F1730" s="234"/>
      <c r="G1730" s="234"/>
      <c r="H1730" s="233"/>
      <c r="I1730" s="233"/>
      <c r="J1730" s="770"/>
      <c r="K1730" s="233"/>
      <c r="L1730" s="233"/>
      <c r="M1730" s="233"/>
      <c r="N1730" s="2460"/>
      <c r="O1730" s="2460"/>
    </row>
    <row r="1731" spans="3:15">
      <c r="C1731" s="233"/>
      <c r="D1731" s="233"/>
      <c r="E1731" s="770"/>
      <c r="F1731" s="234"/>
      <c r="G1731" s="234"/>
      <c r="H1731" s="233"/>
      <c r="I1731" s="233"/>
      <c r="J1731" s="770"/>
      <c r="K1731" s="233"/>
      <c r="L1731" s="233"/>
      <c r="M1731" s="233"/>
      <c r="N1731" s="2460"/>
      <c r="O1731" s="2460"/>
    </row>
    <row r="1732" spans="3:15">
      <c r="C1732" s="233"/>
      <c r="D1732" s="233"/>
      <c r="E1732" s="770"/>
      <c r="F1732" s="234"/>
      <c r="G1732" s="234"/>
      <c r="H1732" s="233"/>
      <c r="I1732" s="233"/>
      <c r="J1732" s="770"/>
      <c r="K1732" s="233"/>
      <c r="L1732" s="233"/>
      <c r="M1732" s="233"/>
      <c r="N1732" s="2460"/>
      <c r="O1732" s="2460"/>
    </row>
    <row r="1733" spans="3:15">
      <c r="C1733" s="233"/>
      <c r="D1733" s="233"/>
      <c r="E1733" s="770"/>
      <c r="F1733" s="234"/>
      <c r="G1733" s="234"/>
      <c r="H1733" s="233"/>
      <c r="I1733" s="233"/>
      <c r="J1733" s="770"/>
      <c r="K1733" s="233"/>
      <c r="L1733" s="233"/>
      <c r="M1733" s="233"/>
      <c r="N1733" s="2460"/>
      <c r="O1733" s="2460"/>
    </row>
    <row r="1734" spans="3:15">
      <c r="C1734" s="233"/>
      <c r="D1734" s="233"/>
      <c r="E1734" s="770"/>
      <c r="F1734" s="234"/>
      <c r="G1734" s="234"/>
      <c r="H1734" s="233"/>
      <c r="I1734" s="233"/>
      <c r="J1734" s="770"/>
      <c r="K1734" s="233"/>
      <c r="L1734" s="233"/>
      <c r="M1734" s="233"/>
      <c r="N1734" s="2460"/>
      <c r="O1734" s="2460"/>
    </row>
    <row r="1735" spans="3:15">
      <c r="C1735" s="233"/>
      <c r="D1735" s="233"/>
      <c r="E1735" s="770"/>
      <c r="F1735" s="234"/>
      <c r="G1735" s="234"/>
      <c r="H1735" s="233"/>
      <c r="I1735" s="233"/>
      <c r="J1735" s="770"/>
      <c r="K1735" s="233"/>
      <c r="L1735" s="233"/>
      <c r="M1735" s="233"/>
      <c r="N1735" s="2460"/>
      <c r="O1735" s="2460"/>
    </row>
    <row r="1736" spans="3:15">
      <c r="C1736" s="233"/>
      <c r="D1736" s="233"/>
      <c r="E1736" s="770"/>
      <c r="F1736" s="234"/>
      <c r="G1736" s="234"/>
      <c r="H1736" s="233"/>
      <c r="I1736" s="233"/>
      <c r="J1736" s="770"/>
      <c r="K1736" s="233"/>
      <c r="L1736" s="233"/>
      <c r="M1736" s="233"/>
      <c r="N1736" s="2460"/>
      <c r="O1736" s="2460"/>
    </row>
    <row r="1737" spans="3:15">
      <c r="C1737" s="233"/>
      <c r="D1737" s="233"/>
      <c r="E1737" s="770"/>
      <c r="F1737" s="234"/>
      <c r="G1737" s="234"/>
      <c r="H1737" s="233"/>
      <c r="I1737" s="233"/>
      <c r="J1737" s="770"/>
      <c r="K1737" s="233"/>
      <c r="L1737" s="233"/>
      <c r="M1737" s="233"/>
      <c r="N1737" s="2460"/>
      <c r="O1737" s="2460"/>
    </row>
    <row r="1738" spans="3:15">
      <c r="C1738" s="233"/>
      <c r="D1738" s="233"/>
      <c r="E1738" s="770"/>
      <c r="F1738" s="234"/>
      <c r="G1738" s="234"/>
      <c r="H1738" s="233"/>
      <c r="I1738" s="233"/>
      <c r="J1738" s="770"/>
      <c r="K1738" s="233"/>
      <c r="L1738" s="233"/>
      <c r="M1738" s="233"/>
      <c r="N1738" s="2460"/>
      <c r="O1738" s="2460"/>
    </row>
    <row r="1739" spans="3:15">
      <c r="C1739" s="233"/>
      <c r="D1739" s="233"/>
      <c r="E1739" s="770"/>
      <c r="F1739" s="234"/>
      <c r="G1739" s="234"/>
      <c r="H1739" s="233"/>
      <c r="I1739" s="233"/>
      <c r="J1739" s="770"/>
      <c r="K1739" s="233"/>
      <c r="L1739" s="233"/>
      <c r="M1739" s="233"/>
      <c r="N1739" s="2460"/>
      <c r="O1739" s="2460"/>
    </row>
    <row r="1740" spans="3:15">
      <c r="C1740" s="233"/>
      <c r="D1740" s="233"/>
      <c r="E1740" s="770"/>
      <c r="F1740" s="234"/>
      <c r="G1740" s="234"/>
      <c r="H1740" s="233"/>
      <c r="I1740" s="233"/>
      <c r="J1740" s="770"/>
      <c r="K1740" s="233"/>
      <c r="L1740" s="233"/>
      <c r="M1740" s="233"/>
      <c r="N1740" s="2460"/>
      <c r="O1740" s="2460"/>
    </row>
    <row r="1741" spans="3:15">
      <c r="C1741" s="233"/>
      <c r="D1741" s="233"/>
      <c r="E1741" s="770"/>
      <c r="F1741" s="234"/>
      <c r="G1741" s="234"/>
      <c r="H1741" s="233"/>
      <c r="I1741" s="233"/>
      <c r="J1741" s="770"/>
      <c r="K1741" s="233"/>
      <c r="L1741" s="233"/>
      <c r="M1741" s="233"/>
      <c r="N1741" s="2460"/>
      <c r="O1741" s="2460"/>
    </row>
    <row r="1742" spans="3:15">
      <c r="C1742" s="233"/>
      <c r="D1742" s="233"/>
      <c r="E1742" s="770"/>
      <c r="F1742" s="234"/>
      <c r="G1742" s="234"/>
      <c r="H1742" s="233"/>
      <c r="I1742" s="233"/>
      <c r="J1742" s="770"/>
      <c r="K1742" s="233"/>
      <c r="L1742" s="233"/>
      <c r="M1742" s="233"/>
      <c r="N1742" s="2460"/>
      <c r="O1742" s="2460"/>
    </row>
    <row r="1743" spans="3:15">
      <c r="C1743" s="233"/>
      <c r="D1743" s="233"/>
      <c r="E1743" s="770"/>
      <c r="F1743" s="234"/>
      <c r="G1743" s="234"/>
      <c r="H1743" s="233"/>
      <c r="I1743" s="233"/>
      <c r="J1743" s="770"/>
      <c r="K1743" s="233"/>
      <c r="L1743" s="233"/>
      <c r="M1743" s="233"/>
      <c r="N1743" s="2460"/>
      <c r="O1743" s="2460"/>
    </row>
    <row r="1744" spans="3:15">
      <c r="C1744" s="233"/>
      <c r="D1744" s="233"/>
      <c r="E1744" s="770"/>
      <c r="F1744" s="234"/>
      <c r="G1744" s="234"/>
      <c r="H1744" s="233"/>
      <c r="I1744" s="233"/>
      <c r="J1744" s="770"/>
      <c r="K1744" s="233"/>
      <c r="L1744" s="233"/>
      <c r="M1744" s="233"/>
      <c r="N1744" s="2460"/>
      <c r="O1744" s="2460"/>
    </row>
    <row r="1745" spans="3:15">
      <c r="C1745" s="233"/>
      <c r="D1745" s="233"/>
      <c r="E1745" s="770"/>
      <c r="F1745" s="234"/>
      <c r="G1745" s="234"/>
      <c r="H1745" s="233"/>
      <c r="I1745" s="233"/>
      <c r="J1745" s="770"/>
      <c r="K1745" s="233"/>
      <c r="L1745" s="233"/>
      <c r="M1745" s="233"/>
      <c r="N1745" s="2460"/>
      <c r="O1745" s="2460"/>
    </row>
    <row r="1746" spans="3:15">
      <c r="C1746" s="233"/>
      <c r="D1746" s="233"/>
      <c r="E1746" s="770"/>
      <c r="F1746" s="234"/>
      <c r="G1746" s="234"/>
      <c r="H1746" s="233"/>
      <c r="I1746" s="233"/>
      <c r="J1746" s="770"/>
      <c r="K1746" s="233"/>
      <c r="L1746" s="233"/>
      <c r="M1746" s="233"/>
      <c r="N1746" s="2460"/>
      <c r="O1746" s="2460"/>
    </row>
    <row r="1747" spans="3:15">
      <c r="C1747" s="233"/>
      <c r="D1747" s="233"/>
      <c r="E1747" s="770"/>
      <c r="F1747" s="234"/>
      <c r="G1747" s="234"/>
      <c r="H1747" s="233"/>
      <c r="I1747" s="233"/>
      <c r="J1747" s="770"/>
      <c r="K1747" s="233"/>
      <c r="L1747" s="233"/>
      <c r="M1747" s="233"/>
      <c r="N1747" s="2460"/>
      <c r="O1747" s="2460"/>
    </row>
    <row r="1748" spans="3:15">
      <c r="C1748" s="233"/>
      <c r="D1748" s="233"/>
      <c r="E1748" s="770"/>
      <c r="F1748" s="234"/>
      <c r="G1748" s="234"/>
      <c r="H1748" s="233"/>
      <c r="I1748" s="233"/>
      <c r="J1748" s="770"/>
      <c r="K1748" s="233"/>
      <c r="L1748" s="233"/>
      <c r="M1748" s="233"/>
      <c r="N1748" s="2460"/>
      <c r="O1748" s="2460"/>
    </row>
    <row r="1749" spans="3:15">
      <c r="C1749" s="233"/>
      <c r="D1749" s="233"/>
      <c r="E1749" s="770"/>
      <c r="F1749" s="234"/>
      <c r="G1749" s="234"/>
      <c r="H1749" s="233"/>
      <c r="I1749" s="233"/>
      <c r="J1749" s="770"/>
      <c r="K1749" s="233"/>
      <c r="L1749" s="233"/>
      <c r="M1749" s="233"/>
      <c r="N1749" s="2460"/>
      <c r="O1749" s="2460"/>
    </row>
    <row r="1750" spans="3:15">
      <c r="C1750" s="233"/>
      <c r="D1750" s="233"/>
      <c r="E1750" s="770"/>
      <c r="F1750" s="234"/>
      <c r="G1750" s="234"/>
      <c r="H1750" s="233"/>
      <c r="I1750" s="233"/>
      <c r="J1750" s="770"/>
      <c r="K1750" s="233"/>
      <c r="L1750" s="233"/>
      <c r="M1750" s="233"/>
      <c r="N1750" s="2460"/>
      <c r="O1750" s="2460"/>
    </row>
    <row r="1751" spans="3:15">
      <c r="C1751" s="233"/>
      <c r="D1751" s="233"/>
      <c r="E1751" s="770"/>
      <c r="F1751" s="234"/>
      <c r="G1751" s="234"/>
      <c r="H1751" s="233"/>
      <c r="I1751" s="233"/>
      <c r="J1751" s="770"/>
      <c r="K1751" s="233"/>
      <c r="L1751" s="233"/>
      <c r="M1751" s="233"/>
      <c r="N1751" s="2460"/>
      <c r="O1751" s="2460"/>
    </row>
    <row r="1752" spans="3:15">
      <c r="C1752" s="233"/>
      <c r="D1752" s="233"/>
      <c r="E1752" s="770"/>
      <c r="F1752" s="234"/>
      <c r="G1752" s="234"/>
      <c r="H1752" s="233"/>
      <c r="I1752" s="233"/>
      <c r="J1752" s="770"/>
      <c r="K1752" s="233"/>
      <c r="L1752" s="233"/>
      <c r="M1752" s="233"/>
      <c r="N1752" s="2460"/>
      <c r="O1752" s="2460"/>
    </row>
    <row r="1753" spans="3:15">
      <c r="C1753" s="233"/>
      <c r="D1753" s="233"/>
      <c r="E1753" s="770"/>
      <c r="F1753" s="234"/>
      <c r="G1753" s="234"/>
      <c r="H1753" s="233"/>
      <c r="I1753" s="233"/>
      <c r="J1753" s="770"/>
      <c r="K1753" s="233"/>
      <c r="L1753" s="233"/>
      <c r="M1753" s="233"/>
      <c r="N1753" s="2460"/>
      <c r="O1753" s="2460"/>
    </row>
    <row r="1754" spans="3:15">
      <c r="C1754" s="233"/>
      <c r="D1754" s="233"/>
      <c r="E1754" s="770"/>
      <c r="F1754" s="234"/>
      <c r="G1754" s="234"/>
      <c r="H1754" s="233"/>
      <c r="I1754" s="233"/>
      <c r="J1754" s="770"/>
      <c r="K1754" s="233"/>
      <c r="L1754" s="233"/>
      <c r="M1754" s="233"/>
      <c r="N1754" s="2460"/>
      <c r="O1754" s="2460"/>
    </row>
    <row r="1755" spans="3:15">
      <c r="C1755" s="233"/>
      <c r="D1755" s="233"/>
      <c r="E1755" s="770"/>
      <c r="F1755" s="234"/>
      <c r="G1755" s="234"/>
      <c r="H1755" s="233"/>
      <c r="I1755" s="233"/>
      <c r="J1755" s="770"/>
      <c r="K1755" s="233"/>
      <c r="L1755" s="233"/>
      <c r="M1755" s="233"/>
      <c r="N1755" s="2460"/>
      <c r="O1755" s="2460"/>
    </row>
    <row r="1756" spans="3:15">
      <c r="C1756" s="233"/>
      <c r="D1756" s="233"/>
      <c r="E1756" s="770"/>
      <c r="F1756" s="234"/>
      <c r="G1756" s="234"/>
      <c r="H1756" s="233"/>
      <c r="I1756" s="233"/>
      <c r="J1756" s="770"/>
      <c r="K1756" s="233"/>
      <c r="L1756" s="233"/>
      <c r="M1756" s="233"/>
      <c r="N1756" s="2460"/>
      <c r="O1756" s="2460"/>
    </row>
    <row r="1757" spans="3:15">
      <c r="C1757" s="233"/>
      <c r="D1757" s="233"/>
      <c r="E1757" s="770"/>
      <c r="F1757" s="234"/>
      <c r="G1757" s="234"/>
      <c r="H1757" s="233"/>
      <c r="I1757" s="233"/>
      <c r="J1757" s="770"/>
      <c r="K1757" s="233"/>
      <c r="L1757" s="233"/>
      <c r="M1757" s="233"/>
      <c r="N1757" s="2460"/>
      <c r="O1757" s="2460"/>
    </row>
    <row r="1758" spans="3:15">
      <c r="C1758" s="233"/>
      <c r="D1758" s="233"/>
      <c r="E1758" s="770"/>
      <c r="F1758" s="234"/>
      <c r="G1758" s="234"/>
      <c r="H1758" s="233"/>
      <c r="I1758" s="233"/>
      <c r="J1758" s="770"/>
      <c r="K1758" s="233"/>
      <c r="L1758" s="233"/>
      <c r="M1758" s="233"/>
      <c r="N1758" s="2460"/>
      <c r="O1758" s="2460"/>
    </row>
    <row r="1759" spans="3:15">
      <c r="C1759" s="233"/>
      <c r="D1759" s="233"/>
      <c r="E1759" s="770"/>
      <c r="F1759" s="234"/>
      <c r="G1759" s="234"/>
      <c r="H1759" s="233"/>
      <c r="I1759" s="233"/>
      <c r="J1759" s="770"/>
      <c r="K1759" s="233"/>
      <c r="L1759" s="233"/>
      <c r="M1759" s="233"/>
      <c r="N1759" s="2460"/>
      <c r="O1759" s="2460"/>
    </row>
    <row r="1760" spans="3:15">
      <c r="C1760" s="233"/>
      <c r="D1760" s="233"/>
      <c r="E1760" s="770"/>
      <c r="F1760" s="234"/>
      <c r="G1760" s="234"/>
      <c r="H1760" s="233"/>
      <c r="I1760" s="233"/>
      <c r="J1760" s="770"/>
      <c r="K1760" s="233"/>
      <c r="L1760" s="233"/>
      <c r="M1760" s="233"/>
      <c r="N1760" s="2460"/>
      <c r="O1760" s="2460"/>
    </row>
    <row r="1761" spans="3:15">
      <c r="C1761" s="233"/>
      <c r="D1761" s="233"/>
      <c r="E1761" s="770"/>
      <c r="F1761" s="234"/>
      <c r="G1761" s="234"/>
      <c r="H1761" s="233"/>
      <c r="I1761" s="233"/>
      <c r="J1761" s="770"/>
      <c r="K1761" s="233"/>
      <c r="L1761" s="233"/>
      <c r="M1761" s="233"/>
      <c r="N1761" s="2460"/>
      <c r="O1761" s="2460"/>
    </row>
    <row r="1762" spans="3:15">
      <c r="C1762" s="233"/>
      <c r="D1762" s="233"/>
      <c r="E1762" s="770"/>
      <c r="F1762" s="234"/>
      <c r="G1762" s="234"/>
      <c r="H1762" s="233"/>
      <c r="I1762" s="233"/>
      <c r="J1762" s="770"/>
      <c r="K1762" s="233"/>
      <c r="L1762" s="233"/>
      <c r="M1762" s="233"/>
      <c r="N1762" s="2460"/>
      <c r="O1762" s="2460"/>
    </row>
    <row r="1763" spans="3:15">
      <c r="C1763" s="233"/>
      <c r="D1763" s="233"/>
      <c r="E1763" s="770"/>
      <c r="F1763" s="234"/>
      <c r="G1763" s="234"/>
      <c r="H1763" s="233"/>
      <c r="I1763" s="233"/>
      <c r="J1763" s="770"/>
      <c r="K1763" s="233"/>
      <c r="L1763" s="233"/>
      <c r="M1763" s="233"/>
      <c r="N1763" s="2460"/>
      <c r="O1763" s="2460"/>
    </row>
    <row r="1764" spans="3:15">
      <c r="C1764" s="233"/>
      <c r="D1764" s="233"/>
      <c r="E1764" s="770"/>
      <c r="F1764" s="234"/>
      <c r="G1764" s="234"/>
      <c r="H1764" s="233"/>
      <c r="I1764" s="233"/>
      <c r="J1764" s="770"/>
      <c r="K1764" s="233"/>
      <c r="L1764" s="233"/>
      <c r="M1764" s="233"/>
      <c r="N1764" s="2460"/>
      <c r="O1764" s="2460"/>
    </row>
    <row r="1765" spans="3:15">
      <c r="C1765" s="233"/>
      <c r="D1765" s="233"/>
      <c r="E1765" s="770"/>
      <c r="F1765" s="234"/>
      <c r="G1765" s="234"/>
      <c r="H1765" s="233"/>
      <c r="I1765" s="233"/>
      <c r="J1765" s="770"/>
      <c r="K1765" s="233"/>
      <c r="L1765" s="233"/>
      <c r="M1765" s="233"/>
      <c r="N1765" s="2460"/>
      <c r="O1765" s="2460"/>
    </row>
    <row r="1766" spans="3:15">
      <c r="C1766" s="233"/>
      <c r="D1766" s="233"/>
      <c r="E1766" s="770"/>
      <c r="F1766" s="234"/>
      <c r="G1766" s="234"/>
      <c r="H1766" s="233"/>
      <c r="I1766" s="233"/>
      <c r="J1766" s="770"/>
      <c r="K1766" s="233"/>
      <c r="L1766" s="233"/>
      <c r="M1766" s="233"/>
      <c r="N1766" s="2460"/>
      <c r="O1766" s="2460"/>
    </row>
    <row r="1767" spans="3:15">
      <c r="C1767" s="233"/>
      <c r="D1767" s="233"/>
      <c r="E1767" s="770"/>
      <c r="F1767" s="234"/>
      <c r="G1767" s="234"/>
      <c r="H1767" s="233"/>
      <c r="I1767" s="233"/>
      <c r="J1767" s="770"/>
      <c r="K1767" s="233"/>
      <c r="L1767" s="233"/>
      <c r="M1767" s="233"/>
      <c r="N1767" s="2460"/>
      <c r="O1767" s="2460"/>
    </row>
    <row r="1768" spans="3:15">
      <c r="C1768" s="233"/>
      <c r="D1768" s="233"/>
      <c r="E1768" s="770"/>
      <c r="F1768" s="234"/>
      <c r="G1768" s="234"/>
      <c r="H1768" s="233"/>
      <c r="I1768" s="233"/>
      <c r="J1768" s="770"/>
      <c r="K1768" s="233"/>
      <c r="L1768" s="233"/>
      <c r="M1768" s="233"/>
      <c r="N1768" s="2460"/>
      <c r="O1768" s="2460"/>
    </row>
    <row r="1769" spans="3:15">
      <c r="C1769" s="233"/>
      <c r="D1769" s="233"/>
      <c r="E1769" s="770"/>
      <c r="F1769" s="234"/>
      <c r="G1769" s="234"/>
      <c r="H1769" s="233"/>
      <c r="I1769" s="233"/>
      <c r="J1769" s="770"/>
      <c r="K1769" s="233"/>
      <c r="L1769" s="233"/>
      <c r="M1769" s="233"/>
      <c r="N1769" s="2460"/>
      <c r="O1769" s="2460"/>
    </row>
    <row r="1770" spans="3:15">
      <c r="C1770" s="233"/>
      <c r="D1770" s="233"/>
      <c r="E1770" s="770"/>
      <c r="F1770" s="234"/>
      <c r="G1770" s="234"/>
      <c r="H1770" s="233"/>
      <c r="I1770" s="233"/>
      <c r="J1770" s="770"/>
      <c r="K1770" s="233"/>
      <c r="L1770" s="233"/>
      <c r="M1770" s="233"/>
      <c r="N1770" s="2460"/>
      <c r="O1770" s="2460"/>
    </row>
    <row r="1771" spans="3:15">
      <c r="C1771" s="233"/>
      <c r="D1771" s="233"/>
      <c r="E1771" s="770"/>
      <c r="F1771" s="234"/>
      <c r="G1771" s="234"/>
      <c r="H1771" s="233"/>
      <c r="I1771" s="233"/>
      <c r="J1771" s="770"/>
      <c r="K1771" s="233"/>
      <c r="L1771" s="233"/>
      <c r="M1771" s="233"/>
      <c r="N1771" s="2460"/>
      <c r="O1771" s="2460"/>
    </row>
    <row r="1772" spans="3:15">
      <c r="C1772" s="233"/>
      <c r="D1772" s="233"/>
      <c r="E1772" s="770"/>
      <c r="F1772" s="234"/>
      <c r="G1772" s="234"/>
      <c r="H1772" s="233"/>
      <c r="I1772" s="233"/>
      <c r="J1772" s="770"/>
      <c r="K1772" s="233"/>
      <c r="L1772" s="233"/>
      <c r="M1772" s="233"/>
      <c r="N1772" s="2460"/>
      <c r="O1772" s="2460"/>
    </row>
    <row r="1773" spans="3:15">
      <c r="C1773" s="233"/>
      <c r="D1773" s="233"/>
      <c r="E1773" s="770"/>
      <c r="F1773" s="234"/>
      <c r="G1773" s="234"/>
      <c r="H1773" s="233"/>
      <c r="I1773" s="233"/>
      <c r="J1773" s="770"/>
      <c r="K1773" s="233"/>
      <c r="L1773" s="233"/>
      <c r="M1773" s="233"/>
      <c r="N1773" s="2460"/>
      <c r="O1773" s="2460"/>
    </row>
    <row r="1774" spans="3:15">
      <c r="C1774" s="233"/>
      <c r="D1774" s="233"/>
      <c r="E1774" s="770"/>
      <c r="F1774" s="234"/>
      <c r="G1774" s="234"/>
      <c r="H1774" s="233"/>
      <c r="I1774" s="233"/>
      <c r="J1774" s="770"/>
      <c r="K1774" s="233"/>
      <c r="L1774" s="233"/>
      <c r="M1774" s="233"/>
      <c r="N1774" s="2460"/>
      <c r="O1774" s="2460"/>
    </row>
    <row r="1775" spans="3:15">
      <c r="C1775" s="233"/>
      <c r="D1775" s="233"/>
      <c r="E1775" s="770"/>
      <c r="F1775" s="234"/>
      <c r="G1775" s="234"/>
      <c r="H1775" s="233"/>
      <c r="I1775" s="233"/>
      <c r="J1775" s="770"/>
      <c r="K1775" s="233"/>
      <c r="L1775" s="233"/>
      <c r="M1775" s="233"/>
      <c r="N1775" s="2460"/>
      <c r="O1775" s="2460"/>
    </row>
    <row r="1776" spans="3:15">
      <c r="C1776" s="233"/>
      <c r="D1776" s="233"/>
      <c r="E1776" s="770"/>
      <c r="F1776" s="234"/>
      <c r="G1776" s="234"/>
      <c r="H1776" s="233"/>
      <c r="I1776" s="233"/>
      <c r="J1776" s="770"/>
      <c r="K1776" s="233"/>
      <c r="L1776" s="233"/>
      <c r="M1776" s="233"/>
      <c r="N1776" s="2460"/>
      <c r="O1776" s="2460"/>
    </row>
    <row r="1777" spans="3:15">
      <c r="C1777" s="233"/>
      <c r="D1777" s="233"/>
      <c r="E1777" s="770"/>
      <c r="F1777" s="234"/>
      <c r="G1777" s="234"/>
      <c r="H1777" s="233"/>
      <c r="I1777" s="233"/>
      <c r="J1777" s="770"/>
      <c r="K1777" s="233"/>
      <c r="L1777" s="233"/>
      <c r="M1777" s="233"/>
      <c r="N1777" s="2460"/>
      <c r="O1777" s="2460"/>
    </row>
    <row r="1778" spans="3:15">
      <c r="C1778" s="233"/>
      <c r="D1778" s="233"/>
      <c r="E1778" s="770"/>
      <c r="F1778" s="234"/>
      <c r="G1778" s="234"/>
      <c r="H1778" s="233"/>
      <c r="I1778" s="233"/>
      <c r="J1778" s="770"/>
      <c r="K1778" s="233"/>
      <c r="L1778" s="233"/>
      <c r="M1778" s="233"/>
      <c r="N1778" s="2460"/>
      <c r="O1778" s="2460"/>
    </row>
    <row r="1779" spans="3:15">
      <c r="C1779" s="233"/>
      <c r="D1779" s="233"/>
      <c r="E1779" s="770"/>
      <c r="F1779" s="234"/>
      <c r="G1779" s="234"/>
      <c r="H1779" s="233"/>
      <c r="I1779" s="233"/>
      <c r="J1779" s="770"/>
      <c r="K1779" s="233"/>
      <c r="L1779" s="233"/>
      <c r="M1779" s="233"/>
      <c r="N1779" s="2460"/>
      <c r="O1779" s="2460"/>
    </row>
    <row r="1780" spans="3:15">
      <c r="C1780" s="233"/>
      <c r="D1780" s="233"/>
      <c r="E1780" s="770"/>
      <c r="F1780" s="234"/>
      <c r="G1780" s="234"/>
      <c r="H1780" s="233"/>
      <c r="I1780" s="233"/>
      <c r="J1780" s="770"/>
      <c r="K1780" s="233"/>
      <c r="L1780" s="233"/>
      <c r="M1780" s="233"/>
      <c r="N1780" s="2460"/>
      <c r="O1780" s="2460"/>
    </row>
    <row r="1781" spans="3:15">
      <c r="C1781" s="233"/>
      <c r="D1781" s="233"/>
      <c r="E1781" s="770"/>
      <c r="F1781" s="234"/>
      <c r="G1781" s="234"/>
      <c r="H1781" s="233"/>
      <c r="I1781" s="233"/>
      <c r="J1781" s="770"/>
      <c r="K1781" s="233"/>
      <c r="L1781" s="233"/>
      <c r="M1781" s="233"/>
      <c r="N1781" s="2460"/>
      <c r="O1781" s="2460"/>
    </row>
    <row r="1782" spans="3:15">
      <c r="C1782" s="233"/>
      <c r="D1782" s="233"/>
      <c r="E1782" s="770"/>
      <c r="F1782" s="234"/>
      <c r="G1782" s="234"/>
      <c r="H1782" s="233"/>
      <c r="I1782" s="233"/>
      <c r="J1782" s="770"/>
      <c r="K1782" s="233"/>
      <c r="L1782" s="233"/>
      <c r="M1782" s="233"/>
      <c r="N1782" s="2460"/>
      <c r="O1782" s="2460"/>
    </row>
    <row r="1783" spans="3:15">
      <c r="C1783" s="233"/>
      <c r="D1783" s="233"/>
      <c r="E1783" s="770"/>
      <c r="F1783" s="234"/>
      <c r="G1783" s="234"/>
      <c r="H1783" s="233"/>
      <c r="I1783" s="233"/>
      <c r="J1783" s="770"/>
      <c r="K1783" s="233"/>
      <c r="L1783" s="233"/>
      <c r="M1783" s="233"/>
      <c r="N1783" s="2460"/>
      <c r="O1783" s="2460"/>
    </row>
    <row r="1784" spans="3:15">
      <c r="C1784" s="233"/>
      <c r="D1784" s="233"/>
      <c r="E1784" s="770"/>
      <c r="F1784" s="234"/>
      <c r="G1784" s="234"/>
      <c r="H1784" s="233"/>
      <c r="I1784" s="233"/>
      <c r="J1784" s="770"/>
      <c r="K1784" s="233"/>
      <c r="L1784" s="233"/>
      <c r="M1784" s="233"/>
      <c r="N1784" s="2460"/>
      <c r="O1784" s="2460"/>
    </row>
    <row r="1785" spans="3:15">
      <c r="C1785" s="233"/>
      <c r="D1785" s="233"/>
      <c r="E1785" s="770"/>
      <c r="F1785" s="234"/>
      <c r="G1785" s="234"/>
      <c r="H1785" s="233"/>
      <c r="I1785" s="233"/>
      <c r="J1785" s="770"/>
      <c r="K1785" s="233"/>
      <c r="L1785" s="233"/>
      <c r="M1785" s="233"/>
      <c r="N1785" s="2460"/>
      <c r="O1785" s="2460"/>
    </row>
    <row r="1786" spans="3:15">
      <c r="C1786" s="233"/>
      <c r="D1786" s="233"/>
      <c r="E1786" s="770"/>
      <c r="F1786" s="234"/>
      <c r="G1786" s="234"/>
      <c r="H1786" s="233"/>
      <c r="I1786" s="233"/>
      <c r="J1786" s="770"/>
      <c r="K1786" s="233"/>
      <c r="L1786" s="233"/>
      <c r="M1786" s="233"/>
      <c r="N1786" s="2460"/>
      <c r="O1786" s="2460"/>
    </row>
    <row r="1787" spans="3:15">
      <c r="C1787" s="233"/>
      <c r="D1787" s="233"/>
      <c r="E1787" s="770"/>
      <c r="F1787" s="234"/>
      <c r="G1787" s="234"/>
      <c r="H1787" s="233"/>
      <c r="I1787" s="233"/>
      <c r="J1787" s="770"/>
      <c r="K1787" s="233"/>
      <c r="L1787" s="233"/>
      <c r="M1787" s="233"/>
      <c r="N1787" s="2460"/>
      <c r="O1787" s="2460"/>
    </row>
    <row r="1788" spans="3:15">
      <c r="C1788" s="233"/>
      <c r="D1788" s="233"/>
      <c r="E1788" s="770"/>
      <c r="F1788" s="234"/>
      <c r="G1788" s="234"/>
      <c r="H1788" s="233"/>
      <c r="I1788" s="233"/>
      <c r="J1788" s="770"/>
      <c r="K1788" s="233"/>
      <c r="L1788" s="233"/>
      <c r="M1788" s="233"/>
      <c r="N1788" s="2460"/>
      <c r="O1788" s="2460"/>
    </row>
    <row r="1789" spans="3:15">
      <c r="C1789" s="233"/>
      <c r="D1789" s="233"/>
      <c r="E1789" s="770"/>
      <c r="F1789" s="234"/>
      <c r="G1789" s="234"/>
      <c r="H1789" s="233"/>
      <c r="I1789" s="233"/>
      <c r="J1789" s="770"/>
      <c r="K1789" s="233"/>
      <c r="L1789" s="233"/>
      <c r="M1789" s="233"/>
      <c r="N1789" s="2460"/>
      <c r="O1789" s="2460"/>
    </row>
    <row r="1790" spans="3:15">
      <c r="C1790" s="233"/>
      <c r="D1790" s="233"/>
      <c r="E1790" s="770"/>
      <c r="F1790" s="234"/>
      <c r="G1790" s="234"/>
      <c r="H1790" s="233"/>
      <c r="I1790" s="233"/>
      <c r="J1790" s="770"/>
      <c r="K1790" s="233"/>
      <c r="L1790" s="233"/>
      <c r="M1790" s="233"/>
      <c r="N1790" s="2460"/>
      <c r="O1790" s="2460"/>
    </row>
    <row r="1791" spans="3:15">
      <c r="C1791" s="233"/>
      <c r="D1791" s="233"/>
      <c r="E1791" s="770"/>
      <c r="F1791" s="234"/>
      <c r="G1791" s="234"/>
      <c r="H1791" s="233"/>
      <c r="I1791" s="233"/>
      <c r="J1791" s="770"/>
      <c r="K1791" s="233"/>
      <c r="L1791" s="233"/>
      <c r="M1791" s="233"/>
      <c r="N1791" s="2460"/>
      <c r="O1791" s="2460"/>
    </row>
    <row r="1792" spans="3:15">
      <c r="C1792" s="233"/>
      <c r="D1792" s="233"/>
      <c r="E1792" s="770"/>
      <c r="F1792" s="234"/>
      <c r="G1792" s="234"/>
      <c r="H1792" s="233"/>
      <c r="I1792" s="233"/>
      <c r="J1792" s="770"/>
      <c r="K1792" s="233"/>
      <c r="L1792" s="233"/>
      <c r="M1792" s="233"/>
      <c r="N1792" s="2460"/>
      <c r="O1792" s="2460"/>
    </row>
    <row r="1793" spans="3:15">
      <c r="C1793" s="233"/>
      <c r="D1793" s="233"/>
      <c r="E1793" s="770"/>
      <c r="F1793" s="234"/>
      <c r="G1793" s="234"/>
      <c r="H1793" s="233"/>
      <c r="I1793" s="233"/>
      <c r="J1793" s="770"/>
      <c r="K1793" s="233"/>
      <c r="L1793" s="233"/>
      <c r="M1793" s="233"/>
      <c r="N1793" s="2460"/>
      <c r="O1793" s="2460"/>
    </row>
    <row r="1794" spans="3:15">
      <c r="C1794" s="233"/>
      <c r="D1794" s="233"/>
      <c r="E1794" s="770"/>
      <c r="F1794" s="234"/>
      <c r="G1794" s="234"/>
      <c r="H1794" s="233"/>
      <c r="I1794" s="233"/>
      <c r="J1794" s="770"/>
      <c r="K1794" s="233"/>
      <c r="L1794" s="233"/>
      <c r="M1794" s="233"/>
      <c r="N1794" s="2460"/>
      <c r="O1794" s="2460"/>
    </row>
    <row r="1795" spans="3:15">
      <c r="C1795" s="233"/>
      <c r="D1795" s="233"/>
      <c r="E1795" s="770"/>
      <c r="F1795" s="234"/>
      <c r="G1795" s="234"/>
      <c r="H1795" s="233"/>
      <c r="I1795" s="233"/>
      <c r="J1795" s="770"/>
      <c r="K1795" s="233"/>
      <c r="L1795" s="233"/>
      <c r="M1795" s="233"/>
      <c r="N1795" s="2460"/>
      <c r="O1795" s="2460"/>
    </row>
    <row r="1796" spans="3:15">
      <c r="C1796" s="233"/>
      <c r="D1796" s="233"/>
      <c r="E1796" s="770"/>
      <c r="F1796" s="234"/>
      <c r="G1796" s="234"/>
      <c r="H1796" s="233"/>
      <c r="I1796" s="233"/>
      <c r="J1796" s="770"/>
      <c r="K1796" s="233"/>
      <c r="L1796" s="233"/>
      <c r="M1796" s="233"/>
      <c r="N1796" s="2460"/>
      <c r="O1796" s="2460"/>
    </row>
    <row r="1797" spans="3:15">
      <c r="C1797" s="233"/>
      <c r="D1797" s="233"/>
      <c r="E1797" s="770"/>
      <c r="F1797" s="234"/>
      <c r="G1797" s="234"/>
      <c r="H1797" s="233"/>
      <c r="I1797" s="233"/>
      <c r="J1797" s="770"/>
      <c r="K1797" s="233"/>
      <c r="L1797" s="233"/>
      <c r="M1797" s="233"/>
      <c r="N1797" s="2460"/>
      <c r="O1797" s="2460"/>
    </row>
    <row r="1798" spans="3:15">
      <c r="C1798" s="233"/>
      <c r="D1798" s="233"/>
      <c r="E1798" s="770"/>
      <c r="F1798" s="234"/>
      <c r="G1798" s="234"/>
      <c r="H1798" s="233"/>
      <c r="I1798" s="233"/>
      <c r="J1798" s="770"/>
      <c r="K1798" s="233"/>
      <c r="L1798" s="233"/>
      <c r="M1798" s="233"/>
      <c r="N1798" s="2460"/>
      <c r="O1798" s="2460"/>
    </row>
    <row r="1799" spans="3:15">
      <c r="C1799" s="233"/>
      <c r="D1799" s="233"/>
      <c r="E1799" s="770"/>
      <c r="F1799" s="234"/>
      <c r="G1799" s="234"/>
      <c r="H1799" s="233"/>
      <c r="I1799" s="233"/>
      <c r="J1799" s="770"/>
      <c r="K1799" s="233"/>
      <c r="L1799" s="233"/>
      <c r="M1799" s="233"/>
      <c r="N1799" s="2460"/>
      <c r="O1799" s="2460"/>
    </row>
    <row r="1800" spans="3:15">
      <c r="C1800" s="233"/>
      <c r="D1800" s="233"/>
      <c r="E1800" s="770"/>
      <c r="F1800" s="234"/>
      <c r="G1800" s="234"/>
      <c r="H1800" s="233"/>
      <c r="I1800" s="233"/>
      <c r="J1800" s="770"/>
      <c r="K1800" s="233"/>
      <c r="L1800" s="233"/>
      <c r="M1800" s="233"/>
      <c r="N1800" s="2460"/>
      <c r="O1800" s="2460"/>
    </row>
    <row r="1801" spans="3:15">
      <c r="C1801" s="233"/>
      <c r="D1801" s="233"/>
      <c r="E1801" s="770"/>
      <c r="F1801" s="234"/>
      <c r="G1801" s="234"/>
      <c r="H1801" s="233"/>
      <c r="I1801" s="233"/>
      <c r="J1801" s="770"/>
      <c r="K1801" s="233"/>
      <c r="L1801" s="233"/>
      <c r="M1801" s="233"/>
      <c r="N1801" s="2460"/>
      <c r="O1801" s="2460"/>
    </row>
    <row r="1802" spans="3:15">
      <c r="C1802" s="233"/>
      <c r="D1802" s="233"/>
      <c r="E1802" s="770"/>
      <c r="F1802" s="234"/>
      <c r="G1802" s="234"/>
      <c r="H1802" s="233"/>
      <c r="I1802" s="233"/>
      <c r="J1802" s="770"/>
      <c r="K1802" s="233"/>
      <c r="L1802" s="233"/>
      <c r="M1802" s="233"/>
      <c r="N1802" s="2460"/>
      <c r="O1802" s="2460"/>
    </row>
    <row r="1803" spans="3:15">
      <c r="C1803" s="233"/>
      <c r="D1803" s="233"/>
      <c r="E1803" s="770"/>
      <c r="F1803" s="234"/>
      <c r="G1803" s="234"/>
      <c r="H1803" s="233"/>
      <c r="I1803" s="233"/>
      <c r="J1803" s="770"/>
      <c r="K1803" s="233"/>
      <c r="L1803" s="233"/>
      <c r="M1803" s="233"/>
      <c r="N1803" s="2460"/>
      <c r="O1803" s="2460"/>
    </row>
    <row r="1804" spans="3:15">
      <c r="C1804" s="233"/>
      <c r="D1804" s="233"/>
      <c r="E1804" s="770"/>
      <c r="F1804" s="234"/>
      <c r="G1804" s="234"/>
      <c r="H1804" s="233"/>
      <c r="I1804" s="233"/>
      <c r="J1804" s="770"/>
      <c r="K1804" s="233"/>
      <c r="L1804" s="233"/>
      <c r="M1804" s="233"/>
      <c r="N1804" s="2460"/>
      <c r="O1804" s="2460"/>
    </row>
    <row r="1805" spans="3:15">
      <c r="C1805" s="233"/>
      <c r="D1805" s="233"/>
      <c r="E1805" s="770"/>
      <c r="F1805" s="234"/>
      <c r="G1805" s="234"/>
      <c r="H1805" s="233"/>
      <c r="I1805" s="233"/>
      <c r="J1805" s="770"/>
      <c r="K1805" s="233"/>
      <c r="L1805" s="233"/>
      <c r="M1805" s="233"/>
      <c r="N1805" s="2460"/>
      <c r="O1805" s="2460"/>
    </row>
    <row r="1806" spans="3:15">
      <c r="C1806" s="233"/>
      <c r="D1806" s="233"/>
      <c r="E1806" s="770"/>
      <c r="F1806" s="234"/>
      <c r="G1806" s="234"/>
      <c r="H1806" s="233"/>
      <c r="I1806" s="233"/>
      <c r="J1806" s="770"/>
      <c r="K1806" s="233"/>
      <c r="L1806" s="233"/>
      <c r="M1806" s="233"/>
      <c r="N1806" s="2460"/>
      <c r="O1806" s="2460"/>
    </row>
    <row r="1807" spans="3:15">
      <c r="C1807" s="233"/>
      <c r="D1807" s="233"/>
      <c r="E1807" s="770"/>
      <c r="F1807" s="234"/>
      <c r="G1807" s="234"/>
      <c r="H1807" s="233"/>
      <c r="I1807" s="233"/>
      <c r="J1807" s="770"/>
      <c r="K1807" s="233"/>
      <c r="L1807" s="233"/>
      <c r="M1807" s="233"/>
      <c r="N1807" s="2460"/>
      <c r="O1807" s="2460"/>
    </row>
    <row r="1808" spans="3:15">
      <c r="C1808" s="233"/>
      <c r="D1808" s="233"/>
      <c r="E1808" s="770"/>
      <c r="F1808" s="234"/>
      <c r="G1808" s="234"/>
      <c r="H1808" s="233"/>
      <c r="I1808" s="233"/>
      <c r="J1808" s="770"/>
      <c r="K1808" s="233"/>
      <c r="L1808" s="233"/>
      <c r="M1808" s="233"/>
      <c r="N1808" s="2460"/>
      <c r="O1808" s="2460"/>
    </row>
    <row r="1809" spans="3:15">
      <c r="C1809" s="233"/>
      <c r="D1809" s="233"/>
      <c r="E1809" s="770"/>
      <c r="F1809" s="234"/>
      <c r="G1809" s="234"/>
      <c r="H1809" s="233"/>
      <c r="I1809" s="233"/>
      <c r="J1809" s="770"/>
      <c r="K1809" s="233"/>
      <c r="L1809" s="233"/>
      <c r="M1809" s="233"/>
      <c r="N1809" s="2460"/>
      <c r="O1809" s="2460"/>
    </row>
    <row r="1810" spans="3:15">
      <c r="C1810" s="233"/>
      <c r="D1810" s="233"/>
      <c r="E1810" s="770"/>
      <c r="F1810" s="234"/>
      <c r="G1810" s="234"/>
      <c r="H1810" s="233"/>
      <c r="I1810" s="233"/>
      <c r="J1810" s="770"/>
      <c r="K1810" s="233"/>
      <c r="L1810" s="233"/>
      <c r="M1810" s="233"/>
      <c r="N1810" s="2460"/>
      <c r="O1810" s="2460"/>
    </row>
    <row r="1811" spans="3:15">
      <c r="C1811" s="233"/>
      <c r="D1811" s="233"/>
      <c r="E1811" s="770"/>
      <c r="F1811" s="234"/>
      <c r="G1811" s="234"/>
      <c r="H1811" s="233"/>
      <c r="I1811" s="233"/>
      <c r="J1811" s="770"/>
      <c r="K1811" s="233"/>
      <c r="L1811" s="233"/>
      <c r="M1811" s="233"/>
      <c r="N1811" s="2460"/>
      <c r="O1811" s="2460"/>
    </row>
    <row r="1812" spans="3:15">
      <c r="C1812" s="233"/>
      <c r="D1812" s="233"/>
      <c r="E1812" s="770"/>
      <c r="F1812" s="234"/>
      <c r="G1812" s="234"/>
      <c r="H1812" s="233"/>
      <c r="I1812" s="233"/>
      <c r="J1812" s="770"/>
      <c r="K1812" s="233"/>
      <c r="L1812" s="233"/>
      <c r="M1812" s="233"/>
      <c r="N1812" s="2460"/>
      <c r="O1812" s="2460"/>
    </row>
    <row r="1813" spans="3:15">
      <c r="C1813" s="233"/>
      <c r="D1813" s="233"/>
      <c r="E1813" s="770"/>
      <c r="F1813" s="234"/>
      <c r="G1813" s="234"/>
      <c r="H1813" s="233"/>
      <c r="I1813" s="233"/>
      <c r="J1813" s="770"/>
      <c r="K1813" s="233"/>
      <c r="L1813" s="233"/>
      <c r="M1813" s="233"/>
      <c r="N1813" s="2460"/>
      <c r="O1813" s="2460"/>
    </row>
    <row r="1814" spans="3:15">
      <c r="C1814" s="233"/>
      <c r="D1814" s="233"/>
      <c r="E1814" s="770"/>
      <c r="F1814" s="234"/>
      <c r="G1814" s="234"/>
      <c r="H1814" s="233"/>
      <c r="I1814" s="233"/>
      <c r="J1814" s="770"/>
      <c r="K1814" s="233"/>
      <c r="L1814" s="233"/>
      <c r="M1814" s="233"/>
      <c r="N1814" s="2460"/>
      <c r="O1814" s="2460"/>
    </row>
    <row r="1815" spans="3:15">
      <c r="C1815" s="233"/>
      <c r="D1815" s="233"/>
      <c r="E1815" s="770"/>
      <c r="F1815" s="234"/>
      <c r="G1815" s="234"/>
      <c r="H1815" s="233"/>
      <c r="I1815" s="233"/>
      <c r="J1815" s="770"/>
      <c r="K1815" s="233"/>
      <c r="L1815" s="233"/>
      <c r="M1815" s="233"/>
      <c r="N1815" s="2460"/>
      <c r="O1815" s="2460"/>
    </row>
    <row r="1816" spans="3:15">
      <c r="C1816" s="233"/>
      <c r="D1816" s="233"/>
      <c r="E1816" s="770"/>
      <c r="F1816" s="234"/>
      <c r="G1816" s="234"/>
      <c r="H1816" s="233"/>
      <c r="I1816" s="233"/>
      <c r="J1816" s="770"/>
      <c r="K1816" s="233"/>
      <c r="L1816" s="233"/>
      <c r="M1816" s="233"/>
      <c r="N1816" s="2460"/>
      <c r="O1816" s="2460"/>
    </row>
    <row r="1817" spans="3:15">
      <c r="C1817" s="233"/>
      <c r="D1817" s="233"/>
      <c r="E1817" s="770"/>
      <c r="F1817" s="234"/>
      <c r="G1817" s="234"/>
      <c r="H1817" s="233"/>
      <c r="I1817" s="233"/>
      <c r="J1817" s="770"/>
      <c r="K1817" s="233"/>
      <c r="L1817" s="233"/>
      <c r="M1817" s="233"/>
      <c r="N1817" s="2460"/>
      <c r="O1817" s="2460"/>
    </row>
    <row r="1818" spans="3:15">
      <c r="C1818" s="233"/>
      <c r="D1818" s="233"/>
      <c r="E1818" s="770"/>
      <c r="F1818" s="234"/>
      <c r="G1818" s="234"/>
      <c r="H1818" s="233"/>
      <c r="I1818" s="233"/>
      <c r="J1818" s="770"/>
      <c r="K1818" s="233"/>
      <c r="L1818" s="233"/>
      <c r="M1818" s="233"/>
      <c r="N1818" s="2460"/>
      <c r="O1818" s="2460"/>
    </row>
    <row r="1819" spans="3:15">
      <c r="C1819" s="233"/>
      <c r="D1819" s="233"/>
      <c r="E1819" s="770"/>
      <c r="F1819" s="234"/>
      <c r="G1819" s="234"/>
      <c r="H1819" s="233"/>
      <c r="I1819" s="233"/>
      <c r="J1819" s="770"/>
      <c r="K1819" s="233"/>
      <c r="L1819" s="233"/>
      <c r="M1819" s="233"/>
      <c r="N1819" s="2460"/>
      <c r="O1819" s="2460"/>
    </row>
    <row r="1820" spans="3:15">
      <c r="C1820" s="233"/>
      <c r="D1820" s="233"/>
      <c r="E1820" s="770"/>
      <c r="F1820" s="234"/>
      <c r="G1820" s="234"/>
      <c r="H1820" s="233"/>
      <c r="I1820" s="233"/>
      <c r="J1820" s="770"/>
      <c r="K1820" s="233"/>
      <c r="L1820" s="233"/>
      <c r="M1820" s="233"/>
      <c r="N1820" s="2460"/>
      <c r="O1820" s="2460"/>
    </row>
    <row r="1821" spans="3:15">
      <c r="C1821" s="233"/>
      <c r="D1821" s="233"/>
      <c r="E1821" s="770"/>
      <c r="F1821" s="234"/>
      <c r="G1821" s="234"/>
      <c r="H1821" s="233"/>
      <c r="I1821" s="233"/>
      <c r="J1821" s="770"/>
      <c r="K1821" s="233"/>
      <c r="L1821" s="233"/>
      <c r="M1821" s="233"/>
      <c r="N1821" s="2460"/>
      <c r="O1821" s="2460"/>
    </row>
    <row r="1822" spans="3:15">
      <c r="C1822" s="233"/>
      <c r="D1822" s="233"/>
      <c r="E1822" s="770"/>
      <c r="F1822" s="234"/>
      <c r="G1822" s="234"/>
      <c r="H1822" s="233"/>
      <c r="I1822" s="233"/>
      <c r="J1822" s="770"/>
      <c r="K1822" s="233"/>
      <c r="L1822" s="233"/>
      <c r="M1822" s="233"/>
      <c r="N1822" s="2460"/>
      <c r="O1822" s="2460"/>
    </row>
    <row r="1823" spans="3:15">
      <c r="C1823" s="233"/>
      <c r="D1823" s="233"/>
      <c r="E1823" s="770"/>
      <c r="F1823" s="234"/>
      <c r="G1823" s="234"/>
      <c r="H1823" s="233"/>
      <c r="I1823" s="233"/>
      <c r="J1823" s="770"/>
      <c r="K1823" s="233"/>
      <c r="L1823" s="233"/>
      <c r="M1823" s="233"/>
      <c r="N1823" s="2460"/>
      <c r="O1823" s="2460"/>
    </row>
    <row r="1824" spans="3:15">
      <c r="C1824" s="233"/>
      <c r="D1824" s="233"/>
      <c r="E1824" s="770"/>
      <c r="F1824" s="234"/>
      <c r="G1824" s="234"/>
      <c r="H1824" s="233"/>
      <c r="I1824" s="233"/>
      <c r="J1824" s="770"/>
      <c r="K1824" s="233"/>
      <c r="L1824" s="233"/>
      <c r="M1824" s="233"/>
      <c r="N1824" s="2460"/>
      <c r="O1824" s="2460"/>
    </row>
    <row r="1825" spans="3:15">
      <c r="C1825" s="233"/>
      <c r="D1825" s="233"/>
      <c r="E1825" s="770"/>
      <c r="F1825" s="234"/>
      <c r="G1825" s="234"/>
      <c r="H1825" s="233"/>
      <c r="I1825" s="233"/>
      <c r="J1825" s="770"/>
      <c r="K1825" s="233"/>
      <c r="L1825" s="233"/>
      <c r="M1825" s="233"/>
      <c r="N1825" s="2460"/>
      <c r="O1825" s="2460"/>
    </row>
    <row r="1826" spans="3:15">
      <c r="C1826" s="233"/>
      <c r="D1826" s="233"/>
      <c r="E1826" s="770"/>
      <c r="F1826" s="234"/>
      <c r="G1826" s="234"/>
      <c r="H1826" s="233"/>
      <c r="I1826" s="233"/>
      <c r="J1826" s="770"/>
      <c r="K1826" s="233"/>
      <c r="L1826" s="233"/>
      <c r="M1826" s="233"/>
      <c r="N1826" s="2460"/>
      <c r="O1826" s="2460"/>
    </row>
    <row r="1827" spans="3:15">
      <c r="C1827" s="233"/>
      <c r="D1827" s="233"/>
      <c r="E1827" s="770"/>
      <c r="F1827" s="234"/>
      <c r="G1827" s="234"/>
      <c r="H1827" s="233"/>
      <c r="I1827" s="233"/>
      <c r="J1827" s="770"/>
      <c r="K1827" s="233"/>
      <c r="L1827" s="233"/>
      <c r="M1827" s="233"/>
      <c r="N1827" s="2460"/>
      <c r="O1827" s="2460"/>
    </row>
    <row r="1828" spans="3:15">
      <c r="C1828" s="233"/>
      <c r="D1828" s="233"/>
      <c r="E1828" s="770"/>
      <c r="F1828" s="234"/>
      <c r="G1828" s="234"/>
      <c r="H1828" s="233"/>
      <c r="I1828" s="233"/>
      <c r="J1828" s="770"/>
      <c r="K1828" s="233"/>
      <c r="L1828" s="233"/>
      <c r="M1828" s="233"/>
      <c r="N1828" s="2460"/>
      <c r="O1828" s="2460"/>
    </row>
    <row r="1829" spans="3:15">
      <c r="C1829" s="233"/>
      <c r="D1829" s="233"/>
      <c r="E1829" s="770"/>
      <c r="F1829" s="234"/>
      <c r="G1829" s="234"/>
      <c r="H1829" s="233"/>
      <c r="I1829" s="233"/>
      <c r="J1829" s="770"/>
      <c r="K1829" s="233"/>
      <c r="L1829" s="233"/>
      <c r="M1829" s="233"/>
      <c r="N1829" s="2460"/>
      <c r="O1829" s="2460"/>
    </row>
    <row r="1830" spans="3:15">
      <c r="C1830" s="233"/>
      <c r="D1830" s="233"/>
      <c r="E1830" s="770"/>
      <c r="F1830" s="234"/>
      <c r="G1830" s="234"/>
      <c r="H1830" s="233"/>
      <c r="I1830" s="233"/>
      <c r="J1830" s="770"/>
      <c r="K1830" s="233"/>
      <c r="L1830" s="233"/>
      <c r="M1830" s="233"/>
      <c r="N1830" s="2460"/>
      <c r="O1830" s="2460"/>
    </row>
    <row r="1831" spans="3:15">
      <c r="C1831" s="233"/>
      <c r="D1831" s="233"/>
      <c r="E1831" s="770"/>
      <c r="F1831" s="234"/>
      <c r="G1831" s="234"/>
      <c r="H1831" s="233"/>
      <c r="I1831" s="233"/>
      <c r="J1831" s="770"/>
      <c r="K1831" s="233"/>
      <c r="L1831" s="233"/>
      <c r="M1831" s="233"/>
      <c r="N1831" s="2460"/>
      <c r="O1831" s="2460"/>
    </row>
    <row r="1832" spans="3:15">
      <c r="C1832" s="233"/>
      <c r="D1832" s="233"/>
      <c r="E1832" s="770"/>
      <c r="F1832" s="234"/>
      <c r="G1832" s="234"/>
      <c r="H1832" s="233"/>
      <c r="I1832" s="233"/>
      <c r="J1832" s="770"/>
      <c r="K1832" s="233"/>
      <c r="L1832" s="233"/>
      <c r="M1832" s="233"/>
      <c r="N1832" s="2460"/>
      <c r="O1832" s="2460"/>
    </row>
    <row r="1833" spans="3:15">
      <c r="C1833" s="233"/>
      <c r="D1833" s="233"/>
      <c r="E1833" s="770"/>
      <c r="F1833" s="234"/>
      <c r="G1833" s="234"/>
      <c r="H1833" s="233"/>
      <c r="I1833" s="233"/>
      <c r="J1833" s="770"/>
      <c r="K1833" s="233"/>
      <c r="L1833" s="233"/>
      <c r="M1833" s="233"/>
      <c r="N1833" s="2460"/>
      <c r="O1833" s="2460"/>
    </row>
    <row r="1834" spans="3:15">
      <c r="C1834" s="233"/>
      <c r="D1834" s="233"/>
      <c r="E1834" s="770"/>
      <c r="F1834" s="234"/>
      <c r="G1834" s="234"/>
      <c r="H1834" s="233"/>
      <c r="I1834" s="233"/>
      <c r="J1834" s="770"/>
      <c r="K1834" s="233"/>
      <c r="L1834" s="233"/>
      <c r="M1834" s="233"/>
      <c r="N1834" s="2460"/>
      <c r="O1834" s="2460"/>
    </row>
    <row r="1835" spans="3:15">
      <c r="C1835" s="233"/>
      <c r="D1835" s="233"/>
      <c r="E1835" s="770"/>
      <c r="F1835" s="234"/>
      <c r="G1835" s="234"/>
      <c r="H1835" s="233"/>
      <c r="I1835" s="233"/>
      <c r="J1835" s="770"/>
      <c r="K1835" s="233"/>
      <c r="L1835" s="233"/>
      <c r="M1835" s="233"/>
      <c r="N1835" s="2460"/>
      <c r="O1835" s="2460"/>
    </row>
    <row r="1836" spans="3:15">
      <c r="C1836" s="233"/>
      <c r="D1836" s="233"/>
      <c r="E1836" s="770"/>
      <c r="F1836" s="234"/>
      <c r="G1836" s="234"/>
      <c r="H1836" s="233"/>
      <c r="I1836" s="233"/>
      <c r="J1836" s="770"/>
      <c r="K1836" s="233"/>
      <c r="L1836" s="233"/>
      <c r="M1836" s="233"/>
      <c r="N1836" s="2460"/>
      <c r="O1836" s="2460"/>
    </row>
    <row r="1837" spans="3:15">
      <c r="C1837" s="233"/>
      <c r="D1837" s="233"/>
      <c r="E1837" s="770"/>
      <c r="F1837" s="234"/>
      <c r="G1837" s="234"/>
      <c r="H1837" s="233"/>
      <c r="I1837" s="233"/>
      <c r="J1837" s="770"/>
      <c r="K1837" s="233"/>
      <c r="L1837" s="233"/>
      <c r="M1837" s="233"/>
      <c r="N1837" s="2460"/>
      <c r="O1837" s="2460"/>
    </row>
    <row r="1838" spans="3:15">
      <c r="C1838" s="233"/>
      <c r="D1838" s="233"/>
      <c r="E1838" s="770"/>
      <c r="F1838" s="234"/>
      <c r="G1838" s="234"/>
      <c r="H1838" s="233"/>
      <c r="I1838" s="233"/>
      <c r="J1838" s="770"/>
      <c r="K1838" s="233"/>
      <c r="L1838" s="233"/>
      <c r="M1838" s="233"/>
      <c r="N1838" s="2460"/>
      <c r="O1838" s="2460"/>
    </row>
    <row r="1839" spans="3:15">
      <c r="C1839" s="233"/>
      <c r="D1839" s="233"/>
      <c r="E1839" s="770"/>
      <c r="F1839" s="234"/>
      <c r="G1839" s="234"/>
      <c r="H1839" s="233"/>
      <c r="I1839" s="233"/>
      <c r="J1839" s="770"/>
      <c r="K1839" s="233"/>
      <c r="L1839" s="233"/>
      <c r="M1839" s="233"/>
      <c r="N1839" s="2460"/>
      <c r="O1839" s="2460"/>
    </row>
    <row r="1840" spans="3:15">
      <c r="C1840" s="233"/>
      <c r="D1840" s="233"/>
      <c r="E1840" s="770"/>
      <c r="F1840" s="234"/>
      <c r="G1840" s="234"/>
      <c r="H1840" s="233"/>
      <c r="I1840" s="233"/>
      <c r="J1840" s="770"/>
      <c r="K1840" s="233"/>
      <c r="L1840" s="233"/>
      <c r="M1840" s="233"/>
      <c r="N1840" s="2460"/>
      <c r="O1840" s="2460"/>
    </row>
    <row r="1841" spans="3:15">
      <c r="C1841" s="233"/>
      <c r="D1841" s="233"/>
      <c r="E1841" s="770"/>
      <c r="F1841" s="234"/>
      <c r="G1841" s="234"/>
      <c r="H1841" s="233"/>
      <c r="I1841" s="233"/>
      <c r="J1841" s="770"/>
      <c r="K1841" s="233"/>
      <c r="L1841" s="233"/>
      <c r="M1841" s="233"/>
      <c r="N1841" s="2460"/>
      <c r="O1841" s="2460"/>
    </row>
    <row r="1842" spans="3:15">
      <c r="C1842" s="233"/>
      <c r="D1842" s="233"/>
      <c r="E1842" s="770"/>
      <c r="F1842" s="234"/>
      <c r="G1842" s="234"/>
      <c r="H1842" s="233"/>
      <c r="I1842" s="233"/>
      <c r="J1842" s="770"/>
      <c r="K1842" s="233"/>
      <c r="L1842" s="233"/>
      <c r="M1842" s="233"/>
      <c r="N1842" s="2460"/>
      <c r="O1842" s="2460"/>
    </row>
    <row r="1843" spans="3:15">
      <c r="C1843" s="233"/>
      <c r="D1843" s="233"/>
      <c r="E1843" s="770"/>
      <c r="F1843" s="234"/>
      <c r="G1843" s="234"/>
      <c r="H1843" s="233"/>
      <c r="I1843" s="233"/>
      <c r="J1843" s="770"/>
      <c r="K1843" s="233"/>
      <c r="L1843" s="233"/>
      <c r="M1843" s="233"/>
      <c r="N1843" s="2460"/>
      <c r="O1843" s="2460"/>
    </row>
    <row r="1844" spans="3:15">
      <c r="C1844" s="233"/>
      <c r="D1844" s="233"/>
      <c r="E1844" s="770"/>
      <c r="F1844" s="234"/>
      <c r="G1844" s="234"/>
      <c r="H1844" s="233"/>
      <c r="I1844" s="233"/>
      <c r="J1844" s="770"/>
      <c r="K1844" s="233"/>
      <c r="L1844" s="233"/>
      <c r="M1844" s="233"/>
      <c r="N1844" s="2460"/>
      <c r="O1844" s="2460"/>
    </row>
    <row r="1845" spans="3:15">
      <c r="C1845" s="233"/>
      <c r="D1845" s="233"/>
      <c r="E1845" s="770"/>
      <c r="F1845" s="234"/>
      <c r="G1845" s="234"/>
      <c r="H1845" s="233"/>
      <c r="I1845" s="233"/>
      <c r="J1845" s="770"/>
      <c r="K1845" s="233"/>
      <c r="L1845" s="233"/>
      <c r="M1845" s="233"/>
      <c r="N1845" s="2460"/>
      <c r="O1845" s="2460"/>
    </row>
    <row r="1846" spans="3:15">
      <c r="C1846" s="233"/>
      <c r="D1846" s="233"/>
      <c r="E1846" s="770"/>
      <c r="F1846" s="234"/>
      <c r="G1846" s="234"/>
      <c r="H1846" s="233"/>
      <c r="I1846" s="233"/>
      <c r="J1846" s="770"/>
      <c r="K1846" s="233"/>
      <c r="L1846" s="233"/>
      <c r="M1846" s="233"/>
      <c r="N1846" s="2460"/>
      <c r="O1846" s="2460"/>
    </row>
    <row r="1847" spans="3:15">
      <c r="C1847" s="233"/>
      <c r="D1847" s="233"/>
      <c r="E1847" s="770"/>
      <c r="F1847" s="234"/>
      <c r="G1847" s="234"/>
      <c r="H1847" s="233"/>
      <c r="I1847" s="233"/>
      <c r="J1847" s="770"/>
      <c r="K1847" s="233"/>
      <c r="L1847" s="233"/>
      <c r="M1847" s="233"/>
      <c r="N1847" s="2460"/>
      <c r="O1847" s="2460"/>
    </row>
    <row r="1848" spans="3:15">
      <c r="C1848" s="233"/>
      <c r="D1848" s="233"/>
      <c r="E1848" s="770"/>
      <c r="F1848" s="234"/>
      <c r="G1848" s="234"/>
      <c r="H1848" s="233"/>
      <c r="I1848" s="233"/>
      <c r="J1848" s="770"/>
      <c r="K1848" s="233"/>
      <c r="L1848" s="233"/>
      <c r="M1848" s="233"/>
      <c r="N1848" s="2460"/>
      <c r="O1848" s="2460"/>
    </row>
    <row r="1849" spans="3:15">
      <c r="C1849" s="233"/>
      <c r="D1849" s="233"/>
      <c r="E1849" s="770"/>
      <c r="F1849" s="234"/>
      <c r="G1849" s="234"/>
      <c r="H1849" s="233"/>
      <c r="I1849" s="233"/>
      <c r="J1849" s="770"/>
      <c r="K1849" s="233"/>
      <c r="L1849" s="233"/>
      <c r="M1849" s="233"/>
      <c r="N1849" s="2460"/>
      <c r="O1849" s="2460"/>
    </row>
    <row r="1850" spans="3:15">
      <c r="C1850" s="233"/>
      <c r="D1850" s="233"/>
      <c r="E1850" s="770"/>
      <c r="F1850" s="234"/>
      <c r="G1850" s="234"/>
      <c r="H1850" s="233"/>
      <c r="I1850" s="233"/>
      <c r="J1850" s="770"/>
      <c r="K1850" s="233"/>
      <c r="L1850" s="233"/>
      <c r="M1850" s="233"/>
      <c r="N1850" s="2460"/>
      <c r="O1850" s="2460"/>
    </row>
    <row r="1851" spans="3:15">
      <c r="C1851" s="233"/>
      <c r="D1851" s="233"/>
      <c r="E1851" s="770"/>
      <c r="F1851" s="234"/>
      <c r="G1851" s="234"/>
      <c r="H1851" s="233"/>
      <c r="I1851" s="233"/>
      <c r="J1851" s="770"/>
      <c r="K1851" s="233"/>
      <c r="L1851" s="233"/>
      <c r="M1851" s="233"/>
      <c r="N1851" s="2460"/>
      <c r="O1851" s="2460"/>
    </row>
    <row r="1852" spans="3:15">
      <c r="C1852" s="233"/>
      <c r="D1852" s="233"/>
      <c r="E1852" s="770"/>
      <c r="F1852" s="234"/>
      <c r="G1852" s="234"/>
      <c r="H1852" s="233"/>
      <c r="I1852" s="233"/>
      <c r="J1852" s="770"/>
      <c r="K1852" s="233"/>
      <c r="L1852" s="233"/>
      <c r="M1852" s="233"/>
      <c r="N1852" s="2460"/>
      <c r="O1852" s="2460"/>
    </row>
    <row r="1853" spans="3:15">
      <c r="C1853" s="233"/>
      <c r="D1853" s="233"/>
      <c r="E1853" s="770"/>
      <c r="F1853" s="234"/>
      <c r="G1853" s="234"/>
      <c r="H1853" s="233"/>
      <c r="I1853" s="233"/>
      <c r="J1853" s="770"/>
      <c r="K1853" s="233"/>
      <c r="L1853" s="233"/>
      <c r="M1853" s="233"/>
      <c r="N1853" s="2460"/>
      <c r="O1853" s="2460"/>
    </row>
    <row r="1854" spans="3:15">
      <c r="C1854" s="233"/>
      <c r="D1854" s="233"/>
      <c r="E1854" s="770"/>
      <c r="F1854" s="234"/>
      <c r="G1854" s="234"/>
      <c r="H1854" s="233"/>
      <c r="I1854" s="233"/>
      <c r="J1854" s="770"/>
      <c r="K1854" s="233"/>
      <c r="L1854" s="233"/>
      <c r="M1854" s="233"/>
      <c r="N1854" s="2460"/>
      <c r="O1854" s="2460"/>
    </row>
    <row r="1855" spans="3:15">
      <c r="C1855" s="233"/>
      <c r="D1855" s="233"/>
      <c r="E1855" s="770"/>
      <c r="F1855" s="234"/>
      <c r="G1855" s="234"/>
      <c r="H1855" s="233"/>
      <c r="I1855" s="233"/>
      <c r="J1855" s="770"/>
      <c r="K1855" s="233"/>
      <c r="L1855" s="233"/>
      <c r="M1855" s="233"/>
      <c r="N1855" s="2460"/>
      <c r="O1855" s="2460"/>
    </row>
    <row r="1856" spans="3:15">
      <c r="C1856" s="233"/>
      <c r="D1856" s="233"/>
      <c r="E1856" s="770"/>
      <c r="F1856" s="234"/>
      <c r="G1856" s="234"/>
      <c r="H1856" s="233"/>
      <c r="I1856" s="233"/>
      <c r="J1856" s="770"/>
      <c r="K1856" s="233"/>
      <c r="L1856" s="233"/>
      <c r="M1856" s="233"/>
      <c r="N1856" s="2460"/>
      <c r="O1856" s="2460"/>
    </row>
    <row r="1857" spans="3:15">
      <c r="C1857" s="233"/>
      <c r="D1857" s="233"/>
      <c r="E1857" s="770"/>
      <c r="F1857" s="234"/>
      <c r="G1857" s="234"/>
      <c r="H1857" s="233"/>
      <c r="I1857" s="233"/>
      <c r="J1857" s="770"/>
      <c r="K1857" s="233"/>
      <c r="L1857" s="233"/>
      <c r="M1857" s="233"/>
      <c r="N1857" s="2460"/>
      <c r="O1857" s="2460"/>
    </row>
    <row r="1858" spans="3:15">
      <c r="C1858" s="233"/>
      <c r="D1858" s="233"/>
      <c r="E1858" s="770"/>
      <c r="F1858" s="234"/>
      <c r="G1858" s="234"/>
      <c r="H1858" s="233"/>
      <c r="I1858" s="233"/>
      <c r="J1858" s="770"/>
      <c r="K1858" s="233"/>
      <c r="L1858" s="233"/>
      <c r="M1858" s="233"/>
      <c r="N1858" s="2460"/>
      <c r="O1858" s="2460"/>
    </row>
    <row r="1859" spans="3:15">
      <c r="C1859" s="233"/>
      <c r="D1859" s="233"/>
      <c r="E1859" s="770"/>
      <c r="F1859" s="234"/>
      <c r="G1859" s="234"/>
      <c r="H1859" s="233"/>
      <c r="I1859" s="233"/>
      <c r="J1859" s="770"/>
      <c r="K1859" s="233"/>
      <c r="L1859" s="233"/>
      <c r="M1859" s="233"/>
      <c r="N1859" s="2460"/>
      <c r="O1859" s="2460"/>
    </row>
    <row r="1860" spans="3:15">
      <c r="C1860" s="233"/>
      <c r="D1860" s="233"/>
      <c r="E1860" s="770"/>
      <c r="F1860" s="234"/>
      <c r="G1860" s="234"/>
      <c r="H1860" s="233"/>
      <c r="I1860" s="233"/>
      <c r="J1860" s="770"/>
      <c r="K1860" s="233"/>
      <c r="L1860" s="233"/>
      <c r="M1860" s="233"/>
      <c r="N1860" s="2460"/>
      <c r="O1860" s="2460"/>
    </row>
    <row r="1861" spans="3:15">
      <c r="C1861" s="233"/>
      <c r="D1861" s="233"/>
      <c r="E1861" s="770"/>
      <c r="F1861" s="234"/>
      <c r="G1861" s="234"/>
      <c r="H1861" s="233"/>
      <c r="I1861" s="233"/>
      <c r="J1861" s="770"/>
      <c r="K1861" s="233"/>
      <c r="L1861" s="233"/>
      <c r="M1861" s="233"/>
      <c r="N1861" s="2460"/>
      <c r="O1861" s="2460"/>
    </row>
    <row r="1862" spans="3:15">
      <c r="C1862" s="233"/>
      <c r="D1862" s="233"/>
      <c r="E1862" s="770"/>
      <c r="F1862" s="234"/>
      <c r="G1862" s="234"/>
      <c r="H1862" s="233"/>
      <c r="I1862" s="233"/>
      <c r="J1862" s="770"/>
      <c r="K1862" s="233"/>
      <c r="L1862" s="233"/>
      <c r="M1862" s="233"/>
      <c r="N1862" s="2460"/>
      <c r="O1862" s="2460"/>
    </row>
    <row r="1863" spans="3:15">
      <c r="C1863" s="233"/>
      <c r="D1863" s="233"/>
      <c r="E1863" s="770"/>
      <c r="F1863" s="234"/>
      <c r="G1863" s="234"/>
      <c r="H1863" s="233"/>
      <c r="I1863" s="233"/>
      <c r="J1863" s="770"/>
      <c r="K1863" s="233"/>
      <c r="L1863" s="233"/>
      <c r="M1863" s="233"/>
      <c r="N1863" s="2460"/>
      <c r="O1863" s="2460"/>
    </row>
    <row r="1864" spans="3:15">
      <c r="C1864" s="233"/>
      <c r="D1864" s="233"/>
      <c r="E1864" s="770"/>
      <c r="F1864" s="234"/>
      <c r="G1864" s="234"/>
      <c r="H1864" s="233"/>
      <c r="I1864" s="233"/>
      <c r="J1864" s="770"/>
      <c r="K1864" s="233"/>
      <c r="L1864" s="233"/>
      <c r="M1864" s="233"/>
      <c r="N1864" s="2460"/>
      <c r="O1864" s="2460"/>
    </row>
    <row r="1865" spans="3:15">
      <c r="C1865" s="233"/>
      <c r="D1865" s="233"/>
      <c r="E1865" s="770"/>
      <c r="F1865" s="234"/>
      <c r="G1865" s="234"/>
      <c r="H1865" s="233"/>
      <c r="I1865" s="233"/>
      <c r="J1865" s="770"/>
      <c r="K1865" s="233"/>
      <c r="L1865" s="233"/>
      <c r="M1865" s="233"/>
      <c r="N1865" s="2460"/>
      <c r="O1865" s="2460"/>
    </row>
    <row r="1866" spans="3:15">
      <c r="C1866" s="233"/>
      <c r="D1866" s="233"/>
      <c r="E1866" s="770"/>
      <c r="F1866" s="234"/>
      <c r="G1866" s="234"/>
      <c r="H1866" s="233"/>
      <c r="I1866" s="233"/>
      <c r="J1866" s="770"/>
      <c r="K1866" s="233"/>
      <c r="L1866" s="233"/>
      <c r="M1866" s="233"/>
      <c r="N1866" s="2460"/>
      <c r="O1866" s="2460"/>
    </row>
    <row r="1867" spans="3:15">
      <c r="C1867" s="233"/>
      <c r="D1867" s="233"/>
      <c r="E1867" s="770"/>
      <c r="F1867" s="234"/>
      <c r="G1867" s="234"/>
      <c r="H1867" s="233"/>
      <c r="I1867" s="233"/>
      <c r="J1867" s="770"/>
      <c r="K1867" s="233"/>
      <c r="L1867" s="233"/>
      <c r="M1867" s="233"/>
      <c r="N1867" s="2460"/>
      <c r="O1867" s="2460"/>
    </row>
    <row r="1868" spans="3:15">
      <c r="C1868" s="233"/>
      <c r="D1868" s="233"/>
      <c r="E1868" s="770"/>
      <c r="F1868" s="234"/>
      <c r="G1868" s="234"/>
      <c r="H1868" s="233"/>
      <c r="I1868" s="233"/>
      <c r="J1868" s="770"/>
      <c r="K1868" s="233"/>
      <c r="L1868" s="233"/>
      <c r="M1868" s="233"/>
      <c r="N1868" s="2460"/>
      <c r="O1868" s="2460"/>
    </row>
    <row r="1869" spans="3:15">
      <c r="C1869" s="233"/>
      <c r="D1869" s="233"/>
      <c r="E1869" s="770"/>
      <c r="F1869" s="234"/>
      <c r="G1869" s="234"/>
      <c r="H1869" s="233"/>
      <c r="I1869" s="233"/>
      <c r="J1869" s="770"/>
      <c r="K1869" s="233"/>
      <c r="L1869" s="233"/>
      <c r="M1869" s="233"/>
      <c r="N1869" s="2460"/>
      <c r="O1869" s="2460"/>
    </row>
    <row r="1870" spans="3:15">
      <c r="C1870" s="233"/>
      <c r="D1870" s="233"/>
      <c r="E1870" s="770"/>
      <c r="F1870" s="234"/>
      <c r="G1870" s="234"/>
      <c r="H1870" s="233"/>
      <c r="I1870" s="233"/>
      <c r="J1870" s="770"/>
      <c r="K1870" s="233"/>
      <c r="L1870" s="233"/>
      <c r="M1870" s="233"/>
      <c r="N1870" s="2460"/>
      <c r="O1870" s="2460"/>
    </row>
    <row r="1871" spans="3:15">
      <c r="C1871" s="233"/>
      <c r="D1871" s="233"/>
      <c r="E1871" s="770"/>
      <c r="F1871" s="234"/>
      <c r="G1871" s="234"/>
      <c r="H1871" s="233"/>
      <c r="I1871" s="233"/>
      <c r="J1871" s="770"/>
      <c r="K1871" s="233"/>
      <c r="L1871" s="233"/>
      <c r="M1871" s="233"/>
      <c r="N1871" s="2460"/>
      <c r="O1871" s="2460"/>
    </row>
    <row r="1872" spans="3:15">
      <c r="C1872" s="233"/>
      <c r="D1872" s="233"/>
      <c r="E1872" s="770"/>
      <c r="F1872" s="234"/>
      <c r="G1872" s="234"/>
      <c r="H1872" s="233"/>
      <c r="I1872" s="233"/>
      <c r="J1872" s="770"/>
      <c r="K1872" s="233"/>
      <c r="L1872" s="233"/>
      <c r="M1872" s="233"/>
      <c r="N1872" s="2460"/>
      <c r="O1872" s="2460"/>
    </row>
    <row r="1873" spans="3:15">
      <c r="C1873" s="233"/>
      <c r="D1873" s="233"/>
      <c r="E1873" s="770"/>
      <c r="F1873" s="234"/>
      <c r="G1873" s="234"/>
      <c r="H1873" s="233"/>
      <c r="I1873" s="233"/>
      <c r="J1873" s="770"/>
      <c r="K1873" s="233"/>
      <c r="L1873" s="233"/>
      <c r="M1873" s="233"/>
      <c r="N1873" s="2460"/>
      <c r="O1873" s="2460"/>
    </row>
    <row r="1874" spans="3:15">
      <c r="C1874" s="233"/>
      <c r="D1874" s="233"/>
      <c r="E1874" s="770"/>
      <c r="F1874" s="234"/>
      <c r="G1874" s="234"/>
      <c r="H1874" s="233"/>
      <c r="I1874" s="233"/>
      <c r="J1874" s="770"/>
      <c r="K1874" s="233"/>
      <c r="L1874" s="233"/>
      <c r="M1874" s="233"/>
      <c r="N1874" s="2460"/>
      <c r="O1874" s="2460"/>
    </row>
    <row r="1875" spans="3:15">
      <c r="C1875" s="233"/>
      <c r="D1875" s="233"/>
      <c r="E1875" s="770"/>
      <c r="F1875" s="234"/>
      <c r="G1875" s="234"/>
      <c r="H1875" s="233"/>
      <c r="I1875" s="233"/>
      <c r="J1875" s="770"/>
      <c r="K1875" s="233"/>
      <c r="L1875" s="233"/>
      <c r="M1875" s="233"/>
      <c r="N1875" s="2460"/>
      <c r="O1875" s="2460"/>
    </row>
    <row r="1876" spans="3:15">
      <c r="C1876" s="233"/>
      <c r="D1876" s="233"/>
      <c r="E1876" s="770"/>
      <c r="F1876" s="234"/>
      <c r="G1876" s="234"/>
      <c r="H1876" s="233"/>
      <c r="I1876" s="233"/>
      <c r="J1876" s="770"/>
      <c r="K1876" s="233"/>
      <c r="L1876" s="233"/>
      <c r="M1876" s="233"/>
      <c r="N1876" s="2460"/>
      <c r="O1876" s="2460"/>
    </row>
    <row r="1877" spans="3:15">
      <c r="C1877" s="233"/>
      <c r="D1877" s="233"/>
      <c r="E1877" s="770"/>
      <c r="F1877" s="234"/>
      <c r="G1877" s="234"/>
      <c r="H1877" s="233"/>
      <c r="I1877" s="233"/>
      <c r="J1877" s="770"/>
      <c r="K1877" s="233"/>
      <c r="L1877" s="233"/>
      <c r="M1877" s="233"/>
      <c r="N1877" s="2460"/>
      <c r="O1877" s="2460"/>
    </row>
    <row r="1878" spans="3:15">
      <c r="C1878" s="233"/>
      <c r="D1878" s="233"/>
      <c r="E1878" s="770"/>
      <c r="F1878" s="234"/>
      <c r="G1878" s="234"/>
      <c r="H1878" s="233"/>
      <c r="I1878" s="233"/>
      <c r="J1878" s="770"/>
      <c r="K1878" s="233"/>
      <c r="L1878" s="233"/>
      <c r="M1878" s="233"/>
      <c r="N1878" s="2460"/>
      <c r="O1878" s="2460"/>
    </row>
    <row r="1879" spans="3:15">
      <c r="C1879" s="233"/>
      <c r="D1879" s="233"/>
      <c r="E1879" s="770"/>
      <c r="F1879" s="234"/>
      <c r="G1879" s="234"/>
      <c r="H1879" s="233"/>
      <c r="I1879" s="233"/>
      <c r="J1879" s="770"/>
      <c r="K1879" s="233"/>
      <c r="L1879" s="233"/>
      <c r="M1879" s="233"/>
      <c r="N1879" s="2460"/>
      <c r="O1879" s="2460"/>
    </row>
    <row r="1880" spans="3:15">
      <c r="C1880" s="233"/>
      <c r="D1880" s="233"/>
      <c r="E1880" s="770"/>
      <c r="F1880" s="234"/>
      <c r="G1880" s="234"/>
      <c r="H1880" s="233"/>
      <c r="I1880" s="233"/>
      <c r="J1880" s="770"/>
      <c r="K1880" s="233"/>
      <c r="L1880" s="233"/>
      <c r="M1880" s="233"/>
      <c r="N1880" s="2460"/>
      <c r="O1880" s="2460"/>
    </row>
    <row r="1881" spans="3:15">
      <c r="C1881" s="233"/>
      <c r="D1881" s="233"/>
      <c r="E1881" s="770"/>
      <c r="F1881" s="234"/>
      <c r="G1881" s="234"/>
      <c r="H1881" s="233"/>
      <c r="I1881" s="233"/>
      <c r="J1881" s="770"/>
      <c r="K1881" s="233"/>
      <c r="L1881" s="233"/>
      <c r="M1881" s="233"/>
      <c r="N1881" s="2460"/>
      <c r="O1881" s="2460"/>
    </row>
    <row r="1882" spans="3:15">
      <c r="C1882" s="233"/>
      <c r="D1882" s="233"/>
      <c r="E1882" s="770"/>
      <c r="F1882" s="234"/>
      <c r="G1882" s="234"/>
      <c r="H1882" s="233"/>
      <c r="I1882" s="233"/>
      <c r="J1882" s="770"/>
      <c r="K1882" s="233"/>
      <c r="L1882" s="233"/>
      <c r="M1882" s="233"/>
      <c r="N1882" s="2460"/>
      <c r="O1882" s="2460"/>
    </row>
    <row r="1883" spans="3:15">
      <c r="C1883" s="233"/>
      <c r="D1883" s="233"/>
      <c r="E1883" s="770"/>
      <c r="F1883" s="234"/>
      <c r="G1883" s="234"/>
      <c r="H1883" s="233"/>
      <c r="I1883" s="233"/>
      <c r="J1883" s="770"/>
      <c r="K1883" s="233"/>
      <c r="L1883" s="233"/>
      <c r="M1883" s="233"/>
      <c r="N1883" s="2460"/>
      <c r="O1883" s="2460"/>
    </row>
    <row r="1884" spans="3:15">
      <c r="C1884" s="233"/>
      <c r="D1884" s="233"/>
      <c r="E1884" s="770"/>
      <c r="F1884" s="234"/>
      <c r="G1884" s="234"/>
      <c r="H1884" s="233"/>
      <c r="I1884" s="233"/>
      <c r="J1884" s="770"/>
      <c r="K1884" s="233"/>
      <c r="L1884" s="233"/>
      <c r="M1884" s="233"/>
      <c r="N1884" s="2460"/>
      <c r="O1884" s="2460"/>
    </row>
    <row r="1885" spans="3:15">
      <c r="C1885" s="233"/>
      <c r="D1885" s="233"/>
      <c r="E1885" s="770"/>
      <c r="F1885" s="234"/>
      <c r="G1885" s="234"/>
      <c r="H1885" s="233"/>
      <c r="I1885" s="233"/>
      <c r="J1885" s="770"/>
      <c r="K1885" s="233"/>
      <c r="L1885" s="233"/>
      <c r="M1885" s="233"/>
      <c r="N1885" s="2460"/>
      <c r="O1885" s="2460"/>
    </row>
    <row r="1886" spans="3:15">
      <c r="C1886" s="233"/>
      <c r="D1886" s="233"/>
      <c r="E1886" s="770"/>
      <c r="F1886" s="234"/>
      <c r="G1886" s="234"/>
      <c r="H1886" s="233"/>
      <c r="I1886" s="233"/>
      <c r="J1886" s="770"/>
      <c r="K1886" s="233"/>
      <c r="L1886" s="233"/>
      <c r="M1886" s="233"/>
      <c r="N1886" s="2460"/>
      <c r="O1886" s="2460"/>
    </row>
    <row r="1887" spans="3:15">
      <c r="C1887" s="233"/>
      <c r="D1887" s="233"/>
      <c r="E1887" s="770"/>
      <c r="F1887" s="234"/>
      <c r="G1887" s="234"/>
      <c r="H1887" s="233"/>
      <c r="I1887" s="233"/>
      <c r="J1887" s="770"/>
      <c r="K1887" s="233"/>
      <c r="L1887" s="233"/>
      <c r="M1887" s="233"/>
      <c r="N1887" s="2460"/>
      <c r="O1887" s="2460"/>
    </row>
    <row r="1888" spans="3:15">
      <c r="C1888" s="233"/>
      <c r="D1888" s="233"/>
      <c r="E1888" s="770"/>
      <c r="F1888" s="234"/>
      <c r="G1888" s="234"/>
      <c r="H1888" s="233"/>
      <c r="I1888" s="233"/>
      <c r="J1888" s="770"/>
      <c r="K1888" s="233"/>
      <c r="L1888" s="233"/>
      <c r="M1888" s="233"/>
      <c r="N1888" s="2460"/>
      <c r="O1888" s="2460"/>
    </row>
    <row r="1889" spans="3:15">
      <c r="C1889" s="233"/>
      <c r="D1889" s="233"/>
      <c r="E1889" s="770"/>
      <c r="F1889" s="234"/>
      <c r="G1889" s="234"/>
      <c r="H1889" s="233"/>
      <c r="I1889" s="233"/>
      <c r="J1889" s="770"/>
      <c r="K1889" s="233"/>
      <c r="L1889" s="233"/>
      <c r="M1889" s="233"/>
      <c r="N1889" s="2460"/>
      <c r="O1889" s="2460"/>
    </row>
    <row r="1890" spans="3:15">
      <c r="C1890" s="233"/>
      <c r="D1890" s="233"/>
      <c r="E1890" s="770"/>
      <c r="F1890" s="234"/>
      <c r="G1890" s="234"/>
      <c r="H1890" s="233"/>
      <c r="I1890" s="233"/>
      <c r="J1890" s="770"/>
      <c r="K1890" s="233"/>
      <c r="L1890" s="233"/>
      <c r="M1890" s="233"/>
      <c r="N1890" s="2460"/>
      <c r="O1890" s="2460"/>
    </row>
    <row r="1891" spans="3:15">
      <c r="C1891" s="233"/>
      <c r="D1891" s="233"/>
      <c r="E1891" s="770"/>
      <c r="F1891" s="234"/>
      <c r="G1891" s="234"/>
      <c r="H1891" s="233"/>
      <c r="I1891" s="233"/>
      <c r="J1891" s="770"/>
      <c r="K1891" s="233"/>
      <c r="L1891" s="233"/>
      <c r="M1891" s="233"/>
      <c r="N1891" s="2460"/>
      <c r="O1891" s="2460"/>
    </row>
    <row r="1892" spans="3:15">
      <c r="C1892" s="233"/>
      <c r="D1892" s="233"/>
      <c r="E1892" s="770"/>
      <c r="F1892" s="234"/>
      <c r="G1892" s="234"/>
      <c r="H1892" s="233"/>
      <c r="I1892" s="233"/>
      <c r="J1892" s="770"/>
      <c r="K1892" s="233"/>
      <c r="L1892" s="233"/>
      <c r="M1892" s="233"/>
      <c r="N1892" s="2460"/>
      <c r="O1892" s="2460"/>
    </row>
    <row r="1893" spans="3:15">
      <c r="C1893" s="233"/>
      <c r="D1893" s="233"/>
      <c r="E1893" s="770"/>
      <c r="F1893" s="234"/>
      <c r="G1893" s="234"/>
      <c r="H1893" s="233"/>
      <c r="I1893" s="233"/>
      <c r="J1893" s="770"/>
      <c r="K1893" s="233"/>
      <c r="L1893" s="233"/>
      <c r="M1893" s="233"/>
      <c r="N1893" s="2460"/>
      <c r="O1893" s="2460"/>
    </row>
    <row r="1894" spans="3:15">
      <c r="C1894" s="233"/>
      <c r="D1894" s="233"/>
      <c r="E1894" s="770"/>
      <c r="F1894" s="234"/>
      <c r="G1894" s="234"/>
      <c r="H1894" s="233"/>
      <c r="I1894" s="233"/>
      <c r="J1894" s="770"/>
      <c r="K1894" s="233"/>
      <c r="L1894" s="233"/>
      <c r="M1894" s="233"/>
      <c r="N1894" s="2460"/>
      <c r="O1894" s="2460"/>
    </row>
    <row r="1895" spans="3:15">
      <c r="C1895" s="233"/>
      <c r="D1895" s="233"/>
      <c r="E1895" s="770"/>
      <c r="F1895" s="234"/>
      <c r="G1895" s="234"/>
      <c r="H1895" s="233"/>
      <c r="I1895" s="233"/>
      <c r="J1895" s="770"/>
      <c r="K1895" s="233"/>
      <c r="L1895" s="233"/>
      <c r="M1895" s="233"/>
      <c r="N1895" s="2460"/>
      <c r="O1895" s="2460"/>
    </row>
    <row r="1896" spans="3:15">
      <c r="C1896" s="233"/>
      <c r="D1896" s="233"/>
      <c r="E1896" s="770"/>
      <c r="F1896" s="234"/>
      <c r="G1896" s="234"/>
      <c r="H1896" s="233"/>
      <c r="I1896" s="233"/>
      <c r="J1896" s="770"/>
      <c r="K1896" s="233"/>
      <c r="L1896" s="233"/>
      <c r="M1896" s="233"/>
      <c r="N1896" s="2460"/>
      <c r="O1896" s="2460"/>
    </row>
    <row r="1897" spans="3:15">
      <c r="C1897" s="233"/>
      <c r="D1897" s="233"/>
      <c r="E1897" s="770"/>
      <c r="F1897" s="234"/>
      <c r="G1897" s="234"/>
      <c r="H1897" s="233"/>
      <c r="I1897" s="233"/>
      <c r="J1897" s="770"/>
      <c r="K1897" s="233"/>
      <c r="L1897" s="233"/>
      <c r="M1897" s="233"/>
      <c r="N1897" s="2460"/>
      <c r="O1897" s="2460"/>
    </row>
    <row r="1898" spans="3:15">
      <c r="C1898" s="233"/>
      <c r="D1898" s="233"/>
      <c r="E1898" s="770"/>
      <c r="F1898" s="234"/>
      <c r="G1898" s="234"/>
      <c r="H1898" s="233"/>
      <c r="I1898" s="233"/>
      <c r="J1898" s="770"/>
      <c r="K1898" s="233"/>
      <c r="L1898" s="233"/>
      <c r="M1898" s="233"/>
      <c r="N1898" s="2460"/>
      <c r="O1898" s="2460"/>
    </row>
    <row r="1899" spans="3:15">
      <c r="C1899" s="233"/>
      <c r="D1899" s="233"/>
      <c r="E1899" s="770"/>
      <c r="F1899" s="234"/>
      <c r="G1899" s="234"/>
      <c r="H1899" s="233"/>
      <c r="I1899" s="233"/>
      <c r="J1899" s="770"/>
      <c r="K1899" s="233"/>
      <c r="L1899" s="233"/>
      <c r="M1899" s="233"/>
      <c r="N1899" s="2460"/>
      <c r="O1899" s="2460"/>
    </row>
    <row r="1900" spans="3:15">
      <c r="C1900" s="233"/>
      <c r="D1900" s="233"/>
      <c r="E1900" s="770"/>
      <c r="F1900" s="234"/>
      <c r="G1900" s="234"/>
      <c r="H1900" s="233"/>
      <c r="I1900" s="233"/>
      <c r="J1900" s="770"/>
      <c r="K1900" s="233"/>
      <c r="L1900" s="233"/>
      <c r="M1900" s="233"/>
      <c r="N1900" s="2460"/>
      <c r="O1900" s="2460"/>
    </row>
    <row r="1901" spans="3:15">
      <c r="C1901" s="233"/>
      <c r="D1901" s="233"/>
      <c r="E1901" s="770"/>
      <c r="F1901" s="234"/>
      <c r="G1901" s="234"/>
      <c r="H1901" s="233"/>
      <c r="I1901" s="233"/>
      <c r="J1901" s="770"/>
      <c r="K1901" s="233"/>
      <c r="L1901" s="233"/>
      <c r="M1901" s="233"/>
      <c r="N1901" s="2460"/>
      <c r="O1901" s="2460"/>
    </row>
    <row r="1902" spans="3:15">
      <c r="C1902" s="233"/>
      <c r="D1902" s="233"/>
      <c r="E1902" s="770"/>
      <c r="F1902" s="234"/>
      <c r="G1902" s="234"/>
      <c r="H1902" s="233"/>
      <c r="I1902" s="233"/>
      <c r="J1902" s="770"/>
      <c r="K1902" s="233"/>
      <c r="L1902" s="233"/>
      <c r="M1902" s="233"/>
      <c r="N1902" s="2460"/>
      <c r="O1902" s="2460"/>
    </row>
    <row r="1903" spans="3:15">
      <c r="C1903" s="233"/>
      <c r="D1903" s="233"/>
      <c r="E1903" s="770"/>
      <c r="F1903" s="234"/>
      <c r="G1903" s="234"/>
      <c r="H1903" s="233"/>
      <c r="I1903" s="233"/>
      <c r="J1903" s="770"/>
      <c r="K1903" s="233"/>
      <c r="L1903" s="233"/>
      <c r="M1903" s="233"/>
      <c r="N1903" s="2460"/>
      <c r="O1903" s="2460"/>
    </row>
    <row r="1904" spans="3:15">
      <c r="C1904" s="233"/>
      <c r="D1904" s="233"/>
      <c r="E1904" s="770"/>
      <c r="F1904" s="234"/>
      <c r="G1904" s="234"/>
      <c r="H1904" s="233"/>
      <c r="I1904" s="233"/>
      <c r="J1904" s="770"/>
      <c r="K1904" s="233"/>
      <c r="L1904" s="233"/>
      <c r="M1904" s="233"/>
      <c r="N1904" s="2460"/>
      <c r="O1904" s="2460"/>
    </row>
    <row r="1905" spans="3:15">
      <c r="C1905" s="233"/>
      <c r="D1905" s="233"/>
      <c r="E1905" s="770"/>
      <c r="F1905" s="234"/>
      <c r="G1905" s="234"/>
      <c r="H1905" s="233"/>
      <c r="I1905" s="233"/>
      <c r="J1905" s="770"/>
      <c r="K1905" s="233"/>
      <c r="L1905" s="233"/>
      <c r="M1905" s="233"/>
      <c r="N1905" s="2460"/>
      <c r="O1905" s="2460"/>
    </row>
    <row r="1906" spans="3:15">
      <c r="C1906" s="233"/>
      <c r="D1906" s="233"/>
      <c r="E1906" s="770"/>
      <c r="F1906" s="234"/>
      <c r="G1906" s="234"/>
      <c r="H1906" s="233"/>
      <c r="I1906" s="233"/>
      <c r="J1906" s="770"/>
      <c r="K1906" s="233"/>
      <c r="L1906" s="233"/>
      <c r="M1906" s="233"/>
      <c r="N1906" s="2460"/>
      <c r="O1906" s="2460"/>
    </row>
    <row r="1907" spans="3:15">
      <c r="C1907" s="233"/>
      <c r="D1907" s="233"/>
      <c r="E1907" s="770"/>
      <c r="F1907" s="234"/>
      <c r="G1907" s="234"/>
      <c r="H1907" s="233"/>
      <c r="I1907" s="233"/>
      <c r="J1907" s="770"/>
      <c r="K1907" s="233"/>
      <c r="L1907" s="233"/>
      <c r="M1907" s="233"/>
      <c r="N1907" s="2460"/>
      <c r="O1907" s="2460"/>
    </row>
    <row r="1908" spans="3:15">
      <c r="C1908" s="233"/>
      <c r="D1908" s="233"/>
      <c r="E1908" s="770"/>
      <c r="F1908" s="234"/>
      <c r="G1908" s="234"/>
      <c r="H1908" s="233"/>
      <c r="I1908" s="233"/>
      <c r="J1908" s="770"/>
      <c r="K1908" s="233"/>
      <c r="L1908" s="233"/>
      <c r="M1908" s="233"/>
      <c r="N1908" s="2460"/>
      <c r="O1908" s="2460"/>
    </row>
    <row r="1909" spans="3:15">
      <c r="C1909" s="233"/>
      <c r="D1909" s="233"/>
      <c r="E1909" s="770"/>
      <c r="F1909" s="234"/>
      <c r="G1909" s="234"/>
      <c r="H1909" s="233"/>
      <c r="I1909" s="233"/>
      <c r="J1909" s="770"/>
      <c r="K1909" s="233"/>
      <c r="L1909" s="233"/>
      <c r="M1909" s="233"/>
      <c r="N1909" s="2460"/>
      <c r="O1909" s="2460"/>
    </row>
    <row r="1910" spans="3:15">
      <c r="C1910" s="233"/>
      <c r="D1910" s="233"/>
      <c r="E1910" s="770"/>
      <c r="F1910" s="234"/>
      <c r="G1910" s="234"/>
      <c r="H1910" s="233"/>
      <c r="I1910" s="233"/>
      <c r="J1910" s="770"/>
      <c r="K1910" s="233"/>
      <c r="L1910" s="233"/>
      <c r="M1910" s="233"/>
      <c r="N1910" s="2460"/>
      <c r="O1910" s="2460"/>
    </row>
    <row r="1911" spans="3:15">
      <c r="C1911" s="233"/>
      <c r="D1911" s="233"/>
      <c r="E1911" s="770"/>
      <c r="F1911" s="234"/>
      <c r="G1911" s="234"/>
      <c r="H1911" s="233"/>
      <c r="I1911" s="233"/>
      <c r="J1911" s="770"/>
      <c r="K1911" s="233"/>
      <c r="L1911" s="233"/>
      <c r="M1911" s="233"/>
      <c r="N1911" s="2460"/>
      <c r="O1911" s="2460"/>
    </row>
    <row r="1912" spans="3:15">
      <c r="C1912" s="233"/>
      <c r="D1912" s="233"/>
      <c r="E1912" s="770"/>
      <c r="F1912" s="234"/>
      <c r="G1912" s="234"/>
      <c r="H1912" s="233"/>
      <c r="I1912" s="233"/>
      <c r="J1912" s="770"/>
      <c r="K1912" s="233"/>
      <c r="L1912" s="233"/>
      <c r="M1912" s="233"/>
      <c r="N1912" s="2460"/>
      <c r="O1912" s="2460"/>
    </row>
    <row r="1913" spans="3:15">
      <c r="C1913" s="233"/>
      <c r="D1913" s="233"/>
      <c r="E1913" s="770"/>
      <c r="F1913" s="234"/>
      <c r="G1913" s="234"/>
      <c r="H1913" s="233"/>
      <c r="I1913" s="233"/>
      <c r="J1913" s="770"/>
      <c r="K1913" s="233"/>
      <c r="L1913" s="233"/>
      <c r="M1913" s="233"/>
      <c r="N1913" s="2460"/>
      <c r="O1913" s="2460"/>
    </row>
    <row r="1914" spans="3:15">
      <c r="C1914" s="233"/>
      <c r="D1914" s="233"/>
      <c r="E1914" s="770"/>
      <c r="F1914" s="234"/>
      <c r="G1914" s="234"/>
      <c r="H1914" s="233"/>
      <c r="I1914" s="233"/>
      <c r="J1914" s="770"/>
      <c r="K1914" s="233"/>
      <c r="L1914" s="233"/>
      <c r="M1914" s="233"/>
      <c r="N1914" s="2460"/>
      <c r="O1914" s="2460"/>
    </row>
    <row r="1915" spans="3:15">
      <c r="C1915" s="233"/>
      <c r="D1915" s="233"/>
      <c r="E1915" s="770"/>
      <c r="F1915" s="234"/>
      <c r="G1915" s="234"/>
      <c r="H1915" s="233"/>
      <c r="I1915" s="233"/>
      <c r="J1915" s="770"/>
      <c r="K1915" s="233"/>
      <c r="L1915" s="233"/>
      <c r="M1915" s="233"/>
      <c r="N1915" s="2460"/>
      <c r="O1915" s="2460"/>
    </row>
    <row r="1916" spans="3:15">
      <c r="C1916" s="233"/>
      <c r="D1916" s="233"/>
      <c r="E1916" s="770"/>
      <c r="F1916" s="234"/>
      <c r="G1916" s="234"/>
      <c r="H1916" s="233"/>
      <c r="I1916" s="233"/>
      <c r="J1916" s="770"/>
      <c r="K1916" s="233"/>
      <c r="L1916" s="233"/>
      <c r="M1916" s="233"/>
      <c r="N1916" s="2460"/>
      <c r="O1916" s="2460"/>
    </row>
    <row r="1917" spans="3:15">
      <c r="C1917" s="233"/>
      <c r="D1917" s="233"/>
      <c r="E1917" s="770"/>
      <c r="F1917" s="234"/>
      <c r="G1917" s="234"/>
      <c r="H1917" s="233"/>
      <c r="I1917" s="233"/>
      <c r="J1917" s="770"/>
      <c r="K1917" s="233"/>
      <c r="L1917" s="233"/>
      <c r="M1917" s="233"/>
      <c r="N1917" s="2460"/>
      <c r="O1917" s="2460"/>
    </row>
    <row r="1918" spans="3:15">
      <c r="C1918" s="233"/>
      <c r="D1918" s="233"/>
      <c r="E1918" s="770"/>
      <c r="F1918" s="234"/>
      <c r="G1918" s="234"/>
      <c r="H1918" s="233"/>
      <c r="I1918" s="233"/>
      <c r="J1918" s="770"/>
      <c r="K1918" s="233"/>
      <c r="L1918" s="233"/>
      <c r="M1918" s="233"/>
      <c r="N1918" s="2460"/>
      <c r="O1918" s="2460"/>
    </row>
    <row r="1919" spans="3:15">
      <c r="C1919" s="233"/>
      <c r="D1919" s="233"/>
      <c r="E1919" s="770"/>
      <c r="F1919" s="234"/>
      <c r="G1919" s="234"/>
      <c r="H1919" s="233"/>
      <c r="I1919" s="233"/>
      <c r="J1919" s="770"/>
      <c r="K1919" s="233"/>
      <c r="L1919" s="233"/>
      <c r="M1919" s="233"/>
      <c r="N1919" s="2460"/>
      <c r="O1919" s="2460"/>
    </row>
    <row r="1920" spans="3:15">
      <c r="C1920" s="233"/>
      <c r="D1920" s="233"/>
      <c r="E1920" s="770"/>
      <c r="F1920" s="234"/>
      <c r="G1920" s="234"/>
      <c r="H1920" s="233"/>
      <c r="I1920" s="233"/>
      <c r="J1920" s="770"/>
      <c r="K1920" s="233"/>
      <c r="L1920" s="233"/>
      <c r="M1920" s="233"/>
      <c r="N1920" s="2460"/>
      <c r="O1920" s="2460"/>
    </row>
    <row r="1921" spans="3:15">
      <c r="C1921" s="233"/>
      <c r="D1921" s="233"/>
      <c r="E1921" s="770"/>
      <c r="F1921" s="234"/>
      <c r="G1921" s="234"/>
      <c r="H1921" s="233"/>
      <c r="I1921" s="233"/>
      <c r="J1921" s="770"/>
      <c r="K1921" s="233"/>
      <c r="L1921" s="233"/>
      <c r="M1921" s="233"/>
      <c r="N1921" s="2460"/>
      <c r="O1921" s="2460"/>
    </row>
    <row r="1922" spans="3:15">
      <c r="C1922" s="233"/>
      <c r="D1922" s="233"/>
      <c r="E1922" s="770"/>
      <c r="F1922" s="234"/>
      <c r="G1922" s="234"/>
      <c r="H1922" s="233"/>
      <c r="I1922" s="233"/>
      <c r="J1922" s="770"/>
      <c r="K1922" s="233"/>
      <c r="L1922" s="233"/>
      <c r="M1922" s="233"/>
      <c r="N1922" s="2460"/>
      <c r="O1922" s="2460"/>
    </row>
    <row r="1923" spans="3:15">
      <c r="C1923" s="233"/>
      <c r="D1923" s="233"/>
      <c r="E1923" s="770"/>
      <c r="F1923" s="234"/>
      <c r="G1923" s="234"/>
      <c r="H1923" s="233"/>
      <c r="I1923" s="233"/>
      <c r="J1923" s="770"/>
      <c r="K1923" s="233"/>
      <c r="L1923" s="233"/>
      <c r="M1923" s="233"/>
      <c r="N1923" s="2460"/>
      <c r="O1923" s="2460"/>
    </row>
    <row r="1924" spans="3:15">
      <c r="C1924" s="233"/>
      <c r="D1924" s="233"/>
      <c r="E1924" s="770"/>
      <c r="F1924" s="234"/>
      <c r="G1924" s="234"/>
      <c r="H1924" s="233"/>
      <c r="I1924" s="233"/>
      <c r="J1924" s="770"/>
      <c r="K1924" s="233"/>
      <c r="L1924" s="233"/>
      <c r="M1924" s="233"/>
      <c r="N1924" s="2460"/>
      <c r="O1924" s="2460"/>
    </row>
    <row r="1925" spans="3:15">
      <c r="C1925" s="233"/>
      <c r="D1925" s="233"/>
      <c r="E1925" s="770"/>
      <c r="F1925" s="234"/>
      <c r="G1925" s="234"/>
      <c r="H1925" s="233"/>
      <c r="I1925" s="233"/>
      <c r="J1925" s="770"/>
      <c r="K1925" s="233"/>
      <c r="L1925" s="233"/>
      <c r="M1925" s="233"/>
      <c r="N1925" s="2460"/>
      <c r="O1925" s="2460"/>
    </row>
    <row r="1926" spans="3:15">
      <c r="C1926" s="233"/>
      <c r="D1926" s="233"/>
      <c r="E1926" s="770"/>
      <c r="F1926" s="234"/>
      <c r="G1926" s="234"/>
      <c r="H1926" s="233"/>
      <c r="I1926" s="233"/>
      <c r="J1926" s="770"/>
      <c r="K1926" s="233"/>
      <c r="L1926" s="233"/>
      <c r="M1926" s="233"/>
      <c r="N1926" s="2460"/>
      <c r="O1926" s="2460"/>
    </row>
    <row r="1927" spans="3:15">
      <c r="C1927" s="233"/>
      <c r="D1927" s="233"/>
      <c r="E1927" s="770"/>
      <c r="F1927" s="234"/>
      <c r="G1927" s="234"/>
      <c r="H1927" s="233"/>
      <c r="I1927" s="233"/>
      <c r="J1927" s="770"/>
      <c r="K1927" s="233"/>
      <c r="L1927" s="233"/>
      <c r="M1927" s="233"/>
      <c r="N1927" s="2460"/>
      <c r="O1927" s="2460"/>
    </row>
    <row r="1928" spans="3:15">
      <c r="C1928" s="233"/>
      <c r="D1928" s="233"/>
      <c r="E1928" s="770"/>
      <c r="F1928" s="234"/>
      <c r="G1928" s="234"/>
      <c r="H1928" s="233"/>
      <c r="I1928" s="233"/>
      <c r="J1928" s="770"/>
      <c r="K1928" s="233"/>
      <c r="L1928" s="233"/>
      <c r="M1928" s="233"/>
      <c r="N1928" s="2460"/>
      <c r="O1928" s="2460"/>
    </row>
    <row r="1929" spans="3:15">
      <c r="C1929" s="233"/>
      <c r="D1929" s="233"/>
      <c r="E1929" s="770"/>
      <c r="F1929" s="234"/>
      <c r="G1929" s="234"/>
      <c r="H1929" s="233"/>
      <c r="I1929" s="233"/>
      <c r="J1929" s="770"/>
      <c r="K1929" s="233"/>
      <c r="L1929" s="233"/>
      <c r="M1929" s="233"/>
      <c r="N1929" s="2460"/>
      <c r="O1929" s="2460"/>
    </row>
    <row r="1930" spans="3:15">
      <c r="C1930" s="233"/>
      <c r="D1930" s="233"/>
      <c r="E1930" s="770"/>
      <c r="F1930" s="234"/>
      <c r="G1930" s="234"/>
      <c r="H1930" s="233"/>
      <c r="I1930" s="233"/>
      <c r="J1930" s="770"/>
      <c r="K1930" s="233"/>
      <c r="L1930" s="233"/>
      <c r="M1930" s="233"/>
      <c r="N1930" s="2460"/>
      <c r="O1930" s="2460"/>
    </row>
    <row r="1931" spans="3:15">
      <c r="C1931" s="233"/>
      <c r="D1931" s="233"/>
      <c r="E1931" s="770"/>
      <c r="F1931" s="234"/>
      <c r="G1931" s="234"/>
      <c r="H1931" s="233"/>
      <c r="I1931" s="233"/>
      <c r="J1931" s="770"/>
      <c r="K1931" s="233"/>
      <c r="L1931" s="233"/>
      <c r="M1931" s="233"/>
      <c r="N1931" s="2460"/>
      <c r="O1931" s="2460"/>
    </row>
    <row r="1932" spans="3:15">
      <c r="C1932" s="233"/>
      <c r="D1932" s="233"/>
      <c r="E1932" s="770"/>
      <c r="F1932" s="234"/>
      <c r="G1932" s="234"/>
      <c r="H1932" s="233"/>
      <c r="I1932" s="233"/>
      <c r="J1932" s="770"/>
      <c r="K1932" s="233"/>
      <c r="L1932" s="233"/>
      <c r="M1932" s="233"/>
      <c r="N1932" s="2460"/>
      <c r="O1932" s="2460"/>
    </row>
    <row r="1933" spans="3:15">
      <c r="C1933" s="233"/>
      <c r="D1933" s="233"/>
      <c r="E1933" s="770"/>
      <c r="F1933" s="234"/>
      <c r="G1933" s="234"/>
      <c r="H1933" s="233"/>
      <c r="I1933" s="233"/>
      <c r="J1933" s="770"/>
      <c r="K1933" s="233"/>
      <c r="L1933" s="233"/>
      <c r="M1933" s="233"/>
      <c r="N1933" s="2460"/>
      <c r="O1933" s="2460"/>
    </row>
    <row r="1934" spans="3:15">
      <c r="C1934" s="233"/>
      <c r="D1934" s="233"/>
      <c r="E1934" s="770"/>
      <c r="F1934" s="234"/>
      <c r="G1934" s="234"/>
      <c r="H1934" s="233"/>
      <c r="I1934" s="233"/>
      <c r="J1934" s="770"/>
      <c r="K1934" s="233"/>
      <c r="L1934" s="233"/>
      <c r="M1934" s="233"/>
      <c r="N1934" s="2460"/>
      <c r="O1934" s="2460"/>
    </row>
    <row r="1935" spans="3:15">
      <c r="C1935" s="233"/>
      <c r="D1935" s="233"/>
      <c r="E1935" s="770"/>
      <c r="F1935" s="234"/>
      <c r="G1935" s="234"/>
      <c r="H1935" s="233"/>
      <c r="I1935" s="233"/>
      <c r="J1935" s="770"/>
      <c r="K1935" s="233"/>
      <c r="L1935" s="233"/>
      <c r="M1935" s="233"/>
      <c r="N1935" s="2460"/>
      <c r="O1935" s="2460"/>
    </row>
    <row r="1936" spans="3:15">
      <c r="C1936" s="233"/>
      <c r="D1936" s="233"/>
      <c r="E1936" s="770"/>
      <c r="F1936" s="234"/>
      <c r="G1936" s="234"/>
      <c r="H1936" s="233"/>
      <c r="I1936" s="233"/>
      <c r="J1936" s="770"/>
      <c r="K1936" s="233"/>
      <c r="L1936" s="233"/>
      <c r="M1936" s="233"/>
      <c r="N1936" s="2460"/>
      <c r="O1936" s="2460"/>
    </row>
    <row r="1937" spans="3:15">
      <c r="C1937" s="233"/>
      <c r="D1937" s="233"/>
      <c r="E1937" s="770"/>
      <c r="F1937" s="234"/>
      <c r="G1937" s="234"/>
      <c r="H1937" s="233"/>
      <c r="I1937" s="233"/>
      <c r="J1937" s="770"/>
      <c r="K1937" s="233"/>
      <c r="L1937" s="233"/>
      <c r="M1937" s="233"/>
      <c r="N1937" s="2460"/>
      <c r="O1937" s="2460"/>
    </row>
    <row r="1938" spans="3:15">
      <c r="C1938" s="233"/>
      <c r="D1938" s="233"/>
      <c r="E1938" s="770"/>
      <c r="F1938" s="234"/>
      <c r="G1938" s="234"/>
      <c r="H1938" s="233"/>
      <c r="I1938" s="233"/>
      <c r="J1938" s="770"/>
      <c r="K1938" s="233"/>
      <c r="L1938" s="233"/>
      <c r="M1938" s="233"/>
      <c r="N1938" s="2460"/>
      <c r="O1938" s="2460"/>
    </row>
    <row r="1939" spans="3:15">
      <c r="C1939" s="233"/>
      <c r="D1939" s="233"/>
      <c r="E1939" s="770"/>
      <c r="F1939" s="234"/>
      <c r="G1939" s="234"/>
      <c r="H1939" s="233"/>
      <c r="I1939" s="233"/>
      <c r="J1939" s="770"/>
      <c r="K1939" s="233"/>
      <c r="L1939" s="233"/>
      <c r="M1939" s="233"/>
      <c r="N1939" s="2460"/>
      <c r="O1939" s="2460"/>
    </row>
    <row r="1940" spans="3:15">
      <c r="C1940" s="233"/>
      <c r="D1940" s="233"/>
      <c r="E1940" s="770"/>
      <c r="F1940" s="234"/>
      <c r="G1940" s="234"/>
      <c r="H1940" s="233"/>
      <c r="I1940" s="233"/>
      <c r="J1940" s="770"/>
      <c r="K1940" s="233"/>
      <c r="L1940" s="233"/>
      <c r="M1940" s="233"/>
      <c r="N1940" s="2460"/>
      <c r="O1940" s="2460"/>
    </row>
    <row r="1941" spans="3:15">
      <c r="C1941" s="233"/>
      <c r="D1941" s="233"/>
      <c r="E1941" s="770"/>
      <c r="F1941" s="234"/>
      <c r="G1941" s="234"/>
      <c r="H1941" s="233"/>
      <c r="I1941" s="233"/>
      <c r="J1941" s="770"/>
      <c r="K1941" s="233"/>
      <c r="L1941" s="233"/>
      <c r="M1941" s="233"/>
      <c r="N1941" s="2460"/>
      <c r="O1941" s="2460"/>
    </row>
    <row r="1942" spans="3:15">
      <c r="C1942" s="233"/>
      <c r="D1942" s="233"/>
      <c r="E1942" s="770"/>
      <c r="F1942" s="234"/>
      <c r="G1942" s="234"/>
      <c r="H1942" s="233"/>
      <c r="I1942" s="233"/>
      <c r="J1942" s="770"/>
      <c r="K1942" s="233"/>
      <c r="L1942" s="233"/>
      <c r="M1942" s="233"/>
      <c r="N1942" s="2460"/>
      <c r="O1942" s="2460"/>
    </row>
    <row r="1943" spans="3:15">
      <c r="C1943" s="233"/>
      <c r="D1943" s="233"/>
      <c r="E1943" s="770"/>
      <c r="F1943" s="234"/>
      <c r="G1943" s="234"/>
      <c r="H1943" s="233"/>
      <c r="I1943" s="233"/>
      <c r="J1943" s="770"/>
      <c r="K1943" s="233"/>
      <c r="L1943" s="233"/>
      <c r="M1943" s="233"/>
      <c r="N1943" s="2460"/>
      <c r="O1943" s="2460"/>
    </row>
    <row r="1944" spans="3:15">
      <c r="C1944" s="233"/>
      <c r="D1944" s="233"/>
      <c r="E1944" s="770"/>
      <c r="F1944" s="234"/>
      <c r="G1944" s="234"/>
      <c r="H1944" s="233"/>
      <c r="I1944" s="233"/>
      <c r="J1944" s="770"/>
      <c r="K1944" s="233"/>
      <c r="L1944" s="233"/>
      <c r="M1944" s="233"/>
      <c r="N1944" s="2460"/>
      <c r="O1944" s="2460"/>
    </row>
    <row r="1945" spans="3:15">
      <c r="C1945" s="233"/>
      <c r="D1945" s="233"/>
      <c r="E1945" s="770"/>
      <c r="F1945" s="234"/>
      <c r="G1945" s="234"/>
      <c r="H1945" s="233"/>
      <c r="I1945" s="233"/>
      <c r="J1945" s="770"/>
      <c r="K1945" s="233"/>
      <c r="L1945" s="233"/>
      <c r="M1945" s="233"/>
      <c r="N1945" s="2460"/>
      <c r="O1945" s="2460"/>
    </row>
    <row r="1946" spans="3:15">
      <c r="C1946" s="233"/>
      <c r="D1946" s="233"/>
      <c r="E1946" s="770"/>
      <c r="F1946" s="234"/>
      <c r="G1946" s="234"/>
      <c r="H1946" s="233"/>
      <c r="I1946" s="233"/>
      <c r="J1946" s="770"/>
      <c r="K1946" s="233"/>
      <c r="L1946" s="233"/>
      <c r="M1946" s="233"/>
      <c r="N1946" s="2460"/>
      <c r="O1946" s="2460"/>
    </row>
    <row r="1947" spans="3:15">
      <c r="C1947" s="233"/>
      <c r="D1947" s="233"/>
      <c r="E1947" s="770"/>
      <c r="F1947" s="234"/>
      <c r="G1947" s="234"/>
      <c r="H1947" s="233"/>
      <c r="I1947" s="233"/>
      <c r="J1947" s="770"/>
      <c r="K1947" s="233"/>
      <c r="L1947" s="233"/>
      <c r="M1947" s="233"/>
      <c r="N1947" s="2460"/>
      <c r="O1947" s="2460"/>
    </row>
    <row r="1948" spans="3:15">
      <c r="C1948" s="233"/>
      <c r="D1948" s="233"/>
      <c r="E1948" s="770"/>
      <c r="F1948" s="234"/>
      <c r="G1948" s="234"/>
      <c r="H1948" s="233"/>
      <c r="I1948" s="233"/>
      <c r="J1948" s="770"/>
      <c r="K1948" s="233"/>
      <c r="L1948" s="233"/>
      <c r="M1948" s="233"/>
      <c r="N1948" s="2460"/>
      <c r="O1948" s="2460"/>
    </row>
    <row r="1949" spans="3:15">
      <c r="C1949" s="233"/>
      <c r="D1949" s="233"/>
      <c r="E1949" s="770"/>
      <c r="F1949" s="234"/>
      <c r="G1949" s="234"/>
      <c r="H1949" s="233"/>
      <c r="I1949" s="233"/>
      <c r="J1949" s="770"/>
      <c r="K1949" s="233"/>
      <c r="L1949" s="233"/>
      <c r="M1949" s="233"/>
      <c r="N1949" s="2460"/>
      <c r="O1949" s="2460"/>
    </row>
    <row r="1950" spans="3:15">
      <c r="C1950" s="233"/>
      <c r="D1950" s="233"/>
      <c r="E1950" s="770"/>
      <c r="F1950" s="234"/>
      <c r="G1950" s="234"/>
      <c r="H1950" s="233"/>
      <c r="I1950" s="233"/>
      <c r="J1950" s="770"/>
      <c r="K1950" s="233"/>
      <c r="L1950" s="233"/>
      <c r="M1950" s="233"/>
      <c r="N1950" s="2460"/>
      <c r="O1950" s="2460"/>
    </row>
    <row r="1951" spans="3:15">
      <c r="C1951" s="233"/>
      <c r="D1951" s="233"/>
      <c r="E1951" s="770"/>
      <c r="F1951" s="234"/>
      <c r="G1951" s="234"/>
      <c r="H1951" s="233"/>
      <c r="I1951" s="233"/>
      <c r="J1951" s="770"/>
      <c r="K1951" s="233"/>
      <c r="L1951" s="233"/>
      <c r="M1951" s="233"/>
      <c r="N1951" s="2460"/>
      <c r="O1951" s="2460"/>
    </row>
    <row r="1952" spans="3:15">
      <c r="C1952" s="233"/>
      <c r="D1952" s="233"/>
      <c r="E1952" s="770"/>
      <c r="F1952" s="234"/>
      <c r="G1952" s="234"/>
      <c r="H1952" s="233"/>
      <c r="I1952" s="233"/>
      <c r="J1952" s="770"/>
      <c r="K1952" s="233"/>
      <c r="L1952" s="233"/>
      <c r="M1952" s="233"/>
      <c r="N1952" s="2460"/>
      <c r="O1952" s="2460"/>
    </row>
    <row r="1953" spans="3:15">
      <c r="C1953" s="233"/>
      <c r="D1953" s="233"/>
      <c r="E1953" s="770"/>
      <c r="F1953" s="234"/>
      <c r="G1953" s="234"/>
      <c r="H1953" s="233"/>
      <c r="I1953" s="233"/>
      <c r="J1953" s="770"/>
      <c r="K1953" s="233"/>
      <c r="L1953" s="233"/>
      <c r="M1953" s="233"/>
      <c r="N1953" s="2460"/>
      <c r="O1953" s="2460"/>
    </row>
    <row r="1954" spans="3:15">
      <c r="C1954" s="233"/>
      <c r="D1954" s="233"/>
      <c r="E1954" s="770"/>
      <c r="F1954" s="234"/>
      <c r="G1954" s="234"/>
      <c r="H1954" s="233"/>
      <c r="I1954" s="233"/>
      <c r="J1954" s="770"/>
      <c r="K1954" s="233"/>
      <c r="L1954" s="233"/>
      <c r="M1954" s="233"/>
      <c r="N1954" s="2460"/>
      <c r="O1954" s="2460"/>
    </row>
    <row r="1955" spans="3:15">
      <c r="C1955" s="233"/>
      <c r="D1955" s="233"/>
      <c r="E1955" s="770"/>
      <c r="F1955" s="234"/>
      <c r="G1955" s="234"/>
      <c r="H1955" s="233"/>
      <c r="I1955" s="233"/>
      <c r="J1955" s="770"/>
      <c r="K1955" s="233"/>
      <c r="L1955" s="233"/>
      <c r="M1955" s="233"/>
      <c r="N1955" s="2460"/>
      <c r="O1955" s="2460"/>
    </row>
    <row r="1956" spans="3:15">
      <c r="C1956" s="233"/>
      <c r="D1956" s="233"/>
      <c r="E1956" s="770"/>
      <c r="F1956" s="234"/>
      <c r="G1956" s="234"/>
      <c r="H1956" s="233"/>
      <c r="I1956" s="233"/>
      <c r="J1956" s="770"/>
      <c r="K1956" s="233"/>
      <c r="L1956" s="233"/>
      <c r="M1956" s="233"/>
      <c r="N1956" s="2460"/>
      <c r="O1956" s="2460"/>
    </row>
    <row r="1957" spans="3:15">
      <c r="C1957" s="233"/>
      <c r="D1957" s="233"/>
      <c r="E1957" s="770"/>
      <c r="F1957" s="234"/>
      <c r="G1957" s="234"/>
      <c r="H1957" s="233"/>
      <c r="I1957" s="233"/>
      <c r="J1957" s="770"/>
      <c r="K1957" s="233"/>
      <c r="L1957" s="233"/>
      <c r="M1957" s="233"/>
      <c r="N1957" s="2460"/>
      <c r="O1957" s="2460"/>
    </row>
    <row r="1958" spans="3:15">
      <c r="C1958" s="233"/>
      <c r="D1958" s="233"/>
      <c r="E1958" s="770"/>
      <c r="F1958" s="234"/>
      <c r="G1958" s="234"/>
      <c r="H1958" s="233"/>
      <c r="I1958" s="233"/>
      <c r="J1958" s="770"/>
      <c r="K1958" s="233"/>
      <c r="L1958" s="233"/>
      <c r="M1958" s="233"/>
      <c r="N1958" s="2460"/>
      <c r="O1958" s="2460"/>
    </row>
    <row r="1959" spans="3:15">
      <c r="C1959" s="233"/>
      <c r="D1959" s="233"/>
      <c r="E1959" s="770"/>
      <c r="F1959" s="234"/>
      <c r="G1959" s="234"/>
      <c r="H1959" s="233"/>
      <c r="I1959" s="233"/>
      <c r="J1959" s="770"/>
      <c r="K1959" s="233"/>
      <c r="L1959" s="233"/>
      <c r="M1959" s="233"/>
      <c r="N1959" s="2460"/>
      <c r="O1959" s="2460"/>
    </row>
    <row r="1960" spans="3:15">
      <c r="C1960" s="233"/>
      <c r="D1960" s="233"/>
      <c r="E1960" s="770"/>
      <c r="F1960" s="234"/>
      <c r="G1960" s="234"/>
      <c r="H1960" s="233"/>
      <c r="I1960" s="233"/>
      <c r="J1960" s="770"/>
      <c r="K1960" s="233"/>
      <c r="L1960" s="233"/>
      <c r="M1960" s="233"/>
      <c r="N1960" s="2460"/>
      <c r="O1960" s="2460"/>
    </row>
    <row r="1961" spans="3:15">
      <c r="C1961" s="233"/>
      <c r="D1961" s="233"/>
      <c r="E1961" s="770"/>
      <c r="F1961" s="234"/>
      <c r="G1961" s="234"/>
      <c r="H1961" s="233"/>
      <c r="I1961" s="233"/>
      <c r="J1961" s="770"/>
      <c r="K1961" s="233"/>
      <c r="L1961" s="233"/>
      <c r="M1961" s="233"/>
      <c r="N1961" s="2460"/>
      <c r="O1961" s="2460"/>
    </row>
    <row r="1962" spans="3:15">
      <c r="C1962" s="233"/>
      <c r="D1962" s="233"/>
      <c r="E1962" s="770"/>
      <c r="F1962" s="234"/>
      <c r="G1962" s="234"/>
      <c r="H1962" s="233"/>
      <c r="I1962" s="233"/>
      <c r="J1962" s="770"/>
      <c r="K1962" s="233"/>
      <c r="L1962" s="233"/>
      <c r="M1962" s="233"/>
      <c r="N1962" s="2460"/>
      <c r="O1962" s="2460"/>
    </row>
    <row r="1963" spans="3:15">
      <c r="C1963" s="233"/>
      <c r="D1963" s="233"/>
      <c r="E1963" s="770"/>
      <c r="F1963" s="234"/>
      <c r="G1963" s="234"/>
      <c r="H1963" s="233"/>
      <c r="I1963" s="233"/>
      <c r="J1963" s="770"/>
      <c r="K1963" s="233"/>
      <c r="L1963" s="233"/>
      <c r="M1963" s="233"/>
      <c r="N1963" s="2460"/>
      <c r="O1963" s="2460"/>
    </row>
    <row r="1964" spans="3:15">
      <c r="C1964" s="233"/>
      <c r="D1964" s="233"/>
      <c r="E1964" s="770"/>
      <c r="F1964" s="234"/>
      <c r="G1964" s="234"/>
      <c r="H1964" s="233"/>
      <c r="I1964" s="233"/>
      <c r="J1964" s="770"/>
      <c r="K1964" s="233"/>
      <c r="L1964" s="233"/>
      <c r="M1964" s="233"/>
      <c r="N1964" s="2460"/>
      <c r="O1964" s="2460"/>
    </row>
    <row r="1965" spans="3:15">
      <c r="C1965" s="233"/>
      <c r="D1965" s="233"/>
      <c r="E1965" s="770"/>
      <c r="F1965" s="234"/>
      <c r="G1965" s="234"/>
      <c r="H1965" s="233"/>
      <c r="I1965" s="233"/>
      <c r="J1965" s="770"/>
      <c r="K1965" s="233"/>
      <c r="L1965" s="233"/>
      <c r="M1965" s="233"/>
      <c r="N1965" s="2460"/>
      <c r="O1965" s="2460"/>
    </row>
    <row r="1966" spans="3:15">
      <c r="C1966" s="233"/>
      <c r="D1966" s="233"/>
      <c r="E1966" s="770"/>
      <c r="F1966" s="234"/>
      <c r="G1966" s="234"/>
      <c r="H1966" s="233"/>
      <c r="I1966" s="233"/>
      <c r="J1966" s="770"/>
      <c r="K1966" s="233"/>
      <c r="L1966" s="233"/>
      <c r="M1966" s="233"/>
      <c r="N1966" s="2460"/>
      <c r="O1966" s="2460"/>
    </row>
    <row r="1967" spans="3:15">
      <c r="C1967" s="233"/>
      <c r="D1967" s="233"/>
      <c r="E1967" s="770"/>
      <c r="F1967" s="234"/>
      <c r="G1967" s="234"/>
      <c r="H1967" s="233"/>
      <c r="I1967" s="233"/>
      <c r="J1967" s="770"/>
      <c r="K1967" s="233"/>
      <c r="L1967" s="233"/>
      <c r="M1967" s="233"/>
      <c r="N1967" s="2460"/>
      <c r="O1967" s="2460"/>
    </row>
    <row r="1968" spans="3:15">
      <c r="C1968" s="233"/>
      <c r="D1968" s="233"/>
      <c r="E1968" s="770"/>
      <c r="F1968" s="234"/>
      <c r="G1968" s="234"/>
      <c r="H1968" s="233"/>
      <c r="I1968" s="233"/>
      <c r="J1968" s="770"/>
      <c r="K1968" s="233"/>
      <c r="L1968" s="233"/>
      <c r="M1968" s="233"/>
      <c r="N1968" s="2460"/>
      <c r="O1968" s="2460"/>
    </row>
    <row r="1969" spans="3:15">
      <c r="C1969" s="233"/>
      <c r="D1969" s="233"/>
      <c r="E1969" s="770"/>
      <c r="F1969" s="234"/>
      <c r="G1969" s="234"/>
      <c r="H1969" s="233"/>
      <c r="I1969" s="233"/>
      <c r="J1969" s="770"/>
      <c r="K1969" s="233"/>
      <c r="L1969" s="233"/>
      <c r="M1969" s="233"/>
      <c r="N1969" s="2460"/>
      <c r="O1969" s="2460"/>
    </row>
    <row r="1970" spans="3:15">
      <c r="C1970" s="233"/>
      <c r="D1970" s="233"/>
      <c r="E1970" s="770"/>
      <c r="F1970" s="234"/>
      <c r="G1970" s="234"/>
      <c r="H1970" s="233"/>
      <c r="I1970" s="233"/>
      <c r="J1970" s="770"/>
      <c r="K1970" s="233"/>
      <c r="L1970" s="233"/>
      <c r="M1970" s="233"/>
      <c r="N1970" s="2460"/>
      <c r="O1970" s="2460"/>
    </row>
    <row r="1971" spans="3:15">
      <c r="C1971" s="233"/>
      <c r="D1971" s="233"/>
      <c r="E1971" s="770"/>
      <c r="F1971" s="234"/>
      <c r="G1971" s="234"/>
      <c r="H1971" s="233"/>
      <c r="I1971" s="233"/>
      <c r="J1971" s="770"/>
      <c r="K1971" s="233"/>
      <c r="L1971" s="233"/>
      <c r="M1971" s="233"/>
      <c r="N1971" s="2460"/>
      <c r="O1971" s="2460"/>
    </row>
    <row r="1972" spans="3:15">
      <c r="C1972" s="233"/>
      <c r="D1972" s="233"/>
      <c r="E1972" s="770"/>
      <c r="F1972" s="234"/>
      <c r="G1972" s="234"/>
      <c r="H1972" s="233"/>
      <c r="I1972" s="233"/>
      <c r="J1972" s="770"/>
      <c r="K1972" s="233"/>
      <c r="L1972" s="233"/>
      <c r="M1972" s="233"/>
      <c r="N1972" s="2460"/>
      <c r="O1972" s="2460"/>
    </row>
    <row r="1973" spans="3:15">
      <c r="C1973" s="233"/>
      <c r="D1973" s="233"/>
      <c r="E1973" s="770"/>
      <c r="F1973" s="234"/>
      <c r="G1973" s="234"/>
      <c r="H1973" s="233"/>
      <c r="I1973" s="233"/>
      <c r="J1973" s="770"/>
      <c r="K1973" s="233"/>
      <c r="L1973" s="233"/>
      <c r="M1973" s="233"/>
      <c r="N1973" s="2460"/>
      <c r="O1973" s="2460"/>
    </row>
    <row r="1974" spans="3:15">
      <c r="C1974" s="233"/>
      <c r="D1974" s="233"/>
      <c r="E1974" s="770"/>
      <c r="F1974" s="234"/>
      <c r="G1974" s="234"/>
      <c r="H1974" s="233"/>
      <c r="I1974" s="233"/>
      <c r="J1974" s="770"/>
      <c r="K1974" s="233"/>
      <c r="L1974" s="233"/>
      <c r="M1974" s="233"/>
      <c r="N1974" s="2460"/>
      <c r="O1974" s="2460"/>
    </row>
    <row r="1975" spans="3:15">
      <c r="C1975" s="233"/>
      <c r="D1975" s="233"/>
      <c r="E1975" s="770"/>
      <c r="F1975" s="234"/>
      <c r="G1975" s="234"/>
      <c r="H1975" s="233"/>
      <c r="I1975" s="233"/>
      <c r="J1975" s="770"/>
      <c r="K1975" s="233"/>
      <c r="L1975" s="233"/>
      <c r="M1975" s="233"/>
      <c r="N1975" s="2460"/>
      <c r="O1975" s="2460"/>
    </row>
    <row r="1976" spans="3:15">
      <c r="C1976" s="233"/>
      <c r="D1976" s="233"/>
      <c r="E1976" s="770"/>
      <c r="F1976" s="234"/>
      <c r="G1976" s="234"/>
      <c r="H1976" s="233"/>
      <c r="I1976" s="233"/>
      <c r="J1976" s="770"/>
      <c r="K1976" s="233"/>
      <c r="L1976" s="233"/>
      <c r="M1976" s="233"/>
      <c r="N1976" s="2460"/>
      <c r="O1976" s="2460"/>
    </row>
    <row r="1977" spans="3:15">
      <c r="C1977" s="233"/>
      <c r="D1977" s="233"/>
      <c r="E1977" s="770"/>
      <c r="F1977" s="234"/>
      <c r="G1977" s="234"/>
      <c r="H1977" s="233"/>
      <c r="I1977" s="233"/>
      <c r="J1977" s="770"/>
      <c r="K1977" s="233"/>
      <c r="L1977" s="233"/>
      <c r="M1977" s="233"/>
      <c r="N1977" s="2460"/>
      <c r="O1977" s="2460"/>
    </row>
    <row r="1978" spans="3:15">
      <c r="C1978" s="233"/>
      <c r="D1978" s="233"/>
      <c r="E1978" s="770"/>
      <c r="F1978" s="234"/>
      <c r="G1978" s="234"/>
      <c r="H1978" s="233"/>
      <c r="I1978" s="233"/>
      <c r="J1978" s="770"/>
      <c r="K1978" s="233"/>
      <c r="L1978" s="233"/>
      <c r="M1978" s="233"/>
      <c r="N1978" s="2460"/>
      <c r="O1978" s="2460"/>
    </row>
    <row r="1979" spans="3:15">
      <c r="C1979" s="233"/>
      <c r="D1979" s="233"/>
      <c r="E1979" s="770"/>
      <c r="F1979" s="234"/>
      <c r="G1979" s="234"/>
      <c r="H1979" s="233"/>
      <c r="I1979" s="233"/>
      <c r="J1979" s="770"/>
      <c r="K1979" s="233"/>
      <c r="L1979" s="233"/>
      <c r="M1979" s="233"/>
      <c r="N1979" s="2460"/>
      <c r="O1979" s="2460"/>
    </row>
    <row r="1980" spans="3:15">
      <c r="C1980" s="233"/>
      <c r="D1980" s="233"/>
      <c r="E1980" s="770"/>
      <c r="F1980" s="234"/>
      <c r="G1980" s="234"/>
      <c r="H1980" s="233"/>
      <c r="I1980" s="233"/>
      <c r="J1980" s="770"/>
      <c r="K1980" s="233"/>
      <c r="L1980" s="233"/>
      <c r="M1980" s="233"/>
      <c r="N1980" s="2460"/>
      <c r="O1980" s="2460"/>
    </row>
    <row r="1981" spans="3:15">
      <c r="C1981" s="233"/>
      <c r="D1981" s="233"/>
      <c r="E1981" s="770"/>
      <c r="F1981" s="234"/>
      <c r="G1981" s="234"/>
      <c r="H1981" s="233"/>
      <c r="I1981" s="233"/>
      <c r="J1981" s="770"/>
      <c r="K1981" s="233"/>
      <c r="L1981" s="233"/>
      <c r="M1981" s="233"/>
      <c r="N1981" s="2460"/>
      <c r="O1981" s="2460"/>
    </row>
    <row r="1982" spans="3:15">
      <c r="C1982" s="233"/>
      <c r="D1982" s="233"/>
      <c r="E1982" s="770"/>
      <c r="F1982" s="234"/>
      <c r="G1982" s="234"/>
      <c r="H1982" s="233"/>
      <c r="I1982" s="233"/>
      <c r="J1982" s="770"/>
      <c r="K1982" s="233"/>
      <c r="L1982" s="233"/>
      <c r="M1982" s="233"/>
      <c r="N1982" s="2460"/>
      <c r="O1982" s="2460"/>
    </row>
    <row r="1983" spans="3:15">
      <c r="C1983" s="233"/>
      <c r="D1983" s="233"/>
      <c r="E1983" s="770"/>
      <c r="F1983" s="234"/>
      <c r="G1983" s="234"/>
      <c r="H1983" s="233"/>
      <c r="I1983" s="233"/>
      <c r="J1983" s="770"/>
      <c r="K1983" s="233"/>
      <c r="L1983" s="233"/>
      <c r="M1983" s="233"/>
      <c r="N1983" s="2460"/>
      <c r="O1983" s="2460"/>
    </row>
    <row r="1984" spans="3:15">
      <c r="C1984" s="233"/>
      <c r="D1984" s="233"/>
      <c r="E1984" s="770"/>
      <c r="F1984" s="234"/>
      <c r="G1984" s="234"/>
      <c r="H1984" s="233"/>
      <c r="I1984" s="233"/>
      <c r="J1984" s="770"/>
      <c r="K1984" s="233"/>
      <c r="L1984" s="233"/>
      <c r="M1984" s="233"/>
      <c r="N1984" s="2460"/>
      <c r="O1984" s="2460"/>
    </row>
    <row r="1985" spans="3:15">
      <c r="C1985" s="233"/>
      <c r="D1985" s="233"/>
      <c r="E1985" s="770"/>
      <c r="F1985" s="234"/>
      <c r="G1985" s="234"/>
      <c r="H1985" s="233"/>
      <c r="I1985" s="233"/>
      <c r="J1985" s="770"/>
      <c r="K1985" s="233"/>
      <c r="L1985" s="233"/>
      <c r="M1985" s="233"/>
      <c r="N1985" s="2460"/>
      <c r="O1985" s="2460"/>
    </row>
    <row r="1986" spans="3:15">
      <c r="C1986" s="233"/>
      <c r="D1986" s="233"/>
      <c r="E1986" s="770"/>
      <c r="F1986" s="234"/>
      <c r="G1986" s="234"/>
      <c r="H1986" s="233"/>
      <c r="I1986" s="233"/>
      <c r="J1986" s="770"/>
      <c r="K1986" s="233"/>
      <c r="L1986" s="233"/>
      <c r="M1986" s="233"/>
      <c r="N1986" s="2460"/>
      <c r="O1986" s="2460"/>
    </row>
    <row r="1987" spans="3:15">
      <c r="C1987" s="233"/>
      <c r="D1987" s="233"/>
      <c r="E1987" s="770"/>
      <c r="F1987" s="234"/>
      <c r="G1987" s="234"/>
      <c r="H1987" s="233"/>
      <c r="I1987" s="233"/>
      <c r="J1987" s="770"/>
      <c r="K1987" s="233"/>
      <c r="L1987" s="233"/>
      <c r="M1987" s="233"/>
      <c r="N1987" s="2460"/>
      <c r="O1987" s="2460"/>
    </row>
    <row r="1988" spans="3:15">
      <c r="C1988" s="233"/>
      <c r="D1988" s="233"/>
      <c r="E1988" s="770"/>
      <c r="F1988" s="234"/>
      <c r="G1988" s="234"/>
      <c r="H1988" s="233"/>
      <c r="I1988" s="233"/>
      <c r="J1988" s="770"/>
      <c r="K1988" s="233"/>
      <c r="L1988" s="233"/>
      <c r="M1988" s="233"/>
      <c r="N1988" s="2460"/>
      <c r="O1988" s="2460"/>
    </row>
    <row r="1989" spans="3:15">
      <c r="C1989" s="233"/>
      <c r="D1989" s="233"/>
      <c r="E1989" s="770"/>
      <c r="F1989" s="234"/>
      <c r="G1989" s="234"/>
      <c r="H1989" s="233"/>
      <c r="I1989" s="233"/>
      <c r="J1989" s="770"/>
      <c r="K1989" s="233"/>
      <c r="L1989" s="233"/>
      <c r="M1989" s="233"/>
      <c r="N1989" s="2460"/>
      <c r="O1989" s="2460"/>
    </row>
    <row r="1990" spans="3:15">
      <c r="C1990" s="233"/>
      <c r="D1990" s="233"/>
      <c r="E1990" s="770"/>
      <c r="F1990" s="234"/>
      <c r="G1990" s="234"/>
      <c r="H1990" s="233"/>
      <c r="I1990" s="233"/>
      <c r="J1990" s="770"/>
      <c r="K1990" s="233"/>
      <c r="L1990" s="233"/>
      <c r="M1990" s="233"/>
      <c r="N1990" s="2460"/>
      <c r="O1990" s="2460"/>
    </row>
    <row r="1991" spans="3:15">
      <c r="C1991" s="233"/>
      <c r="D1991" s="233"/>
      <c r="E1991" s="770"/>
      <c r="F1991" s="234"/>
      <c r="G1991" s="234"/>
      <c r="H1991" s="233"/>
      <c r="I1991" s="233"/>
      <c r="J1991" s="770"/>
      <c r="K1991" s="233"/>
      <c r="L1991" s="233"/>
      <c r="M1991" s="233"/>
      <c r="N1991" s="2460"/>
      <c r="O1991" s="2460"/>
    </row>
    <row r="1992" spans="3:15">
      <c r="C1992" s="233"/>
      <c r="D1992" s="233"/>
      <c r="E1992" s="770"/>
      <c r="F1992" s="234"/>
      <c r="G1992" s="234"/>
      <c r="H1992" s="233"/>
      <c r="I1992" s="233"/>
      <c r="J1992" s="770"/>
      <c r="K1992" s="233"/>
      <c r="L1992" s="233"/>
      <c r="M1992" s="233"/>
      <c r="N1992" s="2460"/>
      <c r="O1992" s="2460"/>
    </row>
    <row r="1993" spans="3:15">
      <c r="C1993" s="233"/>
      <c r="D1993" s="233"/>
      <c r="E1993" s="770"/>
      <c r="F1993" s="234"/>
      <c r="G1993" s="234"/>
      <c r="H1993" s="233"/>
      <c r="I1993" s="233"/>
      <c r="J1993" s="770"/>
      <c r="K1993" s="233"/>
      <c r="L1993" s="233"/>
      <c r="M1993" s="233"/>
      <c r="N1993" s="2460"/>
      <c r="O1993" s="2460"/>
    </row>
    <row r="1994" spans="3:15">
      <c r="C1994" s="233"/>
      <c r="D1994" s="233"/>
      <c r="E1994" s="770"/>
      <c r="F1994" s="234"/>
      <c r="G1994" s="234"/>
      <c r="H1994" s="233"/>
      <c r="I1994" s="233"/>
      <c r="J1994" s="770"/>
      <c r="K1994" s="233"/>
      <c r="L1994" s="233"/>
      <c r="M1994" s="233"/>
      <c r="N1994" s="2460"/>
      <c r="O1994" s="2460"/>
    </row>
    <row r="1995" spans="3:15">
      <c r="C1995" s="233"/>
      <c r="D1995" s="233"/>
      <c r="E1995" s="770"/>
      <c r="F1995" s="234"/>
      <c r="G1995" s="234"/>
      <c r="H1995" s="233"/>
      <c r="I1995" s="233"/>
      <c r="J1995" s="770"/>
      <c r="K1995" s="233"/>
      <c r="L1995" s="233"/>
      <c r="M1995" s="233"/>
      <c r="N1995" s="2460"/>
      <c r="O1995" s="2460"/>
    </row>
    <row r="1996" spans="3:15">
      <c r="C1996" s="233"/>
      <c r="D1996" s="233"/>
      <c r="E1996" s="770"/>
      <c r="F1996" s="234"/>
      <c r="G1996" s="234"/>
      <c r="H1996" s="233"/>
      <c r="I1996" s="233"/>
      <c r="J1996" s="770"/>
      <c r="K1996" s="233"/>
      <c r="L1996" s="233"/>
      <c r="M1996" s="233"/>
      <c r="N1996" s="2460"/>
      <c r="O1996" s="2460"/>
    </row>
    <row r="1997" spans="3:15">
      <c r="C1997" s="233"/>
      <c r="D1997" s="233"/>
      <c r="E1997" s="770"/>
      <c r="F1997" s="234"/>
      <c r="G1997" s="234"/>
      <c r="H1997" s="233"/>
      <c r="I1997" s="233"/>
      <c r="J1997" s="770"/>
      <c r="K1997" s="233"/>
      <c r="L1997" s="233"/>
      <c r="M1997" s="233"/>
      <c r="N1997" s="2460"/>
      <c r="O1997" s="2460"/>
    </row>
    <row r="1998" spans="3:15">
      <c r="C1998" s="233"/>
      <c r="D1998" s="233"/>
      <c r="E1998" s="770"/>
      <c r="F1998" s="234"/>
      <c r="G1998" s="234"/>
      <c r="H1998" s="233"/>
      <c r="I1998" s="233"/>
      <c r="J1998" s="770"/>
      <c r="K1998" s="233"/>
      <c r="L1998" s="233"/>
      <c r="M1998" s="233"/>
      <c r="N1998" s="2460"/>
      <c r="O1998" s="2460"/>
    </row>
    <row r="1999" spans="3:15">
      <c r="C1999" s="233"/>
      <c r="D1999" s="233"/>
      <c r="E1999" s="770"/>
      <c r="F1999" s="234"/>
      <c r="G1999" s="234"/>
      <c r="H1999" s="233"/>
      <c r="I1999" s="233"/>
      <c r="J1999" s="770"/>
      <c r="K1999" s="233"/>
      <c r="L1999" s="233"/>
      <c r="M1999" s="233"/>
      <c r="N1999" s="2460"/>
      <c r="O1999" s="2460"/>
    </row>
    <row r="2000" spans="3:15">
      <c r="C2000" s="233"/>
      <c r="D2000" s="233"/>
      <c r="E2000" s="770"/>
      <c r="F2000" s="234"/>
      <c r="G2000" s="234"/>
      <c r="H2000" s="233"/>
      <c r="I2000" s="233"/>
      <c r="J2000" s="770"/>
      <c r="K2000" s="233"/>
      <c r="L2000" s="233"/>
      <c r="M2000" s="233"/>
      <c r="N2000" s="2460"/>
      <c r="O2000" s="2460"/>
    </row>
    <row r="2001" spans="3:15">
      <c r="C2001" s="233"/>
      <c r="D2001" s="233"/>
      <c r="E2001" s="770"/>
      <c r="F2001" s="234"/>
      <c r="G2001" s="234"/>
      <c r="H2001" s="233"/>
      <c r="I2001" s="233"/>
      <c r="J2001" s="770"/>
      <c r="K2001" s="233"/>
      <c r="L2001" s="233"/>
      <c r="M2001" s="233"/>
      <c r="N2001" s="2460"/>
      <c r="O2001" s="2460"/>
    </row>
    <row r="2002" spans="3:15">
      <c r="C2002" s="233"/>
      <c r="D2002" s="233"/>
      <c r="E2002" s="770"/>
      <c r="F2002" s="234"/>
      <c r="G2002" s="234"/>
      <c r="H2002" s="233"/>
      <c r="I2002" s="233"/>
      <c r="J2002" s="770"/>
      <c r="K2002" s="233"/>
      <c r="L2002" s="233"/>
      <c r="M2002" s="233"/>
      <c r="N2002" s="2460"/>
      <c r="O2002" s="2460"/>
    </row>
    <row r="2003" spans="3:15">
      <c r="C2003" s="233"/>
      <c r="D2003" s="233"/>
      <c r="E2003" s="770"/>
      <c r="F2003" s="234"/>
      <c r="G2003" s="234"/>
      <c r="H2003" s="233"/>
      <c r="I2003" s="233"/>
      <c r="J2003" s="770"/>
      <c r="K2003" s="233"/>
      <c r="L2003" s="233"/>
      <c r="M2003" s="233"/>
      <c r="N2003" s="2460"/>
      <c r="O2003" s="2460"/>
    </row>
    <row r="2004" spans="3:15">
      <c r="C2004" s="233"/>
      <c r="D2004" s="233"/>
      <c r="E2004" s="770"/>
      <c r="F2004" s="234"/>
      <c r="G2004" s="234"/>
      <c r="H2004" s="233"/>
      <c r="I2004" s="233"/>
      <c r="J2004" s="770"/>
      <c r="K2004" s="233"/>
      <c r="L2004" s="233"/>
      <c r="M2004" s="233"/>
      <c r="N2004" s="2460"/>
      <c r="O2004" s="2460"/>
    </row>
    <row r="2005" spans="3:15">
      <c r="C2005" s="233"/>
      <c r="D2005" s="233"/>
      <c r="E2005" s="770"/>
      <c r="F2005" s="234"/>
      <c r="G2005" s="234"/>
      <c r="H2005" s="233"/>
      <c r="I2005" s="233"/>
      <c r="J2005" s="770"/>
      <c r="K2005" s="233"/>
      <c r="L2005" s="233"/>
      <c r="M2005" s="233"/>
      <c r="N2005" s="2460"/>
      <c r="O2005" s="2460"/>
    </row>
    <row r="2006" spans="3:15">
      <c r="C2006" s="233"/>
      <c r="D2006" s="233"/>
      <c r="E2006" s="770"/>
      <c r="F2006" s="234"/>
      <c r="G2006" s="234"/>
      <c r="H2006" s="233"/>
      <c r="I2006" s="233"/>
      <c r="J2006" s="770"/>
      <c r="K2006" s="233"/>
      <c r="L2006" s="233"/>
      <c r="M2006" s="233"/>
      <c r="N2006" s="2460"/>
      <c r="O2006" s="2460"/>
    </row>
    <row r="2007" spans="3:15">
      <c r="C2007" s="233"/>
      <c r="D2007" s="233"/>
      <c r="E2007" s="770"/>
      <c r="F2007" s="234"/>
      <c r="G2007" s="234"/>
      <c r="H2007" s="233"/>
      <c r="I2007" s="233"/>
      <c r="J2007" s="770"/>
      <c r="K2007" s="233"/>
      <c r="L2007" s="233"/>
      <c r="M2007" s="233"/>
      <c r="N2007" s="2460"/>
      <c r="O2007" s="2460"/>
    </row>
    <row r="2008" spans="3:15">
      <c r="C2008" s="233"/>
      <c r="D2008" s="233"/>
      <c r="E2008" s="770"/>
      <c r="F2008" s="234"/>
      <c r="G2008" s="234"/>
      <c r="H2008" s="233"/>
      <c r="I2008" s="233"/>
      <c r="J2008" s="770"/>
      <c r="K2008" s="233"/>
      <c r="L2008" s="233"/>
      <c r="M2008" s="233"/>
      <c r="N2008" s="2460"/>
      <c r="O2008" s="2460"/>
    </row>
    <row r="2009" spans="3:15">
      <c r="C2009" s="233"/>
      <c r="D2009" s="233"/>
      <c r="E2009" s="770"/>
      <c r="F2009" s="234"/>
      <c r="G2009" s="234"/>
      <c r="H2009" s="233"/>
      <c r="I2009" s="233"/>
      <c r="J2009" s="770"/>
      <c r="K2009" s="233"/>
      <c r="L2009" s="233"/>
      <c r="M2009" s="233"/>
      <c r="N2009" s="2460"/>
      <c r="O2009" s="2460"/>
    </row>
    <row r="2010" spans="3:15">
      <c r="C2010" s="233"/>
      <c r="D2010" s="233"/>
      <c r="E2010" s="770"/>
      <c r="F2010" s="234"/>
      <c r="G2010" s="234"/>
      <c r="H2010" s="233"/>
      <c r="I2010" s="233"/>
      <c r="J2010" s="770"/>
      <c r="K2010" s="233"/>
      <c r="L2010" s="233"/>
      <c r="M2010" s="233"/>
      <c r="N2010" s="2460"/>
      <c r="O2010" s="2460"/>
    </row>
    <row r="2011" spans="3:15">
      <c r="C2011" s="233"/>
      <c r="D2011" s="233"/>
      <c r="E2011" s="770"/>
      <c r="F2011" s="234"/>
      <c r="G2011" s="234"/>
      <c r="H2011" s="233"/>
      <c r="I2011" s="233"/>
      <c r="J2011" s="770"/>
      <c r="K2011" s="233"/>
      <c r="L2011" s="233"/>
      <c r="M2011" s="233"/>
      <c r="N2011" s="2460"/>
      <c r="O2011" s="2460"/>
    </row>
    <row r="2012" spans="3:15">
      <c r="C2012" s="233"/>
      <c r="D2012" s="233"/>
      <c r="E2012" s="770"/>
      <c r="F2012" s="234"/>
      <c r="G2012" s="234"/>
      <c r="H2012" s="233"/>
      <c r="I2012" s="233"/>
      <c r="J2012" s="770"/>
      <c r="K2012" s="233"/>
      <c r="L2012" s="233"/>
      <c r="M2012" s="233"/>
      <c r="N2012" s="2460"/>
      <c r="O2012" s="2460"/>
    </row>
    <row r="2013" spans="3:15">
      <c r="C2013" s="233"/>
      <c r="D2013" s="233"/>
      <c r="E2013" s="770"/>
      <c r="F2013" s="234"/>
      <c r="G2013" s="234"/>
      <c r="H2013" s="233"/>
      <c r="I2013" s="233"/>
      <c r="J2013" s="770"/>
      <c r="K2013" s="233"/>
      <c r="L2013" s="233"/>
      <c r="M2013" s="233"/>
      <c r="N2013" s="2460"/>
      <c r="O2013" s="2460"/>
    </row>
    <row r="2014" spans="3:15">
      <c r="C2014" s="233"/>
      <c r="D2014" s="233"/>
      <c r="E2014" s="770"/>
      <c r="F2014" s="234"/>
      <c r="G2014" s="234"/>
      <c r="H2014" s="233"/>
      <c r="I2014" s="233"/>
      <c r="J2014" s="770"/>
      <c r="K2014" s="233"/>
      <c r="L2014" s="233"/>
      <c r="M2014" s="233"/>
      <c r="N2014" s="2460"/>
      <c r="O2014" s="2460"/>
    </row>
    <row r="2015" spans="3:15">
      <c r="C2015" s="233"/>
      <c r="D2015" s="233"/>
      <c r="E2015" s="770"/>
      <c r="F2015" s="234"/>
      <c r="G2015" s="234"/>
      <c r="H2015" s="233"/>
      <c r="I2015" s="233"/>
      <c r="J2015" s="770"/>
      <c r="K2015" s="233"/>
      <c r="L2015" s="233"/>
      <c r="M2015" s="233"/>
      <c r="N2015" s="2460"/>
      <c r="O2015" s="2460"/>
    </row>
    <row r="2016" spans="3:15">
      <c r="C2016" s="233"/>
      <c r="D2016" s="233"/>
      <c r="E2016" s="770"/>
      <c r="F2016" s="234"/>
      <c r="G2016" s="234"/>
      <c r="H2016" s="233"/>
      <c r="I2016" s="233"/>
      <c r="J2016" s="770"/>
      <c r="K2016" s="233"/>
      <c r="L2016" s="233"/>
      <c r="M2016" s="233"/>
      <c r="N2016" s="2460"/>
      <c r="O2016" s="2460"/>
    </row>
    <row r="2017" spans="3:15">
      <c r="C2017" s="233"/>
      <c r="D2017" s="233"/>
      <c r="E2017" s="770"/>
      <c r="F2017" s="234"/>
      <c r="G2017" s="234"/>
      <c r="H2017" s="233"/>
      <c r="I2017" s="233"/>
      <c r="J2017" s="770"/>
      <c r="K2017" s="233"/>
      <c r="L2017" s="233"/>
      <c r="M2017" s="233"/>
      <c r="N2017" s="2460"/>
      <c r="O2017" s="2460"/>
    </row>
    <row r="2018" spans="3:15">
      <c r="C2018" s="233"/>
      <c r="D2018" s="233"/>
      <c r="E2018" s="770"/>
      <c r="F2018" s="234"/>
      <c r="G2018" s="234"/>
      <c r="H2018" s="233"/>
      <c r="I2018" s="233"/>
      <c r="J2018" s="770"/>
      <c r="K2018" s="233"/>
      <c r="L2018" s="233"/>
      <c r="M2018" s="233"/>
      <c r="N2018" s="2460"/>
      <c r="O2018" s="2460"/>
    </row>
    <row r="2019" spans="3:15">
      <c r="C2019" s="233"/>
      <c r="D2019" s="233"/>
      <c r="E2019" s="770"/>
      <c r="F2019" s="234"/>
      <c r="G2019" s="234"/>
      <c r="H2019" s="233"/>
      <c r="I2019" s="233"/>
      <c r="J2019" s="770"/>
      <c r="K2019" s="233"/>
      <c r="L2019" s="233"/>
      <c r="M2019" s="233"/>
      <c r="N2019" s="2460"/>
      <c r="O2019" s="2460"/>
    </row>
    <row r="2020" spans="3:15">
      <c r="C2020" s="233"/>
      <c r="D2020" s="233"/>
      <c r="E2020" s="770"/>
      <c r="F2020" s="234"/>
      <c r="G2020" s="234"/>
      <c r="H2020" s="233"/>
      <c r="I2020" s="233"/>
      <c r="J2020" s="770"/>
      <c r="K2020" s="233"/>
      <c r="L2020" s="233"/>
      <c r="M2020" s="233"/>
      <c r="N2020" s="2460"/>
      <c r="O2020" s="2460"/>
    </row>
    <row r="2021" spans="3:15">
      <c r="C2021" s="233"/>
      <c r="D2021" s="233"/>
      <c r="E2021" s="770"/>
      <c r="F2021" s="234"/>
      <c r="G2021" s="234"/>
      <c r="H2021" s="233"/>
      <c r="I2021" s="233"/>
      <c r="J2021" s="770"/>
      <c r="K2021" s="233"/>
      <c r="L2021" s="233"/>
      <c r="M2021" s="233"/>
      <c r="N2021" s="2460"/>
      <c r="O2021" s="2460"/>
    </row>
    <row r="2022" spans="3:15">
      <c r="C2022" s="233"/>
      <c r="D2022" s="233"/>
      <c r="E2022" s="770"/>
      <c r="F2022" s="234"/>
      <c r="G2022" s="234"/>
      <c r="H2022" s="233"/>
      <c r="I2022" s="233"/>
      <c r="J2022" s="770"/>
      <c r="K2022" s="233"/>
      <c r="L2022" s="233"/>
      <c r="M2022" s="233"/>
      <c r="N2022" s="2460"/>
      <c r="O2022" s="2460"/>
    </row>
    <row r="2023" spans="3:15">
      <c r="C2023" s="233"/>
      <c r="D2023" s="233"/>
      <c r="E2023" s="770"/>
      <c r="F2023" s="234"/>
      <c r="G2023" s="234"/>
      <c r="H2023" s="233"/>
      <c r="I2023" s="233"/>
      <c r="J2023" s="770"/>
      <c r="K2023" s="233"/>
      <c r="L2023" s="233"/>
      <c r="M2023" s="233"/>
      <c r="N2023" s="2460"/>
      <c r="O2023" s="2460"/>
    </row>
    <row r="2024" spans="3:15">
      <c r="C2024" s="233"/>
      <c r="D2024" s="233"/>
      <c r="E2024" s="770"/>
      <c r="F2024" s="234"/>
      <c r="G2024" s="234"/>
      <c r="H2024" s="233"/>
      <c r="I2024" s="233"/>
      <c r="J2024" s="770"/>
      <c r="K2024" s="233"/>
      <c r="L2024" s="233"/>
      <c r="M2024" s="233"/>
      <c r="N2024" s="2460"/>
      <c r="O2024" s="2460"/>
    </row>
    <row r="2025" spans="3:15">
      <c r="C2025" s="233"/>
      <c r="D2025" s="233"/>
      <c r="E2025" s="770"/>
      <c r="F2025" s="234"/>
      <c r="G2025" s="234"/>
      <c r="H2025" s="233"/>
      <c r="I2025" s="233"/>
      <c r="J2025" s="770"/>
      <c r="K2025" s="233"/>
      <c r="L2025" s="233"/>
      <c r="M2025" s="233"/>
      <c r="N2025" s="2460"/>
      <c r="O2025" s="2460"/>
    </row>
    <row r="2026" spans="3:15">
      <c r="C2026" s="233"/>
      <c r="D2026" s="233"/>
      <c r="E2026" s="770"/>
      <c r="F2026" s="234"/>
      <c r="G2026" s="234"/>
      <c r="H2026" s="233"/>
      <c r="I2026" s="233"/>
      <c r="J2026" s="770"/>
      <c r="K2026" s="233"/>
      <c r="L2026" s="233"/>
      <c r="M2026" s="233"/>
      <c r="N2026" s="2460"/>
      <c r="O2026" s="2460"/>
    </row>
    <row r="2027" spans="3:15">
      <c r="C2027" s="233"/>
      <c r="D2027" s="233"/>
      <c r="E2027" s="770"/>
      <c r="F2027" s="234"/>
      <c r="G2027" s="234"/>
      <c r="H2027" s="233"/>
      <c r="I2027" s="233"/>
      <c r="J2027" s="770"/>
      <c r="K2027" s="233"/>
      <c r="L2027" s="233"/>
      <c r="M2027" s="233"/>
      <c r="N2027" s="2460"/>
      <c r="O2027" s="2460"/>
    </row>
    <row r="2028" spans="3:15">
      <c r="C2028" s="233"/>
      <c r="D2028" s="233"/>
      <c r="E2028" s="770"/>
      <c r="F2028" s="234"/>
      <c r="G2028" s="234"/>
      <c r="H2028" s="233"/>
      <c r="I2028" s="233"/>
      <c r="J2028" s="770"/>
      <c r="K2028" s="233"/>
      <c r="L2028" s="233"/>
      <c r="M2028" s="233"/>
      <c r="N2028" s="2460"/>
      <c r="O2028" s="2460"/>
    </row>
    <row r="2029" spans="3:15">
      <c r="C2029" s="233"/>
      <c r="D2029" s="233"/>
      <c r="E2029" s="770"/>
      <c r="F2029" s="234"/>
      <c r="G2029" s="234"/>
      <c r="H2029" s="233"/>
      <c r="I2029" s="233"/>
      <c r="J2029" s="770"/>
      <c r="K2029" s="233"/>
      <c r="L2029" s="233"/>
      <c r="M2029" s="233"/>
      <c r="N2029" s="2460"/>
      <c r="O2029" s="2460"/>
    </row>
    <row r="2030" spans="3:15">
      <c r="C2030" s="233"/>
      <c r="D2030" s="233"/>
      <c r="E2030" s="770"/>
      <c r="F2030" s="234"/>
      <c r="G2030" s="234"/>
      <c r="H2030" s="233"/>
      <c r="I2030" s="233"/>
      <c r="J2030" s="770"/>
      <c r="K2030" s="233"/>
      <c r="L2030" s="233"/>
      <c r="M2030" s="233"/>
      <c r="N2030" s="2460"/>
      <c r="O2030" s="2460"/>
    </row>
    <row r="2031" spans="3:15">
      <c r="C2031" s="233"/>
      <c r="D2031" s="233"/>
      <c r="E2031" s="770"/>
      <c r="F2031" s="234"/>
      <c r="G2031" s="234"/>
      <c r="H2031" s="233"/>
      <c r="I2031" s="233"/>
      <c r="J2031" s="770"/>
      <c r="K2031" s="233"/>
      <c r="L2031" s="233"/>
      <c r="M2031" s="233"/>
      <c r="N2031" s="2460"/>
      <c r="O2031" s="2460"/>
    </row>
    <row r="2032" spans="3:15">
      <c r="C2032" s="233"/>
      <c r="D2032" s="233"/>
      <c r="E2032" s="770"/>
      <c r="F2032" s="234"/>
      <c r="G2032" s="234"/>
      <c r="H2032" s="233"/>
      <c r="I2032" s="233"/>
      <c r="J2032" s="770"/>
      <c r="K2032" s="233"/>
      <c r="L2032" s="233"/>
      <c r="M2032" s="233"/>
      <c r="N2032" s="2460"/>
      <c r="O2032" s="2460"/>
    </row>
    <row r="2033" spans="3:15">
      <c r="C2033" s="233"/>
      <c r="D2033" s="233"/>
      <c r="E2033" s="770"/>
      <c r="F2033" s="234"/>
      <c r="G2033" s="234"/>
      <c r="H2033" s="233"/>
      <c r="I2033" s="233"/>
      <c r="J2033" s="770"/>
      <c r="K2033" s="233"/>
      <c r="L2033" s="233"/>
      <c r="M2033" s="233"/>
      <c r="N2033" s="2460"/>
      <c r="O2033" s="2460"/>
    </row>
    <row r="2034" spans="3:15">
      <c r="C2034" s="233"/>
      <c r="D2034" s="233"/>
      <c r="E2034" s="770"/>
      <c r="F2034" s="234"/>
      <c r="G2034" s="234"/>
      <c r="H2034" s="233"/>
      <c r="I2034" s="233"/>
      <c r="J2034" s="770"/>
      <c r="K2034" s="233"/>
      <c r="L2034" s="233"/>
      <c r="M2034" s="233"/>
      <c r="N2034" s="2460"/>
      <c r="O2034" s="2460"/>
    </row>
    <row r="2035" spans="3:15">
      <c r="C2035" s="233"/>
      <c r="D2035" s="233"/>
      <c r="E2035" s="770"/>
      <c r="F2035" s="234"/>
      <c r="G2035" s="234"/>
      <c r="H2035" s="233"/>
      <c r="I2035" s="233"/>
      <c r="J2035" s="770"/>
      <c r="K2035" s="233"/>
      <c r="L2035" s="233"/>
      <c r="M2035" s="233"/>
      <c r="N2035" s="2460"/>
      <c r="O2035" s="2460"/>
    </row>
    <row r="2036" spans="3:15">
      <c r="C2036" s="233"/>
      <c r="D2036" s="233"/>
      <c r="E2036" s="770"/>
      <c r="F2036" s="234"/>
      <c r="G2036" s="234"/>
      <c r="H2036" s="233"/>
      <c r="I2036" s="233"/>
      <c r="J2036" s="770"/>
      <c r="K2036" s="233"/>
      <c r="L2036" s="233"/>
      <c r="M2036" s="233"/>
      <c r="N2036" s="2460"/>
      <c r="O2036" s="2460"/>
    </row>
    <row r="2037" spans="3:15">
      <c r="C2037" s="233"/>
      <c r="D2037" s="233"/>
      <c r="E2037" s="770"/>
      <c r="F2037" s="234"/>
      <c r="G2037" s="234"/>
      <c r="H2037" s="233"/>
      <c r="I2037" s="233"/>
      <c r="J2037" s="770"/>
      <c r="K2037" s="233"/>
      <c r="L2037" s="233"/>
      <c r="M2037" s="233"/>
      <c r="N2037" s="2460"/>
      <c r="O2037" s="2460"/>
    </row>
    <row r="2038" spans="3:15">
      <c r="C2038" s="233"/>
      <c r="D2038" s="233"/>
      <c r="E2038" s="770"/>
      <c r="F2038" s="234"/>
      <c r="G2038" s="234"/>
      <c r="H2038" s="233"/>
      <c r="I2038" s="233"/>
      <c r="J2038" s="770"/>
      <c r="K2038" s="233"/>
      <c r="L2038" s="233"/>
      <c r="M2038" s="233"/>
      <c r="N2038" s="2460"/>
      <c r="O2038" s="2460"/>
    </row>
    <row r="2039" spans="3:15">
      <c r="C2039" s="233"/>
      <c r="D2039" s="233"/>
      <c r="E2039" s="770"/>
      <c r="F2039" s="234"/>
      <c r="G2039" s="234"/>
      <c r="H2039" s="233"/>
      <c r="I2039" s="233"/>
      <c r="J2039" s="770"/>
      <c r="K2039" s="233"/>
      <c r="L2039" s="233"/>
      <c r="M2039" s="233"/>
      <c r="N2039" s="2460"/>
      <c r="O2039" s="2460"/>
    </row>
    <row r="2040" spans="3:15">
      <c r="C2040" s="233"/>
      <c r="D2040" s="233"/>
      <c r="E2040" s="770"/>
      <c r="F2040" s="234"/>
      <c r="G2040" s="234"/>
      <c r="H2040" s="233"/>
      <c r="I2040" s="233"/>
      <c r="J2040" s="770"/>
      <c r="K2040" s="233"/>
      <c r="L2040" s="233"/>
      <c r="M2040" s="233"/>
      <c r="N2040" s="2460"/>
      <c r="O2040" s="2460"/>
    </row>
    <row r="2041" spans="3:15">
      <c r="C2041" s="233"/>
      <c r="D2041" s="233"/>
      <c r="E2041" s="770"/>
      <c r="F2041" s="234"/>
      <c r="G2041" s="234"/>
      <c r="H2041" s="233"/>
      <c r="I2041" s="233"/>
      <c r="J2041" s="770"/>
      <c r="K2041" s="233"/>
      <c r="L2041" s="233"/>
      <c r="M2041" s="233"/>
      <c r="N2041" s="2460"/>
      <c r="O2041" s="2460"/>
    </row>
    <row r="2042" spans="3:15">
      <c r="C2042" s="233"/>
      <c r="D2042" s="233"/>
      <c r="E2042" s="770"/>
      <c r="F2042" s="234"/>
      <c r="G2042" s="234"/>
      <c r="H2042" s="233"/>
      <c r="I2042" s="233"/>
      <c r="J2042" s="770"/>
      <c r="K2042" s="233"/>
      <c r="L2042" s="233"/>
      <c r="M2042" s="233"/>
      <c r="N2042" s="2460"/>
      <c r="O2042" s="2460"/>
    </row>
    <row r="2043" spans="3:15">
      <c r="C2043" s="233"/>
      <c r="D2043" s="233"/>
      <c r="E2043" s="770"/>
      <c r="F2043" s="234"/>
      <c r="G2043" s="234"/>
      <c r="H2043" s="233"/>
      <c r="I2043" s="233"/>
      <c r="J2043" s="770"/>
      <c r="K2043" s="233"/>
      <c r="L2043" s="233"/>
      <c r="M2043" s="233"/>
      <c r="N2043" s="2460"/>
      <c r="O2043" s="2460"/>
    </row>
    <row r="2044" spans="3:15">
      <c r="C2044" s="233"/>
      <c r="D2044" s="233"/>
      <c r="E2044" s="770"/>
      <c r="F2044" s="234"/>
      <c r="G2044" s="234"/>
      <c r="H2044" s="233"/>
      <c r="I2044" s="233"/>
      <c r="J2044" s="770"/>
      <c r="K2044" s="233"/>
      <c r="L2044" s="233"/>
      <c r="M2044" s="233"/>
      <c r="N2044" s="2460"/>
      <c r="O2044" s="2460"/>
    </row>
    <row r="2045" spans="3:15">
      <c r="C2045" s="233"/>
      <c r="D2045" s="233"/>
      <c r="E2045" s="770"/>
      <c r="F2045" s="234"/>
      <c r="G2045" s="234"/>
      <c r="H2045" s="233"/>
      <c r="I2045" s="233"/>
      <c r="J2045" s="770"/>
      <c r="K2045" s="233"/>
      <c r="L2045" s="233"/>
      <c r="M2045" s="233"/>
      <c r="N2045" s="2460"/>
      <c r="O2045" s="2460"/>
    </row>
    <row r="2046" spans="3:15">
      <c r="C2046" s="233"/>
      <c r="D2046" s="233"/>
      <c r="E2046" s="770"/>
      <c r="F2046" s="234"/>
      <c r="G2046" s="234"/>
      <c r="H2046" s="233"/>
      <c r="I2046" s="233"/>
      <c r="J2046" s="770"/>
      <c r="K2046" s="233"/>
      <c r="L2046" s="233"/>
      <c r="M2046" s="233"/>
      <c r="N2046" s="2460"/>
      <c r="O2046" s="2460"/>
    </row>
    <row r="2047" spans="3:15">
      <c r="C2047" s="233"/>
      <c r="D2047" s="233"/>
      <c r="E2047" s="770"/>
      <c r="F2047" s="234"/>
      <c r="G2047" s="234"/>
      <c r="H2047" s="233"/>
      <c r="I2047" s="233"/>
      <c r="J2047" s="770"/>
      <c r="K2047" s="233"/>
      <c r="L2047" s="233"/>
      <c r="M2047" s="233"/>
      <c r="N2047" s="2460"/>
      <c r="O2047" s="2460"/>
    </row>
    <row r="2048" spans="3:15">
      <c r="C2048" s="233"/>
      <c r="D2048" s="233"/>
      <c r="E2048" s="770"/>
      <c r="F2048" s="234"/>
      <c r="G2048" s="234"/>
      <c r="H2048" s="233"/>
      <c r="I2048" s="233"/>
      <c r="J2048" s="770"/>
      <c r="K2048" s="233"/>
      <c r="L2048" s="233"/>
      <c r="M2048" s="233"/>
      <c r="N2048" s="2460"/>
      <c r="O2048" s="2460"/>
    </row>
    <row r="2049" spans="3:15">
      <c r="C2049" s="233"/>
      <c r="D2049" s="233"/>
      <c r="E2049" s="770"/>
      <c r="F2049" s="234"/>
      <c r="G2049" s="234"/>
      <c r="H2049" s="233"/>
      <c r="I2049" s="233"/>
      <c r="J2049" s="770"/>
      <c r="K2049" s="233"/>
      <c r="L2049" s="233"/>
      <c r="M2049" s="233"/>
      <c r="N2049" s="2460"/>
      <c r="O2049" s="2460"/>
    </row>
    <row r="2050" spans="3:15">
      <c r="C2050" s="233"/>
      <c r="D2050" s="233"/>
      <c r="E2050" s="770"/>
      <c r="F2050" s="234"/>
      <c r="G2050" s="234"/>
      <c r="H2050" s="233"/>
      <c r="I2050" s="233"/>
      <c r="J2050" s="770"/>
      <c r="K2050" s="233"/>
      <c r="L2050" s="233"/>
      <c r="M2050" s="233"/>
      <c r="N2050" s="2460"/>
      <c r="O2050" s="2460"/>
    </row>
    <row r="2051" spans="3:15">
      <c r="C2051" s="233"/>
      <c r="D2051" s="233"/>
      <c r="E2051" s="770"/>
      <c r="F2051" s="234"/>
      <c r="G2051" s="234"/>
      <c r="H2051" s="233"/>
      <c r="I2051" s="233"/>
      <c r="J2051" s="770"/>
      <c r="K2051" s="233"/>
      <c r="L2051" s="233"/>
      <c r="M2051" s="233"/>
      <c r="N2051" s="2460"/>
      <c r="O2051" s="2460"/>
    </row>
    <row r="2052" spans="3:15">
      <c r="C2052" s="233"/>
      <c r="D2052" s="233"/>
      <c r="E2052" s="770"/>
      <c r="F2052" s="234"/>
      <c r="G2052" s="234"/>
      <c r="H2052" s="233"/>
      <c r="I2052" s="233"/>
      <c r="J2052" s="770"/>
      <c r="K2052" s="233"/>
      <c r="L2052" s="233"/>
      <c r="M2052" s="233"/>
      <c r="N2052" s="2460"/>
      <c r="O2052" s="2460"/>
    </row>
    <row r="2053" spans="3:15">
      <c r="C2053" s="233"/>
      <c r="D2053" s="233"/>
      <c r="E2053" s="770"/>
      <c r="F2053" s="234"/>
      <c r="G2053" s="234"/>
      <c r="H2053" s="233"/>
      <c r="I2053" s="233"/>
      <c r="J2053" s="770"/>
      <c r="K2053" s="233"/>
      <c r="L2053" s="233"/>
      <c r="M2053" s="233"/>
      <c r="N2053" s="2460"/>
      <c r="O2053" s="2460"/>
    </row>
    <row r="2054" spans="3:15">
      <c r="C2054" s="233"/>
      <c r="D2054" s="233"/>
      <c r="E2054" s="770"/>
      <c r="F2054" s="234"/>
      <c r="G2054" s="234"/>
      <c r="H2054" s="233"/>
      <c r="I2054" s="233"/>
      <c r="J2054" s="770"/>
      <c r="K2054" s="233"/>
      <c r="L2054" s="233"/>
      <c r="M2054" s="233"/>
      <c r="N2054" s="2460"/>
      <c r="O2054" s="2460"/>
    </row>
    <row r="2055" spans="3:15">
      <c r="C2055" s="233"/>
      <c r="D2055" s="233"/>
      <c r="E2055" s="770"/>
      <c r="F2055" s="234"/>
      <c r="G2055" s="234"/>
      <c r="H2055" s="233"/>
      <c r="I2055" s="233"/>
      <c r="J2055" s="770"/>
      <c r="K2055" s="233"/>
      <c r="L2055" s="233"/>
      <c r="M2055" s="233"/>
      <c r="N2055" s="2460"/>
      <c r="O2055" s="2460"/>
    </row>
    <row r="2056" spans="3:15">
      <c r="C2056" s="233"/>
      <c r="D2056" s="233"/>
      <c r="E2056" s="770"/>
      <c r="F2056" s="234"/>
      <c r="G2056" s="234"/>
      <c r="H2056" s="233"/>
      <c r="I2056" s="233"/>
      <c r="J2056" s="770"/>
      <c r="K2056" s="233"/>
      <c r="L2056" s="233"/>
      <c r="M2056" s="233"/>
      <c r="N2056" s="2460"/>
      <c r="O2056" s="2460"/>
    </row>
    <row r="2057" spans="3:15">
      <c r="C2057" s="233"/>
      <c r="D2057" s="233"/>
      <c r="E2057" s="770"/>
      <c r="F2057" s="234"/>
      <c r="G2057" s="234"/>
      <c r="H2057" s="233"/>
      <c r="I2057" s="233"/>
      <c r="J2057" s="770"/>
      <c r="K2057" s="233"/>
      <c r="L2057" s="233"/>
      <c r="M2057" s="233"/>
      <c r="N2057" s="2460"/>
      <c r="O2057" s="2460"/>
    </row>
    <row r="2058" spans="3:15">
      <c r="C2058" s="233"/>
      <c r="D2058" s="233"/>
      <c r="E2058" s="770"/>
      <c r="F2058" s="234"/>
      <c r="G2058" s="234"/>
      <c r="H2058" s="233"/>
      <c r="I2058" s="233"/>
      <c r="J2058" s="770"/>
      <c r="K2058" s="233"/>
      <c r="L2058" s="233"/>
      <c r="M2058" s="233"/>
      <c r="N2058" s="2460"/>
      <c r="O2058" s="2460"/>
    </row>
    <row r="2059" spans="3:15">
      <c r="C2059" s="233"/>
      <c r="D2059" s="233"/>
      <c r="E2059" s="770"/>
      <c r="F2059" s="234"/>
      <c r="G2059" s="234"/>
      <c r="H2059" s="233"/>
      <c r="I2059" s="233"/>
      <c r="J2059" s="770"/>
      <c r="K2059" s="233"/>
      <c r="L2059" s="233"/>
      <c r="M2059" s="233"/>
      <c r="N2059" s="2460"/>
      <c r="O2059" s="2460"/>
    </row>
    <row r="2060" spans="3:15">
      <c r="C2060" s="233"/>
      <c r="D2060" s="233"/>
      <c r="E2060" s="770"/>
      <c r="F2060" s="234"/>
      <c r="G2060" s="234"/>
      <c r="H2060" s="233"/>
      <c r="I2060" s="233"/>
      <c r="J2060" s="770"/>
      <c r="K2060" s="233"/>
      <c r="L2060" s="233"/>
      <c r="M2060" s="233"/>
      <c r="N2060" s="2460"/>
      <c r="O2060" s="2460"/>
    </row>
    <row r="2061" spans="3:15">
      <c r="C2061" s="233"/>
      <c r="D2061" s="233"/>
      <c r="E2061" s="770"/>
      <c r="F2061" s="234"/>
      <c r="G2061" s="234"/>
      <c r="H2061" s="233"/>
      <c r="I2061" s="233"/>
      <c r="J2061" s="770"/>
      <c r="K2061" s="233"/>
      <c r="L2061" s="233"/>
      <c r="M2061" s="233"/>
      <c r="N2061" s="2460"/>
      <c r="O2061" s="2460"/>
    </row>
    <row r="2062" spans="3:15">
      <c r="C2062" s="233"/>
      <c r="D2062" s="233"/>
      <c r="E2062" s="770"/>
      <c r="F2062" s="234"/>
      <c r="G2062" s="234"/>
      <c r="H2062" s="233"/>
      <c r="I2062" s="233"/>
      <c r="J2062" s="770"/>
      <c r="K2062" s="233"/>
      <c r="L2062" s="233"/>
      <c r="M2062" s="233"/>
      <c r="N2062" s="2460"/>
      <c r="O2062" s="2460"/>
    </row>
    <row r="2063" spans="3:15">
      <c r="C2063" s="233"/>
      <c r="D2063" s="233"/>
      <c r="E2063" s="770"/>
      <c r="F2063" s="234"/>
      <c r="G2063" s="234"/>
      <c r="H2063" s="233"/>
      <c r="I2063" s="233"/>
      <c r="J2063" s="770"/>
      <c r="K2063" s="233"/>
      <c r="L2063" s="233"/>
      <c r="M2063" s="233"/>
      <c r="N2063" s="2460"/>
      <c r="O2063" s="2460"/>
    </row>
    <row r="2064" spans="3:15">
      <c r="C2064" s="233"/>
      <c r="D2064" s="233"/>
      <c r="E2064" s="770"/>
      <c r="F2064" s="234"/>
      <c r="G2064" s="234"/>
      <c r="H2064" s="233"/>
      <c r="I2064" s="233"/>
      <c r="J2064" s="770"/>
      <c r="K2064" s="233"/>
      <c r="L2064" s="233"/>
      <c r="M2064" s="233"/>
      <c r="N2064" s="2460"/>
      <c r="O2064" s="2460"/>
    </row>
    <row r="2065" spans="3:15">
      <c r="C2065" s="233"/>
      <c r="D2065" s="233"/>
      <c r="E2065" s="770"/>
      <c r="F2065" s="234"/>
      <c r="G2065" s="234"/>
      <c r="H2065" s="233"/>
      <c r="I2065" s="233"/>
      <c r="J2065" s="770"/>
      <c r="K2065" s="233"/>
      <c r="L2065" s="233"/>
      <c r="M2065" s="233"/>
      <c r="N2065" s="2460"/>
      <c r="O2065" s="2460"/>
    </row>
    <row r="2066" spans="3:15">
      <c r="C2066" s="233"/>
      <c r="D2066" s="233"/>
      <c r="E2066" s="770"/>
      <c r="F2066" s="234"/>
      <c r="G2066" s="234"/>
      <c r="H2066" s="233"/>
      <c r="I2066" s="233"/>
      <c r="J2066" s="770"/>
      <c r="K2066" s="233"/>
      <c r="L2066" s="233"/>
      <c r="M2066" s="233"/>
      <c r="N2066" s="2460"/>
      <c r="O2066" s="2460"/>
    </row>
    <row r="2067" spans="3:15">
      <c r="C2067" s="233"/>
      <c r="D2067" s="233"/>
      <c r="E2067" s="770"/>
      <c r="F2067" s="234"/>
      <c r="G2067" s="234"/>
      <c r="H2067" s="233"/>
      <c r="I2067" s="233"/>
      <c r="J2067" s="770"/>
      <c r="K2067" s="233"/>
      <c r="L2067" s="233"/>
      <c r="M2067" s="233"/>
      <c r="N2067" s="2460"/>
      <c r="O2067" s="2460"/>
    </row>
    <row r="2068" spans="3:15">
      <c r="C2068" s="233"/>
      <c r="D2068" s="233"/>
      <c r="E2068" s="770"/>
      <c r="F2068" s="234"/>
      <c r="G2068" s="234"/>
      <c r="H2068" s="233"/>
      <c r="I2068" s="233"/>
      <c r="J2068" s="770"/>
      <c r="K2068" s="233"/>
      <c r="L2068" s="233"/>
      <c r="M2068" s="233"/>
      <c r="N2068" s="2460"/>
      <c r="O2068" s="2460"/>
    </row>
    <row r="2069" spans="3:15">
      <c r="C2069" s="233"/>
      <c r="D2069" s="233"/>
      <c r="E2069" s="770"/>
      <c r="F2069" s="234"/>
      <c r="G2069" s="234"/>
      <c r="H2069" s="233"/>
      <c r="I2069" s="233"/>
      <c r="J2069" s="770"/>
      <c r="K2069" s="233"/>
      <c r="L2069" s="233"/>
      <c r="M2069" s="233"/>
      <c r="N2069" s="2460"/>
      <c r="O2069" s="2460"/>
    </row>
    <row r="2070" spans="3:15">
      <c r="C2070" s="233"/>
      <c r="D2070" s="233"/>
      <c r="E2070" s="770"/>
      <c r="F2070" s="234"/>
      <c r="G2070" s="234"/>
      <c r="H2070" s="233"/>
      <c r="I2070" s="233"/>
      <c r="J2070" s="770"/>
      <c r="K2070" s="233"/>
      <c r="L2070" s="233"/>
      <c r="M2070" s="233"/>
      <c r="N2070" s="2460"/>
      <c r="O2070" s="2460"/>
    </row>
    <row r="2071" spans="3:15">
      <c r="C2071" s="233"/>
      <c r="D2071" s="233"/>
      <c r="E2071" s="770"/>
      <c r="F2071" s="234"/>
      <c r="G2071" s="234"/>
      <c r="H2071" s="233"/>
      <c r="I2071" s="233"/>
      <c r="J2071" s="770"/>
      <c r="K2071" s="233"/>
      <c r="L2071" s="233"/>
      <c r="M2071" s="233"/>
      <c r="N2071" s="2460"/>
      <c r="O2071" s="2460"/>
    </row>
    <row r="2072" spans="3:15">
      <c r="C2072" s="233"/>
      <c r="D2072" s="233"/>
      <c r="E2072" s="770"/>
      <c r="F2072" s="234"/>
      <c r="G2072" s="234"/>
      <c r="H2072" s="233"/>
      <c r="I2072" s="233"/>
      <c r="J2072" s="770"/>
      <c r="K2072" s="233"/>
      <c r="L2072" s="233"/>
      <c r="M2072" s="233"/>
      <c r="N2072" s="2460"/>
      <c r="O2072" s="2460"/>
    </row>
    <row r="2073" spans="3:15">
      <c r="C2073" s="233"/>
      <c r="D2073" s="233"/>
      <c r="E2073" s="770"/>
      <c r="F2073" s="234"/>
      <c r="G2073" s="234"/>
      <c r="H2073" s="233"/>
      <c r="I2073" s="233"/>
      <c r="J2073" s="770"/>
      <c r="K2073" s="233"/>
      <c r="L2073" s="233"/>
      <c r="M2073" s="233"/>
      <c r="N2073" s="2460"/>
      <c r="O2073" s="2460"/>
    </row>
    <row r="2074" spans="3:15">
      <c r="C2074" s="233"/>
      <c r="D2074" s="233"/>
      <c r="E2074" s="770"/>
      <c r="F2074" s="234"/>
      <c r="G2074" s="234"/>
      <c r="H2074" s="233"/>
      <c r="I2074" s="233"/>
      <c r="J2074" s="770"/>
      <c r="K2074" s="233"/>
      <c r="L2074" s="233"/>
      <c r="M2074" s="233"/>
      <c r="N2074" s="2460"/>
      <c r="O2074" s="2460"/>
    </row>
    <row r="2075" spans="3:15">
      <c r="C2075" s="233"/>
      <c r="D2075" s="233"/>
      <c r="E2075" s="770"/>
      <c r="F2075" s="234"/>
      <c r="G2075" s="234"/>
      <c r="H2075" s="233"/>
      <c r="I2075" s="233"/>
      <c r="J2075" s="770"/>
      <c r="K2075" s="233"/>
      <c r="L2075" s="233"/>
      <c r="M2075" s="233"/>
      <c r="N2075" s="2460"/>
      <c r="O2075" s="2460"/>
    </row>
    <row r="2076" spans="3:15">
      <c r="C2076" s="233"/>
      <c r="D2076" s="233"/>
      <c r="E2076" s="770"/>
      <c r="F2076" s="234"/>
      <c r="G2076" s="234"/>
      <c r="H2076" s="233"/>
      <c r="I2076" s="233"/>
      <c r="J2076" s="770"/>
      <c r="K2076" s="233"/>
      <c r="L2076" s="233"/>
      <c r="M2076" s="233"/>
      <c r="N2076" s="2460"/>
      <c r="O2076" s="2460"/>
    </row>
    <row r="2077" spans="3:15">
      <c r="C2077" s="233"/>
      <c r="D2077" s="233"/>
      <c r="E2077" s="770"/>
      <c r="F2077" s="234"/>
      <c r="G2077" s="234"/>
      <c r="H2077" s="233"/>
      <c r="I2077" s="233"/>
      <c r="J2077" s="770"/>
      <c r="K2077" s="233"/>
      <c r="L2077" s="233"/>
      <c r="M2077" s="233"/>
      <c r="N2077" s="2460"/>
      <c r="O2077" s="2460"/>
    </row>
    <row r="2078" spans="3:15">
      <c r="C2078" s="233"/>
      <c r="D2078" s="233"/>
      <c r="E2078" s="770"/>
      <c r="F2078" s="234"/>
      <c r="G2078" s="234"/>
      <c r="H2078" s="233"/>
      <c r="I2078" s="233"/>
      <c r="J2078" s="770"/>
      <c r="K2078" s="233"/>
      <c r="L2078" s="233"/>
      <c r="M2078" s="233"/>
      <c r="N2078" s="2460"/>
      <c r="O2078" s="2460"/>
    </row>
    <row r="2079" spans="3:15">
      <c r="C2079" s="233"/>
      <c r="D2079" s="233"/>
      <c r="E2079" s="770"/>
      <c r="F2079" s="234"/>
      <c r="G2079" s="234"/>
      <c r="H2079" s="233"/>
      <c r="I2079" s="233"/>
      <c r="J2079" s="770"/>
      <c r="K2079" s="233"/>
      <c r="L2079" s="233"/>
      <c r="M2079" s="233"/>
      <c r="N2079" s="2460"/>
      <c r="O2079" s="2460"/>
    </row>
    <row r="2080" spans="3:15">
      <c r="C2080" s="233"/>
      <c r="D2080" s="233"/>
      <c r="E2080" s="770"/>
      <c r="F2080" s="234"/>
      <c r="G2080" s="234"/>
      <c r="H2080" s="233"/>
      <c r="I2080" s="233"/>
      <c r="J2080" s="770"/>
      <c r="K2080" s="233"/>
      <c r="L2080" s="233"/>
      <c r="M2080" s="233"/>
      <c r="N2080" s="2460"/>
      <c r="O2080" s="2460"/>
    </row>
    <row r="2081" spans="3:15">
      <c r="C2081" s="233"/>
      <c r="D2081" s="233"/>
      <c r="E2081" s="770"/>
      <c r="F2081" s="234"/>
      <c r="G2081" s="234"/>
      <c r="H2081" s="233"/>
      <c r="I2081" s="233"/>
      <c r="J2081" s="770"/>
      <c r="K2081" s="233"/>
      <c r="L2081" s="233"/>
      <c r="M2081" s="233"/>
      <c r="N2081" s="2460"/>
      <c r="O2081" s="2460"/>
    </row>
    <row r="2082" spans="3:15">
      <c r="C2082" s="233"/>
      <c r="D2082" s="233"/>
      <c r="E2082" s="770"/>
      <c r="F2082" s="234"/>
      <c r="G2082" s="234"/>
      <c r="H2082" s="233"/>
      <c r="I2082" s="233"/>
      <c r="J2082" s="770"/>
      <c r="K2082" s="233"/>
      <c r="L2082" s="233"/>
      <c r="M2082" s="233"/>
      <c r="N2082" s="2460"/>
      <c r="O2082" s="2460"/>
    </row>
    <row r="2083" spans="3:15">
      <c r="C2083" s="233"/>
      <c r="D2083" s="233"/>
      <c r="E2083" s="770"/>
      <c r="F2083" s="234"/>
      <c r="G2083" s="234"/>
      <c r="H2083" s="233"/>
      <c r="I2083" s="233"/>
      <c r="J2083" s="770"/>
      <c r="K2083" s="233"/>
      <c r="L2083" s="233"/>
      <c r="M2083" s="233"/>
      <c r="N2083" s="2460"/>
      <c r="O2083" s="2460"/>
    </row>
    <row r="2084" spans="3:15">
      <c r="C2084" s="233"/>
      <c r="D2084" s="233"/>
      <c r="E2084" s="770"/>
      <c r="F2084" s="234"/>
      <c r="G2084" s="234"/>
      <c r="H2084" s="233"/>
      <c r="I2084" s="233"/>
      <c r="J2084" s="770"/>
      <c r="K2084" s="233"/>
      <c r="L2084" s="233"/>
      <c r="M2084" s="233"/>
      <c r="N2084" s="2460"/>
      <c r="O2084" s="2460"/>
    </row>
    <row r="2085" spans="3:15">
      <c r="C2085" s="233"/>
      <c r="D2085" s="233"/>
      <c r="E2085" s="770"/>
      <c r="F2085" s="234"/>
      <c r="G2085" s="234"/>
      <c r="H2085" s="233"/>
      <c r="I2085" s="233"/>
      <c r="J2085" s="770"/>
      <c r="K2085" s="233"/>
      <c r="L2085" s="233"/>
      <c r="M2085" s="233"/>
      <c r="N2085" s="2460"/>
      <c r="O2085" s="2460"/>
    </row>
    <row r="2086" spans="3:15">
      <c r="C2086" s="233"/>
      <c r="D2086" s="233"/>
      <c r="E2086" s="770"/>
      <c r="F2086" s="234"/>
      <c r="G2086" s="234"/>
      <c r="H2086" s="233"/>
      <c r="I2086" s="233"/>
      <c r="J2086" s="770"/>
      <c r="K2086" s="233"/>
      <c r="L2086" s="233"/>
      <c r="M2086" s="233"/>
      <c r="N2086" s="2460"/>
      <c r="O2086" s="2460"/>
    </row>
    <row r="2087" spans="3:15">
      <c r="C2087" s="233"/>
      <c r="D2087" s="233"/>
      <c r="E2087" s="770"/>
      <c r="F2087" s="234"/>
      <c r="G2087" s="234"/>
      <c r="H2087" s="233"/>
      <c r="I2087" s="233"/>
      <c r="J2087" s="770"/>
      <c r="K2087" s="233"/>
      <c r="L2087" s="233"/>
      <c r="M2087" s="233"/>
      <c r="N2087" s="2460"/>
      <c r="O2087" s="2460"/>
    </row>
    <row r="2088" spans="3:15">
      <c r="C2088" s="233"/>
      <c r="D2088" s="233"/>
      <c r="E2088" s="770"/>
      <c r="F2088" s="234"/>
      <c r="G2088" s="234"/>
      <c r="H2088" s="233"/>
      <c r="I2088" s="233"/>
      <c r="J2088" s="770"/>
      <c r="K2088" s="233"/>
      <c r="L2088" s="233"/>
      <c r="M2088" s="233"/>
      <c r="N2088" s="2460"/>
      <c r="O2088" s="2460"/>
    </row>
    <row r="2089" spans="3:15">
      <c r="C2089" s="233"/>
      <c r="D2089" s="233"/>
      <c r="E2089" s="770"/>
      <c r="F2089" s="234"/>
      <c r="G2089" s="234"/>
      <c r="H2089" s="233"/>
      <c r="I2089" s="233"/>
      <c r="J2089" s="770"/>
      <c r="K2089" s="233"/>
      <c r="L2089" s="233"/>
      <c r="M2089" s="233"/>
      <c r="N2089" s="2460"/>
      <c r="O2089" s="2460"/>
    </row>
    <row r="2090" spans="3:15">
      <c r="C2090" s="233"/>
      <c r="D2090" s="233"/>
      <c r="E2090" s="770"/>
      <c r="F2090" s="234"/>
      <c r="G2090" s="234"/>
      <c r="H2090" s="233"/>
      <c r="I2090" s="233"/>
      <c r="J2090" s="770"/>
      <c r="K2090" s="233"/>
      <c r="L2090" s="233"/>
      <c r="M2090" s="233"/>
      <c r="N2090" s="2460"/>
      <c r="O2090" s="2460"/>
    </row>
    <row r="2091" spans="3:15">
      <c r="C2091" s="233"/>
      <c r="D2091" s="233"/>
      <c r="E2091" s="770"/>
      <c r="F2091" s="234"/>
      <c r="G2091" s="234"/>
      <c r="H2091" s="233"/>
      <c r="I2091" s="233"/>
      <c r="J2091" s="770"/>
      <c r="K2091" s="233"/>
      <c r="L2091" s="233"/>
      <c r="M2091" s="233"/>
      <c r="N2091" s="2460"/>
      <c r="O2091" s="2460"/>
    </row>
    <row r="2092" spans="3:15">
      <c r="C2092" s="233"/>
      <c r="D2092" s="233"/>
      <c r="E2092" s="770"/>
      <c r="F2092" s="234"/>
      <c r="G2092" s="234"/>
      <c r="H2092" s="233"/>
      <c r="I2092" s="233"/>
      <c r="J2092" s="770"/>
      <c r="K2092" s="233"/>
      <c r="L2092" s="233"/>
      <c r="M2092" s="233"/>
      <c r="N2092" s="2460"/>
      <c r="O2092" s="2460"/>
    </row>
    <row r="2093" spans="3:15">
      <c r="C2093" s="233"/>
      <c r="D2093" s="233"/>
      <c r="E2093" s="770"/>
      <c r="F2093" s="234"/>
      <c r="G2093" s="234"/>
      <c r="H2093" s="233"/>
      <c r="I2093" s="233"/>
      <c r="J2093" s="770"/>
      <c r="K2093" s="233"/>
      <c r="L2093" s="233"/>
      <c r="M2093" s="233"/>
      <c r="N2093" s="2460"/>
      <c r="O2093" s="2460"/>
    </row>
    <row r="2094" spans="3:15">
      <c r="C2094" s="233"/>
      <c r="D2094" s="233"/>
      <c r="E2094" s="770"/>
      <c r="F2094" s="234"/>
      <c r="G2094" s="234"/>
      <c r="H2094" s="233"/>
      <c r="I2094" s="233"/>
      <c r="J2094" s="770"/>
      <c r="K2094" s="233"/>
      <c r="L2094" s="233"/>
      <c r="M2094" s="233"/>
      <c r="N2094" s="2460"/>
      <c r="O2094" s="2460"/>
    </row>
    <row r="2095" spans="3:15">
      <c r="C2095" s="233"/>
      <c r="D2095" s="233"/>
      <c r="E2095" s="770"/>
      <c r="F2095" s="234"/>
      <c r="G2095" s="234"/>
      <c r="H2095" s="233"/>
      <c r="I2095" s="233"/>
      <c r="J2095" s="770"/>
      <c r="K2095" s="233"/>
      <c r="L2095" s="233"/>
      <c r="M2095" s="233"/>
      <c r="N2095" s="2460"/>
      <c r="O2095" s="2460"/>
    </row>
    <row r="2096" spans="3:15">
      <c r="C2096" s="233"/>
      <c r="D2096" s="233"/>
      <c r="E2096" s="770"/>
      <c r="F2096" s="234"/>
      <c r="G2096" s="234"/>
      <c r="H2096" s="233"/>
      <c r="I2096" s="233"/>
      <c r="J2096" s="770"/>
      <c r="K2096" s="233"/>
      <c r="L2096" s="233"/>
      <c r="M2096" s="233"/>
      <c r="N2096" s="2460"/>
      <c r="O2096" s="2460"/>
    </row>
    <row r="2097" spans="3:15">
      <c r="C2097" s="233"/>
      <c r="D2097" s="233"/>
      <c r="E2097" s="770"/>
      <c r="F2097" s="234"/>
      <c r="G2097" s="234"/>
      <c r="H2097" s="233"/>
      <c r="I2097" s="233"/>
      <c r="J2097" s="770"/>
      <c r="K2097" s="233"/>
      <c r="L2097" s="233"/>
      <c r="M2097" s="233"/>
      <c r="N2097" s="2460"/>
      <c r="O2097" s="2460"/>
    </row>
    <row r="2098" spans="3:15">
      <c r="C2098" s="233"/>
      <c r="D2098" s="233"/>
      <c r="E2098" s="770"/>
      <c r="F2098" s="234"/>
      <c r="G2098" s="234"/>
      <c r="H2098" s="233"/>
      <c r="I2098" s="233"/>
      <c r="J2098" s="770"/>
      <c r="K2098" s="233"/>
      <c r="L2098" s="233"/>
      <c r="M2098" s="233"/>
      <c r="N2098" s="2460"/>
      <c r="O2098" s="2460"/>
    </row>
    <row r="2099" spans="3:15">
      <c r="C2099" s="233"/>
      <c r="D2099" s="233"/>
      <c r="E2099" s="770"/>
      <c r="F2099" s="234"/>
      <c r="G2099" s="234"/>
      <c r="H2099" s="233"/>
      <c r="I2099" s="233"/>
      <c r="J2099" s="770"/>
      <c r="K2099" s="233"/>
      <c r="L2099" s="233"/>
      <c r="M2099" s="233"/>
      <c r="N2099" s="2460"/>
      <c r="O2099" s="2460"/>
    </row>
    <row r="2100" spans="3:15">
      <c r="C2100" s="233"/>
      <c r="D2100" s="233"/>
      <c r="E2100" s="770"/>
      <c r="F2100" s="234"/>
      <c r="G2100" s="234"/>
      <c r="H2100" s="233"/>
      <c r="I2100" s="233"/>
      <c r="J2100" s="770"/>
      <c r="K2100" s="233"/>
      <c r="L2100" s="233"/>
      <c r="M2100" s="233"/>
      <c r="N2100" s="2460"/>
      <c r="O2100" s="2460"/>
    </row>
    <row r="2101" spans="3:15">
      <c r="C2101" s="233"/>
      <c r="D2101" s="233"/>
      <c r="E2101" s="770"/>
      <c r="F2101" s="234"/>
      <c r="G2101" s="234"/>
      <c r="H2101" s="233"/>
      <c r="I2101" s="233"/>
      <c r="J2101" s="770"/>
      <c r="K2101" s="233"/>
      <c r="L2101" s="233"/>
      <c r="M2101" s="233"/>
      <c r="N2101" s="2460"/>
      <c r="O2101" s="2460"/>
    </row>
    <row r="2102" spans="3:15">
      <c r="C2102" s="233"/>
      <c r="D2102" s="233"/>
      <c r="E2102" s="770"/>
      <c r="F2102" s="234"/>
      <c r="G2102" s="234"/>
      <c r="H2102" s="233"/>
      <c r="I2102" s="233"/>
      <c r="J2102" s="770"/>
      <c r="K2102" s="233"/>
      <c r="L2102" s="233"/>
      <c r="M2102" s="233"/>
      <c r="N2102" s="2460"/>
      <c r="O2102" s="2460"/>
    </row>
    <row r="2103" spans="3:15">
      <c r="C2103" s="233"/>
      <c r="D2103" s="233"/>
      <c r="E2103" s="770"/>
      <c r="F2103" s="234"/>
      <c r="G2103" s="234"/>
      <c r="H2103" s="233"/>
      <c r="I2103" s="233"/>
      <c r="J2103" s="770"/>
      <c r="K2103" s="233"/>
      <c r="L2103" s="233"/>
      <c r="M2103" s="233"/>
      <c r="N2103" s="2460"/>
      <c r="O2103" s="2460"/>
    </row>
    <row r="2104" spans="3:15">
      <c r="C2104" s="233"/>
      <c r="D2104" s="233"/>
      <c r="E2104" s="770"/>
      <c r="F2104" s="234"/>
      <c r="G2104" s="234"/>
      <c r="H2104" s="233"/>
      <c r="I2104" s="233"/>
      <c r="J2104" s="770"/>
      <c r="K2104" s="233"/>
      <c r="L2104" s="233"/>
      <c r="M2104" s="233"/>
      <c r="N2104" s="2460"/>
      <c r="O2104" s="2460"/>
    </row>
    <row r="2105" spans="3:15">
      <c r="C2105" s="233"/>
      <c r="D2105" s="233"/>
      <c r="E2105" s="770"/>
      <c r="F2105" s="234"/>
      <c r="G2105" s="234"/>
      <c r="H2105" s="233"/>
      <c r="I2105" s="233"/>
      <c r="J2105" s="770"/>
      <c r="K2105" s="233"/>
      <c r="L2105" s="233"/>
      <c r="M2105" s="233"/>
      <c r="N2105" s="2460"/>
      <c r="O2105" s="2460"/>
    </row>
    <row r="2106" spans="3:15">
      <c r="C2106" s="233"/>
      <c r="D2106" s="233"/>
      <c r="E2106" s="770"/>
      <c r="F2106" s="234"/>
      <c r="G2106" s="234"/>
      <c r="H2106" s="233"/>
      <c r="I2106" s="233"/>
      <c r="J2106" s="770"/>
      <c r="K2106" s="233"/>
      <c r="L2106" s="233"/>
      <c r="M2106" s="233"/>
      <c r="N2106" s="2460"/>
      <c r="O2106" s="2460"/>
    </row>
    <row r="2107" spans="3:15">
      <c r="C2107" s="233"/>
      <c r="D2107" s="233"/>
      <c r="E2107" s="770"/>
      <c r="F2107" s="234"/>
      <c r="G2107" s="234"/>
      <c r="H2107" s="233"/>
      <c r="I2107" s="233"/>
      <c r="J2107" s="770"/>
      <c r="K2107" s="233"/>
      <c r="L2107" s="233"/>
      <c r="M2107" s="233"/>
      <c r="N2107" s="2460"/>
      <c r="O2107" s="2460"/>
    </row>
    <row r="2108" spans="3:15">
      <c r="C2108" s="233"/>
      <c r="D2108" s="233"/>
      <c r="E2108" s="770"/>
      <c r="F2108" s="234"/>
      <c r="G2108" s="234"/>
      <c r="H2108" s="233"/>
      <c r="I2108" s="233"/>
      <c r="J2108" s="770"/>
      <c r="K2108" s="233"/>
      <c r="L2108" s="233"/>
      <c r="M2108" s="233"/>
      <c r="N2108" s="2460"/>
      <c r="O2108" s="2460"/>
    </row>
    <row r="2109" spans="3:15">
      <c r="C2109" s="233"/>
      <c r="D2109" s="233"/>
      <c r="E2109" s="770"/>
      <c r="F2109" s="234"/>
      <c r="G2109" s="234"/>
      <c r="H2109" s="233"/>
      <c r="I2109" s="233"/>
      <c r="J2109" s="770"/>
      <c r="K2109" s="233"/>
      <c r="L2109" s="233"/>
      <c r="M2109" s="233"/>
      <c r="N2109" s="2460"/>
      <c r="O2109" s="2460"/>
    </row>
    <row r="2110" spans="3:15">
      <c r="C2110" s="233"/>
      <c r="D2110" s="233"/>
      <c r="E2110" s="770"/>
      <c r="F2110" s="234"/>
      <c r="G2110" s="234"/>
      <c r="H2110" s="233"/>
      <c r="I2110" s="233"/>
      <c r="J2110" s="770"/>
      <c r="K2110" s="233"/>
      <c r="L2110" s="233"/>
      <c r="M2110" s="233"/>
      <c r="N2110" s="2460"/>
      <c r="O2110" s="2460"/>
    </row>
    <row r="2111" spans="3:15">
      <c r="C2111" s="233"/>
      <c r="D2111" s="233"/>
      <c r="E2111" s="770"/>
      <c r="F2111" s="234"/>
      <c r="G2111" s="234"/>
      <c r="H2111" s="233"/>
      <c r="I2111" s="233"/>
      <c r="J2111" s="770"/>
      <c r="K2111" s="233"/>
      <c r="L2111" s="233"/>
      <c r="M2111" s="233"/>
      <c r="N2111" s="2460"/>
      <c r="O2111" s="2460"/>
    </row>
    <row r="2112" spans="3:15">
      <c r="C2112" s="233"/>
      <c r="D2112" s="233"/>
      <c r="E2112" s="770"/>
      <c r="F2112" s="234"/>
      <c r="G2112" s="234"/>
      <c r="H2112" s="233"/>
      <c r="I2112" s="233"/>
      <c r="J2112" s="770"/>
      <c r="K2112" s="233"/>
      <c r="L2112" s="233"/>
      <c r="M2112" s="233"/>
      <c r="N2112" s="2460"/>
      <c r="O2112" s="2460"/>
    </row>
    <row r="2113" spans="3:15">
      <c r="C2113" s="233"/>
      <c r="D2113" s="233"/>
      <c r="E2113" s="770"/>
      <c r="F2113" s="234"/>
      <c r="G2113" s="234"/>
      <c r="H2113" s="233"/>
      <c r="I2113" s="233"/>
      <c r="J2113" s="770"/>
      <c r="K2113" s="233"/>
      <c r="L2113" s="233"/>
      <c r="M2113" s="233"/>
      <c r="N2113" s="2460"/>
      <c r="O2113" s="2460"/>
    </row>
    <row r="2114" spans="3:15">
      <c r="C2114" s="233"/>
      <c r="D2114" s="233"/>
      <c r="E2114" s="770"/>
      <c r="F2114" s="234"/>
      <c r="G2114" s="234"/>
      <c r="H2114" s="233"/>
      <c r="I2114" s="233"/>
      <c r="J2114" s="770"/>
      <c r="K2114" s="233"/>
      <c r="L2114" s="233"/>
      <c r="M2114" s="233"/>
      <c r="N2114" s="2460"/>
      <c r="O2114" s="2460"/>
    </row>
    <row r="2115" spans="3:15">
      <c r="C2115" s="233"/>
      <c r="D2115" s="233"/>
      <c r="E2115" s="770"/>
      <c r="F2115" s="234"/>
      <c r="G2115" s="234"/>
      <c r="H2115" s="233"/>
      <c r="I2115" s="233"/>
      <c r="J2115" s="770"/>
      <c r="K2115" s="233"/>
      <c r="L2115" s="233"/>
      <c r="M2115" s="233"/>
      <c r="N2115" s="2460"/>
      <c r="O2115" s="2460"/>
    </row>
    <row r="2116" spans="3:15">
      <c r="C2116" s="233"/>
      <c r="D2116" s="233"/>
      <c r="E2116" s="770"/>
      <c r="F2116" s="234"/>
      <c r="G2116" s="234"/>
      <c r="H2116" s="233"/>
      <c r="I2116" s="233"/>
      <c r="J2116" s="770"/>
      <c r="K2116" s="233"/>
      <c r="L2116" s="233"/>
      <c r="M2116" s="233"/>
      <c r="N2116" s="2460"/>
      <c r="O2116" s="2460"/>
    </row>
    <row r="2117" spans="3:15">
      <c r="C2117" s="233"/>
      <c r="D2117" s="233"/>
      <c r="E2117" s="770"/>
      <c r="F2117" s="234"/>
      <c r="G2117" s="234"/>
      <c r="H2117" s="233"/>
      <c r="I2117" s="233"/>
      <c r="J2117" s="770"/>
      <c r="K2117" s="233"/>
      <c r="L2117" s="233"/>
      <c r="M2117" s="233"/>
      <c r="N2117" s="2460"/>
      <c r="O2117" s="2460"/>
    </row>
    <row r="2118" spans="3:15">
      <c r="C2118" s="233"/>
      <c r="D2118" s="233"/>
      <c r="E2118" s="770"/>
      <c r="F2118" s="234"/>
      <c r="G2118" s="234"/>
      <c r="H2118" s="233"/>
      <c r="I2118" s="233"/>
      <c r="J2118" s="770"/>
      <c r="K2118" s="233"/>
      <c r="L2118" s="233"/>
      <c r="M2118" s="233"/>
      <c r="N2118" s="2460"/>
      <c r="O2118" s="2460"/>
    </row>
    <row r="2119" spans="3:15">
      <c r="C2119" s="233"/>
      <c r="D2119" s="233"/>
      <c r="E2119" s="770"/>
      <c r="F2119" s="234"/>
      <c r="G2119" s="234"/>
      <c r="H2119" s="233"/>
      <c r="I2119" s="233"/>
      <c r="J2119" s="770"/>
      <c r="K2119" s="233"/>
      <c r="L2119" s="233"/>
      <c r="M2119" s="233"/>
      <c r="N2119" s="2460"/>
      <c r="O2119" s="2460"/>
    </row>
    <row r="2120" spans="3:15">
      <c r="C2120" s="233"/>
      <c r="D2120" s="233"/>
      <c r="E2120" s="770"/>
      <c r="F2120" s="234"/>
      <c r="G2120" s="234"/>
      <c r="H2120" s="233"/>
      <c r="I2120" s="233"/>
      <c r="J2120" s="770"/>
      <c r="K2120" s="233"/>
      <c r="L2120" s="233"/>
      <c r="M2120" s="233"/>
      <c r="N2120" s="2460"/>
      <c r="O2120" s="2460"/>
    </row>
    <row r="2121" spans="3:15">
      <c r="C2121" s="233"/>
      <c r="D2121" s="233"/>
      <c r="E2121" s="770"/>
      <c r="F2121" s="234"/>
      <c r="G2121" s="234"/>
      <c r="H2121" s="233"/>
      <c r="I2121" s="233"/>
      <c r="J2121" s="770"/>
      <c r="K2121" s="233"/>
      <c r="L2121" s="233"/>
      <c r="M2121" s="233"/>
      <c r="N2121" s="2460"/>
      <c r="O2121" s="2460"/>
    </row>
    <row r="2122" spans="3:15">
      <c r="C2122" s="233"/>
      <c r="D2122" s="233"/>
      <c r="E2122" s="770"/>
      <c r="F2122" s="234"/>
      <c r="G2122" s="234"/>
      <c r="H2122" s="233"/>
      <c r="I2122" s="233"/>
      <c r="J2122" s="770"/>
      <c r="K2122" s="233"/>
      <c r="L2122" s="233"/>
      <c r="M2122" s="233"/>
      <c r="N2122" s="2460"/>
      <c r="O2122" s="2460"/>
    </row>
    <row r="2123" spans="3:15">
      <c r="C2123" s="233"/>
      <c r="D2123" s="233"/>
      <c r="E2123" s="770"/>
      <c r="F2123" s="234"/>
      <c r="G2123" s="234"/>
      <c r="H2123" s="233"/>
      <c r="I2123" s="233"/>
      <c r="J2123" s="770"/>
      <c r="K2123" s="233"/>
      <c r="L2123" s="233"/>
      <c r="M2123" s="233"/>
      <c r="N2123" s="2460"/>
      <c r="O2123" s="2460"/>
    </row>
    <row r="2124" spans="3:15">
      <c r="C2124" s="233"/>
      <c r="D2124" s="233"/>
      <c r="E2124" s="770"/>
      <c r="F2124" s="234"/>
      <c r="G2124" s="234"/>
      <c r="H2124" s="233"/>
      <c r="I2124" s="233"/>
      <c r="J2124" s="770"/>
      <c r="K2124" s="233"/>
      <c r="L2124" s="233"/>
      <c r="M2124" s="233"/>
      <c r="N2124" s="2460"/>
      <c r="O2124" s="2460"/>
    </row>
    <row r="2125" spans="3:15">
      <c r="C2125" s="233"/>
      <c r="D2125" s="233"/>
      <c r="E2125" s="770"/>
      <c r="F2125" s="234"/>
      <c r="G2125" s="234"/>
      <c r="H2125" s="233"/>
      <c r="I2125" s="233"/>
      <c r="J2125" s="770"/>
      <c r="K2125" s="233"/>
      <c r="L2125" s="233"/>
      <c r="M2125" s="233"/>
      <c r="N2125" s="2460"/>
      <c r="O2125" s="2460"/>
    </row>
    <row r="2126" spans="3:15">
      <c r="C2126" s="233"/>
      <c r="D2126" s="233"/>
      <c r="E2126" s="770"/>
      <c r="F2126" s="234"/>
      <c r="G2126" s="234"/>
      <c r="H2126" s="233"/>
      <c r="I2126" s="233"/>
      <c r="J2126" s="770"/>
      <c r="K2126" s="233"/>
      <c r="L2126" s="233"/>
      <c r="M2126" s="233"/>
      <c r="N2126" s="2460"/>
      <c r="O2126" s="2460"/>
    </row>
    <row r="2127" spans="3:15">
      <c r="C2127" s="233"/>
      <c r="D2127" s="233"/>
      <c r="E2127" s="770"/>
      <c r="F2127" s="234"/>
      <c r="G2127" s="234"/>
      <c r="H2127" s="233"/>
      <c r="I2127" s="233"/>
      <c r="J2127" s="770"/>
      <c r="K2127" s="233"/>
      <c r="L2127" s="233"/>
      <c r="M2127" s="233"/>
      <c r="N2127" s="2460"/>
      <c r="O2127" s="2460"/>
    </row>
    <row r="2128" spans="3:15">
      <c r="C2128" s="233"/>
      <c r="D2128" s="233"/>
      <c r="E2128" s="770"/>
      <c r="F2128" s="234"/>
      <c r="G2128" s="234"/>
      <c r="H2128" s="233"/>
      <c r="I2128" s="233"/>
      <c r="J2128" s="770"/>
      <c r="K2128" s="233"/>
      <c r="L2128" s="233"/>
      <c r="M2128" s="233"/>
      <c r="N2128" s="2460"/>
      <c r="O2128" s="2460"/>
    </row>
    <row r="2129" spans="3:15">
      <c r="C2129" s="233"/>
      <c r="D2129" s="233"/>
      <c r="E2129" s="770"/>
      <c r="F2129" s="234"/>
      <c r="G2129" s="234"/>
      <c r="H2129" s="233"/>
      <c r="I2129" s="233"/>
      <c r="J2129" s="770"/>
      <c r="K2129" s="233"/>
      <c r="L2129" s="233"/>
      <c r="M2129" s="233"/>
      <c r="N2129" s="2460"/>
      <c r="O2129" s="2460"/>
    </row>
    <row r="2130" spans="3:15">
      <c r="C2130" s="233"/>
      <c r="D2130" s="233"/>
      <c r="E2130" s="770"/>
      <c r="F2130" s="234"/>
      <c r="G2130" s="234"/>
      <c r="H2130" s="233"/>
      <c r="I2130" s="233"/>
      <c r="J2130" s="770"/>
      <c r="K2130" s="233"/>
      <c r="L2130" s="233"/>
      <c r="M2130" s="233"/>
      <c r="N2130" s="2460"/>
      <c r="O2130" s="2460"/>
    </row>
    <row r="2131" spans="3:15">
      <c r="C2131" s="233"/>
      <c r="D2131" s="233"/>
      <c r="E2131" s="770"/>
      <c r="F2131" s="234"/>
      <c r="G2131" s="234"/>
      <c r="H2131" s="233"/>
      <c r="I2131" s="233"/>
      <c r="J2131" s="770"/>
      <c r="K2131" s="233"/>
      <c r="L2131" s="233"/>
      <c r="M2131" s="233"/>
      <c r="N2131" s="2460"/>
      <c r="O2131" s="2460"/>
    </row>
    <row r="2132" spans="3:15">
      <c r="C2132" s="233"/>
      <c r="D2132" s="233"/>
      <c r="E2132" s="770"/>
      <c r="F2132" s="234"/>
      <c r="G2132" s="234"/>
      <c r="H2132" s="233"/>
      <c r="I2132" s="233"/>
      <c r="J2132" s="770"/>
      <c r="K2132" s="233"/>
      <c r="L2132" s="233"/>
      <c r="M2132" s="233"/>
      <c r="N2132" s="2460"/>
      <c r="O2132" s="2460"/>
    </row>
    <row r="2133" spans="3:15">
      <c r="C2133" s="233"/>
      <c r="D2133" s="233"/>
      <c r="E2133" s="770"/>
      <c r="F2133" s="234"/>
      <c r="G2133" s="234"/>
      <c r="H2133" s="233"/>
      <c r="I2133" s="233"/>
      <c r="J2133" s="770"/>
      <c r="K2133" s="233"/>
      <c r="L2133" s="233"/>
      <c r="M2133" s="233"/>
      <c r="N2133" s="2460"/>
      <c r="O2133" s="2460"/>
    </row>
    <row r="2134" spans="3:15">
      <c r="C2134" s="233"/>
      <c r="D2134" s="233"/>
      <c r="E2134" s="770"/>
      <c r="F2134" s="234"/>
      <c r="G2134" s="234"/>
      <c r="H2134" s="233"/>
      <c r="I2134" s="233"/>
      <c r="J2134" s="770"/>
      <c r="K2134" s="233"/>
      <c r="L2134" s="233"/>
      <c r="M2134" s="233"/>
      <c r="N2134" s="2460"/>
      <c r="O2134" s="2460"/>
    </row>
    <row r="2135" spans="3:15">
      <c r="C2135" s="233"/>
      <c r="D2135" s="233"/>
      <c r="E2135" s="770"/>
      <c r="F2135" s="234"/>
      <c r="G2135" s="234"/>
      <c r="H2135" s="233"/>
      <c r="I2135" s="233"/>
      <c r="J2135" s="770"/>
      <c r="K2135" s="233"/>
      <c r="L2135" s="233"/>
      <c r="M2135" s="233"/>
      <c r="N2135" s="2460"/>
      <c r="O2135" s="2460"/>
    </row>
    <row r="2136" spans="3:15">
      <c r="C2136" s="233"/>
      <c r="D2136" s="233"/>
      <c r="E2136" s="770"/>
      <c r="F2136" s="234"/>
      <c r="G2136" s="234"/>
      <c r="H2136" s="233"/>
      <c r="I2136" s="233"/>
      <c r="J2136" s="770"/>
      <c r="K2136" s="233"/>
      <c r="L2136" s="233"/>
      <c r="M2136" s="233"/>
      <c r="N2136" s="2460"/>
      <c r="O2136" s="2460"/>
    </row>
    <row r="2137" spans="3:15">
      <c r="C2137" s="233"/>
      <c r="D2137" s="233"/>
      <c r="E2137" s="770"/>
      <c r="F2137" s="234"/>
      <c r="G2137" s="234"/>
      <c r="H2137" s="233"/>
      <c r="I2137" s="233"/>
      <c r="J2137" s="770"/>
      <c r="K2137" s="233"/>
      <c r="L2137" s="233"/>
      <c r="M2137" s="233"/>
      <c r="N2137" s="2460"/>
      <c r="O2137" s="2460"/>
    </row>
    <row r="2138" spans="3:15">
      <c r="C2138" s="233"/>
      <c r="D2138" s="233"/>
      <c r="E2138" s="770"/>
      <c r="F2138" s="234"/>
      <c r="G2138" s="234"/>
      <c r="H2138" s="233"/>
      <c r="I2138" s="233"/>
      <c r="J2138" s="770"/>
      <c r="K2138" s="233"/>
      <c r="L2138" s="233"/>
      <c r="M2138" s="233"/>
      <c r="N2138" s="2460"/>
      <c r="O2138" s="2460"/>
    </row>
    <row r="2139" spans="3:15">
      <c r="C2139" s="233"/>
      <c r="D2139" s="233"/>
      <c r="E2139" s="770"/>
      <c r="F2139" s="234"/>
      <c r="G2139" s="234"/>
      <c r="H2139" s="233"/>
      <c r="I2139" s="233"/>
      <c r="J2139" s="770"/>
      <c r="K2139" s="233"/>
      <c r="L2139" s="233"/>
      <c r="M2139" s="233"/>
      <c r="N2139" s="2460"/>
      <c r="O2139" s="2460"/>
    </row>
    <row r="2140" spans="3:15">
      <c r="C2140" s="233"/>
      <c r="D2140" s="233"/>
      <c r="E2140" s="770"/>
      <c r="F2140" s="234"/>
      <c r="G2140" s="234"/>
      <c r="H2140" s="233"/>
      <c r="I2140" s="233"/>
      <c r="J2140" s="770"/>
      <c r="K2140" s="233"/>
      <c r="L2140" s="233"/>
      <c r="M2140" s="233"/>
      <c r="N2140" s="2460"/>
      <c r="O2140" s="2460"/>
    </row>
    <row r="2141" spans="3:15">
      <c r="C2141" s="233"/>
      <c r="D2141" s="233"/>
      <c r="E2141" s="770"/>
      <c r="F2141" s="234"/>
      <c r="G2141" s="234"/>
      <c r="H2141" s="233"/>
      <c r="I2141" s="233"/>
      <c r="J2141" s="770"/>
      <c r="K2141" s="233"/>
      <c r="L2141" s="233"/>
      <c r="M2141" s="233"/>
      <c r="N2141" s="2460"/>
      <c r="O2141" s="2460"/>
    </row>
    <row r="2142" spans="3:15">
      <c r="C2142" s="233"/>
      <c r="D2142" s="233"/>
      <c r="E2142" s="770"/>
      <c r="F2142" s="234"/>
      <c r="G2142" s="234"/>
      <c r="H2142" s="233"/>
      <c r="I2142" s="233"/>
      <c r="J2142" s="770"/>
      <c r="K2142" s="233"/>
      <c r="L2142" s="233"/>
      <c r="M2142" s="233"/>
      <c r="N2142" s="2460"/>
      <c r="O2142" s="2460"/>
    </row>
    <row r="2143" spans="3:15">
      <c r="C2143" s="233"/>
      <c r="D2143" s="233"/>
      <c r="E2143" s="770"/>
      <c r="F2143" s="234"/>
      <c r="G2143" s="234"/>
      <c r="H2143" s="233"/>
      <c r="I2143" s="233"/>
      <c r="J2143" s="770"/>
      <c r="K2143" s="233"/>
      <c r="L2143" s="233"/>
      <c r="M2143" s="233"/>
      <c r="N2143" s="2460"/>
      <c r="O2143" s="2460"/>
    </row>
    <row r="2144" spans="3:15">
      <c r="C2144" s="233"/>
      <c r="D2144" s="233"/>
      <c r="E2144" s="770"/>
      <c r="F2144" s="234"/>
      <c r="G2144" s="234"/>
      <c r="H2144" s="233"/>
      <c r="I2144" s="233"/>
      <c r="J2144" s="770"/>
      <c r="K2144" s="233"/>
      <c r="L2144" s="233"/>
      <c r="M2144" s="233"/>
      <c r="N2144" s="2460"/>
      <c r="O2144" s="2460"/>
    </row>
    <row r="2145" spans="3:15">
      <c r="C2145" s="233"/>
      <c r="D2145" s="233"/>
      <c r="E2145" s="770"/>
      <c r="F2145" s="234"/>
      <c r="G2145" s="234"/>
      <c r="H2145" s="233"/>
      <c r="I2145" s="233"/>
      <c r="J2145" s="770"/>
      <c r="K2145" s="233"/>
      <c r="L2145" s="233"/>
      <c r="M2145" s="233"/>
      <c r="N2145" s="2460"/>
      <c r="O2145" s="2460"/>
    </row>
    <row r="2146" spans="3:15">
      <c r="C2146" s="233"/>
      <c r="D2146" s="233"/>
      <c r="E2146" s="770"/>
      <c r="F2146" s="234"/>
      <c r="G2146" s="234"/>
      <c r="H2146" s="233"/>
      <c r="I2146" s="233"/>
      <c r="J2146" s="770"/>
      <c r="K2146" s="233"/>
      <c r="L2146" s="233"/>
      <c r="M2146" s="233"/>
      <c r="N2146" s="2460"/>
      <c r="O2146" s="2460"/>
    </row>
    <row r="2147" spans="3:15">
      <c r="C2147" s="233"/>
      <c r="D2147" s="233"/>
      <c r="E2147" s="770"/>
      <c r="F2147" s="234"/>
      <c r="G2147" s="234"/>
      <c r="H2147" s="233"/>
      <c r="I2147" s="233"/>
      <c r="J2147" s="770"/>
      <c r="K2147" s="233"/>
      <c r="L2147" s="233"/>
      <c r="M2147" s="233"/>
      <c r="N2147" s="2460"/>
      <c r="O2147" s="2460"/>
    </row>
    <row r="2148" spans="3:15">
      <c r="C2148" s="233"/>
      <c r="D2148" s="233"/>
      <c r="E2148" s="770"/>
      <c r="F2148" s="234"/>
      <c r="G2148" s="234"/>
      <c r="H2148" s="233"/>
      <c r="I2148" s="233"/>
      <c r="J2148" s="770"/>
      <c r="K2148" s="233"/>
      <c r="L2148" s="233"/>
      <c r="M2148" s="233"/>
      <c r="N2148" s="2460"/>
      <c r="O2148" s="2460"/>
    </row>
    <row r="2149" spans="3:15">
      <c r="C2149" s="233"/>
      <c r="D2149" s="233"/>
      <c r="E2149" s="770"/>
      <c r="F2149" s="234"/>
      <c r="G2149" s="234"/>
      <c r="H2149" s="233"/>
      <c r="I2149" s="233"/>
      <c r="J2149" s="770"/>
      <c r="K2149" s="233"/>
      <c r="L2149" s="233"/>
      <c r="M2149" s="233"/>
      <c r="N2149" s="2460"/>
      <c r="O2149" s="2460"/>
    </row>
    <row r="2150" spans="3:15">
      <c r="C2150" s="233"/>
      <c r="D2150" s="233"/>
      <c r="E2150" s="770"/>
      <c r="F2150" s="234"/>
      <c r="G2150" s="234"/>
      <c r="H2150" s="233"/>
      <c r="I2150" s="233"/>
      <c r="J2150" s="770"/>
      <c r="K2150" s="233"/>
      <c r="L2150" s="233"/>
      <c r="M2150" s="233"/>
      <c r="N2150" s="2460"/>
      <c r="O2150" s="2460"/>
    </row>
    <row r="2151" spans="3:15">
      <c r="C2151" s="233"/>
      <c r="D2151" s="233"/>
      <c r="E2151" s="770"/>
      <c r="F2151" s="234"/>
      <c r="G2151" s="234"/>
      <c r="H2151" s="233"/>
      <c r="I2151" s="233"/>
      <c r="J2151" s="770"/>
      <c r="K2151" s="233"/>
      <c r="L2151" s="233"/>
      <c r="M2151" s="233"/>
      <c r="N2151" s="2460"/>
      <c r="O2151" s="2460"/>
    </row>
    <row r="2152" spans="3:15">
      <c r="C2152" s="233"/>
      <c r="D2152" s="233"/>
      <c r="E2152" s="770"/>
      <c r="F2152" s="234"/>
      <c r="G2152" s="234"/>
      <c r="H2152" s="233"/>
      <c r="I2152" s="233"/>
      <c r="J2152" s="770"/>
      <c r="K2152" s="233"/>
      <c r="L2152" s="233"/>
      <c r="M2152" s="233"/>
      <c r="N2152" s="2460"/>
      <c r="O2152" s="2460"/>
    </row>
    <row r="2153" spans="3:15">
      <c r="C2153" s="233"/>
      <c r="D2153" s="233"/>
      <c r="E2153" s="770"/>
      <c r="F2153" s="234"/>
      <c r="G2153" s="234"/>
      <c r="H2153" s="233"/>
      <c r="I2153" s="233"/>
      <c r="J2153" s="770"/>
      <c r="K2153" s="233"/>
      <c r="L2153" s="233"/>
      <c r="M2153" s="233"/>
      <c r="N2153" s="2460"/>
      <c r="O2153" s="2460"/>
    </row>
    <row r="2154" spans="3:15">
      <c r="C2154" s="233"/>
      <c r="D2154" s="233"/>
      <c r="E2154" s="770"/>
      <c r="F2154" s="234"/>
      <c r="G2154" s="234"/>
      <c r="H2154" s="233"/>
      <c r="I2154" s="233"/>
      <c r="J2154" s="770"/>
      <c r="K2154" s="233"/>
      <c r="L2154" s="233"/>
      <c r="M2154" s="233"/>
      <c r="N2154" s="2460"/>
      <c r="O2154" s="2460"/>
    </row>
    <row r="2155" spans="3:15">
      <c r="C2155" s="233"/>
      <c r="D2155" s="233"/>
      <c r="E2155" s="770"/>
      <c r="F2155" s="234"/>
      <c r="G2155" s="234"/>
      <c r="H2155" s="233"/>
      <c r="I2155" s="233"/>
      <c r="J2155" s="770"/>
      <c r="K2155" s="233"/>
      <c r="L2155" s="233"/>
      <c r="M2155" s="233"/>
      <c r="N2155" s="2460"/>
      <c r="O2155" s="2460"/>
    </row>
    <row r="2156" spans="3:15">
      <c r="C2156" s="233"/>
      <c r="D2156" s="233"/>
      <c r="E2156" s="770"/>
      <c r="F2156" s="234"/>
      <c r="G2156" s="234"/>
      <c r="H2156" s="233"/>
      <c r="I2156" s="233"/>
      <c r="J2156" s="770"/>
      <c r="K2156" s="233"/>
      <c r="L2156" s="233"/>
      <c r="M2156" s="233"/>
      <c r="N2156" s="2460"/>
      <c r="O2156" s="2460"/>
    </row>
    <row r="2157" spans="3:15">
      <c r="C2157" s="233"/>
      <c r="D2157" s="233"/>
      <c r="E2157" s="770"/>
      <c r="F2157" s="234"/>
      <c r="G2157" s="234"/>
      <c r="H2157" s="233"/>
      <c r="I2157" s="233"/>
      <c r="J2157" s="770"/>
      <c r="K2157" s="233"/>
      <c r="L2157" s="233"/>
      <c r="M2157" s="233"/>
      <c r="N2157" s="2460"/>
      <c r="O2157" s="2460"/>
    </row>
    <row r="2158" spans="3:15">
      <c r="C2158" s="233"/>
      <c r="D2158" s="233"/>
      <c r="E2158" s="770"/>
      <c r="F2158" s="234"/>
      <c r="G2158" s="234"/>
      <c r="H2158" s="233"/>
      <c r="I2158" s="233"/>
      <c r="J2158" s="770"/>
      <c r="K2158" s="233"/>
      <c r="L2158" s="233"/>
      <c r="M2158" s="233"/>
      <c r="N2158" s="2460"/>
      <c r="O2158" s="2460"/>
    </row>
    <row r="2159" spans="3:15">
      <c r="C2159" s="233"/>
      <c r="D2159" s="233"/>
      <c r="E2159" s="770"/>
      <c r="F2159" s="234"/>
      <c r="G2159" s="234"/>
      <c r="H2159" s="233"/>
      <c r="I2159" s="233"/>
      <c r="J2159" s="770"/>
      <c r="K2159" s="233"/>
      <c r="L2159" s="233"/>
      <c r="M2159" s="233"/>
      <c r="N2159" s="2460"/>
      <c r="O2159" s="2460"/>
    </row>
    <row r="2160" spans="3:15">
      <c r="C2160" s="233"/>
      <c r="D2160" s="233"/>
      <c r="E2160" s="770"/>
      <c r="F2160" s="234"/>
      <c r="G2160" s="234"/>
      <c r="H2160" s="233"/>
      <c r="I2160" s="233"/>
      <c r="J2160" s="770"/>
      <c r="K2160" s="233"/>
      <c r="L2160" s="233"/>
      <c r="M2160" s="233"/>
      <c r="N2160" s="2460"/>
      <c r="O2160" s="2460"/>
    </row>
    <row r="2161" spans="3:15">
      <c r="C2161" s="233"/>
      <c r="D2161" s="233"/>
      <c r="E2161" s="770"/>
      <c r="F2161" s="234"/>
      <c r="G2161" s="234"/>
      <c r="H2161" s="233"/>
      <c r="I2161" s="233"/>
      <c r="J2161" s="770"/>
      <c r="K2161" s="233"/>
      <c r="L2161" s="233"/>
      <c r="M2161" s="233"/>
      <c r="N2161" s="2460"/>
      <c r="O2161" s="2460"/>
    </row>
    <row r="2162" spans="3:15">
      <c r="C2162" s="233"/>
      <c r="D2162" s="233"/>
      <c r="E2162" s="770"/>
      <c r="F2162" s="234"/>
      <c r="G2162" s="234"/>
      <c r="H2162" s="233"/>
      <c r="I2162" s="233"/>
      <c r="J2162" s="770"/>
      <c r="K2162" s="233"/>
      <c r="L2162" s="233"/>
      <c r="M2162" s="233"/>
      <c r="N2162" s="2460"/>
      <c r="O2162" s="2460"/>
    </row>
    <row r="2163" spans="3:15">
      <c r="C2163" s="233"/>
      <c r="D2163" s="233"/>
      <c r="E2163" s="770"/>
      <c r="F2163" s="234"/>
      <c r="G2163" s="234"/>
      <c r="H2163" s="233"/>
      <c r="I2163" s="233"/>
      <c r="J2163" s="770"/>
      <c r="K2163" s="233"/>
      <c r="L2163" s="233"/>
      <c r="M2163" s="233"/>
      <c r="N2163" s="2460"/>
      <c r="O2163" s="2460"/>
    </row>
    <row r="2164" spans="3:15">
      <c r="C2164" s="233"/>
      <c r="D2164" s="233"/>
      <c r="E2164" s="770"/>
      <c r="F2164" s="234"/>
      <c r="G2164" s="234"/>
      <c r="H2164" s="233"/>
      <c r="I2164" s="233"/>
      <c r="J2164" s="770"/>
      <c r="K2164" s="233"/>
      <c r="L2164" s="233"/>
      <c r="M2164" s="233"/>
      <c r="N2164" s="2460"/>
      <c r="O2164" s="2460"/>
    </row>
    <row r="2165" spans="3:15">
      <c r="C2165" s="233"/>
      <c r="D2165" s="233"/>
      <c r="E2165" s="770"/>
      <c r="F2165" s="234"/>
      <c r="G2165" s="234"/>
      <c r="H2165" s="233"/>
      <c r="I2165" s="233"/>
      <c r="J2165" s="770"/>
      <c r="K2165" s="233"/>
      <c r="L2165" s="233"/>
      <c r="M2165" s="233"/>
      <c r="N2165" s="2460"/>
      <c r="O2165" s="2460"/>
    </row>
    <row r="2166" spans="3:15">
      <c r="C2166" s="233"/>
      <c r="D2166" s="233"/>
      <c r="E2166" s="770"/>
      <c r="F2166" s="234"/>
      <c r="G2166" s="234"/>
      <c r="H2166" s="233"/>
      <c r="I2166" s="233"/>
      <c r="J2166" s="770"/>
      <c r="K2166" s="233"/>
      <c r="L2166" s="233"/>
      <c r="M2166" s="233"/>
      <c r="N2166" s="2460"/>
      <c r="O2166" s="2460"/>
    </row>
    <row r="2167" spans="3:15">
      <c r="C2167" s="233"/>
      <c r="D2167" s="233"/>
      <c r="E2167" s="770"/>
      <c r="F2167" s="234"/>
      <c r="G2167" s="234"/>
      <c r="H2167" s="233"/>
      <c r="I2167" s="233"/>
      <c r="J2167" s="770"/>
      <c r="K2167" s="233"/>
      <c r="L2167" s="233"/>
      <c r="M2167" s="233"/>
      <c r="N2167" s="2460"/>
      <c r="O2167" s="2460"/>
    </row>
    <row r="2168" spans="3:15">
      <c r="C2168" s="233"/>
      <c r="D2168" s="233"/>
      <c r="E2168" s="770"/>
      <c r="F2168" s="234"/>
      <c r="G2168" s="234"/>
      <c r="H2168" s="233"/>
      <c r="I2168" s="233"/>
      <c r="J2168" s="770"/>
      <c r="K2168" s="233"/>
      <c r="L2168" s="233"/>
      <c r="M2168" s="233"/>
      <c r="N2168" s="2460"/>
      <c r="O2168" s="2460"/>
    </row>
    <row r="2169" spans="3:15">
      <c r="C2169" s="233"/>
      <c r="D2169" s="233"/>
      <c r="E2169" s="770"/>
      <c r="F2169" s="234"/>
      <c r="G2169" s="234"/>
      <c r="H2169" s="233"/>
      <c r="I2169" s="233"/>
      <c r="J2169" s="770"/>
      <c r="K2169" s="233"/>
      <c r="L2169" s="233"/>
      <c r="M2169" s="233"/>
      <c r="N2169" s="2460"/>
      <c r="O2169" s="2460"/>
    </row>
    <row r="2170" spans="3:15">
      <c r="C2170" s="233"/>
      <c r="D2170" s="233"/>
      <c r="E2170" s="770"/>
      <c r="F2170" s="234"/>
      <c r="G2170" s="234"/>
      <c r="H2170" s="233"/>
      <c r="I2170" s="233"/>
      <c r="J2170" s="770"/>
      <c r="K2170" s="233"/>
      <c r="L2170" s="233"/>
      <c r="M2170" s="233"/>
      <c r="N2170" s="2460"/>
      <c r="O2170" s="2460"/>
    </row>
    <row r="2171" spans="3:15">
      <c r="C2171" s="233"/>
      <c r="D2171" s="233"/>
      <c r="E2171" s="770"/>
      <c r="F2171" s="234"/>
      <c r="G2171" s="234"/>
      <c r="H2171" s="233"/>
      <c r="I2171" s="233"/>
      <c r="J2171" s="770"/>
      <c r="K2171" s="233"/>
      <c r="L2171" s="233"/>
      <c r="M2171" s="233"/>
      <c r="N2171" s="2460"/>
      <c r="O2171" s="2460"/>
    </row>
    <row r="2172" spans="3:15">
      <c r="C2172" s="233"/>
      <c r="D2172" s="233"/>
      <c r="E2172" s="770"/>
      <c r="F2172" s="234"/>
      <c r="G2172" s="234"/>
      <c r="H2172" s="233"/>
      <c r="I2172" s="233"/>
      <c r="J2172" s="770"/>
      <c r="K2172" s="233"/>
      <c r="L2172" s="233"/>
      <c r="M2172" s="233"/>
      <c r="N2172" s="2460"/>
      <c r="O2172" s="2460"/>
    </row>
    <row r="2173" spans="3:15">
      <c r="C2173" s="233"/>
      <c r="D2173" s="233"/>
      <c r="E2173" s="770"/>
      <c r="F2173" s="234"/>
      <c r="G2173" s="234"/>
      <c r="H2173" s="233"/>
      <c r="I2173" s="233"/>
      <c r="J2173" s="770"/>
      <c r="K2173" s="233"/>
      <c r="L2173" s="233"/>
      <c r="M2173" s="233"/>
      <c r="N2173" s="2460"/>
      <c r="O2173" s="2460"/>
    </row>
    <row r="2174" spans="3:15">
      <c r="C2174" s="233"/>
      <c r="D2174" s="233"/>
      <c r="E2174" s="770"/>
      <c r="F2174" s="234"/>
      <c r="G2174" s="234"/>
      <c r="H2174" s="233"/>
      <c r="I2174" s="233"/>
      <c r="J2174" s="770"/>
      <c r="K2174" s="233"/>
      <c r="L2174" s="233"/>
      <c r="M2174" s="233"/>
      <c r="N2174" s="2460"/>
      <c r="O2174" s="2460"/>
    </row>
    <row r="2175" spans="3:15">
      <c r="C2175" s="233"/>
      <c r="D2175" s="233"/>
      <c r="E2175" s="770"/>
      <c r="F2175" s="234"/>
      <c r="G2175" s="234"/>
      <c r="H2175" s="233"/>
      <c r="I2175" s="233"/>
      <c r="J2175" s="770"/>
      <c r="K2175" s="233"/>
      <c r="L2175" s="233"/>
      <c r="M2175" s="233"/>
      <c r="N2175" s="2460"/>
      <c r="O2175" s="2460"/>
    </row>
    <row r="2176" spans="3:15">
      <c r="C2176" s="233"/>
      <c r="D2176" s="233"/>
      <c r="E2176" s="770"/>
      <c r="F2176" s="234"/>
      <c r="G2176" s="234"/>
      <c r="H2176" s="233"/>
      <c r="I2176" s="233"/>
      <c r="J2176" s="770"/>
      <c r="K2176" s="233"/>
      <c r="L2176" s="233"/>
      <c r="M2176" s="233"/>
      <c r="N2176" s="2460"/>
      <c r="O2176" s="2460"/>
    </row>
    <row r="2177" spans="3:15">
      <c r="C2177" s="233"/>
      <c r="D2177" s="233"/>
      <c r="E2177" s="770"/>
      <c r="F2177" s="234"/>
      <c r="G2177" s="234"/>
      <c r="H2177" s="233"/>
      <c r="I2177" s="233"/>
      <c r="J2177" s="770"/>
      <c r="K2177" s="233"/>
      <c r="L2177" s="233"/>
      <c r="M2177" s="233"/>
      <c r="N2177" s="2460"/>
      <c r="O2177" s="2460"/>
    </row>
    <row r="2178" spans="3:15">
      <c r="C2178" s="233"/>
      <c r="D2178" s="233"/>
      <c r="E2178" s="770"/>
      <c r="F2178" s="234"/>
      <c r="G2178" s="234"/>
      <c r="H2178" s="233"/>
      <c r="I2178" s="233"/>
      <c r="J2178" s="770"/>
      <c r="K2178" s="233"/>
      <c r="L2178" s="233"/>
      <c r="M2178" s="233"/>
      <c r="N2178" s="2460"/>
      <c r="O2178" s="2460"/>
    </row>
    <row r="2179" spans="3:15">
      <c r="C2179" s="233"/>
      <c r="D2179" s="233"/>
      <c r="E2179" s="770"/>
      <c r="F2179" s="234"/>
      <c r="G2179" s="234"/>
      <c r="H2179" s="233"/>
      <c r="I2179" s="233"/>
      <c r="J2179" s="770"/>
      <c r="K2179" s="233"/>
      <c r="L2179" s="233"/>
      <c r="M2179" s="233"/>
      <c r="N2179" s="2460"/>
      <c r="O2179" s="2460"/>
    </row>
    <row r="2180" spans="3:15">
      <c r="C2180" s="233"/>
      <c r="D2180" s="233"/>
      <c r="E2180" s="770"/>
      <c r="F2180" s="234"/>
      <c r="G2180" s="234"/>
      <c r="H2180" s="233"/>
      <c r="I2180" s="233"/>
      <c r="J2180" s="770"/>
      <c r="K2180" s="233"/>
      <c r="L2180" s="233"/>
      <c r="M2180" s="233"/>
      <c r="N2180" s="2460"/>
      <c r="O2180" s="2460"/>
    </row>
    <row r="2181" spans="3:15">
      <c r="C2181" s="233"/>
      <c r="D2181" s="233"/>
      <c r="E2181" s="770"/>
      <c r="F2181" s="234"/>
      <c r="G2181" s="234"/>
      <c r="H2181" s="233"/>
      <c r="I2181" s="233"/>
      <c r="J2181" s="770"/>
      <c r="K2181" s="233"/>
      <c r="L2181" s="233"/>
      <c r="M2181" s="233"/>
      <c r="N2181" s="2460"/>
      <c r="O2181" s="2460"/>
    </row>
    <row r="2182" spans="3:15">
      <c r="C2182" s="233"/>
      <c r="D2182" s="233"/>
      <c r="E2182" s="770"/>
      <c r="F2182" s="234"/>
      <c r="G2182" s="234"/>
      <c r="H2182" s="233"/>
      <c r="I2182" s="233"/>
      <c r="J2182" s="770"/>
      <c r="K2182" s="233"/>
      <c r="L2182" s="233"/>
      <c r="M2182" s="233"/>
      <c r="N2182" s="2460"/>
      <c r="O2182" s="2460"/>
    </row>
    <row r="2183" spans="3:15">
      <c r="C2183" s="233"/>
      <c r="D2183" s="233"/>
      <c r="E2183" s="770"/>
      <c r="F2183" s="234"/>
      <c r="G2183" s="234"/>
      <c r="H2183" s="233"/>
      <c r="I2183" s="233"/>
      <c r="J2183" s="770"/>
      <c r="K2183" s="233"/>
      <c r="L2183" s="233"/>
      <c r="M2183" s="233"/>
      <c r="N2183" s="2460"/>
      <c r="O2183" s="2460"/>
    </row>
    <row r="2184" spans="3:15">
      <c r="C2184" s="233"/>
      <c r="D2184" s="233"/>
      <c r="E2184" s="770"/>
      <c r="F2184" s="234"/>
      <c r="G2184" s="234"/>
      <c r="H2184" s="233"/>
      <c r="I2184" s="233"/>
      <c r="J2184" s="770"/>
      <c r="K2184" s="233"/>
      <c r="L2184" s="233"/>
      <c r="M2184" s="233"/>
      <c r="N2184" s="2460"/>
      <c r="O2184" s="2460"/>
    </row>
    <row r="2185" spans="3:15">
      <c r="C2185" s="233"/>
      <c r="D2185" s="233"/>
      <c r="E2185" s="770"/>
      <c r="F2185" s="234"/>
      <c r="G2185" s="234"/>
      <c r="H2185" s="233"/>
      <c r="I2185" s="233"/>
      <c r="J2185" s="770"/>
      <c r="K2185" s="233"/>
      <c r="L2185" s="233"/>
      <c r="M2185" s="233"/>
      <c r="N2185" s="2460"/>
      <c r="O2185" s="2460"/>
    </row>
    <row r="2186" spans="3:15">
      <c r="C2186" s="233"/>
      <c r="D2186" s="233"/>
      <c r="E2186" s="770"/>
      <c r="F2186" s="234"/>
      <c r="G2186" s="234"/>
      <c r="H2186" s="233"/>
      <c r="I2186" s="233"/>
      <c r="J2186" s="770"/>
      <c r="K2186" s="233"/>
      <c r="L2186" s="233"/>
      <c r="M2186" s="233"/>
      <c r="N2186" s="2460"/>
      <c r="O2186" s="2460"/>
    </row>
    <row r="2187" spans="3:15">
      <c r="C2187" s="233"/>
      <c r="D2187" s="233"/>
      <c r="E2187" s="770"/>
      <c r="F2187" s="234"/>
      <c r="G2187" s="234"/>
      <c r="H2187" s="233"/>
      <c r="I2187" s="233"/>
      <c r="J2187" s="770"/>
      <c r="K2187" s="233"/>
      <c r="L2187" s="233"/>
      <c r="M2187" s="233"/>
      <c r="N2187" s="2460"/>
      <c r="O2187" s="2460"/>
    </row>
    <row r="2188" spans="3:15">
      <c r="C2188" s="233"/>
      <c r="D2188" s="233"/>
      <c r="E2188" s="770"/>
      <c r="F2188" s="234"/>
      <c r="G2188" s="234"/>
      <c r="H2188" s="233"/>
      <c r="I2188" s="233"/>
      <c r="J2188" s="770"/>
      <c r="K2188" s="233"/>
      <c r="L2188" s="233"/>
      <c r="M2188" s="233"/>
      <c r="N2188" s="2460"/>
      <c r="O2188" s="2460"/>
    </row>
    <row r="2189" spans="3:15">
      <c r="C2189" s="233"/>
      <c r="D2189" s="233"/>
      <c r="E2189" s="770"/>
      <c r="F2189" s="234"/>
      <c r="G2189" s="234"/>
      <c r="H2189" s="233"/>
      <c r="I2189" s="233"/>
      <c r="J2189" s="770"/>
      <c r="K2189" s="233"/>
      <c r="L2189" s="233"/>
      <c r="M2189" s="233"/>
      <c r="N2189" s="2460"/>
      <c r="O2189" s="2460"/>
    </row>
    <row r="2190" spans="3:15">
      <c r="C2190" s="233"/>
      <c r="D2190" s="233"/>
      <c r="E2190" s="770"/>
      <c r="F2190" s="234"/>
      <c r="G2190" s="234"/>
      <c r="H2190" s="233"/>
      <c r="I2190" s="233"/>
      <c r="J2190" s="770"/>
      <c r="K2190" s="233"/>
      <c r="L2190" s="233"/>
      <c r="M2190" s="233"/>
      <c r="N2190" s="2460"/>
      <c r="O2190" s="2460"/>
    </row>
    <row r="2191" spans="3:15">
      <c r="C2191" s="233"/>
      <c r="D2191" s="233"/>
      <c r="E2191" s="770"/>
      <c r="F2191" s="234"/>
      <c r="G2191" s="234"/>
      <c r="H2191" s="233"/>
      <c r="I2191" s="233"/>
      <c r="J2191" s="770"/>
      <c r="K2191" s="233"/>
      <c r="L2191" s="233"/>
      <c r="M2191" s="233"/>
      <c r="N2191" s="2460"/>
      <c r="O2191" s="2460"/>
    </row>
    <row r="2192" spans="3:15">
      <c r="C2192" s="233"/>
      <c r="D2192" s="233"/>
      <c r="E2192" s="770"/>
      <c r="F2192" s="234"/>
      <c r="G2192" s="234"/>
      <c r="H2192" s="233"/>
      <c r="I2192" s="233"/>
      <c r="J2192" s="770"/>
      <c r="K2192" s="233"/>
      <c r="L2192" s="233"/>
      <c r="M2192" s="233"/>
      <c r="N2192" s="2460"/>
      <c r="O2192" s="2460"/>
    </row>
    <row r="2193" spans="3:15">
      <c r="C2193" s="233"/>
      <c r="D2193" s="233"/>
      <c r="E2193" s="770"/>
      <c r="F2193" s="234"/>
      <c r="G2193" s="234"/>
      <c r="H2193" s="233"/>
      <c r="I2193" s="233"/>
      <c r="J2193" s="770"/>
      <c r="K2193" s="233"/>
      <c r="L2193" s="233"/>
      <c r="M2193" s="233"/>
      <c r="N2193" s="2460"/>
      <c r="O2193" s="2460"/>
    </row>
    <row r="2194" spans="3:15">
      <c r="C2194" s="233"/>
      <c r="D2194" s="233"/>
      <c r="E2194" s="770"/>
      <c r="F2194" s="234"/>
      <c r="G2194" s="234"/>
      <c r="H2194" s="233"/>
      <c r="I2194" s="233"/>
      <c r="J2194" s="770"/>
      <c r="K2194" s="233"/>
      <c r="L2194" s="233"/>
      <c r="M2194" s="233"/>
      <c r="N2194" s="2460"/>
      <c r="O2194" s="2460"/>
    </row>
    <row r="2195" spans="3:15">
      <c r="C2195" s="233"/>
      <c r="D2195" s="233"/>
      <c r="E2195" s="770"/>
      <c r="F2195" s="234"/>
      <c r="G2195" s="234"/>
      <c r="H2195" s="233"/>
      <c r="I2195" s="233"/>
      <c r="J2195" s="770"/>
      <c r="K2195" s="233"/>
      <c r="L2195" s="233"/>
      <c r="M2195" s="233"/>
      <c r="N2195" s="2460"/>
      <c r="O2195" s="2460"/>
    </row>
    <row r="2196" spans="3:15">
      <c r="C2196" s="233"/>
      <c r="D2196" s="233"/>
      <c r="E2196" s="770"/>
      <c r="F2196" s="234"/>
      <c r="G2196" s="234"/>
      <c r="H2196" s="233"/>
      <c r="I2196" s="233"/>
      <c r="J2196" s="770"/>
      <c r="K2196" s="233"/>
      <c r="L2196" s="233"/>
      <c r="M2196" s="233"/>
      <c r="N2196" s="2460"/>
      <c r="O2196" s="2460"/>
    </row>
    <row r="2197" spans="3:15">
      <c r="C2197" s="233"/>
      <c r="D2197" s="233"/>
      <c r="E2197" s="770"/>
      <c r="F2197" s="234"/>
      <c r="G2197" s="234"/>
      <c r="H2197" s="233"/>
      <c r="I2197" s="233"/>
      <c r="J2197" s="770"/>
      <c r="K2197" s="233"/>
      <c r="L2197" s="233"/>
      <c r="M2197" s="233"/>
      <c r="N2197" s="2460"/>
      <c r="O2197" s="2460"/>
    </row>
    <row r="2198" spans="3:15">
      <c r="C2198" s="233"/>
      <c r="D2198" s="233"/>
      <c r="E2198" s="770"/>
      <c r="F2198" s="234"/>
      <c r="G2198" s="234"/>
      <c r="H2198" s="233"/>
      <c r="I2198" s="233"/>
      <c r="J2198" s="770"/>
      <c r="K2198" s="233"/>
      <c r="L2198" s="233"/>
      <c r="M2198" s="233"/>
      <c r="N2198" s="2460"/>
      <c r="O2198" s="2460"/>
    </row>
    <row r="2199" spans="3:15">
      <c r="C2199" s="233"/>
      <c r="D2199" s="233"/>
      <c r="E2199" s="770"/>
      <c r="F2199" s="234"/>
      <c r="G2199" s="234"/>
      <c r="H2199" s="233"/>
      <c r="I2199" s="233"/>
      <c r="J2199" s="770"/>
      <c r="K2199" s="233"/>
      <c r="L2199" s="233"/>
      <c r="M2199" s="233"/>
      <c r="N2199" s="2460"/>
      <c r="O2199" s="2460"/>
    </row>
    <row r="2200" spans="3:15">
      <c r="C2200" s="233"/>
      <c r="D2200" s="233"/>
      <c r="E2200" s="770"/>
      <c r="F2200" s="234"/>
      <c r="G2200" s="234"/>
      <c r="H2200" s="233"/>
      <c r="I2200" s="233"/>
      <c r="J2200" s="770"/>
      <c r="K2200" s="233"/>
      <c r="L2200" s="233"/>
      <c r="M2200" s="233"/>
      <c r="N2200" s="2460"/>
      <c r="O2200" s="2460"/>
    </row>
    <row r="2201" spans="3:15">
      <c r="C2201" s="233"/>
      <c r="D2201" s="233"/>
      <c r="E2201" s="770"/>
      <c r="F2201" s="234"/>
      <c r="G2201" s="234"/>
      <c r="H2201" s="233"/>
      <c r="I2201" s="233"/>
      <c r="J2201" s="770"/>
      <c r="K2201" s="233"/>
      <c r="L2201" s="233"/>
      <c r="M2201" s="233"/>
      <c r="N2201" s="2460"/>
      <c r="O2201" s="2460"/>
    </row>
    <row r="2202" spans="3:15">
      <c r="C2202" s="233"/>
      <c r="D2202" s="233"/>
      <c r="E2202" s="770"/>
      <c r="F2202" s="234"/>
      <c r="G2202" s="234"/>
      <c r="H2202" s="233"/>
      <c r="I2202" s="233"/>
      <c r="J2202" s="770"/>
      <c r="K2202" s="233"/>
      <c r="L2202" s="233"/>
      <c r="M2202" s="233"/>
      <c r="N2202" s="2460"/>
      <c r="O2202" s="2460"/>
    </row>
    <row r="2203" spans="3:15">
      <c r="C2203" s="233"/>
      <c r="D2203" s="233"/>
      <c r="E2203" s="770"/>
      <c r="F2203" s="234"/>
      <c r="G2203" s="234"/>
      <c r="H2203" s="233"/>
      <c r="I2203" s="233"/>
      <c r="J2203" s="770"/>
      <c r="K2203" s="233"/>
      <c r="L2203" s="233"/>
      <c r="M2203" s="233"/>
      <c r="N2203" s="2460"/>
      <c r="O2203" s="2460"/>
    </row>
    <row r="2204" spans="3:15">
      <c r="C2204" s="233"/>
      <c r="D2204" s="233"/>
      <c r="E2204" s="770"/>
      <c r="F2204" s="234"/>
      <c r="G2204" s="234"/>
      <c r="H2204" s="233"/>
      <c r="I2204" s="233"/>
      <c r="J2204" s="770"/>
      <c r="K2204" s="233"/>
      <c r="L2204" s="233"/>
      <c r="M2204" s="233"/>
      <c r="N2204" s="2460"/>
      <c r="O2204" s="2460"/>
    </row>
    <row r="2205" spans="3:15">
      <c r="C2205" s="233"/>
      <c r="D2205" s="233"/>
      <c r="E2205" s="770"/>
      <c r="F2205" s="234"/>
      <c r="G2205" s="234"/>
      <c r="H2205" s="233"/>
      <c r="I2205" s="233"/>
      <c r="J2205" s="770"/>
      <c r="K2205" s="233"/>
      <c r="L2205" s="233"/>
      <c r="M2205" s="233"/>
      <c r="N2205" s="2460"/>
      <c r="O2205" s="2460"/>
    </row>
    <row r="2206" spans="3:15">
      <c r="C2206" s="233"/>
      <c r="D2206" s="233"/>
      <c r="E2206" s="770"/>
      <c r="F2206" s="234"/>
      <c r="G2206" s="234"/>
      <c r="H2206" s="233"/>
      <c r="I2206" s="233"/>
      <c r="J2206" s="770"/>
      <c r="K2206" s="233"/>
      <c r="L2206" s="233"/>
      <c r="M2206" s="233"/>
      <c r="N2206" s="2460"/>
      <c r="O2206" s="2460"/>
    </row>
    <row r="2207" spans="3:15">
      <c r="C2207" s="233"/>
      <c r="D2207" s="233"/>
      <c r="E2207" s="770"/>
      <c r="F2207" s="234"/>
      <c r="G2207" s="234"/>
      <c r="H2207" s="233"/>
      <c r="I2207" s="233"/>
      <c r="J2207" s="770"/>
      <c r="K2207" s="233"/>
      <c r="L2207" s="233"/>
      <c r="M2207" s="233"/>
      <c r="N2207" s="2460"/>
      <c r="O2207" s="2460"/>
    </row>
    <row r="2208" spans="3:15">
      <c r="C2208" s="233"/>
      <c r="D2208" s="233"/>
      <c r="E2208" s="770"/>
      <c r="F2208" s="234"/>
      <c r="G2208" s="234"/>
      <c r="H2208" s="233"/>
      <c r="I2208" s="233"/>
      <c r="J2208" s="770"/>
      <c r="K2208" s="233"/>
      <c r="L2208" s="233"/>
      <c r="M2208" s="233"/>
      <c r="N2208" s="2460"/>
      <c r="O2208" s="2460"/>
    </row>
    <row r="2209" spans="3:15">
      <c r="C2209" s="233"/>
      <c r="D2209" s="233"/>
      <c r="E2209" s="770"/>
      <c r="F2209" s="234"/>
      <c r="G2209" s="234"/>
      <c r="H2209" s="233"/>
      <c r="I2209" s="233"/>
      <c r="J2209" s="770"/>
      <c r="K2209" s="233"/>
      <c r="L2209" s="233"/>
      <c r="M2209" s="233"/>
      <c r="N2209" s="2460"/>
      <c r="O2209" s="2460"/>
    </row>
    <row r="2210" spans="3:15">
      <c r="C2210" s="233"/>
      <c r="D2210" s="233"/>
      <c r="E2210" s="770"/>
      <c r="F2210" s="234"/>
      <c r="G2210" s="234"/>
      <c r="H2210" s="233"/>
      <c r="I2210" s="233"/>
      <c r="J2210" s="770"/>
      <c r="K2210" s="233"/>
      <c r="L2210" s="233"/>
      <c r="M2210" s="233"/>
      <c r="N2210" s="2460"/>
      <c r="O2210" s="2460"/>
    </row>
    <row r="2211" spans="3:15">
      <c r="C2211" s="233"/>
      <c r="D2211" s="233"/>
      <c r="E2211" s="770"/>
      <c r="F2211" s="234"/>
      <c r="G2211" s="234"/>
      <c r="H2211" s="233"/>
      <c r="I2211" s="233"/>
      <c r="J2211" s="770"/>
      <c r="K2211" s="233"/>
      <c r="L2211" s="233"/>
      <c r="M2211" s="233"/>
      <c r="N2211" s="2460"/>
      <c r="O2211" s="2460"/>
    </row>
    <row r="2212" spans="3:15">
      <c r="C2212" s="233"/>
      <c r="D2212" s="233"/>
      <c r="E2212" s="770"/>
      <c r="F2212" s="234"/>
      <c r="G2212" s="234"/>
      <c r="H2212" s="233"/>
      <c r="I2212" s="233"/>
      <c r="J2212" s="770"/>
      <c r="K2212" s="233"/>
      <c r="L2212" s="233"/>
      <c r="M2212" s="233"/>
      <c r="N2212" s="2460"/>
      <c r="O2212" s="2460"/>
    </row>
    <row r="2213" spans="3:15">
      <c r="C2213" s="233"/>
      <c r="D2213" s="233"/>
      <c r="E2213" s="770"/>
      <c r="F2213" s="234"/>
      <c r="G2213" s="234"/>
      <c r="H2213" s="233"/>
      <c r="I2213" s="233"/>
      <c r="J2213" s="770"/>
      <c r="K2213" s="233"/>
      <c r="L2213" s="233"/>
      <c r="M2213" s="233"/>
      <c r="N2213" s="2460"/>
      <c r="O2213" s="2460"/>
    </row>
    <row r="2214" spans="3:15">
      <c r="C2214" s="233"/>
      <c r="D2214" s="233"/>
      <c r="E2214" s="770"/>
      <c r="F2214" s="234"/>
      <c r="G2214" s="234"/>
      <c r="H2214" s="233"/>
      <c r="I2214" s="233"/>
      <c r="J2214" s="770"/>
      <c r="K2214" s="233"/>
      <c r="L2214" s="233"/>
      <c r="M2214" s="233"/>
      <c r="N2214" s="2460"/>
      <c r="O2214" s="2460"/>
    </row>
    <row r="2215" spans="3:15">
      <c r="C2215" s="233"/>
      <c r="D2215" s="233"/>
      <c r="E2215" s="770"/>
      <c r="F2215" s="234"/>
      <c r="G2215" s="234"/>
      <c r="H2215" s="233"/>
      <c r="I2215" s="233"/>
      <c r="J2215" s="770"/>
      <c r="K2215" s="233"/>
      <c r="L2215" s="233"/>
      <c r="M2215" s="233"/>
      <c r="N2215" s="2460"/>
      <c r="O2215" s="2460"/>
    </row>
    <row r="2216" spans="3:15">
      <c r="C2216" s="233"/>
      <c r="D2216" s="233"/>
      <c r="E2216" s="770"/>
      <c r="F2216" s="234"/>
      <c r="G2216" s="234"/>
      <c r="H2216" s="233"/>
      <c r="I2216" s="233"/>
      <c r="J2216" s="770"/>
      <c r="K2216" s="233"/>
      <c r="L2216" s="233"/>
      <c r="M2216" s="233"/>
      <c r="N2216" s="2460"/>
      <c r="O2216" s="2460"/>
    </row>
    <row r="2217" spans="3:15">
      <c r="C2217" s="233"/>
      <c r="D2217" s="233"/>
      <c r="E2217" s="770"/>
      <c r="F2217" s="234"/>
      <c r="G2217" s="234"/>
      <c r="H2217" s="233"/>
      <c r="I2217" s="233"/>
      <c r="J2217" s="770"/>
      <c r="K2217" s="233"/>
      <c r="L2217" s="233"/>
      <c r="M2217" s="233"/>
      <c r="N2217" s="2460"/>
      <c r="O2217" s="2460"/>
    </row>
    <row r="2218" spans="3:15">
      <c r="C2218" s="233"/>
      <c r="D2218" s="233"/>
      <c r="E2218" s="770"/>
      <c r="F2218" s="234"/>
      <c r="G2218" s="234"/>
      <c r="H2218" s="233"/>
      <c r="I2218" s="233"/>
      <c r="J2218" s="770"/>
      <c r="K2218" s="233"/>
      <c r="L2218" s="233"/>
      <c r="M2218" s="233"/>
      <c r="N2218" s="2460"/>
      <c r="O2218" s="2460"/>
    </row>
    <row r="2219" spans="3:15">
      <c r="C2219" s="233"/>
      <c r="D2219" s="233"/>
      <c r="E2219" s="770"/>
      <c r="F2219" s="234"/>
      <c r="G2219" s="234"/>
      <c r="H2219" s="233"/>
      <c r="I2219" s="233"/>
      <c r="J2219" s="770"/>
      <c r="K2219" s="233"/>
      <c r="L2219" s="233"/>
      <c r="M2219" s="233"/>
      <c r="N2219" s="2460"/>
      <c r="O2219" s="2460"/>
    </row>
    <row r="2220" spans="3:15">
      <c r="C2220" s="233"/>
      <c r="D2220" s="233"/>
      <c r="E2220" s="770"/>
      <c r="F2220" s="234"/>
      <c r="G2220" s="234"/>
      <c r="H2220" s="233"/>
      <c r="I2220" s="233"/>
      <c r="J2220" s="770"/>
      <c r="K2220" s="233"/>
      <c r="L2220" s="233"/>
      <c r="M2220" s="233"/>
      <c r="N2220" s="2460"/>
      <c r="O2220" s="2460"/>
    </row>
    <row r="2221" spans="3:15">
      <c r="C2221" s="233"/>
      <c r="D2221" s="233"/>
      <c r="E2221" s="770"/>
      <c r="F2221" s="234"/>
      <c r="G2221" s="234"/>
      <c r="H2221" s="233"/>
      <c r="I2221" s="233"/>
      <c r="J2221" s="770"/>
      <c r="K2221" s="233"/>
      <c r="L2221" s="233"/>
      <c r="M2221" s="233"/>
      <c r="N2221" s="2460"/>
      <c r="O2221" s="2460"/>
    </row>
    <row r="2222" spans="3:15">
      <c r="C2222" s="233"/>
      <c r="D2222" s="233"/>
      <c r="E2222" s="770"/>
      <c r="F2222" s="234"/>
      <c r="G2222" s="234"/>
      <c r="H2222" s="233"/>
      <c r="I2222" s="233"/>
      <c r="J2222" s="770"/>
      <c r="K2222" s="233"/>
      <c r="L2222" s="233"/>
      <c r="M2222" s="233"/>
      <c r="N2222" s="2460"/>
      <c r="O2222" s="2460"/>
    </row>
    <row r="2223" spans="3:15">
      <c r="C2223" s="233"/>
      <c r="D2223" s="233"/>
      <c r="E2223" s="770"/>
      <c r="F2223" s="234"/>
      <c r="G2223" s="234"/>
      <c r="H2223" s="233"/>
      <c r="I2223" s="233"/>
      <c r="J2223" s="770"/>
      <c r="K2223" s="233"/>
      <c r="L2223" s="233"/>
      <c r="M2223" s="233"/>
      <c r="N2223" s="2460"/>
      <c r="O2223" s="2460"/>
    </row>
    <row r="2224" spans="3:15">
      <c r="C2224" s="233"/>
      <c r="D2224" s="233"/>
      <c r="E2224" s="770"/>
      <c r="F2224" s="234"/>
      <c r="G2224" s="234"/>
      <c r="H2224" s="233"/>
      <c r="I2224" s="233"/>
      <c r="J2224" s="770"/>
      <c r="K2224" s="233"/>
      <c r="L2224" s="233"/>
      <c r="M2224" s="233"/>
      <c r="N2224" s="2460"/>
      <c r="O2224" s="2460"/>
    </row>
    <row r="2225" spans="3:15">
      <c r="C2225" s="233"/>
      <c r="D2225" s="233"/>
      <c r="E2225" s="770"/>
      <c r="F2225" s="234"/>
      <c r="G2225" s="234"/>
      <c r="H2225" s="233"/>
      <c r="I2225" s="233"/>
      <c r="J2225" s="770"/>
      <c r="K2225" s="233"/>
      <c r="L2225" s="233"/>
      <c r="M2225" s="233"/>
      <c r="N2225" s="2460"/>
      <c r="O2225" s="2460"/>
    </row>
    <row r="2226" spans="3:15">
      <c r="C2226" s="233"/>
      <c r="D2226" s="233"/>
      <c r="E2226" s="770"/>
      <c r="F2226" s="234"/>
      <c r="G2226" s="234"/>
      <c r="H2226" s="233"/>
      <c r="I2226" s="233"/>
      <c r="J2226" s="770"/>
      <c r="K2226" s="233"/>
      <c r="L2226" s="233"/>
      <c r="M2226" s="233"/>
      <c r="N2226" s="2460"/>
      <c r="O2226" s="2460"/>
    </row>
    <row r="2227" spans="3:15">
      <c r="C2227" s="233"/>
      <c r="D2227" s="233"/>
      <c r="E2227" s="770"/>
      <c r="F2227" s="234"/>
      <c r="G2227" s="234"/>
      <c r="H2227" s="233"/>
      <c r="I2227" s="233"/>
      <c r="J2227" s="770"/>
      <c r="K2227" s="233"/>
      <c r="L2227" s="233"/>
      <c r="M2227" s="233"/>
      <c r="N2227" s="2460"/>
      <c r="O2227" s="2460"/>
    </row>
    <row r="2228" spans="3:15">
      <c r="C2228" s="233"/>
      <c r="D2228" s="233"/>
      <c r="E2228" s="770"/>
      <c r="F2228" s="234"/>
      <c r="G2228" s="234"/>
      <c r="H2228" s="233"/>
      <c r="I2228" s="233"/>
      <c r="J2228" s="770"/>
      <c r="K2228" s="233"/>
      <c r="L2228" s="233"/>
      <c r="M2228" s="233"/>
      <c r="N2228" s="2460"/>
      <c r="O2228" s="2460"/>
    </row>
    <row r="2229" spans="3:15">
      <c r="C2229" s="233"/>
      <c r="D2229" s="233"/>
      <c r="E2229" s="770"/>
      <c r="F2229" s="234"/>
      <c r="G2229" s="234"/>
      <c r="H2229" s="233"/>
      <c r="I2229" s="233"/>
      <c r="J2229" s="770"/>
      <c r="K2229" s="233"/>
      <c r="L2229" s="233"/>
      <c r="M2229" s="233"/>
      <c r="N2229" s="2460"/>
      <c r="O2229" s="2460"/>
    </row>
    <row r="2230" spans="3:15">
      <c r="C2230" s="233"/>
      <c r="D2230" s="233"/>
      <c r="E2230" s="770"/>
      <c r="F2230" s="234"/>
      <c r="G2230" s="234"/>
      <c r="H2230" s="233"/>
      <c r="I2230" s="233"/>
      <c r="J2230" s="770"/>
      <c r="K2230" s="233"/>
      <c r="L2230" s="233"/>
      <c r="M2230" s="233"/>
      <c r="N2230" s="2460"/>
      <c r="O2230" s="2460"/>
    </row>
    <row r="2231" spans="3:15">
      <c r="C2231" s="233"/>
      <c r="D2231" s="233"/>
      <c r="E2231" s="770"/>
      <c r="F2231" s="234"/>
      <c r="G2231" s="234"/>
      <c r="H2231" s="233"/>
      <c r="I2231" s="233"/>
      <c r="J2231" s="770"/>
      <c r="K2231" s="233"/>
      <c r="L2231" s="233"/>
      <c r="M2231" s="233"/>
      <c r="N2231" s="2460"/>
      <c r="O2231" s="2460"/>
    </row>
    <row r="2232" spans="3:15">
      <c r="C2232" s="233"/>
      <c r="D2232" s="233"/>
      <c r="E2232" s="770"/>
      <c r="F2232" s="234"/>
      <c r="G2232" s="234"/>
      <c r="H2232" s="233"/>
      <c r="I2232" s="233"/>
      <c r="J2232" s="770"/>
      <c r="K2232" s="233"/>
      <c r="L2232" s="233"/>
      <c r="M2232" s="233"/>
      <c r="N2232" s="2460"/>
      <c r="O2232" s="2460"/>
    </row>
    <row r="2233" spans="3:15">
      <c r="C2233" s="233"/>
      <c r="D2233" s="233"/>
      <c r="E2233" s="770"/>
      <c r="F2233" s="234"/>
      <c r="G2233" s="234"/>
      <c r="H2233" s="233"/>
      <c r="I2233" s="233"/>
      <c r="J2233" s="770"/>
      <c r="K2233" s="233"/>
      <c r="L2233" s="233"/>
      <c r="M2233" s="233"/>
      <c r="N2233" s="2460"/>
      <c r="O2233" s="2460"/>
    </row>
    <row r="2234" spans="3:15">
      <c r="C2234" s="233"/>
      <c r="D2234" s="233"/>
      <c r="E2234" s="770"/>
      <c r="F2234" s="234"/>
      <c r="G2234" s="234"/>
      <c r="H2234" s="233"/>
      <c r="I2234" s="233"/>
      <c r="J2234" s="770"/>
      <c r="K2234" s="233"/>
      <c r="L2234" s="233"/>
      <c r="M2234" s="233"/>
      <c r="N2234" s="2460"/>
      <c r="O2234" s="2460"/>
    </row>
    <row r="2235" spans="3:15">
      <c r="C2235" s="233"/>
      <c r="D2235" s="233"/>
      <c r="E2235" s="770"/>
      <c r="F2235" s="234"/>
      <c r="G2235" s="234"/>
      <c r="H2235" s="233"/>
      <c r="I2235" s="233"/>
      <c r="J2235" s="770"/>
      <c r="K2235" s="233"/>
      <c r="L2235" s="233"/>
      <c r="M2235" s="233"/>
      <c r="N2235" s="2460"/>
      <c r="O2235" s="2460"/>
    </row>
    <row r="2236" spans="3:15">
      <c r="C2236" s="233"/>
      <c r="D2236" s="233"/>
      <c r="E2236" s="770"/>
      <c r="F2236" s="234"/>
      <c r="G2236" s="234"/>
      <c r="H2236" s="233"/>
      <c r="I2236" s="233"/>
      <c r="J2236" s="770"/>
      <c r="K2236" s="233"/>
      <c r="L2236" s="233"/>
      <c r="M2236" s="233"/>
      <c r="N2236" s="2460"/>
      <c r="O2236" s="2460"/>
    </row>
    <row r="2237" spans="3:15">
      <c r="C2237" s="233"/>
      <c r="D2237" s="233"/>
      <c r="E2237" s="770"/>
      <c r="F2237" s="234"/>
      <c r="G2237" s="234"/>
      <c r="H2237" s="233"/>
      <c r="I2237" s="233"/>
      <c r="J2237" s="770"/>
      <c r="K2237" s="233"/>
      <c r="L2237" s="233"/>
      <c r="M2237" s="233"/>
      <c r="N2237" s="2460"/>
      <c r="O2237" s="2460"/>
    </row>
    <row r="2238" spans="3:15">
      <c r="C2238" s="233"/>
      <c r="D2238" s="233"/>
      <c r="E2238" s="770"/>
      <c r="F2238" s="234"/>
      <c r="G2238" s="234"/>
      <c r="H2238" s="233"/>
      <c r="I2238" s="233"/>
      <c r="J2238" s="770"/>
      <c r="K2238" s="233"/>
      <c r="L2238" s="233"/>
      <c r="M2238" s="233"/>
      <c r="N2238" s="2460"/>
      <c r="O2238" s="2460"/>
    </row>
    <row r="2239" spans="3:15">
      <c r="C2239" s="233"/>
      <c r="D2239" s="233"/>
      <c r="E2239" s="770"/>
      <c r="F2239" s="234"/>
      <c r="G2239" s="234"/>
      <c r="H2239" s="233"/>
      <c r="I2239" s="233"/>
      <c r="J2239" s="770"/>
      <c r="K2239" s="233"/>
      <c r="L2239" s="233"/>
      <c r="M2239" s="233"/>
      <c r="N2239" s="2460"/>
      <c r="O2239" s="2460"/>
    </row>
    <row r="2240" spans="3:15">
      <c r="C2240" s="233"/>
      <c r="D2240" s="233"/>
      <c r="E2240" s="770"/>
      <c r="F2240" s="234"/>
      <c r="G2240" s="234"/>
      <c r="H2240" s="233"/>
      <c r="I2240" s="233"/>
      <c r="J2240" s="770"/>
      <c r="K2240" s="233"/>
      <c r="L2240" s="233"/>
      <c r="M2240" s="233"/>
      <c r="N2240" s="2460"/>
      <c r="O2240" s="2460"/>
    </row>
    <row r="2241" spans="3:15">
      <c r="C2241" s="233"/>
      <c r="D2241" s="233"/>
      <c r="E2241" s="770"/>
      <c r="F2241" s="234"/>
      <c r="G2241" s="234"/>
      <c r="H2241" s="233"/>
      <c r="I2241" s="233"/>
      <c r="J2241" s="770"/>
      <c r="K2241" s="233"/>
      <c r="L2241" s="233"/>
      <c r="M2241" s="233"/>
      <c r="N2241" s="2460"/>
      <c r="O2241" s="2460"/>
    </row>
    <row r="2242" spans="3:15">
      <c r="C2242" s="233"/>
      <c r="D2242" s="233"/>
      <c r="E2242" s="770"/>
      <c r="F2242" s="234"/>
      <c r="G2242" s="234"/>
      <c r="H2242" s="233"/>
      <c r="I2242" s="233"/>
      <c r="J2242" s="770"/>
      <c r="K2242" s="233"/>
      <c r="L2242" s="233"/>
      <c r="M2242" s="233"/>
      <c r="N2242" s="2460"/>
      <c r="O2242" s="2460"/>
    </row>
    <row r="2243" spans="3:15">
      <c r="C2243" s="233"/>
      <c r="D2243" s="233"/>
      <c r="E2243" s="770"/>
      <c r="F2243" s="234"/>
      <c r="G2243" s="234"/>
      <c r="H2243" s="233"/>
      <c r="I2243" s="233"/>
      <c r="J2243" s="770"/>
      <c r="K2243" s="233"/>
      <c r="L2243" s="233"/>
      <c r="M2243" s="233"/>
      <c r="N2243" s="2460"/>
      <c r="O2243" s="2460"/>
    </row>
    <row r="2244" spans="3:15">
      <c r="C2244" s="233"/>
      <c r="D2244" s="233"/>
      <c r="E2244" s="770"/>
      <c r="F2244" s="234"/>
      <c r="G2244" s="234"/>
      <c r="H2244" s="233"/>
      <c r="I2244" s="233"/>
      <c r="J2244" s="770"/>
      <c r="K2244" s="233"/>
      <c r="L2244" s="233"/>
      <c r="M2244" s="233"/>
      <c r="N2244" s="2460"/>
      <c r="O2244" s="2460"/>
    </row>
    <row r="2245" spans="3:15">
      <c r="C2245" s="233"/>
      <c r="D2245" s="233"/>
      <c r="E2245" s="770"/>
      <c r="F2245" s="234"/>
      <c r="G2245" s="234"/>
      <c r="H2245" s="233"/>
      <c r="I2245" s="233"/>
      <c r="J2245" s="770"/>
      <c r="K2245" s="233"/>
      <c r="L2245" s="233"/>
      <c r="M2245" s="233"/>
      <c r="N2245" s="2460"/>
      <c r="O2245" s="2460"/>
    </row>
    <row r="2246" spans="3:15">
      <c r="C2246" s="233"/>
      <c r="D2246" s="233"/>
      <c r="E2246" s="770"/>
      <c r="F2246" s="234"/>
      <c r="G2246" s="234"/>
      <c r="H2246" s="233"/>
      <c r="I2246" s="233"/>
      <c r="J2246" s="770"/>
      <c r="K2246" s="233"/>
      <c r="L2246" s="233"/>
      <c r="M2246" s="233"/>
      <c r="N2246" s="2460"/>
      <c r="O2246" s="2460"/>
    </row>
    <row r="2247" spans="3:15">
      <c r="C2247" s="233"/>
      <c r="D2247" s="233"/>
      <c r="E2247" s="770"/>
      <c r="F2247" s="234"/>
      <c r="G2247" s="234"/>
      <c r="H2247" s="233"/>
      <c r="I2247" s="233"/>
      <c r="J2247" s="770"/>
      <c r="K2247" s="233"/>
      <c r="L2247" s="233"/>
      <c r="M2247" s="233"/>
      <c r="N2247" s="2460"/>
      <c r="O2247" s="2460"/>
    </row>
    <row r="2248" spans="3:15">
      <c r="C2248" s="233"/>
      <c r="D2248" s="233"/>
      <c r="E2248" s="770"/>
      <c r="F2248" s="234"/>
      <c r="G2248" s="234"/>
      <c r="H2248" s="233"/>
      <c r="I2248" s="233"/>
      <c r="J2248" s="770"/>
      <c r="K2248" s="233"/>
      <c r="L2248" s="233"/>
      <c r="M2248" s="233"/>
      <c r="N2248" s="2460"/>
      <c r="O2248" s="2460"/>
    </row>
    <row r="2249" spans="3:15">
      <c r="C2249" s="233"/>
      <c r="D2249" s="233"/>
      <c r="E2249" s="770"/>
      <c r="F2249" s="234"/>
      <c r="G2249" s="234"/>
      <c r="H2249" s="233"/>
      <c r="I2249" s="233"/>
      <c r="J2249" s="770"/>
      <c r="K2249" s="233"/>
      <c r="L2249" s="233"/>
      <c r="M2249" s="233"/>
      <c r="N2249" s="2460"/>
      <c r="O2249" s="2460"/>
    </row>
    <row r="2250" spans="3:15">
      <c r="C2250" s="233"/>
      <c r="D2250" s="233"/>
      <c r="E2250" s="770"/>
      <c r="F2250" s="234"/>
      <c r="G2250" s="234"/>
      <c r="H2250" s="233"/>
      <c r="I2250" s="233"/>
      <c r="J2250" s="770"/>
      <c r="K2250" s="233"/>
      <c r="L2250" s="233"/>
      <c r="M2250" s="233"/>
      <c r="N2250" s="2460"/>
      <c r="O2250" s="2460"/>
    </row>
    <row r="2251" spans="3:15">
      <c r="C2251" s="233"/>
      <c r="D2251" s="233"/>
      <c r="E2251" s="770"/>
      <c r="F2251" s="234"/>
      <c r="G2251" s="234"/>
      <c r="H2251" s="233"/>
      <c r="I2251" s="233"/>
      <c r="J2251" s="770"/>
      <c r="K2251" s="233"/>
      <c r="L2251" s="233"/>
      <c r="M2251" s="233"/>
      <c r="N2251" s="2460"/>
      <c r="O2251" s="2460"/>
    </row>
    <row r="2252" spans="3:15">
      <c r="C2252" s="233"/>
      <c r="D2252" s="233"/>
      <c r="E2252" s="770"/>
      <c r="F2252" s="234"/>
      <c r="G2252" s="234"/>
      <c r="H2252" s="233"/>
      <c r="I2252" s="233"/>
      <c r="J2252" s="770"/>
      <c r="K2252" s="233"/>
      <c r="L2252" s="233"/>
      <c r="M2252" s="233"/>
      <c r="N2252" s="2460"/>
      <c r="O2252" s="2460"/>
    </row>
    <row r="2253" spans="3:15">
      <c r="C2253" s="233"/>
      <c r="D2253" s="233"/>
      <c r="E2253" s="770"/>
      <c r="F2253" s="234"/>
      <c r="G2253" s="234"/>
      <c r="H2253" s="233"/>
      <c r="I2253" s="233"/>
      <c r="J2253" s="770"/>
      <c r="K2253" s="233"/>
      <c r="L2253" s="233"/>
      <c r="M2253" s="233"/>
      <c r="N2253" s="2460"/>
      <c r="O2253" s="2460"/>
    </row>
    <row r="2254" spans="3:15">
      <c r="C2254" s="233"/>
      <c r="D2254" s="233"/>
      <c r="E2254" s="770"/>
      <c r="F2254" s="234"/>
      <c r="G2254" s="234"/>
      <c r="H2254" s="233"/>
      <c r="I2254" s="233"/>
      <c r="J2254" s="770"/>
      <c r="K2254" s="233"/>
      <c r="L2254" s="233"/>
      <c r="M2254" s="233"/>
      <c r="N2254" s="2460"/>
      <c r="O2254" s="2460"/>
    </row>
    <row r="2255" spans="3:15">
      <c r="C2255" s="233"/>
      <c r="D2255" s="233"/>
      <c r="E2255" s="770"/>
      <c r="F2255" s="234"/>
      <c r="G2255" s="234"/>
      <c r="H2255" s="233"/>
      <c r="I2255" s="233"/>
      <c r="J2255" s="770"/>
      <c r="K2255" s="233"/>
      <c r="L2255" s="233"/>
      <c r="M2255" s="233"/>
      <c r="N2255" s="2460"/>
      <c r="O2255" s="2460"/>
    </row>
    <row r="2256" spans="3:15">
      <c r="C2256" s="233"/>
      <c r="D2256" s="233"/>
      <c r="E2256" s="770"/>
      <c r="F2256" s="234"/>
      <c r="G2256" s="234"/>
      <c r="H2256" s="233"/>
      <c r="I2256" s="233"/>
      <c r="J2256" s="770"/>
      <c r="K2256" s="233"/>
      <c r="L2256" s="233"/>
      <c r="M2256" s="233"/>
      <c r="N2256" s="2460"/>
      <c r="O2256" s="2460"/>
    </row>
    <row r="2257" spans="3:13">
      <c r="C2257" s="233"/>
      <c r="D2257" s="233"/>
      <c r="E2257" s="770"/>
      <c r="F2257" s="234"/>
      <c r="I2257" s="233"/>
      <c r="J2257" s="770"/>
      <c r="K2257" s="233"/>
      <c r="L2257" s="233"/>
      <c r="M2257" s="233"/>
    </row>
  </sheetData>
  <sheetProtection formatCells="0" formatColumns="0" formatRows="0"/>
  <mergeCells count="20">
    <mergeCell ref="C20:D20"/>
    <mergeCell ref="E20:F20"/>
    <mergeCell ref="G35:H35"/>
    <mergeCell ref="I35:J35"/>
    <mergeCell ref="K35:L35"/>
    <mergeCell ref="G20:H20"/>
    <mergeCell ref="G30:H30"/>
    <mergeCell ref="G31:H31"/>
    <mergeCell ref="I5:J5"/>
    <mergeCell ref="F14:G14"/>
    <mergeCell ref="F15:G15"/>
    <mergeCell ref="F16:G16"/>
    <mergeCell ref="D10:G10"/>
    <mergeCell ref="B68:C68"/>
    <mergeCell ref="B69:C69"/>
    <mergeCell ref="B63:C63"/>
    <mergeCell ref="B64:C64"/>
    <mergeCell ref="B67:C67"/>
    <mergeCell ref="B65:C65"/>
    <mergeCell ref="B66:C66"/>
  </mergeCells>
  <phoneticPr fontId="11" type="noConversion"/>
  <dataValidations count="6">
    <dataValidation type="list" allowBlank="1" showInputMessage="1" showErrorMessage="1" sqref="E51 E26:E27 D11 E45:E46 F63:F69 E37:E43">
      <formula1>YES_NO</formula1>
    </dataValidation>
    <dataValidation type="list" allowBlank="1" showInputMessage="1" showErrorMessage="1" sqref="H51 J45:J46 D22 F22 H26:H27 J27:J30 H45:H46 H37:H43 J37:J43">
      <formula1>Rate</formula1>
    </dataValidation>
    <dataValidation type="list" allowBlank="1" showInputMessage="1" showErrorMessage="1" sqref="F53:F56">
      <formula1>irrig_sys</formula1>
    </dataValidation>
    <dataValidation type="list" allowBlank="1" showInputMessage="1" showErrorMessage="1" sqref="B63:B69">
      <formula1>construct</formula1>
    </dataValidation>
    <dataValidation type="list" allowBlank="1" showInputMessage="1" showErrorMessage="1" sqref="D10">
      <formula1>country</formula1>
    </dataValidation>
    <dataValidation type="decimal" operator="greaterThanOrEqual" allowBlank="1" showInputMessage="1" showErrorMessage="1" sqref="E15:E16 B22:C22 E22 E30:F31 F45:G46 E53:E56 I45:I46 F37:G43 I37:I4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75"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pageSetUpPr fitToPage="1"/>
  </sheetPr>
  <dimension ref="A1:M647"/>
  <sheetViews>
    <sheetView zoomScaleNormal="100" workbookViewId="0">
      <pane ySplit="5" topLeftCell="A6" activePane="bottomLeft" state="frozen"/>
      <selection activeCell="J14" sqref="J14"/>
      <selection pane="bottomLeft" activeCell="E19" sqref="E19"/>
    </sheetView>
  </sheetViews>
  <sheetFormatPr baseColWidth="10" defaultColWidth="11.44140625" defaultRowHeight="13.2"/>
  <cols>
    <col min="1" max="1" width="4.109375" style="232" customWidth="1"/>
    <col min="2" max="2" width="27.6640625" style="232" customWidth="1"/>
    <col min="3" max="3" width="13.44140625" style="232" customWidth="1"/>
    <col min="4" max="4" width="14" style="232" customWidth="1"/>
    <col min="5" max="5" width="13.88671875" style="232" customWidth="1"/>
    <col min="6" max="6" width="2.44140625" style="232" customWidth="1"/>
    <col min="7" max="7" width="15" style="232" customWidth="1"/>
    <col min="8" max="8" width="10.6640625" style="232" customWidth="1"/>
    <col min="9" max="9" width="12.44140625" style="232" customWidth="1"/>
    <col min="10" max="10" width="1.44140625" style="232" customWidth="1"/>
    <col min="11" max="11" width="15.109375" style="244" customWidth="1"/>
    <col min="12" max="12" width="11.6640625" style="232" customWidth="1"/>
    <col min="13" max="13" width="11.44140625" style="232"/>
    <col min="14" max="15" width="8.109375" style="232" customWidth="1"/>
    <col min="16" max="16384" width="11.44140625" style="232"/>
  </cols>
  <sheetData>
    <row r="1" spans="1:13" s="2290" customFormat="1" ht="22.95" customHeight="1">
      <c r="K1" s="2291"/>
    </row>
    <row r="2" spans="1:13" s="2290" customFormat="1" ht="22.95" customHeight="1">
      <c r="K2" s="2291"/>
    </row>
    <row r="3" spans="1:13" s="2290" customFormat="1" ht="22.95" customHeight="1">
      <c r="K3" s="2291"/>
    </row>
    <row r="4" spans="1:13" s="2290" customFormat="1" ht="22.95" customHeight="1">
      <c r="K4" s="2291"/>
    </row>
    <row r="5" spans="1:13" s="2292" customFormat="1" ht="22.95" customHeight="1">
      <c r="A5" s="2783" t="str">
        <f>HLOOKUP(select,translations!$B$436:$H$450,2,)</f>
        <v xml:space="preserve"> </v>
      </c>
      <c r="K5" s="2293"/>
    </row>
    <row r="6" spans="1:13" s="1740" customFormat="1" ht="17.399999999999999" customHeight="1">
      <c r="K6" s="1747"/>
    </row>
    <row r="7" spans="1:13" s="1749" customFormat="1">
      <c r="B7" s="1750" t="str">
        <f>HLOOKUP(select,translations!$B$7:$H$19,2,)</f>
        <v>Project Name</v>
      </c>
      <c r="C7" s="3065"/>
      <c r="D7" s="3065"/>
      <c r="E7" s="3065"/>
      <c r="F7" s="1739"/>
      <c r="M7" s="1739"/>
    </row>
    <row r="8" spans="1:13" s="1749" customFormat="1">
      <c r="B8" s="1740"/>
      <c r="C8" s="1741"/>
      <c r="D8" s="1739"/>
      <c r="E8" s="1739"/>
      <c r="F8" s="1739"/>
      <c r="I8" s="1740" t="str">
        <f>HLOOKUP(select,translations!$B$7:$H$19,13,)</f>
        <v xml:space="preserve"> </v>
      </c>
      <c r="M8" s="1739"/>
    </row>
    <row r="9" spans="1:13" s="1749" customFormat="1">
      <c r="B9" s="1750" t="str">
        <f>HLOOKUP(select,translations!$B$7:$H$19,3,)</f>
        <v>Continent</v>
      </c>
      <c r="C9" s="3066" t="s">
        <v>4</v>
      </c>
      <c r="D9" s="3066"/>
      <c r="E9" s="3066"/>
      <c r="F9" s="1739"/>
      <c r="I9" s="1749" t="str">
        <f>IF(Nlang=1,"",VLOOKUP(region,'Name translation'!A1:H13,Nlang+1,))</f>
        <v/>
      </c>
      <c r="J9" s="1742"/>
      <c r="K9" s="1751"/>
      <c r="M9" s="1739"/>
    </row>
    <row r="10" spans="1:13" s="1749" customFormat="1">
      <c r="B10" s="1739"/>
      <c r="C10" s="1741"/>
      <c r="D10" s="1739"/>
      <c r="E10" s="1739"/>
      <c r="J10" s="1744"/>
      <c r="K10" s="1751"/>
    </row>
    <row r="11" spans="1:13" s="1749" customFormat="1">
      <c r="B11" s="1750" t="str">
        <f>HLOOKUP(select,translations!$B$7:$H$19,4,)</f>
        <v>Climate</v>
      </c>
      <c r="C11" s="3066" t="s">
        <v>4</v>
      </c>
      <c r="D11" s="3067"/>
      <c r="E11" s="3067"/>
      <c r="I11" s="1749" t="str">
        <f>IF(Nlang=1,"",VLOOKUP(climate,'Name translation'!A14:H22,Nlang+1,))</f>
        <v/>
      </c>
      <c r="J11" s="1742"/>
      <c r="K11" s="1751"/>
    </row>
    <row r="12" spans="1:13" s="1749" customFormat="1">
      <c r="B12" s="1754" t="str">
        <f>HLOOKUP(select,translations!$B$7:$H$19,5,)</f>
        <v>Moisture regime</v>
      </c>
      <c r="C12" s="3064" t="s">
        <v>4</v>
      </c>
      <c r="D12" s="3064"/>
      <c r="E12" s="3064"/>
      <c r="G12" s="2790" t="str">
        <f>HLOOKUP(select,translations!$B$7:$H$19,11,)</f>
        <v>Climate ?</v>
      </c>
      <c r="I12" s="1749" t="str">
        <f>IF(Nlang=1,"",VLOOKUP(moist_type,'Name translation'!A14:H28,Nlang+1,))</f>
        <v/>
      </c>
      <c r="J12" s="1742"/>
      <c r="K12" s="1751"/>
    </row>
    <row r="13" spans="1:13" s="1749" customFormat="1">
      <c r="B13" s="1739"/>
      <c r="C13" s="1739"/>
      <c r="D13" s="1739"/>
      <c r="E13" s="1760"/>
      <c r="K13" s="1751"/>
    </row>
    <row r="14" spans="1:13" s="1749" customFormat="1">
      <c r="B14" s="1739"/>
      <c r="C14" s="1741"/>
      <c r="D14" s="1739"/>
      <c r="E14" s="1739"/>
      <c r="K14" s="1751"/>
    </row>
    <row r="15" spans="1:13" s="1749" customFormat="1">
      <c r="B15" s="1750" t="str">
        <f>HLOOKUP(select,translations!$B$7:$H$19,6,)</f>
        <v>Dominant Regional Soil Type</v>
      </c>
      <c r="C15" s="3064" t="s">
        <v>4</v>
      </c>
      <c r="D15" s="3064"/>
      <c r="E15" s="3064"/>
      <c r="G15" s="2834" t="str">
        <f>HLOOKUP(select,translations!$B$7:$H$19,12,)</f>
        <v>Soil ?</v>
      </c>
      <c r="I15" s="1749" t="str">
        <f>IF(Nlang=1,"",VLOOKUP(soil,'Name translation'!A2:H29,Nlang+1,))</f>
        <v/>
      </c>
      <c r="J15" s="1742"/>
      <c r="K15" s="1751"/>
    </row>
    <row r="16" spans="1:13" s="1749" customFormat="1">
      <c r="B16" s="1739"/>
      <c r="C16" s="1739"/>
      <c r="D16" s="1739"/>
      <c r="E16" s="1823"/>
      <c r="K16" s="1751"/>
    </row>
    <row r="17" spans="2:11" s="1749" customFormat="1">
      <c r="E17" s="1739"/>
      <c r="K17" s="1751"/>
    </row>
    <row r="18" spans="2:11" s="1749" customFormat="1">
      <c r="B18" s="1750" t="str">
        <f>HLOOKUP(select,translations!$B$7:$H$19,7,)</f>
        <v>Duration of the Project (Years)</v>
      </c>
      <c r="C18" s="1848" t="str">
        <f>HLOOKUP(select,translations!$B$7:$H$19,8,)</f>
        <v>Implementation phase</v>
      </c>
      <c r="D18" s="1758"/>
      <c r="E18" s="1755"/>
      <c r="K18" s="1751"/>
    </row>
    <row r="19" spans="2:11" s="1749" customFormat="1">
      <c r="B19" s="1756"/>
      <c r="C19" s="1757" t="str">
        <f>HLOOKUP(select,translations!$B$7:$H$19,9,)</f>
        <v>Capitalisation phase</v>
      </c>
      <c r="D19" s="1758"/>
      <c r="E19" s="1755"/>
      <c r="K19" s="1751"/>
    </row>
    <row r="20" spans="2:11" s="1749" customFormat="1">
      <c r="B20" s="1756"/>
      <c r="C20" s="3063" t="str">
        <f>HLOOKUP(select,translations!$B$7:$H$19,10,)</f>
        <v>Duration of accounting</v>
      </c>
      <c r="D20" s="3063"/>
      <c r="E20" s="1759">
        <f>time2+time</f>
        <v>0</v>
      </c>
      <c r="K20" s="1751"/>
    </row>
    <row r="21" spans="2:11" s="1749" customFormat="1">
      <c r="K21" s="1751"/>
    </row>
    <row r="22" spans="2:11" s="1749" customFormat="1">
      <c r="B22" s="1740"/>
    </row>
    <row r="23" spans="2:11" s="1749" customFormat="1">
      <c r="B23" s="1845"/>
    </row>
    <row r="24" spans="2:11" s="1749" customFormat="1">
      <c r="B24" s="1845"/>
    </row>
    <row r="25" spans="2:11" s="1749" customFormat="1">
      <c r="B25" s="1845"/>
    </row>
    <row r="26" spans="2:11" s="1749" customFormat="1">
      <c r="B26" s="1752"/>
    </row>
    <row r="27" spans="2:11" s="1749" customFormat="1"/>
    <row r="28" spans="2:11" s="1749" customFormat="1">
      <c r="B28" s="1846"/>
    </row>
    <row r="29" spans="2:11" s="1749" customFormat="1">
      <c r="B29" s="1846"/>
    </row>
    <row r="30" spans="2:11" s="1749" customFormat="1">
      <c r="B30" s="1846"/>
    </row>
    <row r="31" spans="2:11" s="1749" customFormat="1">
      <c r="B31" s="1845"/>
    </row>
    <row r="32" spans="2:11" s="1749" customFormat="1">
      <c r="B32" s="1752"/>
    </row>
    <row r="33" spans="2:11" s="1749" customFormat="1">
      <c r="B33" s="1753"/>
    </row>
    <row r="34" spans="2:11" s="1749" customFormat="1">
      <c r="B34" s="1847"/>
    </row>
    <row r="35" spans="2:11" s="1749" customFormat="1">
      <c r="B35" s="1847"/>
    </row>
    <row r="36" spans="2:11" s="1749" customFormat="1">
      <c r="B36" s="1847"/>
    </row>
    <row r="37" spans="2:11" s="1738" customFormat="1"/>
    <row r="38" spans="2:11" s="1738" customFormat="1"/>
    <row r="39" spans="2:11" s="1738" customFormat="1"/>
    <row r="40" spans="2:11" s="1738" customFormat="1">
      <c r="B40" s="1745"/>
    </row>
    <row r="41" spans="2:11" s="1738" customFormat="1">
      <c r="B41" s="1746"/>
    </row>
    <row r="42" spans="2:11" s="1738" customFormat="1"/>
    <row r="43" spans="2:11" s="1738" customFormat="1"/>
    <row r="44" spans="2:11" s="1738" customFormat="1">
      <c r="K44" s="1743"/>
    </row>
    <row r="45" spans="2:11" s="1738" customFormat="1">
      <c r="K45" s="1743"/>
    </row>
    <row r="46" spans="2:11" s="1738" customFormat="1">
      <c r="K46" s="1743"/>
    </row>
    <row r="47" spans="2:11" s="1738" customFormat="1">
      <c r="K47" s="1743"/>
    </row>
    <row r="48" spans="2:11" s="1738" customFormat="1">
      <c r="K48" s="1743"/>
    </row>
    <row r="49" spans="11:11" s="1738" customFormat="1">
      <c r="K49" s="1743"/>
    </row>
    <row r="50" spans="11:11" s="1738" customFormat="1">
      <c r="K50" s="1743"/>
    </row>
    <row r="51" spans="11:11" s="1738" customFormat="1">
      <c r="K51" s="1743"/>
    </row>
    <row r="52" spans="11:11" s="1738" customFormat="1">
      <c r="K52" s="1743"/>
    </row>
    <row r="53" spans="11:11" s="1738" customFormat="1">
      <c r="K53" s="1743"/>
    </row>
    <row r="54" spans="11:11" s="1738" customFormat="1">
      <c r="K54" s="1743"/>
    </row>
    <row r="55" spans="11:11" s="1738" customFormat="1">
      <c r="K55" s="1743"/>
    </row>
    <row r="56" spans="11:11" s="1738" customFormat="1">
      <c r="K56" s="1743"/>
    </row>
    <row r="57" spans="11:11" s="1738" customFormat="1">
      <c r="K57" s="1743"/>
    </row>
    <row r="58" spans="11:11" s="1738" customFormat="1">
      <c r="K58" s="1743"/>
    </row>
    <row r="59" spans="11:11" s="1738" customFormat="1">
      <c r="K59" s="1743"/>
    </row>
    <row r="60" spans="11:11" s="1738" customFormat="1">
      <c r="K60" s="1743"/>
    </row>
    <row r="61" spans="11:11" s="1738" customFormat="1">
      <c r="K61" s="1743"/>
    </row>
    <row r="62" spans="11:11" s="1738" customFormat="1">
      <c r="K62" s="1743"/>
    </row>
    <row r="63" spans="11:11" s="1738" customFormat="1">
      <c r="K63" s="1743"/>
    </row>
    <row r="64" spans="11:11" s="1738" customFormat="1">
      <c r="K64" s="1743"/>
    </row>
    <row r="65" spans="11:11" s="1738" customFormat="1">
      <c r="K65" s="1743"/>
    </row>
    <row r="66" spans="11:11" s="1738" customFormat="1">
      <c r="K66" s="1743"/>
    </row>
    <row r="67" spans="11:11" s="1738" customFormat="1">
      <c r="K67" s="1743"/>
    </row>
    <row r="68" spans="11:11" s="1738" customFormat="1">
      <c r="K68" s="1743"/>
    </row>
    <row r="69" spans="11:11" s="1738" customFormat="1">
      <c r="K69" s="1743"/>
    </row>
    <row r="70" spans="11:11" s="1738" customFormat="1">
      <c r="K70" s="1743"/>
    </row>
    <row r="71" spans="11:11" s="1738" customFormat="1">
      <c r="K71" s="1743"/>
    </row>
    <row r="72" spans="11:11" s="1738" customFormat="1">
      <c r="K72" s="1743"/>
    </row>
    <row r="73" spans="11:11" s="1738" customFormat="1">
      <c r="K73" s="1743"/>
    </row>
    <row r="74" spans="11:11" s="1738" customFormat="1">
      <c r="K74" s="1743"/>
    </row>
    <row r="75" spans="11:11" s="1738" customFormat="1">
      <c r="K75" s="1743"/>
    </row>
    <row r="76" spans="11:11" s="1738" customFormat="1">
      <c r="K76" s="1743"/>
    </row>
    <row r="77" spans="11:11" s="1738" customFormat="1">
      <c r="K77" s="1743"/>
    </row>
    <row r="78" spans="11:11" s="1738" customFormat="1">
      <c r="K78" s="1743"/>
    </row>
    <row r="79" spans="11:11" s="1738" customFormat="1">
      <c r="K79" s="1743"/>
    </row>
    <row r="80" spans="11:11" s="1738" customFormat="1">
      <c r="K80" s="1743"/>
    </row>
    <row r="81" spans="11:11" s="1738" customFormat="1">
      <c r="K81" s="1743"/>
    </row>
    <row r="82" spans="11:11" s="1738" customFormat="1">
      <c r="K82" s="1743"/>
    </row>
    <row r="83" spans="11:11" s="1738" customFormat="1">
      <c r="K83" s="1743"/>
    </row>
    <row r="84" spans="11:11" s="1738" customFormat="1">
      <c r="K84" s="1743"/>
    </row>
    <row r="85" spans="11:11" s="1738" customFormat="1">
      <c r="K85" s="1743"/>
    </row>
    <row r="86" spans="11:11" s="1738" customFormat="1">
      <c r="K86" s="1743"/>
    </row>
    <row r="87" spans="11:11" s="1738" customFormat="1">
      <c r="K87" s="1743"/>
    </row>
    <row r="88" spans="11:11" s="1738" customFormat="1">
      <c r="K88" s="1743"/>
    </row>
    <row r="89" spans="11:11" s="1738" customFormat="1">
      <c r="K89" s="1743"/>
    </row>
    <row r="90" spans="11:11" s="1738" customFormat="1">
      <c r="K90" s="1743"/>
    </row>
    <row r="91" spans="11:11" s="1738" customFormat="1">
      <c r="K91" s="1743"/>
    </row>
    <row r="92" spans="11:11" s="1738" customFormat="1">
      <c r="K92" s="1743"/>
    </row>
    <row r="93" spans="11:11" s="1738" customFormat="1">
      <c r="K93" s="1743"/>
    </row>
    <row r="94" spans="11:11" s="1738" customFormat="1">
      <c r="K94" s="1743"/>
    </row>
    <row r="95" spans="11:11" s="1738" customFormat="1">
      <c r="K95" s="1743"/>
    </row>
    <row r="96" spans="11:11" s="1738" customFormat="1">
      <c r="K96" s="1743"/>
    </row>
    <row r="97" spans="11:11" s="1738" customFormat="1">
      <c r="K97" s="1743"/>
    </row>
    <row r="98" spans="11:11" s="1738" customFormat="1">
      <c r="K98" s="1743"/>
    </row>
    <row r="99" spans="11:11" s="1738" customFormat="1">
      <c r="K99" s="1743"/>
    </row>
    <row r="100" spans="11:11" s="1738" customFormat="1">
      <c r="K100" s="1743"/>
    </row>
    <row r="101" spans="11:11" s="1738" customFormat="1">
      <c r="K101" s="1743"/>
    </row>
    <row r="102" spans="11:11" s="1738" customFormat="1">
      <c r="K102" s="1743"/>
    </row>
    <row r="103" spans="11:11" s="1738" customFormat="1">
      <c r="K103" s="1743"/>
    </row>
    <row r="104" spans="11:11" s="1738" customFormat="1">
      <c r="K104" s="1743"/>
    </row>
    <row r="105" spans="11:11" s="1738" customFormat="1">
      <c r="K105" s="1743"/>
    </row>
    <row r="106" spans="11:11" s="1738" customFormat="1">
      <c r="K106" s="1743"/>
    </row>
    <row r="107" spans="11:11" s="1738" customFormat="1">
      <c r="K107" s="1743"/>
    </row>
    <row r="108" spans="11:11" s="1738" customFormat="1">
      <c r="K108" s="1743"/>
    </row>
    <row r="109" spans="11:11" s="1738" customFormat="1">
      <c r="K109" s="1743"/>
    </row>
    <row r="110" spans="11:11" s="1738" customFormat="1">
      <c r="K110" s="1743"/>
    </row>
    <row r="111" spans="11:11" s="1738" customFormat="1">
      <c r="K111" s="1743"/>
    </row>
    <row r="112" spans="11:11" s="1738" customFormat="1">
      <c r="K112" s="1743"/>
    </row>
    <row r="113" spans="11:11" s="1738" customFormat="1">
      <c r="K113" s="1743"/>
    </row>
    <row r="114" spans="11:11" s="1738" customFormat="1">
      <c r="K114" s="1743"/>
    </row>
    <row r="115" spans="11:11" s="1738" customFormat="1">
      <c r="K115" s="1743"/>
    </row>
    <row r="116" spans="11:11" s="1738" customFormat="1">
      <c r="K116" s="1743"/>
    </row>
    <row r="117" spans="11:11" s="1738" customFormat="1">
      <c r="K117" s="1743"/>
    </row>
    <row r="118" spans="11:11" s="1738" customFormat="1">
      <c r="K118" s="1743"/>
    </row>
    <row r="119" spans="11:11" s="1738" customFormat="1">
      <c r="K119" s="1743"/>
    </row>
    <row r="120" spans="11:11" s="1738" customFormat="1">
      <c r="K120" s="1743"/>
    </row>
    <row r="121" spans="11:11" s="1738" customFormat="1">
      <c r="K121" s="1743"/>
    </row>
    <row r="122" spans="11:11" s="1738" customFormat="1">
      <c r="K122" s="1743"/>
    </row>
    <row r="123" spans="11:11" s="1738" customFormat="1">
      <c r="K123" s="1743"/>
    </row>
    <row r="124" spans="11:11" s="1738" customFormat="1">
      <c r="K124" s="1743"/>
    </row>
    <row r="125" spans="11:11" s="1738" customFormat="1">
      <c r="K125" s="1743"/>
    </row>
    <row r="126" spans="11:11" s="1738" customFormat="1">
      <c r="K126" s="1743"/>
    </row>
    <row r="127" spans="11:11" s="1738" customFormat="1">
      <c r="K127" s="1743"/>
    </row>
    <row r="128" spans="11:11" s="1738" customFormat="1">
      <c r="K128" s="1743"/>
    </row>
    <row r="129" spans="11:11" s="1738" customFormat="1">
      <c r="K129" s="1743"/>
    </row>
    <row r="130" spans="11:11" s="1738" customFormat="1">
      <c r="K130" s="1743"/>
    </row>
    <row r="131" spans="11:11" s="1738" customFormat="1">
      <c r="K131" s="1743"/>
    </row>
    <row r="132" spans="11:11" s="1738" customFormat="1">
      <c r="K132" s="1743"/>
    </row>
    <row r="133" spans="11:11" s="1738" customFormat="1">
      <c r="K133" s="1743"/>
    </row>
    <row r="134" spans="11:11" s="1738" customFormat="1">
      <c r="K134" s="1743"/>
    </row>
    <row r="135" spans="11:11" s="1738" customFormat="1">
      <c r="K135" s="1743"/>
    </row>
    <row r="136" spans="11:11" s="1738" customFormat="1">
      <c r="K136" s="1743"/>
    </row>
    <row r="137" spans="11:11" s="1738" customFormat="1">
      <c r="K137" s="1743"/>
    </row>
    <row r="138" spans="11:11" s="1738" customFormat="1">
      <c r="K138" s="1743"/>
    </row>
    <row r="139" spans="11:11" s="1738" customFormat="1">
      <c r="K139" s="1743"/>
    </row>
    <row r="140" spans="11:11" s="1738" customFormat="1">
      <c r="K140" s="1743"/>
    </row>
    <row r="141" spans="11:11" s="1738" customFormat="1">
      <c r="K141" s="1743"/>
    </row>
    <row r="142" spans="11:11" s="1738" customFormat="1">
      <c r="K142" s="1743"/>
    </row>
    <row r="143" spans="11:11" s="1738" customFormat="1">
      <c r="K143" s="1743"/>
    </row>
    <row r="144" spans="11:11" s="1738" customFormat="1">
      <c r="K144" s="1743"/>
    </row>
    <row r="145" spans="11:11" s="1738" customFormat="1">
      <c r="K145" s="1743"/>
    </row>
    <row r="146" spans="11:11" s="1738" customFormat="1">
      <c r="K146" s="1743"/>
    </row>
    <row r="147" spans="11:11" s="1738" customFormat="1">
      <c r="K147" s="1743"/>
    </row>
    <row r="148" spans="11:11" s="1738" customFormat="1">
      <c r="K148" s="1743"/>
    </row>
    <row r="149" spans="11:11" s="1738" customFormat="1">
      <c r="K149" s="1743"/>
    </row>
    <row r="150" spans="11:11" s="1738" customFormat="1">
      <c r="K150" s="1743"/>
    </row>
    <row r="151" spans="11:11" s="1738" customFormat="1">
      <c r="K151" s="1743"/>
    </row>
    <row r="152" spans="11:11" s="1738" customFormat="1">
      <c r="K152" s="1743"/>
    </row>
    <row r="153" spans="11:11" s="1738" customFormat="1">
      <c r="K153" s="1743"/>
    </row>
    <row r="154" spans="11:11" s="1738" customFormat="1">
      <c r="K154" s="1743"/>
    </row>
    <row r="155" spans="11:11" s="1738" customFormat="1">
      <c r="K155" s="1743"/>
    </row>
    <row r="156" spans="11:11" s="1738" customFormat="1">
      <c r="K156" s="1743"/>
    </row>
    <row r="157" spans="11:11" s="1738" customFormat="1">
      <c r="K157" s="1743"/>
    </row>
    <row r="158" spans="11:11" s="1738" customFormat="1">
      <c r="K158" s="1743"/>
    </row>
    <row r="159" spans="11:11" s="1738" customFormat="1">
      <c r="K159" s="1743"/>
    </row>
    <row r="160" spans="11:11" s="1738" customFormat="1">
      <c r="K160" s="1743"/>
    </row>
    <row r="161" spans="11:11" s="1738" customFormat="1">
      <c r="K161" s="1743"/>
    </row>
    <row r="162" spans="11:11" s="1738" customFormat="1">
      <c r="K162" s="1743"/>
    </row>
    <row r="163" spans="11:11" s="1738" customFormat="1">
      <c r="K163" s="1743"/>
    </row>
    <row r="164" spans="11:11" s="1738" customFormat="1">
      <c r="K164" s="1743"/>
    </row>
    <row r="165" spans="11:11" s="1738" customFormat="1">
      <c r="K165" s="1743"/>
    </row>
    <row r="166" spans="11:11" s="1738" customFormat="1">
      <c r="K166" s="1743"/>
    </row>
    <row r="167" spans="11:11" s="1738" customFormat="1">
      <c r="K167" s="1743"/>
    </row>
    <row r="168" spans="11:11" s="1738" customFormat="1">
      <c r="K168" s="1743"/>
    </row>
    <row r="169" spans="11:11" s="1738" customFormat="1">
      <c r="K169" s="1743"/>
    </row>
    <row r="170" spans="11:11" s="1738" customFormat="1">
      <c r="K170" s="1743"/>
    </row>
    <row r="171" spans="11:11" s="1738" customFormat="1">
      <c r="K171" s="1743"/>
    </row>
    <row r="172" spans="11:11" s="1738" customFormat="1">
      <c r="K172" s="1743"/>
    </row>
    <row r="173" spans="11:11" s="1738" customFormat="1">
      <c r="K173" s="1743"/>
    </row>
    <row r="174" spans="11:11" s="1738" customFormat="1">
      <c r="K174" s="1743"/>
    </row>
    <row r="175" spans="11:11" s="1738" customFormat="1">
      <c r="K175" s="1743"/>
    </row>
    <row r="176" spans="11:11" s="1738" customFormat="1">
      <c r="K176" s="1743"/>
    </row>
    <row r="177" spans="11:11" s="1738" customFormat="1">
      <c r="K177" s="1743"/>
    </row>
    <row r="178" spans="11:11" s="1738" customFormat="1">
      <c r="K178" s="1743"/>
    </row>
    <row r="179" spans="11:11" s="1738" customFormat="1">
      <c r="K179" s="1743"/>
    </row>
    <row r="180" spans="11:11" s="1738" customFormat="1">
      <c r="K180" s="1743"/>
    </row>
    <row r="181" spans="11:11" s="1738" customFormat="1">
      <c r="K181" s="1743"/>
    </row>
    <row r="182" spans="11:11" s="1738" customFormat="1">
      <c r="K182" s="1743"/>
    </row>
    <row r="183" spans="11:11" s="1738" customFormat="1">
      <c r="K183" s="1743"/>
    </row>
    <row r="184" spans="11:11" s="1738" customFormat="1">
      <c r="K184" s="1743"/>
    </row>
    <row r="185" spans="11:11" s="1738" customFormat="1">
      <c r="K185" s="1743"/>
    </row>
    <row r="186" spans="11:11" s="1738" customFormat="1">
      <c r="K186" s="1743"/>
    </row>
    <row r="187" spans="11:11" s="1738" customFormat="1">
      <c r="K187" s="1743"/>
    </row>
    <row r="188" spans="11:11" s="1738" customFormat="1">
      <c r="K188" s="1743"/>
    </row>
    <row r="189" spans="11:11" s="1738" customFormat="1">
      <c r="K189" s="1743"/>
    </row>
    <row r="190" spans="11:11" s="1738" customFormat="1">
      <c r="K190" s="1743"/>
    </row>
    <row r="191" spans="11:11" s="1738" customFormat="1">
      <c r="K191" s="1743"/>
    </row>
    <row r="192" spans="11:11" s="1738" customFormat="1">
      <c r="K192" s="1743"/>
    </row>
    <row r="193" spans="11:11" s="1738" customFormat="1">
      <c r="K193" s="1743"/>
    </row>
    <row r="194" spans="11:11" s="1738" customFormat="1">
      <c r="K194" s="1743"/>
    </row>
    <row r="195" spans="11:11" s="1738" customFormat="1">
      <c r="K195" s="1743"/>
    </row>
    <row r="196" spans="11:11" s="1738" customFormat="1">
      <c r="K196" s="1743"/>
    </row>
    <row r="197" spans="11:11" s="1738" customFormat="1">
      <c r="K197" s="1743"/>
    </row>
    <row r="198" spans="11:11" s="1738" customFormat="1">
      <c r="K198" s="1743"/>
    </row>
    <row r="199" spans="11:11" s="1738" customFormat="1">
      <c r="K199" s="1743"/>
    </row>
    <row r="200" spans="11:11" s="1738" customFormat="1">
      <c r="K200" s="1743"/>
    </row>
    <row r="201" spans="11:11" s="1738" customFormat="1">
      <c r="K201" s="1743"/>
    </row>
    <row r="202" spans="11:11" s="1738" customFormat="1">
      <c r="K202" s="1743"/>
    </row>
    <row r="203" spans="11:11" s="1738" customFormat="1">
      <c r="K203" s="1743"/>
    </row>
    <row r="204" spans="11:11" s="1738" customFormat="1">
      <c r="K204" s="1743"/>
    </row>
    <row r="205" spans="11:11" s="1738" customFormat="1">
      <c r="K205" s="1743"/>
    </row>
    <row r="206" spans="11:11" s="1738" customFormat="1">
      <c r="K206" s="1743"/>
    </row>
    <row r="207" spans="11:11" s="1738" customFormat="1">
      <c r="K207" s="1743"/>
    </row>
    <row r="208" spans="11:11" s="1738" customFormat="1">
      <c r="K208" s="1743"/>
    </row>
    <row r="209" spans="11:11" s="1738" customFormat="1">
      <c r="K209" s="1743"/>
    </row>
    <row r="210" spans="11:11" s="1738" customFormat="1">
      <c r="K210" s="1743"/>
    </row>
    <row r="211" spans="11:11" s="1738" customFormat="1">
      <c r="K211" s="1743"/>
    </row>
    <row r="212" spans="11:11" s="1738" customFormat="1">
      <c r="K212" s="1743"/>
    </row>
    <row r="213" spans="11:11" s="1738" customFormat="1">
      <c r="K213" s="1743"/>
    </row>
    <row r="214" spans="11:11" s="1738" customFormat="1">
      <c r="K214" s="1743"/>
    </row>
    <row r="215" spans="11:11" s="1738" customFormat="1">
      <c r="K215" s="1743"/>
    </row>
    <row r="216" spans="11:11" s="1738" customFormat="1">
      <c r="K216" s="1743"/>
    </row>
    <row r="217" spans="11:11" s="1738" customFormat="1">
      <c r="K217" s="1743"/>
    </row>
    <row r="218" spans="11:11" s="1738" customFormat="1">
      <c r="K218" s="1743"/>
    </row>
    <row r="219" spans="11:11" s="1738" customFormat="1">
      <c r="K219" s="1743"/>
    </row>
    <row r="220" spans="11:11" s="1738" customFormat="1">
      <c r="K220" s="1743"/>
    </row>
    <row r="221" spans="11:11" s="1738" customFormat="1">
      <c r="K221" s="1743"/>
    </row>
    <row r="222" spans="11:11" s="1738" customFormat="1">
      <c r="K222" s="1743"/>
    </row>
    <row r="223" spans="11:11" s="1738" customFormat="1">
      <c r="K223" s="1743"/>
    </row>
    <row r="224" spans="11:11" s="1738" customFormat="1">
      <c r="K224" s="1743"/>
    </row>
    <row r="225" spans="11:11" s="1738" customFormat="1">
      <c r="K225" s="1743"/>
    </row>
    <row r="226" spans="11:11" s="1738" customFormat="1">
      <c r="K226" s="1743"/>
    </row>
    <row r="227" spans="11:11" s="1738" customFormat="1">
      <c r="K227" s="1743"/>
    </row>
    <row r="228" spans="11:11" s="1738" customFormat="1">
      <c r="K228" s="1743"/>
    </row>
    <row r="229" spans="11:11" s="1738" customFormat="1">
      <c r="K229" s="1743"/>
    </row>
    <row r="230" spans="11:11" s="1738" customFormat="1">
      <c r="K230" s="1743"/>
    </row>
    <row r="231" spans="11:11" s="1738" customFormat="1">
      <c r="K231" s="1743"/>
    </row>
    <row r="232" spans="11:11" s="1738" customFormat="1">
      <c r="K232" s="1743"/>
    </row>
    <row r="233" spans="11:11" s="1738" customFormat="1">
      <c r="K233" s="1743"/>
    </row>
    <row r="234" spans="11:11" s="1738" customFormat="1">
      <c r="K234" s="1743"/>
    </row>
    <row r="235" spans="11:11" s="1738" customFormat="1">
      <c r="K235" s="1743"/>
    </row>
    <row r="236" spans="11:11" s="1738" customFormat="1">
      <c r="K236" s="1743"/>
    </row>
    <row r="237" spans="11:11" s="1738" customFormat="1">
      <c r="K237" s="1743"/>
    </row>
    <row r="238" spans="11:11" s="1738" customFormat="1">
      <c r="K238" s="1743"/>
    </row>
    <row r="239" spans="11:11" s="1738" customFormat="1">
      <c r="K239" s="1743"/>
    </row>
    <row r="240" spans="11:11" s="1738" customFormat="1">
      <c r="K240" s="1743"/>
    </row>
    <row r="241" spans="11:11" s="1738" customFormat="1">
      <c r="K241" s="1743"/>
    </row>
    <row r="242" spans="11:11" s="1738" customFormat="1">
      <c r="K242" s="1743"/>
    </row>
    <row r="243" spans="11:11" s="1738" customFormat="1">
      <c r="K243" s="1743"/>
    </row>
    <row r="244" spans="11:11" s="1738" customFormat="1">
      <c r="K244" s="1743"/>
    </row>
    <row r="245" spans="11:11" s="1738" customFormat="1">
      <c r="K245" s="1743"/>
    </row>
    <row r="246" spans="11:11" s="1738" customFormat="1">
      <c r="K246" s="1743"/>
    </row>
    <row r="247" spans="11:11" s="1738" customFormat="1">
      <c r="K247" s="1743"/>
    </row>
    <row r="248" spans="11:11" s="1738" customFormat="1">
      <c r="K248" s="1743"/>
    </row>
    <row r="249" spans="11:11" s="1738" customFormat="1">
      <c r="K249" s="1743"/>
    </row>
    <row r="250" spans="11:11" s="1738" customFormat="1">
      <c r="K250" s="1743"/>
    </row>
    <row r="251" spans="11:11" s="1738" customFormat="1">
      <c r="K251" s="1743"/>
    </row>
    <row r="252" spans="11:11" s="1738" customFormat="1">
      <c r="K252" s="1743"/>
    </row>
    <row r="253" spans="11:11" s="1738" customFormat="1">
      <c r="K253" s="1743"/>
    </row>
    <row r="254" spans="11:11" s="1738" customFormat="1">
      <c r="K254" s="1743"/>
    </row>
    <row r="255" spans="11:11" s="1738" customFormat="1">
      <c r="K255" s="1743"/>
    </row>
    <row r="256" spans="11:11" s="1738" customFormat="1">
      <c r="K256" s="1743"/>
    </row>
    <row r="257" spans="11:11" s="1738" customFormat="1">
      <c r="K257" s="1743"/>
    </row>
    <row r="258" spans="11:11" s="1738" customFormat="1">
      <c r="K258" s="1743"/>
    </row>
    <row r="259" spans="11:11" s="1738" customFormat="1">
      <c r="K259" s="1743"/>
    </row>
    <row r="260" spans="11:11" s="1738" customFormat="1">
      <c r="K260" s="1743"/>
    </row>
    <row r="261" spans="11:11" s="1738" customFormat="1">
      <c r="K261" s="1743"/>
    </row>
    <row r="262" spans="11:11" s="1738" customFormat="1">
      <c r="K262" s="1743"/>
    </row>
    <row r="263" spans="11:11" s="1738" customFormat="1">
      <c r="K263" s="1743"/>
    </row>
    <row r="264" spans="11:11" s="1738" customFormat="1">
      <c r="K264" s="1743"/>
    </row>
    <row r="265" spans="11:11" s="1738" customFormat="1">
      <c r="K265" s="1743"/>
    </row>
    <row r="266" spans="11:11" s="1738" customFormat="1">
      <c r="K266" s="1743"/>
    </row>
    <row r="267" spans="11:11" s="1738" customFormat="1">
      <c r="K267" s="1743"/>
    </row>
    <row r="268" spans="11:11" s="1738" customFormat="1">
      <c r="K268" s="1743"/>
    </row>
    <row r="269" spans="11:11" s="1738" customFormat="1">
      <c r="K269" s="1743"/>
    </row>
    <row r="270" spans="11:11" s="1738" customFormat="1">
      <c r="K270" s="1743"/>
    </row>
    <row r="271" spans="11:11" s="1738" customFormat="1">
      <c r="K271" s="1743"/>
    </row>
    <row r="272" spans="11:11" s="1738" customFormat="1">
      <c r="K272" s="1743"/>
    </row>
    <row r="273" spans="11:11" s="1738" customFormat="1">
      <c r="K273" s="1743"/>
    </row>
    <row r="274" spans="11:11" s="1738" customFormat="1">
      <c r="K274" s="1743"/>
    </row>
    <row r="275" spans="11:11" s="1738" customFormat="1">
      <c r="K275" s="1743"/>
    </row>
    <row r="276" spans="11:11" s="1738" customFormat="1">
      <c r="K276" s="1743"/>
    </row>
    <row r="277" spans="11:11" s="1738" customFormat="1">
      <c r="K277" s="1743"/>
    </row>
    <row r="278" spans="11:11" s="1738" customFormat="1">
      <c r="K278" s="1743"/>
    </row>
    <row r="279" spans="11:11" s="1738" customFormat="1">
      <c r="K279" s="1743"/>
    </row>
    <row r="280" spans="11:11" s="1738" customFormat="1">
      <c r="K280" s="1743"/>
    </row>
    <row r="281" spans="11:11" s="1738" customFormat="1">
      <c r="K281" s="1743"/>
    </row>
    <row r="282" spans="11:11" s="1738" customFormat="1">
      <c r="K282" s="1743"/>
    </row>
    <row r="283" spans="11:11" s="1738" customFormat="1">
      <c r="K283" s="1743"/>
    </row>
    <row r="284" spans="11:11" s="1738" customFormat="1">
      <c r="K284" s="1743"/>
    </row>
    <row r="285" spans="11:11" s="1738" customFormat="1">
      <c r="K285" s="1743"/>
    </row>
    <row r="286" spans="11:11" s="1738" customFormat="1">
      <c r="K286" s="1743"/>
    </row>
    <row r="287" spans="11:11" s="1738" customFormat="1">
      <c r="K287" s="1743"/>
    </row>
    <row r="288" spans="11:11" s="1738" customFormat="1">
      <c r="K288" s="1743"/>
    </row>
    <row r="289" spans="11:11" s="1738" customFormat="1">
      <c r="K289" s="1743"/>
    </row>
    <row r="290" spans="11:11" s="1738" customFormat="1">
      <c r="K290" s="1743"/>
    </row>
    <row r="291" spans="11:11" s="1738" customFormat="1">
      <c r="K291" s="1743"/>
    </row>
    <row r="292" spans="11:11" s="1738" customFormat="1">
      <c r="K292" s="1743"/>
    </row>
    <row r="293" spans="11:11" s="1738" customFormat="1">
      <c r="K293" s="1743"/>
    </row>
    <row r="294" spans="11:11" s="1738" customFormat="1">
      <c r="K294" s="1743"/>
    </row>
    <row r="295" spans="11:11" s="1738" customFormat="1">
      <c r="K295" s="1743"/>
    </row>
    <row r="296" spans="11:11" s="1738" customFormat="1">
      <c r="K296" s="1743"/>
    </row>
    <row r="297" spans="11:11" s="1738" customFormat="1">
      <c r="K297" s="1743"/>
    </row>
    <row r="298" spans="11:11" s="1738" customFormat="1">
      <c r="K298" s="1743"/>
    </row>
    <row r="299" spans="11:11" s="1738" customFormat="1">
      <c r="K299" s="1743"/>
    </row>
    <row r="300" spans="11:11" s="1738" customFormat="1">
      <c r="K300" s="1743"/>
    </row>
    <row r="301" spans="11:11" s="1738" customFormat="1">
      <c r="K301" s="1743"/>
    </row>
    <row r="302" spans="11:11" s="1738" customFormat="1">
      <c r="K302" s="1743"/>
    </row>
    <row r="303" spans="11:11" s="1738" customFormat="1">
      <c r="K303" s="1743"/>
    </row>
    <row r="304" spans="11:11" s="1738" customFormat="1">
      <c r="K304" s="1743"/>
    </row>
    <row r="305" spans="11:11" s="1738" customFormat="1">
      <c r="K305" s="1743"/>
    </row>
    <row r="306" spans="11:11" s="1738" customFormat="1">
      <c r="K306" s="1743"/>
    </row>
    <row r="307" spans="11:11" s="1738" customFormat="1">
      <c r="K307" s="1743"/>
    </row>
    <row r="308" spans="11:11" s="1738" customFormat="1">
      <c r="K308" s="1743"/>
    </row>
    <row r="309" spans="11:11" s="1738" customFormat="1">
      <c r="K309" s="1743"/>
    </row>
    <row r="310" spans="11:11" s="1738" customFormat="1">
      <c r="K310" s="1743"/>
    </row>
    <row r="311" spans="11:11" s="1738" customFormat="1">
      <c r="K311" s="1743"/>
    </row>
    <row r="312" spans="11:11" s="1738" customFormat="1">
      <c r="K312" s="1743"/>
    </row>
    <row r="313" spans="11:11" s="1738" customFormat="1">
      <c r="K313" s="1743"/>
    </row>
    <row r="314" spans="11:11" s="1738" customFormat="1">
      <c r="K314" s="1743"/>
    </row>
    <row r="315" spans="11:11" s="1738" customFormat="1">
      <c r="K315" s="1743"/>
    </row>
    <row r="316" spans="11:11" s="1738" customFormat="1">
      <c r="K316" s="1743"/>
    </row>
    <row r="317" spans="11:11" s="1738" customFormat="1">
      <c r="K317" s="1743"/>
    </row>
    <row r="318" spans="11:11" s="1738" customFormat="1">
      <c r="K318" s="1743"/>
    </row>
    <row r="319" spans="11:11" s="1738" customFormat="1">
      <c r="K319" s="1743"/>
    </row>
    <row r="320" spans="11:11" s="1738" customFormat="1">
      <c r="K320" s="1743"/>
    </row>
    <row r="321" spans="11:11" s="1738" customFormat="1">
      <c r="K321" s="1743"/>
    </row>
    <row r="322" spans="11:11" s="1738" customFormat="1">
      <c r="K322" s="1743"/>
    </row>
    <row r="323" spans="11:11" s="1738" customFormat="1">
      <c r="K323" s="1743"/>
    </row>
    <row r="324" spans="11:11" s="1738" customFormat="1">
      <c r="K324" s="1743"/>
    </row>
    <row r="325" spans="11:11" s="1738" customFormat="1">
      <c r="K325" s="1743"/>
    </row>
    <row r="326" spans="11:11" s="1738" customFormat="1">
      <c r="K326" s="1743"/>
    </row>
    <row r="327" spans="11:11" s="1738" customFormat="1">
      <c r="K327" s="1743"/>
    </row>
    <row r="328" spans="11:11" s="1738" customFormat="1">
      <c r="K328" s="1743"/>
    </row>
    <row r="329" spans="11:11" s="1738" customFormat="1">
      <c r="K329" s="1743"/>
    </row>
    <row r="330" spans="11:11" s="1738" customFormat="1">
      <c r="K330" s="1743"/>
    </row>
    <row r="331" spans="11:11" s="1738" customFormat="1">
      <c r="K331" s="1743"/>
    </row>
    <row r="332" spans="11:11" s="1738" customFormat="1">
      <c r="K332" s="1743"/>
    </row>
    <row r="333" spans="11:11" s="1738" customFormat="1">
      <c r="K333" s="1743"/>
    </row>
    <row r="334" spans="11:11" s="1738" customFormat="1">
      <c r="K334" s="1743"/>
    </row>
    <row r="335" spans="11:11" s="1738" customFormat="1">
      <c r="K335" s="1743"/>
    </row>
    <row r="336" spans="11:11" s="1738" customFormat="1">
      <c r="K336" s="1743"/>
    </row>
    <row r="337" spans="11:11" s="1738" customFormat="1">
      <c r="K337" s="1743"/>
    </row>
    <row r="338" spans="11:11" s="1738" customFormat="1">
      <c r="K338" s="1743"/>
    </row>
    <row r="339" spans="11:11" s="1738" customFormat="1">
      <c r="K339" s="1743"/>
    </row>
    <row r="340" spans="11:11" s="1738" customFormat="1">
      <c r="K340" s="1743"/>
    </row>
    <row r="341" spans="11:11" s="1738" customFormat="1">
      <c r="K341" s="1743"/>
    </row>
    <row r="342" spans="11:11" s="1738" customFormat="1">
      <c r="K342" s="1743"/>
    </row>
    <row r="343" spans="11:11" s="1738" customFormat="1">
      <c r="K343" s="1743"/>
    </row>
    <row r="344" spans="11:11" s="1738" customFormat="1">
      <c r="K344" s="1743"/>
    </row>
    <row r="345" spans="11:11" s="1738" customFormat="1">
      <c r="K345" s="1743"/>
    </row>
    <row r="346" spans="11:11" s="1738" customFormat="1">
      <c r="K346" s="1743"/>
    </row>
    <row r="347" spans="11:11" s="1738" customFormat="1">
      <c r="K347" s="1743"/>
    </row>
    <row r="348" spans="11:11" s="1738" customFormat="1">
      <c r="K348" s="1743"/>
    </row>
    <row r="349" spans="11:11" s="1738" customFormat="1">
      <c r="K349" s="1743"/>
    </row>
    <row r="350" spans="11:11" s="1738" customFormat="1">
      <c r="K350" s="1743"/>
    </row>
    <row r="351" spans="11:11" s="1738" customFormat="1">
      <c r="K351" s="1743"/>
    </row>
    <row r="352" spans="11:11" s="1738" customFormat="1">
      <c r="K352" s="1743"/>
    </row>
    <row r="353" spans="11:11" s="1738" customFormat="1">
      <c r="K353" s="1743"/>
    </row>
    <row r="354" spans="11:11" s="1738" customFormat="1">
      <c r="K354" s="1743"/>
    </row>
    <row r="355" spans="11:11" s="1738" customFormat="1">
      <c r="K355" s="1743"/>
    </row>
    <row r="356" spans="11:11" s="1738" customFormat="1">
      <c r="K356" s="1743"/>
    </row>
    <row r="357" spans="11:11" s="1738" customFormat="1">
      <c r="K357" s="1743"/>
    </row>
    <row r="358" spans="11:11" s="1738" customFormat="1">
      <c r="K358" s="1743"/>
    </row>
    <row r="359" spans="11:11" s="1738" customFormat="1">
      <c r="K359" s="1743"/>
    </row>
    <row r="360" spans="11:11" s="1738" customFormat="1">
      <c r="K360" s="1743"/>
    </row>
    <row r="361" spans="11:11" s="1738" customFormat="1">
      <c r="K361" s="1743"/>
    </row>
    <row r="362" spans="11:11" s="1738" customFormat="1">
      <c r="K362" s="1743"/>
    </row>
    <row r="363" spans="11:11" s="1738" customFormat="1">
      <c r="K363" s="1743"/>
    </row>
    <row r="364" spans="11:11" s="1738" customFormat="1">
      <c r="K364" s="1743"/>
    </row>
    <row r="365" spans="11:11" s="1738" customFormat="1">
      <c r="K365" s="1743"/>
    </row>
    <row r="366" spans="11:11" s="1738" customFormat="1">
      <c r="K366" s="1743"/>
    </row>
    <row r="367" spans="11:11" s="1738" customFormat="1">
      <c r="K367" s="1743"/>
    </row>
    <row r="368" spans="11:11" s="1738" customFormat="1">
      <c r="K368" s="1743"/>
    </row>
    <row r="369" spans="11:11" s="1738" customFormat="1">
      <c r="K369" s="1743"/>
    </row>
    <row r="370" spans="11:11" s="1738" customFormat="1">
      <c r="K370" s="1743"/>
    </row>
    <row r="371" spans="11:11" s="1738" customFormat="1">
      <c r="K371" s="1743"/>
    </row>
    <row r="372" spans="11:11" s="1738" customFormat="1">
      <c r="K372" s="1743"/>
    </row>
    <row r="373" spans="11:11" s="1738" customFormat="1">
      <c r="K373" s="1743"/>
    </row>
    <row r="374" spans="11:11" s="1738" customFormat="1">
      <c r="K374" s="1743"/>
    </row>
    <row r="375" spans="11:11" s="1738" customFormat="1">
      <c r="K375" s="1743"/>
    </row>
    <row r="376" spans="11:11" s="1738" customFormat="1">
      <c r="K376" s="1743"/>
    </row>
    <row r="377" spans="11:11" s="1738" customFormat="1">
      <c r="K377" s="1743"/>
    </row>
    <row r="378" spans="11:11" s="1738" customFormat="1">
      <c r="K378" s="1743"/>
    </row>
    <row r="379" spans="11:11" s="1738" customFormat="1">
      <c r="K379" s="1743"/>
    </row>
    <row r="380" spans="11:11" s="1738" customFormat="1">
      <c r="K380" s="1743"/>
    </row>
    <row r="381" spans="11:11" s="1738" customFormat="1">
      <c r="K381" s="1743"/>
    </row>
    <row r="382" spans="11:11" s="1738" customFormat="1">
      <c r="K382" s="1743"/>
    </row>
    <row r="383" spans="11:11" s="1738" customFormat="1">
      <c r="K383" s="1743"/>
    </row>
    <row r="384" spans="11:11" s="1738" customFormat="1">
      <c r="K384" s="1743"/>
    </row>
    <row r="385" spans="11:11" s="1738" customFormat="1">
      <c r="K385" s="1743"/>
    </row>
    <row r="386" spans="11:11" s="1738" customFormat="1">
      <c r="K386" s="1743"/>
    </row>
    <row r="387" spans="11:11" s="1738" customFormat="1">
      <c r="K387" s="1743"/>
    </row>
    <row r="388" spans="11:11" s="1738" customFormat="1">
      <c r="K388" s="1743"/>
    </row>
    <row r="389" spans="11:11" s="1738" customFormat="1">
      <c r="K389" s="1743"/>
    </row>
    <row r="390" spans="11:11" s="1738" customFormat="1">
      <c r="K390" s="1743"/>
    </row>
    <row r="391" spans="11:11" s="1738" customFormat="1">
      <c r="K391" s="1743"/>
    </row>
    <row r="392" spans="11:11" s="1738" customFormat="1">
      <c r="K392" s="1743"/>
    </row>
    <row r="393" spans="11:11" s="1738" customFormat="1">
      <c r="K393" s="1743"/>
    </row>
    <row r="394" spans="11:11" s="1738" customFormat="1">
      <c r="K394" s="1743"/>
    </row>
    <row r="395" spans="11:11" s="1738" customFormat="1">
      <c r="K395" s="1743"/>
    </row>
    <row r="396" spans="11:11" s="1738" customFormat="1">
      <c r="K396" s="1743"/>
    </row>
    <row r="397" spans="11:11" s="1738" customFormat="1">
      <c r="K397" s="1743"/>
    </row>
    <row r="398" spans="11:11" s="1738" customFormat="1">
      <c r="K398" s="1743"/>
    </row>
    <row r="399" spans="11:11" s="1738" customFormat="1">
      <c r="K399" s="1743"/>
    </row>
    <row r="400" spans="11:11" s="1738" customFormat="1">
      <c r="K400" s="1743"/>
    </row>
    <row r="401" spans="11:11" s="1738" customFormat="1">
      <c r="K401" s="1743"/>
    </row>
    <row r="402" spans="11:11" s="1738" customFormat="1">
      <c r="K402" s="1743"/>
    </row>
    <row r="403" spans="11:11" s="1738" customFormat="1">
      <c r="K403" s="1743"/>
    </row>
    <row r="404" spans="11:11" s="1738" customFormat="1">
      <c r="K404" s="1743"/>
    </row>
    <row r="405" spans="11:11" s="1738" customFormat="1">
      <c r="K405" s="1743"/>
    </row>
    <row r="406" spans="11:11" s="1738" customFormat="1">
      <c r="K406" s="1743"/>
    </row>
    <row r="407" spans="11:11" s="1738" customFormat="1">
      <c r="K407" s="1743"/>
    </row>
    <row r="408" spans="11:11" s="1738" customFormat="1">
      <c r="K408" s="1743"/>
    </row>
    <row r="409" spans="11:11" s="1738" customFormat="1">
      <c r="K409" s="1743"/>
    </row>
    <row r="410" spans="11:11" s="1738" customFormat="1">
      <c r="K410" s="1743"/>
    </row>
    <row r="411" spans="11:11" s="1738" customFormat="1">
      <c r="K411" s="1743"/>
    </row>
    <row r="412" spans="11:11" s="1738" customFormat="1">
      <c r="K412" s="1743"/>
    </row>
    <row r="413" spans="11:11" s="1738" customFormat="1">
      <c r="K413" s="1743"/>
    </row>
    <row r="414" spans="11:11" s="1738" customFormat="1">
      <c r="K414" s="1743"/>
    </row>
    <row r="415" spans="11:11" s="1738" customFormat="1">
      <c r="K415" s="1743"/>
    </row>
    <row r="416" spans="11:11" s="1738" customFormat="1">
      <c r="K416" s="1743"/>
    </row>
    <row r="417" spans="11:11" s="1738" customFormat="1">
      <c r="K417" s="1743"/>
    </row>
    <row r="418" spans="11:11" s="1738" customFormat="1">
      <c r="K418" s="1743"/>
    </row>
    <row r="419" spans="11:11" s="1738" customFormat="1">
      <c r="K419" s="1743"/>
    </row>
    <row r="420" spans="11:11" s="1738" customFormat="1">
      <c r="K420" s="1743"/>
    </row>
    <row r="421" spans="11:11" s="1738" customFormat="1">
      <c r="K421" s="1743"/>
    </row>
    <row r="422" spans="11:11" s="1738" customFormat="1">
      <c r="K422" s="1743"/>
    </row>
    <row r="423" spans="11:11" s="1738" customFormat="1">
      <c r="K423" s="1743"/>
    </row>
    <row r="424" spans="11:11" s="1738" customFormat="1">
      <c r="K424" s="1743"/>
    </row>
    <row r="425" spans="11:11" s="1738" customFormat="1">
      <c r="K425" s="1743"/>
    </row>
    <row r="426" spans="11:11" s="1738" customFormat="1">
      <c r="K426" s="1743"/>
    </row>
    <row r="427" spans="11:11" s="1738" customFormat="1">
      <c r="K427" s="1743"/>
    </row>
    <row r="428" spans="11:11" s="1738" customFormat="1">
      <c r="K428" s="1743"/>
    </row>
    <row r="429" spans="11:11" s="1738" customFormat="1">
      <c r="K429" s="1743"/>
    </row>
    <row r="430" spans="11:11" s="1738" customFormat="1">
      <c r="K430" s="1743"/>
    </row>
    <row r="431" spans="11:11" s="1738" customFormat="1">
      <c r="K431" s="1743"/>
    </row>
    <row r="432" spans="11:11" s="1738" customFormat="1">
      <c r="K432" s="1743"/>
    </row>
    <row r="433" spans="11:11" s="1738" customFormat="1">
      <c r="K433" s="1743"/>
    </row>
    <row r="434" spans="11:11" s="1738" customFormat="1">
      <c r="K434" s="1743"/>
    </row>
    <row r="435" spans="11:11" s="1738" customFormat="1">
      <c r="K435" s="1743"/>
    </row>
    <row r="436" spans="11:11" s="1738" customFormat="1">
      <c r="K436" s="1743"/>
    </row>
    <row r="437" spans="11:11" s="1738" customFormat="1">
      <c r="K437" s="1743"/>
    </row>
    <row r="438" spans="11:11" s="1738" customFormat="1">
      <c r="K438" s="1743"/>
    </row>
    <row r="439" spans="11:11" s="1738" customFormat="1">
      <c r="K439" s="1743"/>
    </row>
    <row r="440" spans="11:11" s="1738" customFormat="1">
      <c r="K440" s="1743"/>
    </row>
    <row r="441" spans="11:11" s="1738" customFormat="1">
      <c r="K441" s="1743"/>
    </row>
    <row r="442" spans="11:11" s="1738" customFormat="1">
      <c r="K442" s="1743"/>
    </row>
    <row r="443" spans="11:11" s="1738" customFormat="1">
      <c r="K443" s="1743"/>
    </row>
    <row r="444" spans="11:11" s="1738" customFormat="1">
      <c r="K444" s="1743"/>
    </row>
    <row r="445" spans="11:11" s="1738" customFormat="1">
      <c r="K445" s="1743"/>
    </row>
    <row r="446" spans="11:11" s="1738" customFormat="1">
      <c r="K446" s="1743"/>
    </row>
    <row r="447" spans="11:11" s="1738" customFormat="1">
      <c r="K447" s="1743"/>
    </row>
    <row r="448" spans="11:11" s="1738" customFormat="1">
      <c r="K448" s="1743"/>
    </row>
    <row r="449" spans="11:11" s="1738" customFormat="1">
      <c r="K449" s="1743"/>
    </row>
    <row r="450" spans="11:11" s="1738" customFormat="1">
      <c r="K450" s="1743"/>
    </row>
    <row r="451" spans="11:11" s="1738" customFormat="1">
      <c r="K451" s="1743"/>
    </row>
    <row r="452" spans="11:11" s="1738" customFormat="1">
      <c r="K452" s="1743"/>
    </row>
    <row r="453" spans="11:11" s="1738" customFormat="1">
      <c r="K453" s="1743"/>
    </row>
    <row r="454" spans="11:11" s="1738" customFormat="1">
      <c r="K454" s="1743"/>
    </row>
    <row r="455" spans="11:11" s="1738" customFormat="1">
      <c r="K455" s="1743"/>
    </row>
    <row r="456" spans="11:11" s="1738" customFormat="1">
      <c r="K456" s="1743"/>
    </row>
    <row r="457" spans="11:11" s="1738" customFormat="1">
      <c r="K457" s="1743"/>
    </row>
    <row r="458" spans="11:11" s="1738" customFormat="1">
      <c r="K458" s="1743"/>
    </row>
    <row r="459" spans="11:11" s="1738" customFormat="1">
      <c r="K459" s="1743"/>
    </row>
    <row r="460" spans="11:11" s="1738" customFormat="1">
      <c r="K460" s="1743"/>
    </row>
    <row r="461" spans="11:11" s="1738" customFormat="1">
      <c r="K461" s="1743"/>
    </row>
    <row r="462" spans="11:11" s="1738" customFormat="1">
      <c r="K462" s="1743"/>
    </row>
    <row r="463" spans="11:11" s="1738" customFormat="1">
      <c r="K463" s="1743"/>
    </row>
    <row r="464" spans="11:11" s="1738" customFormat="1">
      <c r="K464" s="1743"/>
    </row>
    <row r="465" spans="11:11" s="1738" customFormat="1">
      <c r="K465" s="1743"/>
    </row>
    <row r="466" spans="11:11" s="1738" customFormat="1">
      <c r="K466" s="1743"/>
    </row>
    <row r="467" spans="11:11" s="1738" customFormat="1">
      <c r="K467" s="1743"/>
    </row>
    <row r="468" spans="11:11" s="1738" customFormat="1">
      <c r="K468" s="1743"/>
    </row>
    <row r="469" spans="11:11" s="1738" customFormat="1">
      <c r="K469" s="1743"/>
    </row>
    <row r="470" spans="11:11" s="1738" customFormat="1">
      <c r="K470" s="1743"/>
    </row>
    <row r="471" spans="11:11" s="1738" customFormat="1">
      <c r="K471" s="1743"/>
    </row>
    <row r="472" spans="11:11" s="1738" customFormat="1">
      <c r="K472" s="1743"/>
    </row>
    <row r="473" spans="11:11" s="1738" customFormat="1">
      <c r="K473" s="1743"/>
    </row>
    <row r="474" spans="11:11" s="1738" customFormat="1">
      <c r="K474" s="1743"/>
    </row>
    <row r="475" spans="11:11" s="1738" customFormat="1">
      <c r="K475" s="1743"/>
    </row>
    <row r="476" spans="11:11" s="1738" customFormat="1">
      <c r="K476" s="1743"/>
    </row>
    <row r="477" spans="11:11" s="1738" customFormat="1">
      <c r="K477" s="1743"/>
    </row>
    <row r="478" spans="11:11" s="1738" customFormat="1">
      <c r="K478" s="1743"/>
    </row>
    <row r="479" spans="11:11" s="1738" customFormat="1">
      <c r="K479" s="1743"/>
    </row>
    <row r="480" spans="11:11" s="1738" customFormat="1">
      <c r="K480" s="1743"/>
    </row>
    <row r="481" spans="11:11" s="1738" customFormat="1">
      <c r="K481" s="1743"/>
    </row>
    <row r="482" spans="11:11" s="1738" customFormat="1">
      <c r="K482" s="1743"/>
    </row>
    <row r="483" spans="11:11" s="1738" customFormat="1">
      <c r="K483" s="1743"/>
    </row>
    <row r="484" spans="11:11" s="1738" customFormat="1">
      <c r="K484" s="1743"/>
    </row>
    <row r="485" spans="11:11" s="1738" customFormat="1">
      <c r="K485" s="1743"/>
    </row>
    <row r="486" spans="11:11" s="1738" customFormat="1">
      <c r="K486" s="1743"/>
    </row>
    <row r="487" spans="11:11" s="1738" customFormat="1">
      <c r="K487" s="1743"/>
    </row>
    <row r="488" spans="11:11" s="1738" customFormat="1">
      <c r="K488" s="1743"/>
    </row>
    <row r="489" spans="11:11" s="1738" customFormat="1">
      <c r="K489" s="1743"/>
    </row>
    <row r="490" spans="11:11" s="1738" customFormat="1">
      <c r="K490" s="1743"/>
    </row>
    <row r="491" spans="11:11" s="1738" customFormat="1">
      <c r="K491" s="1743"/>
    </row>
    <row r="492" spans="11:11" s="1738" customFormat="1">
      <c r="K492" s="1743"/>
    </row>
    <row r="493" spans="11:11" s="1738" customFormat="1">
      <c r="K493" s="1743"/>
    </row>
    <row r="494" spans="11:11" s="1738" customFormat="1">
      <c r="K494" s="1743"/>
    </row>
    <row r="495" spans="11:11" s="1738" customFormat="1">
      <c r="K495" s="1743"/>
    </row>
    <row r="496" spans="11:11" s="1738" customFormat="1">
      <c r="K496" s="1743"/>
    </row>
    <row r="497" spans="11:11" s="1738" customFormat="1">
      <c r="K497" s="1743"/>
    </row>
    <row r="498" spans="11:11" s="1738" customFormat="1">
      <c r="K498" s="1743"/>
    </row>
    <row r="499" spans="11:11" s="1738" customFormat="1">
      <c r="K499" s="1743"/>
    </row>
    <row r="500" spans="11:11" s="1738" customFormat="1">
      <c r="K500" s="1743"/>
    </row>
    <row r="501" spans="11:11" s="1738" customFormat="1">
      <c r="K501" s="1743"/>
    </row>
    <row r="502" spans="11:11" s="1738" customFormat="1">
      <c r="K502" s="1743"/>
    </row>
    <row r="503" spans="11:11" s="1738" customFormat="1">
      <c r="K503" s="1743"/>
    </row>
    <row r="504" spans="11:11" s="1738" customFormat="1">
      <c r="K504" s="1743"/>
    </row>
    <row r="505" spans="11:11" s="1738" customFormat="1">
      <c r="K505" s="1743"/>
    </row>
    <row r="506" spans="11:11" s="1738" customFormat="1">
      <c r="K506" s="1743"/>
    </row>
    <row r="507" spans="11:11" s="1738" customFormat="1">
      <c r="K507" s="1743"/>
    </row>
    <row r="508" spans="11:11" s="1738" customFormat="1">
      <c r="K508" s="1743"/>
    </row>
    <row r="509" spans="11:11" s="1738" customFormat="1">
      <c r="K509" s="1743"/>
    </row>
    <row r="510" spans="11:11" s="1738" customFormat="1">
      <c r="K510" s="1743"/>
    </row>
    <row r="511" spans="11:11" s="1738" customFormat="1">
      <c r="K511" s="1743"/>
    </row>
    <row r="512" spans="11:11" s="1738" customFormat="1">
      <c r="K512" s="1743"/>
    </row>
    <row r="513" spans="11:11" s="1738" customFormat="1">
      <c r="K513" s="1743"/>
    </row>
    <row r="514" spans="11:11" s="1738" customFormat="1">
      <c r="K514" s="1743"/>
    </row>
    <row r="515" spans="11:11" s="1738" customFormat="1">
      <c r="K515" s="1743"/>
    </row>
    <row r="516" spans="11:11" s="1738" customFormat="1">
      <c r="K516" s="1743"/>
    </row>
    <row r="517" spans="11:11" s="1738" customFormat="1">
      <c r="K517" s="1743"/>
    </row>
    <row r="518" spans="11:11" s="1738" customFormat="1">
      <c r="K518" s="1743"/>
    </row>
    <row r="519" spans="11:11" s="1738" customFormat="1">
      <c r="K519" s="1743"/>
    </row>
    <row r="520" spans="11:11" s="1738" customFormat="1">
      <c r="K520" s="1743"/>
    </row>
    <row r="521" spans="11:11" s="1738" customFormat="1">
      <c r="K521" s="1743"/>
    </row>
    <row r="522" spans="11:11" s="1738" customFormat="1">
      <c r="K522" s="1743"/>
    </row>
    <row r="523" spans="11:11" s="1738" customFormat="1">
      <c r="K523" s="1743"/>
    </row>
    <row r="524" spans="11:11" s="1738" customFormat="1">
      <c r="K524" s="1743"/>
    </row>
    <row r="525" spans="11:11" s="1738" customFormat="1">
      <c r="K525" s="1743"/>
    </row>
    <row r="526" spans="11:11" s="1738" customFormat="1">
      <c r="K526" s="1743"/>
    </row>
    <row r="527" spans="11:11" s="1738" customFormat="1">
      <c r="K527" s="1743"/>
    </row>
    <row r="528" spans="11:11" s="1738" customFormat="1">
      <c r="K528" s="1743"/>
    </row>
    <row r="529" spans="11:11" s="1738" customFormat="1">
      <c r="K529" s="1743"/>
    </row>
    <row r="530" spans="11:11" s="1738" customFormat="1">
      <c r="K530" s="1743"/>
    </row>
    <row r="531" spans="11:11" s="1738" customFormat="1">
      <c r="K531" s="1743"/>
    </row>
    <row r="532" spans="11:11" s="1738" customFormat="1">
      <c r="K532" s="1743"/>
    </row>
    <row r="533" spans="11:11" s="1738" customFormat="1">
      <c r="K533" s="1743"/>
    </row>
    <row r="534" spans="11:11" s="1738" customFormat="1">
      <c r="K534" s="1743"/>
    </row>
    <row r="535" spans="11:11" s="1738" customFormat="1">
      <c r="K535" s="1743"/>
    </row>
    <row r="536" spans="11:11" s="1738" customFormat="1">
      <c r="K536" s="1743"/>
    </row>
    <row r="537" spans="11:11" s="1738" customFormat="1">
      <c r="K537" s="1743"/>
    </row>
    <row r="538" spans="11:11" s="1738" customFormat="1">
      <c r="K538" s="1743"/>
    </row>
    <row r="539" spans="11:11" s="1738" customFormat="1">
      <c r="K539" s="1743"/>
    </row>
    <row r="540" spans="11:11" s="1738" customFormat="1">
      <c r="K540" s="1743"/>
    </row>
    <row r="541" spans="11:11" s="1738" customFormat="1">
      <c r="K541" s="1743"/>
    </row>
    <row r="542" spans="11:11" s="1738" customFormat="1">
      <c r="K542" s="1743"/>
    </row>
    <row r="543" spans="11:11" s="1738" customFormat="1">
      <c r="K543" s="1743"/>
    </row>
    <row r="544" spans="11:11" s="1738" customFormat="1">
      <c r="K544" s="1743"/>
    </row>
    <row r="545" spans="11:11" s="1738" customFormat="1">
      <c r="K545" s="1743"/>
    </row>
    <row r="546" spans="11:11" s="1738" customFormat="1">
      <c r="K546" s="1743"/>
    </row>
    <row r="547" spans="11:11" s="1738" customFormat="1">
      <c r="K547" s="1743"/>
    </row>
    <row r="548" spans="11:11" s="1738" customFormat="1">
      <c r="K548" s="1743"/>
    </row>
    <row r="549" spans="11:11" s="1738" customFormat="1">
      <c r="K549" s="1743"/>
    </row>
    <row r="550" spans="11:11" s="1738" customFormat="1">
      <c r="K550" s="1743"/>
    </row>
    <row r="551" spans="11:11" s="1738" customFormat="1">
      <c r="K551" s="1743"/>
    </row>
    <row r="552" spans="11:11" s="1738" customFormat="1">
      <c r="K552" s="1743"/>
    </row>
    <row r="553" spans="11:11" s="1738" customFormat="1">
      <c r="K553" s="1743"/>
    </row>
    <row r="554" spans="11:11" s="1738" customFormat="1">
      <c r="K554" s="1743"/>
    </row>
    <row r="555" spans="11:11" s="1738" customFormat="1">
      <c r="K555" s="1743"/>
    </row>
    <row r="556" spans="11:11" s="1738" customFormat="1">
      <c r="K556" s="1743"/>
    </row>
    <row r="557" spans="11:11" s="1738" customFormat="1">
      <c r="K557" s="1743"/>
    </row>
    <row r="558" spans="11:11" s="1738" customFormat="1">
      <c r="K558" s="1743"/>
    </row>
    <row r="559" spans="11:11" s="1738" customFormat="1">
      <c r="K559" s="1743"/>
    </row>
    <row r="560" spans="11:11" s="1738" customFormat="1">
      <c r="K560" s="1743"/>
    </row>
    <row r="561" spans="11:11" s="1738" customFormat="1">
      <c r="K561" s="1743"/>
    </row>
    <row r="562" spans="11:11" s="1738" customFormat="1">
      <c r="K562" s="1743"/>
    </row>
    <row r="563" spans="11:11" s="1738" customFormat="1">
      <c r="K563" s="1743"/>
    </row>
    <row r="564" spans="11:11" s="1738" customFormat="1">
      <c r="K564" s="1743"/>
    </row>
    <row r="565" spans="11:11" s="1738" customFormat="1">
      <c r="K565" s="1743"/>
    </row>
    <row r="566" spans="11:11" s="1738" customFormat="1">
      <c r="K566" s="1743"/>
    </row>
    <row r="567" spans="11:11" s="1738" customFormat="1">
      <c r="K567" s="1743"/>
    </row>
    <row r="568" spans="11:11" s="1738" customFormat="1">
      <c r="K568" s="1743"/>
    </row>
    <row r="569" spans="11:11" s="1738" customFormat="1">
      <c r="K569" s="1743"/>
    </row>
    <row r="570" spans="11:11" s="1738" customFormat="1">
      <c r="K570" s="1743"/>
    </row>
    <row r="571" spans="11:11" s="1738" customFormat="1">
      <c r="K571" s="1743"/>
    </row>
    <row r="572" spans="11:11" s="1738" customFormat="1">
      <c r="K572" s="1743"/>
    </row>
    <row r="573" spans="11:11" s="1738" customFormat="1">
      <c r="K573" s="1743"/>
    </row>
    <row r="574" spans="11:11" s="1738" customFormat="1">
      <c r="K574" s="1743"/>
    </row>
    <row r="575" spans="11:11" s="1738" customFormat="1">
      <c r="K575" s="1743"/>
    </row>
    <row r="576" spans="11:11" s="1738" customFormat="1">
      <c r="K576" s="1743"/>
    </row>
    <row r="577" spans="11:11" s="1738" customFormat="1">
      <c r="K577" s="1743"/>
    </row>
    <row r="578" spans="11:11" s="1738" customFormat="1">
      <c r="K578" s="1743"/>
    </row>
    <row r="579" spans="11:11" s="1738" customFormat="1">
      <c r="K579" s="1743"/>
    </row>
    <row r="580" spans="11:11" s="1738" customFormat="1">
      <c r="K580" s="1743"/>
    </row>
    <row r="581" spans="11:11" s="1738" customFormat="1">
      <c r="K581" s="1743"/>
    </row>
    <row r="582" spans="11:11" s="1738" customFormat="1">
      <c r="K582" s="1743"/>
    </row>
    <row r="583" spans="11:11" s="1738" customFormat="1">
      <c r="K583" s="1743"/>
    </row>
    <row r="584" spans="11:11" s="1738" customFormat="1">
      <c r="K584" s="1743"/>
    </row>
    <row r="585" spans="11:11" s="1738" customFormat="1">
      <c r="K585" s="1743"/>
    </row>
    <row r="586" spans="11:11" s="1738" customFormat="1">
      <c r="K586" s="1743"/>
    </row>
    <row r="587" spans="11:11" s="1738" customFormat="1">
      <c r="K587" s="1743"/>
    </row>
    <row r="588" spans="11:11" s="1738" customFormat="1">
      <c r="K588" s="1743"/>
    </row>
    <row r="589" spans="11:11" s="1738" customFormat="1">
      <c r="K589" s="1743"/>
    </row>
    <row r="590" spans="11:11" s="1738" customFormat="1">
      <c r="K590" s="1743"/>
    </row>
    <row r="591" spans="11:11" s="1738" customFormat="1">
      <c r="K591" s="1743"/>
    </row>
    <row r="592" spans="11:11" s="1738" customFormat="1">
      <c r="K592" s="1743"/>
    </row>
    <row r="593" spans="11:11" s="1738" customFormat="1">
      <c r="K593" s="1743"/>
    </row>
    <row r="594" spans="11:11" s="1738" customFormat="1">
      <c r="K594" s="1743"/>
    </row>
    <row r="595" spans="11:11" s="1738" customFormat="1">
      <c r="K595" s="1743"/>
    </row>
    <row r="596" spans="11:11" s="1738" customFormat="1">
      <c r="K596" s="1743"/>
    </row>
    <row r="597" spans="11:11" s="1738" customFormat="1">
      <c r="K597" s="1743"/>
    </row>
    <row r="598" spans="11:11" s="1738" customFormat="1">
      <c r="K598" s="1743"/>
    </row>
    <row r="599" spans="11:11" s="1738" customFormat="1">
      <c r="K599" s="1743"/>
    </row>
    <row r="600" spans="11:11" s="1738" customFormat="1">
      <c r="K600" s="1743"/>
    </row>
    <row r="601" spans="11:11" s="1738" customFormat="1">
      <c r="K601" s="1743"/>
    </row>
    <row r="602" spans="11:11" s="1738" customFormat="1">
      <c r="K602" s="1743"/>
    </row>
    <row r="603" spans="11:11" s="1738" customFormat="1">
      <c r="K603" s="1743"/>
    </row>
    <row r="604" spans="11:11" s="1738" customFormat="1">
      <c r="K604" s="1743"/>
    </row>
    <row r="605" spans="11:11" s="1738" customFormat="1">
      <c r="K605" s="1743"/>
    </row>
    <row r="606" spans="11:11" s="1738" customFormat="1">
      <c r="K606" s="1743"/>
    </row>
    <row r="607" spans="11:11" s="1738" customFormat="1">
      <c r="K607" s="1743"/>
    </row>
    <row r="608" spans="11:11" s="1738" customFormat="1">
      <c r="K608" s="1743"/>
    </row>
    <row r="609" spans="11:11" s="1738" customFormat="1">
      <c r="K609" s="1743"/>
    </row>
    <row r="610" spans="11:11" s="1738" customFormat="1">
      <c r="K610" s="1743"/>
    </row>
    <row r="611" spans="11:11" s="1738" customFormat="1">
      <c r="K611" s="1743"/>
    </row>
    <row r="612" spans="11:11" s="1738" customFormat="1">
      <c r="K612" s="1743"/>
    </row>
    <row r="613" spans="11:11" s="1738" customFormat="1">
      <c r="K613" s="1743"/>
    </row>
    <row r="614" spans="11:11" s="1738" customFormat="1">
      <c r="K614" s="1743"/>
    </row>
    <row r="615" spans="11:11" s="1738" customFormat="1">
      <c r="K615" s="1743"/>
    </row>
    <row r="616" spans="11:11" s="1738" customFormat="1">
      <c r="K616" s="1743"/>
    </row>
    <row r="617" spans="11:11" s="1738" customFormat="1">
      <c r="K617" s="1743"/>
    </row>
    <row r="618" spans="11:11" s="1738" customFormat="1">
      <c r="K618" s="1743"/>
    </row>
    <row r="619" spans="11:11" s="1738" customFormat="1">
      <c r="K619" s="1743"/>
    </row>
    <row r="620" spans="11:11" s="1738" customFormat="1">
      <c r="K620" s="1743"/>
    </row>
    <row r="621" spans="11:11" s="1738" customFormat="1">
      <c r="K621" s="1743"/>
    </row>
    <row r="622" spans="11:11" s="1738" customFormat="1">
      <c r="K622" s="1743"/>
    </row>
    <row r="623" spans="11:11" s="1738" customFormat="1">
      <c r="K623" s="1743"/>
    </row>
    <row r="624" spans="11:11" s="1738" customFormat="1">
      <c r="K624" s="1743"/>
    </row>
    <row r="625" spans="11:11" s="1738" customFormat="1">
      <c r="K625" s="1743"/>
    </row>
    <row r="626" spans="11:11" s="1738" customFormat="1">
      <c r="K626" s="1743"/>
    </row>
    <row r="627" spans="11:11" s="1738" customFormat="1">
      <c r="K627" s="1743"/>
    </row>
    <row r="628" spans="11:11" s="1738" customFormat="1">
      <c r="K628" s="1743"/>
    </row>
    <row r="629" spans="11:11" s="1738" customFormat="1">
      <c r="K629" s="1743"/>
    </row>
    <row r="630" spans="11:11" s="1738" customFormat="1">
      <c r="K630" s="1743"/>
    </row>
    <row r="631" spans="11:11" s="1738" customFormat="1">
      <c r="K631" s="1743"/>
    </row>
    <row r="632" spans="11:11" s="1738" customFormat="1">
      <c r="K632" s="1743"/>
    </row>
    <row r="633" spans="11:11" s="1738" customFormat="1">
      <c r="K633" s="1743"/>
    </row>
    <row r="634" spans="11:11" s="1738" customFormat="1">
      <c r="K634" s="1743"/>
    </row>
    <row r="635" spans="11:11" s="1738" customFormat="1">
      <c r="K635" s="1743"/>
    </row>
    <row r="636" spans="11:11" s="1738" customFormat="1">
      <c r="K636" s="1743"/>
    </row>
    <row r="637" spans="11:11" s="1738" customFormat="1">
      <c r="K637" s="1743"/>
    </row>
    <row r="638" spans="11:11" s="1738" customFormat="1">
      <c r="K638" s="1743"/>
    </row>
    <row r="639" spans="11:11" s="1738" customFormat="1">
      <c r="K639" s="1743"/>
    </row>
    <row r="640" spans="11:11" s="1738" customFormat="1">
      <c r="K640" s="1743"/>
    </row>
    <row r="641" spans="11:11" s="1738" customFormat="1">
      <c r="K641" s="1743"/>
    </row>
    <row r="642" spans="11:11" s="1738" customFormat="1">
      <c r="K642" s="1743"/>
    </row>
    <row r="643" spans="11:11" s="1738" customFormat="1">
      <c r="K643" s="1743"/>
    </row>
    <row r="644" spans="11:11" s="1738" customFormat="1">
      <c r="K644" s="1743"/>
    </row>
    <row r="645" spans="11:11" s="1738" customFormat="1">
      <c r="K645" s="1743"/>
    </row>
    <row r="646" spans="11:11" s="1738" customFormat="1">
      <c r="K646" s="1743"/>
    </row>
    <row r="647" spans="11:11" s="1738" customFormat="1">
      <c r="K647" s="1743"/>
    </row>
  </sheetData>
  <sheetProtection password="E8A2"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12" priority="4">
      <formula>Nlang&gt;1</formula>
    </cfRule>
  </conditionalFormatting>
  <conditionalFormatting sqref="I11:L11">
    <cfRule type="expression" dxfId="111" priority="3">
      <formula>Nlang&gt;1</formula>
    </cfRule>
  </conditionalFormatting>
  <conditionalFormatting sqref="I12:L12">
    <cfRule type="expression" dxfId="110" priority="2">
      <formula>Nlang&gt;1</formula>
    </cfRule>
  </conditionalFormatting>
  <conditionalFormatting sqref="I15:L15">
    <cfRule type="expression" dxfId="109"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A333"/>
  <sheetViews>
    <sheetView zoomScale="90" zoomScaleNormal="90" workbookViewId="0">
      <pane ySplit="5" topLeftCell="A6" activePane="bottomLeft" state="frozen"/>
      <selection activeCell="J14" sqref="J14"/>
      <selection pane="bottomLeft" activeCell="C8" sqref="C8"/>
    </sheetView>
  </sheetViews>
  <sheetFormatPr baseColWidth="10" defaultColWidth="14.109375" defaultRowHeight="13.2"/>
  <cols>
    <col min="1" max="1" width="4.6640625" style="232" customWidth="1"/>
    <col min="2" max="2" width="2.109375" style="232" customWidth="1"/>
    <col min="3" max="3" width="7" style="232" customWidth="1"/>
    <col min="4" max="4" width="12.44140625" style="232" customWidth="1"/>
    <col min="5" max="5" width="8.6640625" style="244" customWidth="1"/>
    <col min="6" max="6" width="10.6640625" style="244" customWidth="1"/>
    <col min="7" max="7" width="2.33203125" style="232" customWidth="1"/>
    <col min="8" max="8" width="8.6640625" style="232" customWidth="1"/>
    <col min="9" max="9" width="8.6640625" style="244" customWidth="1"/>
    <col min="10" max="10" width="2.44140625" style="244" customWidth="1"/>
    <col min="11" max="11" width="8.6640625" style="244" customWidth="1"/>
    <col min="12" max="12" width="2.109375" style="244" customWidth="1"/>
    <col min="13" max="14" width="9" style="244" customWidth="1"/>
    <col min="15" max="15" width="1.33203125" style="244" customWidth="1"/>
    <col min="16" max="17" width="9" style="244" customWidth="1"/>
    <col min="18" max="18" width="1.33203125" style="244" customWidth="1"/>
    <col min="19" max="19" width="11.6640625" style="244" customWidth="1"/>
    <col min="20" max="20" width="1.44140625" style="244" customWidth="1"/>
    <col min="21" max="21" width="11.44140625" style="244" customWidth="1"/>
    <col min="22" max="22" width="1.6640625" style="244" customWidth="1"/>
    <col min="23" max="24" width="9" style="244" customWidth="1"/>
    <col min="25" max="25" width="9" style="232" customWidth="1"/>
    <col min="26" max="28" width="10.6640625" style="232" customWidth="1"/>
    <col min="29" max="16384" width="14.109375" style="232"/>
  </cols>
  <sheetData>
    <row r="1" spans="1:26" s="2290" customFormat="1" ht="22.95" customHeight="1">
      <c r="E1" s="2291"/>
      <c r="F1" s="2291"/>
      <c r="I1" s="2291"/>
      <c r="J1" s="2291"/>
      <c r="K1" s="2291"/>
      <c r="L1" s="2291"/>
      <c r="M1" s="2291"/>
      <c r="N1" s="2291"/>
      <c r="O1" s="2291"/>
      <c r="P1" s="2291"/>
      <c r="Q1" s="2291"/>
      <c r="R1" s="2291"/>
      <c r="S1" s="2291"/>
      <c r="T1" s="2291"/>
      <c r="U1" s="2291"/>
      <c r="V1" s="2291"/>
      <c r="W1" s="2291"/>
      <c r="X1" s="2291"/>
    </row>
    <row r="2" spans="1:26" s="2290" customFormat="1" ht="22.95" customHeight="1">
      <c r="E2" s="2291"/>
      <c r="F2" s="2291"/>
      <c r="I2" s="2291"/>
      <c r="J2" s="2291"/>
      <c r="K2" s="2291"/>
      <c r="L2" s="2291"/>
      <c r="M2" s="2291"/>
      <c r="N2" s="2291"/>
      <c r="O2" s="2291"/>
      <c r="P2" s="2291"/>
      <c r="Q2" s="2291"/>
      <c r="R2" s="2291"/>
      <c r="S2" s="2291"/>
      <c r="T2" s="2291"/>
      <c r="U2" s="2291"/>
      <c r="V2" s="2291"/>
      <c r="W2" s="2291"/>
      <c r="X2" s="2291"/>
    </row>
    <row r="3" spans="1:26" s="2290" customFormat="1" ht="22.95" customHeight="1">
      <c r="E3" s="2291"/>
      <c r="F3" s="2291"/>
      <c r="I3" s="2291"/>
      <c r="J3" s="2291"/>
      <c r="K3" s="2291"/>
      <c r="L3" s="2291"/>
      <c r="M3" s="2291"/>
      <c r="N3" s="2291"/>
      <c r="O3" s="2291"/>
      <c r="P3" s="2291"/>
      <c r="Q3" s="2291"/>
      <c r="R3" s="2291"/>
      <c r="S3" s="2291"/>
      <c r="T3" s="2291"/>
      <c r="U3" s="2291"/>
      <c r="V3" s="2291"/>
      <c r="W3" s="2291"/>
      <c r="X3" s="2291"/>
    </row>
    <row r="4" spans="1:26" s="2290" customFormat="1" ht="22.95" customHeight="1">
      <c r="E4" s="2291"/>
      <c r="F4" s="2291"/>
      <c r="I4" s="2291"/>
      <c r="J4" s="2291"/>
      <c r="K4" s="2291"/>
      <c r="L4" s="2291"/>
      <c r="M4" s="2291"/>
      <c r="N4" s="2291"/>
      <c r="O4" s="2291"/>
      <c r="P4" s="2291"/>
      <c r="Q4" s="2291"/>
      <c r="R4" s="2291"/>
      <c r="S4" s="2291"/>
      <c r="T4" s="2291"/>
      <c r="U4" s="2291"/>
      <c r="V4" s="2291"/>
      <c r="W4" s="2291"/>
      <c r="X4" s="2291"/>
    </row>
    <row r="5" spans="1:26" s="2292" customFormat="1" ht="22.95" customHeight="1">
      <c r="A5" s="2783" t="str">
        <f>HLOOKUP(select,translations!$B$436:$H$450,2,)</f>
        <v xml:space="preserve"> </v>
      </c>
      <c r="E5" s="2293"/>
      <c r="F5" s="2293"/>
      <c r="I5" s="2293"/>
      <c r="J5" s="2293"/>
      <c r="K5" s="2293"/>
      <c r="L5" s="2293"/>
      <c r="M5" s="2293"/>
      <c r="N5" s="2293"/>
      <c r="O5" s="2293"/>
      <c r="P5" s="2293"/>
      <c r="Q5" s="2293"/>
      <c r="R5" s="2293"/>
      <c r="S5" s="2293"/>
      <c r="T5" s="2293"/>
      <c r="U5" s="2293"/>
      <c r="V5" s="2293"/>
      <c r="W5" s="2293"/>
      <c r="X5" s="2293"/>
    </row>
    <row r="6" spans="1:26" s="1749" customFormat="1">
      <c r="B6" s="1845"/>
      <c r="I6" s="1751"/>
      <c r="J6" s="1751"/>
      <c r="K6" s="1751"/>
      <c r="L6" s="1751"/>
      <c r="M6" s="1751"/>
      <c r="N6" s="1751"/>
      <c r="O6" s="1751"/>
      <c r="P6" s="1751"/>
      <c r="Q6" s="1751"/>
      <c r="R6" s="1751"/>
      <c r="S6" s="1751"/>
      <c r="T6" s="1751"/>
      <c r="U6" s="1751"/>
      <c r="V6" s="1751"/>
      <c r="W6" s="1751"/>
      <c r="X6" s="1751"/>
    </row>
    <row r="7" spans="1:26" s="1748" customFormat="1" ht="15.6">
      <c r="B7" s="2579" t="str">
        <f>HLOOKUP(select,translations!$A$251:$H$340,2,)</f>
        <v>6.1. Inputs (liming, fertilizers, pesticides, herbicides,…)</v>
      </c>
      <c r="C7" s="1767"/>
      <c r="D7" s="1767"/>
      <c r="E7" s="1767"/>
      <c r="F7" s="1767"/>
      <c r="G7" s="1767"/>
      <c r="H7" s="1767"/>
      <c r="I7" s="1767"/>
      <c r="J7" s="1767"/>
      <c r="K7" s="1767"/>
      <c r="L7" s="1767"/>
      <c r="M7" s="1767"/>
      <c r="N7" s="1767"/>
      <c r="O7" s="1767"/>
      <c r="P7" s="1767"/>
      <c r="Q7" s="1767"/>
      <c r="R7" s="1767"/>
      <c r="S7" s="1767"/>
      <c r="T7" s="1767"/>
      <c r="U7" s="1767"/>
      <c r="V7" s="1767"/>
      <c r="W7" s="1767"/>
      <c r="X7" s="2007"/>
      <c r="Y7" s="2007"/>
    </row>
    <row r="8" spans="1:26" s="1748" customFormat="1" ht="13.2" customHeight="1">
      <c r="B8" s="1753"/>
      <c r="W8" s="2008"/>
      <c r="X8" s="2008"/>
    </row>
    <row r="9" spans="1:26" s="2009" customFormat="1" ht="15.6" customHeight="1">
      <c r="B9" s="2870" t="str">
        <f>HLOOKUP(select,translations!$A$251:$H$340,3,)</f>
        <v>Description and unit to report</v>
      </c>
      <c r="C9" s="2968"/>
      <c r="D9" s="1919"/>
      <c r="E9" s="2135"/>
      <c r="F9" s="1919"/>
      <c r="G9" s="1919"/>
      <c r="H9" s="1761" t="str">
        <f>HLOOKUP(select,translations!$A$251:$H$340,4,)</f>
        <v>Amount applied per year</v>
      </c>
      <c r="I9" s="1762"/>
      <c r="J9" s="1762"/>
      <c r="K9" s="1762"/>
      <c r="L9" s="2010"/>
      <c r="M9" s="3269" t="str">
        <f>HLOOKUP(select,translations!$A$251:$H$340,5,)</f>
        <v>Total emissions at field level (tCO2-eq)</v>
      </c>
      <c r="N9" s="3270"/>
      <c r="O9" s="3270"/>
      <c r="P9" s="3270"/>
      <c r="Q9" s="3270"/>
      <c r="R9" s="1762"/>
      <c r="S9" s="3271" t="str">
        <f>HLOOKUP(select,translations!$A$251:$H$340,6,)</f>
        <v>Emissions from production, transportation, storage and transfer (tCO2-eq)</v>
      </c>
      <c r="T9" s="3271"/>
      <c r="U9" s="3271"/>
      <c r="V9" s="3271"/>
      <c r="W9" s="3127" t="str">
        <f>'5. Degradation'!Y10</f>
        <v>Total Emissions</v>
      </c>
      <c r="X9" s="3127"/>
      <c r="Y9" s="2124" t="str">
        <f>'5. Degradation'!AA10</f>
        <v>Balance</v>
      </c>
    </row>
    <row r="10" spans="1:26" s="2009" customFormat="1" ht="15.6" customHeight="1">
      <c r="B10" s="2870"/>
      <c r="C10" s="2968"/>
      <c r="D10" s="2136"/>
      <c r="E10" s="2136"/>
      <c r="F10" s="1919"/>
      <c r="G10" s="1919"/>
      <c r="H10" s="1762"/>
      <c r="I10" s="1762"/>
      <c r="J10" s="1762"/>
      <c r="K10" s="1762"/>
      <c r="L10" s="2010"/>
      <c r="M10" s="3270" t="str">
        <f>HLOOKUP(select,translations!$A$251:$H$340,24,)</f>
        <v>CO2 emissions</v>
      </c>
      <c r="N10" s="3270"/>
      <c r="O10" s="2016"/>
      <c r="P10" s="3270" t="str">
        <f>HLOOKUP(select,translations!$A$251:$H$340,25,)</f>
        <v>N2O emissions</v>
      </c>
      <c r="Q10" s="3270"/>
      <c r="R10" s="1762"/>
      <c r="S10" s="3271"/>
      <c r="T10" s="3271"/>
      <c r="U10" s="3271"/>
      <c r="V10" s="3271"/>
      <c r="W10" s="3201" t="str">
        <f>'5. Degradation'!Y11</f>
        <v>(tCO2-eq)</v>
      </c>
      <c r="X10" s="3201"/>
      <c r="Y10" s="1790"/>
    </row>
    <row r="11" spans="1:26" s="2009" customFormat="1">
      <c r="B11" s="2870" t="str">
        <f>HLOOKUP(select,translations!$A$251:$H$340,7,)</f>
        <v>Lime application</v>
      </c>
      <c r="C11" s="2135"/>
      <c r="D11" s="2136"/>
      <c r="E11" s="2136"/>
      <c r="F11" s="1919"/>
      <c r="G11" s="1919"/>
      <c r="H11" s="2017" t="str">
        <f>'5. Degradation'!T11</f>
        <v>Start</v>
      </c>
      <c r="I11" s="2740" t="str">
        <f>'5. Degradation'!U11</f>
        <v>Without</v>
      </c>
      <c r="J11" s="2386" t="s">
        <v>93</v>
      </c>
      <c r="K11" s="2686" t="str">
        <f>'5. Degradation'!W11</f>
        <v>With</v>
      </c>
      <c r="L11" s="2386" t="s">
        <v>93</v>
      </c>
      <c r="M11" s="2686" t="str">
        <f>I11</f>
        <v>Without</v>
      </c>
      <c r="N11" s="2686" t="str">
        <f>K11</f>
        <v>With</v>
      </c>
      <c r="O11" s="1790"/>
      <c r="P11" s="2686" t="str">
        <f>I11</f>
        <v>Without</v>
      </c>
      <c r="Q11" s="2686" t="str">
        <f>K11</f>
        <v>With</v>
      </c>
      <c r="R11" s="1790"/>
      <c r="S11" s="2686" t="str">
        <f>P11</f>
        <v>Without</v>
      </c>
      <c r="T11" s="2386"/>
      <c r="U11" s="2686" t="str">
        <f>Q11</f>
        <v>With</v>
      </c>
      <c r="V11" s="1762"/>
      <c r="W11" s="2686" t="str">
        <f>S11</f>
        <v>Without</v>
      </c>
      <c r="X11" s="2686" t="str">
        <f>U11</f>
        <v>With</v>
      </c>
      <c r="Y11" s="1790"/>
    </row>
    <row r="12" spans="1:26" s="2005" customFormat="1">
      <c r="B12" s="2969"/>
      <c r="C12" s="2969" t="str">
        <f>HLOOKUP(select,translations!$A$251:$H$340,8,)</f>
        <v>Limestone (tonnes per year)</v>
      </c>
      <c r="D12" s="2140"/>
      <c r="E12" s="2140"/>
      <c r="F12" s="2006"/>
      <c r="G12" s="2006"/>
      <c r="H12" s="2141">
        <v>0</v>
      </c>
      <c r="I12" s="2141">
        <v>0</v>
      </c>
      <c r="J12" s="2164" t="s">
        <v>1525</v>
      </c>
      <c r="K12" s="2141">
        <v>0</v>
      </c>
      <c r="L12" s="2164" t="s">
        <v>1525</v>
      </c>
      <c r="M12" s="2004">
        <f>Inputs!Q12</f>
        <v>0</v>
      </c>
      <c r="N12" s="2004">
        <f>Inputs!R12</f>
        <v>0</v>
      </c>
      <c r="O12" s="2004"/>
      <c r="P12" s="2004" t="s">
        <v>1484</v>
      </c>
      <c r="Q12" s="2004" t="s">
        <v>1484</v>
      </c>
      <c r="R12" s="2018"/>
      <c r="S12" s="2004">
        <f>Inputs!Q44</f>
        <v>0</v>
      </c>
      <c r="T12" s="2004"/>
      <c r="U12" s="2004">
        <f>Inputs!R44</f>
        <v>0</v>
      </c>
      <c r="V12" s="2006"/>
      <c r="W12" s="2004">
        <f>M12+S12</f>
        <v>0</v>
      </c>
      <c r="X12" s="2004">
        <f>N12+U12</f>
        <v>0</v>
      </c>
      <c r="Y12" s="2004">
        <f>X12-W12</f>
        <v>0</v>
      </c>
      <c r="Z12" s="2022"/>
    </row>
    <row r="13" spans="1:26" s="2005" customFormat="1">
      <c r="B13" s="2969"/>
      <c r="C13" s="2969" t="str">
        <f>HLOOKUP(select,translations!$A$251:$H$340,9,)</f>
        <v>Dolomite tonnes per year)</v>
      </c>
      <c r="D13" s="2140"/>
      <c r="E13" s="2140"/>
      <c r="F13" s="2006"/>
      <c r="G13" s="2006"/>
      <c r="H13" s="2141">
        <v>0</v>
      </c>
      <c r="I13" s="2141">
        <v>0</v>
      </c>
      <c r="J13" s="2164" t="s">
        <v>1525</v>
      </c>
      <c r="K13" s="2141">
        <v>0</v>
      </c>
      <c r="L13" s="2164" t="s">
        <v>1525</v>
      </c>
      <c r="M13" s="2004">
        <f>Inputs!Q13</f>
        <v>0</v>
      </c>
      <c r="N13" s="2004">
        <f>Inputs!R13</f>
        <v>0</v>
      </c>
      <c r="O13" s="2004"/>
      <c r="P13" s="2004" t="s">
        <v>1484</v>
      </c>
      <c r="Q13" s="2004" t="s">
        <v>1484</v>
      </c>
      <c r="R13" s="2018"/>
      <c r="S13" s="2004">
        <f>Inputs!Q45</f>
        <v>0</v>
      </c>
      <c r="T13" s="2004"/>
      <c r="U13" s="2004">
        <f>Inputs!R45</f>
        <v>0</v>
      </c>
      <c r="V13" s="2006"/>
      <c r="W13" s="2004">
        <f>M13+S13</f>
        <v>0</v>
      </c>
      <c r="X13" s="2004">
        <f>N13+U13</f>
        <v>0</v>
      </c>
      <c r="Y13" s="2004">
        <f>X13-W13</f>
        <v>0</v>
      </c>
      <c r="Z13" s="2022"/>
    </row>
    <row r="14" spans="1:26" s="2005" customFormat="1">
      <c r="B14" s="2969"/>
      <c r="C14" s="2969" t="str">
        <f>HLOOKUP(select,translations!$A$251:$H$340,10,)</f>
        <v>not-specified (tonnes per year)</v>
      </c>
      <c r="D14" s="2140"/>
      <c r="E14" s="2140"/>
      <c r="F14" s="2006"/>
      <c r="G14" s="2006"/>
      <c r="H14" s="2141">
        <v>0</v>
      </c>
      <c r="I14" s="2141">
        <v>0</v>
      </c>
      <c r="J14" s="2164" t="s">
        <v>1525</v>
      </c>
      <c r="K14" s="2141">
        <v>0</v>
      </c>
      <c r="L14" s="2164" t="s">
        <v>1525</v>
      </c>
      <c r="M14" s="2004">
        <f>Inputs!Q14</f>
        <v>0</v>
      </c>
      <c r="N14" s="2004">
        <f>Inputs!R14</f>
        <v>0</v>
      </c>
      <c r="O14" s="2004"/>
      <c r="P14" s="2004" t="s">
        <v>1484</v>
      </c>
      <c r="Q14" s="2004" t="s">
        <v>1484</v>
      </c>
      <c r="R14" s="2018"/>
      <c r="S14" s="2004">
        <f>Inputs!Q46</f>
        <v>0</v>
      </c>
      <c r="T14" s="2004"/>
      <c r="U14" s="2004">
        <f>Inputs!R46</f>
        <v>0</v>
      </c>
      <c r="V14" s="2006"/>
      <c r="W14" s="2004">
        <f>M14+S14</f>
        <v>0</v>
      </c>
      <c r="X14" s="2004">
        <f>N14+U14</f>
        <v>0</v>
      </c>
      <c r="Y14" s="2004">
        <f>X14-W14</f>
        <v>0</v>
      </c>
      <c r="Z14" s="2022"/>
    </row>
    <row r="15" spans="1:26" s="2009" customFormat="1">
      <c r="B15" s="1801" t="str">
        <f>HLOOKUP(select,translations!$A$251:$H$340,11,)</f>
        <v>Fertilizers</v>
      </c>
      <c r="C15" s="2135"/>
      <c r="D15" s="2136"/>
      <c r="E15" s="2136"/>
      <c r="F15" s="1919"/>
      <c r="G15" s="1919"/>
      <c r="H15" s="2136"/>
      <c r="I15" s="2136"/>
      <c r="J15" s="2136"/>
      <c r="K15" s="2136"/>
      <c r="L15" s="2136"/>
      <c r="M15" s="2136"/>
      <c r="N15" s="2004"/>
      <c r="O15" s="2004"/>
      <c r="P15" s="2004"/>
      <c r="Q15" s="2004"/>
      <c r="R15" s="2020"/>
      <c r="S15" s="2129"/>
      <c r="T15" s="2390"/>
      <c r="U15" s="2129"/>
      <c r="V15" s="1919"/>
      <c r="W15" s="2004">
        <f>M15+S15</f>
        <v>0</v>
      </c>
      <c r="X15" s="2004">
        <f>N15+U15</f>
        <v>0</v>
      </c>
      <c r="Y15" s="2004">
        <f t="shared" ref="Y15:Y26" si="0">X15-W15</f>
        <v>0</v>
      </c>
      <c r="Z15" s="2022"/>
    </row>
    <row r="16" spans="1:26" s="2005" customFormat="1">
      <c r="B16" s="2969"/>
      <c r="C16" s="2969" t="str">
        <f>HLOOKUP(select,translations!$A$251:$H$340,12,)</f>
        <v>Urea (tonnes of N per year - Urea has 46.7% of N)</v>
      </c>
      <c r="D16" s="2140"/>
      <c r="E16" s="2140"/>
      <c r="F16" s="2006"/>
      <c r="G16" s="2006"/>
      <c r="H16" s="2141">
        <v>0</v>
      </c>
      <c r="I16" s="2141">
        <v>0</v>
      </c>
      <c r="J16" s="2164" t="s">
        <v>1525</v>
      </c>
      <c r="K16" s="2141">
        <v>0</v>
      </c>
      <c r="L16" s="2164" t="s">
        <v>1525</v>
      </c>
      <c r="M16" s="2004">
        <f>Inputs!Q21</f>
        <v>0</v>
      </c>
      <c r="N16" s="2004">
        <f>Inputs!R21</f>
        <v>0</v>
      </c>
      <c r="O16" s="2004"/>
      <c r="P16" s="2004">
        <f>Inputs!Q28</f>
        <v>0</v>
      </c>
      <c r="Q16" s="2004">
        <f>Inputs!R28</f>
        <v>0</v>
      </c>
      <c r="R16" s="2019"/>
      <c r="S16" s="2004">
        <f>IF($X$150="YES",Inputs!Q39-M16,Inputs!Q39)</f>
        <v>0</v>
      </c>
      <c r="T16" s="2436" t="str">
        <f>IF($X$150="YES","**","")</f>
        <v/>
      </c>
      <c r="U16" s="2004">
        <f>IF($X$150="YES",Inputs!R39-N16,Inputs!R39)</f>
        <v>0</v>
      </c>
      <c r="V16" s="2553" t="str">
        <f>IF($X$150="YES","**","")</f>
        <v/>
      </c>
      <c r="W16" s="2004">
        <f>M16+S16+P16</f>
        <v>0</v>
      </c>
      <c r="X16" s="2004">
        <f>N16+U16+Q16</f>
        <v>0</v>
      </c>
      <c r="Y16" s="2004">
        <f t="shared" si="0"/>
        <v>0</v>
      </c>
      <c r="Z16" s="2022"/>
    </row>
    <row r="17" spans="2:27" s="2005" customFormat="1">
      <c r="B17" s="2969"/>
      <c r="C17" s="2969" t="str">
        <f>HLOOKUP(select,translations!$A$251:$H$340,13,)</f>
        <v>Other N-fertilizers (tonnes of N per year)</v>
      </c>
      <c r="D17" s="2140"/>
      <c r="E17" s="2140"/>
      <c r="F17" s="2006"/>
      <c r="G17" s="2006"/>
      <c r="H17" s="2141">
        <v>0</v>
      </c>
      <c r="I17" s="2141">
        <v>0</v>
      </c>
      <c r="J17" s="2164" t="s">
        <v>1525</v>
      </c>
      <c r="K17" s="2141">
        <v>0</v>
      </c>
      <c r="L17" s="2164" t="s">
        <v>1525</v>
      </c>
      <c r="M17" s="2004" t="s">
        <v>1484</v>
      </c>
      <c r="N17" s="2004" t="s">
        <v>1484</v>
      </c>
      <c r="O17" s="2004"/>
      <c r="P17" s="2004">
        <f>Inputs!Q29</f>
        <v>0</v>
      </c>
      <c r="Q17" s="2004">
        <f>Inputs!R29</f>
        <v>0</v>
      </c>
      <c r="R17" s="2019"/>
      <c r="S17" s="2004">
        <f>Inputs!Q40</f>
        <v>0</v>
      </c>
      <c r="T17" s="2004"/>
      <c r="U17" s="2004">
        <f>Inputs!R40</f>
        <v>0</v>
      </c>
      <c r="V17" s="2006"/>
      <c r="W17" s="2004">
        <f>P17+S17</f>
        <v>0</v>
      </c>
      <c r="X17" s="2004">
        <f>Q17+U17</f>
        <v>0</v>
      </c>
      <c r="Y17" s="2004">
        <f t="shared" si="0"/>
        <v>0</v>
      </c>
      <c r="Z17" s="2022"/>
      <c r="AA17" s="2022"/>
    </row>
    <row r="18" spans="2:27" s="2005" customFormat="1">
      <c r="B18" s="2969"/>
      <c r="C18" s="2969" t="str">
        <f>HLOOKUP(select,translations!$A$251:$H$340,14,)</f>
        <v>N-fertilizer in irrigated rice (tonnes of N per year)</v>
      </c>
      <c r="D18" s="2140"/>
      <c r="E18" s="2140"/>
      <c r="F18" s="2006"/>
      <c r="G18" s="2006"/>
      <c r="H18" s="2141">
        <v>0</v>
      </c>
      <c r="I18" s="2141">
        <v>0</v>
      </c>
      <c r="J18" s="2164" t="s">
        <v>1525</v>
      </c>
      <c r="K18" s="2141">
        <v>0</v>
      </c>
      <c r="L18" s="2164" t="s">
        <v>1525</v>
      </c>
      <c r="M18" s="2004" t="s">
        <v>1484</v>
      </c>
      <c r="N18" s="2004" t="s">
        <v>1484</v>
      </c>
      <c r="O18" s="2004"/>
      <c r="P18" s="2004">
        <f>Inputs!Q30</f>
        <v>0</v>
      </c>
      <c r="Q18" s="2004">
        <f>Inputs!R30</f>
        <v>0</v>
      </c>
      <c r="R18" s="2019"/>
      <c r="S18" s="2004">
        <f>Inputs!Q41</f>
        <v>0</v>
      </c>
      <c r="T18" s="2004"/>
      <c r="U18" s="2004">
        <f>Inputs!R41</f>
        <v>0</v>
      </c>
      <c r="V18" s="2006"/>
      <c r="W18" s="2004">
        <f>P18+S18</f>
        <v>0</v>
      </c>
      <c r="X18" s="2004">
        <f>Q18+U18</f>
        <v>0</v>
      </c>
      <c r="Y18" s="2004">
        <f t="shared" si="0"/>
        <v>0</v>
      </c>
      <c r="Z18" s="2022"/>
    </row>
    <row r="19" spans="2:27" s="2005" customFormat="1">
      <c r="B19" s="2969"/>
      <c r="C19" s="2969" t="str">
        <f>HLOOKUP(select,translations!$A$251:$H$340,15,)</f>
        <v>Sewage (tonnes of N per year)</v>
      </c>
      <c r="D19" s="2140"/>
      <c r="E19" s="2140"/>
      <c r="F19" s="2006"/>
      <c r="G19" s="2006"/>
      <c r="H19" s="2141">
        <v>0</v>
      </c>
      <c r="I19" s="2141">
        <v>0</v>
      </c>
      <c r="J19" s="2164" t="s">
        <v>1525</v>
      </c>
      <c r="K19" s="2141">
        <v>0</v>
      </c>
      <c r="L19" s="2164" t="s">
        <v>1525</v>
      </c>
      <c r="M19" s="2004" t="s">
        <v>1484</v>
      </c>
      <c r="N19" s="2004" t="s">
        <v>1484</v>
      </c>
      <c r="O19" s="2004"/>
      <c r="P19" s="2004">
        <f>Inputs!Q31</f>
        <v>0</v>
      </c>
      <c r="Q19" s="2004">
        <f>Inputs!R31</f>
        <v>0</v>
      </c>
      <c r="R19" s="2019"/>
      <c r="S19" s="2004" t="s">
        <v>1484</v>
      </c>
      <c r="T19" s="2004"/>
      <c r="U19" s="2004" t="s">
        <v>1484</v>
      </c>
      <c r="V19" s="2006"/>
      <c r="W19" s="2004">
        <f>P19</f>
        <v>0</v>
      </c>
      <c r="X19" s="2004">
        <f>Q19</f>
        <v>0</v>
      </c>
      <c r="Y19" s="2004">
        <f t="shared" si="0"/>
        <v>0</v>
      </c>
      <c r="Z19" s="2022"/>
    </row>
    <row r="20" spans="2:27" s="2005" customFormat="1">
      <c r="B20" s="2969"/>
      <c r="C20" s="2969" t="str">
        <f>HLOOKUP(select,translations!$A$251:$H$340,16,)</f>
        <v>Compost (tonnes of N per year)</v>
      </c>
      <c r="D20" s="2140"/>
      <c r="E20" s="2140"/>
      <c r="F20" s="2006"/>
      <c r="G20" s="2006"/>
      <c r="H20" s="2141">
        <v>0</v>
      </c>
      <c r="I20" s="2141">
        <v>0</v>
      </c>
      <c r="J20" s="2164" t="s">
        <v>1525</v>
      </c>
      <c r="K20" s="2141">
        <v>0</v>
      </c>
      <c r="L20" s="2164" t="s">
        <v>1525</v>
      </c>
      <c r="M20" s="2004" t="s">
        <v>1484</v>
      </c>
      <c r="N20" s="2004" t="s">
        <v>1484</v>
      </c>
      <c r="O20" s="2004"/>
      <c r="P20" s="2004">
        <f>Inputs!Q32</f>
        <v>0</v>
      </c>
      <c r="Q20" s="2004">
        <f>Inputs!R32</f>
        <v>0</v>
      </c>
      <c r="R20" s="2019"/>
      <c r="S20" s="2004" t="s">
        <v>1484</v>
      </c>
      <c r="T20" s="2004"/>
      <c r="U20" s="2004" t="s">
        <v>1484</v>
      </c>
      <c r="V20" s="2006"/>
      <c r="W20" s="2004">
        <f>P20</f>
        <v>0</v>
      </c>
      <c r="X20" s="2004">
        <f>Q20</f>
        <v>0</v>
      </c>
      <c r="Y20" s="2004">
        <f t="shared" si="0"/>
        <v>0</v>
      </c>
      <c r="Z20" s="2022"/>
    </row>
    <row r="21" spans="2:27" s="2005" customFormat="1">
      <c r="B21" s="2969"/>
      <c r="C21" s="2969" t="str">
        <f>HLOOKUP(select,translations!$A$251:$H$340,17,)</f>
        <v>Phosphorus (tonnes of P2O5 per year)</v>
      </c>
      <c r="D21" s="2140"/>
      <c r="E21" s="2140"/>
      <c r="F21" s="2006"/>
      <c r="G21" s="2006"/>
      <c r="H21" s="2141">
        <v>0</v>
      </c>
      <c r="I21" s="2141">
        <v>0</v>
      </c>
      <c r="J21" s="2164" t="s">
        <v>1525</v>
      </c>
      <c r="K21" s="2141">
        <v>0</v>
      </c>
      <c r="L21" s="2164" t="s">
        <v>1525</v>
      </c>
      <c r="M21" s="2004" t="s">
        <v>1484</v>
      </c>
      <c r="N21" s="2004" t="s">
        <v>1484</v>
      </c>
      <c r="O21" s="2004"/>
      <c r="P21" s="2004" t="s">
        <v>1484</v>
      </c>
      <c r="Q21" s="2004" t="s">
        <v>1484</v>
      </c>
      <c r="R21" s="2019"/>
      <c r="S21" s="2004">
        <f>Inputs!Q42</f>
        <v>0</v>
      </c>
      <c r="T21" s="2004"/>
      <c r="U21" s="2004">
        <f>Inputs!R42</f>
        <v>0</v>
      </c>
      <c r="V21" s="2006"/>
      <c r="W21" s="2004">
        <f>S21</f>
        <v>0</v>
      </c>
      <c r="X21" s="2004">
        <f>U21</f>
        <v>0</v>
      </c>
      <c r="Y21" s="2004">
        <f t="shared" si="0"/>
        <v>0</v>
      </c>
      <c r="Z21" s="2022"/>
    </row>
    <row r="22" spans="2:27" s="2005" customFormat="1">
      <c r="B22" s="2969"/>
      <c r="C22" s="2969" t="str">
        <f>HLOOKUP(select,translations!$A$251:$H$340,18,)</f>
        <v>Potassium  (tonnes of K2O per year)</v>
      </c>
      <c r="D22" s="2140"/>
      <c r="E22" s="2140"/>
      <c r="F22" s="2006"/>
      <c r="G22" s="2006"/>
      <c r="H22" s="2141">
        <v>0</v>
      </c>
      <c r="I22" s="2141">
        <v>0</v>
      </c>
      <c r="J22" s="2164" t="s">
        <v>1525</v>
      </c>
      <c r="K22" s="2141">
        <v>0</v>
      </c>
      <c r="L22" s="2164" t="s">
        <v>1525</v>
      </c>
      <c r="M22" s="2004" t="s">
        <v>1484</v>
      </c>
      <c r="N22" s="2004" t="s">
        <v>1484</v>
      </c>
      <c r="O22" s="2004"/>
      <c r="P22" s="2004" t="s">
        <v>1484</v>
      </c>
      <c r="Q22" s="2004" t="s">
        <v>1484</v>
      </c>
      <c r="R22" s="2019"/>
      <c r="S22" s="2004">
        <f>Inputs!Q43</f>
        <v>0</v>
      </c>
      <c r="T22" s="2004"/>
      <c r="U22" s="2004">
        <f>Inputs!R43</f>
        <v>0</v>
      </c>
      <c r="V22" s="2006"/>
      <c r="W22" s="2004">
        <f>S22</f>
        <v>0</v>
      </c>
      <c r="X22" s="2004">
        <f>U22</f>
        <v>0</v>
      </c>
      <c r="Y22" s="2004">
        <f t="shared" si="0"/>
        <v>0</v>
      </c>
      <c r="Z22" s="2022"/>
    </row>
    <row r="23" spans="2:27" s="2009" customFormat="1">
      <c r="B23" s="1801" t="str">
        <f>HLOOKUP(select,translations!$A$251:$H$340,19,)</f>
        <v>Pesticides</v>
      </c>
      <c r="C23" s="2135"/>
      <c r="D23" s="2136"/>
      <c r="E23" s="2136"/>
      <c r="F23" s="1919"/>
      <c r="G23" s="1919"/>
      <c r="H23" s="1919"/>
      <c r="I23" s="2004"/>
      <c r="J23" s="2004"/>
      <c r="K23" s="2004"/>
      <c r="L23" s="2004"/>
      <c r="M23" s="2004"/>
      <c r="N23" s="2004"/>
      <c r="O23" s="2004"/>
      <c r="P23" s="2004"/>
      <c r="Q23" s="2004"/>
      <c r="R23" s="2020"/>
      <c r="S23" s="2129"/>
      <c r="T23" s="2390"/>
      <c r="U23" s="2129"/>
      <c r="V23" s="2129"/>
      <c r="W23" s="2129"/>
      <c r="X23" s="2129"/>
      <c r="Y23" s="2129"/>
      <c r="Z23" s="2022"/>
    </row>
    <row r="24" spans="2:27" s="2005" customFormat="1">
      <c r="B24" s="2969"/>
      <c r="C24" s="2969" t="str">
        <f>HLOOKUP(select,translations!$A$251:$H$340,20,)</f>
        <v>Herbicides (tonnes of active ingredient per year)</v>
      </c>
      <c r="D24" s="2140"/>
      <c r="E24" s="2140"/>
      <c r="F24" s="2006"/>
      <c r="G24" s="2006"/>
      <c r="H24" s="2141">
        <v>0</v>
      </c>
      <c r="I24" s="2141">
        <v>0</v>
      </c>
      <c r="J24" s="2164" t="s">
        <v>1525</v>
      </c>
      <c r="K24" s="2141">
        <v>0</v>
      </c>
      <c r="L24" s="2164" t="s">
        <v>1525</v>
      </c>
      <c r="M24" s="2004" t="s">
        <v>1484</v>
      </c>
      <c r="N24" s="2004" t="s">
        <v>1484</v>
      </c>
      <c r="O24" s="2004"/>
      <c r="P24" s="2004" t="s">
        <v>1484</v>
      </c>
      <c r="Q24" s="2004" t="s">
        <v>1484</v>
      </c>
      <c r="R24" s="2019"/>
      <c r="S24" s="2004">
        <f>Inputs!Q47</f>
        <v>0</v>
      </c>
      <c r="T24" s="2004"/>
      <c r="U24" s="2004">
        <f>Inputs!R47</f>
        <v>0</v>
      </c>
      <c r="V24" s="2006"/>
      <c r="W24" s="2004">
        <f>S24</f>
        <v>0</v>
      </c>
      <c r="X24" s="2004">
        <f>U24</f>
        <v>0</v>
      </c>
      <c r="Y24" s="2004">
        <f t="shared" si="0"/>
        <v>0</v>
      </c>
      <c r="Z24" s="2022"/>
    </row>
    <row r="25" spans="2:27" s="2005" customFormat="1">
      <c r="B25" s="2969"/>
      <c r="C25" s="2969" t="str">
        <f>HLOOKUP(select,translations!$A$251:$H$340,21,)</f>
        <v>Insecticides (tonnes of active ingredient per year)</v>
      </c>
      <c r="D25" s="2140"/>
      <c r="E25" s="2140"/>
      <c r="F25" s="2006"/>
      <c r="G25" s="2006"/>
      <c r="H25" s="2141">
        <v>0</v>
      </c>
      <c r="I25" s="2141">
        <v>0</v>
      </c>
      <c r="J25" s="2164" t="s">
        <v>1525</v>
      </c>
      <c r="K25" s="2141">
        <v>0</v>
      </c>
      <c r="L25" s="2164" t="s">
        <v>1525</v>
      </c>
      <c r="M25" s="2004" t="s">
        <v>1484</v>
      </c>
      <c r="N25" s="2004" t="s">
        <v>1484</v>
      </c>
      <c r="O25" s="2004"/>
      <c r="P25" s="2004" t="s">
        <v>1484</v>
      </c>
      <c r="Q25" s="2004" t="s">
        <v>1484</v>
      </c>
      <c r="R25" s="2019"/>
      <c r="S25" s="2004">
        <f>Inputs!Q48</f>
        <v>0</v>
      </c>
      <c r="T25" s="2004"/>
      <c r="U25" s="2004">
        <f>Inputs!R48</f>
        <v>0</v>
      </c>
      <c r="V25" s="2006"/>
      <c r="W25" s="2004">
        <f>S25</f>
        <v>0</v>
      </c>
      <c r="X25" s="2004">
        <f>U25</f>
        <v>0</v>
      </c>
      <c r="Y25" s="2004">
        <f t="shared" si="0"/>
        <v>0</v>
      </c>
      <c r="Z25" s="2022"/>
    </row>
    <row r="26" spans="2:27" s="2005" customFormat="1">
      <c r="B26" s="2969"/>
      <c r="C26" s="2969" t="str">
        <f>HLOOKUP(select,translations!$A$251:$H$340,22,)</f>
        <v>Fungicides (tonnes of active ingredient per year)</v>
      </c>
      <c r="D26" s="2140"/>
      <c r="E26" s="2140"/>
      <c r="F26" s="2006"/>
      <c r="G26" s="2006"/>
      <c r="H26" s="2141">
        <v>0</v>
      </c>
      <c r="I26" s="2141">
        <v>0</v>
      </c>
      <c r="J26" s="2164" t="s">
        <v>1525</v>
      </c>
      <c r="K26" s="2141">
        <v>0</v>
      </c>
      <c r="L26" s="2164" t="s">
        <v>1525</v>
      </c>
      <c r="M26" s="2004" t="s">
        <v>1484</v>
      </c>
      <c r="N26" s="2004" t="s">
        <v>1484</v>
      </c>
      <c r="O26" s="2004"/>
      <c r="P26" s="2004" t="s">
        <v>1484</v>
      </c>
      <c r="Q26" s="2004" t="s">
        <v>1484</v>
      </c>
      <c r="R26" s="2019"/>
      <c r="S26" s="2004">
        <f>Inputs!Q49</f>
        <v>0</v>
      </c>
      <c r="T26" s="2004"/>
      <c r="U26" s="2004">
        <f>Inputs!R49</f>
        <v>0</v>
      </c>
      <c r="V26" s="2006"/>
      <c r="W26" s="2004">
        <f>S26</f>
        <v>0</v>
      </c>
      <c r="X26" s="2004">
        <f>U26</f>
        <v>0</v>
      </c>
      <c r="Y26" s="2004">
        <f t="shared" si="0"/>
        <v>0</v>
      </c>
      <c r="Z26" s="2022"/>
    </row>
    <row r="27" spans="2:27" s="2005" customFormat="1" ht="11.4">
      <c r="B27" s="2022"/>
      <c r="C27" s="2022"/>
      <c r="D27" s="2022"/>
      <c r="E27" s="2022"/>
      <c r="F27" s="2022"/>
      <c r="G27" s="2022"/>
      <c r="H27" s="2022"/>
      <c r="I27" s="2190" t="str">
        <f>'5. Degradation'!J19</f>
        <v>* Note concerning dynamics of change : "D" corresponds to default/linear, "I" to immediate and "E" to exponential (Please refer to the guidelines)</v>
      </c>
      <c r="J27" s="2406"/>
      <c r="K27" s="2406"/>
      <c r="L27" s="2406"/>
      <c r="M27" s="2406"/>
      <c r="N27" s="2406"/>
      <c r="O27" s="2406"/>
      <c r="P27" s="2406"/>
      <c r="Q27" s="2406"/>
      <c r="R27" s="2406"/>
      <c r="S27" s="2406"/>
      <c r="T27" s="2406"/>
      <c r="U27" s="2406"/>
      <c r="V27" s="2406"/>
      <c r="W27" s="2406"/>
      <c r="X27" s="2406"/>
      <c r="Y27" s="2406"/>
      <c r="Z27" s="2022"/>
    </row>
    <row r="28" spans="2:27" s="2005" customFormat="1" ht="11.4">
      <c r="B28" s="2022"/>
      <c r="C28" s="2022"/>
      <c r="D28" s="2022"/>
      <c r="E28" s="2022"/>
      <c r="F28" s="2022"/>
      <c r="G28" s="2022"/>
      <c r="H28" s="2022"/>
      <c r="I28" s="2022"/>
      <c r="J28" s="2022"/>
      <c r="K28" s="2022"/>
      <c r="L28" s="2022"/>
      <c r="M28" s="2022"/>
      <c r="N28" s="2022"/>
      <c r="O28" s="2022"/>
      <c r="P28" s="2022"/>
      <c r="Q28" s="2022"/>
      <c r="R28" s="2022"/>
      <c r="S28" s="2022"/>
      <c r="T28" s="2022"/>
      <c r="U28" s="2022"/>
      <c r="V28" s="2022"/>
      <c r="W28" s="2022"/>
      <c r="X28" s="2022"/>
      <c r="Y28" s="2022"/>
      <c r="Z28" s="2022"/>
    </row>
    <row r="29" spans="2:27" s="1738" customFormat="1">
      <c r="E29" s="1743"/>
      <c r="F29" s="2431"/>
      <c r="I29" s="1743"/>
      <c r="J29" s="1743"/>
      <c r="K29" s="1743"/>
      <c r="L29" s="1743"/>
      <c r="M29" s="1743"/>
      <c r="N29" s="1743"/>
      <c r="O29" s="1743"/>
      <c r="P29" s="1743"/>
      <c r="Q29" s="1743"/>
      <c r="R29" s="1743"/>
      <c r="S29" s="1743"/>
      <c r="T29" s="1743"/>
      <c r="U29" s="1743"/>
      <c r="V29" s="1743"/>
      <c r="W29" s="1743"/>
      <c r="X29" s="1743"/>
    </row>
    <row r="30" spans="2:27" s="1738" customFormat="1">
      <c r="E30" s="1743"/>
      <c r="F30" s="1743"/>
      <c r="I30" s="1743"/>
      <c r="J30" s="1743"/>
      <c r="K30" s="1743"/>
      <c r="L30" s="1743"/>
      <c r="M30" s="1743"/>
      <c r="N30" s="2021"/>
      <c r="O30" s="1743"/>
      <c r="P30" s="1743"/>
      <c r="Q30" s="1743"/>
      <c r="R30" s="1743"/>
      <c r="S30" s="2737" t="str">
        <f>HLOOKUP(select,translations!$A$251:$H$340,23,)</f>
        <v>Total Inputs</v>
      </c>
      <c r="T30" s="1730"/>
      <c r="U30" s="2411"/>
      <c r="V30" s="1730"/>
      <c r="W30" s="2229">
        <f>SUM(W12:W26)</f>
        <v>0</v>
      </c>
      <c r="X30" s="2229">
        <f>SUM(X12:X26)</f>
        <v>0</v>
      </c>
      <c r="Y30" s="2229">
        <f>SUM(Y12:Y26)</f>
        <v>0</v>
      </c>
    </row>
    <row r="31" spans="2:27" s="1738" customFormat="1">
      <c r="E31" s="1743"/>
      <c r="F31" s="1743"/>
      <c r="I31" s="1743"/>
      <c r="J31" s="1743"/>
      <c r="K31" s="1743"/>
      <c r="L31" s="1743"/>
      <c r="M31" s="1743"/>
      <c r="N31" s="2021"/>
      <c r="O31" s="1743"/>
      <c r="P31" s="1743"/>
      <c r="Q31" s="1743"/>
      <c r="R31" s="1743"/>
      <c r="S31" s="1743"/>
      <c r="T31" s="1743"/>
      <c r="U31" s="1743"/>
      <c r="V31" s="1743"/>
      <c r="W31" s="1743"/>
      <c r="X31" s="1743"/>
      <c r="Y31" s="1743"/>
      <c r="Z31" s="1743"/>
    </row>
    <row r="32" spans="2:27" s="1738" customFormat="1">
      <c r="E32" s="1743"/>
      <c r="F32" s="1743"/>
      <c r="I32" s="1743"/>
      <c r="J32" s="1743"/>
      <c r="K32" s="1743"/>
      <c r="L32" s="1743"/>
      <c r="M32" s="1743"/>
      <c r="N32" s="2021"/>
      <c r="O32" s="1743"/>
      <c r="P32" s="1743"/>
      <c r="Q32" s="1743"/>
      <c r="R32" s="1743"/>
      <c r="S32" s="1743"/>
      <c r="T32" s="1743"/>
      <c r="U32" s="1743"/>
      <c r="V32" s="1743"/>
      <c r="W32" s="1743"/>
      <c r="X32" s="1743"/>
      <c r="Y32" s="1743"/>
      <c r="Z32" s="1743"/>
    </row>
    <row r="33" spans="2:25" s="1738" customFormat="1">
      <c r="E33" s="1743"/>
      <c r="F33" s="1743"/>
      <c r="I33" s="1743"/>
      <c r="J33" s="1743"/>
      <c r="K33" s="1743"/>
      <c r="L33" s="1743"/>
      <c r="M33" s="1743"/>
      <c r="N33" s="2021"/>
      <c r="O33" s="1743"/>
      <c r="P33" s="1743"/>
      <c r="Q33" s="1743"/>
      <c r="R33" s="1743"/>
      <c r="S33" s="1743"/>
      <c r="T33" s="1743"/>
      <c r="U33" s="1743"/>
      <c r="V33" s="1743"/>
      <c r="W33" s="1743"/>
      <c r="X33" s="1743"/>
    </row>
    <row r="34" spans="2:25" s="1738" customFormat="1" ht="15.6">
      <c r="B34" s="2588" t="str">
        <f>HLOOKUP(select,translations!$A$251:$H$340,26,)</f>
        <v>6.2. Energy consumption (electricity, fuel,…)</v>
      </c>
      <c r="C34" s="2239"/>
      <c r="D34" s="2239"/>
      <c r="E34" s="2239"/>
      <c r="F34" s="2239"/>
      <c r="G34" s="2239"/>
      <c r="H34" s="2239"/>
      <c r="I34" s="2239"/>
      <c r="J34" s="2239"/>
      <c r="K34" s="2239"/>
      <c r="L34" s="2239"/>
      <c r="M34" s="2239"/>
      <c r="N34" s="2239"/>
      <c r="O34" s="2239"/>
      <c r="P34" s="2239"/>
      <c r="Q34" s="2239"/>
      <c r="R34" s="2239"/>
      <c r="S34" s="2239"/>
      <c r="T34" s="2239"/>
      <c r="U34" s="2239"/>
      <c r="V34" s="2239"/>
      <c r="W34" s="2239"/>
      <c r="X34" s="2391"/>
      <c r="Y34" s="2391"/>
    </row>
    <row r="35" spans="2:25" s="1738" customFormat="1">
      <c r="B35" s="1753"/>
      <c r="C35" s="1748"/>
      <c r="D35" s="1748"/>
      <c r="E35" s="1748"/>
      <c r="F35" s="1748"/>
      <c r="G35" s="1748"/>
      <c r="H35" s="1748"/>
      <c r="I35" s="1748"/>
      <c r="J35" s="1748"/>
      <c r="K35" s="1748"/>
      <c r="L35" s="1748"/>
      <c r="M35" s="1748"/>
      <c r="N35" s="1748"/>
      <c r="O35" s="1748"/>
      <c r="P35" s="1748"/>
      <c r="Q35" s="1748"/>
      <c r="R35" s="1748"/>
      <c r="S35" s="1748"/>
      <c r="T35" s="1748"/>
      <c r="U35" s="1748"/>
      <c r="V35" s="1748"/>
      <c r="W35" s="2008"/>
      <c r="X35" s="2008"/>
      <c r="Y35" s="1748"/>
    </row>
    <row r="36" spans="2:25" s="1738" customFormat="1">
      <c r="B36" s="2961" t="str">
        <f>B9</f>
        <v>Description and unit to report</v>
      </c>
      <c r="C36" s="2392"/>
      <c r="D36" s="2331"/>
      <c r="E36" s="2393"/>
      <c r="F36" s="2331"/>
      <c r="G36" s="2331"/>
      <c r="H36" s="2168" t="str">
        <f>HLOOKUP(select,translations!$A$251:$H$340,27,)</f>
        <v>Quantity consumed per year</v>
      </c>
      <c r="I36" s="2178"/>
      <c r="J36" s="2178"/>
      <c r="K36" s="2178"/>
      <c r="L36" s="2394"/>
      <c r="M36" s="2395"/>
      <c r="N36" s="2395"/>
      <c r="O36" s="2395"/>
      <c r="P36" s="2395"/>
      <c r="Q36" s="2395"/>
      <c r="R36" s="2395"/>
      <c r="S36" s="2395"/>
      <c r="T36" s="2395"/>
      <c r="U36" s="2395"/>
      <c r="V36" s="2395"/>
      <c r="W36" s="3129" t="str">
        <f>W9</f>
        <v>Total Emissions</v>
      </c>
      <c r="X36" s="3129"/>
      <c r="Y36" s="2384" t="str">
        <f>Y9</f>
        <v>Balance</v>
      </c>
    </row>
    <row r="37" spans="2:25" s="1738" customFormat="1">
      <c r="B37" s="2961"/>
      <c r="C37" s="2392"/>
      <c r="D37" s="2396"/>
      <c r="E37" s="2396"/>
      <c r="F37" s="2331"/>
      <c r="G37" s="2331"/>
      <c r="H37" s="2178"/>
      <c r="I37" s="2178"/>
      <c r="J37" s="2178"/>
      <c r="K37" s="2178"/>
      <c r="L37" s="2394"/>
      <c r="M37" s="2395"/>
      <c r="N37" s="2395"/>
      <c r="O37" s="2395"/>
      <c r="P37" s="2395"/>
      <c r="Q37" s="2395"/>
      <c r="R37" s="2395"/>
      <c r="S37" s="2395"/>
      <c r="T37" s="2395"/>
      <c r="U37" s="2395"/>
      <c r="V37" s="2395"/>
      <c r="W37" s="3143" t="str">
        <f>W10</f>
        <v>(tCO2-eq)</v>
      </c>
      <c r="X37" s="3143"/>
      <c r="Y37" s="2388"/>
    </row>
    <row r="38" spans="2:25" s="1738" customFormat="1">
      <c r="B38" s="2354"/>
      <c r="C38" s="2193"/>
      <c r="D38" s="2193"/>
      <c r="E38" s="2387"/>
      <c r="F38" s="2387"/>
      <c r="G38" s="2193"/>
      <c r="H38" s="2388" t="str">
        <f>H11</f>
        <v>Start</v>
      </c>
      <c r="I38" s="2719" t="str">
        <f>I11</f>
        <v>Without</v>
      </c>
      <c r="J38" s="2388"/>
      <c r="K38" s="2719" t="str">
        <f>K11</f>
        <v>With</v>
      </c>
      <c r="L38" s="2394"/>
      <c r="M38" s="2395"/>
      <c r="N38" s="2395"/>
      <c r="O38" s="2395"/>
      <c r="P38" s="2395"/>
      <c r="Q38" s="2395"/>
      <c r="R38" s="2395"/>
      <c r="S38" s="2395"/>
      <c r="T38" s="2395"/>
      <c r="U38" s="2395"/>
      <c r="V38" s="2395"/>
      <c r="W38" s="2719" t="str">
        <f>I38</f>
        <v>Without</v>
      </c>
      <c r="X38" s="2719" t="str">
        <f>K38</f>
        <v>With</v>
      </c>
      <c r="Y38" s="2388"/>
    </row>
    <row r="39" spans="2:25" s="1738" customFormat="1">
      <c r="B39" s="2867" t="str">
        <f>HLOOKUP(select,translations!$A$251:$H$340,28,)</f>
        <v>Electricity (MWh per year)</v>
      </c>
      <c r="C39" s="2193"/>
      <c r="D39" s="2193"/>
      <c r="E39" s="2387"/>
      <c r="F39" s="2395"/>
      <c r="G39" s="2394"/>
      <c r="H39" s="2412"/>
      <c r="I39" s="2394"/>
      <c r="J39" s="2388" t="s">
        <v>93</v>
      </c>
      <c r="K39" s="2412"/>
      <c r="L39" s="2388" t="s">
        <v>93</v>
      </c>
      <c r="M39" s="2395"/>
      <c r="N39" s="2395"/>
      <c r="O39" s="2395"/>
      <c r="P39" s="2395"/>
      <c r="Q39" s="2395"/>
      <c r="R39" s="2395"/>
      <c r="S39" s="2395"/>
      <c r="T39" s="2395"/>
      <c r="U39" s="2395"/>
      <c r="V39" s="2395"/>
      <c r="W39" s="2412"/>
      <c r="X39" s="2412"/>
      <c r="Y39" s="2412"/>
    </row>
    <row r="40" spans="2:25" s="1738" customFormat="1">
      <c r="B40" s="2414"/>
      <c r="C40" s="3066" t="s">
        <v>23</v>
      </c>
      <c r="D40" s="3066"/>
      <c r="E40" s="3066"/>
      <c r="F40" s="3066"/>
      <c r="G40" s="2394"/>
      <c r="H40" s="2134">
        <v>0</v>
      </c>
      <c r="I40" s="2134">
        <v>0</v>
      </c>
      <c r="J40" s="2164" t="s">
        <v>1525</v>
      </c>
      <c r="K40" s="2134">
        <v>0</v>
      </c>
      <c r="L40" s="2164" t="s">
        <v>1525</v>
      </c>
      <c r="M40" s="2395"/>
      <c r="N40" s="2395"/>
      <c r="O40" s="2395"/>
      <c r="P40" s="2395"/>
      <c r="Q40" s="2395"/>
      <c r="R40" s="2395"/>
      <c r="S40" s="2395"/>
      <c r="T40" s="2395"/>
      <c r="U40" s="2395"/>
      <c r="V40" s="2395"/>
      <c r="W40" s="2412">
        <f>'Other investments'!G22</f>
        <v>0</v>
      </c>
      <c r="X40" s="2412">
        <f>'Other investments'!H22</f>
        <v>0</v>
      </c>
      <c r="Y40" s="2412">
        <f>'Other investments'!J24</f>
        <v>0</v>
      </c>
    </row>
    <row r="41" spans="2:25" s="1738" customFormat="1">
      <c r="B41" s="2414"/>
      <c r="C41" s="3274" t="str">
        <f>HLOOKUP(select,translations!$A$251:$H$340,29,)</f>
        <v>(please select the country of origin)</v>
      </c>
      <c r="D41" s="3274"/>
      <c r="E41" s="3274"/>
      <c r="F41" s="3274"/>
      <c r="G41" s="2394"/>
      <c r="H41" s="2394"/>
      <c r="I41" s="2394"/>
      <c r="J41" s="2394"/>
      <c r="K41" s="2394"/>
      <c r="L41" s="2394"/>
      <c r="M41" s="2394"/>
      <c r="N41" s="2395"/>
      <c r="O41" s="2395"/>
      <c r="P41" s="2395"/>
      <c r="Q41" s="2395"/>
      <c r="R41" s="2395"/>
      <c r="S41" s="2395"/>
      <c r="T41" s="2395"/>
      <c r="U41" s="2395"/>
      <c r="V41" s="2395"/>
      <c r="W41" s="2395"/>
      <c r="X41" s="2395"/>
      <c r="Y41" s="2395"/>
    </row>
    <row r="42" spans="2:25" s="1738" customFormat="1">
      <c r="B42" s="2413" t="str">
        <f>HLOOKUP(select,translations!$A$251:$H$340,30,)</f>
        <v>Liquide or gaseous (in m3 per year)</v>
      </c>
      <c r="C42" s="2394"/>
      <c r="D42" s="2394"/>
      <c r="E42" s="2394"/>
      <c r="F42" s="2394"/>
      <c r="G42" s="2394"/>
      <c r="H42" s="2394"/>
      <c r="I42" s="2394"/>
      <c r="J42" s="2394"/>
      <c r="K42" s="2394"/>
      <c r="L42" s="2394"/>
      <c r="M42" s="2394"/>
      <c r="N42" s="2395"/>
      <c r="O42" s="2395"/>
      <c r="P42" s="2395"/>
      <c r="Q42" s="2395"/>
      <c r="R42" s="2395"/>
      <c r="S42" s="2395"/>
      <c r="T42" s="2395"/>
      <c r="U42" s="2395"/>
      <c r="V42" s="2395"/>
      <c r="W42" s="2395"/>
      <c r="X42" s="2395"/>
      <c r="Y42" s="2395"/>
    </row>
    <row r="43" spans="2:25" s="1738" customFormat="1">
      <c r="B43" s="2414"/>
      <c r="C43" s="2415" t="str">
        <f>HLOOKUP(select,translations!$A$251:$H$340,31,)</f>
        <v>Gasoil/Diesel</v>
      </c>
      <c r="D43" s="2394"/>
      <c r="E43" s="2394"/>
      <c r="F43" s="2394"/>
      <c r="G43" s="2394"/>
      <c r="H43" s="2134">
        <v>0</v>
      </c>
      <c r="I43" s="2134">
        <v>0</v>
      </c>
      <c r="J43" s="2164" t="s">
        <v>1525</v>
      </c>
      <c r="K43" s="2134">
        <v>0</v>
      </c>
      <c r="L43" s="2164" t="s">
        <v>1525</v>
      </c>
      <c r="M43" s="2394"/>
      <c r="N43" s="2395"/>
      <c r="O43" s="2395"/>
      <c r="P43" s="2395"/>
      <c r="Q43" s="2395"/>
      <c r="R43" s="2395"/>
      <c r="S43" s="2395"/>
      <c r="T43" s="2395"/>
      <c r="U43" s="2395"/>
      <c r="V43" s="2395"/>
      <c r="W43" s="2412">
        <f>'Other investments'!K37</f>
        <v>0</v>
      </c>
      <c r="X43" s="2412">
        <f>'Other investments'!L37</f>
        <v>0</v>
      </c>
      <c r="Y43" s="2412">
        <f t="shared" ref="Y43:Y49" si="1">X43-W43</f>
        <v>0</v>
      </c>
    </row>
    <row r="44" spans="2:25" s="1738" customFormat="1">
      <c r="B44" s="2414"/>
      <c r="C44" s="2415" t="str">
        <f>HLOOKUP(select,translations!$A$251:$H$340,32,)</f>
        <v>Gasoline</v>
      </c>
      <c r="D44" s="2394"/>
      <c r="E44" s="2394"/>
      <c r="F44" s="2394"/>
      <c r="G44" s="2394"/>
      <c r="H44" s="2134">
        <v>0</v>
      </c>
      <c r="I44" s="2134">
        <v>0</v>
      </c>
      <c r="J44" s="2164" t="s">
        <v>1525</v>
      </c>
      <c r="K44" s="2134">
        <v>0</v>
      </c>
      <c r="L44" s="2164" t="s">
        <v>1525</v>
      </c>
      <c r="M44" s="2394"/>
      <c r="N44" s="2395"/>
      <c r="O44" s="2395"/>
      <c r="P44" s="2395"/>
      <c r="Q44" s="2395"/>
      <c r="R44" s="2395"/>
      <c r="S44" s="2395"/>
      <c r="T44" s="2395"/>
      <c r="U44" s="2395"/>
      <c r="V44" s="2395"/>
      <c r="W44" s="2412">
        <f>'Other investments'!K38</f>
        <v>0</v>
      </c>
      <c r="X44" s="2412">
        <f>'Other investments'!L38</f>
        <v>0</v>
      </c>
      <c r="Y44" s="2412">
        <f t="shared" si="1"/>
        <v>0</v>
      </c>
    </row>
    <row r="45" spans="2:25" s="1738" customFormat="1">
      <c r="B45" s="2414"/>
      <c r="C45" s="2415" t="str">
        <f>HLOOKUP(select,translations!$A$251:$H$340,33,)</f>
        <v>Gas (LPG/ natural)</v>
      </c>
      <c r="D45" s="2394"/>
      <c r="E45" s="2394"/>
      <c r="F45" s="2394"/>
      <c r="G45" s="2394"/>
      <c r="H45" s="2134">
        <v>0</v>
      </c>
      <c r="I45" s="2134">
        <v>0</v>
      </c>
      <c r="J45" s="2164" t="s">
        <v>1525</v>
      </c>
      <c r="K45" s="2134">
        <v>0</v>
      </c>
      <c r="L45" s="2164" t="s">
        <v>1525</v>
      </c>
      <c r="M45" s="2394"/>
      <c r="N45" s="2395"/>
      <c r="O45" s="2395"/>
      <c r="P45" s="2395"/>
      <c r="Q45" s="2395"/>
      <c r="R45" s="2395"/>
      <c r="S45" s="2395"/>
      <c r="T45" s="2395"/>
      <c r="U45" s="2395"/>
      <c r="V45" s="2395"/>
      <c r="W45" s="2412">
        <f>'Other investments'!K39</f>
        <v>0</v>
      </c>
      <c r="X45" s="2412">
        <f>'Other investments'!L39</f>
        <v>0</v>
      </c>
      <c r="Y45" s="2412">
        <f t="shared" si="1"/>
        <v>0</v>
      </c>
    </row>
    <row r="46" spans="2:25" s="1738" customFormat="1">
      <c r="B46" s="2414"/>
      <c r="C46" s="2415" t="str">
        <f>HLOOKUP(select,translations!$A$251:$H$340,34,)</f>
        <v>Butane</v>
      </c>
      <c r="D46" s="2394"/>
      <c r="E46" s="2394"/>
      <c r="F46" s="2394"/>
      <c r="G46" s="2394"/>
      <c r="H46" s="2134">
        <v>0</v>
      </c>
      <c r="I46" s="2134">
        <v>0</v>
      </c>
      <c r="J46" s="2164" t="s">
        <v>1525</v>
      </c>
      <c r="K46" s="2134">
        <v>0</v>
      </c>
      <c r="L46" s="2164" t="s">
        <v>1525</v>
      </c>
      <c r="M46" s="2394"/>
      <c r="N46" s="2395"/>
      <c r="O46" s="2395"/>
      <c r="P46" s="2395"/>
      <c r="Q46" s="2395"/>
      <c r="R46" s="2395"/>
      <c r="S46" s="2395"/>
      <c r="T46" s="2395"/>
      <c r="U46" s="2395"/>
      <c r="V46" s="2395"/>
      <c r="W46" s="2412">
        <f>'Other investments'!K40</f>
        <v>0</v>
      </c>
      <c r="X46" s="2412">
        <f>'Other investments'!L40</f>
        <v>0</v>
      </c>
      <c r="Y46" s="2412">
        <f t="shared" si="1"/>
        <v>0</v>
      </c>
    </row>
    <row r="47" spans="2:25" s="1738" customFormat="1">
      <c r="B47" s="2414"/>
      <c r="C47" s="2415" t="str">
        <f>HLOOKUP(select,translations!$A$251:$H$340,35,)</f>
        <v>Propane</v>
      </c>
      <c r="D47" s="2394"/>
      <c r="E47" s="2394"/>
      <c r="F47" s="2394"/>
      <c r="G47" s="2394"/>
      <c r="H47" s="2134">
        <v>0</v>
      </c>
      <c r="I47" s="2134">
        <v>0</v>
      </c>
      <c r="J47" s="2164" t="s">
        <v>1525</v>
      </c>
      <c r="K47" s="2134">
        <v>0</v>
      </c>
      <c r="L47" s="2164" t="s">
        <v>1525</v>
      </c>
      <c r="M47" s="2394"/>
      <c r="N47" s="2395"/>
      <c r="O47" s="2395"/>
      <c r="P47" s="2395"/>
      <c r="Q47" s="2395"/>
      <c r="R47" s="2395"/>
      <c r="S47" s="2395"/>
      <c r="T47" s="2395"/>
      <c r="U47" s="2395"/>
      <c r="V47" s="2395"/>
      <c r="W47" s="2412">
        <f>'Other investments'!K41</f>
        <v>0</v>
      </c>
      <c r="X47" s="2412">
        <f>'Other investments'!L41</f>
        <v>0</v>
      </c>
      <c r="Y47" s="2412">
        <f t="shared" si="1"/>
        <v>0</v>
      </c>
    </row>
    <row r="48" spans="2:25" s="1738" customFormat="1">
      <c r="B48" s="2414"/>
      <c r="C48" s="2415" t="str">
        <f>HLOOKUP(select,translations!$A$251:$H$340,36,)</f>
        <v>Ethanol</v>
      </c>
      <c r="D48" s="2394"/>
      <c r="E48" s="2394"/>
      <c r="F48" s="2394"/>
      <c r="G48" s="2394"/>
      <c r="H48" s="2618">
        <v>0</v>
      </c>
      <c r="I48" s="2618">
        <v>0</v>
      </c>
      <c r="J48" s="2164" t="s">
        <v>1525</v>
      </c>
      <c r="K48" s="2618">
        <v>0</v>
      </c>
      <c r="L48" s="2164" t="s">
        <v>1525</v>
      </c>
      <c r="M48" s="2394"/>
      <c r="N48" s="2395"/>
      <c r="O48" s="2395"/>
      <c r="P48" s="2395"/>
      <c r="Q48" s="2395"/>
      <c r="R48" s="2395"/>
      <c r="S48" s="2395"/>
      <c r="T48" s="2395"/>
      <c r="U48" s="2395"/>
      <c r="V48" s="2395"/>
      <c r="W48" s="2412">
        <f>'Other investments'!K42</f>
        <v>0</v>
      </c>
      <c r="X48" s="2412">
        <f>'Other investments'!L42</f>
        <v>0</v>
      </c>
      <c r="Y48" s="2412">
        <f>X48-W48</f>
        <v>0</v>
      </c>
    </row>
    <row r="49" spans="2:25" s="1738" customFormat="1">
      <c r="B49" s="2414"/>
      <c r="C49" s="2415" t="str">
        <f>HLOOKUP(select,translations!$A$251:$H$340,37,)</f>
        <v>User defined (Tier 2):</v>
      </c>
      <c r="D49" s="2394"/>
      <c r="E49" s="2394" t="str">
        <f>IF(D211="Please precise the name","",D211)</f>
        <v/>
      </c>
      <c r="F49" s="2394"/>
      <c r="G49" s="2394"/>
      <c r="H49" s="2134">
        <v>0</v>
      </c>
      <c r="I49" s="2134">
        <v>0</v>
      </c>
      <c r="J49" s="2164" t="s">
        <v>1525</v>
      </c>
      <c r="K49" s="2134">
        <v>0</v>
      </c>
      <c r="L49" s="2164" t="s">
        <v>1525</v>
      </c>
      <c r="M49" s="2394"/>
      <c r="N49" s="2395"/>
      <c r="O49" s="2395"/>
      <c r="P49" s="2395"/>
      <c r="Q49" s="2395"/>
      <c r="R49" s="2395"/>
      <c r="S49" s="2395"/>
      <c r="T49" s="2395"/>
      <c r="U49" s="2395"/>
      <c r="V49" s="2395"/>
      <c r="W49" s="2412">
        <f>'Other investments'!K43</f>
        <v>0</v>
      </c>
      <c r="X49" s="2412">
        <f>'Other investments'!L43</f>
        <v>0</v>
      </c>
      <c r="Y49" s="2412">
        <f t="shared" si="1"/>
        <v>0</v>
      </c>
    </row>
    <row r="50" spans="2:25" s="1738" customFormat="1">
      <c r="B50" s="2413" t="str">
        <f>HLOOKUP(select,translations!$A$251:$H$340,38,)</f>
        <v>Solid (in tonnes of dry matter per year)</v>
      </c>
      <c r="C50" s="2415"/>
      <c r="D50" s="2394"/>
      <c r="E50" s="2394"/>
      <c r="F50" s="2394"/>
      <c r="G50" s="2394"/>
      <c r="H50" s="2394"/>
      <c r="I50" s="2394"/>
      <c r="J50" s="2394"/>
      <c r="K50" s="2394"/>
      <c r="L50" s="2394"/>
      <c r="M50" s="2394"/>
      <c r="N50" s="2395"/>
      <c r="O50" s="2395"/>
      <c r="P50" s="2395"/>
      <c r="Q50" s="2395"/>
      <c r="R50" s="2395"/>
      <c r="S50" s="2395"/>
      <c r="T50" s="2395"/>
      <c r="U50" s="2395"/>
      <c r="V50" s="2395"/>
      <c r="W50" s="2395"/>
      <c r="X50" s="2395"/>
      <c r="Y50" s="2395"/>
    </row>
    <row r="51" spans="2:25" s="1738" customFormat="1">
      <c r="B51" s="2414"/>
      <c r="C51" s="2415" t="str">
        <f>HLOOKUP(select,translations!$A$251:$H$340,39,)</f>
        <v>Wood</v>
      </c>
      <c r="D51" s="2394"/>
      <c r="E51" s="2394"/>
      <c r="F51" s="2394"/>
      <c r="G51" s="2394"/>
      <c r="H51" s="2134">
        <v>0</v>
      </c>
      <c r="I51" s="2134">
        <v>0</v>
      </c>
      <c r="J51" s="2164" t="s">
        <v>1525</v>
      </c>
      <c r="K51" s="2134">
        <v>0</v>
      </c>
      <c r="L51" s="2164" t="s">
        <v>1525</v>
      </c>
      <c r="M51" s="2394"/>
      <c r="N51" s="2395"/>
      <c r="O51" s="2395"/>
      <c r="P51" s="2395"/>
      <c r="Q51" s="2395"/>
      <c r="R51" s="2395"/>
      <c r="S51" s="2395"/>
      <c r="T51" s="2395"/>
      <c r="U51" s="2395"/>
      <c r="V51" s="2395"/>
      <c r="W51" s="2412">
        <f>'Other investments'!K45</f>
        <v>0</v>
      </c>
      <c r="X51" s="2412">
        <f>'Other investments'!L45</f>
        <v>0</v>
      </c>
      <c r="Y51" s="2412">
        <f>X51-W51</f>
        <v>0</v>
      </c>
    </row>
    <row r="52" spans="2:25" s="1738" customFormat="1">
      <c r="B52" s="2414"/>
      <c r="C52" s="2415" t="str">
        <f>HLOOKUP(select,translations!$A$251:$H$340,40,)</f>
        <v>Peat</v>
      </c>
      <c r="D52" s="2394"/>
      <c r="E52" s="2394"/>
      <c r="F52" s="2394"/>
      <c r="G52" s="2394"/>
      <c r="H52" s="2134">
        <v>0</v>
      </c>
      <c r="I52" s="2134">
        <v>0</v>
      </c>
      <c r="J52" s="2164" t="s">
        <v>1525</v>
      </c>
      <c r="K52" s="2134">
        <v>0</v>
      </c>
      <c r="L52" s="2164" t="s">
        <v>1525</v>
      </c>
      <c r="M52" s="2394"/>
      <c r="N52" s="2395"/>
      <c r="O52" s="2395"/>
      <c r="P52" s="2395"/>
      <c r="Q52" s="2395"/>
      <c r="R52" s="2395"/>
      <c r="S52" s="2395"/>
      <c r="T52" s="2395"/>
      <c r="U52" s="2395"/>
      <c r="V52" s="2395"/>
      <c r="W52" s="2412">
        <f>'Other investments'!K46</f>
        <v>0</v>
      </c>
      <c r="X52" s="2412">
        <f>'Other investments'!L46</f>
        <v>0</v>
      </c>
      <c r="Y52" s="2412">
        <f>X52-W52</f>
        <v>0</v>
      </c>
    </row>
    <row r="53" spans="2:25" s="1738" customFormat="1">
      <c r="I53" s="2190" t="str">
        <f>I27</f>
        <v>* Note concerning dynamics of change : "D" corresponds to default/linear, "I" to immediate and "E" to exponential (Please refer to the guidelines)</v>
      </c>
      <c r="J53" s="2406"/>
      <c r="K53" s="2406"/>
      <c r="L53" s="2406"/>
      <c r="M53" s="2406"/>
      <c r="N53" s="2406"/>
      <c r="O53" s="2406"/>
      <c r="P53" s="2406"/>
      <c r="Q53" s="2406"/>
      <c r="R53" s="2406"/>
      <c r="S53" s="2406"/>
      <c r="T53" s="2406"/>
      <c r="U53" s="2406"/>
      <c r="V53" s="2406"/>
      <c r="W53" s="2406"/>
      <c r="X53" s="2406"/>
      <c r="Y53" s="2406"/>
    </row>
    <row r="54" spans="2:25" s="1738" customFormat="1">
      <c r="E54" s="1743"/>
      <c r="F54" s="1743"/>
      <c r="I54" s="1743"/>
      <c r="J54" s="1743"/>
      <c r="K54" s="1743"/>
      <c r="L54" s="1743"/>
      <c r="M54" s="1743"/>
      <c r="N54" s="1743"/>
      <c r="O54" s="1743"/>
      <c r="P54" s="1743"/>
      <c r="Q54" s="1743"/>
      <c r="R54" s="1743"/>
      <c r="S54" s="1743"/>
      <c r="T54" s="1743"/>
      <c r="U54" s="1743"/>
      <c r="V54" s="1743"/>
      <c r="W54" s="1743"/>
      <c r="X54" s="1743"/>
    </row>
    <row r="55" spans="2:25" s="1738" customFormat="1">
      <c r="E55" s="1743"/>
      <c r="F55" s="1743"/>
      <c r="I55" s="1743"/>
      <c r="J55" s="1743"/>
      <c r="K55" s="1743"/>
      <c r="L55" s="1743"/>
      <c r="M55" s="1743"/>
      <c r="N55" s="1743"/>
      <c r="O55" s="1743"/>
      <c r="P55" s="1743"/>
      <c r="Q55" s="1743"/>
      <c r="R55" s="1743"/>
      <c r="S55" s="2671" t="str">
        <f>HLOOKUP(select,translations!$A$251:$H$340,41,)</f>
        <v>Total Energy</v>
      </c>
      <c r="T55" s="1904"/>
      <c r="U55" s="1904"/>
      <c r="V55" s="1904"/>
      <c r="W55" s="1900">
        <f>SUM(W40:W52)</f>
        <v>0</v>
      </c>
      <c r="X55" s="1900">
        <f>SUM(X40:X52)</f>
        <v>0</v>
      </c>
      <c r="Y55" s="1900">
        <f>SUM(Y40:Y52)</f>
        <v>0</v>
      </c>
    </row>
    <row r="56" spans="2:25" s="1738" customFormat="1">
      <c r="E56" s="1743"/>
      <c r="F56" s="1743"/>
      <c r="I56" s="1743"/>
      <c r="J56" s="1743"/>
      <c r="K56" s="1743"/>
      <c r="L56" s="1743"/>
      <c r="M56" s="1743"/>
      <c r="N56" s="1743"/>
      <c r="O56" s="1743"/>
      <c r="P56" s="1743"/>
    </row>
    <row r="57" spans="2:25" s="1738" customFormat="1">
      <c r="E57" s="1743"/>
      <c r="F57" s="1743"/>
      <c r="I57" s="1743"/>
      <c r="J57" s="1743"/>
      <c r="K57" s="1743"/>
      <c r="L57" s="1743"/>
      <c r="M57" s="1743"/>
      <c r="N57" s="1743"/>
      <c r="O57" s="1743"/>
      <c r="P57" s="1743"/>
    </row>
    <row r="58" spans="2:25" s="1738" customFormat="1">
      <c r="E58" s="1743"/>
      <c r="F58" s="1743"/>
      <c r="I58" s="1743"/>
      <c r="J58" s="1743"/>
      <c r="K58" s="1743"/>
      <c r="L58" s="1743"/>
      <c r="M58" s="1743"/>
      <c r="N58" s="1743"/>
      <c r="O58" s="1743"/>
      <c r="P58" s="1743"/>
      <c r="Q58" s="1743"/>
      <c r="R58" s="1743"/>
      <c r="S58" s="1743"/>
      <c r="T58" s="1743"/>
      <c r="U58" s="1743"/>
      <c r="V58" s="1743"/>
      <c r="W58" s="1743"/>
      <c r="X58" s="1743"/>
    </row>
    <row r="59" spans="2:25" s="1738" customFormat="1" ht="15.6">
      <c r="B59" s="2570" t="str">
        <f>HLOOKUP(select,translations!$A$251:$H$340,42,)</f>
        <v>6.3. Construction of new infrastructure (irrigation systems, buildings, roads)</v>
      </c>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416"/>
      <c r="Y59" s="2416"/>
    </row>
    <row r="60" spans="2:25" s="1738" customFormat="1">
      <c r="B60" s="1753"/>
      <c r="C60" s="1748"/>
      <c r="D60" s="1748"/>
      <c r="E60" s="1748"/>
      <c r="F60" s="1748"/>
      <c r="G60" s="1748"/>
      <c r="H60" s="1748"/>
      <c r="I60" s="1748"/>
      <c r="J60" s="1748"/>
      <c r="K60" s="1748"/>
      <c r="L60" s="1748"/>
      <c r="M60" s="1748"/>
      <c r="N60" s="1748"/>
      <c r="O60" s="1748"/>
      <c r="P60" s="1748"/>
      <c r="Q60" s="1748"/>
      <c r="R60" s="1748"/>
      <c r="S60" s="1748"/>
      <c r="T60" s="1748"/>
      <c r="U60" s="1748"/>
      <c r="V60" s="1748"/>
      <c r="W60" s="2008"/>
      <c r="X60" s="2008"/>
      <c r="Y60" s="1748"/>
    </row>
    <row r="61" spans="2:25" s="1738" customFormat="1">
      <c r="B61" s="2967" t="str">
        <f>B36</f>
        <v>Description and unit to report</v>
      </c>
      <c r="C61" s="2418"/>
      <c r="D61" s="2419"/>
      <c r="E61" s="2420"/>
      <c r="F61" s="2419"/>
      <c r="G61" s="2419"/>
      <c r="H61" s="2270"/>
      <c r="I61" s="3267" t="str">
        <f>HLOOKUP(select,translations!$A$251:$H$340,43,)</f>
        <v>Surfaces</v>
      </c>
      <c r="J61" s="3267"/>
      <c r="K61" s="3267"/>
      <c r="L61" s="2421"/>
      <c r="M61" s="2422"/>
      <c r="N61" s="2422"/>
      <c r="O61" s="2422"/>
      <c r="P61" s="2422"/>
      <c r="Q61" s="2422"/>
      <c r="R61" s="2422"/>
      <c r="S61" s="2422"/>
      <c r="T61" s="2422"/>
      <c r="U61" s="2422"/>
      <c r="V61" s="2422"/>
      <c r="W61" s="3147" t="str">
        <f>W36</f>
        <v>Total Emissions</v>
      </c>
      <c r="X61" s="3147"/>
      <c r="Y61" s="2032" t="str">
        <f>Y36</f>
        <v>Balance</v>
      </c>
    </row>
    <row r="62" spans="2:25" s="1738" customFormat="1">
      <c r="B62" s="2967"/>
      <c r="C62" s="2418"/>
      <c r="D62" s="2423"/>
      <c r="E62" s="2423"/>
      <c r="F62" s="2419"/>
      <c r="G62" s="2419"/>
      <c r="H62" s="2270"/>
      <c r="I62" s="2270"/>
      <c r="J62" s="2270"/>
      <c r="K62" s="2270"/>
      <c r="L62" s="2421"/>
      <c r="M62" s="2422"/>
      <c r="N62" s="2422"/>
      <c r="O62" s="2422"/>
      <c r="P62" s="2422"/>
      <c r="Q62" s="2422"/>
      <c r="R62" s="2422"/>
      <c r="S62" s="2422"/>
      <c r="T62" s="2422"/>
      <c r="U62" s="2422"/>
      <c r="V62" s="2422"/>
      <c r="W62" s="3266" t="str">
        <f>W37</f>
        <v>(tCO2-eq)</v>
      </c>
      <c r="X62" s="3266"/>
      <c r="Y62" s="2389"/>
    </row>
    <row r="63" spans="2:25" s="1738" customFormat="1">
      <c r="B63" s="2742"/>
      <c r="C63" s="2192"/>
      <c r="D63" s="2192"/>
      <c r="E63" s="2257"/>
      <c r="F63" s="2257"/>
      <c r="G63" s="2192"/>
      <c r="H63" s="2389"/>
      <c r="I63" s="2741" t="str">
        <f>I38</f>
        <v>Without</v>
      </c>
      <c r="J63" s="2389"/>
      <c r="K63" s="2741" t="str">
        <f>K38</f>
        <v>With</v>
      </c>
      <c r="L63" s="2421"/>
      <c r="M63" s="2422"/>
      <c r="N63" s="2422"/>
      <c r="O63" s="2422"/>
      <c r="P63" s="2422"/>
      <c r="Q63" s="2422"/>
      <c r="R63" s="2422"/>
      <c r="S63" s="2422"/>
      <c r="T63" s="2422"/>
      <c r="U63" s="2422"/>
      <c r="V63" s="2422"/>
      <c r="W63" s="2741" t="str">
        <f>I63</f>
        <v>Without</v>
      </c>
      <c r="X63" s="2741" t="str">
        <f>K63</f>
        <v>With</v>
      </c>
      <c r="Y63" s="2389"/>
    </row>
    <row r="64" spans="2:25" s="1738" customFormat="1">
      <c r="B64" s="2664" t="str">
        <f>HLOOKUP(select,translations!$A$251:$H$340,44,)</f>
        <v>Irrigation systems (in ha)</v>
      </c>
      <c r="C64" s="2192"/>
      <c r="D64" s="2192"/>
      <c r="E64" s="2257"/>
      <c r="F64" s="2422"/>
      <c r="G64" s="2421"/>
      <c r="H64" s="2425"/>
      <c r="I64" s="2421"/>
      <c r="J64" s="2400"/>
      <c r="K64" s="2425"/>
      <c r="L64" s="2421"/>
      <c r="M64" s="2422"/>
      <c r="N64" s="3268" t="str">
        <f>'2.LUC'!V9</f>
        <v xml:space="preserve"> </v>
      </c>
      <c r="O64" s="3268"/>
      <c r="P64" s="3268"/>
      <c r="Q64" s="2422"/>
      <c r="R64" s="2422"/>
      <c r="S64" s="2422"/>
      <c r="T64" s="2422"/>
      <c r="U64" s="2422"/>
      <c r="V64" s="2422"/>
      <c r="W64" s="2425"/>
      <c r="X64" s="2425"/>
      <c r="Y64" s="2425"/>
    </row>
    <row r="65" spans="2:25" s="1738" customFormat="1">
      <c r="B65" s="2742"/>
      <c r="C65" s="3235" t="s">
        <v>4</v>
      </c>
      <c r="D65" s="3235"/>
      <c r="E65" s="3235"/>
      <c r="F65" s="3235"/>
      <c r="G65" s="2421"/>
      <c r="H65" s="2425"/>
      <c r="I65" s="2134">
        <v>0</v>
      </c>
      <c r="J65" s="2400"/>
      <c r="K65" s="2134">
        <v>0</v>
      </c>
      <c r="L65" s="2421"/>
      <c r="M65" s="2257"/>
      <c r="N65" s="2742" t="str">
        <f>IF(Nlang=1,"",VLOOKUP(C65,'Name translation'!$A$134:$H$143,Nlang+1,))</f>
        <v/>
      </c>
      <c r="O65" s="2257"/>
      <c r="P65" s="2257"/>
      <c r="Q65" s="2257"/>
      <c r="R65" s="2257"/>
      <c r="S65" s="2257"/>
      <c r="T65" s="2257"/>
      <c r="U65" s="2257"/>
      <c r="V65" s="2257"/>
      <c r="W65" s="2426">
        <f>'Other investments'!G53</f>
        <v>0</v>
      </c>
      <c r="X65" s="2426">
        <f>'Other investments'!G55</f>
        <v>0</v>
      </c>
      <c r="Y65" s="2427">
        <f>X65-W65</f>
        <v>0</v>
      </c>
    </row>
    <row r="66" spans="2:25" s="1738" customFormat="1">
      <c r="B66" s="2742"/>
      <c r="C66" s="3235" t="s">
        <v>4</v>
      </c>
      <c r="D66" s="3235"/>
      <c r="E66" s="3235"/>
      <c r="F66" s="3235"/>
      <c r="G66" s="2421"/>
      <c r="H66" s="2425"/>
      <c r="I66" s="2134">
        <v>0</v>
      </c>
      <c r="J66" s="2400"/>
      <c r="K66" s="2134">
        <v>0</v>
      </c>
      <c r="L66" s="2421"/>
      <c r="M66" s="2257"/>
      <c r="N66" s="2742" t="str">
        <f>IF(Nlang=1,"",VLOOKUP(C66,'Name translation'!$A$134:$H$143,Nlang+1,))</f>
        <v/>
      </c>
      <c r="O66" s="2257"/>
      <c r="P66" s="2257"/>
      <c r="Q66" s="2257"/>
      <c r="R66" s="2257"/>
      <c r="S66" s="2257"/>
      <c r="T66" s="2257"/>
      <c r="U66" s="2257"/>
      <c r="V66" s="2257"/>
      <c r="W66" s="2426">
        <f>'Other investments'!G54</f>
        <v>0</v>
      </c>
      <c r="X66" s="2426">
        <f>'Other investments'!G56</f>
        <v>0</v>
      </c>
      <c r="Y66" s="2427">
        <f>X66-W66</f>
        <v>0</v>
      </c>
    </row>
    <row r="67" spans="2:25" s="1738" customFormat="1">
      <c r="B67" s="2742"/>
      <c r="C67" s="2744" t="s">
        <v>2940</v>
      </c>
      <c r="D67" s="2192"/>
      <c r="E67" s="2257"/>
      <c r="F67" s="2257"/>
      <c r="G67" s="2192"/>
      <c r="H67" s="2192"/>
      <c r="I67" s="2257"/>
      <c r="J67" s="2400"/>
      <c r="K67" s="2257"/>
      <c r="L67" s="2421"/>
      <c r="M67" s="2257"/>
      <c r="N67" s="2745" t="str">
        <f>IF(Nlang=1,"",HLOOKUP(select,translations!$A$251:$H$340,46,))</f>
        <v/>
      </c>
      <c r="O67" s="2257"/>
      <c r="P67" s="2257"/>
      <c r="Q67" s="2257"/>
      <c r="R67" s="2257"/>
      <c r="S67" s="2257"/>
      <c r="T67" s="2257"/>
      <c r="U67" s="2257"/>
      <c r="V67" s="2257"/>
      <c r="W67" s="2257"/>
      <c r="X67" s="2257"/>
      <c r="Y67" s="2427"/>
    </row>
    <row r="68" spans="2:25" s="1738" customFormat="1">
      <c r="B68" s="2742"/>
      <c r="C68" s="2192"/>
      <c r="D68" s="2192"/>
      <c r="E68" s="2729"/>
      <c r="F68" s="2729"/>
      <c r="G68" s="2192"/>
      <c r="H68" s="2192"/>
      <c r="I68" s="2729"/>
      <c r="J68" s="2400"/>
      <c r="K68" s="2729"/>
      <c r="L68" s="2421"/>
      <c r="M68" s="2729"/>
      <c r="N68" s="2742"/>
      <c r="O68" s="2729"/>
      <c r="P68" s="2729"/>
      <c r="Q68" s="2729"/>
      <c r="R68" s="2729"/>
      <c r="S68" s="2729"/>
      <c r="T68" s="2729"/>
      <c r="U68" s="2729"/>
      <c r="V68" s="2729"/>
      <c r="W68" s="2729"/>
      <c r="X68" s="2729"/>
      <c r="Y68" s="2427"/>
    </row>
    <row r="69" spans="2:25" s="1738" customFormat="1">
      <c r="B69" s="2664" t="str">
        <f>HLOOKUP(select,translations!$A$251:$H$340,45,)</f>
        <v>Buildings and roads (in m2)</v>
      </c>
      <c r="C69" s="2192"/>
      <c r="D69" s="2192"/>
      <c r="E69" s="2257"/>
      <c r="F69" s="2257"/>
      <c r="G69" s="2192"/>
      <c r="H69" s="2192"/>
      <c r="I69" s="2257"/>
      <c r="J69" s="2400"/>
      <c r="K69" s="2257"/>
      <c r="L69" s="2421"/>
      <c r="M69" s="2257"/>
      <c r="N69" s="2257"/>
      <c r="O69" s="2257"/>
      <c r="P69" s="2257"/>
      <c r="Q69" s="2257"/>
      <c r="R69" s="2257"/>
      <c r="S69" s="2257"/>
      <c r="T69" s="2257"/>
      <c r="U69" s="2257"/>
      <c r="V69" s="2257"/>
      <c r="W69" s="2257"/>
      <c r="X69" s="2257"/>
      <c r="Y69" s="2427"/>
    </row>
    <row r="70" spans="2:25" s="1738" customFormat="1">
      <c r="B70" s="2742"/>
      <c r="C70" s="3236" t="s">
        <v>4</v>
      </c>
      <c r="D70" s="3235"/>
      <c r="E70" s="3235"/>
      <c r="F70" s="3235"/>
      <c r="G70" s="2192"/>
      <c r="H70" s="2192"/>
      <c r="I70" s="2134">
        <v>0</v>
      </c>
      <c r="J70" s="2400"/>
      <c r="K70" s="2134">
        <v>0</v>
      </c>
      <c r="L70" s="2421"/>
      <c r="M70" s="2257"/>
      <c r="N70" s="2742" t="str">
        <f>IF(Nlang=1,"",VLOOKUP(C70,'Name translation'!$A$144:$H$159,Nlang+1,))</f>
        <v/>
      </c>
      <c r="O70" s="2257"/>
      <c r="P70" s="2257"/>
      <c r="Q70" s="2257"/>
      <c r="R70" s="2257"/>
      <c r="S70" s="2257"/>
      <c r="T70" s="2257"/>
      <c r="U70" s="2257"/>
      <c r="V70" s="2257"/>
      <c r="W70" s="2427">
        <f>'Other investments'!I63</f>
        <v>0</v>
      </c>
      <c r="X70" s="2427">
        <f>'Other investments'!J63</f>
        <v>0</v>
      </c>
      <c r="Y70" s="2427">
        <f>X70-W70</f>
        <v>0</v>
      </c>
    </row>
    <row r="71" spans="2:25" s="1738" customFormat="1">
      <c r="B71" s="2742"/>
      <c r="C71" s="3235" t="s">
        <v>4</v>
      </c>
      <c r="D71" s="3235"/>
      <c r="E71" s="3235"/>
      <c r="F71" s="3235"/>
      <c r="G71" s="2192"/>
      <c r="H71" s="2192"/>
      <c r="I71" s="2134">
        <v>0</v>
      </c>
      <c r="J71" s="2400"/>
      <c r="K71" s="2134">
        <v>0</v>
      </c>
      <c r="L71" s="2421"/>
      <c r="M71" s="2257"/>
      <c r="N71" s="2742" t="str">
        <f>IF(Nlang=1,"",VLOOKUP(C71,'Name translation'!$A$144:$H$159,Nlang+1,))</f>
        <v/>
      </c>
      <c r="O71" s="2257"/>
      <c r="P71" s="2257"/>
      <c r="Q71" s="2257"/>
      <c r="R71" s="2257"/>
      <c r="S71" s="2257"/>
      <c r="T71" s="2257"/>
      <c r="U71" s="2257"/>
      <c r="V71" s="2257"/>
      <c r="W71" s="2427">
        <f>'Other investments'!I64</f>
        <v>0</v>
      </c>
      <c r="X71" s="2427">
        <f>'Other investments'!J64</f>
        <v>0</v>
      </c>
      <c r="Y71" s="2427">
        <f t="shared" ref="Y71:Y76" si="2">X71-W71</f>
        <v>0</v>
      </c>
    </row>
    <row r="72" spans="2:25" s="1738" customFormat="1">
      <c r="B72" s="2742"/>
      <c r="C72" s="3236" t="s">
        <v>4</v>
      </c>
      <c r="D72" s="3235"/>
      <c r="E72" s="3235"/>
      <c r="F72" s="3235"/>
      <c r="G72" s="2192"/>
      <c r="H72" s="2192"/>
      <c r="I72" s="2134">
        <v>0</v>
      </c>
      <c r="J72" s="2400"/>
      <c r="K72" s="2134">
        <v>0</v>
      </c>
      <c r="L72" s="2421"/>
      <c r="M72" s="2257"/>
      <c r="N72" s="2742" t="str">
        <f>IF(Nlang=1,"",VLOOKUP(C72,'Name translation'!$A$144:$H$159,Nlang+1,))</f>
        <v/>
      </c>
      <c r="O72" s="2257"/>
      <c r="P72" s="2257"/>
      <c r="Q72" s="2257"/>
      <c r="R72" s="2257"/>
      <c r="S72" s="2257"/>
      <c r="T72" s="2257"/>
      <c r="U72" s="2257"/>
      <c r="V72" s="2257"/>
      <c r="W72" s="2427">
        <f>'Other investments'!I65</f>
        <v>0</v>
      </c>
      <c r="X72" s="2427">
        <f>'Other investments'!J65</f>
        <v>0</v>
      </c>
      <c r="Y72" s="2427">
        <f t="shared" si="2"/>
        <v>0</v>
      </c>
    </row>
    <row r="73" spans="2:25" s="1738" customFormat="1">
      <c r="B73" s="2192"/>
      <c r="C73" s="3235" t="s">
        <v>4</v>
      </c>
      <c r="D73" s="3235"/>
      <c r="E73" s="3235"/>
      <c r="F73" s="3235"/>
      <c r="G73" s="2192"/>
      <c r="H73" s="2192"/>
      <c r="I73" s="2134">
        <v>0</v>
      </c>
      <c r="J73" s="2400"/>
      <c r="K73" s="2134">
        <v>0</v>
      </c>
      <c r="L73" s="2421"/>
      <c r="M73" s="2257"/>
      <c r="N73" s="2742" t="str">
        <f>IF(Nlang=1,"",VLOOKUP(C73,'Name translation'!$A$144:$H$159,Nlang+1,))</f>
        <v/>
      </c>
      <c r="O73" s="2257"/>
      <c r="P73" s="2257"/>
      <c r="Q73" s="2257"/>
      <c r="R73" s="2257"/>
      <c r="S73" s="2257"/>
      <c r="T73" s="2257"/>
      <c r="U73" s="2257"/>
      <c r="V73" s="2257"/>
      <c r="W73" s="2427">
        <f>'Other investments'!I66</f>
        <v>0</v>
      </c>
      <c r="X73" s="2427">
        <f>'Other investments'!J66</f>
        <v>0</v>
      </c>
      <c r="Y73" s="2427">
        <f t="shared" si="2"/>
        <v>0</v>
      </c>
    </row>
    <row r="74" spans="2:25" s="1738" customFormat="1">
      <c r="B74" s="2192"/>
      <c r="C74" s="3235" t="s">
        <v>4</v>
      </c>
      <c r="D74" s="3235"/>
      <c r="E74" s="3235"/>
      <c r="F74" s="3235"/>
      <c r="G74" s="2192"/>
      <c r="H74" s="2192"/>
      <c r="I74" s="2134">
        <v>0</v>
      </c>
      <c r="J74" s="2400"/>
      <c r="K74" s="2134">
        <v>0</v>
      </c>
      <c r="L74" s="2421"/>
      <c r="M74" s="2257"/>
      <c r="N74" s="2742" t="str">
        <f>IF(Nlang=1,"",VLOOKUP(C74,'Name translation'!$A$144:$H$159,Nlang+1,))</f>
        <v/>
      </c>
      <c r="O74" s="2257"/>
      <c r="P74" s="2257"/>
      <c r="Q74" s="2257"/>
      <c r="R74" s="2257"/>
      <c r="S74" s="2257"/>
      <c r="T74" s="2257"/>
      <c r="U74" s="2257"/>
      <c r="V74" s="2257"/>
      <c r="W74" s="2427">
        <f>'Other investments'!I67</f>
        <v>0</v>
      </c>
      <c r="X74" s="2427">
        <f>'Other investments'!J67</f>
        <v>0</v>
      </c>
      <c r="Y74" s="2427">
        <f t="shared" si="2"/>
        <v>0</v>
      </c>
    </row>
    <row r="75" spans="2:25" s="1738" customFormat="1">
      <c r="B75" s="2192"/>
      <c r="C75" s="3235" t="s">
        <v>4</v>
      </c>
      <c r="D75" s="3235"/>
      <c r="E75" s="3235"/>
      <c r="F75" s="3235"/>
      <c r="G75" s="2192"/>
      <c r="H75" s="2192"/>
      <c r="I75" s="2134">
        <v>0</v>
      </c>
      <c r="J75" s="2400"/>
      <c r="K75" s="2134">
        <v>0</v>
      </c>
      <c r="L75" s="2421"/>
      <c r="M75" s="2257"/>
      <c r="N75" s="2742" t="str">
        <f>IF(Nlang=1,"",VLOOKUP(C75,'Name translation'!$A$144:$H$159,Nlang+1,))</f>
        <v/>
      </c>
      <c r="O75" s="2257"/>
      <c r="P75" s="2257"/>
      <c r="Q75" s="2257"/>
      <c r="R75" s="2257"/>
      <c r="S75" s="2257"/>
      <c r="T75" s="2257"/>
      <c r="U75" s="2257"/>
      <c r="V75" s="2257"/>
      <c r="W75" s="2427">
        <f>'Other investments'!I68</f>
        <v>0</v>
      </c>
      <c r="X75" s="2427">
        <f>'Other investments'!J68</f>
        <v>0</v>
      </c>
      <c r="Y75" s="2427">
        <f t="shared" si="2"/>
        <v>0</v>
      </c>
    </row>
    <row r="76" spans="2:25" s="1738" customFormat="1">
      <c r="B76" s="2192"/>
      <c r="C76" s="3235" t="s">
        <v>4</v>
      </c>
      <c r="D76" s="3235"/>
      <c r="E76" s="3235"/>
      <c r="F76" s="3235"/>
      <c r="G76" s="2192"/>
      <c r="H76" s="2192"/>
      <c r="I76" s="2134">
        <v>0</v>
      </c>
      <c r="J76" s="2400"/>
      <c r="K76" s="2134">
        <v>0</v>
      </c>
      <c r="L76" s="2421"/>
      <c r="M76" s="2257"/>
      <c r="N76" s="2742" t="str">
        <f>IF(Nlang=1,"",VLOOKUP(C76,'Name translation'!$A$144:$H$159,Nlang+1,))</f>
        <v/>
      </c>
      <c r="O76" s="2257"/>
      <c r="P76" s="2257"/>
      <c r="Q76" s="2257"/>
      <c r="R76" s="2257"/>
      <c r="S76" s="2257"/>
      <c r="T76" s="2257"/>
      <c r="U76" s="2257"/>
      <c r="V76" s="2257"/>
      <c r="W76" s="2427">
        <f>'Other investments'!I69</f>
        <v>0</v>
      </c>
      <c r="X76" s="2427">
        <f>'Other investments'!J69</f>
        <v>0</v>
      </c>
      <c r="Y76" s="2427">
        <f t="shared" si="2"/>
        <v>0</v>
      </c>
    </row>
    <row r="77" spans="2:25" s="1738" customFormat="1"/>
    <row r="78" spans="2:25" s="1738" customFormat="1">
      <c r="E78" s="1743"/>
      <c r="F78" s="1743"/>
      <c r="I78" s="1743"/>
      <c r="J78" s="1743"/>
      <c r="K78" s="1743"/>
      <c r="L78" s="1743"/>
      <c r="M78" s="1743"/>
      <c r="N78" s="1743"/>
      <c r="O78" s="1743"/>
      <c r="P78" s="1743"/>
      <c r="Q78" s="1743"/>
      <c r="R78" s="1743"/>
      <c r="S78" s="1743"/>
      <c r="T78" s="1743"/>
      <c r="U78" s="1743"/>
      <c r="V78" s="1743"/>
      <c r="W78" s="1743"/>
      <c r="X78" s="1743"/>
    </row>
    <row r="79" spans="2:25" s="1738" customFormat="1">
      <c r="E79" s="1743"/>
      <c r="F79" s="1743"/>
      <c r="I79" s="1743"/>
      <c r="J79" s="1743"/>
      <c r="K79" s="1743"/>
      <c r="L79" s="1743"/>
      <c r="M79" s="1743"/>
      <c r="N79" s="1743"/>
      <c r="O79" s="1743"/>
      <c r="P79" s="1743"/>
      <c r="Q79" s="1743"/>
      <c r="R79" s="1743"/>
      <c r="S79" s="2746" t="str">
        <f>HLOOKUP(select,translations!$A$251:$H$340,47,)</f>
        <v>Total Construction</v>
      </c>
      <c r="T79" s="2417"/>
      <c r="U79" s="2308"/>
      <c r="V79" s="2417"/>
      <c r="W79" s="2309">
        <f>SUM(W63:W76)</f>
        <v>0</v>
      </c>
      <c r="X79" s="2309">
        <f>SUM(X63:X76)</f>
        <v>0</v>
      </c>
      <c r="Y79" s="2309">
        <f>SUM(Y63:Y76)</f>
        <v>0</v>
      </c>
    </row>
    <row r="80" spans="2:25" s="1738" customFormat="1">
      <c r="E80" s="1743"/>
      <c r="F80" s="1743"/>
      <c r="I80" s="1743"/>
      <c r="J80" s="1743"/>
      <c r="K80" s="1743"/>
      <c r="L80" s="1743"/>
      <c r="M80" s="1743"/>
      <c r="N80" s="1743"/>
      <c r="O80" s="1743"/>
      <c r="P80" s="1743"/>
      <c r="Q80" s="1743"/>
      <c r="R80" s="1743"/>
      <c r="S80" s="1743"/>
      <c r="T80" s="1743"/>
      <c r="U80" s="1743"/>
      <c r="V80" s="1743"/>
      <c r="W80" s="1743"/>
      <c r="X80" s="1743"/>
    </row>
    <row r="81" spans="5:24" s="1738" customFormat="1">
      <c r="E81" s="1743"/>
      <c r="F81" s="1743"/>
      <c r="I81" s="1743"/>
      <c r="J81" s="1743"/>
      <c r="K81" s="1743"/>
      <c r="L81" s="1743"/>
      <c r="M81" s="1743"/>
      <c r="N81" s="1743"/>
      <c r="O81" s="1743"/>
      <c r="P81" s="1743"/>
      <c r="Q81" s="1743"/>
      <c r="R81" s="1743"/>
      <c r="S81" s="1743"/>
      <c r="T81" s="1743"/>
      <c r="U81" s="1743"/>
      <c r="V81" s="1743"/>
      <c r="W81" s="1743"/>
      <c r="X81" s="1743"/>
    </row>
    <row r="82" spans="5:24" s="1738" customFormat="1">
      <c r="E82" s="1743"/>
      <c r="F82" s="1743"/>
      <c r="I82" s="1743"/>
      <c r="J82" s="1743"/>
      <c r="K82" s="1743"/>
      <c r="L82" s="1743"/>
      <c r="M82" s="1743"/>
      <c r="N82" s="1743"/>
      <c r="O82" s="1743"/>
      <c r="P82" s="1743"/>
      <c r="Q82" s="1743"/>
      <c r="R82" s="1743"/>
      <c r="S82" s="1743"/>
      <c r="T82" s="1743"/>
      <c r="U82" s="1743"/>
      <c r="V82" s="1743"/>
      <c r="W82" s="1743"/>
      <c r="X82" s="1743"/>
    </row>
    <row r="83" spans="5:24" s="1738" customFormat="1">
      <c r="E83" s="1743"/>
      <c r="F83" s="1743"/>
      <c r="I83" s="1743"/>
      <c r="J83" s="1743"/>
      <c r="K83" s="1743"/>
      <c r="L83" s="1743"/>
      <c r="M83" s="1743"/>
      <c r="N83" s="1743"/>
      <c r="O83" s="1743"/>
      <c r="P83" s="1743"/>
      <c r="Q83" s="1743"/>
      <c r="R83" s="1743"/>
      <c r="S83" s="1743"/>
      <c r="T83" s="1743"/>
      <c r="U83" s="1743"/>
      <c r="V83" s="1743"/>
      <c r="W83" s="1743"/>
      <c r="X83" s="1743"/>
    </row>
    <row r="84" spans="5:24" s="1738" customFormat="1">
      <c r="E84" s="1743"/>
      <c r="F84" s="1743"/>
      <c r="I84" s="1743"/>
      <c r="J84" s="1743"/>
      <c r="K84" s="1743"/>
      <c r="L84" s="1743"/>
      <c r="M84" s="1743"/>
      <c r="N84" s="1743"/>
      <c r="O84" s="1743"/>
      <c r="P84" s="1743"/>
      <c r="Q84" s="1743"/>
      <c r="R84" s="1743"/>
      <c r="S84" s="1743"/>
      <c r="T84" s="1743"/>
      <c r="U84" s="1743"/>
      <c r="V84" s="1743"/>
      <c r="W84" s="1743"/>
      <c r="X84" s="1743"/>
    </row>
    <row r="85" spans="5:24" s="1738" customFormat="1">
      <c r="E85" s="1743"/>
      <c r="F85" s="1743"/>
      <c r="I85" s="1743"/>
      <c r="J85" s="1743"/>
      <c r="K85" s="1743"/>
      <c r="L85" s="1743"/>
      <c r="M85" s="1743"/>
      <c r="N85" s="1743"/>
      <c r="O85" s="1743"/>
      <c r="P85" s="1743"/>
      <c r="Q85" s="1743"/>
      <c r="R85" s="1743"/>
      <c r="S85" s="1743"/>
      <c r="T85" s="1743"/>
      <c r="U85" s="1743"/>
      <c r="V85" s="1743"/>
      <c r="W85" s="1743"/>
      <c r="X85" s="1743"/>
    </row>
    <row r="86" spans="5:24" s="1738" customFormat="1">
      <c r="E86" s="1743"/>
      <c r="F86" s="1743"/>
      <c r="I86" s="1743"/>
      <c r="J86" s="1743"/>
      <c r="K86" s="1743"/>
      <c r="L86" s="1743"/>
      <c r="M86" s="1743"/>
      <c r="N86" s="1743"/>
      <c r="O86" s="1743"/>
      <c r="P86" s="1743"/>
      <c r="Q86" s="1743"/>
      <c r="R86" s="1743"/>
      <c r="S86" s="1743"/>
      <c r="T86" s="1743"/>
      <c r="U86" s="1743"/>
      <c r="V86" s="1743"/>
      <c r="W86" s="1743"/>
      <c r="X86" s="1743"/>
    </row>
    <row r="87" spans="5:24" s="1738" customFormat="1">
      <c r="E87" s="1743"/>
      <c r="F87" s="1743"/>
      <c r="I87" s="1743"/>
      <c r="J87" s="1743"/>
      <c r="K87" s="1743"/>
      <c r="L87" s="1743"/>
      <c r="M87" s="1743"/>
      <c r="N87" s="1743"/>
      <c r="O87" s="1743"/>
      <c r="P87" s="1743"/>
      <c r="Q87" s="1743"/>
      <c r="R87" s="1743"/>
      <c r="S87" s="1743"/>
      <c r="T87" s="1743"/>
      <c r="U87" s="1743"/>
      <c r="V87" s="1743"/>
      <c r="W87" s="1743"/>
      <c r="X87" s="1743"/>
    </row>
    <row r="88" spans="5:24" s="1738" customFormat="1">
      <c r="E88" s="1743"/>
      <c r="F88" s="1743"/>
      <c r="I88" s="1743"/>
      <c r="J88" s="1743"/>
      <c r="K88" s="1743"/>
      <c r="L88" s="1743"/>
      <c r="M88" s="1743"/>
      <c r="N88" s="1743"/>
      <c r="O88" s="1743"/>
      <c r="P88" s="1743"/>
      <c r="Q88" s="1743"/>
      <c r="R88" s="1743"/>
      <c r="S88" s="1743"/>
      <c r="T88" s="1743"/>
      <c r="U88" s="1743"/>
      <c r="V88" s="1743"/>
      <c r="W88" s="1743"/>
      <c r="X88" s="1743"/>
    </row>
    <row r="89" spans="5:24" s="1738" customFormat="1">
      <c r="E89" s="1743"/>
      <c r="F89" s="1743"/>
      <c r="I89" s="1743"/>
      <c r="J89" s="1743"/>
      <c r="K89" s="1743"/>
      <c r="L89" s="1743"/>
      <c r="M89" s="1743"/>
      <c r="N89" s="1743"/>
      <c r="O89" s="1743"/>
      <c r="P89" s="1743"/>
      <c r="Q89" s="1743"/>
      <c r="R89" s="1743"/>
      <c r="S89" s="1743"/>
      <c r="T89" s="1743"/>
      <c r="U89" s="1743"/>
      <c r="V89" s="1743"/>
      <c r="W89" s="1743"/>
      <c r="X89" s="1743"/>
    </row>
    <row r="90" spans="5:24" s="1738" customFormat="1">
      <c r="E90" s="1743"/>
      <c r="F90" s="1743"/>
      <c r="I90" s="1743"/>
      <c r="J90" s="1743"/>
      <c r="K90" s="1743"/>
      <c r="L90" s="1743"/>
      <c r="M90" s="1743"/>
      <c r="N90" s="1743"/>
      <c r="O90" s="1743"/>
      <c r="P90" s="1743"/>
      <c r="Q90" s="1743"/>
      <c r="R90" s="1743"/>
      <c r="S90" s="1743"/>
      <c r="T90" s="1743"/>
      <c r="U90" s="1743"/>
      <c r="V90" s="1743"/>
      <c r="W90" s="1743"/>
      <c r="X90" s="1743"/>
    </row>
    <row r="91" spans="5:24" s="1738" customFormat="1">
      <c r="E91" s="1743"/>
      <c r="F91" s="1743"/>
      <c r="I91" s="1743"/>
      <c r="J91" s="1743"/>
      <c r="K91" s="1743"/>
      <c r="L91" s="1743"/>
      <c r="M91" s="1743"/>
      <c r="N91" s="1743"/>
      <c r="O91" s="1743"/>
      <c r="P91" s="1743"/>
      <c r="Q91" s="1743"/>
      <c r="R91" s="1743"/>
      <c r="S91" s="1743"/>
      <c r="T91" s="1743"/>
      <c r="U91" s="1743"/>
      <c r="V91" s="1743"/>
      <c r="W91" s="1743"/>
      <c r="X91" s="1743"/>
    </row>
    <row r="92" spans="5:24" s="1738" customFormat="1">
      <c r="E92" s="1743"/>
      <c r="F92" s="1743"/>
      <c r="I92" s="1743"/>
      <c r="J92" s="1743"/>
      <c r="K92" s="1743"/>
      <c r="L92" s="1743"/>
      <c r="M92" s="1743"/>
      <c r="N92" s="1743"/>
      <c r="O92" s="1743"/>
      <c r="P92" s="1743"/>
      <c r="Q92" s="1743"/>
      <c r="R92" s="1743"/>
      <c r="S92" s="1743"/>
      <c r="T92" s="1743"/>
      <c r="U92" s="1743"/>
      <c r="V92" s="1743"/>
      <c r="W92" s="1743"/>
      <c r="X92" s="1743"/>
    </row>
    <row r="93" spans="5:24" s="1738" customFormat="1">
      <c r="E93" s="1743"/>
      <c r="F93" s="1743"/>
      <c r="I93" s="1743"/>
      <c r="J93" s="1743"/>
      <c r="K93" s="1743"/>
      <c r="L93" s="1743"/>
      <c r="M93" s="1743"/>
      <c r="N93" s="1743"/>
      <c r="O93" s="1743"/>
      <c r="P93" s="1743"/>
      <c r="Q93" s="1743"/>
      <c r="R93" s="1743"/>
      <c r="S93" s="1743"/>
      <c r="T93" s="1743"/>
      <c r="U93" s="1743"/>
      <c r="V93" s="1743"/>
      <c r="W93" s="1743"/>
      <c r="X93" s="1743"/>
    </row>
    <row r="94" spans="5:24" s="1738" customFormat="1">
      <c r="E94" s="1743"/>
      <c r="F94" s="1743"/>
      <c r="I94" s="1743"/>
      <c r="J94" s="1743"/>
      <c r="K94" s="1743"/>
      <c r="L94" s="1743"/>
      <c r="M94" s="1743"/>
      <c r="N94" s="1743"/>
      <c r="O94" s="1743"/>
      <c r="P94" s="1743"/>
      <c r="Q94" s="1743"/>
      <c r="R94" s="1743"/>
      <c r="S94" s="1743"/>
      <c r="T94" s="1743"/>
      <c r="U94" s="1743"/>
      <c r="V94" s="1743"/>
      <c r="W94" s="1743"/>
      <c r="X94" s="1743"/>
    </row>
    <row r="95" spans="5:24" s="1738" customFormat="1">
      <c r="E95" s="1743"/>
      <c r="F95" s="1743"/>
      <c r="I95" s="1743"/>
      <c r="J95" s="1743"/>
      <c r="K95" s="1743"/>
      <c r="L95" s="1743"/>
      <c r="M95" s="1743"/>
      <c r="N95" s="1743"/>
      <c r="O95" s="1743"/>
      <c r="P95" s="1743"/>
      <c r="Q95" s="1743"/>
      <c r="R95" s="1743"/>
      <c r="S95" s="1743"/>
      <c r="T95" s="1743"/>
      <c r="U95" s="1743"/>
      <c r="V95" s="1743"/>
      <c r="W95" s="1743"/>
      <c r="X95" s="1743"/>
    </row>
    <row r="96" spans="5:24" s="1738" customFormat="1">
      <c r="E96" s="1743"/>
      <c r="F96" s="1743"/>
      <c r="I96" s="1743"/>
      <c r="J96" s="1743"/>
      <c r="K96" s="1743"/>
      <c r="L96" s="1743"/>
      <c r="M96" s="1743"/>
      <c r="N96" s="1743"/>
      <c r="O96" s="1743"/>
      <c r="P96" s="1743"/>
      <c r="Q96" s="1743"/>
      <c r="R96" s="1743"/>
      <c r="S96" s="1743"/>
      <c r="T96" s="1743"/>
      <c r="U96" s="1743"/>
      <c r="V96" s="1743"/>
      <c r="W96" s="1743"/>
      <c r="X96" s="1743"/>
    </row>
    <row r="97" spans="5:24" s="1738" customFormat="1">
      <c r="E97" s="1743"/>
      <c r="F97" s="1743"/>
      <c r="I97" s="1743"/>
      <c r="J97" s="1743"/>
      <c r="K97" s="1743"/>
      <c r="L97" s="1743"/>
      <c r="M97" s="1743"/>
      <c r="N97" s="1743"/>
      <c r="O97" s="1743"/>
      <c r="P97" s="1743"/>
      <c r="Q97" s="1743"/>
      <c r="R97" s="1743"/>
      <c r="S97" s="1743"/>
      <c r="T97" s="1743"/>
      <c r="U97" s="1743"/>
      <c r="V97" s="1743"/>
      <c r="W97" s="1743"/>
      <c r="X97" s="1743"/>
    </row>
    <row r="98" spans="5:24" s="1738" customFormat="1">
      <c r="E98" s="1743"/>
      <c r="F98" s="1743"/>
      <c r="I98" s="1743"/>
      <c r="J98" s="1743"/>
      <c r="K98" s="1743"/>
      <c r="L98" s="1743"/>
      <c r="M98" s="1743"/>
      <c r="N98" s="1743"/>
      <c r="O98" s="1743"/>
      <c r="P98" s="1743"/>
      <c r="Q98" s="1743"/>
      <c r="R98" s="1743"/>
      <c r="S98" s="1743"/>
      <c r="T98" s="1743"/>
      <c r="U98" s="1743"/>
      <c r="V98" s="1743"/>
      <c r="W98" s="1743"/>
      <c r="X98" s="1743"/>
    </row>
    <row r="99" spans="5:24" s="1738" customFormat="1">
      <c r="E99" s="1743"/>
      <c r="F99" s="1743"/>
      <c r="I99" s="1743"/>
      <c r="J99" s="1743"/>
      <c r="K99" s="1743"/>
      <c r="L99" s="1743"/>
      <c r="M99" s="1743"/>
      <c r="N99" s="1743"/>
      <c r="O99" s="1743"/>
      <c r="P99" s="1743"/>
      <c r="Q99" s="1743"/>
      <c r="R99" s="1743"/>
      <c r="S99" s="1743"/>
      <c r="T99" s="1743"/>
      <c r="U99" s="1743"/>
      <c r="V99" s="1743"/>
      <c r="W99" s="1743"/>
      <c r="X99" s="1743"/>
    </row>
    <row r="100" spans="5:24" s="1738" customFormat="1">
      <c r="E100" s="1743"/>
      <c r="F100" s="1743"/>
      <c r="I100" s="1743"/>
      <c r="J100" s="1743"/>
      <c r="K100" s="1743"/>
      <c r="L100" s="1743"/>
      <c r="M100" s="1743"/>
      <c r="N100" s="1743"/>
      <c r="O100" s="1743"/>
      <c r="P100" s="1743"/>
      <c r="Q100" s="1743"/>
      <c r="R100" s="1743"/>
      <c r="S100" s="1743"/>
      <c r="T100" s="1743"/>
      <c r="U100" s="1743"/>
      <c r="V100" s="1743"/>
      <c r="W100" s="1743"/>
      <c r="X100" s="1743"/>
    </row>
    <row r="101" spans="5:24" s="1738" customFormat="1">
      <c r="E101" s="1743"/>
      <c r="F101" s="1743"/>
      <c r="I101" s="1743"/>
      <c r="J101" s="1743"/>
      <c r="K101" s="1743"/>
      <c r="L101" s="1743"/>
      <c r="M101" s="1743"/>
      <c r="N101" s="1743"/>
      <c r="O101" s="1743"/>
      <c r="P101" s="1743"/>
      <c r="Q101" s="1743"/>
      <c r="R101" s="1743"/>
      <c r="S101" s="1743"/>
      <c r="T101" s="1743"/>
      <c r="U101" s="1743"/>
      <c r="V101" s="1743"/>
      <c r="W101" s="1743"/>
      <c r="X101" s="1743"/>
    </row>
    <row r="102" spans="5:24" s="1738" customFormat="1">
      <c r="E102" s="1743"/>
      <c r="F102" s="1743"/>
      <c r="I102" s="1743"/>
      <c r="J102" s="1743"/>
      <c r="K102" s="1743"/>
      <c r="L102" s="1743"/>
      <c r="M102" s="1743"/>
      <c r="N102" s="1743"/>
      <c r="O102" s="1743"/>
      <c r="P102" s="1743"/>
      <c r="Q102" s="1743"/>
      <c r="R102" s="1743"/>
      <c r="S102" s="1743"/>
      <c r="T102" s="1743"/>
      <c r="U102" s="1743"/>
      <c r="V102" s="1743"/>
      <c r="W102" s="1743"/>
      <c r="X102" s="1743"/>
    </row>
    <row r="103" spans="5:24" s="1738" customFormat="1">
      <c r="E103" s="1743"/>
      <c r="F103" s="1743"/>
      <c r="I103" s="1743"/>
      <c r="J103" s="1743"/>
      <c r="K103" s="1743"/>
      <c r="L103" s="1743"/>
      <c r="M103" s="1743"/>
      <c r="N103" s="1743"/>
      <c r="O103" s="1743"/>
      <c r="P103" s="1743"/>
      <c r="Q103" s="1743"/>
      <c r="R103" s="1743"/>
      <c r="S103" s="1743"/>
      <c r="T103" s="1743"/>
      <c r="U103" s="1743"/>
      <c r="V103" s="1743"/>
      <c r="W103" s="1743"/>
      <c r="X103" s="1743"/>
    </row>
    <row r="104" spans="5:24" s="1738" customFormat="1">
      <c r="E104" s="1743"/>
      <c r="F104" s="1743"/>
      <c r="I104" s="1743"/>
      <c r="J104" s="1743"/>
      <c r="K104" s="1743"/>
      <c r="L104" s="1743"/>
      <c r="M104" s="1743"/>
      <c r="N104" s="1743"/>
      <c r="O104" s="1743"/>
      <c r="P104" s="1743"/>
      <c r="Q104" s="1743"/>
      <c r="R104" s="1743"/>
      <c r="S104" s="1743"/>
      <c r="T104" s="1743"/>
      <c r="U104" s="1743"/>
      <c r="V104" s="1743"/>
      <c r="W104" s="1743"/>
      <c r="X104" s="1743"/>
    </row>
    <row r="105" spans="5:24" s="1738" customFormat="1">
      <c r="E105" s="1743"/>
      <c r="F105" s="1743"/>
      <c r="I105" s="1743"/>
      <c r="J105" s="1743"/>
      <c r="K105" s="1743"/>
      <c r="L105" s="1743"/>
      <c r="M105" s="1743"/>
      <c r="N105" s="1743"/>
      <c r="O105" s="1743"/>
      <c r="P105" s="1743"/>
      <c r="Q105" s="1743"/>
      <c r="R105" s="1743"/>
      <c r="S105" s="1743"/>
      <c r="T105" s="1743"/>
      <c r="U105" s="1743"/>
      <c r="V105" s="1743"/>
      <c r="W105" s="1743"/>
      <c r="X105" s="1743"/>
    </row>
    <row r="106" spans="5:24" s="1738" customFormat="1">
      <c r="E106" s="1743"/>
      <c r="F106" s="1743"/>
      <c r="I106" s="1743"/>
      <c r="J106" s="1743"/>
      <c r="K106" s="1743"/>
      <c r="L106" s="1743"/>
      <c r="M106" s="1743"/>
      <c r="N106" s="1743"/>
      <c r="O106" s="1743"/>
      <c r="P106" s="1743"/>
      <c r="Q106" s="1743"/>
      <c r="R106" s="1743"/>
      <c r="S106" s="1743"/>
      <c r="T106" s="1743"/>
      <c r="U106" s="1743"/>
      <c r="V106" s="1743"/>
      <c r="W106" s="1743"/>
      <c r="X106" s="1743"/>
    </row>
    <row r="107" spans="5:24" s="1738" customFormat="1">
      <c r="E107" s="1743"/>
      <c r="F107" s="1743"/>
      <c r="I107" s="1743"/>
      <c r="J107" s="1743"/>
      <c r="K107" s="1743"/>
      <c r="L107" s="1743"/>
      <c r="M107" s="1743"/>
      <c r="N107" s="1743"/>
      <c r="O107" s="1743"/>
      <c r="P107" s="1743"/>
      <c r="Q107" s="1743"/>
      <c r="R107" s="1743"/>
      <c r="S107" s="1743"/>
      <c r="T107" s="1743"/>
      <c r="U107" s="1743"/>
      <c r="V107" s="1743"/>
      <c r="W107" s="1743"/>
      <c r="X107" s="1743"/>
    </row>
    <row r="108" spans="5:24" s="1738" customFormat="1">
      <c r="E108" s="1743"/>
      <c r="F108" s="1743"/>
      <c r="I108" s="1743"/>
      <c r="J108" s="1743"/>
      <c r="K108" s="1743"/>
      <c r="L108" s="1743"/>
      <c r="M108" s="1743"/>
      <c r="N108" s="1743"/>
      <c r="O108" s="1743"/>
      <c r="P108" s="1743"/>
      <c r="Q108" s="1743"/>
      <c r="R108" s="1743"/>
      <c r="S108" s="1743"/>
      <c r="T108" s="1743"/>
      <c r="U108" s="1743"/>
      <c r="V108" s="1743"/>
      <c r="W108" s="1743"/>
      <c r="X108" s="1743"/>
    </row>
    <row r="109" spans="5:24" s="1738" customFormat="1">
      <c r="E109" s="1743"/>
      <c r="F109" s="1743"/>
      <c r="I109" s="1743"/>
      <c r="J109" s="1743"/>
      <c r="K109" s="1743"/>
      <c r="L109" s="1743"/>
      <c r="M109" s="1743"/>
      <c r="N109" s="1743"/>
      <c r="O109" s="1743"/>
      <c r="P109" s="1743"/>
      <c r="Q109" s="1743"/>
      <c r="R109" s="1743"/>
      <c r="S109" s="1743"/>
      <c r="T109" s="1743"/>
      <c r="U109" s="1743"/>
      <c r="V109" s="1743"/>
      <c r="W109" s="1743"/>
      <c r="X109" s="1743"/>
    </row>
    <row r="110" spans="5:24" s="1738" customFormat="1">
      <c r="E110" s="1743"/>
      <c r="F110" s="1743"/>
      <c r="I110" s="1743"/>
      <c r="J110" s="1743"/>
      <c r="K110" s="1743"/>
      <c r="L110" s="1743"/>
      <c r="M110" s="1743"/>
      <c r="N110" s="1743"/>
      <c r="O110" s="1743"/>
      <c r="P110" s="1743"/>
      <c r="Q110" s="1743"/>
      <c r="R110" s="1743"/>
      <c r="S110" s="1743"/>
      <c r="T110" s="1743"/>
      <c r="U110" s="1743"/>
      <c r="V110" s="1743"/>
      <c r="W110" s="1743"/>
      <c r="X110" s="1743"/>
    </row>
    <row r="111" spans="5:24" s="1738" customFormat="1">
      <c r="E111" s="1743"/>
      <c r="F111" s="1743"/>
      <c r="I111" s="1743"/>
      <c r="J111" s="1743"/>
      <c r="K111" s="1743"/>
      <c r="L111" s="1743"/>
      <c r="M111" s="1743"/>
      <c r="N111" s="1743"/>
      <c r="O111" s="1743"/>
      <c r="P111" s="1743"/>
      <c r="Q111" s="1743"/>
      <c r="R111" s="1743"/>
      <c r="S111" s="1743"/>
      <c r="T111" s="1743"/>
      <c r="U111" s="1743"/>
      <c r="V111" s="1743"/>
      <c r="W111" s="1743"/>
      <c r="X111" s="1743"/>
    </row>
    <row r="112" spans="5:24" s="1738" customFormat="1">
      <c r="E112" s="1743"/>
      <c r="F112" s="1743"/>
      <c r="I112" s="1743"/>
      <c r="J112" s="1743"/>
      <c r="K112" s="1743"/>
      <c r="L112" s="1743"/>
      <c r="M112" s="1743"/>
      <c r="N112" s="1743"/>
      <c r="O112" s="1743"/>
      <c r="P112" s="1743"/>
      <c r="Q112" s="1743"/>
      <c r="R112" s="1743"/>
      <c r="S112" s="1743"/>
      <c r="T112" s="1743"/>
      <c r="U112" s="1743"/>
      <c r="V112" s="1743"/>
      <c r="W112" s="1743"/>
      <c r="X112" s="1743"/>
    </row>
    <row r="113" spans="3:24" s="1738" customFormat="1">
      <c r="E113" s="1743"/>
      <c r="F113" s="1743"/>
      <c r="I113" s="1743"/>
      <c r="J113" s="1743"/>
      <c r="K113" s="1743"/>
      <c r="L113" s="1743"/>
      <c r="M113" s="1743"/>
      <c r="N113" s="1743"/>
      <c r="O113" s="1743"/>
      <c r="P113" s="1743"/>
      <c r="Q113" s="1743"/>
      <c r="R113" s="1743"/>
      <c r="S113" s="1743"/>
      <c r="T113" s="1743"/>
      <c r="U113" s="1743"/>
      <c r="V113" s="1743"/>
      <c r="W113" s="1743"/>
      <c r="X113" s="1743"/>
    </row>
    <row r="114" spans="3:24" s="1738" customFormat="1">
      <c r="E114" s="1743"/>
      <c r="F114" s="1743"/>
      <c r="I114" s="1743"/>
      <c r="J114" s="1743"/>
      <c r="K114" s="1743"/>
      <c r="L114" s="1743"/>
      <c r="M114" s="1743"/>
      <c r="N114" s="1743"/>
      <c r="O114" s="1743"/>
      <c r="P114" s="1743"/>
      <c r="Q114" s="1743"/>
      <c r="R114" s="1743"/>
      <c r="S114" s="1743"/>
      <c r="T114" s="1743"/>
      <c r="U114" s="1743"/>
      <c r="V114" s="1743"/>
      <c r="W114" s="1743"/>
      <c r="X114" s="1743"/>
    </row>
    <row r="115" spans="3:24" s="1738" customFormat="1">
      <c r="E115" s="1743"/>
      <c r="F115" s="1743"/>
      <c r="I115" s="1743"/>
      <c r="J115" s="1743"/>
      <c r="K115" s="1743"/>
      <c r="L115" s="1743"/>
      <c r="M115" s="1743"/>
      <c r="N115" s="1743"/>
      <c r="O115" s="1743"/>
      <c r="P115" s="1743"/>
      <c r="Q115" s="1743"/>
      <c r="R115" s="1743"/>
      <c r="S115" s="1743"/>
      <c r="T115" s="1743"/>
      <c r="U115" s="1743"/>
      <c r="V115" s="1743"/>
      <c r="W115" s="1743"/>
      <c r="X115" s="1743"/>
    </row>
    <row r="116" spans="3:24" s="1738" customFormat="1">
      <c r="E116" s="1743"/>
      <c r="F116" s="1743"/>
      <c r="I116" s="1743"/>
      <c r="J116" s="1743"/>
      <c r="K116" s="1743"/>
      <c r="L116" s="1743"/>
      <c r="M116" s="1743"/>
      <c r="N116" s="1743"/>
      <c r="O116" s="1743"/>
      <c r="P116" s="1743"/>
      <c r="Q116" s="1743"/>
      <c r="R116" s="1743"/>
      <c r="S116" s="1743"/>
      <c r="T116" s="1743"/>
      <c r="U116" s="1743"/>
      <c r="V116" s="1743"/>
      <c r="W116" s="1743"/>
      <c r="X116" s="1743"/>
    </row>
    <row r="117" spans="3:24" s="1738" customFormat="1">
      <c r="E117" s="1743"/>
      <c r="F117" s="1743"/>
      <c r="I117" s="1743"/>
      <c r="J117" s="1743"/>
      <c r="K117" s="1743"/>
      <c r="L117" s="1743"/>
      <c r="M117" s="1743"/>
      <c r="N117" s="1743"/>
      <c r="O117" s="1743"/>
      <c r="P117" s="1743"/>
      <c r="Q117" s="1743"/>
      <c r="R117" s="1743"/>
      <c r="S117" s="1743"/>
      <c r="T117" s="1743"/>
      <c r="U117" s="1743"/>
      <c r="V117" s="1743"/>
      <c r="W117" s="1743"/>
      <c r="X117" s="1743"/>
    </row>
    <row r="118" spans="3:24" s="1738" customFormat="1">
      <c r="E118" s="1743"/>
      <c r="F118" s="1743"/>
      <c r="I118" s="1743"/>
      <c r="J118" s="1743"/>
      <c r="K118" s="1743"/>
      <c r="L118" s="1743"/>
      <c r="M118" s="1743"/>
      <c r="N118" s="1743"/>
      <c r="O118" s="1743"/>
      <c r="P118" s="1743"/>
      <c r="Q118" s="1743"/>
      <c r="R118" s="1743"/>
      <c r="S118" s="1743"/>
      <c r="T118" s="1743"/>
      <c r="U118" s="1743"/>
      <c r="V118" s="1743"/>
      <c r="W118" s="1743"/>
      <c r="X118" s="1743"/>
    </row>
    <row r="119" spans="3:24" s="1738" customFormat="1">
      <c r="E119" s="1743"/>
      <c r="F119" s="1743"/>
      <c r="I119" s="1743"/>
      <c r="J119" s="1743"/>
      <c r="K119" s="1743"/>
      <c r="L119" s="1743"/>
      <c r="M119" s="1743"/>
      <c r="N119" s="1743"/>
      <c r="O119" s="1743"/>
      <c r="P119" s="1743"/>
      <c r="Q119" s="1743"/>
      <c r="R119" s="1743"/>
      <c r="S119" s="1743"/>
      <c r="T119" s="1743"/>
      <c r="U119" s="1743"/>
      <c r="V119" s="1743"/>
      <c r="W119" s="1743"/>
      <c r="X119" s="1743"/>
    </row>
    <row r="120" spans="3:24" s="1738" customFormat="1">
      <c r="E120" s="1743"/>
      <c r="F120" s="1743"/>
      <c r="I120" s="1743"/>
      <c r="J120" s="1743"/>
      <c r="K120" s="1743"/>
      <c r="L120" s="1743"/>
      <c r="M120" s="1743"/>
      <c r="N120" s="1743"/>
      <c r="O120" s="1743"/>
      <c r="P120" s="1743"/>
      <c r="Q120" s="1743"/>
      <c r="R120" s="1743"/>
      <c r="S120" s="1743"/>
      <c r="T120" s="1743"/>
      <c r="U120" s="1743"/>
      <c r="V120" s="1743"/>
      <c r="W120" s="1743"/>
      <c r="X120" s="1743"/>
    </row>
    <row r="121" spans="3:24" s="1738" customFormat="1">
      <c r="E121" s="1743"/>
      <c r="F121" s="1743"/>
      <c r="I121" s="1743"/>
      <c r="J121" s="1743"/>
      <c r="K121" s="1743"/>
      <c r="L121" s="1743"/>
      <c r="M121" s="1743"/>
      <c r="N121" s="1743"/>
      <c r="O121" s="1743"/>
      <c r="P121" s="1743"/>
      <c r="Q121" s="1743"/>
      <c r="R121" s="1743"/>
      <c r="S121" s="1743"/>
      <c r="T121" s="1743"/>
      <c r="U121" s="1743"/>
      <c r="V121" s="1743"/>
      <c r="W121" s="1743"/>
      <c r="X121" s="1743"/>
    </row>
    <row r="122" spans="3:24" s="1738" customFormat="1" ht="15.6">
      <c r="C122" s="2579" t="str">
        <f>B7</f>
        <v>6.1. Inputs (liming, fertilizers, pesticides, herbicides,…)</v>
      </c>
      <c r="D122" s="1767"/>
      <c r="E122" s="1767"/>
      <c r="F122" s="1767"/>
      <c r="G122" s="1767"/>
      <c r="H122" s="1767"/>
      <c r="I122" s="1767"/>
      <c r="J122" s="1767"/>
      <c r="K122" s="1767"/>
      <c r="L122" s="1767"/>
      <c r="M122" s="1767"/>
      <c r="N122" s="1767"/>
      <c r="O122" s="1767"/>
      <c r="P122" s="1767"/>
      <c r="Q122" s="1767"/>
      <c r="R122" s="1767"/>
      <c r="S122" s="1767"/>
      <c r="T122" s="1767"/>
      <c r="U122" s="1767"/>
      <c r="V122" s="1767"/>
      <c r="W122" s="1767"/>
      <c r="X122" s="1767"/>
    </row>
    <row r="123" spans="3:24" s="1738" customFormat="1">
      <c r="E123" s="1743"/>
      <c r="F123" s="1743"/>
      <c r="I123" s="1743"/>
      <c r="J123" s="1743"/>
      <c r="K123" s="1743"/>
      <c r="L123" s="1743"/>
      <c r="M123" s="1743"/>
      <c r="N123" s="1743"/>
      <c r="O123" s="1743"/>
      <c r="P123" s="1743"/>
      <c r="Q123" s="1743"/>
      <c r="R123" s="1743"/>
      <c r="S123" s="1743"/>
      <c r="T123" s="1743"/>
      <c r="U123" s="1743"/>
      <c r="V123" s="1743"/>
      <c r="W123" s="1743"/>
      <c r="X123" s="1743"/>
    </row>
    <row r="124" spans="3:24" s="1738" customFormat="1">
      <c r="C124" s="1799"/>
      <c r="D124" s="1799"/>
      <c r="E124" s="1800"/>
      <c r="F124" s="1799"/>
      <c r="G124" s="1799"/>
      <c r="H124" s="1799"/>
      <c r="I124" s="1799"/>
      <c r="J124" s="1799"/>
      <c r="K124" s="1799"/>
      <c r="L124" s="1799"/>
      <c r="M124" s="1799"/>
      <c r="N124" s="1799"/>
      <c r="O124" s="1799"/>
      <c r="P124" s="1799"/>
      <c r="Q124" s="1799"/>
      <c r="R124" s="1799"/>
      <c r="S124" s="1799"/>
      <c r="T124" s="1799"/>
      <c r="U124" s="1799"/>
      <c r="V124" s="1799"/>
      <c r="W124" s="1799"/>
      <c r="X124" s="1799"/>
    </row>
    <row r="125" spans="3:24" s="1738" customFormat="1">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row>
    <row r="126" spans="3:24" s="1738" customFormat="1">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row>
    <row r="127" spans="3:24" s="1738" customFormat="1">
      <c r="C127" s="1852" t="str">
        <f>'5. Degradation'!C125</f>
        <v>Use this part only if you want to refine the analysis with Tier 2 coefficients.</v>
      </c>
      <c r="D127" s="2971"/>
      <c r="E127" s="1761"/>
      <c r="F127" s="1762"/>
      <c r="G127" s="1761"/>
      <c r="H127" s="1761"/>
      <c r="I127" s="1761"/>
      <c r="J127" s="1799"/>
      <c r="K127" s="1799"/>
      <c r="L127" s="1799"/>
      <c r="M127" s="1799"/>
      <c r="N127" s="1799"/>
      <c r="O127" s="1799"/>
      <c r="P127" s="1799"/>
      <c r="Q127" s="1799"/>
      <c r="R127" s="1799"/>
      <c r="S127" s="1799"/>
      <c r="T127" s="1799"/>
      <c r="U127" s="1799"/>
      <c r="V127" s="1799"/>
      <c r="W127" s="1799"/>
      <c r="X127" s="1799"/>
    </row>
    <row r="128" spans="3:24" s="1738" customFormat="1">
      <c r="C128" s="2971" t="str">
        <f>'2.LUC'!$B$93</f>
        <v>(default values are provided for your information only, while EX-ACT will use Tier 2 values automatically wherever specified)</v>
      </c>
      <c r="D128" s="2971"/>
      <c r="E128" s="1761"/>
      <c r="F128" s="1761"/>
      <c r="G128" s="1761"/>
      <c r="H128" s="1761"/>
      <c r="I128" s="1761"/>
      <c r="J128" s="1799"/>
      <c r="K128" s="1799"/>
      <c r="L128" s="1799"/>
      <c r="M128" s="1799"/>
      <c r="N128" s="1799"/>
      <c r="O128" s="1799"/>
      <c r="P128" s="1799"/>
      <c r="Q128" s="1799"/>
      <c r="R128" s="1799"/>
      <c r="S128" s="1799"/>
      <c r="T128" s="1799"/>
      <c r="U128" s="1799"/>
      <c r="V128" s="1799"/>
      <c r="W128" s="1799"/>
      <c r="X128" s="1799"/>
    </row>
    <row r="129" spans="3:24" s="1738" customFormat="1">
      <c r="C129" s="2964"/>
      <c r="D129" s="2964"/>
      <c r="E129" s="1743"/>
      <c r="F129" s="1743"/>
      <c r="I129" s="1743"/>
      <c r="J129" s="1743"/>
      <c r="K129" s="1743"/>
      <c r="L129" s="1743"/>
      <c r="M129" s="1743"/>
      <c r="N129" s="1743"/>
      <c r="O129" s="1743"/>
      <c r="P129" s="1743"/>
      <c r="Q129" s="1743"/>
      <c r="R129" s="1743"/>
      <c r="S129" s="1743"/>
      <c r="T129" s="1743"/>
      <c r="U129" s="1743"/>
      <c r="V129" s="1743"/>
      <c r="W129" s="1743"/>
      <c r="X129" s="1743"/>
    </row>
    <row r="130" spans="3:24" s="1738" customFormat="1" ht="13.2" customHeight="1">
      <c r="C130" s="2554" t="str">
        <f>HLOOKUP(select,translations!$A$251:$H$340,48,)</f>
        <v>Emission factors</v>
      </c>
      <c r="D130" s="2972"/>
      <c r="E130" s="2383"/>
      <c r="F130" s="2383"/>
      <c r="G130" s="1799"/>
      <c r="H130" s="3264" t="str">
        <f>HLOOKUP(select,translations!$A$251:$H$340,51,)</f>
        <v xml:space="preserve">Emissions at field level </v>
      </c>
      <c r="I130" s="3264"/>
      <c r="J130" s="3264"/>
      <c r="K130" s="3264"/>
      <c r="L130" s="3264"/>
      <c r="M130" s="3264"/>
      <c r="N130" s="3264"/>
      <c r="O130" s="3264"/>
      <c r="P130" s="3264"/>
      <c r="Q130" s="3264"/>
      <c r="R130" s="2430"/>
      <c r="S130" s="3263" t="str">
        <f>HLOOKUP(select,translations!$A$251:$H$340,52,)</f>
        <v>Emissions from production, transportation, storage and transfer</v>
      </c>
      <c r="T130" s="3263"/>
      <c r="U130" s="3263"/>
      <c r="V130" s="3263"/>
      <c r="W130" s="3263"/>
      <c r="X130" s="3263"/>
    </row>
    <row r="131" spans="3:24" s="1738" customFormat="1" ht="13.2" customHeight="1">
      <c r="C131" s="2972"/>
      <c r="D131" s="2972"/>
      <c r="E131" s="2383"/>
      <c r="F131" s="2383"/>
      <c r="G131" s="1799"/>
      <c r="H131" s="3265" t="str">
        <f>HLOOKUP(select,translations!$A$251:$H$340,49,)</f>
        <v>CO2 emissions</v>
      </c>
      <c r="I131" s="3265"/>
      <c r="J131" s="3265"/>
      <c r="K131" s="3265"/>
      <c r="L131" s="1800"/>
      <c r="M131" s="1799"/>
      <c r="N131" s="3265" t="str">
        <f>HLOOKUP(select,translations!$A$251:$H$340,50,)</f>
        <v>N2O emissions</v>
      </c>
      <c r="O131" s="3265"/>
      <c r="P131" s="3265"/>
      <c r="Q131" s="3265"/>
      <c r="R131" s="2430"/>
      <c r="S131" s="3263"/>
      <c r="T131" s="3263"/>
      <c r="U131" s="3263"/>
      <c r="V131" s="3263"/>
      <c r="W131" s="3263"/>
      <c r="X131" s="3263"/>
    </row>
    <row r="132" spans="3:24" s="1738" customFormat="1" ht="13.2" customHeight="1">
      <c r="C132" s="2554" t="str">
        <f>B11</f>
        <v>Lime application</v>
      </c>
      <c r="D132" s="2135"/>
      <c r="E132" s="2136"/>
      <c r="F132" s="2136"/>
      <c r="G132" s="1919"/>
      <c r="H132" s="2390" t="str">
        <f>HLOOKUP(select,translations!$A$251:$H$340,53,)</f>
        <v>Unit</v>
      </c>
      <c r="I132" s="2386" t="str">
        <f>'5. Degradation'!Q123</f>
        <v>Default</v>
      </c>
      <c r="J132" s="2429"/>
      <c r="K132" s="2374" t="str">
        <f>'5. Degradation'!R123</f>
        <v>Tier 2</v>
      </c>
      <c r="L132" s="2383"/>
      <c r="M132" s="1799"/>
      <c r="N132" s="2390" t="str">
        <f>H132</f>
        <v>Unit</v>
      </c>
      <c r="O132" s="1799"/>
      <c r="P132" s="2386" t="str">
        <f>I132</f>
        <v>Default</v>
      </c>
      <c r="Q132" s="2374" t="str">
        <f>K132</f>
        <v>Tier 2</v>
      </c>
      <c r="R132" s="2386"/>
      <c r="S132" s="2430"/>
      <c r="T132" s="2430"/>
      <c r="U132" s="2390" t="str">
        <f>H132</f>
        <v>Unit</v>
      </c>
      <c r="V132" s="2383"/>
      <c r="W132" s="2386" t="str">
        <f>P132</f>
        <v>Default</v>
      </c>
      <c r="X132" s="2374" t="str">
        <f>Q132</f>
        <v>Tier 2</v>
      </c>
    </row>
    <row r="133" spans="3:24" s="1738" customFormat="1" ht="13.2" customHeight="1">
      <c r="C133" s="2969"/>
      <c r="D133" s="2969" t="str">
        <f>C12</f>
        <v>Limestone (tonnes per year)</v>
      </c>
      <c r="E133" s="2140"/>
      <c r="F133" s="2140"/>
      <c r="G133" s="2006"/>
      <c r="H133" s="2747" t="str">
        <f>HLOOKUP(select,translations!$A$251:$H$340,54,)</f>
        <v>tC/t lime</v>
      </c>
      <c r="I133" s="2383">
        <f>Inputs!C12</f>
        <v>0.12</v>
      </c>
      <c r="J133" s="2429"/>
      <c r="K133" s="2382"/>
      <c r="L133" s="2383"/>
      <c r="M133" s="1799"/>
      <c r="N133" s="1799"/>
      <c r="O133" s="1799"/>
      <c r="P133" s="1799"/>
      <c r="Q133" s="1799"/>
      <c r="R133" s="1799"/>
      <c r="S133" s="1799"/>
      <c r="T133" s="1799"/>
      <c r="U133" s="2433" t="str">
        <f>HLOOKUP(select,translations!$A$251:$H$340,55,)</f>
        <v>tCO2/t CaCO3</v>
      </c>
      <c r="V133" s="1799"/>
      <c r="W133" s="2434">
        <f>Inputs!C44</f>
        <v>0.58666666666666667</v>
      </c>
      <c r="X133" s="2382"/>
    </row>
    <row r="134" spans="3:24" s="1738" customFormat="1" ht="13.2" customHeight="1">
      <c r="C134" s="2969"/>
      <c r="D134" s="2969" t="str">
        <f t="shared" ref="D134:D147" si="3">C13</f>
        <v>Dolomite tonnes per year)</v>
      </c>
      <c r="E134" s="2140"/>
      <c r="F134" s="2140"/>
      <c r="G134" s="2006"/>
      <c r="H134" s="2747" t="str">
        <f>HLOOKUP(select,translations!$A$251:$H$340,54,)</f>
        <v>tC/t lime</v>
      </c>
      <c r="I134" s="2383">
        <f>Inputs!C13</f>
        <v>0.13</v>
      </c>
      <c r="J134" s="2429"/>
      <c r="K134" s="2382"/>
      <c r="L134" s="2383"/>
      <c r="M134" s="2383"/>
      <c r="N134" s="2383"/>
      <c r="O134" s="2383"/>
      <c r="P134" s="2383"/>
      <c r="Q134" s="2383"/>
      <c r="R134" s="2383"/>
      <c r="S134" s="2383"/>
      <c r="T134" s="2383"/>
      <c r="U134" s="2433" t="str">
        <f>HLOOKUP(select,translations!$A$251:$H$340,55,)</f>
        <v>tCO2/t CaCO3</v>
      </c>
      <c r="V134" s="2383"/>
      <c r="W134" s="2434">
        <f>Inputs!C45</f>
        <v>0.58666666666666667</v>
      </c>
      <c r="X134" s="2382"/>
    </row>
    <row r="135" spans="3:24" s="1738" customFormat="1" ht="13.2" customHeight="1">
      <c r="C135" s="2969"/>
      <c r="D135" s="2969" t="str">
        <f t="shared" si="3"/>
        <v>not-specified (tonnes per year)</v>
      </c>
      <c r="E135" s="2140"/>
      <c r="F135" s="2140"/>
      <c r="G135" s="2006"/>
      <c r="H135" s="2747" t="str">
        <f>HLOOKUP(select,translations!$A$251:$H$340,54,)</f>
        <v>tC/t lime</v>
      </c>
      <c r="I135" s="2383">
        <f>Inputs!C14</f>
        <v>0.125</v>
      </c>
      <c r="J135" s="2429"/>
      <c r="K135" s="2382"/>
      <c r="L135" s="2383"/>
      <c r="M135" s="2383"/>
      <c r="N135" s="2383"/>
      <c r="O135" s="2383"/>
      <c r="P135" s="2383"/>
      <c r="Q135" s="2383"/>
      <c r="R135" s="2383"/>
      <c r="S135" s="2383"/>
      <c r="T135" s="2383"/>
      <c r="U135" s="2433" t="str">
        <f>HLOOKUP(select,translations!$A$251:$H$340,55,)</f>
        <v>tCO2/t CaCO3</v>
      </c>
      <c r="V135" s="2383"/>
      <c r="W135" s="2434">
        <f>Inputs!C46</f>
        <v>0.58666666666666667</v>
      </c>
      <c r="X135" s="2382"/>
    </row>
    <row r="136" spans="3:24" s="1738" customFormat="1">
      <c r="C136" s="1801" t="str">
        <f>B15</f>
        <v>Fertilizers</v>
      </c>
      <c r="D136" s="2969"/>
      <c r="E136" s="2136"/>
      <c r="F136" s="2136"/>
      <c r="G136" s="1919"/>
      <c r="H136" s="1919"/>
      <c r="I136" s="2383"/>
      <c r="J136" s="2383"/>
      <c r="K136" s="2383"/>
      <c r="L136" s="2383"/>
      <c r="M136" s="2383"/>
      <c r="N136" s="2383"/>
      <c r="O136" s="2383"/>
      <c r="P136" s="2383"/>
      <c r="Q136" s="2383"/>
      <c r="R136" s="2383"/>
      <c r="S136" s="2383"/>
      <c r="T136" s="2383"/>
      <c r="U136" s="2018"/>
      <c r="V136" s="2383"/>
      <c r="W136" s="2434"/>
      <c r="X136" s="2383"/>
    </row>
    <row r="137" spans="3:24" s="1738" customFormat="1" ht="13.2" customHeight="1">
      <c r="C137" s="2969"/>
      <c r="D137" s="2969" t="str">
        <f t="shared" si="3"/>
        <v>Urea (tonnes of N per year - Urea has 46.7% of N)</v>
      </c>
      <c r="E137" s="2140"/>
      <c r="F137" s="2140"/>
      <c r="G137" s="2006"/>
      <c r="H137" s="2018" t="str">
        <f>HLOOKUP(select,translations!$A$251:$H$340,56,)</f>
        <v>tC/t Urea</v>
      </c>
      <c r="I137" s="2383">
        <f>Inputs!C21</f>
        <v>0.2</v>
      </c>
      <c r="J137" s="2383"/>
      <c r="K137" s="2382"/>
      <c r="L137" s="2383"/>
      <c r="M137" s="2383"/>
      <c r="N137" s="2433" t="str">
        <f>HLOOKUP(select,translations!$A$251:$H$340,57,)</f>
        <v>kg N-N2O/kg N</v>
      </c>
      <c r="O137" s="2383"/>
      <c r="P137" s="2383">
        <f>Inputs!C28</f>
        <v>0.01</v>
      </c>
      <c r="Q137" s="2382"/>
      <c r="R137" s="2383"/>
      <c r="S137" s="2383"/>
      <c r="T137" s="2383"/>
      <c r="U137" s="2433" t="str">
        <f>HLOOKUP(select,translations!$A$251:$H$340,58,)</f>
        <v>tCO2/t N</v>
      </c>
      <c r="V137" s="2383"/>
      <c r="W137" s="2434">
        <f>Inputs!C39</f>
        <v>4.7666666666666666</v>
      </c>
      <c r="X137" s="2382"/>
    </row>
    <row r="138" spans="3:24" s="1738" customFormat="1" ht="13.2" customHeight="1">
      <c r="C138" s="2969"/>
      <c r="D138" s="2969" t="str">
        <f t="shared" si="3"/>
        <v>Other N-fertilizers (tonnes of N per year)</v>
      </c>
      <c r="E138" s="2140"/>
      <c r="F138" s="2140"/>
      <c r="G138" s="2006"/>
      <c r="H138" s="2006"/>
      <c r="I138" s="2383"/>
      <c r="J138" s="2383"/>
      <c r="K138" s="2383"/>
      <c r="L138" s="2383"/>
      <c r="M138" s="2383"/>
      <c r="N138" s="2433" t="str">
        <f>HLOOKUP(select,translations!$A$251:$H$340,57,)</f>
        <v>kg N-N2O/kg N</v>
      </c>
      <c r="O138" s="2383"/>
      <c r="P138" s="2383">
        <f>Inputs!C29</f>
        <v>0.01</v>
      </c>
      <c r="Q138" s="2382"/>
      <c r="R138" s="2383"/>
      <c r="S138" s="2383"/>
      <c r="T138" s="2383"/>
      <c r="U138" s="2433" t="str">
        <f>HLOOKUP(select,translations!$A$251:$H$340,58,)</f>
        <v>tCO2/t N</v>
      </c>
      <c r="V138" s="2383"/>
      <c r="W138" s="2434">
        <f>Inputs!C40</f>
        <v>4.7666666666666666</v>
      </c>
      <c r="X138" s="2382"/>
    </row>
    <row r="139" spans="3:24" s="1738" customFormat="1" ht="13.2" customHeight="1">
      <c r="C139" s="2969"/>
      <c r="D139" s="2969" t="str">
        <f t="shared" si="3"/>
        <v>N-fertilizer in irrigated rice (tonnes of N per year)</v>
      </c>
      <c r="E139" s="2140"/>
      <c r="F139" s="2140"/>
      <c r="G139" s="2006"/>
      <c r="H139" s="2006"/>
      <c r="I139" s="2383"/>
      <c r="J139" s="2383"/>
      <c r="K139" s="2383"/>
      <c r="L139" s="2383"/>
      <c r="M139" s="2383"/>
      <c r="N139" s="2433" t="str">
        <f>HLOOKUP(select,translations!$A$251:$H$340,57,)</f>
        <v>kg N-N2O/kg N</v>
      </c>
      <c r="O139" s="2383"/>
      <c r="P139" s="2383">
        <f>Inputs!C30</f>
        <v>3.0000000000000001E-3</v>
      </c>
      <c r="Q139" s="2382"/>
      <c r="R139" s="2383"/>
      <c r="S139" s="2383"/>
      <c r="T139" s="2383"/>
      <c r="U139" s="2433" t="str">
        <f>HLOOKUP(select,translations!$A$251:$H$340,58,)</f>
        <v>tCO2/t N</v>
      </c>
      <c r="V139" s="2383"/>
      <c r="W139" s="2434">
        <f>Inputs!C41</f>
        <v>4.7666666666666666</v>
      </c>
      <c r="X139" s="2382"/>
    </row>
    <row r="140" spans="3:24" s="1738" customFormat="1" ht="13.2" customHeight="1">
      <c r="C140" s="2969"/>
      <c r="D140" s="2969" t="str">
        <f t="shared" si="3"/>
        <v>Sewage (tonnes of N per year)</v>
      </c>
      <c r="E140" s="2140"/>
      <c r="F140" s="2140"/>
      <c r="G140" s="2006"/>
      <c r="H140" s="2006"/>
      <c r="I140" s="2383"/>
      <c r="J140" s="2383"/>
      <c r="K140" s="2383"/>
      <c r="L140" s="2383"/>
      <c r="M140" s="2383"/>
      <c r="N140" s="2433" t="str">
        <f>HLOOKUP(select,translations!$A$251:$H$340,57,)</f>
        <v>kg N-N2O/kg N</v>
      </c>
      <c r="O140" s="2383"/>
      <c r="P140" s="2383">
        <f>Inputs!C31</f>
        <v>0.01</v>
      </c>
      <c r="Q140" s="2382"/>
      <c r="R140" s="2383"/>
      <c r="S140" s="2383"/>
      <c r="T140" s="2383"/>
      <c r="U140" s="2383"/>
      <c r="V140" s="2383"/>
      <c r="W140" s="2434"/>
      <c r="X140" s="2383"/>
    </row>
    <row r="141" spans="3:24" s="1738" customFormat="1" ht="13.2" customHeight="1">
      <c r="C141" s="2969"/>
      <c r="D141" s="2969" t="str">
        <f t="shared" si="3"/>
        <v>Compost (tonnes of N per year)</v>
      </c>
      <c r="E141" s="2140"/>
      <c r="F141" s="2140"/>
      <c r="G141" s="2006"/>
      <c r="H141" s="2006"/>
      <c r="I141" s="2383"/>
      <c r="J141" s="2383"/>
      <c r="K141" s="2383"/>
      <c r="L141" s="2383"/>
      <c r="M141" s="2383"/>
      <c r="N141" s="2433" t="str">
        <f>HLOOKUP(select,translations!$A$251:$H$340,57,)</f>
        <v>kg N-N2O/kg N</v>
      </c>
      <c r="O141" s="2383"/>
      <c r="P141" s="2383">
        <f>Inputs!C32</f>
        <v>0.01</v>
      </c>
      <c r="Q141" s="2382"/>
      <c r="R141" s="2383"/>
      <c r="S141" s="2383"/>
      <c r="T141" s="2383"/>
      <c r="U141" s="2383"/>
      <c r="V141" s="2383"/>
      <c r="W141" s="2434"/>
      <c r="X141" s="2383"/>
    </row>
    <row r="142" spans="3:24" s="1738" customFormat="1" ht="13.2" customHeight="1">
      <c r="C142" s="2969"/>
      <c r="D142" s="2969" t="str">
        <f t="shared" si="3"/>
        <v>Phosphorus (tonnes of P2O5 per year)</v>
      </c>
      <c r="E142" s="2140"/>
      <c r="F142" s="2140"/>
      <c r="G142" s="2006"/>
      <c r="H142" s="2006"/>
      <c r="I142" s="2383"/>
      <c r="J142" s="2383"/>
      <c r="K142" s="2383"/>
      <c r="L142" s="2383"/>
      <c r="M142" s="2383"/>
      <c r="N142" s="2383"/>
      <c r="O142" s="2383"/>
      <c r="P142" s="2383"/>
      <c r="Q142" s="2383"/>
      <c r="R142" s="2383"/>
      <c r="S142" s="2383"/>
      <c r="T142" s="2383"/>
      <c r="U142" s="2433" t="str">
        <f>HLOOKUP(select,translations!$A$251:$H$340,59,)</f>
        <v>tCO2/t P2O5</v>
      </c>
      <c r="V142" s="2383"/>
      <c r="W142" s="2434">
        <f>Inputs!C42</f>
        <v>0.73333333333333339</v>
      </c>
      <c r="X142" s="2382"/>
    </row>
    <row r="143" spans="3:24" s="1738" customFormat="1" ht="13.2" customHeight="1">
      <c r="C143" s="2969"/>
      <c r="D143" s="2969" t="str">
        <f t="shared" si="3"/>
        <v>Potassium  (tonnes of K2O per year)</v>
      </c>
      <c r="E143" s="2140"/>
      <c r="F143" s="2140"/>
      <c r="G143" s="2006"/>
      <c r="H143" s="2006"/>
      <c r="I143" s="2383"/>
      <c r="J143" s="2383"/>
      <c r="K143" s="2383"/>
      <c r="L143" s="2383"/>
      <c r="M143" s="2383"/>
      <c r="N143" s="2383"/>
      <c r="O143" s="2383"/>
      <c r="P143" s="2383"/>
      <c r="Q143" s="2383"/>
      <c r="R143" s="2383"/>
      <c r="S143" s="2383"/>
      <c r="T143" s="2383"/>
      <c r="U143" s="2433" t="str">
        <f>HLOOKUP(select,translations!$A$251:$H$340,60,)</f>
        <v>tCO2/t K2O</v>
      </c>
      <c r="V143" s="2383"/>
      <c r="W143" s="2434">
        <f>Inputs!C43</f>
        <v>0.54999999999999993</v>
      </c>
      <c r="X143" s="2382"/>
    </row>
    <row r="144" spans="3:24" s="1738" customFormat="1">
      <c r="C144" s="1801" t="str">
        <f>B23</f>
        <v>Pesticides</v>
      </c>
      <c r="D144" s="2969"/>
      <c r="E144" s="2136"/>
      <c r="F144" s="2136"/>
      <c r="G144" s="1919"/>
      <c r="H144" s="1919"/>
      <c r="I144" s="2383"/>
      <c r="J144" s="2383"/>
      <c r="K144" s="2383"/>
      <c r="L144" s="2383"/>
      <c r="M144" s="2383"/>
      <c r="N144" s="2383"/>
      <c r="O144" s="2383"/>
      <c r="P144" s="2383"/>
      <c r="Q144" s="2383"/>
      <c r="R144" s="2383"/>
      <c r="S144" s="2383"/>
      <c r="T144" s="2383"/>
      <c r="U144" s="2383"/>
      <c r="V144" s="2383"/>
      <c r="W144" s="2030"/>
      <c r="X144" s="2383"/>
    </row>
    <row r="145" spans="3:24" s="1738" customFormat="1" ht="13.2" customHeight="1">
      <c r="C145" s="2969"/>
      <c r="D145" s="2969" t="str">
        <f t="shared" si="3"/>
        <v>Herbicides (tonnes of active ingredient per year)</v>
      </c>
      <c r="E145" s="2140"/>
      <c r="F145" s="2140"/>
      <c r="G145" s="2006"/>
      <c r="H145" s="2006"/>
      <c r="I145" s="2383"/>
      <c r="J145" s="2383"/>
      <c r="K145" s="2383"/>
      <c r="L145" s="2383"/>
      <c r="M145" s="2383"/>
      <c r="N145" s="2383"/>
      <c r="O145" s="2383"/>
      <c r="P145" s="2383"/>
      <c r="Q145" s="2383"/>
      <c r="R145" s="2383"/>
      <c r="S145" s="2383"/>
      <c r="T145" s="2383"/>
      <c r="U145" s="2433" t="str">
        <f>HLOOKUP(select,translations!$A$251:$H$340,61,)</f>
        <v>tCO2/t active ingredient</v>
      </c>
      <c r="V145" s="2383"/>
      <c r="W145" s="2030">
        <f>Inputs!C47</f>
        <v>23.099999999999998</v>
      </c>
      <c r="X145" s="2382"/>
    </row>
    <row r="146" spans="3:24" s="1738" customFormat="1" ht="13.2" customHeight="1">
      <c r="C146" s="2969"/>
      <c r="D146" s="2969" t="str">
        <f t="shared" si="3"/>
        <v>Insecticides (tonnes of active ingredient per year)</v>
      </c>
      <c r="E146" s="2140"/>
      <c r="F146" s="2140"/>
      <c r="G146" s="2006"/>
      <c r="H146" s="2006"/>
      <c r="I146" s="2383"/>
      <c r="J146" s="2383"/>
      <c r="K146" s="2383"/>
      <c r="L146" s="2383"/>
      <c r="M146" s="2383"/>
      <c r="N146" s="2383"/>
      <c r="O146" s="2383"/>
      <c r="P146" s="2383"/>
      <c r="Q146" s="2383"/>
      <c r="R146" s="2383"/>
      <c r="S146" s="2383"/>
      <c r="T146" s="2383"/>
      <c r="U146" s="2433" t="str">
        <f>HLOOKUP(select,translations!$A$251:$H$340,61,)</f>
        <v>tCO2/t active ingredient</v>
      </c>
      <c r="V146" s="2383"/>
      <c r="W146" s="2030">
        <f>Inputs!C48</f>
        <v>18.7</v>
      </c>
      <c r="X146" s="2382"/>
    </row>
    <row r="147" spans="3:24" s="1738" customFormat="1" ht="13.2" customHeight="1">
      <c r="C147" s="2969"/>
      <c r="D147" s="2969" t="str">
        <f t="shared" si="3"/>
        <v>Fungicides (tonnes of active ingredient per year)</v>
      </c>
      <c r="E147" s="2140"/>
      <c r="F147" s="2140"/>
      <c r="G147" s="2006"/>
      <c r="H147" s="2006"/>
      <c r="I147" s="2383"/>
      <c r="J147" s="2383"/>
      <c r="K147" s="2383"/>
      <c r="L147" s="2383"/>
      <c r="M147" s="2383"/>
      <c r="N147" s="2383"/>
      <c r="O147" s="2383"/>
      <c r="P147" s="2383"/>
      <c r="Q147" s="2383"/>
      <c r="R147" s="2383"/>
      <c r="S147" s="2383"/>
      <c r="T147" s="2383"/>
      <c r="U147" s="2433" t="str">
        <f>HLOOKUP(select,translations!$A$251:$H$340,61,)</f>
        <v>tCO2/t active ingredient</v>
      </c>
      <c r="V147" s="2383"/>
      <c r="W147" s="2030">
        <f>Inputs!C49</f>
        <v>14.299999999999999</v>
      </c>
      <c r="X147" s="2382"/>
    </row>
    <row r="148" spans="3:24" s="1738" customFormat="1" ht="13.2" customHeight="1">
      <c r="C148" s="2964"/>
      <c r="D148" s="2964"/>
    </row>
    <row r="149" spans="3:24" s="1738" customFormat="1">
      <c r="C149" s="2554" t="str">
        <f>HLOOKUP(select,translations!$A$251:$H$340,65,)</f>
        <v>Urea</v>
      </c>
      <c r="D149" s="2972" t="str">
        <f>HLOOKUP(select,translations!$A$251:$H$340,62,)</f>
        <v>CO2 removal from the atmosphere during urea manufacturing is estimated in the Industrial Processes and Product Use Sector by the country where urea was produced.</v>
      </c>
      <c r="E149" s="2547"/>
      <c r="F149" s="2547"/>
      <c r="G149" s="1799"/>
      <c r="H149" s="1799"/>
      <c r="I149" s="2547"/>
      <c r="J149" s="2547"/>
      <c r="K149" s="2547"/>
      <c r="L149" s="2547"/>
      <c r="M149" s="2547"/>
      <c r="N149" s="2547"/>
      <c r="O149" s="2547"/>
      <c r="P149" s="2547"/>
      <c r="Q149" s="2547"/>
      <c r="R149" s="2547"/>
      <c r="S149" s="2547"/>
      <c r="T149" s="2547"/>
      <c r="U149" s="2547"/>
      <c r="V149" s="2547"/>
      <c r="W149" s="2547"/>
      <c r="X149" s="2547"/>
    </row>
    <row r="150" spans="3:24" s="1738" customFormat="1">
      <c r="C150" s="2972"/>
      <c r="D150" s="2972" t="str">
        <f>HLOOKUP(select,translations!$A$251:$H$340,63,)</f>
        <v>By default EX-ACT considers that urea is imported and do not account for this sink, but you can force the calculation to do so:</v>
      </c>
      <c r="E150" s="2728"/>
      <c r="F150" s="2728"/>
      <c r="G150" s="1799"/>
      <c r="H150" s="1799"/>
      <c r="I150" s="2728"/>
      <c r="J150" s="2728"/>
      <c r="K150" s="2728"/>
      <c r="L150" s="2728"/>
      <c r="M150" s="2728"/>
      <c r="N150" s="2728"/>
      <c r="O150" s="2728"/>
      <c r="P150" s="2728"/>
      <c r="Q150" s="2728"/>
      <c r="R150" s="2728"/>
      <c r="S150" s="2554"/>
      <c r="T150" s="2547"/>
      <c r="U150" s="2547"/>
      <c r="V150" s="2547"/>
      <c r="W150" s="2748" t="str">
        <f>HLOOKUP(select,translations!$A$251:$H$340,64,)</f>
        <v>Account the manufacturing sink?</v>
      </c>
      <c r="X150" s="2552" t="s">
        <v>359</v>
      </c>
    </row>
    <row r="151" spans="3:24" s="1738" customFormat="1">
      <c r="D151" s="2009"/>
      <c r="E151" s="1743"/>
      <c r="F151" s="1743"/>
      <c r="I151" s="1743"/>
      <c r="J151" s="1743"/>
      <c r="K151" s="1743"/>
      <c r="L151" s="1743"/>
      <c r="M151" s="1743"/>
      <c r="N151" s="1743"/>
      <c r="O151" s="1743"/>
      <c r="P151" s="1743"/>
      <c r="Q151" s="1743"/>
      <c r="R151" s="1743"/>
      <c r="S151" s="1743"/>
      <c r="T151" s="1743"/>
      <c r="U151" s="1743"/>
      <c r="V151" s="1743"/>
      <c r="W151" s="1743"/>
      <c r="X151" s="1743"/>
    </row>
    <row r="152" spans="3:24" s="1738" customFormat="1">
      <c r="E152" s="1743"/>
      <c r="F152" s="1743"/>
      <c r="I152" s="1743"/>
      <c r="J152" s="1743"/>
      <c r="K152" s="1743"/>
      <c r="L152" s="1743"/>
      <c r="M152" s="1743"/>
      <c r="N152" s="1743"/>
      <c r="O152" s="1743"/>
      <c r="P152" s="1743"/>
      <c r="Q152" s="1743"/>
      <c r="R152" s="1743"/>
      <c r="S152" s="1743"/>
      <c r="T152" s="1743"/>
      <c r="U152" s="1743"/>
      <c r="V152" s="1743"/>
      <c r="W152" s="1743"/>
      <c r="X152" s="1743"/>
    </row>
    <row r="153" spans="3:24" s="1738" customFormat="1">
      <c r="E153" s="1743"/>
      <c r="F153" s="1743"/>
      <c r="I153" s="1743"/>
      <c r="J153" s="1743"/>
      <c r="K153" s="1743"/>
      <c r="L153" s="1743"/>
      <c r="M153" s="1743"/>
      <c r="N153" s="1743"/>
      <c r="O153" s="1743"/>
      <c r="P153" s="1743"/>
      <c r="Q153" s="1743"/>
      <c r="R153" s="1743"/>
      <c r="S153" s="1743"/>
      <c r="T153" s="1743"/>
      <c r="U153" s="1743"/>
      <c r="V153" s="1743"/>
      <c r="W153" s="1743"/>
      <c r="X153" s="1743"/>
    </row>
    <row r="154" spans="3:24" s="1738" customFormat="1">
      <c r="E154" s="1743"/>
      <c r="F154" s="1743"/>
      <c r="I154" s="1743"/>
      <c r="J154" s="1743"/>
      <c r="K154" s="1743"/>
      <c r="L154" s="1743"/>
      <c r="M154" s="1743"/>
      <c r="N154" s="1743"/>
      <c r="O154" s="1743"/>
      <c r="P154" s="1743"/>
      <c r="Q154" s="1743"/>
      <c r="R154" s="1743"/>
      <c r="S154" s="1743"/>
      <c r="T154" s="1743"/>
      <c r="U154" s="1743"/>
      <c r="V154" s="1743"/>
      <c r="W154" s="1743"/>
      <c r="X154" s="1743"/>
    </row>
    <row r="155" spans="3:24" s="1738" customFormat="1">
      <c r="E155" s="1743"/>
      <c r="F155" s="1743"/>
      <c r="I155" s="1743"/>
      <c r="J155" s="1743"/>
      <c r="K155" s="1743"/>
      <c r="L155" s="1743"/>
      <c r="M155" s="1743"/>
      <c r="N155" s="1743"/>
      <c r="O155" s="1743"/>
      <c r="P155" s="1743"/>
      <c r="Q155" s="1743"/>
      <c r="R155" s="1743"/>
      <c r="S155" s="1743"/>
      <c r="T155" s="1743"/>
      <c r="U155" s="1743"/>
      <c r="V155" s="1743"/>
      <c r="W155" s="1743"/>
      <c r="X155" s="1743"/>
    </row>
    <row r="156" spans="3:24" s="1738" customFormat="1">
      <c r="E156" s="1743"/>
      <c r="F156" s="1743"/>
      <c r="I156" s="1743"/>
      <c r="J156" s="1743"/>
      <c r="K156" s="1743"/>
      <c r="L156" s="1743"/>
      <c r="M156" s="1743"/>
      <c r="N156" s="1743"/>
      <c r="O156" s="1743"/>
      <c r="P156" s="1743"/>
      <c r="Q156" s="1743"/>
      <c r="R156" s="1743"/>
      <c r="S156" s="1743"/>
      <c r="T156" s="1743"/>
      <c r="U156" s="1743"/>
      <c r="V156" s="1743"/>
      <c r="W156" s="1743"/>
      <c r="X156" s="1743"/>
    </row>
    <row r="157" spans="3:24" s="1738" customFormat="1">
      <c r="E157" s="1743"/>
      <c r="F157" s="1743"/>
      <c r="I157" s="1743"/>
      <c r="J157" s="1743"/>
      <c r="K157" s="1743"/>
      <c r="L157" s="1743"/>
      <c r="M157" s="1743"/>
      <c r="N157" s="1743"/>
      <c r="O157" s="1743"/>
      <c r="P157" s="1743"/>
      <c r="Q157" s="1743"/>
      <c r="R157" s="1743"/>
      <c r="S157" s="1743"/>
      <c r="T157" s="1743"/>
      <c r="U157" s="1743"/>
      <c r="V157" s="1743"/>
      <c r="W157" s="1743"/>
      <c r="X157" s="1743"/>
    </row>
    <row r="158" spans="3:24" s="1738" customFormat="1">
      <c r="E158" s="1743"/>
      <c r="F158" s="1743"/>
      <c r="I158" s="1743"/>
      <c r="J158" s="1743"/>
      <c r="K158" s="1743"/>
      <c r="L158" s="1743"/>
      <c r="M158" s="1743"/>
      <c r="N158" s="1743"/>
      <c r="O158" s="1743"/>
      <c r="P158" s="1743"/>
      <c r="Q158" s="1743"/>
      <c r="R158" s="1743"/>
      <c r="S158" s="1743"/>
      <c r="T158" s="1743"/>
      <c r="U158" s="1743"/>
      <c r="V158" s="1743"/>
      <c r="W158" s="1743"/>
      <c r="X158" s="1743"/>
    </row>
    <row r="159" spans="3:24" s="1738" customFormat="1">
      <c r="E159" s="1743"/>
      <c r="F159" s="1743"/>
      <c r="I159" s="1743"/>
      <c r="J159" s="1743"/>
      <c r="K159" s="1743"/>
      <c r="L159" s="1743"/>
      <c r="M159" s="1743"/>
      <c r="N159" s="1743"/>
      <c r="O159" s="1743"/>
      <c r="P159" s="1743"/>
      <c r="Q159" s="1743"/>
      <c r="R159" s="1743"/>
      <c r="S159" s="1743"/>
      <c r="T159" s="1743"/>
      <c r="U159" s="1743"/>
      <c r="V159" s="1743"/>
      <c r="W159" s="1743"/>
      <c r="X159" s="1743"/>
    </row>
    <row r="160" spans="3:24" s="1738" customFormat="1">
      <c r="E160" s="1743"/>
      <c r="F160" s="1743"/>
      <c r="I160" s="1743"/>
      <c r="J160" s="1743"/>
      <c r="K160" s="1743"/>
      <c r="L160" s="1743"/>
      <c r="M160" s="1743"/>
      <c r="N160" s="1743"/>
      <c r="O160" s="1743"/>
      <c r="P160" s="1743"/>
      <c r="Q160" s="1743"/>
      <c r="R160" s="1743"/>
      <c r="S160" s="1743"/>
      <c r="T160" s="1743"/>
      <c r="U160" s="1743"/>
      <c r="V160" s="1743"/>
      <c r="W160" s="1743"/>
      <c r="X160" s="1743"/>
    </row>
    <row r="161" spans="5:24" s="1738" customFormat="1">
      <c r="E161" s="1743"/>
      <c r="F161" s="1743"/>
      <c r="I161" s="1743"/>
      <c r="J161" s="1743"/>
      <c r="K161" s="1743"/>
      <c r="L161" s="1743"/>
      <c r="M161" s="1743"/>
      <c r="N161" s="1743"/>
      <c r="O161" s="1743"/>
      <c r="P161" s="1743"/>
      <c r="Q161" s="1743"/>
      <c r="R161" s="1743"/>
      <c r="S161" s="1743"/>
      <c r="T161" s="1743"/>
      <c r="U161" s="1743"/>
      <c r="V161" s="1743"/>
      <c r="W161" s="1743"/>
      <c r="X161" s="1743"/>
    </row>
    <row r="162" spans="5:24" s="1738" customFormat="1">
      <c r="E162" s="1743"/>
      <c r="F162" s="1743"/>
      <c r="I162" s="1743"/>
      <c r="J162" s="1743"/>
      <c r="K162" s="1743"/>
      <c r="L162" s="1743"/>
      <c r="M162" s="1743"/>
      <c r="N162" s="1743"/>
      <c r="O162" s="1743"/>
      <c r="P162" s="1743"/>
      <c r="Q162" s="1743"/>
      <c r="R162" s="1743"/>
      <c r="S162" s="1743"/>
      <c r="T162" s="1743"/>
      <c r="U162" s="1743"/>
      <c r="V162" s="1743"/>
      <c r="W162" s="1743"/>
      <c r="X162" s="1743"/>
    </row>
    <row r="163" spans="5:24" s="1738" customFormat="1">
      <c r="E163" s="1743"/>
      <c r="F163" s="1743"/>
      <c r="I163" s="1743"/>
      <c r="J163" s="1743"/>
      <c r="K163" s="1743"/>
      <c r="L163" s="1743"/>
      <c r="M163" s="1743"/>
      <c r="N163" s="1743"/>
      <c r="O163" s="1743"/>
      <c r="P163" s="1743"/>
      <c r="Q163" s="1743"/>
      <c r="R163" s="1743"/>
      <c r="S163" s="1743"/>
      <c r="T163" s="1743"/>
      <c r="U163" s="1743"/>
      <c r="V163" s="1743"/>
      <c r="W163" s="1743"/>
      <c r="X163" s="1743"/>
    </row>
    <row r="164" spans="5:24" s="1738" customFormat="1">
      <c r="E164" s="1743"/>
      <c r="F164" s="1743"/>
      <c r="I164" s="1743"/>
      <c r="J164" s="1743"/>
      <c r="K164" s="1743"/>
      <c r="L164" s="1743"/>
      <c r="M164" s="1743"/>
      <c r="N164" s="1743"/>
      <c r="O164" s="1743"/>
      <c r="P164" s="1743"/>
      <c r="Q164" s="1743"/>
      <c r="R164" s="1743"/>
      <c r="S164" s="1743"/>
      <c r="T164" s="1743"/>
      <c r="U164" s="1743"/>
      <c r="V164" s="1743"/>
      <c r="W164" s="1743"/>
      <c r="X164" s="1743"/>
    </row>
    <row r="165" spans="5:24" s="1738" customFormat="1">
      <c r="E165" s="1743"/>
      <c r="F165" s="1743"/>
      <c r="I165" s="1743"/>
      <c r="J165" s="1743"/>
      <c r="K165" s="1743"/>
      <c r="L165" s="1743"/>
      <c r="M165" s="1743"/>
      <c r="N165" s="1743"/>
      <c r="O165" s="1743"/>
      <c r="P165" s="1743"/>
      <c r="Q165" s="1743"/>
      <c r="R165" s="1743"/>
      <c r="S165" s="1743"/>
      <c r="T165" s="1743"/>
      <c r="U165" s="1743"/>
      <c r="V165" s="1743"/>
      <c r="W165" s="1743"/>
      <c r="X165" s="1743"/>
    </row>
    <row r="166" spans="5:24" s="1738" customFormat="1">
      <c r="E166" s="1743"/>
      <c r="F166" s="1743"/>
      <c r="I166" s="1743"/>
      <c r="J166" s="1743"/>
      <c r="K166" s="1743"/>
      <c r="L166" s="1743"/>
      <c r="M166" s="1743"/>
      <c r="N166" s="1743"/>
      <c r="O166" s="1743"/>
      <c r="P166" s="1743"/>
      <c r="Q166" s="1743"/>
      <c r="R166" s="1743"/>
      <c r="S166" s="1743"/>
      <c r="T166" s="1743"/>
      <c r="U166" s="1743"/>
      <c r="V166" s="1743"/>
      <c r="W166" s="1743"/>
      <c r="X166" s="1743"/>
    </row>
    <row r="167" spans="5:24" s="1738" customFormat="1">
      <c r="E167" s="1743"/>
      <c r="F167" s="1743"/>
      <c r="I167" s="1743"/>
      <c r="J167" s="1743"/>
      <c r="K167" s="1743"/>
      <c r="L167" s="1743"/>
      <c r="M167" s="1743"/>
      <c r="N167" s="1743"/>
      <c r="O167" s="1743"/>
      <c r="P167" s="1743"/>
      <c r="Q167" s="1743"/>
      <c r="R167" s="1743"/>
      <c r="S167" s="1743"/>
      <c r="T167" s="1743"/>
      <c r="U167" s="1743"/>
      <c r="V167" s="1743"/>
      <c r="W167" s="1743"/>
      <c r="X167" s="1743"/>
    </row>
    <row r="168" spans="5:24" s="1738" customFormat="1">
      <c r="E168" s="1743"/>
      <c r="F168" s="1743"/>
      <c r="I168" s="1743"/>
      <c r="J168" s="1743"/>
      <c r="K168" s="1743"/>
      <c r="L168" s="1743"/>
      <c r="M168" s="1743"/>
      <c r="N168" s="1743"/>
      <c r="O168" s="1743"/>
      <c r="P168" s="1743"/>
      <c r="Q168" s="1743"/>
      <c r="R168" s="1743"/>
      <c r="S168" s="1743"/>
      <c r="T168" s="1743"/>
      <c r="U168" s="1743"/>
      <c r="V168" s="1743"/>
      <c r="W168" s="1743"/>
      <c r="X168" s="1743"/>
    </row>
    <row r="169" spans="5:24" s="1738" customFormat="1">
      <c r="E169" s="1743"/>
      <c r="F169" s="1743"/>
      <c r="I169" s="1743"/>
      <c r="J169" s="1743"/>
      <c r="K169" s="1743"/>
      <c r="L169" s="1743"/>
      <c r="M169" s="1743"/>
      <c r="N169" s="1743"/>
      <c r="O169" s="1743"/>
      <c r="P169" s="1743"/>
      <c r="Q169" s="1743"/>
      <c r="R169" s="1743"/>
      <c r="S169" s="1743"/>
      <c r="T169" s="1743"/>
      <c r="U169" s="1743"/>
      <c r="V169" s="1743"/>
      <c r="W169" s="1743"/>
      <c r="X169" s="1743"/>
    </row>
    <row r="170" spans="5:24" s="1738" customFormat="1">
      <c r="E170" s="1743"/>
      <c r="F170" s="1743"/>
      <c r="I170" s="1743"/>
      <c r="J170" s="1743"/>
      <c r="K170" s="1743"/>
      <c r="L170" s="1743"/>
      <c r="M170" s="1743"/>
      <c r="N170" s="1743"/>
      <c r="O170" s="1743"/>
      <c r="P170" s="1743"/>
      <c r="Q170" s="1743"/>
      <c r="R170" s="1743"/>
      <c r="S170" s="1743"/>
      <c r="T170" s="1743"/>
      <c r="U170" s="1743"/>
      <c r="V170" s="1743"/>
      <c r="W170" s="1743"/>
      <c r="X170" s="1743"/>
    </row>
    <row r="171" spans="5:24" s="1738" customFormat="1">
      <c r="E171" s="1743"/>
      <c r="F171" s="1743"/>
      <c r="I171" s="1743"/>
      <c r="J171" s="1743"/>
      <c r="K171" s="1743"/>
      <c r="L171" s="1743"/>
      <c r="M171" s="1743"/>
      <c r="N171" s="1743"/>
      <c r="O171" s="1743"/>
      <c r="P171" s="1743"/>
      <c r="Q171" s="1743"/>
      <c r="R171" s="1743"/>
      <c r="S171" s="1743"/>
      <c r="T171" s="1743"/>
      <c r="U171" s="1743"/>
      <c r="V171" s="1743"/>
      <c r="W171" s="1743"/>
      <c r="X171" s="1743"/>
    </row>
    <row r="172" spans="5:24" s="1738" customFormat="1">
      <c r="E172" s="1743"/>
      <c r="F172" s="1743"/>
      <c r="I172" s="1743"/>
      <c r="J172" s="1743"/>
      <c r="K172" s="1743"/>
      <c r="L172" s="1743"/>
      <c r="M172" s="1743"/>
      <c r="N172" s="1743"/>
      <c r="O172" s="1743"/>
      <c r="P172" s="1743"/>
      <c r="Q172" s="1743"/>
      <c r="R172" s="1743"/>
      <c r="S172" s="1743"/>
      <c r="T172" s="1743"/>
      <c r="U172" s="1743"/>
      <c r="V172" s="1743"/>
      <c r="W172" s="1743"/>
      <c r="X172" s="1743"/>
    </row>
    <row r="173" spans="5:24" s="1738" customFormat="1">
      <c r="E173" s="1743"/>
      <c r="F173" s="1743"/>
      <c r="I173" s="1743"/>
      <c r="J173" s="1743"/>
      <c r="K173" s="1743"/>
      <c r="L173" s="1743"/>
      <c r="M173" s="1743"/>
      <c r="N173" s="1743"/>
      <c r="O173" s="1743"/>
      <c r="P173" s="1743"/>
      <c r="Q173" s="1743"/>
      <c r="R173" s="1743"/>
      <c r="S173" s="1743"/>
      <c r="T173" s="1743"/>
      <c r="U173" s="1743"/>
      <c r="V173" s="1743"/>
      <c r="W173" s="1743"/>
      <c r="X173" s="1743"/>
    </row>
    <row r="174" spans="5:24" s="1738" customFormat="1">
      <c r="E174" s="1743"/>
      <c r="F174" s="1743"/>
      <c r="I174" s="1743"/>
      <c r="J174" s="1743"/>
      <c r="K174" s="1743"/>
      <c r="L174" s="1743"/>
      <c r="M174" s="1743"/>
      <c r="N174" s="1743"/>
      <c r="O174" s="1743"/>
      <c r="P174" s="1743"/>
      <c r="Q174" s="1743"/>
      <c r="R174" s="1743"/>
      <c r="S174" s="1743"/>
      <c r="T174" s="1743"/>
      <c r="U174" s="1743"/>
      <c r="V174" s="1743"/>
      <c r="W174" s="1743"/>
      <c r="X174" s="1743"/>
    </row>
    <row r="175" spans="5:24" s="1738" customFormat="1">
      <c r="E175" s="1743"/>
      <c r="F175" s="1743"/>
      <c r="I175" s="1743"/>
      <c r="J175" s="1743"/>
      <c r="K175" s="1743"/>
      <c r="L175" s="1743"/>
      <c r="M175" s="1743"/>
      <c r="N175" s="1743"/>
      <c r="O175" s="1743"/>
      <c r="P175" s="1743"/>
      <c r="Q175" s="1743"/>
      <c r="R175" s="1743"/>
      <c r="S175" s="1743"/>
      <c r="T175" s="1743"/>
      <c r="U175" s="1743"/>
      <c r="V175" s="1743"/>
      <c r="W175" s="1743"/>
      <c r="X175" s="1743"/>
    </row>
    <row r="176" spans="5:24" s="1738" customFormat="1">
      <c r="E176" s="1743"/>
      <c r="F176" s="1743"/>
      <c r="I176" s="1743"/>
      <c r="J176" s="1743"/>
      <c r="K176" s="1743"/>
      <c r="L176" s="1743"/>
      <c r="M176" s="1743"/>
      <c r="N176" s="1743"/>
      <c r="O176" s="1743"/>
      <c r="P176" s="1743"/>
      <c r="Q176" s="1743"/>
      <c r="R176" s="1743"/>
      <c r="S176" s="1743"/>
      <c r="T176" s="1743"/>
      <c r="U176" s="1743"/>
      <c r="V176" s="1743"/>
      <c r="W176" s="1743"/>
      <c r="X176" s="1743"/>
    </row>
    <row r="177" spans="3:24" s="1738" customFormat="1">
      <c r="E177" s="1743"/>
      <c r="F177" s="1743"/>
      <c r="I177" s="1743"/>
      <c r="J177" s="1743"/>
      <c r="K177" s="1743"/>
      <c r="L177" s="1743"/>
      <c r="M177" s="1743"/>
      <c r="N177" s="1743"/>
      <c r="O177" s="1743"/>
      <c r="P177" s="1743"/>
      <c r="Q177" s="1743"/>
      <c r="R177" s="1743"/>
      <c r="S177" s="1743"/>
      <c r="T177" s="1743"/>
      <c r="U177" s="1743"/>
      <c r="V177" s="1743"/>
      <c r="W177" s="1743"/>
      <c r="X177" s="1743"/>
    </row>
    <row r="178" spans="3:24" s="1738" customFormat="1">
      <c r="E178" s="1743"/>
      <c r="F178" s="1743"/>
      <c r="I178" s="1743"/>
      <c r="J178" s="1743"/>
      <c r="K178" s="1743"/>
      <c r="L178" s="1743"/>
      <c r="M178" s="1743"/>
      <c r="N178" s="1743"/>
      <c r="O178" s="1743"/>
      <c r="P178" s="1743"/>
      <c r="Q178" s="1743"/>
      <c r="R178" s="1743"/>
      <c r="S178" s="1743"/>
      <c r="T178" s="1743"/>
      <c r="U178" s="1743"/>
      <c r="V178" s="1743"/>
      <c r="W178" s="1743"/>
      <c r="X178" s="1743"/>
    </row>
    <row r="179" spans="3:24" s="1738" customFormat="1">
      <c r="E179" s="1743"/>
      <c r="F179" s="1743"/>
      <c r="I179" s="1743"/>
      <c r="J179" s="1743"/>
      <c r="K179" s="1743"/>
      <c r="L179" s="1743"/>
      <c r="M179" s="1743"/>
      <c r="N179" s="1743"/>
      <c r="O179" s="1743"/>
      <c r="P179" s="1743"/>
      <c r="Q179" s="1743"/>
      <c r="R179" s="1743"/>
      <c r="S179" s="1743"/>
      <c r="T179" s="1743"/>
      <c r="U179" s="1743"/>
      <c r="V179" s="1743"/>
      <c r="W179" s="1743"/>
      <c r="X179" s="1743"/>
    </row>
    <row r="180" spans="3:24" s="1738" customFormat="1">
      <c r="E180" s="1743"/>
      <c r="F180" s="1743"/>
      <c r="I180" s="1743"/>
      <c r="J180" s="1743"/>
      <c r="K180" s="1743"/>
      <c r="L180" s="1743"/>
      <c r="M180" s="1743"/>
      <c r="N180" s="1743"/>
      <c r="O180" s="1743"/>
      <c r="P180" s="1743"/>
      <c r="Q180" s="1743"/>
      <c r="R180" s="1743"/>
      <c r="S180" s="1743"/>
      <c r="T180" s="1743"/>
      <c r="U180" s="1743"/>
      <c r="V180" s="1743"/>
      <c r="W180" s="1743"/>
      <c r="X180" s="1743"/>
    </row>
    <row r="181" spans="3:24" s="1738" customFormat="1">
      <c r="E181" s="1743"/>
      <c r="F181" s="1743"/>
      <c r="I181" s="1743"/>
      <c r="J181" s="1743"/>
      <c r="K181" s="1743"/>
      <c r="L181" s="1743"/>
      <c r="M181" s="1743"/>
      <c r="N181" s="1743"/>
      <c r="O181" s="1743"/>
      <c r="P181" s="1743"/>
      <c r="Q181" s="1743"/>
      <c r="R181" s="1743"/>
      <c r="S181" s="1743"/>
      <c r="T181" s="1743"/>
      <c r="U181" s="1743"/>
      <c r="V181" s="1743"/>
      <c r="W181" s="1743"/>
      <c r="X181" s="1743"/>
    </row>
    <row r="182" spans="3:24" s="1738" customFormat="1">
      <c r="E182" s="1743"/>
      <c r="F182" s="1743"/>
      <c r="I182" s="1743"/>
      <c r="J182" s="1743"/>
      <c r="K182" s="1743"/>
      <c r="L182" s="1743"/>
      <c r="M182" s="1743"/>
      <c r="N182" s="1743"/>
      <c r="O182" s="1743"/>
      <c r="P182" s="1743"/>
      <c r="Q182" s="1743"/>
      <c r="R182" s="1743"/>
      <c r="S182" s="1743"/>
      <c r="T182" s="1743"/>
      <c r="U182" s="1743"/>
      <c r="V182" s="1743"/>
      <c r="W182" s="1743"/>
      <c r="X182" s="1743"/>
    </row>
    <row r="183" spans="3:24" s="1738" customFormat="1">
      <c r="E183" s="1743"/>
      <c r="F183" s="1743"/>
      <c r="I183" s="1743"/>
      <c r="J183" s="1743"/>
      <c r="K183" s="1743"/>
      <c r="L183" s="1743"/>
      <c r="M183" s="1743"/>
      <c r="N183" s="1743"/>
      <c r="O183" s="1743"/>
      <c r="P183" s="1743"/>
      <c r="Q183" s="1743"/>
      <c r="R183" s="1743"/>
      <c r="S183" s="1743"/>
      <c r="T183" s="1743"/>
      <c r="U183" s="1743"/>
      <c r="V183" s="1743"/>
      <c r="W183" s="1743"/>
      <c r="X183" s="1743"/>
    </row>
    <row r="184" spans="3:24" s="1738" customFormat="1">
      <c r="E184" s="1743"/>
      <c r="F184" s="1743"/>
      <c r="I184" s="1743"/>
      <c r="J184" s="1743"/>
      <c r="K184" s="1743"/>
      <c r="L184" s="1743"/>
      <c r="M184" s="1743"/>
      <c r="N184" s="1743"/>
      <c r="O184" s="1743"/>
      <c r="P184" s="1743"/>
      <c r="Q184" s="1743"/>
      <c r="R184" s="1743"/>
      <c r="S184" s="1743"/>
      <c r="T184" s="1743"/>
      <c r="U184" s="1743"/>
      <c r="V184" s="1743"/>
      <c r="W184" s="1743"/>
      <c r="X184" s="1743"/>
    </row>
    <row r="185" spans="3:24" s="1738" customFormat="1">
      <c r="E185" s="1743"/>
      <c r="F185" s="1743"/>
      <c r="I185" s="1743"/>
      <c r="J185" s="1743"/>
      <c r="K185" s="1743"/>
      <c r="L185" s="1743"/>
      <c r="M185" s="1743"/>
      <c r="N185" s="1743"/>
      <c r="O185" s="1743"/>
      <c r="P185" s="1743"/>
      <c r="Q185" s="1743"/>
      <c r="R185" s="1743"/>
      <c r="S185" s="1743"/>
      <c r="T185" s="1743"/>
      <c r="U185" s="1743"/>
      <c r="V185" s="1743"/>
      <c r="W185" s="1743"/>
      <c r="X185" s="1743"/>
    </row>
    <row r="186" spans="3:24" s="1738" customFormat="1">
      <c r="E186" s="1743"/>
      <c r="F186" s="1743"/>
      <c r="I186" s="1743"/>
      <c r="J186" s="1743"/>
      <c r="K186" s="1743"/>
      <c r="L186" s="1743"/>
      <c r="M186" s="1743"/>
      <c r="N186" s="1743"/>
      <c r="O186" s="1743"/>
      <c r="P186" s="1743"/>
      <c r="Q186" s="1743"/>
      <c r="R186" s="1743"/>
      <c r="S186" s="1743"/>
      <c r="T186" s="1743"/>
      <c r="U186" s="1743"/>
      <c r="V186" s="1743"/>
      <c r="W186" s="1743"/>
      <c r="X186" s="1743"/>
    </row>
    <row r="187" spans="3:24" s="1738" customFormat="1">
      <c r="E187" s="1743"/>
      <c r="F187" s="1743"/>
      <c r="I187" s="1743"/>
      <c r="J187" s="1743"/>
      <c r="K187" s="1743"/>
      <c r="L187" s="1743"/>
      <c r="M187" s="1743"/>
      <c r="N187" s="1743"/>
      <c r="O187" s="1743"/>
      <c r="P187" s="1743"/>
      <c r="Q187" s="1743"/>
      <c r="R187" s="1743"/>
      <c r="S187" s="1743"/>
      <c r="T187" s="1743"/>
      <c r="U187" s="1743"/>
      <c r="V187" s="1743"/>
      <c r="W187" s="1743"/>
      <c r="X187" s="1743"/>
    </row>
    <row r="188" spans="3:24" s="1738" customFormat="1">
      <c r="E188" s="1743"/>
      <c r="F188" s="1743"/>
      <c r="I188" s="1743"/>
      <c r="J188" s="1743"/>
      <c r="K188" s="1743"/>
      <c r="L188" s="1743"/>
      <c r="M188" s="1743"/>
      <c r="N188" s="1743"/>
      <c r="O188" s="1743"/>
      <c r="P188" s="1743"/>
      <c r="Q188" s="1743"/>
      <c r="R188" s="1743"/>
      <c r="S188" s="1743"/>
      <c r="T188" s="1743"/>
      <c r="U188" s="1743"/>
      <c r="V188" s="1743"/>
      <c r="W188" s="1743"/>
      <c r="X188" s="1743"/>
    </row>
    <row r="189" spans="3:24" s="1738" customFormat="1">
      <c r="E189" s="1743"/>
      <c r="F189" s="1743"/>
      <c r="I189" s="1743"/>
      <c r="J189" s="1743"/>
      <c r="K189" s="1743"/>
      <c r="L189" s="1743"/>
      <c r="M189" s="1743"/>
      <c r="N189" s="1743"/>
      <c r="O189" s="1743"/>
      <c r="P189" s="1743"/>
      <c r="Q189" s="1743"/>
      <c r="R189" s="1743"/>
      <c r="S189" s="1743"/>
      <c r="T189" s="1743"/>
      <c r="U189" s="1743"/>
      <c r="V189" s="1743"/>
      <c r="W189" s="1743"/>
      <c r="X189" s="1743"/>
    </row>
    <row r="190" spans="3:24" s="1738" customFormat="1">
      <c r="E190" s="1743"/>
      <c r="F190" s="1743"/>
      <c r="I190" s="1743"/>
      <c r="J190" s="1743"/>
      <c r="K190" s="1743"/>
      <c r="L190" s="1743"/>
      <c r="M190" s="1743"/>
      <c r="N190" s="1743"/>
      <c r="O190" s="1743"/>
      <c r="P190" s="1743"/>
      <c r="Q190" s="1743"/>
      <c r="R190" s="1743"/>
      <c r="S190" s="1743"/>
      <c r="T190" s="1743"/>
      <c r="U190" s="1743"/>
      <c r="V190" s="1743"/>
      <c r="W190" s="1743"/>
      <c r="X190" s="1743"/>
    </row>
    <row r="191" spans="3:24" s="1738" customFormat="1" ht="15.6">
      <c r="C191" s="2588" t="str">
        <f>B34</f>
        <v>6.2. Energy consumption (electricity, fuel,…)</v>
      </c>
      <c r="D191" s="2239"/>
      <c r="E191" s="2239"/>
      <c r="F191" s="2239"/>
      <c r="G191" s="2239"/>
      <c r="H191" s="2239"/>
      <c r="I191" s="2239"/>
      <c r="J191" s="2239"/>
      <c r="K191" s="2239"/>
      <c r="L191" s="2239"/>
      <c r="M191" s="2239"/>
      <c r="N191" s="2239"/>
      <c r="O191" s="2239"/>
      <c r="P191" s="2239"/>
      <c r="Q191" s="2239"/>
      <c r="R191" s="2239"/>
      <c r="S191" s="2239"/>
      <c r="T191" s="2239"/>
      <c r="U191" s="2239"/>
      <c r="V191" s="2239"/>
      <c r="W191" s="2239"/>
      <c r="X191" s="2239"/>
    </row>
    <row r="192" spans="3:24" s="1738" customFormat="1">
      <c r="E192" s="1743"/>
      <c r="F192" s="1743"/>
      <c r="I192" s="1743"/>
      <c r="J192" s="1743"/>
      <c r="K192" s="1743"/>
      <c r="L192" s="1743"/>
      <c r="M192" s="1743"/>
      <c r="N192" s="1743"/>
      <c r="O192" s="1743"/>
      <c r="P192" s="1743"/>
      <c r="Q192" s="1743"/>
      <c r="R192" s="1743"/>
      <c r="S192" s="1743"/>
      <c r="T192" s="1743"/>
      <c r="U192" s="1743"/>
      <c r="V192" s="1743"/>
      <c r="W192" s="1743"/>
      <c r="X192" s="1743"/>
    </row>
    <row r="193" spans="3:24" s="1738" customFormat="1">
      <c r="C193" s="2193"/>
      <c r="D193" s="2193"/>
      <c r="E193" s="2194"/>
      <c r="F193" s="2193"/>
      <c r="G193" s="2193"/>
      <c r="H193" s="2193"/>
      <c r="I193" s="2193"/>
      <c r="J193" s="2193"/>
      <c r="K193" s="2193"/>
      <c r="L193" s="2193"/>
      <c r="M193" s="2193"/>
      <c r="N193" s="2193"/>
      <c r="O193" s="2193"/>
      <c r="P193" s="2193"/>
      <c r="Q193" s="2193"/>
      <c r="R193" s="2193"/>
      <c r="S193" s="2193"/>
      <c r="T193" s="2193"/>
      <c r="U193" s="2193"/>
      <c r="V193" s="2193"/>
      <c r="W193" s="2193"/>
      <c r="X193" s="2193"/>
    </row>
    <row r="194" spans="3:24" s="1738" customFormat="1">
      <c r="C194" s="2193"/>
      <c r="D194" s="2193"/>
      <c r="E194" s="2193"/>
      <c r="F194" s="2193"/>
      <c r="G194" s="2193"/>
      <c r="H194" s="2193"/>
      <c r="I194" s="2193"/>
      <c r="J194" s="2193"/>
      <c r="K194" s="2193"/>
      <c r="L194" s="2193"/>
      <c r="M194" s="2193"/>
      <c r="N194" s="2193"/>
      <c r="O194" s="2193"/>
      <c r="P194" s="2193"/>
      <c r="Q194" s="2193"/>
      <c r="R194" s="2193"/>
      <c r="S194" s="2193"/>
      <c r="T194" s="2193"/>
      <c r="U194" s="2193"/>
      <c r="V194" s="2193"/>
      <c r="W194" s="2193"/>
      <c r="X194" s="2193"/>
    </row>
    <row r="195" spans="3:24" s="1738" customFormat="1">
      <c r="C195" s="2193"/>
      <c r="D195" s="2193"/>
      <c r="E195" s="2193"/>
      <c r="F195" s="2193"/>
      <c r="G195" s="2193"/>
      <c r="H195" s="2193"/>
      <c r="I195" s="2193"/>
      <c r="J195" s="2193"/>
      <c r="K195" s="2193"/>
      <c r="L195" s="2193"/>
      <c r="M195" s="2193"/>
      <c r="N195" s="2193"/>
      <c r="O195" s="2193"/>
      <c r="P195" s="2193"/>
      <c r="Q195" s="2193"/>
      <c r="R195" s="2193"/>
      <c r="S195" s="2193"/>
      <c r="T195" s="2193"/>
      <c r="U195" s="2193"/>
      <c r="V195" s="2193"/>
      <c r="W195" s="2193"/>
      <c r="X195" s="2193"/>
    </row>
    <row r="196" spans="3:24" s="1738" customFormat="1">
      <c r="C196" s="2198" t="str">
        <f>C127</f>
        <v>Use this part only if you want to refine the analysis with Tier 2 coefficients.</v>
      </c>
      <c r="D196" s="2177"/>
      <c r="E196" s="2168"/>
      <c r="F196" s="2178"/>
      <c r="G196" s="2168"/>
      <c r="H196" s="2168"/>
      <c r="I196" s="2168"/>
      <c r="J196" s="2193"/>
      <c r="K196" s="2193"/>
      <c r="L196" s="2193"/>
      <c r="M196" s="2193"/>
      <c r="N196" s="2193"/>
      <c r="O196" s="2193"/>
      <c r="P196" s="2193"/>
      <c r="Q196" s="2193"/>
      <c r="R196" s="2193"/>
      <c r="S196" s="2193"/>
      <c r="T196" s="2193"/>
      <c r="U196" s="2193"/>
      <c r="V196" s="2193"/>
      <c r="W196" s="2193"/>
      <c r="X196" s="2193"/>
    </row>
    <row r="197" spans="3:24" s="1738" customFormat="1">
      <c r="C197" s="2866" t="str">
        <f>'2.LUC'!$B$93</f>
        <v>(default values are provided for your information only, while EX-ACT will use Tier 2 values automatically wherever specified)</v>
      </c>
      <c r="D197" s="2177"/>
      <c r="E197" s="2168"/>
      <c r="F197" s="2168"/>
      <c r="G197" s="2168"/>
      <c r="H197" s="2168"/>
      <c r="I197" s="2168"/>
      <c r="J197" s="2193"/>
      <c r="K197" s="2193"/>
      <c r="L197" s="2193"/>
      <c r="M197" s="2193"/>
      <c r="N197" s="2193"/>
      <c r="O197" s="2193"/>
      <c r="P197" s="2193"/>
      <c r="Q197" s="2193"/>
      <c r="R197" s="2193"/>
      <c r="S197" s="2193"/>
      <c r="T197" s="2193"/>
      <c r="U197" s="2193"/>
      <c r="V197" s="2193"/>
      <c r="W197" s="2193"/>
      <c r="X197" s="2193"/>
    </row>
    <row r="198" spans="3:24" s="1738" customFormat="1">
      <c r="C198" s="2964"/>
      <c r="E198" s="1743"/>
      <c r="F198" s="1743"/>
      <c r="I198" s="1743"/>
      <c r="J198" s="1743"/>
      <c r="K198" s="1743"/>
      <c r="L198" s="1743"/>
      <c r="M198" s="1743"/>
      <c r="N198" s="1743"/>
      <c r="O198" s="1743"/>
      <c r="P198" s="1743"/>
      <c r="Q198" s="1743"/>
      <c r="R198" s="1743"/>
      <c r="S198" s="1743"/>
      <c r="T198" s="1743"/>
      <c r="U198" s="1743"/>
      <c r="V198" s="1743"/>
      <c r="W198" s="1743"/>
      <c r="X198" s="1743"/>
    </row>
    <row r="199" spans="3:24" s="1738" customFormat="1">
      <c r="C199" s="2970"/>
      <c r="D199" s="2193"/>
      <c r="E199" s="2193"/>
      <c r="F199" s="2193"/>
      <c r="G199" s="2193"/>
      <c r="H199" s="2193"/>
      <c r="I199" s="2401"/>
      <c r="J199" s="2401"/>
      <c r="K199" s="2401"/>
      <c r="L199" s="2401"/>
      <c r="M199" s="2401"/>
      <c r="N199" s="2401"/>
      <c r="O199" s="2401"/>
      <c r="P199" s="2401"/>
      <c r="Q199" s="2401"/>
      <c r="R199" s="2401"/>
      <c r="S199" s="2401"/>
      <c r="T199" s="2401"/>
      <c r="U199" s="2401"/>
      <c r="V199" s="2401"/>
      <c r="W199" s="2401"/>
      <c r="X199" s="2401"/>
    </row>
    <row r="200" spans="3:24" s="1738" customFormat="1">
      <c r="C200" s="2867" t="str">
        <f>B39</f>
        <v>Electricity (MWh per year)</v>
      </c>
      <c r="D200" s="2193"/>
      <c r="E200" s="2401"/>
      <c r="F200" s="2401"/>
      <c r="G200" s="2193"/>
      <c r="H200" s="2193"/>
      <c r="I200" s="2446" t="str">
        <f>H132</f>
        <v>Unit</v>
      </c>
      <c r="J200" s="2193"/>
      <c r="K200" s="2446" t="str">
        <f>W132</f>
        <v>Default</v>
      </c>
      <c r="L200" s="2193"/>
      <c r="M200" s="2752" t="str">
        <f>X132</f>
        <v>Tier 2</v>
      </c>
      <c r="N200" s="2401"/>
      <c r="O200" s="2401"/>
      <c r="P200" s="2401"/>
      <c r="Q200" s="2401"/>
      <c r="R200" s="2401"/>
      <c r="S200" s="2401"/>
      <c r="T200" s="2401"/>
      <c r="U200" s="2401"/>
      <c r="V200" s="2401"/>
      <c r="W200" s="2401"/>
      <c r="X200" s="2401"/>
    </row>
    <row r="201" spans="3:24" s="1738" customFormat="1">
      <c r="C201" s="2354"/>
      <c r="D201" s="2444" t="str">
        <f>HLOOKUP(select,translations!$A$251:$H$340,66,)</f>
        <v>Emission factor for the selected country</v>
      </c>
      <c r="E201" s="2401"/>
      <c r="F201" s="2401"/>
      <c r="G201" s="2193"/>
      <c r="H201" s="2193"/>
      <c r="I201" s="2446" t="str">
        <f>HLOOKUP(select,translations!$A$251:$H$340,68,)</f>
        <v>tCO2/MWh/yr</v>
      </c>
      <c r="J201" s="2193"/>
      <c r="K201" s="2445">
        <f>'Other investments'!E11</f>
        <v>0</v>
      </c>
      <c r="L201" s="2193"/>
      <c r="M201" s="2399"/>
      <c r="N201" s="2401"/>
      <c r="O201" s="2401"/>
      <c r="P201" s="2401"/>
      <c r="Q201" s="2401"/>
      <c r="R201" s="2401"/>
      <c r="S201" s="2401"/>
      <c r="T201" s="2401"/>
      <c r="U201" s="2401"/>
      <c r="V201" s="2401"/>
      <c r="W201" s="2401"/>
      <c r="X201" s="2401"/>
    </row>
    <row r="202" spans="3:24" s="1738" customFormat="1">
      <c r="C202" s="2354"/>
      <c r="D202" s="2444" t="str">
        <f>HLOOKUP(select,translations!$A$251:$H$340,67,)</f>
        <v>Losses of electricity during transportation</v>
      </c>
      <c r="E202" s="2401"/>
      <c r="F202" s="2401"/>
      <c r="G202" s="2193"/>
      <c r="H202" s="2193"/>
      <c r="I202" s="2446" t="str">
        <f>HLOOKUP(select,translations!$A$251:$H$340,69,)</f>
        <v>%</v>
      </c>
      <c r="J202" s="2193"/>
      <c r="K202" s="2401">
        <v>10</v>
      </c>
      <c r="L202" s="2401"/>
      <c r="M202" s="2373"/>
      <c r="N202" s="2401"/>
      <c r="O202" s="2401"/>
      <c r="P202" s="2401"/>
      <c r="Q202" s="2401"/>
      <c r="R202" s="2401"/>
      <c r="S202" s="2401"/>
      <c r="T202" s="2401"/>
      <c r="U202" s="2401"/>
      <c r="V202" s="2401"/>
      <c r="W202" s="2401"/>
      <c r="X202" s="2401"/>
    </row>
    <row r="203" spans="3:24" s="1738" customFormat="1">
      <c r="C203" s="2354"/>
      <c r="D203" s="2193"/>
      <c r="E203" s="2401"/>
      <c r="F203" s="2401"/>
      <c r="G203" s="2193"/>
      <c r="H203" s="2193"/>
      <c r="I203" s="2401"/>
      <c r="J203" s="2401"/>
      <c r="K203" s="2401"/>
      <c r="L203" s="2401"/>
      <c r="M203" s="2401"/>
      <c r="N203" s="2401"/>
      <c r="O203" s="2401"/>
      <c r="P203" s="2401"/>
      <c r="Q203" s="2401"/>
      <c r="R203" s="2401"/>
      <c r="S203" s="2401"/>
      <c r="T203" s="2401"/>
      <c r="U203" s="2401"/>
      <c r="V203" s="2401"/>
      <c r="W203" s="2401"/>
      <c r="X203" s="2401"/>
    </row>
    <row r="204" spans="3:24" s="1738" customFormat="1">
      <c r="C204" s="2413" t="str">
        <f>B42</f>
        <v>Liquide or gaseous (in m3 per year)</v>
      </c>
      <c r="D204" s="2394"/>
      <c r="E204" s="2401"/>
      <c r="F204" s="2401"/>
      <c r="G204" s="2193"/>
      <c r="H204" s="2193"/>
      <c r="I204" s="2401"/>
      <c r="J204" s="2401"/>
      <c r="K204" s="2401"/>
      <c r="L204" s="2401"/>
      <c r="M204" s="2401"/>
      <c r="N204" s="2401"/>
      <c r="O204" s="2401"/>
      <c r="P204" s="2401"/>
      <c r="Q204" s="2401"/>
      <c r="R204" s="2401"/>
      <c r="S204" s="2401"/>
      <c r="T204" s="2401"/>
      <c r="U204" s="2401"/>
      <c r="V204" s="2401"/>
      <c r="W204" s="2401"/>
      <c r="X204" s="2401"/>
    </row>
    <row r="205" spans="3:24" s="1738" customFormat="1">
      <c r="C205" s="2414"/>
      <c r="D205" s="2415" t="str">
        <f>C43</f>
        <v>Gasoil/Diesel</v>
      </c>
      <c r="E205" s="2401"/>
      <c r="F205" s="2401"/>
      <c r="G205" s="2193"/>
      <c r="H205" s="2193"/>
      <c r="I205" s="2559" t="str">
        <f>HLOOKUP(select,translations!$A$251:$H$340,70,)</f>
        <v>t CO2 /m3</v>
      </c>
      <c r="J205" s="2401"/>
      <c r="K205" s="2404">
        <f>'Other investments'!C37</f>
        <v>2.6328230594490001</v>
      </c>
      <c r="L205" s="2401"/>
      <c r="M205" s="2399"/>
      <c r="N205" s="2401"/>
      <c r="O205" s="2401"/>
      <c r="P205" s="2401"/>
      <c r="Q205" s="2401"/>
      <c r="R205" s="2401"/>
      <c r="S205" s="2401"/>
      <c r="T205" s="2401"/>
      <c r="U205" s="2401"/>
      <c r="V205" s="2401"/>
      <c r="W205" s="2401"/>
      <c r="X205" s="2401"/>
    </row>
    <row r="206" spans="3:24" s="1738" customFormat="1">
      <c r="C206" s="2414"/>
      <c r="D206" s="2415" t="str">
        <f t="shared" ref="D206:D210" si="4">C44</f>
        <v>Gasoline</v>
      </c>
      <c r="E206" s="2401"/>
      <c r="F206" s="2401"/>
      <c r="G206" s="2193"/>
      <c r="H206" s="2193"/>
      <c r="I206" s="2559" t="str">
        <f>HLOOKUP(select,translations!$A$251:$H$340,70,)</f>
        <v>t CO2 /m3</v>
      </c>
      <c r="J206" s="2401"/>
      <c r="K206" s="2404">
        <f>'Other investments'!C38</f>
        <v>2.8513343553333326</v>
      </c>
      <c r="L206" s="2401"/>
      <c r="M206" s="2399"/>
      <c r="N206" s="2401"/>
      <c r="O206" s="2401"/>
      <c r="P206" s="2401"/>
      <c r="Q206" s="2401"/>
      <c r="R206" s="2401"/>
      <c r="S206" s="2401"/>
      <c r="T206" s="2401"/>
      <c r="U206" s="2401"/>
      <c r="V206" s="2401"/>
      <c r="W206" s="2401"/>
      <c r="X206" s="2401"/>
    </row>
    <row r="207" spans="3:24" s="1738" customFormat="1">
      <c r="C207" s="2414"/>
      <c r="D207" s="2415" t="str">
        <f t="shared" si="4"/>
        <v>Gas (LPG/ natural)</v>
      </c>
      <c r="E207" s="2401"/>
      <c r="F207" s="2401"/>
      <c r="G207" s="2193"/>
      <c r="H207" s="2193"/>
      <c r="I207" s="2559" t="str">
        <f>HLOOKUP(select,translations!$A$251:$H$340,70,)</f>
        <v>t CO2 /m3</v>
      </c>
      <c r="J207" s="2401"/>
      <c r="K207" s="2404">
        <f>'Other investments'!C39</f>
        <v>1.6884716750000001E-3</v>
      </c>
      <c r="L207" s="2401"/>
      <c r="M207" s="2399"/>
      <c r="N207" s="2401"/>
      <c r="O207" s="2401"/>
      <c r="P207" s="2401"/>
      <c r="Q207" s="2401"/>
      <c r="R207" s="2401"/>
      <c r="S207" s="2401"/>
      <c r="T207" s="2401"/>
      <c r="U207" s="2401"/>
      <c r="V207" s="2401"/>
      <c r="W207" s="2401"/>
      <c r="X207" s="2401"/>
    </row>
    <row r="208" spans="3:24" s="1738" customFormat="1">
      <c r="C208" s="2414"/>
      <c r="D208" s="2415" t="str">
        <f t="shared" si="4"/>
        <v>Butane</v>
      </c>
      <c r="E208" s="2401"/>
      <c r="F208" s="2401"/>
      <c r="G208" s="2193"/>
      <c r="H208" s="2193"/>
      <c r="I208" s="2559" t="str">
        <f>HLOOKUP(select,translations!$A$251:$H$340,70,)</f>
        <v>t CO2 /m3</v>
      </c>
      <c r="J208" s="2401"/>
      <c r="K208" s="2404">
        <f>'Other investments'!C40</f>
        <v>8.0000000000000002E-3</v>
      </c>
      <c r="L208" s="2401"/>
      <c r="M208" s="2399"/>
      <c r="N208" s="2401"/>
      <c r="O208" s="2401"/>
      <c r="P208" s="2401"/>
      <c r="Q208" s="2401"/>
      <c r="R208" s="2401"/>
      <c r="S208" s="2401"/>
      <c r="T208" s="2401"/>
      <c r="U208" s="2401"/>
      <c r="V208" s="2401"/>
      <c r="W208" s="2401"/>
      <c r="X208" s="2401"/>
    </row>
    <row r="209" spans="3:24" s="1738" customFormat="1">
      <c r="C209" s="2414"/>
      <c r="D209" s="2415" t="str">
        <f t="shared" si="4"/>
        <v>Propane</v>
      </c>
      <c r="E209" s="2401"/>
      <c r="F209" s="2401"/>
      <c r="G209" s="2193"/>
      <c r="H209" s="2193"/>
      <c r="I209" s="2559" t="str">
        <f>HLOOKUP(select,translations!$A$251:$H$340,70,)</f>
        <v>t CO2 /m3</v>
      </c>
      <c r="J209" s="2401"/>
      <c r="K209" s="2404">
        <f>'Other investments'!C41</f>
        <v>6.0000000000000001E-3</v>
      </c>
      <c r="L209" s="2401"/>
      <c r="M209" s="2399"/>
      <c r="N209" s="2401"/>
      <c r="O209" s="2401"/>
      <c r="P209" s="2401"/>
      <c r="Q209" s="2401"/>
      <c r="R209" s="2401"/>
      <c r="S209" s="2401"/>
      <c r="T209" s="2401"/>
      <c r="U209" s="2401"/>
      <c r="V209" s="2401"/>
      <c r="W209" s="2401"/>
      <c r="X209" s="2401"/>
    </row>
    <row r="210" spans="3:24" s="1738" customFormat="1">
      <c r="C210" s="2414"/>
      <c r="D210" s="2415" t="str">
        <f t="shared" si="4"/>
        <v>Ethanol</v>
      </c>
      <c r="E210" s="2401"/>
      <c r="F210" s="2401"/>
      <c r="G210" s="2193"/>
      <c r="H210" s="2193"/>
      <c r="I210" s="2559" t="str">
        <f>HLOOKUP(select,translations!$A$251:$H$340,70,)</f>
        <v>t CO2 /m3</v>
      </c>
      <c r="J210" s="2401"/>
      <c r="K210" s="2404">
        <v>0.51700000000000002</v>
      </c>
      <c r="L210" s="2401"/>
      <c r="M210" s="2399"/>
      <c r="N210" s="2401"/>
      <c r="O210" s="2401"/>
      <c r="P210" s="2401"/>
      <c r="Q210" s="2401"/>
      <c r="R210" s="2401"/>
      <c r="S210" s="2401"/>
      <c r="T210" s="2401"/>
      <c r="U210" s="2401"/>
      <c r="V210" s="2401"/>
      <c r="W210" s="2401"/>
      <c r="X210" s="2401"/>
    </row>
    <row r="211" spans="3:24" s="1738" customFormat="1">
      <c r="C211" s="2414"/>
      <c r="D211" s="3272" t="str">
        <f>HLOOKUP(select,translations!$A$251:$H$340,71,)</f>
        <v>Please precise the name</v>
      </c>
      <c r="E211" s="3273"/>
      <c r="F211" s="3273"/>
      <c r="G211" s="2193"/>
      <c r="H211" s="2193"/>
      <c r="I211" s="3272" t="str">
        <f>HLOOKUP(select,translations!$A$251:$H$340,72,)</f>
        <v>Unit used</v>
      </c>
      <c r="J211" s="3273"/>
      <c r="K211" s="3273"/>
      <c r="L211" s="2617"/>
      <c r="M211" s="2619">
        <v>5</v>
      </c>
      <c r="N211" s="2617"/>
      <c r="O211" s="2617"/>
      <c r="P211" s="2617"/>
      <c r="Q211" s="2617"/>
      <c r="R211" s="2617"/>
      <c r="S211" s="2617"/>
      <c r="T211" s="2617"/>
      <c r="U211" s="2617"/>
      <c r="V211" s="2617"/>
      <c r="W211" s="2617"/>
      <c r="X211" s="2617"/>
    </row>
    <row r="212" spans="3:24" s="1738" customFormat="1">
      <c r="C212" s="2413" t="str">
        <f>B50</f>
        <v>Solid (in tonnes of dry matter per year)</v>
      </c>
      <c r="D212" s="2415"/>
      <c r="E212" s="2401"/>
      <c r="F212" s="2401"/>
      <c r="G212" s="2193"/>
      <c r="H212" s="2193"/>
      <c r="I212" s="2452"/>
      <c r="J212" s="2401"/>
      <c r="K212" s="2401"/>
      <c r="L212" s="2401"/>
      <c r="M212" s="2401"/>
      <c r="N212" s="2401"/>
      <c r="O212" s="2401"/>
      <c r="P212" s="2401"/>
      <c r="Q212" s="2401"/>
      <c r="R212" s="2401"/>
      <c r="S212" s="2401"/>
      <c r="T212" s="2401"/>
      <c r="U212" s="2401"/>
      <c r="V212" s="2401"/>
      <c r="W212" s="2401"/>
      <c r="X212" s="2401"/>
    </row>
    <row r="213" spans="3:24" s="1738" customFormat="1">
      <c r="C213" s="2414"/>
      <c r="D213" s="2415" t="str">
        <f>C51</f>
        <v>Wood</v>
      </c>
      <c r="E213" s="2401"/>
      <c r="F213" s="2401"/>
      <c r="G213" s="2193"/>
      <c r="H213" s="2193"/>
      <c r="I213" s="2559" t="str">
        <f>HLOOKUP(select,translations!$A$251:$H$340,73,)</f>
        <v>t CO2/t dry matter</v>
      </c>
      <c r="J213" s="2401"/>
      <c r="K213" s="2404">
        <f>'Other investments'!C45</f>
        <v>1.0160000000000001E-2</v>
      </c>
      <c r="L213" s="2401"/>
      <c r="M213" s="2399"/>
      <c r="N213" s="2401"/>
      <c r="O213" s="2401"/>
      <c r="P213" s="2401"/>
      <c r="Q213" s="2401"/>
      <c r="R213" s="2401"/>
      <c r="S213" s="2401"/>
      <c r="T213" s="2401"/>
      <c r="U213" s="2401"/>
      <c r="V213" s="2401"/>
      <c r="W213" s="2401"/>
      <c r="X213" s="2401"/>
    </row>
    <row r="214" spans="3:24" s="1738" customFormat="1">
      <c r="C214" s="2414"/>
      <c r="D214" s="2415" t="str">
        <f>C52</f>
        <v>Peat</v>
      </c>
      <c r="E214" s="2401"/>
      <c r="F214" s="2401"/>
      <c r="G214" s="2193"/>
      <c r="H214" s="2193"/>
      <c r="I214" s="2559" t="str">
        <f>HLOOKUP(select,translations!$A$251:$H$340,73,)</f>
        <v>t CO2/t dry matter</v>
      </c>
      <c r="J214" s="2401"/>
      <c r="K214" s="2445">
        <f>'Other investments'!C46</f>
        <v>3.2366456470588234E-3</v>
      </c>
      <c r="L214" s="2401"/>
      <c r="M214" s="2399"/>
      <c r="N214" s="2401"/>
      <c r="O214" s="2401"/>
      <c r="P214" s="2401"/>
      <c r="Q214" s="2401"/>
      <c r="R214" s="2401"/>
      <c r="S214" s="2401"/>
      <c r="T214" s="2401"/>
      <c r="U214" s="2401"/>
      <c r="V214" s="2401"/>
      <c r="W214" s="2401"/>
      <c r="X214" s="2401"/>
    </row>
    <row r="215" spans="3:24" s="1738" customFormat="1">
      <c r="E215" s="1743"/>
      <c r="F215" s="1743"/>
      <c r="I215" s="1743"/>
      <c r="J215" s="1743"/>
      <c r="K215" s="1743"/>
      <c r="L215" s="1743"/>
      <c r="M215" s="1743"/>
      <c r="N215" s="1743"/>
      <c r="O215" s="1743"/>
      <c r="P215" s="1743"/>
      <c r="Q215" s="1743"/>
      <c r="R215" s="1743"/>
      <c r="S215" s="1743"/>
      <c r="T215" s="1743"/>
      <c r="U215" s="1743"/>
      <c r="V215" s="1743"/>
      <c r="W215" s="1743"/>
      <c r="X215" s="1743"/>
    </row>
    <row r="216" spans="3:24" s="1738" customFormat="1">
      <c r="E216" s="1743"/>
      <c r="F216" s="1743"/>
      <c r="I216" s="1743"/>
      <c r="J216" s="1743"/>
      <c r="K216" s="1743"/>
      <c r="L216" s="1743"/>
      <c r="M216" s="1743"/>
      <c r="N216" s="1743"/>
      <c r="O216" s="1743"/>
      <c r="P216" s="1743"/>
      <c r="Q216" s="1743"/>
      <c r="R216" s="1743"/>
      <c r="S216" s="1743"/>
      <c r="T216" s="1743"/>
      <c r="U216" s="1743"/>
      <c r="V216" s="1743"/>
      <c r="W216" s="1743"/>
      <c r="X216" s="1743"/>
    </row>
    <row r="217" spans="3:24" s="1738" customFormat="1">
      <c r="E217" s="1743"/>
      <c r="F217" s="1743"/>
      <c r="I217" s="1743"/>
      <c r="J217" s="1743"/>
      <c r="K217" s="1743"/>
      <c r="L217" s="1743"/>
      <c r="M217" s="1743"/>
      <c r="N217" s="1743"/>
      <c r="O217" s="1743"/>
      <c r="P217" s="1743"/>
      <c r="Q217" s="1743"/>
      <c r="R217" s="1743"/>
      <c r="S217" s="1743"/>
      <c r="T217" s="1743"/>
      <c r="U217" s="1743"/>
      <c r="V217" s="1743"/>
      <c r="W217" s="1743"/>
      <c r="X217" s="1743"/>
    </row>
    <row r="218" spans="3:24" s="1738" customFormat="1">
      <c r="E218" s="1743"/>
      <c r="F218" s="1743"/>
      <c r="I218" s="1743"/>
      <c r="J218" s="1743"/>
      <c r="K218" s="1743"/>
      <c r="L218" s="1743"/>
      <c r="M218" s="1743"/>
      <c r="N218" s="1743"/>
      <c r="O218" s="1743"/>
      <c r="P218" s="1743"/>
      <c r="Q218" s="1743"/>
      <c r="R218" s="1743"/>
      <c r="S218" s="1743"/>
      <c r="T218" s="1743"/>
      <c r="U218" s="1743"/>
      <c r="V218" s="1743"/>
      <c r="W218" s="1743"/>
      <c r="X218" s="1743"/>
    </row>
    <row r="219" spans="3:24" s="1738" customFormat="1">
      <c r="E219" s="1743"/>
      <c r="F219" s="1743"/>
      <c r="I219" s="1743"/>
      <c r="J219" s="1743"/>
      <c r="K219" s="1743"/>
      <c r="L219" s="1743"/>
      <c r="M219" s="1743"/>
      <c r="N219" s="1743"/>
      <c r="O219" s="1743"/>
      <c r="P219" s="1743"/>
      <c r="Q219" s="1743"/>
      <c r="R219" s="1743"/>
      <c r="S219" s="1743"/>
      <c r="T219" s="1743"/>
      <c r="U219" s="1743"/>
      <c r="V219" s="1743"/>
      <c r="W219" s="1743"/>
      <c r="X219" s="1743"/>
    </row>
    <row r="220" spans="3:24" s="1738" customFormat="1">
      <c r="E220" s="1743"/>
      <c r="F220" s="1743"/>
      <c r="I220" s="1743"/>
      <c r="J220" s="1743"/>
      <c r="K220" s="1743"/>
      <c r="L220" s="1743"/>
      <c r="M220" s="1743"/>
      <c r="N220" s="1743"/>
      <c r="O220" s="1743"/>
      <c r="P220" s="1743"/>
      <c r="Q220" s="1743"/>
      <c r="R220" s="1743"/>
      <c r="S220" s="1743"/>
      <c r="T220" s="1743"/>
      <c r="U220" s="1743"/>
      <c r="V220" s="1743"/>
      <c r="W220" s="1743"/>
      <c r="X220" s="1743"/>
    </row>
    <row r="221" spans="3:24" s="1738" customFormat="1">
      <c r="E221" s="1743"/>
      <c r="F221" s="1743"/>
      <c r="I221" s="1743"/>
      <c r="J221" s="1743"/>
      <c r="K221" s="1743"/>
      <c r="L221" s="1743"/>
      <c r="M221" s="1743"/>
      <c r="N221" s="1743"/>
      <c r="O221" s="1743"/>
      <c r="P221" s="1743"/>
      <c r="Q221" s="1743"/>
      <c r="R221" s="1743"/>
      <c r="S221" s="1743"/>
      <c r="T221" s="1743"/>
      <c r="U221" s="1743"/>
      <c r="V221" s="1743"/>
      <c r="W221" s="1743"/>
      <c r="X221" s="1743"/>
    </row>
    <row r="222" spans="3:24" s="1738" customFormat="1">
      <c r="E222" s="1743"/>
      <c r="F222" s="1743"/>
      <c r="I222" s="1743"/>
      <c r="J222" s="1743"/>
      <c r="K222" s="1743"/>
      <c r="L222" s="1743"/>
      <c r="M222" s="1743"/>
      <c r="N222" s="1743"/>
      <c r="O222" s="1743"/>
      <c r="P222" s="1743"/>
      <c r="Q222" s="1743"/>
      <c r="R222" s="1743"/>
      <c r="S222" s="1743"/>
      <c r="T222" s="1743"/>
      <c r="U222" s="1743"/>
      <c r="V222" s="1743"/>
      <c r="W222" s="1743"/>
      <c r="X222" s="1743"/>
    </row>
    <row r="223" spans="3:24" s="1738" customFormat="1">
      <c r="E223" s="1743"/>
      <c r="F223" s="1743"/>
      <c r="I223" s="1743"/>
      <c r="J223" s="1743"/>
      <c r="K223" s="1743"/>
      <c r="L223" s="1743"/>
      <c r="M223" s="1743"/>
      <c r="N223" s="1743"/>
      <c r="O223" s="1743"/>
      <c r="P223" s="1743"/>
      <c r="Q223" s="1743"/>
      <c r="R223" s="1743"/>
      <c r="S223" s="1743"/>
      <c r="T223" s="1743"/>
      <c r="U223" s="1743"/>
      <c r="V223" s="1743"/>
      <c r="W223" s="1743"/>
      <c r="X223" s="1743"/>
    </row>
    <row r="224" spans="3:24" s="1738" customFormat="1">
      <c r="E224" s="1743"/>
      <c r="F224" s="1743"/>
      <c r="I224" s="1743"/>
      <c r="J224" s="1743"/>
      <c r="K224" s="1743"/>
      <c r="L224" s="1743"/>
      <c r="M224" s="1743"/>
      <c r="N224" s="1743"/>
      <c r="O224" s="1743"/>
      <c r="P224" s="1743"/>
      <c r="Q224" s="1743"/>
      <c r="R224" s="1743"/>
      <c r="S224" s="1743"/>
      <c r="T224" s="1743"/>
      <c r="U224" s="1743"/>
      <c r="V224" s="1743"/>
      <c r="W224" s="1743"/>
      <c r="X224" s="1743"/>
    </row>
    <row r="225" spans="3:24" s="1738" customFormat="1">
      <c r="E225" s="1743"/>
      <c r="F225" s="1743"/>
      <c r="I225" s="1743"/>
      <c r="J225" s="1743"/>
      <c r="K225" s="1743"/>
      <c r="L225" s="1743"/>
      <c r="M225" s="1743"/>
      <c r="N225" s="1743"/>
      <c r="O225" s="1743"/>
      <c r="P225" s="1743"/>
      <c r="Q225" s="1743"/>
      <c r="R225" s="1743"/>
      <c r="S225" s="1743"/>
      <c r="T225" s="1743"/>
      <c r="U225" s="1743"/>
      <c r="V225" s="1743"/>
      <c r="W225" s="1743"/>
      <c r="X225" s="1743"/>
    </row>
    <row r="226" spans="3:24" s="1738" customFormat="1" ht="15.6">
      <c r="C226" s="2570" t="str">
        <f>B59</f>
        <v>6.3. Construction of new infrastructure (irrigation systems, buildings, roads)</v>
      </c>
      <c r="D226" s="2254"/>
      <c r="E226" s="2254"/>
      <c r="F226" s="2417"/>
      <c r="G226" s="2307"/>
      <c r="H226" s="2307"/>
      <c r="I226" s="2417"/>
      <c r="J226" s="2417"/>
      <c r="K226" s="2417"/>
      <c r="L226" s="2417"/>
      <c r="M226" s="2417"/>
      <c r="N226" s="2417"/>
      <c r="O226" s="2417"/>
      <c r="P226" s="2417"/>
      <c r="Q226" s="2417"/>
      <c r="R226" s="2417"/>
      <c r="S226" s="2417"/>
      <c r="T226" s="2417"/>
      <c r="U226" s="2417"/>
      <c r="V226" s="2417"/>
      <c r="W226" s="2417"/>
      <c r="X226" s="2417"/>
    </row>
    <row r="227" spans="3:24" s="1738" customFormat="1">
      <c r="C227" s="1753"/>
      <c r="D227" s="1748"/>
      <c r="E227" s="1748"/>
      <c r="F227" s="1743"/>
      <c r="I227" s="1743"/>
      <c r="J227" s="1743"/>
      <c r="K227" s="1743"/>
      <c r="L227" s="1743"/>
      <c r="M227" s="1743"/>
      <c r="N227" s="1743"/>
      <c r="O227" s="1743"/>
      <c r="P227" s="1743"/>
      <c r="Q227" s="1743"/>
      <c r="R227" s="1743"/>
      <c r="S227" s="1743"/>
      <c r="T227" s="1743"/>
      <c r="U227" s="1743"/>
      <c r="V227" s="1743"/>
      <c r="W227" s="1743"/>
      <c r="X227" s="1743"/>
    </row>
    <row r="228" spans="3:24" s="1738" customFormat="1">
      <c r="C228" s="2192"/>
      <c r="D228" s="2192"/>
      <c r="E228" s="2033"/>
      <c r="F228" s="2192"/>
      <c r="G228" s="2192"/>
      <c r="H228" s="2192"/>
      <c r="I228" s="2192"/>
      <c r="J228" s="2192"/>
      <c r="K228" s="2192"/>
      <c r="L228" s="2192"/>
      <c r="M228" s="2192"/>
      <c r="N228" s="2192"/>
      <c r="O228" s="2192"/>
      <c r="P228" s="2192"/>
      <c r="Q228" s="2192"/>
      <c r="R228" s="2192"/>
      <c r="S228" s="2192"/>
      <c r="T228" s="2192"/>
      <c r="U228" s="2192"/>
      <c r="V228" s="2192"/>
      <c r="W228" s="2192"/>
      <c r="X228" s="2192"/>
    </row>
    <row r="229" spans="3:24" s="1738" customFormat="1">
      <c r="C229" s="2192"/>
      <c r="D229" s="2192"/>
      <c r="E229" s="2192"/>
      <c r="F229" s="2192"/>
      <c r="G229" s="2192"/>
      <c r="H229" s="2192"/>
      <c r="I229" s="2192"/>
      <c r="J229" s="2192"/>
      <c r="K229" s="2192"/>
      <c r="L229" s="2192"/>
      <c r="M229" s="2192"/>
      <c r="N229" s="2192"/>
      <c r="O229" s="2192"/>
      <c r="P229" s="2192"/>
      <c r="Q229" s="2192"/>
      <c r="R229" s="2192"/>
      <c r="S229" s="2192"/>
      <c r="T229" s="2192"/>
      <c r="U229" s="2192"/>
      <c r="V229" s="2192"/>
      <c r="W229" s="2192"/>
      <c r="X229" s="2192"/>
    </row>
    <row r="230" spans="3:24" s="1738" customFormat="1">
      <c r="C230" s="2192"/>
      <c r="D230" s="2192"/>
      <c r="E230" s="2192"/>
      <c r="F230" s="2192"/>
      <c r="G230" s="2192"/>
      <c r="H230" s="2192"/>
      <c r="I230" s="2192"/>
      <c r="J230" s="2192"/>
      <c r="K230" s="2192"/>
      <c r="L230" s="2192"/>
      <c r="M230" s="2192"/>
      <c r="N230" s="2192"/>
      <c r="O230" s="2192"/>
      <c r="P230" s="2192"/>
      <c r="Q230" s="2192"/>
      <c r="R230" s="2192"/>
      <c r="S230" s="2192"/>
      <c r="T230" s="2192"/>
      <c r="U230" s="2192"/>
      <c r="V230" s="2192"/>
      <c r="W230" s="2192"/>
      <c r="X230" s="2192"/>
    </row>
    <row r="231" spans="3:24" s="1738" customFormat="1">
      <c r="C231" s="2278" t="str">
        <f>C196</f>
        <v>Use this part only if you want to refine the analysis with Tier 2 coefficients.</v>
      </c>
      <c r="D231" s="2279"/>
      <c r="E231" s="2260"/>
      <c r="F231" s="2270"/>
      <c r="G231" s="2260"/>
      <c r="H231" s="2260"/>
      <c r="I231" s="2260"/>
      <c r="J231" s="2192"/>
      <c r="K231" s="2192"/>
      <c r="L231" s="2192"/>
      <c r="M231" s="2192"/>
      <c r="N231" s="2192"/>
      <c r="O231" s="2192"/>
      <c r="P231" s="2192"/>
      <c r="Q231" s="2192"/>
      <c r="R231" s="2192"/>
      <c r="S231" s="2192"/>
      <c r="T231" s="2192"/>
      <c r="U231" s="2192"/>
      <c r="V231" s="2192"/>
      <c r="W231" s="2192"/>
      <c r="X231" s="2192"/>
    </row>
    <row r="232" spans="3:24" s="1738" customFormat="1">
      <c r="C232" s="2279" t="str">
        <f>C197</f>
        <v>(default values are provided for your information only, while EX-ACT will use Tier 2 values automatically wherever specified)</v>
      </c>
      <c r="D232" s="2279"/>
      <c r="E232" s="2260"/>
      <c r="F232" s="2260"/>
      <c r="G232" s="2260"/>
      <c r="H232" s="2260"/>
      <c r="I232" s="2260"/>
      <c r="J232" s="2192"/>
      <c r="K232" s="2192"/>
      <c r="L232" s="2192"/>
      <c r="M232" s="2192"/>
      <c r="N232" s="2192"/>
      <c r="O232" s="2192"/>
      <c r="P232" s="2192"/>
      <c r="Q232" s="2192"/>
      <c r="R232" s="2192"/>
      <c r="S232" s="2192"/>
      <c r="T232" s="2192"/>
      <c r="U232" s="2192"/>
      <c r="V232" s="2192"/>
      <c r="W232" s="2192"/>
      <c r="X232" s="2192"/>
    </row>
    <row r="233" spans="3:24" s="1738" customFormat="1">
      <c r="E233" s="1743"/>
      <c r="F233" s="1743"/>
      <c r="I233" s="1743"/>
      <c r="J233" s="1743"/>
      <c r="K233" s="1743"/>
      <c r="L233" s="1743"/>
      <c r="M233" s="1743"/>
      <c r="N233" s="1743"/>
      <c r="O233" s="1743"/>
      <c r="P233" s="1743"/>
      <c r="Q233" s="1743"/>
      <c r="R233" s="1743"/>
      <c r="S233" s="1743"/>
      <c r="T233" s="1743"/>
      <c r="U233" s="1743"/>
      <c r="V233" s="1743"/>
      <c r="W233" s="1743"/>
      <c r="X233" s="1743"/>
    </row>
    <row r="234" spans="3:24" s="1738" customFormat="1">
      <c r="C234" s="2419" t="str">
        <f>C130</f>
        <v>Emission factors</v>
      </c>
      <c r="D234" s="2192"/>
      <c r="E234" s="2257"/>
      <c r="F234" s="2257"/>
      <c r="G234" s="2192"/>
      <c r="H234" s="2192"/>
      <c r="I234" s="2257"/>
      <c r="J234" s="2257"/>
      <c r="K234" s="2257"/>
      <c r="L234" s="2257"/>
      <c r="M234" s="2257"/>
      <c r="N234" s="2257"/>
      <c r="O234" s="2257"/>
      <c r="P234" s="2257"/>
      <c r="Q234" s="2257"/>
      <c r="R234" s="2257"/>
      <c r="S234" s="2257"/>
      <c r="T234" s="2257"/>
      <c r="U234" s="2257"/>
      <c r="V234" s="2257"/>
      <c r="W234" s="2257"/>
      <c r="X234" s="2257"/>
    </row>
    <row r="235" spans="3:24" s="1738" customFormat="1">
      <c r="C235" s="2033" t="str">
        <f>HLOOKUP(select,translations!$A$251:$H$340,74,)</f>
        <v>Irrigation systems</v>
      </c>
      <c r="D235" s="2192"/>
      <c r="E235" s="2257"/>
      <c r="F235" s="2257"/>
      <c r="G235" s="2192"/>
      <c r="H235" s="2424" t="str">
        <f>I200</f>
        <v>Unit</v>
      </c>
      <c r="I235" s="2419" t="str">
        <f>K200</f>
        <v>Default</v>
      </c>
      <c r="J235" s="2257"/>
      <c r="K235" s="2424" t="str">
        <f>M200</f>
        <v>Tier 2</v>
      </c>
      <c r="L235" s="2257"/>
      <c r="M235" s="2257"/>
      <c r="N235" s="2751" t="str">
        <f>IF(Nlang=1,"",N64)</f>
        <v/>
      </c>
      <c r="O235" s="2257"/>
      <c r="P235" s="2257"/>
      <c r="Q235" s="2257"/>
      <c r="R235" s="2257"/>
      <c r="S235" s="2257"/>
      <c r="T235" s="2257"/>
      <c r="U235" s="2257"/>
      <c r="V235" s="2257"/>
      <c r="W235" s="2257"/>
      <c r="X235" s="2257"/>
    </row>
    <row r="236" spans="3:24" s="1738" customFormat="1">
      <c r="C236" s="2192"/>
      <c r="D236" s="2192" t="str">
        <f>C65</f>
        <v>Please select</v>
      </c>
      <c r="E236" s="2257"/>
      <c r="F236" s="2257"/>
      <c r="G236" s="2192"/>
      <c r="H236" s="2749" t="str">
        <f>HLOOKUP(select,translations!$A$251:$H$340,76,)</f>
        <v>kgCO2/ha</v>
      </c>
      <c r="I236" s="2426">
        <f>VLOOKUP(D236,' IPCC'!$A$694:$B$703,2,)</f>
        <v>0</v>
      </c>
      <c r="J236" s="2257"/>
      <c r="K236" s="2399"/>
      <c r="L236" s="2257"/>
      <c r="M236" s="2257"/>
      <c r="N236" s="2750" t="str">
        <f>IF(Nlang=1,"",N65)</f>
        <v/>
      </c>
      <c r="O236" s="2257"/>
      <c r="P236" s="2257"/>
      <c r="Q236" s="2257"/>
      <c r="R236" s="2257"/>
      <c r="S236" s="2257"/>
      <c r="T236" s="2257"/>
      <c r="U236" s="2257"/>
      <c r="V236" s="2257"/>
      <c r="W236" s="2257"/>
      <c r="X236" s="2257"/>
    </row>
    <row r="237" spans="3:24" s="1738" customFormat="1">
      <c r="C237" s="2192"/>
      <c r="D237" s="2192" t="str">
        <f>C66</f>
        <v>Please select</v>
      </c>
      <c r="E237" s="2257"/>
      <c r="F237" s="2257"/>
      <c r="G237" s="2192"/>
      <c r="H237" s="2749" t="str">
        <f>HLOOKUP(select,translations!$A$251:$H$340,76,)</f>
        <v>kgCO2/ha</v>
      </c>
      <c r="I237" s="2426">
        <f>VLOOKUP(D237,' IPCC'!$A$694:$B$703,2,)</f>
        <v>0</v>
      </c>
      <c r="J237" s="2257"/>
      <c r="K237" s="2399"/>
      <c r="L237" s="2257"/>
      <c r="M237" s="2257"/>
      <c r="N237" s="2750" t="str">
        <f>IF(Nlang=1,"",N66)</f>
        <v/>
      </c>
      <c r="O237" s="2257"/>
      <c r="P237" s="2257"/>
      <c r="Q237" s="2257"/>
      <c r="R237" s="2257"/>
      <c r="S237" s="2257"/>
      <c r="T237" s="2257"/>
      <c r="U237" s="2257"/>
      <c r="V237" s="2257"/>
      <c r="W237" s="2257"/>
      <c r="X237" s="2257"/>
    </row>
    <row r="238" spans="3:24" s="1738" customFormat="1">
      <c r="C238" s="2192"/>
      <c r="D238" s="2192"/>
      <c r="E238" s="2257"/>
      <c r="F238" s="2257"/>
      <c r="G238" s="2192"/>
      <c r="H238" s="2192"/>
      <c r="I238" s="2257"/>
      <c r="J238" s="2257"/>
      <c r="K238" s="2257"/>
      <c r="L238" s="2257"/>
      <c r="M238" s="2257"/>
      <c r="N238" s="2750" t="str">
        <f>IF(Nlang=1,"",N67)</f>
        <v/>
      </c>
      <c r="O238" s="2257"/>
      <c r="P238" s="2257"/>
      <c r="Q238" s="2257"/>
      <c r="R238" s="2257"/>
      <c r="S238" s="2257"/>
      <c r="T238" s="2257"/>
      <c r="U238" s="2257"/>
      <c r="V238" s="2257"/>
      <c r="W238" s="2257"/>
      <c r="X238" s="2257"/>
    </row>
    <row r="239" spans="3:24" s="1738" customFormat="1">
      <c r="C239" s="2033" t="str">
        <f>HLOOKUP(select,translations!$A$251:$H$340,75,)</f>
        <v>Buildings and roads</v>
      </c>
      <c r="D239" s="2192"/>
      <c r="E239" s="2257"/>
      <c r="F239" s="2257"/>
      <c r="G239" s="2192"/>
      <c r="H239" s="2192"/>
      <c r="I239" s="2257"/>
      <c r="J239" s="2257"/>
      <c r="K239" s="2257"/>
      <c r="L239" s="2257"/>
      <c r="M239" s="2257"/>
      <c r="N239" s="2750"/>
      <c r="O239" s="2257"/>
      <c r="P239" s="2257"/>
      <c r="Q239" s="2257"/>
      <c r="R239" s="2257"/>
      <c r="S239" s="2257"/>
      <c r="T239" s="2257"/>
      <c r="U239" s="2257"/>
      <c r="V239" s="2257"/>
      <c r="W239" s="2257"/>
      <c r="X239" s="2257"/>
    </row>
    <row r="240" spans="3:24" s="1738" customFormat="1">
      <c r="C240" s="2192"/>
      <c r="D240" s="2192" t="str">
        <f>C70</f>
        <v>Please select</v>
      </c>
      <c r="E240" s="2257"/>
      <c r="F240" s="2257"/>
      <c r="G240" s="2192"/>
      <c r="H240" s="2749" t="str">
        <f>HLOOKUP(select,translations!$A$251:$H$340,77,)</f>
        <v>t CO2/m2</v>
      </c>
      <c r="I240" s="2257">
        <f>'Other investments'!D63</f>
        <v>0</v>
      </c>
      <c r="J240" s="2257"/>
      <c r="K240" s="2399"/>
      <c r="L240" s="2257"/>
      <c r="M240" s="2257"/>
      <c r="N240" s="2750" t="str">
        <f t="shared" ref="N240:N246" si="5">IF(Nlang=1,"",N70)</f>
        <v/>
      </c>
      <c r="O240" s="2257"/>
      <c r="P240" s="2257"/>
      <c r="Q240" s="2257"/>
      <c r="R240" s="2257"/>
      <c r="S240" s="2257"/>
      <c r="T240" s="2257"/>
      <c r="U240" s="2257"/>
      <c r="V240" s="2257"/>
      <c r="W240" s="2257"/>
      <c r="X240" s="2257"/>
    </row>
    <row r="241" spans="3:24" s="1738" customFormat="1">
      <c r="C241" s="2192"/>
      <c r="D241" s="2192" t="str">
        <f t="shared" ref="D241:D246" si="6">C71</f>
        <v>Please select</v>
      </c>
      <c r="E241" s="2257"/>
      <c r="F241" s="2257"/>
      <c r="G241" s="2192"/>
      <c r="H241" s="2749" t="str">
        <f>HLOOKUP(select,translations!$A$251:$H$340,77,)</f>
        <v>t CO2/m2</v>
      </c>
      <c r="I241" s="2257">
        <f>'Other investments'!D64</f>
        <v>0</v>
      </c>
      <c r="J241" s="2257"/>
      <c r="K241" s="2399"/>
      <c r="L241" s="2257"/>
      <c r="M241" s="2257"/>
      <c r="N241" s="2750" t="str">
        <f t="shared" si="5"/>
        <v/>
      </c>
      <c r="O241" s="2257"/>
      <c r="P241" s="2257"/>
      <c r="Q241" s="2257"/>
      <c r="R241" s="2257"/>
      <c r="S241" s="2257"/>
      <c r="T241" s="2257"/>
      <c r="U241" s="2257"/>
      <c r="V241" s="2257"/>
      <c r="W241" s="2257"/>
      <c r="X241" s="2257"/>
    </row>
    <row r="242" spans="3:24" s="1738" customFormat="1">
      <c r="C242" s="2192"/>
      <c r="D242" s="2192" t="str">
        <f t="shared" si="6"/>
        <v>Please select</v>
      </c>
      <c r="E242" s="2257"/>
      <c r="F242" s="2257"/>
      <c r="G242" s="2192"/>
      <c r="H242" s="2749" t="str">
        <f>HLOOKUP(select,translations!$A$251:$H$340,77,)</f>
        <v>t CO2/m2</v>
      </c>
      <c r="I242" s="2257">
        <f>'Other investments'!D65</f>
        <v>0</v>
      </c>
      <c r="J242" s="2257"/>
      <c r="K242" s="2399"/>
      <c r="L242" s="2257"/>
      <c r="M242" s="2257"/>
      <c r="N242" s="2750" t="str">
        <f t="shared" si="5"/>
        <v/>
      </c>
      <c r="O242" s="2257"/>
      <c r="P242" s="2257"/>
      <c r="Q242" s="2257"/>
      <c r="R242" s="2257"/>
      <c r="S242" s="2257"/>
      <c r="T242" s="2257"/>
      <c r="U242" s="2257"/>
      <c r="V242" s="2257"/>
      <c r="W242" s="2257"/>
      <c r="X242" s="2257"/>
    </row>
    <row r="243" spans="3:24" s="1738" customFormat="1">
      <c r="C243" s="2192"/>
      <c r="D243" s="2192" t="str">
        <f t="shared" si="6"/>
        <v>Please select</v>
      </c>
      <c r="E243" s="2257"/>
      <c r="F243" s="2257"/>
      <c r="G243" s="2192"/>
      <c r="H243" s="2749" t="str">
        <f>HLOOKUP(select,translations!$A$251:$H$340,77,)</f>
        <v>t CO2/m2</v>
      </c>
      <c r="I243" s="2257">
        <f>'Other investments'!D66</f>
        <v>0</v>
      </c>
      <c r="J243" s="2257"/>
      <c r="K243" s="2399"/>
      <c r="L243" s="2257"/>
      <c r="M243" s="2257"/>
      <c r="N243" s="2750" t="str">
        <f t="shared" si="5"/>
        <v/>
      </c>
      <c r="O243" s="2257"/>
      <c r="P243" s="2257"/>
      <c r="Q243" s="2257"/>
      <c r="R243" s="2257"/>
      <c r="S243" s="2257"/>
      <c r="T243" s="2257"/>
      <c r="U243" s="2257"/>
      <c r="V243" s="2257"/>
      <c r="W243" s="2257"/>
      <c r="X243" s="2257"/>
    </row>
    <row r="244" spans="3:24" s="1738" customFormat="1">
      <c r="C244" s="2192"/>
      <c r="D244" s="2192" t="str">
        <f t="shared" si="6"/>
        <v>Please select</v>
      </c>
      <c r="E244" s="2257"/>
      <c r="F244" s="2257"/>
      <c r="G244" s="2192"/>
      <c r="H244" s="2749" t="str">
        <f>HLOOKUP(select,translations!$A$251:$H$340,77,)</f>
        <v>t CO2/m2</v>
      </c>
      <c r="I244" s="2257">
        <f>'Other investments'!D67</f>
        <v>0</v>
      </c>
      <c r="J244" s="2257"/>
      <c r="K244" s="2399"/>
      <c r="L244" s="2257"/>
      <c r="M244" s="2257"/>
      <c r="N244" s="2750" t="str">
        <f t="shared" si="5"/>
        <v/>
      </c>
      <c r="O244" s="2257"/>
      <c r="P244" s="2257"/>
      <c r="Q244" s="2257"/>
      <c r="R244" s="2257"/>
      <c r="S244" s="2257"/>
      <c r="T244" s="2257"/>
      <c r="U244" s="2257"/>
      <c r="V244" s="2257"/>
      <c r="W244" s="2257"/>
      <c r="X244" s="2257"/>
    </row>
    <row r="245" spans="3:24" s="1738" customFormat="1">
      <c r="C245" s="2192"/>
      <c r="D245" s="2192" t="str">
        <f t="shared" si="6"/>
        <v>Please select</v>
      </c>
      <c r="E245" s="2257"/>
      <c r="F245" s="2257"/>
      <c r="G245" s="2192"/>
      <c r="H245" s="2749" t="str">
        <f>HLOOKUP(select,translations!$A$251:$H$340,77,)</f>
        <v>t CO2/m2</v>
      </c>
      <c r="I245" s="2257">
        <f>'Other investments'!D68</f>
        <v>0</v>
      </c>
      <c r="J245" s="2257"/>
      <c r="K245" s="2399"/>
      <c r="L245" s="2257"/>
      <c r="M245" s="2257"/>
      <c r="N245" s="2750" t="str">
        <f t="shared" si="5"/>
        <v/>
      </c>
      <c r="O245" s="2257"/>
      <c r="P245" s="2257"/>
      <c r="Q245" s="2257"/>
      <c r="R245" s="2257"/>
      <c r="S245" s="2257"/>
      <c r="T245" s="2257"/>
      <c r="U245" s="2257"/>
      <c r="V245" s="2257"/>
      <c r="W245" s="2257"/>
      <c r="X245" s="2257"/>
    </row>
    <row r="246" spans="3:24" s="1738" customFormat="1">
      <c r="C246" s="2192"/>
      <c r="D246" s="2192" t="str">
        <f t="shared" si="6"/>
        <v>Please select</v>
      </c>
      <c r="E246" s="2257"/>
      <c r="F246" s="2257"/>
      <c r="G246" s="2192"/>
      <c r="H246" s="2749" t="str">
        <f>HLOOKUP(select,translations!$A$251:$H$340,77,)</f>
        <v>t CO2/m2</v>
      </c>
      <c r="I246" s="2257">
        <f>'Other investments'!D69</f>
        <v>0</v>
      </c>
      <c r="J246" s="2257"/>
      <c r="K246" s="2399"/>
      <c r="L246" s="2257"/>
      <c r="M246" s="2257"/>
      <c r="N246" s="2750" t="str">
        <f t="shared" si="5"/>
        <v/>
      </c>
      <c r="O246" s="2257"/>
      <c r="P246" s="2257"/>
      <c r="Q246" s="2257"/>
      <c r="R246" s="2257"/>
      <c r="S246" s="2257"/>
      <c r="T246" s="2257"/>
      <c r="U246" s="2257"/>
      <c r="V246" s="2257"/>
      <c r="W246" s="2257"/>
      <c r="X246" s="2257"/>
    </row>
    <row r="247" spans="3:24" s="1738" customFormat="1">
      <c r="F247" s="1743"/>
      <c r="I247" s="1743"/>
      <c r="J247" s="1743"/>
      <c r="K247" s="1743"/>
      <c r="L247" s="1743"/>
      <c r="M247" s="1743"/>
      <c r="N247" s="1743"/>
      <c r="O247" s="1743"/>
      <c r="P247" s="1743"/>
      <c r="Q247" s="1743"/>
      <c r="R247" s="1743"/>
      <c r="S247" s="1743"/>
      <c r="T247" s="1743"/>
      <c r="U247" s="1743"/>
      <c r="V247" s="1743"/>
      <c r="W247" s="1743"/>
      <c r="X247" s="1743"/>
    </row>
    <row r="248" spans="3:24" s="1738" customFormat="1">
      <c r="F248" s="1743"/>
      <c r="I248" s="1743"/>
      <c r="J248" s="1743"/>
      <c r="K248" s="1743"/>
      <c r="L248" s="1743"/>
      <c r="M248" s="1743"/>
      <c r="N248" s="1743"/>
      <c r="O248" s="1743"/>
      <c r="P248" s="1743"/>
      <c r="Q248" s="1743"/>
      <c r="R248" s="1743"/>
      <c r="S248" s="1743"/>
      <c r="T248" s="1743"/>
      <c r="U248" s="1743"/>
      <c r="V248" s="1743"/>
      <c r="W248" s="1743"/>
      <c r="X248" s="1743"/>
    </row>
    <row r="249" spans="3:24" s="1738" customFormat="1">
      <c r="E249" s="1743"/>
      <c r="F249" s="1743"/>
      <c r="I249" s="1743"/>
      <c r="J249" s="1743"/>
      <c r="K249" s="1743"/>
      <c r="L249" s="1743"/>
      <c r="M249" s="1743"/>
      <c r="N249" s="1743"/>
      <c r="O249" s="1743"/>
      <c r="P249" s="1743"/>
      <c r="Q249" s="1743"/>
      <c r="R249" s="1743"/>
      <c r="S249" s="1743"/>
      <c r="T249" s="1743"/>
      <c r="U249" s="1743"/>
      <c r="V249" s="1743"/>
      <c r="W249" s="1743"/>
      <c r="X249" s="1743"/>
    </row>
    <row r="250" spans="3:24" s="1738" customFormat="1">
      <c r="E250" s="1743"/>
      <c r="F250" s="1743"/>
      <c r="I250" s="1743"/>
      <c r="J250" s="1743"/>
      <c r="K250" s="1743"/>
      <c r="L250" s="1743"/>
      <c r="M250" s="1743"/>
      <c r="N250" s="1743"/>
      <c r="O250" s="1743"/>
      <c r="P250" s="1743"/>
      <c r="Q250" s="1743"/>
      <c r="R250" s="1743"/>
      <c r="S250" s="1743"/>
      <c r="T250" s="1743"/>
      <c r="U250" s="1743"/>
      <c r="V250" s="1743"/>
      <c r="W250" s="1743"/>
      <c r="X250" s="1743"/>
    </row>
    <row r="251" spans="3:24" s="1738" customFormat="1">
      <c r="E251" s="1743"/>
      <c r="F251" s="1743"/>
      <c r="I251" s="1743"/>
      <c r="J251" s="1743"/>
      <c r="K251" s="1743"/>
      <c r="L251" s="1743"/>
      <c r="M251" s="1743"/>
      <c r="N251" s="1743"/>
      <c r="O251" s="1743"/>
      <c r="P251" s="1743"/>
      <c r="Q251" s="1743"/>
      <c r="R251" s="1743"/>
      <c r="S251" s="1743"/>
      <c r="T251" s="1743"/>
      <c r="U251" s="1743"/>
      <c r="V251" s="1743"/>
      <c r="W251" s="1743"/>
      <c r="X251" s="1743"/>
    </row>
    <row r="252" spans="3:24" s="1738" customFormat="1">
      <c r="E252" s="1743"/>
      <c r="F252" s="1743"/>
      <c r="I252" s="1743"/>
      <c r="J252" s="1743"/>
      <c r="K252" s="1743"/>
      <c r="L252" s="1743"/>
      <c r="M252" s="1743"/>
      <c r="N252" s="1743"/>
      <c r="O252" s="1743"/>
      <c r="P252" s="1743"/>
      <c r="Q252" s="1743"/>
      <c r="R252" s="1743"/>
      <c r="S252" s="1743"/>
      <c r="T252" s="1743"/>
      <c r="U252" s="1743"/>
      <c r="V252" s="1743"/>
      <c r="W252" s="1743"/>
      <c r="X252" s="1743"/>
    </row>
    <row r="253" spans="3:24" s="1738" customFormat="1">
      <c r="E253" s="1743"/>
      <c r="F253" s="1743"/>
      <c r="I253" s="1743"/>
      <c r="J253" s="1743"/>
      <c r="K253" s="1743"/>
      <c r="L253" s="1743"/>
      <c r="M253" s="1743"/>
      <c r="N253" s="1743"/>
      <c r="O253" s="1743"/>
      <c r="P253" s="1743"/>
      <c r="Q253" s="1743"/>
      <c r="R253" s="1743"/>
      <c r="S253" s="1743"/>
      <c r="T253" s="1743"/>
      <c r="U253" s="1743"/>
      <c r="V253" s="1743"/>
      <c r="W253" s="1743"/>
      <c r="X253" s="1743"/>
    </row>
    <row r="254" spans="3:24" s="1738" customFormat="1">
      <c r="E254" s="1743"/>
      <c r="F254" s="1743"/>
      <c r="I254" s="1743"/>
      <c r="J254" s="1743"/>
      <c r="K254" s="1743"/>
      <c r="L254" s="1743"/>
      <c r="M254" s="1743"/>
      <c r="N254" s="1743"/>
      <c r="O254" s="1743"/>
      <c r="P254" s="1743"/>
      <c r="Q254" s="1743"/>
      <c r="R254" s="1743"/>
      <c r="S254" s="1743"/>
      <c r="T254" s="1743"/>
      <c r="U254" s="1743"/>
      <c r="V254" s="1743"/>
      <c r="W254" s="1743"/>
      <c r="X254" s="1743"/>
    </row>
    <row r="255" spans="3:24" s="1738" customFormat="1">
      <c r="E255" s="1743"/>
      <c r="F255" s="1743"/>
      <c r="I255" s="1743"/>
      <c r="J255" s="1743"/>
      <c r="K255" s="1743"/>
      <c r="L255" s="1743"/>
      <c r="M255" s="1743"/>
      <c r="N255" s="1743"/>
      <c r="O255" s="1743"/>
      <c r="P255" s="1743"/>
      <c r="Q255" s="1743"/>
      <c r="R255" s="1743"/>
      <c r="S255" s="1743"/>
      <c r="T255" s="1743"/>
      <c r="U255" s="1743"/>
      <c r="V255" s="1743"/>
      <c r="W255" s="1743"/>
      <c r="X255" s="1743"/>
    </row>
    <row r="256" spans="3:24" s="1738" customFormat="1">
      <c r="E256" s="1743"/>
      <c r="F256" s="1743"/>
      <c r="I256" s="1743"/>
      <c r="J256" s="1743"/>
      <c r="K256" s="1743"/>
      <c r="L256" s="1743"/>
      <c r="M256" s="1743"/>
      <c r="N256" s="1743"/>
      <c r="O256" s="1743"/>
      <c r="P256" s="1743"/>
      <c r="Q256" s="1743"/>
      <c r="R256" s="1743"/>
      <c r="S256" s="1743"/>
      <c r="T256" s="1743"/>
      <c r="U256" s="1743"/>
      <c r="V256" s="1743"/>
      <c r="W256" s="1743"/>
      <c r="X256" s="1743"/>
    </row>
    <row r="257" spans="5:24" s="1738" customFormat="1">
      <c r="E257" s="1743"/>
      <c r="F257" s="1743"/>
      <c r="I257" s="1743"/>
      <c r="J257" s="1743"/>
      <c r="K257" s="1743"/>
      <c r="L257" s="1743"/>
      <c r="M257" s="1743"/>
      <c r="N257" s="1743"/>
      <c r="O257" s="1743"/>
      <c r="P257" s="1743"/>
      <c r="Q257" s="1743"/>
      <c r="R257" s="1743"/>
      <c r="S257" s="1743"/>
      <c r="T257" s="1743"/>
      <c r="U257" s="1743"/>
      <c r="V257" s="1743"/>
      <c r="W257" s="1743"/>
      <c r="X257" s="1743"/>
    </row>
    <row r="258" spans="5:24" s="1738" customFormat="1">
      <c r="E258" s="1743"/>
      <c r="F258" s="1743"/>
      <c r="I258" s="1743"/>
      <c r="J258" s="1743"/>
      <c r="K258" s="1743"/>
      <c r="L258" s="1743"/>
      <c r="M258" s="1743"/>
      <c r="N258" s="1743"/>
      <c r="O258" s="1743"/>
      <c r="P258" s="1743"/>
      <c r="Q258" s="1743"/>
      <c r="R258" s="1743"/>
      <c r="S258" s="1743"/>
      <c r="T258" s="1743"/>
      <c r="U258" s="1743"/>
      <c r="V258" s="1743"/>
      <c r="W258" s="1743"/>
      <c r="X258" s="1743"/>
    </row>
    <row r="259" spans="5:24" s="1738" customFormat="1">
      <c r="E259" s="1743"/>
      <c r="F259" s="1743"/>
      <c r="I259" s="1743"/>
      <c r="J259" s="1743"/>
      <c r="K259" s="1743"/>
      <c r="L259" s="1743"/>
      <c r="M259" s="1743"/>
      <c r="N259" s="1743"/>
      <c r="O259" s="1743"/>
      <c r="P259" s="1743"/>
      <c r="Q259" s="1743"/>
      <c r="R259" s="1743"/>
      <c r="S259" s="1743"/>
      <c r="T259" s="1743"/>
      <c r="U259" s="1743"/>
      <c r="V259" s="1743"/>
      <c r="W259" s="1743"/>
      <c r="X259" s="1743"/>
    </row>
    <row r="260" spans="5:24" s="1738" customFormat="1">
      <c r="E260" s="1743"/>
      <c r="F260" s="1743"/>
      <c r="I260" s="1743"/>
      <c r="J260" s="1743"/>
      <c r="K260" s="1743"/>
      <c r="L260" s="1743"/>
      <c r="M260" s="1743"/>
      <c r="N260" s="1743"/>
      <c r="O260" s="1743"/>
      <c r="P260" s="1743"/>
      <c r="Q260" s="1743"/>
      <c r="R260" s="1743"/>
      <c r="S260" s="1743"/>
      <c r="T260" s="1743"/>
      <c r="U260" s="1743"/>
      <c r="V260" s="1743"/>
      <c r="W260" s="1743"/>
      <c r="X260" s="1743"/>
    </row>
    <row r="261" spans="5:24" s="1738" customFormat="1">
      <c r="E261" s="1743"/>
      <c r="F261" s="1743"/>
      <c r="I261" s="1743"/>
      <c r="J261" s="1743"/>
      <c r="K261" s="1743"/>
      <c r="L261" s="1743"/>
      <c r="M261" s="1743"/>
      <c r="N261" s="1743"/>
      <c r="O261" s="1743"/>
      <c r="P261" s="1743"/>
      <c r="Q261" s="1743"/>
      <c r="R261" s="1743"/>
      <c r="S261" s="1743"/>
      <c r="T261" s="1743"/>
      <c r="U261" s="1743"/>
      <c r="V261" s="1743"/>
      <c r="W261" s="1743"/>
      <c r="X261" s="1743"/>
    </row>
    <row r="262" spans="5:24" s="1738" customFormat="1">
      <c r="E262" s="1743"/>
      <c r="F262" s="1743"/>
      <c r="I262" s="1743"/>
      <c r="J262" s="1743"/>
      <c r="K262" s="1743"/>
      <c r="L262" s="1743"/>
      <c r="M262" s="1743"/>
      <c r="N262" s="1743"/>
      <c r="O262" s="1743"/>
      <c r="P262" s="1743"/>
      <c r="Q262" s="1743"/>
      <c r="R262" s="1743"/>
      <c r="S262" s="1743"/>
      <c r="T262" s="1743"/>
      <c r="U262" s="1743"/>
      <c r="V262" s="1743"/>
      <c r="W262" s="1743"/>
      <c r="X262" s="1743"/>
    </row>
    <row r="263" spans="5:24" s="1738" customFormat="1">
      <c r="E263" s="1743"/>
      <c r="F263" s="1743"/>
      <c r="I263" s="1743"/>
      <c r="J263" s="1743"/>
      <c r="K263" s="1743"/>
      <c r="L263" s="1743"/>
      <c r="M263" s="1743"/>
      <c r="N263" s="1743"/>
      <c r="O263" s="1743"/>
      <c r="P263" s="1743"/>
      <c r="Q263" s="1743"/>
      <c r="R263" s="1743"/>
      <c r="S263" s="1743"/>
      <c r="T263" s="1743"/>
      <c r="U263" s="1743"/>
      <c r="V263" s="1743"/>
      <c r="W263" s="1743"/>
      <c r="X263" s="1743"/>
    </row>
    <row r="264" spans="5:24" s="1738" customFormat="1">
      <c r="E264" s="1743"/>
      <c r="F264" s="1743"/>
      <c r="I264" s="1743"/>
      <c r="J264" s="1743"/>
      <c r="K264" s="1743"/>
      <c r="L264" s="1743"/>
      <c r="M264" s="1743"/>
      <c r="N264" s="1743"/>
      <c r="O264" s="1743"/>
      <c r="P264" s="1743"/>
      <c r="Q264" s="1743"/>
      <c r="R264" s="1743"/>
      <c r="S264" s="1743"/>
      <c r="T264" s="1743"/>
      <c r="U264" s="1743"/>
      <c r="V264" s="1743"/>
      <c r="W264" s="1743"/>
      <c r="X264" s="1743"/>
    </row>
    <row r="265" spans="5:24" s="1738" customFormat="1">
      <c r="E265" s="1743"/>
      <c r="F265" s="1743"/>
      <c r="I265" s="1743"/>
      <c r="J265" s="1743"/>
      <c r="K265" s="1743"/>
      <c r="L265" s="1743"/>
      <c r="M265" s="1743"/>
      <c r="N265" s="1743"/>
      <c r="O265" s="1743"/>
      <c r="P265" s="1743"/>
      <c r="Q265" s="1743"/>
      <c r="R265" s="1743"/>
      <c r="S265" s="1743"/>
      <c r="T265" s="1743"/>
      <c r="U265" s="1743"/>
      <c r="V265" s="1743"/>
      <c r="W265" s="1743"/>
      <c r="X265" s="1743"/>
    </row>
    <row r="266" spans="5:24" s="1738" customFormat="1">
      <c r="E266" s="1743"/>
      <c r="F266" s="1743"/>
      <c r="I266" s="1743"/>
      <c r="J266" s="1743"/>
      <c r="K266" s="1743"/>
      <c r="L266" s="1743"/>
      <c r="M266" s="1743"/>
      <c r="N266" s="1743"/>
      <c r="O266" s="1743"/>
      <c r="P266" s="1743"/>
      <c r="Q266" s="1743"/>
      <c r="R266" s="1743"/>
      <c r="S266" s="1743"/>
      <c r="T266" s="1743"/>
      <c r="U266" s="1743"/>
      <c r="V266" s="1743"/>
      <c r="W266" s="1743"/>
      <c r="X266" s="1743"/>
    </row>
    <row r="267" spans="5:24" s="1738" customFormat="1">
      <c r="E267" s="1743"/>
      <c r="F267" s="1743"/>
      <c r="I267" s="1743"/>
      <c r="J267" s="1743"/>
      <c r="K267" s="1743"/>
      <c r="L267" s="1743"/>
      <c r="M267" s="1743"/>
      <c r="N267" s="1743"/>
      <c r="O267" s="1743"/>
      <c r="P267" s="1743"/>
      <c r="Q267" s="1743"/>
      <c r="R267" s="1743"/>
      <c r="S267" s="1743"/>
      <c r="T267" s="1743"/>
      <c r="U267" s="1743"/>
      <c r="V267" s="1743"/>
      <c r="W267" s="1743"/>
      <c r="X267" s="1743"/>
    </row>
    <row r="268" spans="5:24" s="1738" customFormat="1">
      <c r="E268" s="1743"/>
      <c r="F268" s="1743"/>
      <c r="I268" s="1743"/>
      <c r="J268" s="1743"/>
      <c r="K268" s="1743"/>
      <c r="L268" s="1743"/>
      <c r="M268" s="1743"/>
      <c r="N268" s="1743"/>
      <c r="O268" s="1743"/>
      <c r="P268" s="1743"/>
      <c r="Q268" s="1743"/>
      <c r="R268" s="1743"/>
      <c r="S268" s="1743"/>
      <c r="T268" s="1743"/>
      <c r="U268" s="1743"/>
      <c r="V268" s="1743"/>
      <c r="W268" s="1743"/>
      <c r="X268" s="1743"/>
    </row>
    <row r="269" spans="5:24" s="1738" customFormat="1">
      <c r="E269" s="1743"/>
      <c r="F269" s="1743"/>
      <c r="I269" s="1743"/>
      <c r="J269" s="1743"/>
      <c r="K269" s="1743"/>
      <c r="L269" s="1743"/>
      <c r="M269" s="1743"/>
      <c r="N269" s="1743"/>
      <c r="O269" s="1743"/>
      <c r="P269" s="1743"/>
      <c r="Q269" s="1743"/>
      <c r="R269" s="1743"/>
      <c r="S269" s="1743"/>
      <c r="T269" s="1743"/>
      <c r="U269" s="1743"/>
      <c r="V269" s="1743"/>
      <c r="W269" s="1743"/>
      <c r="X269" s="1743"/>
    </row>
    <row r="270" spans="5:24" s="1738" customFormat="1">
      <c r="E270" s="1743"/>
      <c r="F270" s="1743"/>
      <c r="I270" s="1743"/>
      <c r="J270" s="1743"/>
      <c r="K270" s="1743"/>
      <c r="L270" s="1743"/>
      <c r="M270" s="1743"/>
      <c r="N270" s="1743"/>
      <c r="O270" s="1743"/>
      <c r="P270" s="1743"/>
      <c r="Q270" s="1743"/>
      <c r="R270" s="1743"/>
      <c r="S270" s="1743"/>
      <c r="T270" s="1743"/>
      <c r="U270" s="1743"/>
      <c r="V270" s="1743"/>
      <c r="W270" s="1743"/>
      <c r="X270" s="1743"/>
    </row>
    <row r="271" spans="5:24" s="1738" customFormat="1">
      <c r="E271" s="1743"/>
      <c r="F271" s="1743"/>
      <c r="I271" s="1743"/>
      <c r="J271" s="1743"/>
      <c r="K271" s="1743"/>
      <c r="L271" s="1743"/>
      <c r="M271" s="1743"/>
      <c r="N271" s="1743"/>
      <c r="O271" s="1743"/>
      <c r="P271" s="1743"/>
      <c r="Q271" s="1743"/>
      <c r="R271" s="1743"/>
      <c r="S271" s="1743"/>
      <c r="T271" s="1743"/>
      <c r="U271" s="1743"/>
      <c r="V271" s="1743"/>
      <c r="W271" s="1743"/>
      <c r="X271" s="1743"/>
    </row>
    <row r="272" spans="5:24" s="1738" customFormat="1">
      <c r="E272" s="1743"/>
      <c r="F272" s="1743"/>
      <c r="I272" s="1743"/>
      <c r="J272" s="1743"/>
      <c r="K272" s="1743"/>
      <c r="L272" s="1743"/>
      <c r="M272" s="1743"/>
      <c r="N272" s="1743"/>
      <c r="O272" s="1743"/>
      <c r="P272" s="1743"/>
      <c r="Q272" s="1743"/>
      <c r="R272" s="1743"/>
      <c r="S272" s="1743"/>
      <c r="T272" s="1743"/>
      <c r="U272" s="1743"/>
      <c r="V272" s="1743"/>
      <c r="W272" s="1743"/>
      <c r="X272" s="1743"/>
    </row>
    <row r="273" spans="5:24" s="1738" customFormat="1">
      <c r="E273" s="1743"/>
      <c r="F273" s="1743"/>
      <c r="I273" s="1743"/>
      <c r="J273" s="1743"/>
      <c r="K273" s="1743"/>
      <c r="L273" s="1743"/>
      <c r="M273" s="1743"/>
      <c r="N273" s="1743"/>
      <c r="O273" s="1743"/>
      <c r="P273" s="1743"/>
      <c r="Q273" s="1743"/>
      <c r="R273" s="1743"/>
      <c r="S273" s="1743"/>
      <c r="T273" s="1743"/>
      <c r="U273" s="1743"/>
      <c r="V273" s="1743"/>
      <c r="W273" s="1743"/>
      <c r="X273" s="1743"/>
    </row>
    <row r="274" spans="5:24" s="1738" customFormat="1">
      <c r="E274" s="1743"/>
      <c r="F274" s="1743"/>
      <c r="I274" s="1743"/>
      <c r="J274" s="1743"/>
      <c r="K274" s="1743"/>
      <c r="L274" s="1743"/>
      <c r="M274" s="1743"/>
      <c r="N274" s="1743"/>
      <c r="O274" s="1743"/>
      <c r="P274" s="1743"/>
      <c r="Q274" s="1743"/>
      <c r="R274" s="1743"/>
      <c r="S274" s="1743"/>
      <c r="T274" s="1743"/>
      <c r="U274" s="1743"/>
      <c r="V274" s="1743"/>
      <c r="W274" s="1743"/>
      <c r="X274" s="1743"/>
    </row>
    <row r="275" spans="5:24" s="1738" customFormat="1">
      <c r="E275" s="1743"/>
      <c r="F275" s="1743"/>
      <c r="I275" s="1743"/>
      <c r="J275" s="1743"/>
      <c r="K275" s="1743"/>
      <c r="L275" s="1743"/>
      <c r="M275" s="1743"/>
      <c r="N275" s="1743"/>
      <c r="O275" s="1743"/>
      <c r="P275" s="1743"/>
      <c r="Q275" s="1743"/>
      <c r="R275" s="1743"/>
      <c r="S275" s="1743"/>
      <c r="T275" s="1743"/>
      <c r="U275" s="1743"/>
      <c r="V275" s="1743"/>
      <c r="W275" s="1743"/>
      <c r="X275" s="1743"/>
    </row>
    <row r="276" spans="5:24" s="1738" customFormat="1">
      <c r="E276" s="1743"/>
      <c r="F276" s="1743"/>
      <c r="I276" s="1743"/>
      <c r="J276" s="1743"/>
      <c r="K276" s="1743"/>
      <c r="L276" s="1743"/>
      <c r="M276" s="1743"/>
      <c r="N276" s="1743"/>
      <c r="O276" s="1743"/>
      <c r="P276" s="1743"/>
      <c r="Q276" s="1743"/>
      <c r="R276" s="1743"/>
      <c r="S276" s="1743"/>
      <c r="T276" s="1743"/>
      <c r="U276" s="1743"/>
      <c r="V276" s="1743"/>
      <c r="W276" s="1743"/>
      <c r="X276" s="1743"/>
    </row>
    <row r="277" spans="5:24" s="1738" customFormat="1">
      <c r="E277" s="1743"/>
      <c r="F277" s="1743"/>
      <c r="I277" s="1743"/>
      <c r="J277" s="1743"/>
      <c r="K277" s="1743"/>
      <c r="L277" s="1743"/>
      <c r="M277" s="1743"/>
      <c r="N277" s="1743"/>
      <c r="O277" s="1743"/>
      <c r="P277" s="1743"/>
      <c r="Q277" s="1743"/>
      <c r="R277" s="1743"/>
      <c r="S277" s="1743"/>
      <c r="T277" s="1743"/>
      <c r="U277" s="1743"/>
      <c r="V277" s="1743"/>
      <c r="W277" s="1743"/>
      <c r="X277" s="1743"/>
    </row>
    <row r="278" spans="5:24" s="1738" customFormat="1">
      <c r="E278" s="1743"/>
      <c r="F278" s="1743"/>
      <c r="I278" s="1743"/>
      <c r="J278" s="1743"/>
      <c r="K278" s="1743"/>
      <c r="L278" s="1743"/>
      <c r="M278" s="1743"/>
      <c r="N278" s="1743"/>
      <c r="O278" s="1743"/>
      <c r="P278" s="1743"/>
      <c r="Q278" s="1743"/>
      <c r="R278" s="1743"/>
      <c r="S278" s="1743"/>
      <c r="T278" s="1743"/>
      <c r="U278" s="1743"/>
      <c r="V278" s="1743"/>
      <c r="W278" s="1743"/>
      <c r="X278" s="1743"/>
    </row>
    <row r="279" spans="5:24" s="1738" customFormat="1">
      <c r="E279" s="1743"/>
      <c r="F279" s="1743"/>
      <c r="I279" s="1743"/>
      <c r="J279" s="1743"/>
      <c r="K279" s="1743"/>
      <c r="L279" s="1743"/>
      <c r="M279" s="1743"/>
      <c r="N279" s="1743"/>
      <c r="O279" s="1743"/>
      <c r="P279" s="1743"/>
      <c r="Q279" s="1743"/>
      <c r="R279" s="1743"/>
      <c r="S279" s="1743"/>
      <c r="T279" s="1743"/>
      <c r="U279" s="1743"/>
      <c r="V279" s="1743"/>
      <c r="W279" s="1743"/>
      <c r="X279" s="1743"/>
    </row>
    <row r="280" spans="5:24" s="1738" customFormat="1">
      <c r="E280" s="1743"/>
      <c r="F280" s="1743"/>
      <c r="I280" s="1743"/>
      <c r="J280" s="1743"/>
      <c r="K280" s="1743"/>
      <c r="L280" s="1743"/>
      <c r="M280" s="1743"/>
      <c r="N280" s="1743"/>
      <c r="O280" s="1743"/>
      <c r="P280" s="1743"/>
      <c r="Q280" s="1743"/>
      <c r="R280" s="1743"/>
      <c r="S280" s="1743"/>
      <c r="T280" s="1743"/>
      <c r="U280" s="1743"/>
      <c r="V280" s="1743"/>
      <c r="W280" s="1743"/>
      <c r="X280" s="1743"/>
    </row>
    <row r="281" spans="5:24" s="1738" customFormat="1">
      <c r="E281" s="1743"/>
      <c r="F281" s="1743"/>
      <c r="I281" s="1743"/>
      <c r="J281" s="1743"/>
      <c r="K281" s="1743"/>
      <c r="L281" s="1743"/>
      <c r="M281" s="1743"/>
      <c r="N281" s="1743"/>
      <c r="O281" s="1743"/>
      <c r="P281" s="1743"/>
      <c r="Q281" s="1743"/>
      <c r="R281" s="1743"/>
      <c r="S281" s="1743"/>
      <c r="T281" s="1743"/>
      <c r="U281" s="1743"/>
      <c r="V281" s="1743"/>
      <c r="W281" s="1743"/>
      <c r="X281" s="1743"/>
    </row>
    <row r="282" spans="5:24" s="1738" customFormat="1">
      <c r="E282" s="1743"/>
      <c r="F282" s="1743"/>
      <c r="I282" s="1743"/>
      <c r="J282" s="1743"/>
      <c r="K282" s="1743"/>
      <c r="L282" s="1743"/>
      <c r="M282" s="1743"/>
      <c r="N282" s="1743"/>
      <c r="O282" s="1743"/>
      <c r="P282" s="1743"/>
      <c r="Q282" s="1743"/>
      <c r="R282" s="1743"/>
      <c r="S282" s="1743"/>
      <c r="T282" s="1743"/>
      <c r="U282" s="1743"/>
      <c r="V282" s="1743"/>
      <c r="W282" s="1743"/>
      <c r="X282" s="1743"/>
    </row>
    <row r="283" spans="5:24" s="1738" customFormat="1">
      <c r="E283" s="1743"/>
      <c r="F283" s="1743"/>
      <c r="I283" s="1743"/>
      <c r="J283" s="1743"/>
      <c r="K283" s="1743"/>
      <c r="L283" s="1743"/>
      <c r="M283" s="1743"/>
      <c r="N283" s="1743"/>
      <c r="O283" s="1743"/>
      <c r="P283" s="1743"/>
      <c r="Q283" s="1743"/>
      <c r="R283" s="1743"/>
      <c r="S283" s="1743"/>
      <c r="T283" s="1743"/>
      <c r="U283" s="1743"/>
      <c r="V283" s="1743"/>
      <c r="W283" s="1743"/>
      <c r="X283" s="1743"/>
    </row>
    <row r="284" spans="5:24" s="1738" customFormat="1">
      <c r="E284" s="1743"/>
      <c r="F284" s="1743"/>
      <c r="I284" s="1743"/>
      <c r="J284" s="1743"/>
      <c r="K284" s="1743"/>
      <c r="L284" s="1743"/>
      <c r="M284" s="1743"/>
      <c r="N284" s="1743"/>
      <c r="O284" s="1743"/>
      <c r="P284" s="1743"/>
      <c r="Q284" s="1743"/>
      <c r="R284" s="1743"/>
      <c r="S284" s="1743"/>
      <c r="T284" s="1743"/>
      <c r="U284" s="1743"/>
      <c r="V284" s="1743"/>
      <c r="W284" s="1743"/>
      <c r="X284" s="1743"/>
    </row>
    <row r="285" spans="5:24" s="1738" customFormat="1">
      <c r="E285" s="1743"/>
      <c r="F285" s="1743"/>
      <c r="I285" s="1743"/>
      <c r="J285" s="1743"/>
      <c r="K285" s="1743"/>
      <c r="L285" s="1743"/>
      <c r="M285" s="1743"/>
      <c r="N285" s="1743"/>
      <c r="O285" s="1743"/>
      <c r="P285" s="1743"/>
      <c r="Q285" s="1743"/>
      <c r="R285" s="1743"/>
      <c r="S285" s="1743"/>
      <c r="T285" s="1743"/>
      <c r="U285" s="1743"/>
      <c r="V285" s="1743"/>
      <c r="W285" s="1743"/>
      <c r="X285" s="1743"/>
    </row>
    <row r="286" spans="5:24" s="1738" customFormat="1">
      <c r="E286" s="1743"/>
      <c r="F286" s="1743"/>
      <c r="I286" s="1743"/>
      <c r="J286" s="1743"/>
      <c r="K286" s="1743"/>
      <c r="L286" s="1743"/>
      <c r="M286" s="1743"/>
      <c r="N286" s="1743"/>
      <c r="O286" s="1743"/>
      <c r="P286" s="1743"/>
      <c r="Q286" s="1743"/>
      <c r="R286" s="1743"/>
      <c r="S286" s="1743"/>
      <c r="T286" s="1743"/>
      <c r="U286" s="1743"/>
      <c r="V286" s="1743"/>
      <c r="W286" s="1743"/>
      <c r="X286" s="1743"/>
    </row>
    <row r="287" spans="5:24" s="1738" customFormat="1">
      <c r="E287" s="1743"/>
      <c r="F287" s="1743"/>
      <c r="I287" s="1743"/>
      <c r="J287" s="1743"/>
      <c r="K287" s="1743"/>
      <c r="L287" s="1743"/>
      <c r="M287" s="1743"/>
      <c r="N287" s="1743"/>
      <c r="O287" s="1743"/>
      <c r="P287" s="1743"/>
      <c r="Q287" s="1743"/>
      <c r="R287" s="1743"/>
      <c r="S287" s="1743"/>
      <c r="T287" s="1743"/>
      <c r="U287" s="1743"/>
      <c r="V287" s="1743"/>
      <c r="W287" s="1743"/>
      <c r="X287" s="1743"/>
    </row>
    <row r="288" spans="5:24" s="1738" customFormat="1">
      <c r="E288" s="1743"/>
      <c r="F288" s="1743"/>
      <c r="I288" s="1743"/>
      <c r="J288" s="1743"/>
      <c r="K288" s="1743"/>
      <c r="L288" s="1743"/>
      <c r="M288" s="1743"/>
      <c r="N288" s="1743"/>
      <c r="O288" s="1743"/>
      <c r="P288" s="1743"/>
      <c r="Q288" s="1743"/>
      <c r="R288" s="1743"/>
      <c r="S288" s="1743"/>
      <c r="T288" s="1743"/>
      <c r="U288" s="1743"/>
      <c r="V288" s="1743"/>
      <c r="W288" s="1743"/>
      <c r="X288" s="1743"/>
    </row>
    <row r="289" spans="5:24" s="1738" customFormat="1">
      <c r="E289" s="1743"/>
      <c r="F289" s="1743"/>
      <c r="I289" s="1743"/>
      <c r="J289" s="1743"/>
      <c r="K289" s="1743"/>
      <c r="L289" s="1743"/>
      <c r="M289" s="1743"/>
      <c r="N289" s="1743"/>
      <c r="O289" s="1743"/>
      <c r="P289" s="1743"/>
      <c r="Q289" s="1743"/>
      <c r="R289" s="1743"/>
      <c r="S289" s="1743"/>
      <c r="T289" s="1743"/>
      <c r="U289" s="1743"/>
      <c r="V289" s="1743"/>
      <c r="W289" s="1743"/>
      <c r="X289" s="1743"/>
    </row>
    <row r="290" spans="5:24" s="1738" customFormat="1">
      <c r="E290" s="1743"/>
      <c r="F290" s="1743"/>
      <c r="I290" s="1743"/>
      <c r="J290" s="1743"/>
      <c r="K290" s="1743"/>
      <c r="L290" s="1743"/>
      <c r="M290" s="1743"/>
      <c r="N290" s="1743"/>
      <c r="O290" s="1743"/>
      <c r="P290" s="1743"/>
      <c r="Q290" s="1743"/>
      <c r="R290" s="1743"/>
      <c r="S290" s="1743"/>
      <c r="T290" s="1743"/>
      <c r="U290" s="1743"/>
      <c r="V290" s="1743"/>
      <c r="W290" s="1743"/>
      <c r="X290" s="1743"/>
    </row>
    <row r="291" spans="5:24" s="1738" customFormat="1">
      <c r="E291" s="1743"/>
      <c r="F291" s="1743"/>
      <c r="I291" s="1743"/>
      <c r="J291" s="1743"/>
      <c r="K291" s="1743"/>
      <c r="L291" s="1743"/>
      <c r="M291" s="1743"/>
      <c r="N291" s="1743"/>
      <c r="O291" s="1743"/>
      <c r="P291" s="1743"/>
      <c r="Q291" s="1743"/>
      <c r="R291" s="1743"/>
      <c r="S291" s="1743"/>
      <c r="T291" s="1743"/>
      <c r="U291" s="1743"/>
      <c r="V291" s="1743"/>
      <c r="W291" s="1743"/>
      <c r="X291" s="1743"/>
    </row>
    <row r="292" spans="5:24" s="1738" customFormat="1">
      <c r="E292" s="1743"/>
      <c r="F292" s="1743"/>
      <c r="I292" s="1743"/>
      <c r="J292" s="1743"/>
      <c r="K292" s="1743"/>
      <c r="L292" s="1743"/>
      <c r="M292" s="1743"/>
      <c r="N292" s="1743"/>
      <c r="O292" s="1743"/>
      <c r="P292" s="1743"/>
      <c r="Q292" s="1743"/>
      <c r="R292" s="1743"/>
      <c r="S292" s="1743"/>
      <c r="T292" s="1743"/>
      <c r="U292" s="1743"/>
      <c r="V292" s="1743"/>
      <c r="W292" s="1743"/>
      <c r="X292" s="1743"/>
    </row>
    <row r="293" spans="5:24" s="1738" customFormat="1">
      <c r="E293" s="1743"/>
      <c r="F293" s="1743"/>
      <c r="I293" s="1743"/>
      <c r="J293" s="1743"/>
      <c r="K293" s="1743"/>
      <c r="L293" s="1743"/>
      <c r="M293" s="1743"/>
      <c r="N293" s="1743"/>
      <c r="O293" s="1743"/>
      <c r="P293" s="1743"/>
      <c r="Q293" s="1743"/>
      <c r="R293" s="1743"/>
      <c r="S293" s="1743"/>
      <c r="T293" s="1743"/>
      <c r="U293" s="1743"/>
      <c r="V293" s="1743"/>
      <c r="W293" s="1743"/>
      <c r="X293" s="1743"/>
    </row>
    <row r="294" spans="5:24" s="1738" customFormat="1">
      <c r="E294" s="1743"/>
      <c r="F294" s="1743"/>
      <c r="I294" s="1743"/>
      <c r="J294" s="1743"/>
      <c r="K294" s="1743"/>
      <c r="L294" s="1743"/>
      <c r="M294" s="1743"/>
      <c r="N294" s="1743"/>
      <c r="O294" s="1743"/>
      <c r="P294" s="1743"/>
      <c r="Q294" s="1743"/>
      <c r="R294" s="1743"/>
      <c r="S294" s="1743"/>
      <c r="T294" s="1743"/>
      <c r="U294" s="1743"/>
      <c r="V294" s="1743"/>
      <c r="W294" s="1743"/>
      <c r="X294" s="1743"/>
    </row>
    <row r="295" spans="5:24" s="1738" customFormat="1">
      <c r="E295" s="1743"/>
      <c r="F295" s="1743"/>
      <c r="I295" s="1743"/>
      <c r="J295" s="1743"/>
      <c r="K295" s="1743"/>
      <c r="L295" s="1743"/>
      <c r="M295" s="1743"/>
      <c r="N295" s="1743"/>
      <c r="O295" s="1743"/>
      <c r="P295" s="1743"/>
      <c r="Q295" s="1743"/>
      <c r="R295" s="1743"/>
      <c r="S295" s="1743"/>
      <c r="T295" s="1743"/>
      <c r="U295" s="1743"/>
      <c r="V295" s="1743"/>
      <c r="W295" s="1743"/>
      <c r="X295" s="1743"/>
    </row>
    <row r="296" spans="5:24" s="1738" customFormat="1">
      <c r="E296" s="1743"/>
      <c r="F296" s="1743"/>
      <c r="I296" s="1743"/>
      <c r="J296" s="1743"/>
      <c r="K296" s="1743"/>
      <c r="L296" s="1743"/>
      <c r="M296" s="1743"/>
      <c r="N296" s="1743"/>
      <c r="O296" s="1743"/>
      <c r="P296" s="1743"/>
      <c r="Q296" s="1743"/>
      <c r="R296" s="1743"/>
      <c r="S296" s="1743"/>
      <c r="T296" s="1743"/>
      <c r="U296" s="1743"/>
      <c r="V296" s="1743"/>
      <c r="W296" s="1743"/>
      <c r="X296" s="1743"/>
    </row>
    <row r="297" spans="5:24" s="1738" customFormat="1">
      <c r="E297" s="1743"/>
      <c r="F297" s="1743"/>
      <c r="I297" s="1743"/>
      <c r="J297" s="1743"/>
      <c r="K297" s="1743"/>
      <c r="L297" s="1743"/>
      <c r="M297" s="1743"/>
      <c r="N297" s="1743"/>
      <c r="O297" s="1743"/>
      <c r="P297" s="1743"/>
      <c r="Q297" s="1743"/>
      <c r="R297" s="1743"/>
      <c r="S297" s="1743"/>
      <c r="T297" s="1743"/>
      <c r="U297" s="1743"/>
      <c r="V297" s="1743"/>
      <c r="W297" s="1743"/>
      <c r="X297" s="1743"/>
    </row>
    <row r="298" spans="5:24" s="1738" customFormat="1">
      <c r="E298" s="1743"/>
      <c r="F298" s="1743"/>
      <c r="I298" s="1743"/>
      <c r="J298" s="1743"/>
      <c r="K298" s="1743"/>
      <c r="L298" s="1743"/>
      <c r="M298" s="1743"/>
      <c r="N298" s="1743"/>
      <c r="O298" s="1743"/>
      <c r="P298" s="1743"/>
      <c r="Q298" s="1743"/>
      <c r="R298" s="1743"/>
      <c r="S298" s="1743"/>
      <c r="T298" s="1743"/>
      <c r="U298" s="1743"/>
      <c r="V298" s="1743"/>
      <c r="W298" s="1743"/>
      <c r="X298" s="1743"/>
    </row>
    <row r="299" spans="5:24" s="1738" customFormat="1">
      <c r="E299" s="1743"/>
      <c r="F299" s="1743"/>
      <c r="I299" s="1743"/>
      <c r="J299" s="1743"/>
      <c r="K299" s="1743"/>
      <c r="L299" s="1743"/>
      <c r="M299" s="1743"/>
      <c r="N299" s="1743"/>
      <c r="O299" s="1743"/>
      <c r="P299" s="1743"/>
      <c r="Q299" s="1743"/>
      <c r="R299" s="1743"/>
      <c r="S299" s="1743"/>
      <c r="T299" s="1743"/>
      <c r="U299" s="1743"/>
      <c r="V299" s="1743"/>
      <c r="W299" s="1743"/>
      <c r="X299" s="1743"/>
    </row>
    <row r="300" spans="5:24" s="1738" customFormat="1">
      <c r="E300" s="1743"/>
      <c r="F300" s="1743"/>
      <c r="I300" s="1743"/>
      <c r="J300" s="1743"/>
      <c r="K300" s="1743"/>
      <c r="L300" s="1743"/>
      <c r="M300" s="1743"/>
      <c r="N300" s="1743"/>
      <c r="O300" s="1743"/>
      <c r="P300" s="1743"/>
      <c r="Q300" s="1743"/>
      <c r="R300" s="1743"/>
      <c r="S300" s="1743"/>
      <c r="T300" s="1743"/>
      <c r="U300" s="1743"/>
      <c r="V300" s="1743"/>
      <c r="W300" s="1743"/>
      <c r="X300" s="1743"/>
    </row>
    <row r="301" spans="5:24" s="1738" customFormat="1">
      <c r="E301" s="1743"/>
      <c r="F301" s="1743"/>
      <c r="I301" s="1743"/>
      <c r="J301" s="1743"/>
      <c r="K301" s="1743"/>
      <c r="L301" s="1743"/>
      <c r="M301" s="1743"/>
      <c r="N301" s="1743"/>
      <c r="O301" s="1743"/>
      <c r="P301" s="1743"/>
      <c r="Q301" s="1743"/>
      <c r="R301" s="1743"/>
      <c r="S301" s="1743"/>
      <c r="T301" s="1743"/>
      <c r="U301" s="1743"/>
      <c r="V301" s="1743"/>
      <c r="W301" s="1743"/>
      <c r="X301" s="1743"/>
    </row>
    <row r="302" spans="5:24" s="1738" customFormat="1">
      <c r="E302" s="1743"/>
      <c r="F302" s="1743"/>
      <c r="I302" s="1743"/>
      <c r="J302" s="1743"/>
      <c r="K302" s="1743"/>
      <c r="L302" s="1743"/>
      <c r="M302" s="1743"/>
      <c r="N302" s="1743"/>
      <c r="O302" s="1743"/>
      <c r="P302" s="1743"/>
      <c r="Q302" s="1743"/>
      <c r="R302" s="1743"/>
      <c r="S302" s="1743"/>
      <c r="T302" s="1743"/>
      <c r="U302" s="1743"/>
      <c r="V302" s="1743"/>
      <c r="W302" s="1743"/>
      <c r="X302" s="1743"/>
    </row>
    <row r="303" spans="5:24" s="1738" customFormat="1">
      <c r="E303" s="1743"/>
      <c r="F303" s="1743"/>
      <c r="I303" s="1743"/>
      <c r="J303" s="1743"/>
      <c r="K303" s="1743"/>
      <c r="L303" s="1743"/>
      <c r="M303" s="1743"/>
      <c r="N303" s="1743"/>
      <c r="O303" s="1743"/>
      <c r="P303" s="1743"/>
      <c r="Q303" s="1743"/>
      <c r="R303" s="1743"/>
      <c r="S303" s="1743"/>
      <c r="T303" s="1743"/>
      <c r="U303" s="1743"/>
      <c r="V303" s="1743"/>
      <c r="W303" s="1743"/>
      <c r="X303" s="1743"/>
    </row>
    <row r="304" spans="5:24" s="1738" customFormat="1">
      <c r="E304" s="1743"/>
      <c r="F304" s="1743"/>
      <c r="I304" s="1743"/>
      <c r="J304" s="1743"/>
      <c r="K304" s="1743"/>
      <c r="L304" s="1743"/>
      <c r="M304" s="1743"/>
      <c r="N304" s="1743"/>
      <c r="O304" s="1743"/>
      <c r="P304" s="1743"/>
      <c r="Q304" s="1743"/>
      <c r="R304" s="1743"/>
      <c r="S304" s="1743"/>
      <c r="T304" s="1743"/>
      <c r="U304" s="1743"/>
      <c r="V304" s="1743"/>
      <c r="W304" s="1743"/>
      <c r="X304" s="1743"/>
    </row>
    <row r="305" spans="5:24" s="1738" customFormat="1">
      <c r="E305" s="1743"/>
      <c r="F305" s="1743"/>
      <c r="I305" s="1743"/>
      <c r="J305" s="1743"/>
      <c r="K305" s="1743"/>
      <c r="L305" s="1743"/>
      <c r="M305" s="1743"/>
      <c r="N305" s="1743"/>
      <c r="O305" s="1743"/>
      <c r="P305" s="1743"/>
      <c r="Q305" s="1743"/>
      <c r="R305" s="1743"/>
      <c r="S305" s="1743"/>
      <c r="T305" s="1743"/>
      <c r="U305" s="1743"/>
      <c r="V305" s="1743"/>
      <c r="W305" s="1743"/>
      <c r="X305" s="1743"/>
    </row>
    <row r="306" spans="5:24" s="1738" customFormat="1">
      <c r="E306" s="1743"/>
      <c r="F306" s="1743"/>
      <c r="I306" s="1743"/>
      <c r="J306" s="1743"/>
      <c r="K306" s="1743"/>
      <c r="L306" s="1743"/>
      <c r="M306" s="1743"/>
      <c r="N306" s="1743"/>
      <c r="O306" s="1743"/>
      <c r="P306" s="1743"/>
      <c r="Q306" s="1743"/>
      <c r="R306" s="1743"/>
      <c r="S306" s="1743"/>
      <c r="T306" s="1743"/>
      <c r="U306" s="1743"/>
      <c r="V306" s="1743"/>
      <c r="W306" s="1743"/>
      <c r="X306" s="1743"/>
    </row>
    <row r="307" spans="5:24" s="1738" customFormat="1">
      <c r="E307" s="1743"/>
      <c r="F307" s="1743"/>
      <c r="I307" s="1743"/>
      <c r="J307" s="1743"/>
      <c r="K307" s="1743"/>
      <c r="L307" s="1743"/>
      <c r="M307" s="1743"/>
      <c r="N307" s="1743"/>
      <c r="O307" s="1743"/>
      <c r="P307" s="1743"/>
      <c r="Q307" s="1743"/>
      <c r="R307" s="1743"/>
      <c r="S307" s="1743"/>
      <c r="T307" s="1743"/>
      <c r="U307" s="1743"/>
      <c r="V307" s="1743"/>
      <c r="W307" s="1743"/>
      <c r="X307" s="1743"/>
    </row>
    <row r="308" spans="5:24" s="1738" customFormat="1">
      <c r="E308" s="1743"/>
      <c r="F308" s="1743"/>
      <c r="I308" s="1743"/>
      <c r="J308" s="1743"/>
      <c r="K308" s="1743"/>
      <c r="L308" s="1743"/>
      <c r="M308" s="1743"/>
      <c r="N308" s="1743"/>
      <c r="O308" s="1743"/>
      <c r="P308" s="1743"/>
      <c r="Q308" s="1743"/>
      <c r="R308" s="1743"/>
      <c r="S308" s="1743"/>
      <c r="T308" s="1743"/>
      <c r="U308" s="1743"/>
      <c r="V308" s="1743"/>
      <c r="W308" s="1743"/>
      <c r="X308" s="1743"/>
    </row>
    <row r="309" spans="5:24" s="1738" customFormat="1">
      <c r="E309" s="1743"/>
      <c r="F309" s="1743"/>
      <c r="I309" s="1743"/>
      <c r="J309" s="1743"/>
      <c r="K309" s="1743"/>
      <c r="L309" s="1743"/>
      <c r="M309" s="1743"/>
      <c r="N309" s="1743"/>
      <c r="O309" s="1743"/>
      <c r="P309" s="1743"/>
      <c r="Q309" s="1743"/>
      <c r="R309" s="1743"/>
      <c r="S309" s="1743"/>
      <c r="T309" s="1743"/>
      <c r="U309" s="1743"/>
      <c r="V309" s="1743"/>
      <c r="W309" s="1743"/>
      <c r="X309" s="1743"/>
    </row>
    <row r="310" spans="5:24" s="1738" customFormat="1">
      <c r="E310" s="1743"/>
      <c r="F310" s="1743"/>
      <c r="I310" s="1743"/>
      <c r="J310" s="1743"/>
      <c r="K310" s="1743"/>
      <c r="L310" s="1743"/>
      <c r="M310" s="1743"/>
      <c r="N310" s="1743"/>
      <c r="O310" s="1743"/>
      <c r="P310" s="1743"/>
      <c r="Q310" s="1743"/>
      <c r="R310" s="1743"/>
      <c r="S310" s="1743"/>
      <c r="T310" s="1743"/>
      <c r="U310" s="1743"/>
      <c r="V310" s="1743"/>
      <c r="W310" s="1743"/>
      <c r="X310" s="1743"/>
    </row>
    <row r="311" spans="5:24" s="1738" customFormat="1">
      <c r="E311" s="1743"/>
      <c r="F311" s="1743"/>
      <c r="I311" s="1743"/>
      <c r="J311" s="1743"/>
      <c r="K311" s="1743"/>
      <c r="L311" s="1743"/>
      <c r="M311" s="1743"/>
      <c r="N311" s="1743"/>
      <c r="O311" s="1743"/>
      <c r="P311" s="1743"/>
      <c r="Q311" s="1743"/>
      <c r="R311" s="1743"/>
      <c r="S311" s="1743"/>
      <c r="T311" s="1743"/>
      <c r="U311" s="1743"/>
      <c r="V311" s="1743"/>
      <c r="W311" s="1743"/>
      <c r="X311" s="1743"/>
    </row>
    <row r="312" spans="5:24" s="1738" customFormat="1">
      <c r="E312" s="1743"/>
      <c r="F312" s="1743"/>
      <c r="I312" s="1743"/>
      <c r="J312" s="1743"/>
      <c r="K312" s="1743"/>
      <c r="L312" s="1743"/>
      <c r="M312" s="1743"/>
      <c r="N312" s="1743"/>
      <c r="O312" s="1743"/>
      <c r="P312" s="1743"/>
      <c r="Q312" s="1743"/>
      <c r="R312" s="1743"/>
      <c r="S312" s="1743"/>
      <c r="T312" s="1743"/>
      <c r="U312" s="1743"/>
      <c r="V312" s="1743"/>
      <c r="W312" s="1743"/>
      <c r="X312" s="1743"/>
    </row>
    <row r="313" spans="5:24" s="1738" customFormat="1">
      <c r="E313" s="1743"/>
      <c r="F313" s="1743"/>
      <c r="I313" s="1743"/>
      <c r="J313" s="1743"/>
      <c r="K313" s="1743"/>
      <c r="L313" s="1743"/>
      <c r="M313" s="1743"/>
      <c r="N313" s="1743"/>
      <c r="O313" s="1743"/>
      <c r="P313" s="1743"/>
      <c r="Q313" s="1743"/>
      <c r="R313" s="1743"/>
      <c r="S313" s="1743"/>
      <c r="T313" s="1743"/>
      <c r="U313" s="1743"/>
      <c r="V313" s="1743"/>
      <c r="W313" s="1743"/>
      <c r="X313" s="1743"/>
    </row>
    <row r="314" spans="5:24" s="1738" customFormat="1">
      <c r="E314" s="1743"/>
      <c r="F314" s="1743"/>
      <c r="I314" s="1743"/>
      <c r="J314" s="1743"/>
      <c r="K314" s="1743"/>
      <c r="L314" s="1743"/>
      <c r="M314" s="1743"/>
      <c r="N314" s="1743"/>
      <c r="O314" s="1743"/>
      <c r="P314" s="1743"/>
      <c r="Q314" s="1743"/>
      <c r="R314" s="1743"/>
      <c r="S314" s="1743"/>
      <c r="T314" s="1743"/>
      <c r="U314" s="1743"/>
      <c r="V314" s="1743"/>
      <c r="W314" s="1743"/>
      <c r="X314" s="1743"/>
    </row>
    <row r="315" spans="5:24" s="1738" customFormat="1">
      <c r="E315" s="1743"/>
      <c r="F315" s="1743"/>
      <c r="I315" s="1743"/>
      <c r="J315" s="1743"/>
      <c r="K315" s="1743"/>
      <c r="L315" s="1743"/>
      <c r="M315" s="1743"/>
      <c r="N315" s="1743"/>
      <c r="O315" s="1743"/>
      <c r="P315" s="1743"/>
      <c r="Q315" s="1743"/>
      <c r="R315" s="1743"/>
      <c r="S315" s="1743"/>
      <c r="T315" s="1743"/>
      <c r="U315" s="1743"/>
      <c r="V315" s="1743"/>
      <c r="W315" s="1743"/>
      <c r="X315" s="1743"/>
    </row>
    <row r="316" spans="5:24" s="1738" customFormat="1">
      <c r="E316" s="1743"/>
      <c r="F316" s="1743"/>
      <c r="I316" s="1743"/>
      <c r="J316" s="1743"/>
      <c r="K316" s="1743"/>
      <c r="L316" s="1743"/>
      <c r="M316" s="1743"/>
      <c r="N316" s="1743"/>
      <c r="O316" s="1743"/>
      <c r="P316" s="1743"/>
      <c r="Q316" s="1743"/>
      <c r="R316" s="1743"/>
      <c r="S316" s="1743"/>
      <c r="T316" s="1743"/>
      <c r="U316" s="1743"/>
      <c r="V316" s="1743"/>
      <c r="W316" s="1743"/>
      <c r="X316" s="1743"/>
    </row>
    <row r="317" spans="5:24" s="1738" customFormat="1">
      <c r="E317" s="1743"/>
      <c r="F317" s="1743"/>
      <c r="I317" s="1743"/>
      <c r="J317" s="1743"/>
      <c r="K317" s="1743"/>
      <c r="L317" s="1743"/>
      <c r="M317" s="1743"/>
      <c r="N317" s="1743"/>
      <c r="O317" s="1743"/>
      <c r="P317" s="1743"/>
      <c r="Q317" s="1743"/>
      <c r="R317" s="1743"/>
      <c r="S317" s="1743"/>
      <c r="T317" s="1743"/>
      <c r="U317" s="1743"/>
      <c r="V317" s="1743"/>
      <c r="W317" s="1743"/>
      <c r="X317" s="1743"/>
    </row>
    <row r="318" spans="5:24" s="1738" customFormat="1">
      <c r="E318" s="1743"/>
      <c r="F318" s="1743"/>
      <c r="I318" s="1743"/>
      <c r="J318" s="1743"/>
      <c r="K318" s="1743"/>
      <c r="L318" s="1743"/>
      <c r="M318" s="1743"/>
      <c r="N318" s="1743"/>
      <c r="O318" s="1743"/>
      <c r="P318" s="1743"/>
      <c r="Q318" s="1743"/>
      <c r="R318" s="1743"/>
      <c r="S318" s="1743"/>
      <c r="T318" s="1743"/>
      <c r="U318" s="1743"/>
      <c r="V318" s="1743"/>
      <c r="W318" s="1743"/>
      <c r="X318" s="1743"/>
    </row>
    <row r="319" spans="5:24" s="1738" customFormat="1">
      <c r="E319" s="1743"/>
      <c r="F319" s="1743"/>
      <c r="I319" s="1743"/>
      <c r="J319" s="1743"/>
      <c r="K319" s="1743"/>
      <c r="L319" s="1743"/>
      <c r="M319" s="1743"/>
      <c r="N319" s="1743"/>
      <c r="O319" s="1743"/>
      <c r="P319" s="1743"/>
      <c r="Q319" s="1743"/>
      <c r="R319" s="1743"/>
      <c r="S319" s="1743"/>
      <c r="T319" s="1743"/>
      <c r="U319" s="1743"/>
      <c r="V319" s="1743"/>
      <c r="W319" s="1743"/>
      <c r="X319" s="1743"/>
    </row>
    <row r="320" spans="5:24" s="1738" customFormat="1">
      <c r="E320" s="1743"/>
      <c r="F320" s="1743"/>
      <c r="I320" s="1743"/>
      <c r="J320" s="1743"/>
      <c r="K320" s="1743"/>
      <c r="L320" s="1743"/>
      <c r="M320" s="1743"/>
      <c r="N320" s="1743"/>
      <c r="O320" s="1743"/>
      <c r="P320" s="1743"/>
      <c r="Q320" s="1743"/>
      <c r="R320" s="1743"/>
      <c r="S320" s="1743"/>
      <c r="T320" s="1743"/>
      <c r="U320" s="1743"/>
      <c r="V320" s="1743"/>
      <c r="W320" s="1743"/>
      <c r="X320" s="1743"/>
    </row>
    <row r="321" spans="2:24" s="1738" customFormat="1">
      <c r="E321" s="1743"/>
      <c r="F321" s="1743"/>
      <c r="I321" s="1743"/>
      <c r="J321" s="1743"/>
      <c r="K321" s="1743"/>
      <c r="L321" s="1743"/>
      <c r="M321" s="1743"/>
      <c r="N321" s="1743"/>
      <c r="O321" s="1743"/>
      <c r="P321" s="1743"/>
      <c r="Q321" s="1743"/>
      <c r="R321" s="1743"/>
      <c r="S321" s="1743"/>
      <c r="T321" s="1743"/>
      <c r="U321" s="1743"/>
      <c r="V321" s="1743"/>
      <c r="W321" s="1743"/>
      <c r="X321" s="1743"/>
    </row>
    <row r="322" spans="2:24" s="1738" customFormat="1">
      <c r="E322" s="1743"/>
      <c r="F322" s="1743"/>
      <c r="I322" s="1743"/>
      <c r="J322" s="1743"/>
      <c r="K322" s="1743"/>
      <c r="L322" s="1743"/>
      <c r="M322" s="1743"/>
      <c r="N322" s="1743"/>
      <c r="O322" s="1743"/>
      <c r="P322" s="1743"/>
      <c r="Q322" s="1743"/>
      <c r="R322" s="1743"/>
      <c r="S322" s="1743"/>
      <c r="T322" s="1743"/>
      <c r="U322" s="1743"/>
      <c r="V322" s="1743"/>
      <c r="W322" s="1743"/>
      <c r="X322" s="1743"/>
    </row>
    <row r="323" spans="2:24" s="1738" customFormat="1">
      <c r="E323" s="1743"/>
      <c r="F323" s="1743"/>
      <c r="I323" s="1743"/>
      <c r="J323" s="1743"/>
      <c r="K323" s="1743"/>
      <c r="L323" s="1743"/>
      <c r="M323" s="1743"/>
      <c r="N323" s="1743"/>
      <c r="O323" s="1743"/>
      <c r="P323" s="1743"/>
      <c r="Q323" s="1743"/>
      <c r="R323" s="1743"/>
      <c r="S323" s="1743"/>
      <c r="T323" s="1743"/>
      <c r="U323" s="1743"/>
      <c r="V323" s="1743"/>
      <c r="W323" s="1743"/>
      <c r="X323" s="1743"/>
    </row>
    <row r="324" spans="2:24" s="1738" customFormat="1">
      <c r="E324" s="1743"/>
      <c r="F324" s="1743"/>
      <c r="I324" s="1743"/>
      <c r="J324" s="1743"/>
      <c r="K324" s="1743"/>
      <c r="L324" s="1743"/>
      <c r="M324" s="1743"/>
      <c r="N324" s="1743"/>
      <c r="O324" s="1743"/>
      <c r="P324" s="1743"/>
      <c r="Q324" s="1743"/>
      <c r="R324" s="1743"/>
      <c r="S324" s="1743"/>
      <c r="T324" s="1743"/>
      <c r="U324" s="1743"/>
      <c r="V324" s="1743"/>
      <c r="W324" s="1743"/>
      <c r="X324" s="1743"/>
    </row>
    <row r="325" spans="2:24" s="1738" customFormat="1">
      <c r="E325" s="1743"/>
      <c r="F325" s="1743"/>
      <c r="I325" s="1743"/>
      <c r="J325" s="1743"/>
      <c r="K325" s="1743"/>
      <c r="L325" s="1743"/>
      <c r="M325" s="1743"/>
      <c r="N325" s="1743"/>
      <c r="O325" s="1743"/>
      <c r="P325" s="1743"/>
      <c r="Q325" s="1743"/>
      <c r="R325" s="1743"/>
      <c r="S325" s="1743"/>
      <c r="T325" s="1743"/>
      <c r="U325" s="1743"/>
      <c r="V325" s="1743"/>
      <c r="W325" s="1743"/>
      <c r="X325" s="1743"/>
    </row>
    <row r="326" spans="2:24" s="1738" customFormat="1">
      <c r="E326" s="1743"/>
      <c r="F326" s="1743"/>
      <c r="I326" s="1743"/>
      <c r="J326" s="1743"/>
      <c r="K326" s="1743"/>
      <c r="L326" s="1743"/>
      <c r="M326" s="1743"/>
      <c r="N326" s="1743"/>
      <c r="O326" s="1743"/>
      <c r="P326" s="1743"/>
      <c r="Q326" s="1743"/>
      <c r="R326" s="1743"/>
      <c r="S326" s="1743"/>
      <c r="T326" s="1743"/>
      <c r="U326" s="1743"/>
      <c r="V326" s="1743"/>
      <c r="W326" s="1743"/>
      <c r="X326" s="1743"/>
    </row>
    <row r="327" spans="2:24" s="1738" customFormat="1">
      <c r="E327" s="1743"/>
      <c r="F327" s="1743"/>
      <c r="I327" s="1743"/>
      <c r="J327" s="1743"/>
      <c r="K327" s="1743"/>
      <c r="L327" s="1743"/>
      <c r="M327" s="1743"/>
      <c r="N327" s="1743"/>
      <c r="O327" s="1743"/>
      <c r="P327" s="1743"/>
      <c r="Q327" s="1743"/>
      <c r="R327" s="1743"/>
      <c r="S327" s="1743"/>
      <c r="T327" s="1743"/>
      <c r="U327" s="1743"/>
      <c r="V327" s="1743"/>
      <c r="W327" s="1743"/>
      <c r="X327" s="1743"/>
    </row>
    <row r="328" spans="2:24" s="1738" customFormat="1">
      <c r="E328" s="1743"/>
      <c r="F328" s="1743"/>
      <c r="I328" s="1743"/>
      <c r="J328" s="1743"/>
      <c r="K328" s="1743"/>
      <c r="L328" s="1743"/>
      <c r="M328" s="1743"/>
      <c r="N328" s="1743"/>
      <c r="O328" s="1743"/>
      <c r="P328" s="1743"/>
      <c r="Q328" s="1743"/>
      <c r="R328" s="1743"/>
      <c r="S328" s="1743"/>
      <c r="T328" s="1743"/>
      <c r="U328" s="1743"/>
      <c r="V328" s="1743"/>
      <c r="W328" s="1743"/>
      <c r="X328" s="1743"/>
    </row>
    <row r="329" spans="2:24" s="1738" customFormat="1">
      <c r="E329" s="1743"/>
      <c r="F329" s="1743"/>
      <c r="I329" s="1743"/>
      <c r="J329" s="1743"/>
      <c r="K329" s="1743"/>
      <c r="L329" s="1743"/>
      <c r="M329" s="1743"/>
      <c r="N329" s="1743"/>
      <c r="O329" s="1743"/>
      <c r="P329" s="1743"/>
      <c r="Q329" s="1743"/>
      <c r="R329" s="1743"/>
      <c r="S329" s="1743"/>
      <c r="T329" s="1743"/>
      <c r="U329" s="1743"/>
      <c r="V329" s="1743"/>
      <c r="W329" s="1743"/>
      <c r="X329" s="1743"/>
    </row>
    <row r="330" spans="2:24" s="1738" customFormat="1">
      <c r="E330" s="1743"/>
      <c r="F330" s="1743"/>
      <c r="I330" s="1743"/>
      <c r="J330" s="1743"/>
      <c r="K330" s="1743"/>
      <c r="L330" s="1743"/>
      <c r="M330" s="1743"/>
      <c r="N330" s="1743"/>
      <c r="O330" s="1743"/>
      <c r="P330" s="1743"/>
      <c r="Q330" s="1743"/>
      <c r="R330" s="1743"/>
      <c r="S330" s="1743"/>
      <c r="T330" s="1743"/>
      <c r="U330" s="1743"/>
      <c r="V330" s="1743"/>
      <c r="W330" s="1743"/>
      <c r="X330" s="1743"/>
    </row>
    <row r="331" spans="2:24" s="1738" customFormat="1">
      <c r="E331" s="1743"/>
      <c r="F331" s="1743"/>
      <c r="I331" s="1743"/>
      <c r="J331" s="1743"/>
      <c r="K331" s="1743"/>
      <c r="L331" s="1743"/>
      <c r="M331" s="1743"/>
      <c r="N331" s="1743"/>
      <c r="O331" s="1743"/>
      <c r="P331" s="1743"/>
      <c r="Q331" s="1743"/>
      <c r="R331" s="1743"/>
      <c r="S331" s="1743"/>
      <c r="T331" s="1743"/>
      <c r="U331" s="1743"/>
      <c r="V331" s="1743"/>
      <c r="W331" s="1743"/>
      <c r="X331" s="1743"/>
    </row>
    <row r="332" spans="2:24" s="1738" customFormat="1">
      <c r="B332" s="232"/>
      <c r="E332" s="1743"/>
      <c r="F332" s="1743"/>
      <c r="I332" s="1743"/>
      <c r="J332" s="1743"/>
      <c r="K332" s="1743"/>
      <c r="L332" s="1743"/>
      <c r="M332" s="1743"/>
      <c r="N332" s="1743"/>
      <c r="O332" s="1743"/>
      <c r="P332" s="1743"/>
      <c r="Q332" s="1743"/>
      <c r="R332" s="1743"/>
      <c r="S332" s="1743"/>
      <c r="T332" s="1743"/>
      <c r="U332" s="1743"/>
      <c r="V332" s="1743"/>
      <c r="W332" s="1743"/>
      <c r="X332" s="1743"/>
    </row>
    <row r="333" spans="2:24" s="1738" customFormat="1">
      <c r="B333" s="232"/>
      <c r="E333" s="1743"/>
      <c r="F333" s="1743"/>
      <c r="I333" s="1743"/>
      <c r="J333" s="1743"/>
      <c r="K333" s="1743"/>
      <c r="L333" s="1743"/>
      <c r="M333" s="1743"/>
      <c r="N333" s="1743"/>
      <c r="O333" s="1743"/>
      <c r="P333" s="1743"/>
      <c r="Q333" s="1743"/>
      <c r="R333" s="1743"/>
      <c r="S333" s="1743"/>
      <c r="T333" s="1743"/>
      <c r="U333" s="1743"/>
      <c r="V333" s="1743"/>
      <c r="W333" s="1743"/>
      <c r="X333" s="1743"/>
    </row>
  </sheetData>
  <sheetProtection password="E8A2" sheet="1" objects="1" scenarios="1" formatCells="0" formatColumns="0" formatRows="0"/>
  <mergeCells count="29">
    <mergeCell ref="D211:F211"/>
    <mergeCell ref="C65:F65"/>
    <mergeCell ref="C70:F70"/>
    <mergeCell ref="I211:K211"/>
    <mergeCell ref="C40:F40"/>
    <mergeCell ref="C66:F66"/>
    <mergeCell ref="C76:F76"/>
    <mergeCell ref="C71:F71"/>
    <mergeCell ref="C72:F72"/>
    <mergeCell ref="C73:F73"/>
    <mergeCell ref="C74:F74"/>
    <mergeCell ref="C75:F75"/>
    <mergeCell ref="C41:F41"/>
    <mergeCell ref="M9:Q9"/>
    <mergeCell ref="M10:N10"/>
    <mergeCell ref="P10:Q10"/>
    <mergeCell ref="S9:V10"/>
    <mergeCell ref="W9:X9"/>
    <mergeCell ref="W10:X10"/>
    <mergeCell ref="S130:X131"/>
    <mergeCell ref="H130:Q130"/>
    <mergeCell ref="N131:Q131"/>
    <mergeCell ref="H131:K131"/>
    <mergeCell ref="W36:X36"/>
    <mergeCell ref="W37:X37"/>
    <mergeCell ref="W61:X61"/>
    <mergeCell ref="W62:X62"/>
    <mergeCell ref="I61:K61"/>
    <mergeCell ref="N64:P64"/>
  </mergeCells>
  <dataValidations count="7">
    <dataValidation type="list" allowBlank="1" showInputMessage="1" showErrorMessage="1" sqref="C40">
      <formula1>country</formula1>
    </dataValidation>
    <dataValidation type="list" allowBlank="1" showInputMessage="1" showErrorMessage="1" sqref="C65:C66">
      <formula1>irrig_sys</formula1>
    </dataValidation>
    <dataValidation type="list" allowBlank="1" showInputMessage="1" showErrorMessage="1" sqref="C70:C76">
      <formula1>construct</formula1>
    </dataValidation>
    <dataValidation type="list" allowBlank="1" showInputMessage="1" showErrorMessage="1" sqref="L24:L26 J16:J22 J24:J26 J12:J14 L12:L14 L16:L22 J40 L40 J51:J52 L51:L52 L43:L49 J43:J49">
      <formula1>dyn_simple</formula1>
    </dataValidation>
    <dataValidation type="decimal" operator="greaterThanOrEqual" allowBlank="1" showInputMessage="1" showErrorMessage="1" sqref="K133:K135 K137 Q137:Q141 X133:X135 K240:K246 X137:X139 X142:X143 M201 M205:M211 M213:M214 K236:K237 X145:X147">
      <formula1>0</formula1>
    </dataValidation>
    <dataValidation type="decimal" allowBlank="1" showInputMessage="1" showErrorMessage="1" sqref="M202">
      <formula1>0</formula1>
      <formula2>100</formula2>
    </dataValidation>
    <dataValidation type="list" allowBlank="1" showInputMessage="1" showErrorMessage="1" sqref="X150">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1 I21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4"/>
  <sheetViews>
    <sheetView zoomScale="90" zoomScaleNormal="90" workbookViewId="0">
      <pane ySplit="5" topLeftCell="A6" activePane="bottomLeft" state="frozen"/>
      <selection activeCell="J14" sqref="J14"/>
      <selection pane="bottomLeft" activeCell="E9" sqref="E9"/>
    </sheetView>
  </sheetViews>
  <sheetFormatPr baseColWidth="10" defaultColWidth="11.5546875" defaultRowHeight="13.2"/>
  <cols>
    <col min="1" max="1" width="5.109375" style="1664" customWidth="1"/>
    <col min="2" max="2" width="23.5546875" style="1664" customWidth="1"/>
    <col min="3" max="3" width="3.33203125" style="1664" customWidth="1"/>
    <col min="4" max="4" width="12.6640625" style="1664" customWidth="1"/>
    <col min="5" max="5" width="13" style="1664" customWidth="1"/>
    <col min="6" max="6" width="12.33203125" style="1664" customWidth="1"/>
    <col min="7" max="7" width="2.6640625" style="1664" customWidth="1"/>
    <col min="8" max="9" width="10.88671875" style="1664" customWidth="1"/>
    <col min="10" max="10" width="9" style="1664" customWidth="1"/>
    <col min="11" max="11" width="12.88671875" style="1664" customWidth="1"/>
    <col min="12" max="12" width="12.5546875" style="1664" customWidth="1"/>
    <col min="13" max="13" width="2.33203125" style="1664" customWidth="1"/>
    <col min="14" max="15" width="10" style="1664" customWidth="1"/>
    <col min="16" max="16" width="2.33203125" style="1664" customWidth="1"/>
    <col min="17" max="17" width="10.6640625" style="1664" customWidth="1"/>
    <col min="18" max="18" width="2.109375" style="1664" customWidth="1"/>
    <col min="19" max="20" width="9.6640625" style="1664" customWidth="1"/>
    <col min="21" max="21" width="1" style="1664" customWidth="1"/>
    <col min="22" max="22" width="8.44140625" style="1664" customWidth="1"/>
    <col min="23" max="23" width="7.33203125" style="1664" customWidth="1"/>
    <col min="24" max="24" width="11.5546875" style="1664"/>
    <col min="25" max="26" width="12.5546875" style="1664" customWidth="1"/>
    <col min="27" max="16384" width="11.5546875" style="1664"/>
  </cols>
  <sheetData>
    <row r="1" spans="1:24" s="2285" customFormat="1" ht="22.95" customHeight="1">
      <c r="S1" s="2865" t="str">
        <f>HLOOKUP(select,translations!$A$341:$H$435,92,)</f>
        <v>Select GWP for calculation</v>
      </c>
      <c r="T1" s="2299"/>
      <c r="U1" s="2297"/>
      <c r="V1" s="2297"/>
    </row>
    <row r="2" spans="1:24" s="2285" customFormat="1" ht="22.95" customHeight="1">
      <c r="S2" s="3288" t="s">
        <v>1644</v>
      </c>
      <c r="T2" s="3288"/>
      <c r="U2" s="3288"/>
      <c r="V2" s="3288"/>
      <c r="W2" s="2786"/>
      <c r="X2" s="2786" t="str">
        <f>IF(Nlang=1,"",VLOOKUP(S2,'Name translation'!$A$160:$H$162,Nlang+1,))</f>
        <v/>
      </c>
    </row>
    <row r="3" spans="1:24" s="2285" customFormat="1" ht="22.95" customHeight="1">
      <c r="S3" s="2300" t="s">
        <v>1562</v>
      </c>
      <c r="T3" s="2298">
        <f>HLOOKUP($S$2,List!$A$40:$D$43,2,)</f>
        <v>1</v>
      </c>
      <c r="U3" s="2297"/>
      <c r="V3" s="2297"/>
    </row>
    <row r="4" spans="1:24" s="2285" customFormat="1" ht="22.95" customHeight="1">
      <c r="S4" s="2300" t="s">
        <v>1563</v>
      </c>
      <c r="T4" s="2298">
        <f>HLOOKUP($S$2,List!$A$40:$D$43,3,)</f>
        <v>21</v>
      </c>
      <c r="U4" s="2297"/>
      <c r="V4" s="2297"/>
    </row>
    <row r="5" spans="1:24" s="2285" customFormat="1" ht="22.95" customHeight="1">
      <c r="A5" s="2781" t="str">
        <f>HLOOKUP(select,translations!$B$436:$H$450,2,)</f>
        <v xml:space="preserve"> </v>
      </c>
      <c r="S5" s="2300" t="s">
        <v>1564</v>
      </c>
      <c r="T5" s="2298">
        <f>HLOOKUP($S$2,List!$A$40:$D$43,4,)</f>
        <v>310</v>
      </c>
      <c r="U5" s="2297"/>
      <c r="V5" s="2297"/>
    </row>
    <row r="7" spans="1:24" ht="15.6">
      <c r="B7" s="2755" t="str">
        <f>'1.Description'!B7</f>
        <v>Project Name</v>
      </c>
      <c r="C7" s="2756"/>
      <c r="D7" s="2757">
        <f>title</f>
        <v>0</v>
      </c>
      <c r="E7" s="2756"/>
      <c r="F7" s="2755" t="str">
        <f>'1.Description'!B11</f>
        <v>Climate</v>
      </c>
      <c r="G7" s="2599"/>
      <c r="H7" s="2758" t="str">
        <f>IF('1.Description'!I11&lt;&gt;"",CONCATENATE('1.Description'!I11," (",'1.Description'!I12,")"),CONCATENATE(climate," (",moist_type,")"))</f>
        <v>Please select (Please select)</v>
      </c>
      <c r="I7" s="2599"/>
      <c r="J7" s="2599"/>
      <c r="K7" s="2599"/>
      <c r="L7" s="2756"/>
      <c r="M7" s="2600"/>
      <c r="N7" s="2755" t="str">
        <f>'1.Description'!B18</f>
        <v>Duration of the Project (Years)</v>
      </c>
      <c r="O7" s="2758">
        <f>time_tot</f>
        <v>0</v>
      </c>
      <c r="P7" s="2758"/>
      <c r="Q7" s="2599"/>
    </row>
    <row r="8" spans="1:24" ht="15.6">
      <c r="B8" s="2755" t="str">
        <f>'1.Description'!B9</f>
        <v>Continent</v>
      </c>
      <c r="C8" s="2756"/>
      <c r="D8" s="2758" t="str">
        <f>IF('1.Description'!I9&lt;&gt;"",'1.Description'!I9,region)</f>
        <v>Please select</v>
      </c>
      <c r="E8" s="2756"/>
      <c r="F8" s="2848" t="str">
        <f>'1.Description'!B15</f>
        <v>Dominant Regional Soil Type</v>
      </c>
      <c r="G8" s="2599"/>
      <c r="H8" s="2758" t="str">
        <f>IF('1.Description'!I15&lt;&gt;"",'1.Description'!I15,soil)</f>
        <v>Please select</v>
      </c>
      <c r="I8" s="2599"/>
      <c r="J8" s="2599"/>
      <c r="K8" s="2599"/>
      <c r="L8" s="2599"/>
      <c r="M8" s="2600"/>
      <c r="N8" s="2598" t="str">
        <f>HLOOKUP(select,translations!$A$341:$H$435,2,)</f>
        <v>Total area (ha)</v>
      </c>
      <c r="O8" s="2758">
        <f>'Gross Results'!O14</f>
        <v>0</v>
      </c>
      <c r="P8" s="2758"/>
      <c r="Q8" s="2599"/>
    </row>
    <row r="9" spans="1:24">
      <c r="S9" s="2076"/>
      <c r="T9" s="2076"/>
      <c r="U9" s="2076"/>
      <c r="V9" s="2076"/>
      <c r="W9" s="2076"/>
    </row>
    <row r="10" spans="1:24">
      <c r="B10" s="3299" t="str">
        <f>HLOOKUP(select,translations!$A$341:$H$435,3,)</f>
        <v>Components of the project</v>
      </c>
      <c r="D10" s="2097" t="str">
        <f>HLOOKUP(select,translations!$A$341:$H$435,4,)</f>
        <v>Gross fluxes</v>
      </c>
      <c r="E10" s="2097"/>
      <c r="F10" s="2098"/>
      <c r="G10" s="1668"/>
      <c r="H10" s="2864" t="str">
        <f>HLOOKUP(select,translations!$A$341:$H$435,7,)</f>
        <v>Share per GHG of the Balance</v>
      </c>
      <c r="I10" s="2099"/>
      <c r="J10" s="2099"/>
      <c r="K10" s="2099"/>
      <c r="L10" s="2099"/>
      <c r="M10" s="1668"/>
      <c r="N10" s="2072" t="str">
        <f>HLOOKUP(select,translations!$A$341:$H$435,11,)</f>
        <v>Result per year</v>
      </c>
      <c r="O10" s="2072"/>
      <c r="P10" s="2072"/>
      <c r="Q10" s="2099"/>
      <c r="S10" s="3289" t="s">
        <v>1515</v>
      </c>
      <c r="T10" s="3289"/>
      <c r="U10" s="2076"/>
      <c r="V10" s="3289" t="s">
        <v>1604</v>
      </c>
      <c r="W10" s="3289"/>
    </row>
    <row r="11" spans="1:24" ht="15.6">
      <c r="B11" s="3299"/>
      <c r="D11" s="2760" t="str">
        <f>'6. Inputs'!I11</f>
        <v>Without</v>
      </c>
      <c r="E11" s="2760" t="str">
        <f>'6. Inputs'!K11</f>
        <v>With</v>
      </c>
      <c r="F11" s="2098" t="str">
        <f>'6. Inputs'!Y9</f>
        <v>Balance</v>
      </c>
      <c r="G11" s="1668"/>
      <c r="H11" s="2099"/>
      <c r="I11" s="2099"/>
      <c r="J11" s="2099"/>
      <c r="K11" s="2099"/>
      <c r="L11" s="2099"/>
      <c r="M11" s="1668"/>
      <c r="N11" s="2767" t="str">
        <f>D11</f>
        <v>Without</v>
      </c>
      <c r="O11" s="2767" t="str">
        <f>E11</f>
        <v>With</v>
      </c>
      <c r="P11" s="2100"/>
      <c r="Q11" s="2101" t="str">
        <f>F11</f>
        <v>Balance</v>
      </c>
      <c r="S11" s="3289" t="s">
        <v>1516</v>
      </c>
      <c r="T11" s="3289"/>
      <c r="U11" s="2076"/>
      <c r="V11" s="3289" t="s">
        <v>1631</v>
      </c>
      <c r="W11" s="3289"/>
    </row>
    <row r="12" spans="1:24" ht="15.6">
      <c r="B12" s="2071"/>
      <c r="D12" s="1801" t="str">
        <f>HLOOKUP(select,translations!$A$341:$H$435,5,)</f>
        <v>All GHG in tCO2eq</v>
      </c>
      <c r="E12" s="2097"/>
      <c r="F12" s="2098"/>
      <c r="H12" s="2074" t="s">
        <v>1504</v>
      </c>
      <c r="I12" s="2074"/>
      <c r="J12" s="2074"/>
      <c r="K12" s="2068" t="s">
        <v>1505</v>
      </c>
      <c r="L12" s="2068" t="s">
        <v>1506</v>
      </c>
      <c r="N12" s="2065"/>
      <c r="O12" s="2065"/>
      <c r="P12" s="2065"/>
      <c r="Q12" s="2057"/>
      <c r="S12" s="2560" t="s">
        <v>690</v>
      </c>
      <c r="T12" s="2560" t="s">
        <v>691</v>
      </c>
      <c r="U12" s="2076"/>
      <c r="V12" s="2560" t="s">
        <v>690</v>
      </c>
      <c r="W12" s="2560" t="s">
        <v>691</v>
      </c>
    </row>
    <row r="13" spans="1:24">
      <c r="B13" s="2071"/>
      <c r="D13" s="1801" t="str">
        <f>HLOOKUP(select,translations!$A$341:$H$435,6,)</f>
        <v>Positive = source / negative = sink</v>
      </c>
      <c r="E13" s="2102"/>
      <c r="F13" s="2103"/>
      <c r="H13" s="2068" t="str">
        <f>HLOOKUP(select,translations!$A$341:$H$435,8,)</f>
        <v>Biomass</v>
      </c>
      <c r="I13" s="2068" t="str">
        <f>HLOOKUP(select,translations!$A$341:$H$435,9,)</f>
        <v>Soil</v>
      </c>
      <c r="J13" s="2068" t="str">
        <f>HLOOKUP(select,translations!$A$341:$H$435,10,)</f>
        <v>Other</v>
      </c>
      <c r="K13" s="2068"/>
      <c r="L13" s="2068"/>
      <c r="N13" s="2065"/>
      <c r="O13" s="2065"/>
      <c r="P13" s="2065"/>
      <c r="Q13" s="2057"/>
      <c r="S13" s="2076"/>
      <c r="T13" s="2076"/>
      <c r="U13" s="2076"/>
      <c r="V13" s="2076"/>
      <c r="W13" s="2076"/>
    </row>
    <row r="14" spans="1:24" ht="15.6">
      <c r="B14" s="2071" t="str">
        <f>HLOOKUP(select,translations!$A$341:$H$435,12,)</f>
        <v>Land use changes</v>
      </c>
      <c r="H14" s="2076" t="str">
        <f>HLOOKUP(select,translations!$A$341:$H$435,28,)</f>
        <v>CO2-Biomass</v>
      </c>
      <c r="I14" s="2076" t="str">
        <f>HLOOKUP(select,translations!$A$341:$H$435,29,)</f>
        <v>CO2-Soil</v>
      </c>
      <c r="J14" s="2076" t="str">
        <f>HLOOKUP(select,translations!$A$341:$H$435,30,)</f>
        <v>CO2-Other</v>
      </c>
      <c r="K14" s="2076" t="s">
        <v>338</v>
      </c>
      <c r="L14" s="2076" t="s">
        <v>1300</v>
      </c>
      <c r="R14" s="2062"/>
      <c r="S14" s="2076"/>
      <c r="T14" s="2076"/>
      <c r="U14" s="2076"/>
      <c r="V14" s="2076"/>
      <c r="W14" s="2076"/>
    </row>
    <row r="15" spans="1:24">
      <c r="B15" s="2058" t="str">
        <f>HLOOKUP(select,translations!$A$341:$H$435,13,)</f>
        <v>Deforestation</v>
      </c>
      <c r="D15" s="2063">
        <f>'Gross Results'!E18</f>
        <v>0</v>
      </c>
      <c r="E15" s="2063">
        <f>'Gross Results'!I18</f>
        <v>0</v>
      </c>
      <c r="F15" s="2067">
        <f>E15-D15</f>
        <v>0</v>
      </c>
      <c r="H15" s="2067">
        <f>BALANCE!I18</f>
        <v>0</v>
      </c>
      <c r="I15" s="2067">
        <f>BALANCE!J18</f>
        <v>0</v>
      </c>
      <c r="J15" s="2067"/>
      <c r="K15" s="2067">
        <f>BALANCE!K18</f>
        <v>0</v>
      </c>
      <c r="L15" s="2067">
        <f>BALANCE!L18</f>
        <v>0</v>
      </c>
      <c r="N15" s="2066">
        <f>'Gross Results'!N18</f>
        <v>0</v>
      </c>
      <c r="O15" s="2066">
        <f>'Gross Results'!O18</f>
        <v>0</v>
      </c>
      <c r="P15" s="2066"/>
      <c r="Q15" s="2067">
        <f>O15-N15</f>
        <v>0</v>
      </c>
      <c r="R15" s="2062"/>
      <c r="S15" s="2561"/>
      <c r="T15" s="2561"/>
      <c r="U15" s="2076"/>
      <c r="V15" s="2076"/>
      <c r="W15" s="2076"/>
    </row>
    <row r="16" spans="1:24">
      <c r="B16" s="2058" t="str">
        <f>HLOOKUP(select,translations!$A$341:$H$435,14,)</f>
        <v>Afforestation</v>
      </c>
      <c r="D16" s="2063">
        <f>'Gross Results'!E20</f>
        <v>0</v>
      </c>
      <c r="E16" s="2063">
        <f>'Gross Results'!I20</f>
        <v>0</v>
      </c>
      <c r="F16" s="2067">
        <f t="shared" ref="F16:F26" si="0">E16-D16</f>
        <v>0</v>
      </c>
      <c r="H16" s="2067">
        <f>BALANCE!I20</f>
        <v>0</v>
      </c>
      <c r="I16" s="2067">
        <f>BALANCE!J20</f>
        <v>0</v>
      </c>
      <c r="J16" s="2067"/>
      <c r="K16" s="2067">
        <f>BALANCE!K20</f>
        <v>0</v>
      </c>
      <c r="L16" s="2067">
        <f>BALANCE!L20</f>
        <v>0</v>
      </c>
      <c r="N16" s="2066">
        <f>'Gross Results'!N20</f>
        <v>0</v>
      </c>
      <c r="O16" s="2066">
        <f>'Gross Results'!O20</f>
        <v>0</v>
      </c>
      <c r="P16" s="2066"/>
      <c r="Q16" s="2067">
        <f t="shared" ref="Q16:Q28" si="1">O16-N16</f>
        <v>0</v>
      </c>
      <c r="R16" s="2062"/>
      <c r="S16" s="2561"/>
      <c r="T16" s="2561"/>
      <c r="U16" s="2076"/>
      <c r="V16" s="2076"/>
      <c r="W16" s="2076"/>
    </row>
    <row r="17" spans="2:23">
      <c r="B17" s="2058" t="str">
        <f>HLOOKUP(select,translations!$A$341:$H$435,15,)</f>
        <v>Other LUC</v>
      </c>
      <c r="D17" s="2063">
        <f>'Gross Results'!E21</f>
        <v>0</v>
      </c>
      <c r="E17" s="2063">
        <f>'Gross Results'!I21</f>
        <v>0</v>
      </c>
      <c r="F17" s="2067">
        <f t="shared" si="0"/>
        <v>0</v>
      </c>
      <c r="H17" s="2067">
        <f>BALANCE!I21</f>
        <v>0</v>
      </c>
      <c r="I17" s="2067">
        <f>BALANCE!J21</f>
        <v>0</v>
      </c>
      <c r="J17" s="2067"/>
      <c r="K17" s="2067">
        <f>BALANCE!K21</f>
        <v>0</v>
      </c>
      <c r="L17" s="2067">
        <f>BALANCE!L21</f>
        <v>0</v>
      </c>
      <c r="N17" s="2066">
        <f>'Gross Results'!N21</f>
        <v>0</v>
      </c>
      <c r="O17" s="2066">
        <f>'Gross Results'!O21</f>
        <v>0</v>
      </c>
      <c r="P17" s="2066"/>
      <c r="Q17" s="2067">
        <f t="shared" si="1"/>
        <v>0</v>
      </c>
      <c r="R17" s="2062"/>
      <c r="S17" s="2561"/>
      <c r="T17" s="2561"/>
      <c r="U17" s="2076"/>
      <c r="V17" s="2076"/>
      <c r="W17" s="2076"/>
    </row>
    <row r="18" spans="2:23">
      <c r="B18" s="2071" t="str">
        <f>HLOOKUP(select,translations!$A$341:$H$435,16,)</f>
        <v>Agriculture</v>
      </c>
      <c r="D18" s="2063"/>
      <c r="E18" s="2063"/>
      <c r="F18" s="2067"/>
      <c r="H18" s="2067"/>
      <c r="I18" s="2067"/>
      <c r="J18" s="2067"/>
      <c r="K18" s="2067"/>
      <c r="L18" s="2067"/>
      <c r="N18" s="2066"/>
      <c r="O18" s="2066"/>
      <c r="P18" s="2066"/>
      <c r="Q18" s="2067"/>
      <c r="R18" s="2062"/>
      <c r="S18" s="2561"/>
      <c r="T18" s="2561"/>
      <c r="U18" s="2076"/>
      <c r="V18" s="2076"/>
      <c r="W18" s="2076"/>
    </row>
    <row r="19" spans="2:23">
      <c r="B19" s="2058" t="str">
        <f>HLOOKUP(select,translations!$A$341:$H$435,17,)</f>
        <v>Annual</v>
      </c>
      <c r="D19" s="2063">
        <f>'Gross Results'!E23</f>
        <v>0</v>
      </c>
      <c r="E19" s="2063">
        <f>'Gross Results'!I23</f>
        <v>0</v>
      </c>
      <c r="F19" s="2067">
        <f t="shared" si="0"/>
        <v>0</v>
      </c>
      <c r="H19" s="2067">
        <f>BALANCE!I23</f>
        <v>0</v>
      </c>
      <c r="I19" s="2067">
        <f>BALANCE!J23</f>
        <v>0</v>
      </c>
      <c r="J19" s="2067"/>
      <c r="K19" s="2067">
        <f>BALANCE!K23</f>
        <v>0</v>
      </c>
      <c r="L19" s="2067">
        <f>BALANCE!L23</f>
        <v>0</v>
      </c>
      <c r="N19" s="2066">
        <f>'Gross Results'!N23</f>
        <v>0</v>
      </c>
      <c r="O19" s="2066">
        <f>'Gross Results'!O23</f>
        <v>0</v>
      </c>
      <c r="P19" s="2066"/>
      <c r="Q19" s="2067">
        <f t="shared" si="1"/>
        <v>0</v>
      </c>
      <c r="R19" s="2062"/>
      <c r="S19" s="2561">
        <f>Annual!P49</f>
        <v>0</v>
      </c>
      <c r="T19" s="2561">
        <f>Annual!Q49</f>
        <v>0</v>
      </c>
      <c r="U19" s="2076"/>
      <c r="V19" s="2562">
        <f>IF(S19&gt;0,D19/S19,0)</f>
        <v>0</v>
      </c>
      <c r="W19" s="2562">
        <f>IF(T19&gt;0,E19/T19,0)</f>
        <v>0</v>
      </c>
    </row>
    <row r="20" spans="2:23">
      <c r="B20" s="2058" t="str">
        <f>HLOOKUP(select,translations!$A$341:$H$435,18,)</f>
        <v>Perennial</v>
      </c>
      <c r="D20" s="2063">
        <f>'Gross Results'!E24</f>
        <v>0</v>
      </c>
      <c r="E20" s="2063">
        <f>'Gross Results'!I24</f>
        <v>0</v>
      </c>
      <c r="F20" s="2067">
        <f t="shared" si="0"/>
        <v>0</v>
      </c>
      <c r="H20" s="2067">
        <f>BALANCE!I24</f>
        <v>0</v>
      </c>
      <c r="I20" s="2067">
        <f>BALANCE!J24</f>
        <v>0</v>
      </c>
      <c r="J20" s="2067"/>
      <c r="K20" s="2067">
        <f>BALANCE!K24</f>
        <v>0</v>
      </c>
      <c r="L20" s="2067">
        <f>BALANCE!L24</f>
        <v>0</v>
      </c>
      <c r="N20" s="2066">
        <f>'Gross Results'!N24</f>
        <v>0</v>
      </c>
      <c r="O20" s="2066">
        <f>'Gross Results'!O24</f>
        <v>0</v>
      </c>
      <c r="P20" s="2066"/>
      <c r="Q20" s="2067">
        <f t="shared" si="1"/>
        <v>0</v>
      </c>
      <c r="R20" s="2062"/>
      <c r="S20" s="2561">
        <f>Perennial!R47</f>
        <v>0</v>
      </c>
      <c r="T20" s="2561">
        <f>Perennial!S47</f>
        <v>0</v>
      </c>
      <c r="U20" s="2076"/>
      <c r="V20" s="2562">
        <f>IF(S20&gt;0,D20/S20,0)</f>
        <v>0</v>
      </c>
      <c r="W20" s="2562">
        <f t="shared" ref="W20:W28" si="2">IF(T20&gt;0,E20/T20,0)</f>
        <v>0</v>
      </c>
    </row>
    <row r="21" spans="2:23">
      <c r="B21" s="2058" t="str">
        <f>HLOOKUP(select,translations!$A$341:$H$435,19,)</f>
        <v>Rice</v>
      </c>
      <c r="D21" s="2063">
        <f>'Gross Results'!E25</f>
        <v>0</v>
      </c>
      <c r="E21" s="2063">
        <f>'Gross Results'!I25</f>
        <v>0</v>
      </c>
      <c r="F21" s="2067">
        <f t="shared" si="0"/>
        <v>0</v>
      </c>
      <c r="H21" s="2067">
        <f>BALANCE!I25</f>
        <v>0</v>
      </c>
      <c r="I21" s="2067">
        <f>BALANCE!J25</f>
        <v>0</v>
      </c>
      <c r="J21" s="2067"/>
      <c r="K21" s="2067">
        <f>BALANCE!K25</f>
        <v>0</v>
      </c>
      <c r="L21" s="2067">
        <f>BALANCE!L25</f>
        <v>0</v>
      </c>
      <c r="N21" s="2066">
        <f>'Gross Results'!N25</f>
        <v>0</v>
      </c>
      <c r="O21" s="2066">
        <f>'Gross Results'!O25</f>
        <v>0</v>
      </c>
      <c r="P21" s="2066"/>
      <c r="Q21" s="2067">
        <f t="shared" si="1"/>
        <v>0</v>
      </c>
      <c r="R21" s="2062"/>
      <c r="S21" s="2561">
        <f>'Irrigated Rice'!R47</f>
        <v>0</v>
      </c>
      <c r="T21" s="2561">
        <f>'Irrigated Rice'!S47</f>
        <v>0</v>
      </c>
      <c r="U21" s="2076"/>
      <c r="V21" s="2562">
        <f>IF(S21&gt;0,D21/S21,0)</f>
        <v>0</v>
      </c>
      <c r="W21" s="2562">
        <f t="shared" si="2"/>
        <v>0</v>
      </c>
    </row>
    <row r="22" spans="2:23">
      <c r="B22" s="2071" t="str">
        <f>HLOOKUP(select,translations!$A$341:$H$435,20,)</f>
        <v>Grassland &amp; Livestocks</v>
      </c>
      <c r="D22" s="2063"/>
      <c r="E22" s="2063"/>
      <c r="F22" s="2067"/>
      <c r="H22" s="2067"/>
      <c r="I22" s="2067"/>
      <c r="J22" s="2067"/>
      <c r="K22" s="2067"/>
      <c r="L22" s="2067"/>
      <c r="N22" s="2066"/>
      <c r="O22" s="2066"/>
      <c r="P22" s="2066"/>
      <c r="Q22" s="2067"/>
      <c r="R22" s="2062"/>
      <c r="S22" s="2561"/>
      <c r="T22" s="2561"/>
      <c r="U22" s="2076"/>
      <c r="V22" s="2562"/>
      <c r="W22" s="2562"/>
    </row>
    <row r="23" spans="2:23">
      <c r="B23" s="2058" t="str">
        <f>HLOOKUP(select,translations!$A$341:$H$435,21,)</f>
        <v>Grassland</v>
      </c>
      <c r="D23" s="2063">
        <f>'Gross Results'!E26</f>
        <v>0</v>
      </c>
      <c r="E23" s="2063">
        <f>'Gross Results'!I26</f>
        <v>0</v>
      </c>
      <c r="F23" s="2067">
        <f t="shared" si="0"/>
        <v>0</v>
      </c>
      <c r="H23" s="2067">
        <f>BALANCE!I26</f>
        <v>0</v>
      </c>
      <c r="I23" s="2067">
        <f>BALANCE!J26</f>
        <v>0</v>
      </c>
      <c r="J23" s="2067"/>
      <c r="K23" s="2067">
        <f>BALANCE!K26</f>
        <v>0</v>
      </c>
      <c r="L23" s="2067">
        <f>BALANCE!L26</f>
        <v>0</v>
      </c>
      <c r="N23" s="2066">
        <f>'Gross Results'!N26</f>
        <v>0</v>
      </c>
      <c r="O23" s="2066">
        <f>'Gross Results'!O26</f>
        <v>0</v>
      </c>
      <c r="P23" s="2066"/>
      <c r="Q23" s="2067">
        <f t="shared" si="1"/>
        <v>0</v>
      </c>
      <c r="R23" s="2062"/>
      <c r="S23" s="2561">
        <f>Grass!U44</f>
        <v>0</v>
      </c>
      <c r="T23" s="2561">
        <f>Grass!V44</f>
        <v>0</v>
      </c>
      <c r="U23" s="2076"/>
      <c r="V23" s="2562">
        <f>IF(S23&gt;0,D23/S23,0)</f>
        <v>0</v>
      </c>
      <c r="W23" s="2562">
        <f t="shared" si="2"/>
        <v>0</v>
      </c>
    </row>
    <row r="24" spans="2:23">
      <c r="B24" s="2058" t="str">
        <f>HLOOKUP(select,translations!$A$341:$H$435,22,)</f>
        <v>Livestocks</v>
      </c>
      <c r="D24" s="2063">
        <f>'Gross Results'!E29</f>
        <v>0</v>
      </c>
      <c r="E24" s="2063">
        <f>'Gross Results'!I29</f>
        <v>0</v>
      </c>
      <c r="F24" s="2067">
        <f t="shared" si="0"/>
        <v>0</v>
      </c>
      <c r="H24" s="2067"/>
      <c r="I24" s="2067"/>
      <c r="J24" s="2067"/>
      <c r="K24" s="2067">
        <f>BALANCE!K29</f>
        <v>0</v>
      </c>
      <c r="L24" s="2067">
        <f>BALANCE!L29</f>
        <v>0</v>
      </c>
      <c r="N24" s="2066">
        <f>'Gross Results'!N29</f>
        <v>0</v>
      </c>
      <c r="O24" s="2066">
        <f>'Gross Results'!O29</f>
        <v>0</v>
      </c>
      <c r="P24" s="2066"/>
      <c r="Q24" s="2067">
        <f t="shared" si="1"/>
        <v>0</v>
      </c>
      <c r="S24" s="2561">
        <f>Livestock!AD23</f>
        <v>0</v>
      </c>
      <c r="T24" s="2561">
        <f>Livestock!AE23</f>
        <v>0</v>
      </c>
      <c r="U24" s="2076"/>
      <c r="V24" s="2562">
        <f>IF(S24&gt;0,D24/S24,0)</f>
        <v>0</v>
      </c>
      <c r="W24" s="2562">
        <f t="shared" si="2"/>
        <v>0</v>
      </c>
    </row>
    <row r="25" spans="2:23">
      <c r="B25" s="2071" t="str">
        <f>HLOOKUP(select,translations!$A$341:$H$435,23,)</f>
        <v>Degradation &amp; Management</v>
      </c>
      <c r="D25" s="2063">
        <f>'Gross Results'!E19+'Gross Results'!E27</f>
        <v>0</v>
      </c>
      <c r="E25" s="2063">
        <f>'Gross Results'!I19+'Gross Results'!I27</f>
        <v>0</v>
      </c>
      <c r="F25" s="2067">
        <f t="shared" si="0"/>
        <v>0</v>
      </c>
      <c r="H25" s="2067">
        <f>BALANCE!I19</f>
        <v>0</v>
      </c>
      <c r="I25" s="2067">
        <f>BALANCE!J19+BALANCE!J27</f>
        <v>0</v>
      </c>
      <c r="J25" s="2067"/>
      <c r="K25" s="2067">
        <f>BALANCE!K19</f>
        <v>0</v>
      </c>
      <c r="L25" s="2067">
        <f>BALANCE!L19</f>
        <v>0</v>
      </c>
      <c r="N25" s="2066">
        <f>'Gross Results'!N19+'Gross Results'!N27</f>
        <v>0</v>
      </c>
      <c r="O25" s="2066">
        <f>'Gross Results'!O19+'Gross Results'!O27</f>
        <v>0</v>
      </c>
      <c r="P25" s="2066"/>
      <c r="Q25" s="2067">
        <f t="shared" si="1"/>
        <v>0</v>
      </c>
      <c r="R25" s="2062"/>
      <c r="S25" s="2561"/>
      <c r="T25" s="2561"/>
      <c r="U25" s="2076"/>
      <c r="V25" s="2076"/>
      <c r="W25" s="2562"/>
    </row>
    <row r="26" spans="2:23">
      <c r="B26" s="2071" t="str">
        <f>HLOOKUP(select,translations!$A$341:$H$435,24,)</f>
        <v>Inputs &amp; Investments</v>
      </c>
      <c r="D26" s="2063">
        <f>'Gross Results'!E30+'Gross Results'!E31</f>
        <v>0</v>
      </c>
      <c r="E26" s="2063">
        <f>'Gross Results'!I30+'Gross Results'!I31</f>
        <v>0</v>
      </c>
      <c r="F26" s="2067">
        <f t="shared" si="0"/>
        <v>0</v>
      </c>
      <c r="H26" s="2070"/>
      <c r="I26" s="2070"/>
      <c r="J26" s="2067">
        <f>BALANCE!I30+BALANCE!I31</f>
        <v>0</v>
      </c>
      <c r="K26" s="2130">
        <f>BALANCE!K30</f>
        <v>0</v>
      </c>
      <c r="L26" s="2067"/>
      <c r="N26" s="2066">
        <f>'Gross Results'!N30+'Gross Results'!N31</f>
        <v>0</v>
      </c>
      <c r="O26" s="2066">
        <f>'Gross Results'!O30+'Gross Results'!O31</f>
        <v>0</v>
      </c>
      <c r="P26" s="2066"/>
      <c r="Q26" s="2067">
        <f t="shared" si="1"/>
        <v>0</v>
      </c>
      <c r="R26" s="2062"/>
      <c r="S26" s="2561"/>
      <c r="T26" s="2561"/>
      <c r="U26" s="2076"/>
      <c r="V26" s="2076"/>
      <c r="W26" s="2562"/>
    </row>
    <row r="27" spans="2:23">
      <c r="D27" s="2060"/>
      <c r="E27" s="2060"/>
      <c r="F27" s="2060"/>
      <c r="N27" s="2059"/>
      <c r="O27" s="2059"/>
      <c r="P27" s="2059"/>
      <c r="Q27" s="2059"/>
      <c r="S27" s="2561"/>
      <c r="T27" s="2561"/>
      <c r="U27" s="2076"/>
      <c r="V27" s="2076"/>
      <c r="W27" s="2076"/>
    </row>
    <row r="28" spans="2:23">
      <c r="B28" s="2071" t="str">
        <f>HLOOKUP(select,translations!$A$341:$H$435,25,)</f>
        <v>Total</v>
      </c>
      <c r="C28" s="2094"/>
      <c r="D28" s="2063">
        <f>SUM(D15:D26)</f>
        <v>0</v>
      </c>
      <c r="E28" s="2063">
        <f>SUM(E15:E26)</f>
        <v>0</v>
      </c>
      <c r="F28" s="2075">
        <f>SUM(F15:F26)</f>
        <v>0</v>
      </c>
      <c r="H28" s="2067">
        <f>SUM(H15:H26)</f>
        <v>0</v>
      </c>
      <c r="I28" s="2067">
        <f>SUM(I15:I26)</f>
        <v>0</v>
      </c>
      <c r="J28" s="2067">
        <f>SUM(J15:J26)</f>
        <v>0</v>
      </c>
      <c r="K28" s="2067">
        <f>SUM(K15:K26)</f>
        <v>0</v>
      </c>
      <c r="L28" s="2067">
        <f>SUM(L15:L26)</f>
        <v>0</v>
      </c>
      <c r="N28" s="2066">
        <f>'Gross Results'!N33</f>
        <v>0</v>
      </c>
      <c r="O28" s="2066">
        <f>'Gross Results'!O33</f>
        <v>0</v>
      </c>
      <c r="P28" s="2066"/>
      <c r="Q28" s="2067">
        <f t="shared" si="1"/>
        <v>0</v>
      </c>
      <c r="S28" s="2561">
        <f>SUM(S15:S26)</f>
        <v>0</v>
      </c>
      <c r="T28" s="2561">
        <f>SUM(T15:T26)</f>
        <v>0</v>
      </c>
      <c r="U28" s="2076"/>
      <c r="V28" s="2562">
        <f>IF(S28&gt;0,D28/S28,0)</f>
        <v>0</v>
      </c>
      <c r="W28" s="2562">
        <f t="shared" si="2"/>
        <v>0</v>
      </c>
    </row>
    <row r="29" spans="2:23">
      <c r="S29" s="2076"/>
      <c r="T29" s="2076"/>
      <c r="U29" s="2076"/>
      <c r="V29" s="3283" t="str">
        <f>HLOOKUP(select,translations!$A$341:$H$435,31,)</f>
        <v>Use in a Simple Value Chain Assessment</v>
      </c>
      <c r="W29" s="3283"/>
    </row>
    <row r="30" spans="2:23">
      <c r="B30" s="2071" t="str">
        <f>HLOOKUP(select,translations!$A$341:$H$435,26,)</f>
        <v>Per hectare</v>
      </c>
      <c r="C30" s="2094"/>
      <c r="D30" s="2064">
        <f>'Gross Results'!E35</f>
        <v>0</v>
      </c>
      <c r="E30" s="2064">
        <f>'Gross Results'!I35</f>
        <v>0</v>
      </c>
      <c r="F30" s="2063">
        <f>E30-D30</f>
        <v>0</v>
      </c>
      <c r="H30" s="2069">
        <f>BALANCE!I36</f>
        <v>0</v>
      </c>
      <c r="I30" s="2069">
        <f>BALANCE!J36</f>
        <v>0</v>
      </c>
      <c r="J30" s="2069">
        <f>IF(O8=0,0,J28/O8)</f>
        <v>0</v>
      </c>
      <c r="K30" s="2069">
        <f>BALANCE!K36</f>
        <v>0</v>
      </c>
      <c r="L30" s="2069">
        <f>BALANCE!L36</f>
        <v>0</v>
      </c>
      <c r="R30" s="2061"/>
      <c r="S30" s="2563">
        <f>IF($O$8=0,0,S28/$O$8)</f>
        <v>0</v>
      </c>
      <c r="T30" s="2563">
        <f>IF($O$8=0,0,T28/$O$8)</f>
        <v>0</v>
      </c>
      <c r="U30" s="2076"/>
      <c r="V30" s="3283"/>
      <c r="W30" s="3283"/>
    </row>
    <row r="31" spans="2:23">
      <c r="S31" s="2076"/>
      <c r="T31" s="2076"/>
      <c r="U31" s="2076"/>
      <c r="V31" s="3283"/>
      <c r="W31" s="3283"/>
    </row>
    <row r="32" spans="2:23">
      <c r="B32" s="2072" t="str">
        <f>HLOOKUP(select,translations!$A$341:$H$435,27,)</f>
        <v>Per hectare per year</v>
      </c>
      <c r="C32" s="2065"/>
      <c r="D32" s="2073">
        <f>IF($O$7=0,0,D30/$O$7)</f>
        <v>0</v>
      </c>
      <c r="E32" s="2073">
        <f t="shared" ref="E32:K32" si="3">IF($O$7=0,0,E30/$O$7)</f>
        <v>0</v>
      </c>
      <c r="F32" s="2073">
        <f t="shared" si="3"/>
        <v>0</v>
      </c>
      <c r="H32" s="2073">
        <f t="shared" si="3"/>
        <v>0</v>
      </c>
      <c r="I32" s="2073">
        <f t="shared" si="3"/>
        <v>0</v>
      </c>
      <c r="J32" s="2073">
        <f t="shared" si="3"/>
        <v>0</v>
      </c>
      <c r="K32" s="2073">
        <f t="shared" si="3"/>
        <v>0</v>
      </c>
      <c r="L32" s="2073">
        <f>IF($O$7=0,0,L30/$O$7)</f>
        <v>0</v>
      </c>
      <c r="N32" s="2073">
        <f>'Gross Results'!N35</f>
        <v>0</v>
      </c>
      <c r="O32" s="2073">
        <f>'Gross Results'!O35</f>
        <v>0</v>
      </c>
      <c r="P32" s="2073"/>
      <c r="Q32" s="2069">
        <f>O32-N32</f>
        <v>0</v>
      </c>
      <c r="S32" s="2563">
        <f>IF($O$7=0,0,S30/$O$7)</f>
        <v>0</v>
      </c>
      <c r="T32" s="2563">
        <f>IF($O$7=0,0,T30/$O$7)</f>
        <v>0</v>
      </c>
      <c r="U32" s="2076"/>
      <c r="V32" s="3283"/>
      <c r="W32" s="3283"/>
    </row>
    <row r="33" spans="2:23">
      <c r="S33" s="2076"/>
      <c r="T33" s="2076"/>
      <c r="U33" s="2076"/>
      <c r="V33" s="2076"/>
      <c r="W33" s="2076"/>
    </row>
    <row r="34" spans="2:23">
      <c r="B34" s="2768" t="str">
        <f>HLOOKUP(select,translations!$A$341:$H$435,32,)</f>
        <v>Fluxes per component</v>
      </c>
      <c r="I34" s="2768" t="str">
        <f>HLOOKUP(select,translations!$A$341:$H$435,33,)</f>
        <v>Balance per component</v>
      </c>
    </row>
    <row r="54" spans="2:9">
      <c r="B54" s="2768" t="str">
        <f>HLOOKUP(select,translations!$A$341:$H$435,34,)</f>
        <v>Total without and with project and balance</v>
      </c>
      <c r="I54" s="2982" t="str">
        <f>HLOOKUP(select,translations!$A$341:$H$435,35,)</f>
        <v>Share of the balance per GHG (plus origin for CO2)</v>
      </c>
    </row>
    <row r="55" spans="2:9">
      <c r="I55" s="2056"/>
    </row>
    <row r="73" spans="2:18">
      <c r="B73" s="2974" t="str">
        <f>HLOOKUP(select,translations!$A$341:$H$435,36,)</f>
        <v>Evolutions of land use / category (hectares - ha)</v>
      </c>
      <c r="C73" s="1670"/>
      <c r="D73" s="1670"/>
      <c r="E73" s="1670"/>
      <c r="F73" s="1670"/>
      <c r="G73" s="1670"/>
      <c r="H73" s="1670"/>
      <c r="I73" s="1670"/>
      <c r="J73" s="1670"/>
      <c r="K73" s="1670"/>
      <c r="M73" s="2974" t="str">
        <f>HLOOKUP(select,translations!$A$341:$H$435,42,)</f>
        <v>Uncertainty level</v>
      </c>
      <c r="N73" s="1670"/>
      <c r="O73" s="1670"/>
      <c r="P73" s="1670"/>
      <c r="Q73" s="1670"/>
      <c r="R73" s="1670"/>
    </row>
    <row r="74" spans="2:18">
      <c r="B74" s="1670"/>
      <c r="C74" s="1670"/>
      <c r="D74" s="1670"/>
      <c r="E74" s="1674" t="str">
        <f>'4.Grassland'!D10</f>
        <v>Initial State</v>
      </c>
      <c r="F74" s="1670"/>
      <c r="G74" s="1670"/>
      <c r="H74" s="1674" t="str">
        <f>'4.Grassland'!J20</f>
        <v>Without project</v>
      </c>
      <c r="I74" s="1670"/>
      <c r="J74" s="1674" t="str">
        <f>'4.Grassland'!N11</f>
        <v>With project</v>
      </c>
      <c r="K74" s="1670"/>
      <c r="M74" s="1670"/>
      <c r="N74" s="1670"/>
      <c r="O74" s="1670"/>
      <c r="P74" s="1670"/>
      <c r="Q74" s="1718" t="str">
        <f>HLOOKUP(select,translations!$A$341:$H$435,45,)</f>
        <v>% of uncertainty</v>
      </c>
      <c r="R74" s="1670"/>
    </row>
    <row r="75" spans="2:18">
      <c r="B75" s="2094" t="str">
        <f>HLOOKUP(select,translations!$A$341:$H$435,37,)</f>
        <v>Forest/Plantation</v>
      </c>
      <c r="C75" s="2094"/>
      <c r="D75" s="2094"/>
      <c r="E75" s="2557">
        <f>Matrix!M10</f>
        <v>0</v>
      </c>
      <c r="F75" s="2557"/>
      <c r="G75" s="2557"/>
      <c r="H75" s="2557">
        <f>Matrix!E18</f>
        <v>0</v>
      </c>
      <c r="I75" s="2557"/>
      <c r="J75" s="2557">
        <f>Matrix!E35</f>
        <v>0</v>
      </c>
      <c r="K75" s="2557"/>
      <c r="M75" s="3293" t="str">
        <f>D10</f>
        <v>Gross fluxes</v>
      </c>
      <c r="N75" s="3293"/>
      <c r="O75" s="3293"/>
      <c r="P75" s="3293"/>
      <c r="Q75" s="2071"/>
      <c r="R75" s="2094"/>
    </row>
    <row r="76" spans="2:18">
      <c r="B76" s="2096"/>
      <c r="C76" s="2096" t="str">
        <f>B19</f>
        <v>Annual</v>
      </c>
      <c r="D76" s="2096"/>
      <c r="E76" s="2555">
        <f>Matrix!M11</f>
        <v>0</v>
      </c>
      <c r="F76" s="2555"/>
      <c r="G76" s="2555"/>
      <c r="H76" s="2555">
        <f>Matrix!F18</f>
        <v>0</v>
      </c>
      <c r="I76" s="2555"/>
      <c r="J76" s="2555">
        <f>Matrix!F35</f>
        <v>0</v>
      </c>
      <c r="K76" s="2555"/>
      <c r="M76" s="2557"/>
      <c r="N76" s="2120" t="str">
        <f>D11</f>
        <v>Without</v>
      </c>
      <c r="O76" s="2063">
        <f>D28</f>
        <v>0</v>
      </c>
      <c r="P76" s="2094"/>
      <c r="Q76" s="2956" t="str">
        <f>BALANCE!Y103</f>
        <v/>
      </c>
      <c r="R76" s="2955"/>
    </row>
    <row r="77" spans="2:18">
      <c r="B77" s="2096" t="str">
        <f>B18</f>
        <v>Agriculture</v>
      </c>
      <c r="C77" s="2096" t="str">
        <f t="shared" ref="C77:C78" si="4">B20</f>
        <v>Perennial</v>
      </c>
      <c r="D77" s="2096"/>
      <c r="E77" s="2555">
        <f>Matrix!M12</f>
        <v>0</v>
      </c>
      <c r="F77" s="2555"/>
      <c r="G77" s="2555"/>
      <c r="H77" s="2555">
        <f>Matrix!G18</f>
        <v>0</v>
      </c>
      <c r="I77" s="2555"/>
      <c r="J77" s="2555">
        <f>Matrix!G35</f>
        <v>0</v>
      </c>
      <c r="K77" s="2555"/>
      <c r="M77" s="2557"/>
      <c r="N77" s="2120" t="str">
        <f>E11</f>
        <v>With</v>
      </c>
      <c r="O77" s="2063">
        <f>E28</f>
        <v>0</v>
      </c>
      <c r="P77" s="2094"/>
      <c r="Q77" s="2956" t="str">
        <f>BALANCE!Y121</f>
        <v/>
      </c>
      <c r="R77" s="2955"/>
    </row>
    <row r="78" spans="2:18">
      <c r="B78" s="2096"/>
      <c r="C78" s="2096" t="str">
        <f t="shared" si="4"/>
        <v>Rice</v>
      </c>
      <c r="D78" s="2096"/>
      <c r="E78" s="2555">
        <f>Matrix!M13</f>
        <v>0</v>
      </c>
      <c r="F78" s="2555"/>
      <c r="G78" s="2555"/>
      <c r="H78" s="2555">
        <f>Matrix!H18</f>
        <v>0</v>
      </c>
      <c r="I78" s="2555"/>
      <c r="J78" s="2555">
        <f>Matrix!H35</f>
        <v>0</v>
      </c>
      <c r="K78" s="2555"/>
      <c r="M78" s="2094"/>
      <c r="N78" s="2094"/>
      <c r="O78" s="2955"/>
      <c r="P78" s="2094"/>
      <c r="Q78" s="2071"/>
      <c r="R78" s="2094"/>
    </row>
    <row r="79" spans="2:18">
      <c r="B79" s="2094" t="str">
        <f>B23</f>
        <v>Grassland</v>
      </c>
      <c r="C79" s="2094"/>
      <c r="D79" s="2094"/>
      <c r="E79" s="2557">
        <f>Matrix!M14</f>
        <v>0</v>
      </c>
      <c r="F79" s="2557"/>
      <c r="G79" s="2557"/>
      <c r="H79" s="2557">
        <f>Matrix!I18</f>
        <v>0</v>
      </c>
      <c r="I79" s="2557"/>
      <c r="J79" s="2557">
        <f>Matrix!I35</f>
        <v>0</v>
      </c>
      <c r="K79" s="2557"/>
      <c r="M79" s="2973" t="str">
        <f>HLOOKUP(select,translations!$A$341:$H$435,43,)</f>
        <v>Net balance</v>
      </c>
      <c r="N79" s="2094"/>
      <c r="O79" s="2063">
        <f>F28</f>
        <v>0</v>
      </c>
      <c r="P79" s="2120"/>
      <c r="Q79" s="2956" t="str">
        <f>BALANCE!Y83</f>
        <v/>
      </c>
      <c r="R79" s="2094"/>
    </row>
    <row r="80" spans="2:18">
      <c r="B80" s="2096" t="str">
        <f>HLOOKUP(select,translations!$A$341:$H$435,38,)</f>
        <v>Other lands</v>
      </c>
      <c r="C80" s="2096" t="str">
        <f>HLOOKUP(select,translations!$A$341:$H$435,39,)</f>
        <v>Degraded</v>
      </c>
      <c r="D80" s="2096"/>
      <c r="E80" s="2555">
        <f>Matrix!M15</f>
        <v>0</v>
      </c>
      <c r="F80" s="2555"/>
      <c r="G80" s="2555"/>
      <c r="H80" s="2555">
        <f>Matrix!J18</f>
        <v>0</v>
      </c>
      <c r="I80" s="2555"/>
      <c r="J80" s="2555">
        <f>Matrix!J35</f>
        <v>0</v>
      </c>
      <c r="K80" s="2555"/>
    </row>
    <row r="81" spans="2:15">
      <c r="B81" s="2096"/>
      <c r="C81" s="2096" t="str">
        <f>HLOOKUP(select,translations!$A$341:$H$435,40,)</f>
        <v>Other</v>
      </c>
      <c r="D81" s="2096"/>
      <c r="E81" s="2555">
        <f>Matrix!M16</f>
        <v>0</v>
      </c>
      <c r="F81" s="2555"/>
      <c r="G81" s="2555"/>
      <c r="H81" s="2555">
        <f>Matrix!K18</f>
        <v>0</v>
      </c>
      <c r="I81" s="2555"/>
      <c r="J81" s="2555">
        <f>Matrix!K35</f>
        <v>0</v>
      </c>
      <c r="K81" s="2555"/>
    </row>
    <row r="82" spans="2:15">
      <c r="B82" s="2095" t="str">
        <f>HLOOKUP(select,translations!$A$341:$H$435,41,)</f>
        <v>Wetlands</v>
      </c>
      <c r="C82" s="2094"/>
      <c r="D82" s="2094"/>
      <c r="E82" s="2557">
        <f>Matrix!M20</f>
        <v>0</v>
      </c>
      <c r="F82" s="2557"/>
      <c r="G82" s="2557"/>
      <c r="H82" s="2557">
        <f>E82</f>
        <v>0</v>
      </c>
      <c r="I82" s="2557"/>
      <c r="J82" s="2557">
        <f>H82</f>
        <v>0</v>
      </c>
      <c r="K82" s="2557"/>
      <c r="N82" s="2117"/>
      <c r="O82" s="2117"/>
    </row>
    <row r="83" spans="2:15" ht="13.2" customHeight="1">
      <c r="B83" s="1674"/>
      <c r="C83" s="1670"/>
      <c r="D83" s="1670"/>
      <c r="E83" s="2558"/>
      <c r="F83" s="2558"/>
      <c r="G83" s="2558"/>
      <c r="H83" s="2558"/>
      <c r="I83" s="2558"/>
      <c r="J83" s="2558"/>
      <c r="K83" s="2558"/>
      <c r="L83" s="2772"/>
      <c r="N83" s="3294" t="str">
        <f>HLOOKUP(select,translations!$A$341:$H$435,46,)</f>
        <v>Detailed matrices of changes</v>
      </c>
      <c r="O83" s="3294"/>
    </row>
    <row r="84" spans="2:15">
      <c r="B84" s="1717" t="str">
        <f>N8</f>
        <v>Total area (ha)</v>
      </c>
      <c r="C84" s="1717"/>
      <c r="D84" s="1670"/>
      <c r="E84" s="2558">
        <f>SUM(E75:E82)</f>
        <v>0</v>
      </c>
      <c r="F84" s="2558"/>
      <c r="G84" s="2558"/>
      <c r="H84" s="2558">
        <f>SUM(H75:H82)</f>
        <v>0</v>
      </c>
      <c r="I84" s="2558"/>
      <c r="J84" s="2558">
        <f>SUM(J75:J82)</f>
        <v>0</v>
      </c>
      <c r="K84" s="2558"/>
      <c r="L84" s="2772"/>
      <c r="M84" s="2772"/>
      <c r="N84" s="3294"/>
      <c r="O84" s="3294"/>
    </row>
    <row r="85" spans="2:15">
      <c r="B85" s="2104" t="str">
        <f>IF((2*E84-H84-J84)=0,"",HLOOKUP(select,translations!$A$341:$H$435,47,))</f>
        <v/>
      </c>
      <c r="C85" s="1670"/>
      <c r="D85" s="1670"/>
      <c r="E85" s="2558"/>
      <c r="F85" s="2558"/>
      <c r="G85" s="2558"/>
      <c r="H85" s="2558"/>
      <c r="I85" s="2558"/>
      <c r="J85" s="2558"/>
      <c r="K85" s="2558"/>
      <c r="L85" s="2772"/>
      <c r="M85" s="2772"/>
      <c r="N85" s="3294"/>
      <c r="O85" s="3294"/>
    </row>
    <row r="88" spans="2:15">
      <c r="B88" s="1717" t="str">
        <f>HLOOKUP(select,translations!$A$341:$H$435,48,)</f>
        <v>Other indicators</v>
      </c>
      <c r="C88" s="1670"/>
      <c r="D88" s="1670"/>
      <c r="E88" s="1670"/>
      <c r="F88" s="1670"/>
      <c r="G88" s="1670"/>
      <c r="H88" s="1670"/>
      <c r="I88" s="1670"/>
      <c r="J88" s="1670"/>
      <c r="K88" s="1670"/>
    </row>
    <row r="89" spans="2:15">
      <c r="B89" s="2774" t="str">
        <f>HLOOKUP(select,translations!$A$341:$H$435,49,)</f>
        <v>Area Irrigated - ha</v>
      </c>
      <c r="C89" s="2094"/>
      <c r="D89" s="2094"/>
      <c r="E89" s="2095" t="str">
        <f>E74</f>
        <v>Initial State</v>
      </c>
      <c r="F89" s="2094"/>
      <c r="G89" s="2094"/>
      <c r="H89" s="2095" t="str">
        <f>H74</f>
        <v>Without project</v>
      </c>
      <c r="I89" s="2094"/>
      <c r="J89" s="2095" t="str">
        <f>J74</f>
        <v>With project</v>
      </c>
      <c r="K89" s="2094"/>
      <c r="O89" s="2773"/>
    </row>
    <row r="90" spans="2:15">
      <c r="B90" s="2096"/>
      <c r="C90" s="2456" t="str">
        <f>HLOOKUP(select,translations!$A$341:$H$435,50,)</f>
        <v>Irrigated rice</v>
      </c>
      <c r="D90" s="2457"/>
      <c r="E90" s="2555">
        <f>E78</f>
        <v>0</v>
      </c>
      <c r="F90" s="2555"/>
      <c r="G90" s="2555"/>
      <c r="H90" s="2555">
        <f>H78</f>
        <v>0</v>
      </c>
      <c r="I90" s="2555"/>
      <c r="J90" s="2555">
        <f>J78</f>
        <v>0</v>
      </c>
      <c r="K90" s="2096"/>
    </row>
    <row r="91" spans="2:15">
      <c r="B91" s="2096"/>
      <c r="C91" s="2456" t="str">
        <f>HLOOKUP(select,translations!$A$341:$H$435,51,)</f>
        <v>Annual Crops</v>
      </c>
      <c r="D91" s="2457"/>
      <c r="E91" s="2555">
        <f>Annual!AI49</f>
        <v>0</v>
      </c>
      <c r="F91" s="2555"/>
      <c r="G91" s="2555"/>
      <c r="H91" s="2555">
        <f>Annual!AO49</f>
        <v>0</v>
      </c>
      <c r="I91" s="2555"/>
      <c r="J91" s="2555">
        <f>Annual!AU49</f>
        <v>0</v>
      </c>
      <c r="K91" s="2096"/>
    </row>
    <row r="92" spans="2:15">
      <c r="B92" s="2481"/>
      <c r="C92" s="2481"/>
      <c r="D92" s="2482" t="str">
        <f>B28</f>
        <v>Total</v>
      </c>
      <c r="E92" s="2556">
        <f>E91+E90</f>
        <v>0</v>
      </c>
      <c r="F92" s="2556"/>
      <c r="G92" s="2556"/>
      <c r="H92" s="2556">
        <f>H91+H90</f>
        <v>0</v>
      </c>
      <c r="I92" s="2556"/>
      <c r="J92" s="2556">
        <f>J91+J90</f>
        <v>0</v>
      </c>
      <c r="K92" s="2481"/>
    </row>
    <row r="93" spans="2:15">
      <c r="B93" s="2774" t="str">
        <f>HLOOKUP(select,translations!$A$341:$H$435,52,)</f>
        <v>Cumulated areas burnt - ha</v>
      </c>
      <c r="C93" s="2094"/>
      <c r="D93" s="2094"/>
      <c r="E93" s="2095"/>
      <c r="F93" s="2094"/>
      <c r="G93" s="2094"/>
      <c r="H93" s="2095" t="str">
        <f>H89</f>
        <v>Without project</v>
      </c>
      <c r="I93" s="2094"/>
      <c r="J93" s="2095" t="str">
        <f>J89</f>
        <v>With project</v>
      </c>
      <c r="K93" s="2094"/>
    </row>
    <row r="94" spans="2:15">
      <c r="B94" s="2096"/>
      <c r="C94" s="2096" t="str">
        <f>HLOOKUP(select,translations!$A$341:$H$435,53,)</f>
        <v>From deforestation</v>
      </c>
      <c r="D94" s="2096"/>
      <c r="E94" s="2096"/>
      <c r="F94" s="2096"/>
      <c r="G94" s="2096"/>
      <c r="H94" s="2555">
        <f>Deforestation!AG53</f>
        <v>0</v>
      </c>
      <c r="I94" s="2555"/>
      <c r="J94" s="2555">
        <f>Deforestation!AH53</f>
        <v>0</v>
      </c>
      <c r="K94" s="2096"/>
    </row>
    <row r="95" spans="2:15">
      <c r="B95" s="2096"/>
      <c r="C95" s="2096" t="str">
        <f>HLOOKUP(select,translations!$A$341:$H$435,54,)</f>
        <v>From degradation</v>
      </c>
      <c r="D95" s="2096"/>
      <c r="E95" s="2096"/>
      <c r="F95" s="2096"/>
      <c r="G95" s="2096"/>
      <c r="H95" s="2555">
        <f>'Forest Degradation'!BA54</f>
        <v>0</v>
      </c>
      <c r="I95" s="2555"/>
      <c r="J95" s="2555">
        <f>'Forest Degradation'!BB54</f>
        <v>0</v>
      </c>
      <c r="K95" s="2096"/>
    </row>
    <row r="96" spans="2:15">
      <c r="B96" s="2096"/>
      <c r="C96" s="2096" t="str">
        <f>B16</f>
        <v>Afforestation</v>
      </c>
      <c r="D96" s="2096"/>
      <c r="E96" s="2096"/>
      <c r="F96" s="2096"/>
      <c r="G96" s="2096"/>
      <c r="H96" s="2555">
        <f>'A-R'!AA53</f>
        <v>0</v>
      </c>
      <c r="I96" s="2555"/>
      <c r="J96" s="2555">
        <f>'A-R'!AB53</f>
        <v>0</v>
      </c>
      <c r="K96" s="2096"/>
    </row>
    <row r="97" spans="2:11">
      <c r="B97" s="2096"/>
      <c r="C97" s="2096" t="str">
        <f>B17</f>
        <v>Other LUC</v>
      </c>
      <c r="D97" s="2096"/>
      <c r="E97" s="2096"/>
      <c r="F97" s="2096"/>
      <c r="G97" s="2096"/>
      <c r="H97" s="2555">
        <f>'non Forest LUC'!U48</f>
        <v>0</v>
      </c>
      <c r="I97" s="2555"/>
      <c r="J97" s="2555">
        <f>'non Forest LUC'!V48</f>
        <v>0</v>
      </c>
      <c r="K97" s="2096"/>
    </row>
    <row r="98" spans="2:11">
      <c r="B98" s="2096"/>
      <c r="C98" s="2096" t="str">
        <f>B19</f>
        <v>Annual</v>
      </c>
      <c r="D98" s="2096"/>
      <c r="E98" s="2096"/>
      <c r="F98" s="2096"/>
      <c r="G98" s="2096"/>
      <c r="H98" s="2555">
        <f>Annual!AY49</f>
        <v>0</v>
      </c>
      <c r="I98" s="2555"/>
      <c r="J98" s="2555">
        <f>Annual!AZ49</f>
        <v>0</v>
      </c>
      <c r="K98" s="2096"/>
    </row>
    <row r="99" spans="2:11">
      <c r="B99" s="2096"/>
      <c r="C99" s="2096" t="str">
        <f>B20</f>
        <v>Perennial</v>
      </c>
      <c r="D99" s="2096"/>
      <c r="E99" s="2096"/>
      <c r="F99" s="2096"/>
      <c r="G99" s="2096"/>
      <c r="H99" s="2555">
        <f>Perennial!AA47</f>
        <v>0</v>
      </c>
      <c r="I99" s="2555"/>
      <c r="J99" s="2555">
        <f>Perennial!AB47</f>
        <v>0</v>
      </c>
      <c r="K99" s="2096"/>
    </row>
    <row r="100" spans="2:11">
      <c r="B100" s="2096"/>
      <c r="C100" s="2096" t="str">
        <f>C90</f>
        <v>Irrigated rice</v>
      </c>
      <c r="D100" s="2096"/>
      <c r="E100" s="2096"/>
      <c r="F100" s="2096"/>
      <c r="G100" s="2096"/>
      <c r="H100" s="2555">
        <f>'Irrigated Rice'!AI47</f>
        <v>0</v>
      </c>
      <c r="I100" s="2555"/>
      <c r="J100" s="2555">
        <f>'Irrigated Rice'!AJ47</f>
        <v>0</v>
      </c>
      <c r="K100" s="2096"/>
    </row>
    <row r="101" spans="2:11">
      <c r="B101" s="2096"/>
      <c r="C101" s="2475" t="str">
        <f>B23</f>
        <v>Grassland</v>
      </c>
      <c r="D101" s="2096"/>
      <c r="E101" s="2096"/>
      <c r="F101" s="2096"/>
      <c r="G101" s="2096"/>
      <c r="H101" s="2555">
        <f>Grass!AE44</f>
        <v>0</v>
      </c>
      <c r="I101" s="2555"/>
      <c r="J101" s="2555">
        <f>Grass!AF44</f>
        <v>0</v>
      </c>
      <c r="K101" s="2096"/>
    </row>
    <row r="102" spans="2:11">
      <c r="B102" s="2481"/>
      <c r="C102" s="2481"/>
      <c r="D102" s="2483" t="str">
        <f>D92</f>
        <v>Total</v>
      </c>
      <c r="E102" s="2481"/>
      <c r="F102" s="2481"/>
      <c r="G102" s="2481"/>
      <c r="H102" s="2556">
        <f>SUM(H94:H101)</f>
        <v>0</v>
      </c>
      <c r="I102" s="2556"/>
      <c r="J102" s="2556">
        <f>SUM(J94:J101)</f>
        <v>0</v>
      </c>
      <c r="K102" s="2481"/>
    </row>
    <row r="148" spans="2:19" ht="13.2" customHeight="1">
      <c r="B148" s="3297" t="str">
        <f>HLOOKUP(select,translations!$A$341:$H$435,55,)</f>
        <v>Back to main results</v>
      </c>
      <c r="C148" s="3297"/>
      <c r="D148" s="3297"/>
      <c r="E148" s="3297"/>
    </row>
    <row r="149" spans="2:19" ht="13.2" customHeight="1">
      <c r="B149" s="3297"/>
      <c r="C149" s="3297"/>
      <c r="D149" s="3297"/>
      <c r="E149" s="3297"/>
    </row>
    <row r="150" spans="2:19" ht="15.6">
      <c r="B150" s="2755" t="str">
        <f>B7</f>
        <v>Project Name</v>
      </c>
      <c r="C150" s="2599"/>
      <c r="D150" s="2769">
        <f>D7</f>
        <v>0</v>
      </c>
      <c r="E150" s="2599"/>
      <c r="F150" s="2755" t="str">
        <f>F7</f>
        <v>Climate</v>
      </c>
      <c r="G150" s="2599"/>
      <c r="H150" s="2758" t="str">
        <f>H7</f>
        <v>Please select (Please select)</v>
      </c>
      <c r="I150" s="2599"/>
      <c r="J150" s="2599"/>
      <c r="K150" s="2599"/>
      <c r="L150" s="2599"/>
      <c r="M150" s="2600"/>
      <c r="N150" s="2755" t="str">
        <f>N7</f>
        <v>Duration of the Project (Years)</v>
      </c>
      <c r="O150" s="2758">
        <f>O7</f>
        <v>0</v>
      </c>
      <c r="P150" s="2599"/>
      <c r="Q150" s="2599"/>
      <c r="R150" s="2599"/>
      <c r="S150" s="2599"/>
    </row>
    <row r="151" spans="2:19" ht="15.6">
      <c r="B151" s="2755" t="str">
        <f>B8</f>
        <v>Continent</v>
      </c>
      <c r="C151" s="2599"/>
      <c r="D151" s="2770" t="str">
        <f>D8</f>
        <v>Please select</v>
      </c>
      <c r="E151" s="2599"/>
      <c r="F151" s="2755" t="str">
        <f>F8</f>
        <v>Dominant Regional Soil Type</v>
      </c>
      <c r="G151" s="2599"/>
      <c r="H151" s="2758" t="str">
        <f>H8</f>
        <v>Please select</v>
      </c>
      <c r="I151" s="2599"/>
      <c r="J151" s="2599"/>
      <c r="K151" s="2599"/>
      <c r="L151" s="2599"/>
      <c r="M151" s="2600"/>
      <c r="N151" s="2755" t="str">
        <f>N8</f>
        <v>Total area (ha)</v>
      </c>
      <c r="O151" s="2758">
        <f>O8</f>
        <v>0</v>
      </c>
      <c r="P151" s="2599"/>
      <c r="Q151" s="2599"/>
      <c r="R151" s="2599"/>
      <c r="S151" s="2599"/>
    </row>
    <row r="153" spans="2:19">
      <c r="B153" s="3300" t="str">
        <f>B10</f>
        <v>Components of the project</v>
      </c>
      <c r="D153" s="2097" t="str">
        <f>D10</f>
        <v>Gross fluxes</v>
      </c>
      <c r="E153" s="2097"/>
      <c r="F153" s="2098"/>
      <c r="H153" s="3295" t="str">
        <f>HLOOKUP(select,translations!$A$341:$H$435,56,)</f>
        <v>Production</v>
      </c>
      <c r="I153" s="3295"/>
      <c r="K153" s="3296" t="str">
        <f>HLOOKUP(select,translations!$A$341:$H$435,58,)</f>
        <v>Gross emission intensity</v>
      </c>
      <c r="L153" s="3296"/>
      <c r="N153" s="3286" t="str">
        <f>HLOOKUP(select,translations!$A$341:$H$435,60,)</f>
        <v>Percentage of human use</v>
      </c>
      <c r="O153" s="3286"/>
      <c r="Q153" s="3286" t="str">
        <f>HLOOKUP(select,translations!$A$341:$H$435,61,)</f>
        <v>Corresponding quantity used</v>
      </c>
      <c r="R153" s="3286"/>
      <c r="S153" s="3286"/>
    </row>
    <row r="154" spans="2:19">
      <c r="B154" s="3300"/>
      <c r="D154" s="2097" t="str">
        <f>D11</f>
        <v>Without</v>
      </c>
      <c r="E154" s="2097" t="str">
        <f>E11</f>
        <v>With</v>
      </c>
      <c r="F154" s="2098" t="str">
        <f>F11</f>
        <v>Balance</v>
      </c>
      <c r="H154" s="3295" t="str">
        <f>HLOOKUP(select,translations!$A$341:$H$435,57,)</f>
        <v>t of product</v>
      </c>
      <c r="I154" s="3295"/>
      <c r="K154" s="3295" t="str">
        <f>HLOOKUP(select,translations!$A$341:$H$435,59,)</f>
        <v>tCO2eq per t of product</v>
      </c>
      <c r="L154" s="3295"/>
      <c r="N154" s="3286"/>
      <c r="O154" s="3286"/>
      <c r="Q154" s="3286"/>
      <c r="R154" s="3286"/>
      <c r="S154" s="3286"/>
    </row>
    <row r="155" spans="2:19">
      <c r="B155" s="2071"/>
      <c r="D155" s="2097" t="str">
        <f>D12</f>
        <v>All GHG in tCO2eq</v>
      </c>
      <c r="E155" s="2097"/>
      <c r="F155" s="2098"/>
      <c r="H155" s="2443" t="str">
        <f>D154</f>
        <v>Without</v>
      </c>
      <c r="I155" s="2443" t="str">
        <f>E154</f>
        <v>With</v>
      </c>
      <c r="K155" s="2443" t="str">
        <f>H155</f>
        <v>Without</v>
      </c>
      <c r="L155" s="2443" t="str">
        <f>I155</f>
        <v>With</v>
      </c>
      <c r="N155" s="2486" t="str">
        <f>K155</f>
        <v>Without</v>
      </c>
      <c r="O155" s="2486" t="str">
        <f>L155</f>
        <v>With</v>
      </c>
      <c r="Q155" s="2486" t="str">
        <f>N155</f>
        <v>Without</v>
      </c>
      <c r="R155" s="2484"/>
      <c r="S155" s="2486" t="str">
        <f>O155</f>
        <v>With</v>
      </c>
    </row>
    <row r="157" spans="2:19">
      <c r="B157" s="2776" t="str">
        <f>HLOOKUP(select,translations!$A$341:$H$435,62,)</f>
        <v>All Land Use Changes</v>
      </c>
      <c r="D157" s="2063">
        <f>SUM(D15:D17)</f>
        <v>0</v>
      </c>
      <c r="E157" s="2063">
        <f>SUM(E15:E17)</f>
        <v>0</v>
      </c>
      <c r="F157" s="2067">
        <f t="shared" ref="F157:F164" si="5">E157-D157</f>
        <v>0</v>
      </c>
      <c r="H157" s="2118"/>
      <c r="I157" s="2118"/>
      <c r="K157" s="2117"/>
      <c r="L157" s="2117"/>
      <c r="N157" s="2484"/>
      <c r="O157" s="2484"/>
      <c r="Q157" s="2484"/>
      <c r="R157" s="2484"/>
      <c r="S157" s="2484"/>
    </row>
    <row r="158" spans="2:19">
      <c r="B158" s="2520" t="str">
        <f>C98</f>
        <v>Annual</v>
      </c>
      <c r="D158" s="2063">
        <f t="shared" ref="D158:E160" si="6">D19</f>
        <v>0</v>
      </c>
      <c r="E158" s="2063">
        <f t="shared" si="6"/>
        <v>0</v>
      </c>
      <c r="F158" s="2067">
        <f t="shared" si="5"/>
        <v>0</v>
      </c>
      <c r="H158" s="2118">
        <f t="shared" ref="H158:I160" si="7">S19</f>
        <v>0</v>
      </c>
      <c r="I158" s="2118">
        <f t="shared" si="7"/>
        <v>0</v>
      </c>
      <c r="K158" s="2119">
        <f t="shared" ref="K158:L160" si="8">V19</f>
        <v>0</v>
      </c>
      <c r="L158" s="2119">
        <f t="shared" si="8"/>
        <v>0</v>
      </c>
      <c r="N158" s="2373">
        <v>100</v>
      </c>
      <c r="O158" s="2373">
        <v>100</v>
      </c>
      <c r="Q158" s="2487">
        <f>H158*N158/100</f>
        <v>0</v>
      </c>
      <c r="R158" s="2484"/>
      <c r="S158" s="2487">
        <f>I158*O158/100</f>
        <v>0</v>
      </c>
    </row>
    <row r="159" spans="2:19">
      <c r="B159" s="2520" t="str">
        <f t="shared" ref="B159:B161" si="9">C99</f>
        <v>Perennial</v>
      </c>
      <c r="D159" s="2063">
        <f t="shared" si="6"/>
        <v>0</v>
      </c>
      <c r="E159" s="2063">
        <f t="shared" si="6"/>
        <v>0</v>
      </c>
      <c r="F159" s="2067">
        <f t="shared" si="5"/>
        <v>0</v>
      </c>
      <c r="H159" s="2118">
        <f t="shared" si="7"/>
        <v>0</v>
      </c>
      <c r="I159" s="2118">
        <f t="shared" si="7"/>
        <v>0</v>
      </c>
      <c r="K159" s="2119">
        <f t="shared" si="8"/>
        <v>0</v>
      </c>
      <c r="L159" s="2119">
        <f t="shared" si="8"/>
        <v>0</v>
      </c>
      <c r="N159" s="2373">
        <v>100</v>
      </c>
      <c r="O159" s="2373">
        <v>100</v>
      </c>
      <c r="Q159" s="2487">
        <f>H159*N159/100</f>
        <v>0</v>
      </c>
      <c r="R159" s="2484"/>
      <c r="S159" s="2487">
        <f>I159*O159/100</f>
        <v>0</v>
      </c>
    </row>
    <row r="160" spans="2:19">
      <c r="B160" s="2520" t="str">
        <f t="shared" si="9"/>
        <v>Irrigated rice</v>
      </c>
      <c r="D160" s="2063">
        <f t="shared" si="6"/>
        <v>0</v>
      </c>
      <c r="E160" s="2063">
        <f t="shared" si="6"/>
        <v>0</v>
      </c>
      <c r="F160" s="2067">
        <f t="shared" si="5"/>
        <v>0</v>
      </c>
      <c r="H160" s="2118">
        <f t="shared" si="7"/>
        <v>0</v>
      </c>
      <c r="I160" s="2118">
        <f t="shared" si="7"/>
        <v>0</v>
      </c>
      <c r="K160" s="2119">
        <f t="shared" si="8"/>
        <v>0</v>
      </c>
      <c r="L160" s="2119">
        <f t="shared" si="8"/>
        <v>0</v>
      </c>
      <c r="N160" s="2373">
        <v>100</v>
      </c>
      <c r="O160" s="2373">
        <v>100</v>
      </c>
      <c r="Q160" s="2487">
        <f>H160*N160/100</f>
        <v>0</v>
      </c>
      <c r="R160" s="2484"/>
      <c r="S160" s="2487">
        <f>I160*O160/100</f>
        <v>0</v>
      </c>
    </row>
    <row r="161" spans="2:19">
      <c r="B161" s="2520" t="str">
        <f t="shared" si="9"/>
        <v>Grassland</v>
      </c>
      <c r="D161" s="2063">
        <f t="shared" ref="D161:E164" si="10">D23</f>
        <v>0</v>
      </c>
      <c r="E161" s="2063">
        <f t="shared" si="10"/>
        <v>0</v>
      </c>
      <c r="F161" s="2067">
        <f t="shared" si="5"/>
        <v>0</v>
      </c>
      <c r="H161" s="2118">
        <f>S23</f>
        <v>0</v>
      </c>
      <c r="I161" s="2118">
        <f>T23</f>
        <v>0</v>
      </c>
      <c r="K161" s="2119">
        <f>V23</f>
        <v>0</v>
      </c>
      <c r="L161" s="2119">
        <f>W23</f>
        <v>0</v>
      </c>
      <c r="N161" s="2373">
        <v>100</v>
      </c>
      <c r="O161" s="2373">
        <v>100</v>
      </c>
      <c r="Q161" s="2487">
        <f>H161*N161/100</f>
        <v>0</v>
      </c>
      <c r="R161" s="2484"/>
      <c r="S161" s="2487">
        <f>I161*O161/100</f>
        <v>0</v>
      </c>
    </row>
    <row r="162" spans="2:19">
      <c r="B162" s="2520" t="str">
        <f>B24</f>
        <v>Livestocks</v>
      </c>
      <c r="D162" s="2063">
        <f t="shared" si="10"/>
        <v>0</v>
      </c>
      <c r="E162" s="2063">
        <f t="shared" si="10"/>
        <v>0</v>
      </c>
      <c r="F162" s="2067">
        <f t="shared" si="5"/>
        <v>0</v>
      </c>
      <c r="H162" s="2118">
        <f>S24</f>
        <v>0</v>
      </c>
      <c r="I162" s="2118">
        <f>T24</f>
        <v>0</v>
      </c>
      <c r="K162" s="2119">
        <f>V24</f>
        <v>0</v>
      </c>
      <c r="L162" s="2119">
        <f>W24</f>
        <v>0</v>
      </c>
      <c r="N162" s="2373">
        <v>100</v>
      </c>
      <c r="O162" s="2373">
        <v>100</v>
      </c>
      <c r="Q162" s="2487">
        <f>H162*N162/100</f>
        <v>0</v>
      </c>
      <c r="R162" s="2484"/>
      <c r="S162" s="2487">
        <f>I162*O162/100</f>
        <v>0</v>
      </c>
    </row>
    <row r="163" spans="2:19">
      <c r="B163" s="2095" t="str">
        <f>B25</f>
        <v>Degradation &amp; Management</v>
      </c>
      <c r="D163" s="2063">
        <f t="shared" si="10"/>
        <v>0</v>
      </c>
      <c r="E163" s="2063">
        <f t="shared" si="10"/>
        <v>0</v>
      </c>
      <c r="F163" s="2067">
        <f t="shared" si="5"/>
        <v>0</v>
      </c>
      <c r="H163" s="2118"/>
      <c r="I163" s="2118"/>
      <c r="K163" s="2117"/>
      <c r="L163" s="2119"/>
      <c r="N163" s="2484"/>
      <c r="O163" s="2484"/>
      <c r="Q163" s="2484"/>
      <c r="R163" s="2484"/>
      <c r="S163" s="2484"/>
    </row>
    <row r="164" spans="2:19">
      <c r="B164" s="2095" t="str">
        <f>B26</f>
        <v>Inputs &amp; Investments</v>
      </c>
      <c r="D164" s="2063">
        <f t="shared" si="10"/>
        <v>0</v>
      </c>
      <c r="E164" s="2063">
        <f t="shared" si="10"/>
        <v>0</v>
      </c>
      <c r="F164" s="2067">
        <f t="shared" si="5"/>
        <v>0</v>
      </c>
      <c r="H164" s="2118"/>
      <c r="I164" s="2118"/>
      <c r="K164" s="2117"/>
      <c r="L164" s="2119"/>
      <c r="N164" s="2484"/>
      <c r="O164" s="2484"/>
      <c r="Q164" s="2484"/>
      <c r="R164" s="2484"/>
      <c r="S164" s="2484"/>
    </row>
    <row r="165" spans="2:19">
      <c r="D165" s="2060"/>
      <c r="E165" s="2060"/>
      <c r="F165" s="2060"/>
      <c r="H165" s="2059"/>
      <c r="I165" s="2059"/>
    </row>
    <row r="166" spans="2:19">
      <c r="B166" s="2071" t="str">
        <f>D102</f>
        <v>Total</v>
      </c>
      <c r="C166" s="2094"/>
      <c r="D166" s="2063">
        <f>SUM(D157:D164)</f>
        <v>0</v>
      </c>
      <c r="E166" s="2063">
        <f>SUM(E157:E164)</f>
        <v>0</v>
      </c>
      <c r="F166" s="2075">
        <f>SUM(F157:F164)</f>
        <v>0</v>
      </c>
      <c r="H166" s="2118">
        <f>SUM(H157:H164)</f>
        <v>0</v>
      </c>
      <c r="I166" s="2118">
        <f>SUM(I157:I164)</f>
        <v>0</v>
      </c>
      <c r="K166" s="2119">
        <f>V28</f>
        <v>0</v>
      </c>
      <c r="L166" s="2119">
        <f>W28</f>
        <v>0</v>
      </c>
      <c r="Q166" s="2487">
        <f>SUM(Q158:Q162)</f>
        <v>0</v>
      </c>
      <c r="R166" s="2484"/>
      <c r="S166" s="2487">
        <f>SUM(S158:S162)</f>
        <v>0</v>
      </c>
    </row>
    <row r="168" spans="2:19">
      <c r="B168" s="2975" t="str">
        <f>HLOOKUP(select,translations!$A$341:$H$435,63,)</f>
        <v>Detailled Emissions in t CO2-eq for the different phases of the Value Chain</v>
      </c>
      <c r="C168" s="2488"/>
      <c r="D168" s="2488"/>
      <c r="E168" s="2488"/>
      <c r="F168" s="2488"/>
      <c r="G168" s="2488"/>
      <c r="H168" s="2488"/>
      <c r="I168" s="2488"/>
      <c r="J168" s="2488"/>
      <c r="K168" s="2501" t="str">
        <f>HLOOKUP(select,translations!$A$341:$H$435,64,)</f>
        <v>Emissions (tCO2/t product)</v>
      </c>
      <c r="L168" s="2501"/>
      <c r="M168" s="2488"/>
      <c r="O168" s="2056"/>
    </row>
    <row r="169" spans="2:19">
      <c r="B169" s="2976"/>
      <c r="C169" s="2488"/>
      <c r="D169" s="2488"/>
      <c r="E169" s="2488"/>
      <c r="F169" s="2488"/>
      <c r="G169" s="2488"/>
      <c r="H169" s="2488"/>
      <c r="I169" s="2488"/>
      <c r="J169" s="2488"/>
      <c r="K169" s="2502" t="str">
        <f>N155</f>
        <v>Without</v>
      </c>
      <c r="L169" s="2502" t="str">
        <f>O155</f>
        <v>With</v>
      </c>
      <c r="M169" s="2488"/>
    </row>
    <row r="170" spans="2:19">
      <c r="B170" s="2977" t="str">
        <f>HLOOKUP(select,translations!$A$341:$H$435,65,)</f>
        <v>PRODUCTION Level (corresponding emissions calculated as a percentage of total quantity used)</v>
      </c>
      <c r="C170" s="2504"/>
      <c r="D170" s="2504"/>
      <c r="E170" s="2504"/>
      <c r="F170" s="2504"/>
      <c r="G170" s="2504"/>
      <c r="H170" s="2504"/>
      <c r="I170" s="2504"/>
      <c r="J170" s="2504"/>
      <c r="K170" s="2505"/>
      <c r="L170" s="2505"/>
      <c r="M170" s="2504"/>
    </row>
    <row r="171" spans="2:19">
      <c r="B171" s="2978" t="str">
        <f>HLOOKUP(select,translations!$A$341:$H$435,66,)</f>
        <v>Direct and indirect (induced LUC, degradation, Inputs &amp; Investments) emissions</v>
      </c>
      <c r="C171" s="2488"/>
      <c r="D171" s="2488"/>
      <c r="E171" s="2488"/>
      <c r="F171" s="2488"/>
      <c r="G171" s="2488"/>
      <c r="H171" s="2488"/>
      <c r="I171" s="2488"/>
      <c r="J171" s="2488"/>
      <c r="K171" s="2510">
        <f>K166</f>
        <v>0</v>
      </c>
      <c r="L171" s="2510">
        <f>L166</f>
        <v>0</v>
      </c>
      <c r="M171" s="2488"/>
    </row>
    <row r="172" spans="2:19">
      <c r="B172" s="2976"/>
      <c r="C172" s="2488"/>
      <c r="D172" s="2488"/>
      <c r="E172" s="2488"/>
      <c r="F172" s="2488"/>
      <c r="G172" s="2488"/>
      <c r="H172" s="2488"/>
      <c r="I172" s="2488"/>
      <c r="J172" s="2488"/>
      <c r="K172" s="2511"/>
      <c r="L172" s="2511"/>
      <c r="M172" s="2488"/>
    </row>
    <row r="173" spans="2:19">
      <c r="B173" s="2977" t="str">
        <f>HLOOKUP(select,translations!$A$341:$H$435,67,)</f>
        <v>PROCESSING Level (list inputs or processes necessary)</v>
      </c>
      <c r="C173" s="2504"/>
      <c r="D173" s="2504"/>
      <c r="E173" s="2504"/>
      <c r="F173" s="2504"/>
      <c r="G173" s="2504"/>
      <c r="H173" s="2504"/>
      <c r="I173" s="2504"/>
      <c r="J173" s="2504"/>
      <c r="K173" s="2512"/>
      <c r="L173" s="2512"/>
      <c r="M173" s="2504"/>
    </row>
    <row r="174" spans="2:19" ht="24.6" customHeight="1">
      <c r="B174" s="2491" t="str">
        <f>HLOOKUP(select,translations!$A$341:$H$435,68,)</f>
        <v>Name of input/process</v>
      </c>
      <c r="C174" s="2491"/>
      <c r="D174" s="2492"/>
      <c r="E174" s="3287" t="str">
        <f>HLOOKUP(select,translations!$A$341:$H$435,69,)</f>
        <v>Emission per input</v>
      </c>
      <c r="F174" s="3287"/>
      <c r="G174" s="2492"/>
      <c r="H174" s="3287" t="str">
        <f>HLOOKUP(select,translations!$A$341:$H$435,70,)</f>
        <v>Input per t product</v>
      </c>
      <c r="I174" s="3287"/>
      <c r="J174" s="2492"/>
      <c r="K174" s="2513"/>
      <c r="L174" s="2513"/>
      <c r="M174" s="2492"/>
    </row>
    <row r="175" spans="2:19">
      <c r="B175" s="2777" t="str">
        <f>HLOOKUP(select,translations!$A$341:$H$435,74,)</f>
        <v>Insert name below</v>
      </c>
      <c r="C175" s="2492"/>
      <c r="D175" s="2492"/>
      <c r="E175" s="2493" t="str">
        <f>H155</f>
        <v>Without</v>
      </c>
      <c r="F175" s="2493" t="str">
        <f>I155</f>
        <v>With</v>
      </c>
      <c r="G175" s="2492"/>
      <c r="H175" s="2493" t="str">
        <f>E175</f>
        <v>Without</v>
      </c>
      <c r="I175" s="2493" t="str">
        <f>F175</f>
        <v>With</v>
      </c>
      <c r="J175" s="2492"/>
      <c r="K175" s="2508"/>
      <c r="L175" s="2508"/>
      <c r="M175" s="2492"/>
    </row>
    <row r="176" spans="2:19">
      <c r="B176" s="3284"/>
      <c r="C176" s="3284"/>
      <c r="D176" s="2492"/>
      <c r="E176" s="2495"/>
      <c r="F176" s="2495"/>
      <c r="G176" s="2489"/>
      <c r="H176" s="2495"/>
      <c r="I176" s="2495"/>
      <c r="J176" s="2489"/>
      <c r="K176" s="2508">
        <f>$E176*$H176</f>
        <v>0</v>
      </c>
      <c r="L176" s="2508">
        <f>$F176*$I176</f>
        <v>0</v>
      </c>
      <c r="M176" s="2492"/>
    </row>
    <row r="177" spans="2:13">
      <c r="B177" s="3284"/>
      <c r="C177" s="3284"/>
      <c r="D177" s="2492"/>
      <c r="E177" s="2495"/>
      <c r="F177" s="2495"/>
      <c r="G177" s="2489"/>
      <c r="H177" s="2495"/>
      <c r="I177" s="2495"/>
      <c r="J177" s="2489"/>
      <c r="K177" s="2508">
        <f>$E177*$H177</f>
        <v>0</v>
      </c>
      <c r="L177" s="2508">
        <f>$F177*$I177</f>
        <v>0</v>
      </c>
      <c r="M177" s="2492"/>
    </row>
    <row r="178" spans="2:13">
      <c r="B178" s="3284"/>
      <c r="C178" s="3284"/>
      <c r="D178" s="2492"/>
      <c r="E178" s="2495"/>
      <c r="F178" s="2495"/>
      <c r="G178" s="2489"/>
      <c r="H178" s="2495"/>
      <c r="I178" s="2495"/>
      <c r="J178" s="2489"/>
      <c r="K178" s="2508">
        <f>$E178*$H178</f>
        <v>0</v>
      </c>
      <c r="L178" s="2508">
        <f>$F178*$I178</f>
        <v>0</v>
      </c>
      <c r="M178" s="2492"/>
    </row>
    <row r="179" spans="2:13">
      <c r="B179" s="3284"/>
      <c r="C179" s="3284"/>
      <c r="D179" s="2492"/>
      <c r="E179" s="2495"/>
      <c r="F179" s="2495"/>
      <c r="G179" s="2489"/>
      <c r="H179" s="2495"/>
      <c r="I179" s="2495"/>
      <c r="J179" s="2489"/>
      <c r="K179" s="2508">
        <f>$E179*$H179</f>
        <v>0</v>
      </c>
      <c r="L179" s="2508">
        <f>$F179*$I179</f>
        <v>0</v>
      </c>
      <c r="M179" s="2492"/>
    </row>
    <row r="180" spans="2:13">
      <c r="B180" s="2492"/>
      <c r="C180" s="2492"/>
      <c r="D180" s="2492"/>
      <c r="E180" s="2492"/>
      <c r="F180" s="2492"/>
      <c r="G180" s="2492"/>
      <c r="H180" s="2492"/>
      <c r="I180" s="2491"/>
      <c r="J180" s="2506" t="str">
        <f>HLOOKUP(select,translations!$A$341:$H$435,71,)</f>
        <v>Total for PROCESSING</v>
      </c>
      <c r="K180" s="2509">
        <f>SUM(K176:K179)</f>
        <v>0</v>
      </c>
      <c r="L180" s="2509">
        <f>SUM(L176:L179)</f>
        <v>0</v>
      </c>
      <c r="M180" s="2492"/>
    </row>
    <row r="181" spans="2:13">
      <c r="B181" s="2979" t="str">
        <f>HLOOKUP(select,translations!$A$341:$H$435,72,)</f>
        <v>TRANSPORT level (list the differents inputs or processes necessary)</v>
      </c>
      <c r="C181" s="2498"/>
      <c r="D181" s="2498"/>
      <c r="E181" s="2498"/>
      <c r="F181" s="2498"/>
      <c r="G181" s="2498"/>
      <c r="H181" s="2498"/>
      <c r="I181" s="2498"/>
      <c r="J181" s="2498"/>
      <c r="K181" s="2514"/>
      <c r="L181" s="2514"/>
      <c r="M181" s="2498"/>
    </row>
    <row r="182" spans="2:13" ht="24.6" customHeight="1">
      <c r="B182" s="2491" t="str">
        <f>B174</f>
        <v>Name of input/process</v>
      </c>
      <c r="C182" s="2491"/>
      <c r="D182" s="2492"/>
      <c r="E182" s="3276" t="str">
        <f>E174</f>
        <v>Emission per input</v>
      </c>
      <c r="F182" s="3276"/>
      <c r="G182" s="2492"/>
      <c r="H182" s="3276" t="str">
        <f>H174</f>
        <v>Input per t product</v>
      </c>
      <c r="I182" s="3276"/>
      <c r="J182" s="2492"/>
      <c r="K182" s="2515"/>
      <c r="L182" s="2515"/>
      <c r="M182" s="2492"/>
    </row>
    <row r="183" spans="2:13">
      <c r="B183" s="2777" t="str">
        <f>B175</f>
        <v>Insert name below</v>
      </c>
      <c r="C183" s="2492"/>
      <c r="D183" s="2492"/>
      <c r="E183" s="2493" t="str">
        <f>E175</f>
        <v>Without</v>
      </c>
      <c r="F183" s="2493" t="str">
        <f>F175</f>
        <v>With</v>
      </c>
      <c r="G183" s="2492"/>
      <c r="H183" s="2493" t="str">
        <f>H175</f>
        <v>Without</v>
      </c>
      <c r="I183" s="2493" t="str">
        <f>I175</f>
        <v>With</v>
      </c>
      <c r="J183" s="2492"/>
      <c r="K183" s="2508"/>
      <c r="L183" s="2508"/>
      <c r="M183" s="2492"/>
    </row>
    <row r="184" spans="2:13">
      <c r="B184" s="3284"/>
      <c r="C184" s="3284"/>
      <c r="D184" s="2492"/>
      <c r="E184" s="2495"/>
      <c r="F184" s="2495"/>
      <c r="G184" s="2489"/>
      <c r="H184" s="2495"/>
      <c r="I184" s="2495"/>
      <c r="J184" s="2492"/>
      <c r="K184" s="2508">
        <f>$E184*$H184</f>
        <v>0</v>
      </c>
      <c r="L184" s="2508">
        <f>$F184*$I184</f>
        <v>0</v>
      </c>
      <c r="M184" s="2492"/>
    </row>
    <row r="185" spans="2:13">
      <c r="B185" s="3284"/>
      <c r="C185" s="3284"/>
      <c r="D185" s="2492"/>
      <c r="E185" s="2495"/>
      <c r="F185" s="2495"/>
      <c r="G185" s="2489"/>
      <c r="H185" s="2495"/>
      <c r="I185" s="2495"/>
      <c r="J185" s="2492"/>
      <c r="K185" s="2508">
        <f>$E185*$H185</f>
        <v>0</v>
      </c>
      <c r="L185" s="2508">
        <f>$F185*$I185</f>
        <v>0</v>
      </c>
      <c r="M185" s="2492"/>
    </row>
    <row r="186" spans="2:13">
      <c r="B186" s="3284"/>
      <c r="C186" s="3284"/>
      <c r="D186" s="2492"/>
      <c r="E186" s="2495"/>
      <c r="F186" s="2495"/>
      <c r="G186" s="2489"/>
      <c r="H186" s="2495"/>
      <c r="I186" s="2495"/>
      <c r="J186" s="2492"/>
      <c r="K186" s="2508">
        <f>$E186*$H186</f>
        <v>0</v>
      </c>
      <c r="L186" s="2508">
        <f>$F186*$I186</f>
        <v>0</v>
      </c>
      <c r="M186" s="2492"/>
    </row>
    <row r="187" spans="2:13">
      <c r="B187" s="2492"/>
      <c r="C187" s="2492"/>
      <c r="D187" s="2492"/>
      <c r="E187" s="2492"/>
      <c r="F187" s="2492"/>
      <c r="G187" s="2492"/>
      <c r="H187" s="2492"/>
      <c r="I187" s="2496"/>
      <c r="J187" s="2506" t="str">
        <f>HLOOKUP(select,translations!$A$341:$H$435,73,)</f>
        <v>Total TRANSPORT</v>
      </c>
      <c r="K187" s="2509">
        <f>SUM(K184:K186)</f>
        <v>0</v>
      </c>
      <c r="L187" s="2509">
        <f>SUM(L184:L186)</f>
        <v>0</v>
      </c>
      <c r="M187" s="2492"/>
    </row>
    <row r="188" spans="2:13">
      <c r="B188" s="2979" t="str">
        <f>HLOOKUP(select,translations!$A$341:$H$435,75,)</f>
        <v>USE level (list the differents inputs or steps necessary)</v>
      </c>
      <c r="C188" s="2498"/>
      <c r="D188" s="2498"/>
      <c r="E188" s="2498"/>
      <c r="F188" s="2498"/>
      <c r="G188" s="2498"/>
      <c r="H188" s="2498"/>
      <c r="I188" s="2499"/>
      <c r="J188" s="2498"/>
      <c r="K188" s="2514"/>
      <c r="L188" s="2514"/>
      <c r="M188" s="2498"/>
    </row>
    <row r="189" spans="2:13" ht="26.4" customHeight="1">
      <c r="B189" s="2491" t="str">
        <f>B182</f>
        <v>Name of input/process</v>
      </c>
      <c r="C189" s="2491"/>
      <c r="D189" s="2492"/>
      <c r="E189" s="3276" t="str">
        <f>E182</f>
        <v>Emission per input</v>
      </c>
      <c r="F189" s="3276"/>
      <c r="G189" s="2492"/>
      <c r="H189" s="3276" t="str">
        <f>H182</f>
        <v>Input per t product</v>
      </c>
      <c r="I189" s="3276"/>
      <c r="J189" s="2492"/>
      <c r="K189" s="2515"/>
      <c r="L189" s="2515"/>
      <c r="M189" s="2492"/>
    </row>
    <row r="190" spans="2:13">
      <c r="B190" s="2777" t="str">
        <f>B183</f>
        <v>Insert name below</v>
      </c>
      <c r="C190" s="2492"/>
      <c r="D190" s="2492"/>
      <c r="E190" s="2493" t="str">
        <f>E183</f>
        <v>Without</v>
      </c>
      <c r="F190" s="2493" t="str">
        <f t="shared" ref="F190:I190" si="11">F183</f>
        <v>With</v>
      </c>
      <c r="G190" s="2493"/>
      <c r="H190" s="2493" t="str">
        <f t="shared" si="11"/>
        <v>Without</v>
      </c>
      <c r="I190" s="2493" t="str">
        <f t="shared" si="11"/>
        <v>With</v>
      </c>
      <c r="J190" s="2492"/>
      <c r="K190" s="2508"/>
      <c r="L190" s="2508"/>
      <c r="M190" s="2492"/>
    </row>
    <row r="191" spans="2:13">
      <c r="B191" s="3284"/>
      <c r="C191" s="3284"/>
      <c r="D191" s="2492"/>
      <c r="E191" s="2495"/>
      <c r="F191" s="2495"/>
      <c r="G191" s="2489"/>
      <c r="H191" s="2495"/>
      <c r="I191" s="2495"/>
      <c r="J191" s="2492"/>
      <c r="K191" s="2508">
        <f>$E191*$H191</f>
        <v>0</v>
      </c>
      <c r="L191" s="2508">
        <f>$F191*$I191</f>
        <v>0</v>
      </c>
      <c r="M191" s="2492"/>
    </row>
    <row r="192" spans="2:13">
      <c r="B192" s="3284"/>
      <c r="C192" s="3284"/>
      <c r="D192" s="2488"/>
      <c r="E192" s="2495"/>
      <c r="F192" s="2495"/>
      <c r="G192" s="2488"/>
      <c r="H192" s="2495"/>
      <c r="I192" s="2495"/>
      <c r="J192" s="2488"/>
      <c r="K192" s="2508">
        <f>$E192*$H192</f>
        <v>0</v>
      </c>
      <c r="L192" s="2508">
        <f>$F192*$I192</f>
        <v>0</v>
      </c>
      <c r="M192" s="2488"/>
    </row>
    <row r="193" spans="2:26">
      <c r="B193" s="2500"/>
      <c r="C193" s="2500"/>
      <c r="D193" s="2488"/>
      <c r="E193" s="2495"/>
      <c r="F193" s="2495"/>
      <c r="G193" s="2488"/>
      <c r="H193" s="2495"/>
      <c r="I193" s="2495"/>
      <c r="J193" s="2488"/>
      <c r="K193" s="2508">
        <f>$E193*$H193</f>
        <v>0</v>
      </c>
      <c r="L193" s="2508">
        <f>$F193*$I193</f>
        <v>0</v>
      </c>
      <c r="M193" s="2488"/>
    </row>
    <row r="194" spans="2:26">
      <c r="B194" s="2488"/>
      <c r="C194" s="2488"/>
      <c r="D194" s="2488"/>
      <c r="E194" s="2488"/>
      <c r="F194" s="2488"/>
      <c r="G194" s="2488"/>
      <c r="H194" s="2488"/>
      <c r="I194" s="2497"/>
      <c r="J194" s="2507" t="str">
        <f>HLOOKUP(select,translations!$A$341:$H$435,76,)</f>
        <v>Total for USE</v>
      </c>
      <c r="K194" s="2509">
        <f>SUM(K191:K192)</f>
        <v>0</v>
      </c>
      <c r="L194" s="2509">
        <f>SUM(L191:L192)</f>
        <v>0</v>
      </c>
      <c r="M194" s="2488"/>
      <c r="O194" s="2981" t="str">
        <f>K204</f>
        <v>Emissions (tCO2/t product)</v>
      </c>
      <c r="P194" s="2778"/>
      <c r="Q194" s="2778"/>
      <c r="R194" s="2778"/>
      <c r="S194" s="2778"/>
      <c r="T194" s="2778"/>
      <c r="U194" s="2778"/>
      <c r="V194" s="2778"/>
      <c r="W194" s="2778"/>
      <c r="X194" s="2778"/>
      <c r="Y194" s="2778"/>
      <c r="Z194" s="2778"/>
    </row>
    <row r="195" spans="2:26">
      <c r="B195" s="2979" t="str">
        <f>HLOOKUP(select,translations!$A$341:$H$435,77,)</f>
        <v>WASTE level (list the differents inputs or steps necessary)</v>
      </c>
      <c r="C195" s="2498"/>
      <c r="D195" s="2498"/>
      <c r="E195" s="2498"/>
      <c r="F195" s="2498"/>
      <c r="G195" s="2498"/>
      <c r="H195" s="2498"/>
      <c r="I195" s="2499"/>
      <c r="J195" s="2498"/>
      <c r="K195" s="2498"/>
      <c r="L195" s="2498"/>
      <c r="M195" s="2498"/>
      <c r="O195" s="2778"/>
      <c r="P195" s="2778"/>
      <c r="Q195" s="2778"/>
      <c r="R195" s="2778"/>
      <c r="S195" s="2778"/>
      <c r="T195" s="2778"/>
      <c r="U195" s="2778"/>
      <c r="V195" s="2778"/>
      <c r="W195" s="2778"/>
      <c r="X195" s="2778"/>
      <c r="Y195" s="2778"/>
      <c r="Z195" s="2778"/>
    </row>
    <row r="196" spans="2:26" ht="25.2" customHeight="1">
      <c r="B196" s="2491" t="str">
        <f>B189</f>
        <v>Name of input/process</v>
      </c>
      <c r="C196" s="2491"/>
      <c r="D196" s="2492"/>
      <c r="E196" s="3276" t="str">
        <f>E189</f>
        <v>Emission per input</v>
      </c>
      <c r="F196" s="3276"/>
      <c r="G196" s="2492"/>
      <c r="H196" s="3276" t="str">
        <f>H189</f>
        <v>Input per t product</v>
      </c>
      <c r="I196" s="3276"/>
      <c r="J196" s="2492"/>
      <c r="K196" s="2493"/>
      <c r="L196" s="2493"/>
      <c r="M196" s="2492"/>
      <c r="O196" s="2778"/>
      <c r="P196" s="2778"/>
      <c r="Q196" s="2778"/>
      <c r="R196" s="2778"/>
      <c r="S196" s="2778"/>
      <c r="T196" s="2778"/>
      <c r="U196" s="2778"/>
      <c r="V196" s="2778"/>
      <c r="W196" s="2778"/>
      <c r="X196" s="2778"/>
      <c r="Y196" s="2778"/>
      <c r="Z196" s="2778"/>
    </row>
    <row r="197" spans="2:26">
      <c r="B197" s="2492" t="str">
        <f>B190</f>
        <v>Insert name below</v>
      </c>
      <c r="C197" s="2492"/>
      <c r="D197" s="2492"/>
      <c r="E197" s="2493" t="str">
        <f>E190</f>
        <v>Without</v>
      </c>
      <c r="F197" s="2493" t="str">
        <f t="shared" ref="F197:I197" si="12">F190</f>
        <v>With</v>
      </c>
      <c r="G197" s="2493"/>
      <c r="H197" s="2493" t="str">
        <f t="shared" si="12"/>
        <v>Without</v>
      </c>
      <c r="I197" s="2493" t="str">
        <f t="shared" si="12"/>
        <v>With</v>
      </c>
      <c r="J197" s="2492"/>
      <c r="K197" s="2494"/>
      <c r="L197" s="2494"/>
      <c r="M197" s="2492"/>
      <c r="O197" s="2778"/>
      <c r="P197" s="2778"/>
      <c r="Q197" s="2778"/>
      <c r="R197" s="2778"/>
      <c r="S197" s="2778"/>
      <c r="T197" s="2778"/>
      <c r="U197" s="2778"/>
      <c r="V197" s="2778"/>
      <c r="W197" s="2778"/>
      <c r="X197" s="2778"/>
      <c r="Y197" s="2778"/>
      <c r="Z197" s="2778"/>
    </row>
    <row r="198" spans="2:26">
      <c r="B198" s="3285"/>
      <c r="C198" s="3285"/>
      <c r="D198" s="2492"/>
      <c r="E198" s="2495"/>
      <c r="F198" s="2495"/>
      <c r="G198" s="2489"/>
      <c r="H198" s="2495"/>
      <c r="I198" s="2495"/>
      <c r="J198" s="2492"/>
      <c r="K198" s="2508">
        <f>$E198*$H198</f>
        <v>0</v>
      </c>
      <c r="L198" s="2508">
        <f>$F198*$I198</f>
        <v>0</v>
      </c>
      <c r="M198" s="2492"/>
      <c r="O198" s="2778"/>
      <c r="P198" s="2778"/>
      <c r="Q198" s="2778"/>
      <c r="R198" s="2778"/>
      <c r="S198" s="2778"/>
      <c r="T198" s="2778"/>
      <c r="U198" s="2778"/>
      <c r="V198" s="2778"/>
      <c r="W198" s="2778"/>
      <c r="X198" s="2778"/>
      <c r="Y198" s="2778"/>
      <c r="Z198" s="2778"/>
    </row>
    <row r="199" spans="2:26">
      <c r="B199" s="3284"/>
      <c r="C199" s="3284"/>
      <c r="D199" s="2488"/>
      <c r="E199" s="2495"/>
      <c r="F199" s="2495"/>
      <c r="G199" s="2488"/>
      <c r="H199" s="2495"/>
      <c r="I199" s="2495"/>
      <c r="J199" s="2492"/>
      <c r="K199" s="2508">
        <f>$E199*$H199</f>
        <v>0</v>
      </c>
      <c r="L199" s="2508">
        <f>$F199*$I199</f>
        <v>0</v>
      </c>
      <c r="M199" s="2492"/>
      <c r="O199" s="2778"/>
      <c r="P199" s="2778"/>
      <c r="Q199" s="2778"/>
      <c r="R199" s="2778"/>
      <c r="S199" s="2778"/>
      <c r="T199" s="2778"/>
      <c r="U199" s="2778"/>
      <c r="V199" s="2778"/>
      <c r="W199" s="2778"/>
      <c r="X199" s="2778"/>
      <c r="Y199" s="2778"/>
      <c r="Z199" s="2778"/>
    </row>
    <row r="200" spans="2:26">
      <c r="B200" s="2500"/>
      <c r="C200" s="2500"/>
      <c r="D200" s="2488"/>
      <c r="E200" s="2495"/>
      <c r="F200" s="2495"/>
      <c r="G200" s="2488"/>
      <c r="H200" s="2495"/>
      <c r="I200" s="2495"/>
      <c r="J200" s="2492"/>
      <c r="K200" s="2508">
        <f>$E200*$H200</f>
        <v>0</v>
      </c>
      <c r="L200" s="2508">
        <f>$F200*$I200</f>
        <v>0</v>
      </c>
      <c r="M200" s="2492"/>
      <c r="O200" s="2778"/>
      <c r="P200" s="2778"/>
      <c r="Q200" s="2778"/>
      <c r="R200" s="2778"/>
      <c r="S200" s="2778"/>
      <c r="T200" s="2778"/>
      <c r="U200" s="2778"/>
      <c r="V200" s="2778"/>
      <c r="W200" s="2778"/>
      <c r="X200" s="2778"/>
      <c r="Y200" s="2778"/>
      <c r="Z200" s="2778"/>
    </row>
    <row r="201" spans="2:26">
      <c r="B201" s="2488"/>
      <c r="C201" s="2488"/>
      <c r="D201" s="2488"/>
      <c r="E201" s="2488"/>
      <c r="F201" s="2488"/>
      <c r="G201" s="2488"/>
      <c r="H201" s="2488"/>
      <c r="I201" s="2497"/>
      <c r="J201" s="2507" t="str">
        <f>HLOOKUP(select,translations!$A$341:$H$435,78,)</f>
        <v>Total for WASTE</v>
      </c>
      <c r="K201" s="2509">
        <f>SUM(K198:K200)</f>
        <v>0</v>
      </c>
      <c r="L201" s="2509">
        <f>SUM(L198:L199)</f>
        <v>0</v>
      </c>
      <c r="M201" s="2488"/>
      <c r="O201" s="2778"/>
      <c r="P201" s="2778"/>
      <c r="Q201" s="2778"/>
      <c r="R201" s="2778"/>
      <c r="S201" s="2778"/>
      <c r="T201" s="2778"/>
      <c r="U201" s="2778"/>
      <c r="V201" s="2778"/>
      <c r="W201" s="2778"/>
      <c r="X201" s="2778"/>
      <c r="Y201" s="2778"/>
      <c r="Z201" s="2778"/>
    </row>
    <row r="202" spans="2:26">
      <c r="O202" s="2778"/>
      <c r="P202" s="2778"/>
      <c r="Q202" s="2778"/>
      <c r="R202" s="2778"/>
      <c r="S202" s="2778"/>
      <c r="T202" s="2778"/>
      <c r="U202" s="2778"/>
      <c r="V202" s="2778"/>
      <c r="W202" s="2778"/>
      <c r="X202" s="2778"/>
      <c r="Y202" s="2778"/>
      <c r="Z202" s="2778"/>
    </row>
    <row r="203" spans="2:26">
      <c r="O203" s="2778"/>
      <c r="P203" s="2778"/>
      <c r="Q203" s="2778"/>
      <c r="R203" s="2778"/>
      <c r="S203" s="2778"/>
      <c r="T203" s="2778"/>
      <c r="U203" s="2778"/>
      <c r="V203" s="2778"/>
      <c r="W203" s="2778"/>
      <c r="X203" s="2778"/>
      <c r="Y203" s="2778"/>
      <c r="Z203" s="2778"/>
    </row>
    <row r="204" spans="2:26">
      <c r="B204" s="2980" t="str">
        <f>HLOOKUP(select,translations!$A$341:$H$435,79,)</f>
        <v>Total Emissions in t CO2-eq for the different phases of the Value Chain</v>
      </c>
      <c r="C204" s="2516"/>
      <c r="D204" s="2516"/>
      <c r="E204" s="2516"/>
      <c r="F204" s="2516"/>
      <c r="G204" s="2516"/>
      <c r="H204" s="2516"/>
      <c r="I204" s="2516"/>
      <c r="J204" s="2516"/>
      <c r="K204" s="3277" t="str">
        <f>K168</f>
        <v>Emissions (tCO2/t product)</v>
      </c>
      <c r="L204" s="3277"/>
      <c r="M204" s="3277"/>
      <c r="O204" s="2778"/>
      <c r="P204" s="2778"/>
      <c r="Q204" s="2778"/>
      <c r="R204" s="2778"/>
      <c r="S204" s="2778"/>
      <c r="T204" s="2778"/>
      <c r="U204" s="2778"/>
      <c r="V204" s="2778"/>
      <c r="W204" s="2778"/>
      <c r="X204" s="2778"/>
      <c r="Y204" s="2778"/>
      <c r="Z204" s="2778"/>
    </row>
    <row r="205" spans="2:26">
      <c r="B205" s="2516"/>
      <c r="C205" s="2516"/>
      <c r="D205" s="2516"/>
      <c r="E205" s="2516"/>
      <c r="F205" s="2516"/>
      <c r="G205" s="2516"/>
      <c r="H205" s="2516"/>
      <c r="I205" s="2516"/>
      <c r="J205" s="2516"/>
      <c r="K205" s="2517" t="str">
        <f>E197</f>
        <v>Without</v>
      </c>
      <c r="L205" s="2517" t="str">
        <f>F197</f>
        <v>With</v>
      </c>
      <c r="M205" s="2516"/>
      <c r="O205" s="2778"/>
      <c r="P205" s="2778"/>
      <c r="Q205" s="2778"/>
      <c r="R205" s="2778"/>
      <c r="S205" s="2778"/>
      <c r="T205" s="2778"/>
      <c r="U205" s="2778"/>
      <c r="V205" s="2778"/>
      <c r="W205" s="2778"/>
      <c r="X205" s="2778"/>
      <c r="Y205" s="2778"/>
      <c r="Z205" s="2778"/>
    </row>
    <row r="206" spans="2:26">
      <c r="B206" s="2503" t="str">
        <f>HLOOKUP(select,translations!$A$341:$H$435,80,)</f>
        <v>PRODUCTION</v>
      </c>
      <c r="C206" s="2504"/>
      <c r="D206" s="2504"/>
      <c r="E206" s="2504"/>
      <c r="F206" s="2504"/>
      <c r="G206" s="2504"/>
      <c r="H206" s="2504"/>
      <c r="I206" s="2504"/>
      <c r="J206" s="2504"/>
      <c r="K206" s="2518">
        <f>K171</f>
        <v>0</v>
      </c>
      <c r="L206" s="2518">
        <f>L171</f>
        <v>0</v>
      </c>
      <c r="M206" s="2504"/>
      <c r="O206" s="2778"/>
      <c r="P206" s="2778"/>
      <c r="Q206" s="2778"/>
      <c r="R206" s="2778"/>
      <c r="S206" s="2778"/>
      <c r="T206" s="2778"/>
      <c r="U206" s="2778"/>
      <c r="V206" s="2778"/>
      <c r="W206" s="2778"/>
      <c r="X206" s="2778"/>
      <c r="Y206" s="2778"/>
      <c r="Z206" s="2778"/>
    </row>
    <row r="207" spans="2:26">
      <c r="B207" s="2503" t="str">
        <f>HLOOKUP(select,translations!$A$341:$H$435,81,)</f>
        <v>PROCESSING</v>
      </c>
      <c r="C207" s="2504"/>
      <c r="D207" s="2504"/>
      <c r="E207" s="2504"/>
      <c r="F207" s="2504"/>
      <c r="G207" s="2504"/>
      <c r="H207" s="2504"/>
      <c r="I207" s="2504"/>
      <c r="J207" s="2504"/>
      <c r="K207" s="2518">
        <f>K180</f>
        <v>0</v>
      </c>
      <c r="L207" s="2518">
        <f>L180</f>
        <v>0</v>
      </c>
      <c r="M207" s="2504"/>
      <c r="O207" s="2778"/>
      <c r="P207" s="2778"/>
      <c r="Q207" s="2778"/>
      <c r="R207" s="2778"/>
      <c r="S207" s="2778"/>
      <c r="T207" s="2778"/>
      <c r="U207" s="2778"/>
      <c r="V207" s="2778"/>
      <c r="W207" s="2778"/>
      <c r="X207" s="2778"/>
      <c r="Y207" s="2778"/>
      <c r="Z207" s="2778"/>
    </row>
    <row r="208" spans="2:26">
      <c r="B208" s="2503" t="str">
        <f>HLOOKUP(select,translations!$A$341:$H$435,82,)</f>
        <v>TRANSPORT</v>
      </c>
      <c r="C208" s="2504"/>
      <c r="D208" s="2504"/>
      <c r="E208" s="2504"/>
      <c r="F208" s="2504"/>
      <c r="G208" s="2504"/>
      <c r="H208" s="2504"/>
      <c r="I208" s="2504"/>
      <c r="J208" s="2504"/>
      <c r="K208" s="2518">
        <f>K187</f>
        <v>0</v>
      </c>
      <c r="L208" s="2518">
        <f>L187</f>
        <v>0</v>
      </c>
      <c r="M208" s="2504"/>
      <c r="O208" s="2778"/>
      <c r="P208" s="2778"/>
      <c r="Q208" s="2778"/>
      <c r="R208" s="2778"/>
      <c r="S208" s="2778"/>
      <c r="T208" s="2778"/>
      <c r="U208" s="2778"/>
      <c r="V208" s="2778"/>
      <c r="W208" s="2778"/>
      <c r="X208" s="2778"/>
      <c r="Y208" s="2778"/>
      <c r="Z208" s="2778"/>
    </row>
    <row r="209" spans="2:26">
      <c r="B209" s="2503" t="str">
        <f>HLOOKUP(select,translations!$A$341:$H$435,83,)</f>
        <v>USE</v>
      </c>
      <c r="C209" s="2504"/>
      <c r="D209" s="2504"/>
      <c r="E209" s="2504"/>
      <c r="F209" s="2504"/>
      <c r="G209" s="2504"/>
      <c r="H209" s="2504"/>
      <c r="I209" s="2504"/>
      <c r="J209" s="2504"/>
      <c r="K209" s="2518">
        <f>K194</f>
        <v>0</v>
      </c>
      <c r="L209" s="2518">
        <f>L194</f>
        <v>0</v>
      </c>
      <c r="M209" s="2504"/>
      <c r="O209" s="2778"/>
      <c r="P209" s="2778"/>
      <c r="Q209" s="2778"/>
      <c r="R209" s="2778"/>
      <c r="S209" s="2778"/>
      <c r="T209" s="2778"/>
      <c r="U209" s="2778"/>
      <c r="V209" s="2778"/>
      <c r="W209" s="2778"/>
      <c r="X209" s="2778"/>
      <c r="Y209" s="2778"/>
      <c r="Z209" s="2778"/>
    </row>
    <row r="210" spans="2:26">
      <c r="B210" s="2503" t="str">
        <f>HLOOKUP(select,translations!$A$341:$H$435,84,)</f>
        <v>WASTE</v>
      </c>
      <c r="C210" s="2504"/>
      <c r="D210" s="2504"/>
      <c r="E210" s="2504"/>
      <c r="F210" s="2504"/>
      <c r="G210" s="2504"/>
      <c r="H210" s="2504"/>
      <c r="I210" s="2504"/>
      <c r="J210" s="2504"/>
      <c r="K210" s="2518">
        <f>K201</f>
        <v>0</v>
      </c>
      <c r="L210" s="2518">
        <f>L201</f>
        <v>0</v>
      </c>
      <c r="M210" s="2504"/>
      <c r="O210" s="2778"/>
      <c r="P210" s="2778"/>
      <c r="Q210" s="2778"/>
      <c r="R210" s="2778"/>
      <c r="S210" s="2778"/>
      <c r="T210" s="2778"/>
      <c r="U210" s="2778"/>
      <c r="V210" s="2778"/>
      <c r="W210" s="2778"/>
      <c r="X210" s="2778"/>
      <c r="Y210" s="2778"/>
      <c r="Z210" s="2778"/>
    </row>
    <row r="211" spans="2:26">
      <c r="B211" s="2490"/>
      <c r="C211" s="2490"/>
      <c r="D211" s="2490"/>
      <c r="E211" s="2490"/>
      <c r="F211" s="2490"/>
      <c r="G211" s="2490"/>
      <c r="H211" s="2490"/>
      <c r="I211" s="2490"/>
      <c r="J211" s="2490" t="str">
        <f>B166</f>
        <v>Total</v>
      </c>
      <c r="K211" s="2519">
        <f>SUM(K206:K210)</f>
        <v>0</v>
      </c>
      <c r="L211" s="2519">
        <f>SUM(L206:L210)</f>
        <v>0</v>
      </c>
      <c r="M211" s="2490"/>
      <c r="O211" s="2778"/>
      <c r="P211" s="2778"/>
      <c r="Q211" s="2778"/>
      <c r="R211" s="2778"/>
      <c r="S211" s="2778"/>
      <c r="T211" s="2778"/>
      <c r="U211" s="2778"/>
      <c r="V211" s="2778"/>
      <c r="W211" s="2778"/>
      <c r="X211" s="2778"/>
      <c r="Y211" s="2778"/>
      <c r="Z211" s="2778"/>
    </row>
    <row r="213" spans="2:26">
      <c r="B213" s="3298" t="str">
        <f>B148</f>
        <v>Back to main results</v>
      </c>
      <c r="C213" s="3298"/>
      <c r="D213" s="3298"/>
    </row>
    <row r="214" spans="2:26">
      <c r="B214" s="3298"/>
      <c r="C214" s="3298"/>
      <c r="D214" s="3298"/>
    </row>
    <row r="239" spans="2:22">
      <c r="B239" s="2546" t="str">
        <f>HLOOKUP(select,translations!$A$341:$H$435,85,)</f>
        <v>Matrix of changes</v>
      </c>
      <c r="D239" s="2537" t="str">
        <f>HLOOKUP(select,translations!$A$341:$H$435,86,)</f>
        <v>Mineral soils (ha)</v>
      </c>
      <c r="E239" s="2537"/>
      <c r="F239" s="2537"/>
      <c r="G239" s="2096"/>
      <c r="H239" s="3282" t="str">
        <f>HLOOKUP(select,translations!$A$341:$H$435,89,)</f>
        <v>FINAL</v>
      </c>
      <c r="I239" s="3282"/>
      <c r="J239" s="3282"/>
      <c r="K239" s="3282"/>
      <c r="L239" s="3282"/>
      <c r="M239" s="3282"/>
      <c r="N239" s="3282"/>
      <c r="O239" s="3282"/>
      <c r="P239" s="2096"/>
      <c r="Q239" s="2536"/>
      <c r="S239" s="2540"/>
      <c r="T239" s="2541" t="str">
        <f>HLOOKUP(select,translations!$A$341:$H$435,87,)</f>
        <v>Organic Soils (ha)</v>
      </c>
      <c r="V239" s="2542">
        <f>Matrix!M20</f>
        <v>0</v>
      </c>
    </row>
    <row r="240" spans="2:22" ht="15.6">
      <c r="B240" s="2546" t="str">
        <f>H89</f>
        <v>Without project</v>
      </c>
      <c r="D240" s="2537"/>
      <c r="E240" s="2538"/>
      <c r="F240" s="2537"/>
      <c r="G240" s="2096"/>
      <c r="H240" s="3279" t="str">
        <f>E242</f>
        <v>Forest/Plantation</v>
      </c>
      <c r="I240" s="3281" t="str">
        <f>E244</f>
        <v>Agriculture</v>
      </c>
      <c r="J240" s="3281"/>
      <c r="K240" s="3281"/>
      <c r="L240" s="3292" t="str">
        <f>E246</f>
        <v>Grassland</v>
      </c>
      <c r="M240" s="3292"/>
      <c r="N240" s="3281" t="str">
        <f>E247</f>
        <v>Other lands</v>
      </c>
      <c r="O240" s="3281"/>
      <c r="P240" s="2096"/>
      <c r="Q240" s="3275" t="str">
        <f>HLOOKUP(select,translations!$A$341:$H$435,90,)</f>
        <v>Total Initial</v>
      </c>
    </row>
    <row r="241" spans="2:22">
      <c r="D241" s="2537"/>
      <c r="E241" s="2537"/>
      <c r="F241" s="2537"/>
      <c r="G241" s="2096"/>
      <c r="H241" s="3280"/>
      <c r="I241" s="2534" t="str">
        <f>F243</f>
        <v>Annual</v>
      </c>
      <c r="J241" s="2534" t="str">
        <f>F244</f>
        <v>Perennial</v>
      </c>
      <c r="K241" s="2534" t="str">
        <f>F245</f>
        <v>Rice</v>
      </c>
      <c r="L241" s="2535"/>
      <c r="M241" s="2096"/>
      <c r="N241" s="2535" t="str">
        <f>F247</f>
        <v>Degraded</v>
      </c>
      <c r="O241" s="2534" t="str">
        <f>F248</f>
        <v>Other</v>
      </c>
      <c r="P241" s="2096"/>
      <c r="Q241" s="3275"/>
    </row>
    <row r="242" spans="2:22">
      <c r="B242" s="3278" t="str">
        <f>B213</f>
        <v>Back to main results</v>
      </c>
      <c r="D242" s="3290" t="str">
        <f>HLOOKUP(select,translations!$A$341:$H$435,88,)</f>
        <v>INITIAL</v>
      </c>
      <c r="E242" s="2532" t="str">
        <f>B75</f>
        <v>Forest/Plantation</v>
      </c>
      <c r="F242" s="2533"/>
      <c r="G242" s="2096"/>
      <c r="H242" s="2521">
        <f>Matrix!E10</f>
        <v>0</v>
      </c>
      <c r="I242" s="2523">
        <f>Matrix!F10</f>
        <v>0</v>
      </c>
      <c r="J242" s="2523">
        <f>Matrix!G10</f>
        <v>0</v>
      </c>
      <c r="K242" s="2523">
        <f>Matrix!H10</f>
        <v>0</v>
      </c>
      <c r="L242" s="2523">
        <f>Matrix!I10</f>
        <v>0</v>
      </c>
      <c r="M242" s="2524"/>
      <c r="N242" s="2523">
        <f>Matrix!J10</f>
        <v>0</v>
      </c>
      <c r="O242" s="2523">
        <f>Matrix!K10</f>
        <v>0</v>
      </c>
      <c r="P242" s="2096"/>
      <c r="Q242" s="2531">
        <f t="shared" ref="Q242:Q248" si="13">SUM(H242:O242)</f>
        <v>0</v>
      </c>
    </row>
    <row r="243" spans="2:22">
      <c r="B243" s="3278"/>
      <c r="D243" s="3290"/>
      <c r="E243" s="2532"/>
      <c r="F243" s="2533" t="str">
        <f>C76</f>
        <v>Annual</v>
      </c>
      <c r="G243" s="2096"/>
      <c r="H243" s="2522">
        <f>Matrix!E11</f>
        <v>0</v>
      </c>
      <c r="I243" s="2525">
        <f>Matrix!F11</f>
        <v>0</v>
      </c>
      <c r="J243" s="2530">
        <f>Matrix!G11</f>
        <v>0</v>
      </c>
      <c r="K243" s="2530">
        <f>Matrix!H11</f>
        <v>0</v>
      </c>
      <c r="L243" s="2530">
        <f>Matrix!I11</f>
        <v>0</v>
      </c>
      <c r="M243" s="2529"/>
      <c r="N243" s="2530">
        <f>Matrix!J11</f>
        <v>0</v>
      </c>
      <c r="O243" s="2530">
        <f>Matrix!K11</f>
        <v>0</v>
      </c>
      <c r="P243" s="2096"/>
      <c r="Q243" s="2527">
        <f t="shared" si="13"/>
        <v>0</v>
      </c>
    </row>
    <row r="244" spans="2:22">
      <c r="D244" s="3290"/>
      <c r="E244" s="2532" t="str">
        <f t="shared" ref="E244" si="14">B77</f>
        <v>Agriculture</v>
      </c>
      <c r="F244" s="2533" t="str">
        <f>C77</f>
        <v>Perennial</v>
      </c>
      <c r="G244" s="2096"/>
      <c r="H244" s="2522">
        <f>Matrix!E12</f>
        <v>0</v>
      </c>
      <c r="I244" s="2530">
        <f>Matrix!F12</f>
        <v>0</v>
      </c>
      <c r="J244" s="2525">
        <f>Matrix!G12</f>
        <v>0</v>
      </c>
      <c r="K244" s="2530">
        <f>Matrix!H12</f>
        <v>0</v>
      </c>
      <c r="L244" s="2530">
        <f>Matrix!I12</f>
        <v>0</v>
      </c>
      <c r="M244" s="2529"/>
      <c r="N244" s="2530">
        <f>Matrix!J12</f>
        <v>0</v>
      </c>
      <c r="O244" s="2530">
        <f>Matrix!K12</f>
        <v>0</v>
      </c>
      <c r="P244" s="2096"/>
      <c r="Q244" s="2527">
        <f t="shared" si="13"/>
        <v>0</v>
      </c>
    </row>
    <row r="245" spans="2:22">
      <c r="D245" s="3290"/>
      <c r="E245" s="2532"/>
      <c r="F245" s="2533" t="str">
        <f>C78</f>
        <v>Rice</v>
      </c>
      <c r="G245" s="2096"/>
      <c r="H245" s="2522">
        <f>Matrix!E13</f>
        <v>0</v>
      </c>
      <c r="I245" s="2530">
        <f>Matrix!F13</f>
        <v>0</v>
      </c>
      <c r="J245" s="2530">
        <f>Matrix!G13</f>
        <v>0</v>
      </c>
      <c r="K245" s="2525">
        <f>Matrix!H13</f>
        <v>0</v>
      </c>
      <c r="L245" s="2530">
        <f>Matrix!I13</f>
        <v>0</v>
      </c>
      <c r="M245" s="2529"/>
      <c r="N245" s="2530">
        <f>Matrix!J13</f>
        <v>0</v>
      </c>
      <c r="O245" s="2530">
        <f>Matrix!K13</f>
        <v>0</v>
      </c>
      <c r="P245" s="2096"/>
      <c r="Q245" s="2527">
        <f t="shared" si="13"/>
        <v>0</v>
      </c>
    </row>
    <row r="246" spans="2:22">
      <c r="D246" s="3290"/>
      <c r="E246" s="2532" t="str">
        <f>B161</f>
        <v>Grassland</v>
      </c>
      <c r="F246" s="2533"/>
      <c r="G246" s="2096"/>
      <c r="H246" s="2522">
        <f>Matrix!E14</f>
        <v>0</v>
      </c>
      <c r="I246" s="2530">
        <f>Matrix!F14</f>
        <v>0</v>
      </c>
      <c r="J246" s="2530">
        <f>Matrix!G14</f>
        <v>0</v>
      </c>
      <c r="K246" s="2530">
        <f>Matrix!H14</f>
        <v>0</v>
      </c>
      <c r="L246" s="2539">
        <f>Matrix!I14</f>
        <v>0</v>
      </c>
      <c r="M246" s="2484"/>
      <c r="N246" s="2530">
        <f>Matrix!J14</f>
        <v>0</v>
      </c>
      <c r="O246" s="2530">
        <f>Matrix!K14</f>
        <v>0</v>
      </c>
      <c r="P246" s="2096"/>
      <c r="Q246" s="2527">
        <f t="shared" si="13"/>
        <v>0</v>
      </c>
    </row>
    <row r="247" spans="2:22">
      <c r="D247" s="3290"/>
      <c r="E247" s="3291" t="str">
        <f>B80</f>
        <v>Other lands</v>
      </c>
      <c r="F247" s="2779" t="str">
        <f>C80</f>
        <v>Degraded</v>
      </c>
      <c r="G247" s="2096"/>
      <c r="H247" s="2522">
        <f>Matrix!E15</f>
        <v>0</v>
      </c>
      <c r="I247" s="2530">
        <f>Matrix!F15</f>
        <v>0</v>
      </c>
      <c r="J247" s="2530">
        <f>Matrix!G15</f>
        <v>0</v>
      </c>
      <c r="K247" s="2530">
        <f>Matrix!H15</f>
        <v>0</v>
      </c>
      <c r="L247" s="2530">
        <f>Matrix!I15</f>
        <v>0</v>
      </c>
      <c r="M247" s="2529"/>
      <c r="N247" s="2543">
        <f>Matrix!J15</f>
        <v>0</v>
      </c>
      <c r="O247" s="2530">
        <f>Matrix!K15</f>
        <v>0</v>
      </c>
      <c r="P247" s="2096"/>
      <c r="Q247" s="2527">
        <f t="shared" si="13"/>
        <v>0</v>
      </c>
    </row>
    <row r="248" spans="2:22">
      <c r="D248" s="3290"/>
      <c r="E248" s="3291"/>
      <c r="F248" s="2779" t="str">
        <f>C81</f>
        <v>Other</v>
      </c>
      <c r="G248" s="2096"/>
      <c r="H248" s="2522">
        <f>Matrix!E16</f>
        <v>0</v>
      </c>
      <c r="I248" s="2530">
        <f>Matrix!F16</f>
        <v>0</v>
      </c>
      <c r="J248" s="2530">
        <f>Matrix!G16</f>
        <v>0</v>
      </c>
      <c r="K248" s="2530">
        <f>Matrix!H16</f>
        <v>0</v>
      </c>
      <c r="L248" s="2530">
        <f>Matrix!I16</f>
        <v>0</v>
      </c>
      <c r="M248" s="2529"/>
      <c r="N248" s="2530">
        <f>Matrix!J16</f>
        <v>0</v>
      </c>
      <c r="O248" s="2543">
        <f>Matrix!K16</f>
        <v>0</v>
      </c>
      <c r="P248" s="2096"/>
      <c r="Q248" s="2527">
        <f t="shared" si="13"/>
        <v>0</v>
      </c>
    </row>
    <row r="249" spans="2:22">
      <c r="D249" s="3290"/>
      <c r="E249" s="2533"/>
      <c r="F249" s="2533"/>
      <c r="G249" s="2096"/>
      <c r="H249" s="2535"/>
      <c r="I249" s="2535"/>
      <c r="J249" s="2535"/>
      <c r="K249" s="2535"/>
      <c r="L249" s="2535"/>
      <c r="M249" s="2096"/>
      <c r="N249" s="2535"/>
      <c r="O249" s="2535"/>
      <c r="P249" s="2096"/>
      <c r="Q249" s="2534"/>
    </row>
    <row r="250" spans="2:22">
      <c r="D250" s="2498"/>
      <c r="E250" s="2498"/>
      <c r="F250" s="2780" t="str">
        <f>HLOOKUP(select,translations!$A$341:$H$435,91,)</f>
        <v>Total Final</v>
      </c>
      <c r="G250" s="2528"/>
      <c r="H250" s="2526">
        <f>SUM(H242:H248)</f>
        <v>0</v>
      </c>
      <c r="I250" s="2526">
        <f>SUM(I242:I248)</f>
        <v>0</v>
      </c>
      <c r="J250" s="2526">
        <f>SUM(J242:J248)</f>
        <v>0</v>
      </c>
      <c r="K250" s="2526">
        <f>SUM(K242:K248)</f>
        <v>0</v>
      </c>
      <c r="L250" s="2526">
        <f>SUM(L242:L248)</f>
        <v>0</v>
      </c>
      <c r="M250" s="2528"/>
      <c r="N250" s="2526">
        <f>SUM(N242:N248)</f>
        <v>0</v>
      </c>
      <c r="O250" s="2526">
        <f>SUM(O242:O248)</f>
        <v>0</v>
      </c>
      <c r="P250" s="2096"/>
      <c r="Q250" s="2526">
        <f>SUM(Q242:Q248)</f>
        <v>0</v>
      </c>
    </row>
    <row r="253" spans="2:22">
      <c r="B253" s="2546" t="str">
        <f>B239</f>
        <v>Matrix of changes</v>
      </c>
      <c r="D253" s="2544" t="s">
        <v>1621</v>
      </c>
      <c r="E253" s="2544"/>
      <c r="F253" s="2544"/>
      <c r="G253" s="2096"/>
      <c r="H253" s="3282" t="str">
        <f>H239</f>
        <v>FINAL</v>
      </c>
      <c r="I253" s="3282"/>
      <c r="J253" s="3282"/>
      <c r="K253" s="3282"/>
      <c r="L253" s="3282"/>
      <c r="M253" s="3282"/>
      <c r="N253" s="3282"/>
      <c r="O253" s="3282"/>
      <c r="P253" s="2096"/>
      <c r="Q253" s="2536"/>
      <c r="S253" s="2540"/>
      <c r="T253" s="2541" t="str">
        <f>T239</f>
        <v>Organic Soils (ha)</v>
      </c>
      <c r="V253" s="2542">
        <f>Matrix!M37</f>
        <v>0</v>
      </c>
    </row>
    <row r="254" spans="2:22" ht="15.6">
      <c r="B254" s="2546" t="str">
        <f>J89</f>
        <v>With project</v>
      </c>
      <c r="D254" s="2544"/>
      <c r="E254" s="2545"/>
      <c r="F254" s="2544"/>
      <c r="G254" s="2096"/>
      <c r="H254" s="3279" t="str">
        <f>H240</f>
        <v>Forest/Plantation</v>
      </c>
      <c r="I254" s="3281" t="str">
        <f>I240</f>
        <v>Agriculture</v>
      </c>
      <c r="J254" s="3281"/>
      <c r="K254" s="3281"/>
      <c r="L254" s="3292" t="str">
        <f>L240</f>
        <v>Grassland</v>
      </c>
      <c r="M254" s="3292"/>
      <c r="N254" s="3281" t="s">
        <v>1107</v>
      </c>
      <c r="O254" s="3281"/>
      <c r="P254" s="2096"/>
      <c r="Q254" s="3275" t="str">
        <f>Q240</f>
        <v>Total Initial</v>
      </c>
    </row>
    <row r="255" spans="2:22">
      <c r="D255" s="2544"/>
      <c r="E255" s="2544"/>
      <c r="F255" s="2544"/>
      <c r="G255" s="2096"/>
      <c r="H255" s="3280"/>
      <c r="I255" s="2534" t="str">
        <f>I241</f>
        <v>Annual</v>
      </c>
      <c r="J255" s="2534" t="str">
        <f t="shared" ref="J255:K255" si="15">J241</f>
        <v>Perennial</v>
      </c>
      <c r="K255" s="2534" t="str">
        <f t="shared" si="15"/>
        <v>Rice</v>
      </c>
      <c r="L255" s="2535"/>
      <c r="M255" s="2096"/>
      <c r="N255" s="2535" t="str">
        <f>N241</f>
        <v>Degraded</v>
      </c>
      <c r="O255" s="2534" t="str">
        <f>O241</f>
        <v>Other</v>
      </c>
      <c r="P255" s="2096"/>
      <c r="Q255" s="3275"/>
    </row>
    <row r="256" spans="2:22">
      <c r="D256" s="3290" t="str">
        <f>D242</f>
        <v>INITIAL</v>
      </c>
      <c r="E256" s="2532" t="str">
        <f>E242</f>
        <v>Forest/Plantation</v>
      </c>
      <c r="F256" s="2533"/>
      <c r="G256" s="2096"/>
      <c r="H256" s="2521">
        <f>Matrix!E27</f>
        <v>0</v>
      </c>
      <c r="I256" s="2523">
        <f>Matrix!F27</f>
        <v>0</v>
      </c>
      <c r="J256" s="2523">
        <f>Matrix!G27</f>
        <v>0</v>
      </c>
      <c r="K256" s="2523">
        <f>Matrix!H27</f>
        <v>0</v>
      </c>
      <c r="L256" s="2523">
        <f>Matrix!I27</f>
        <v>0</v>
      </c>
      <c r="M256" s="2524"/>
      <c r="N256" s="2523">
        <f>Matrix!J27</f>
        <v>0</v>
      </c>
      <c r="O256" s="2523">
        <f>Matrix!K27</f>
        <v>0</v>
      </c>
      <c r="P256" s="2096"/>
      <c r="Q256" s="2531">
        <f t="shared" ref="Q256:Q262" si="16">SUM(H256:O256)</f>
        <v>0</v>
      </c>
    </row>
    <row r="257" spans="4:17">
      <c r="D257" s="3290"/>
      <c r="E257" s="2533"/>
      <c r="F257" s="2533" t="str">
        <f>F243</f>
        <v>Annual</v>
      </c>
      <c r="G257" s="2096"/>
      <c r="H257" s="2522">
        <f>Matrix!E28</f>
        <v>0</v>
      </c>
      <c r="I257" s="2525">
        <f>Matrix!F28</f>
        <v>0</v>
      </c>
      <c r="J257" s="2530">
        <f>Matrix!G28</f>
        <v>0</v>
      </c>
      <c r="K257" s="2530">
        <f>Matrix!H28</f>
        <v>0</v>
      </c>
      <c r="L257" s="2530">
        <f>Matrix!I28</f>
        <v>0</v>
      </c>
      <c r="M257" s="2529"/>
      <c r="N257" s="2530">
        <f>Matrix!J28</f>
        <v>0</v>
      </c>
      <c r="O257" s="2530">
        <f>Matrix!K28</f>
        <v>0</v>
      </c>
      <c r="P257" s="2096"/>
      <c r="Q257" s="2527">
        <f t="shared" si="16"/>
        <v>0</v>
      </c>
    </row>
    <row r="258" spans="4:17">
      <c r="D258" s="3290"/>
      <c r="E258" s="2532" t="str">
        <f>E244</f>
        <v>Agriculture</v>
      </c>
      <c r="F258" s="2533" t="str">
        <f>F244</f>
        <v>Perennial</v>
      </c>
      <c r="G258" s="2096"/>
      <c r="H258" s="2522">
        <f>Matrix!E29</f>
        <v>0</v>
      </c>
      <c r="I258" s="2530">
        <f>Matrix!F29</f>
        <v>0</v>
      </c>
      <c r="J258" s="2525">
        <f>Matrix!G29</f>
        <v>0</v>
      </c>
      <c r="K258" s="2530">
        <f>Matrix!H29</f>
        <v>0</v>
      </c>
      <c r="L258" s="2530">
        <f>Matrix!I29</f>
        <v>0</v>
      </c>
      <c r="M258" s="2529"/>
      <c r="N258" s="2530">
        <f>Matrix!J29</f>
        <v>0</v>
      </c>
      <c r="O258" s="2530">
        <f>Matrix!K29</f>
        <v>0</v>
      </c>
      <c r="P258" s="2096"/>
      <c r="Q258" s="2527">
        <f t="shared" si="16"/>
        <v>0</v>
      </c>
    </row>
    <row r="259" spans="4:17">
      <c r="D259" s="3290"/>
      <c r="E259" s="2532"/>
      <c r="F259" s="2533" t="str">
        <f>F245</f>
        <v>Rice</v>
      </c>
      <c r="G259" s="2096"/>
      <c r="H259" s="2522">
        <f>Matrix!E30</f>
        <v>0</v>
      </c>
      <c r="I259" s="2530">
        <f>Matrix!F30</f>
        <v>0</v>
      </c>
      <c r="J259" s="2530">
        <f>Matrix!G30</f>
        <v>0</v>
      </c>
      <c r="K259" s="2525">
        <f>Matrix!H30</f>
        <v>0</v>
      </c>
      <c r="L259" s="2530">
        <f>Matrix!I30</f>
        <v>0</v>
      </c>
      <c r="M259" s="2529"/>
      <c r="N259" s="2530">
        <f>Matrix!J30</f>
        <v>0</v>
      </c>
      <c r="O259" s="2530">
        <f>Matrix!K30</f>
        <v>0</v>
      </c>
      <c r="P259" s="2096"/>
      <c r="Q259" s="2527">
        <f t="shared" si="16"/>
        <v>0</v>
      </c>
    </row>
    <row r="260" spans="4:17">
      <c r="D260" s="3290"/>
      <c r="E260" s="2532" t="str">
        <f>E246</f>
        <v>Grassland</v>
      </c>
      <c r="F260" s="2533"/>
      <c r="G260" s="2096"/>
      <c r="H260" s="2522">
        <f>Matrix!E31</f>
        <v>0</v>
      </c>
      <c r="I260" s="2530">
        <f>Matrix!F31</f>
        <v>0</v>
      </c>
      <c r="J260" s="2530">
        <f>Matrix!G31</f>
        <v>0</v>
      </c>
      <c r="K260" s="2530">
        <f>Matrix!H31</f>
        <v>0</v>
      </c>
      <c r="L260" s="2539">
        <f>Matrix!I31</f>
        <v>0</v>
      </c>
      <c r="M260" s="2484"/>
      <c r="N260" s="2530">
        <f>Matrix!J31</f>
        <v>0</v>
      </c>
      <c r="O260" s="2530">
        <f>Matrix!K31</f>
        <v>0</v>
      </c>
      <c r="P260" s="2096"/>
      <c r="Q260" s="2527">
        <f t="shared" si="16"/>
        <v>0</v>
      </c>
    </row>
    <row r="261" spans="4:17">
      <c r="D261" s="3290"/>
      <c r="E261" s="3291" t="str">
        <f>E247</f>
        <v>Other lands</v>
      </c>
      <c r="F261" s="2779" t="str">
        <f>F247</f>
        <v>Degraded</v>
      </c>
      <c r="G261" s="2096"/>
      <c r="H261" s="2522">
        <f>Matrix!E32</f>
        <v>0</v>
      </c>
      <c r="I261" s="2530">
        <f>Matrix!F32</f>
        <v>0</v>
      </c>
      <c r="J261" s="2530">
        <f>Matrix!G32</f>
        <v>0</v>
      </c>
      <c r="K261" s="2530">
        <f>Matrix!H32</f>
        <v>0</v>
      </c>
      <c r="L261" s="2530">
        <f>Matrix!I32</f>
        <v>0</v>
      </c>
      <c r="M261" s="2529"/>
      <c r="N261" s="2543">
        <f>Matrix!J32</f>
        <v>0</v>
      </c>
      <c r="O261" s="2530">
        <f>Matrix!K32</f>
        <v>0</v>
      </c>
      <c r="P261" s="2096"/>
      <c r="Q261" s="2527">
        <f t="shared" si="16"/>
        <v>0</v>
      </c>
    </row>
    <row r="262" spans="4:17">
      <c r="D262" s="3290"/>
      <c r="E262" s="3291"/>
      <c r="F262" s="2779" t="str">
        <f>F248</f>
        <v>Other</v>
      </c>
      <c r="G262" s="2096"/>
      <c r="H262" s="2522">
        <f>Matrix!E33</f>
        <v>0</v>
      </c>
      <c r="I262" s="2530">
        <f>Matrix!F33</f>
        <v>0</v>
      </c>
      <c r="J262" s="2530">
        <f>Matrix!G33</f>
        <v>0</v>
      </c>
      <c r="K262" s="2530">
        <f>Matrix!H33</f>
        <v>0</v>
      </c>
      <c r="L262" s="2530">
        <f>Matrix!I33</f>
        <v>0</v>
      </c>
      <c r="M262" s="2529"/>
      <c r="N262" s="2530">
        <f>Matrix!J33</f>
        <v>0</v>
      </c>
      <c r="O262" s="2543">
        <f>Matrix!K33</f>
        <v>0</v>
      </c>
      <c r="P262" s="2096"/>
      <c r="Q262" s="2527">
        <f t="shared" si="16"/>
        <v>0</v>
      </c>
    </row>
    <row r="263" spans="4:17">
      <c r="D263" s="3290"/>
      <c r="E263" s="2533"/>
      <c r="F263" s="2533"/>
      <c r="G263" s="2096"/>
      <c r="H263" s="2535"/>
      <c r="I263" s="2535"/>
      <c r="J263" s="2535"/>
      <c r="K263" s="2535"/>
      <c r="L263" s="2535"/>
      <c r="M263" s="2096"/>
      <c r="N263" s="2535"/>
      <c r="O263" s="2535"/>
      <c r="P263" s="2096"/>
      <c r="Q263" s="2534"/>
    </row>
    <row r="264" spans="4:17">
      <c r="D264" s="2498"/>
      <c r="E264" s="2498"/>
      <c r="F264" s="2780" t="str">
        <f>F250</f>
        <v>Total Final</v>
      </c>
      <c r="G264" s="2528"/>
      <c r="H264" s="2526">
        <f>SUM(H256:H262)</f>
        <v>0</v>
      </c>
      <c r="I264" s="2526">
        <f>SUM(I256:I262)</f>
        <v>0</v>
      </c>
      <c r="J264" s="2526">
        <f>SUM(J256:J262)</f>
        <v>0</v>
      </c>
      <c r="K264" s="2526">
        <f>SUM(K256:K262)</f>
        <v>0</v>
      </c>
      <c r="L264" s="2526">
        <f>SUM(L256:L262)</f>
        <v>0</v>
      </c>
      <c r="M264" s="2528"/>
      <c r="N264" s="2526">
        <f>SUM(N256:N262)</f>
        <v>0</v>
      </c>
      <c r="O264" s="2526">
        <f>SUM(O256:O262)</f>
        <v>0</v>
      </c>
      <c r="P264" s="2096"/>
      <c r="Q264" s="2526">
        <f>SUM(Q256:Q262)</f>
        <v>0</v>
      </c>
    </row>
  </sheetData>
  <sheetProtection password="E8A2" sheet="1" objects="1" scenarios="1" formatCells="0" formatColumns="0" formatRows="0"/>
  <protectedRanges>
    <protectedRange password="E8A2" sqref="B184:C186 E184:F186 H184:I186 B191:C193 E191:F193 H191:I193 B198:C200 E198:F200 H198:I200 H176:I179 E176:F179 B176:C179" name="Plage1" securityDescriptor="O:WDG:WDD:(A;;CC;;;WD)"/>
  </protectedRanges>
  <mergeCells count="55">
    <mergeCell ref="B148:E149"/>
    <mergeCell ref="B213:D214"/>
    <mergeCell ref="B10:B11"/>
    <mergeCell ref="B178:C178"/>
    <mergeCell ref="B153:B154"/>
    <mergeCell ref="H174:I174"/>
    <mergeCell ref="H182:I182"/>
    <mergeCell ref="H189:I189"/>
    <mergeCell ref="M75:P75"/>
    <mergeCell ref="N83:O85"/>
    <mergeCell ref="H153:I153"/>
    <mergeCell ref="K153:L153"/>
    <mergeCell ref="H154:I154"/>
    <mergeCell ref="K154:L154"/>
    <mergeCell ref="N153:O154"/>
    <mergeCell ref="D256:D263"/>
    <mergeCell ref="E261:E262"/>
    <mergeCell ref="I240:K240"/>
    <mergeCell ref="I254:K254"/>
    <mergeCell ref="L254:M254"/>
    <mergeCell ref="L240:M240"/>
    <mergeCell ref="D242:D249"/>
    <mergeCell ref="E247:E248"/>
    <mergeCell ref="H253:O253"/>
    <mergeCell ref="S2:V2"/>
    <mergeCell ref="S10:T10"/>
    <mergeCell ref="S11:T11"/>
    <mergeCell ref="V10:W10"/>
    <mergeCell ref="V11:W11"/>
    <mergeCell ref="V29:W32"/>
    <mergeCell ref="B199:C199"/>
    <mergeCell ref="B198:C198"/>
    <mergeCell ref="Q153:S154"/>
    <mergeCell ref="E174:F174"/>
    <mergeCell ref="B186:C186"/>
    <mergeCell ref="E182:F182"/>
    <mergeCell ref="E189:F189"/>
    <mergeCell ref="E196:F196"/>
    <mergeCell ref="B179:C179"/>
    <mergeCell ref="B184:C184"/>
    <mergeCell ref="B185:C185"/>
    <mergeCell ref="B191:C191"/>
    <mergeCell ref="B192:C192"/>
    <mergeCell ref="B176:C176"/>
    <mergeCell ref="B177:C177"/>
    <mergeCell ref="Q254:Q255"/>
    <mergeCell ref="Q240:Q241"/>
    <mergeCell ref="H196:I196"/>
    <mergeCell ref="K204:M204"/>
    <mergeCell ref="B242:B243"/>
    <mergeCell ref="H240:H241"/>
    <mergeCell ref="H254:H255"/>
    <mergeCell ref="N254:O254"/>
    <mergeCell ref="N240:O240"/>
    <mergeCell ref="H239:O239"/>
  </mergeCells>
  <dataValidations count="2">
    <dataValidation type="list" allowBlank="1" showInputMessage="1" showErrorMessage="1" sqref="S2">
      <formula1>GWP</formula1>
    </dataValidation>
    <dataValidation type="decimal" allowBlank="1" showInputMessage="1" showErrorMessage="1" sqref="N158:O162">
      <formula1>0</formula1>
      <formula2>100</formula2>
    </dataValidation>
  </dataValidations>
  <hyperlinks>
    <hyperlink ref="V29:W32" location="'7. Results'!A174" display="Use in a Simple Value Chaine Assment"/>
    <hyperlink ref="N83:O85" location="'7. Results'!A265" display="'7. Results'!A265"/>
    <hyperlink ref="B242:B243" location="'7. Results'!A72" display="'7. Results'!A72"/>
    <hyperlink ref="B213:D214" location="'7. Results'!A6" display="'7. Results'!A6"/>
    <hyperlink ref="B148:E149" location="'7. Results'!A6" display="'7. Results'!A6"/>
  </hyperlinks>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50"/>
  <sheetViews>
    <sheetView topLeftCell="A11" zoomScaleNormal="100" workbookViewId="0">
      <selection activeCell="E32" sqref="E32"/>
    </sheetView>
  </sheetViews>
  <sheetFormatPr baseColWidth="10" defaultColWidth="11.44140625" defaultRowHeight="13.2"/>
  <cols>
    <col min="1" max="1" width="0.88671875" style="233" customWidth="1"/>
    <col min="2" max="2" width="15" style="233" customWidth="1"/>
    <col min="3" max="3" width="13.109375" style="233" customWidth="1"/>
    <col min="4" max="4" width="1.33203125" style="233" customWidth="1"/>
    <col min="5" max="5" width="10" style="233" customWidth="1"/>
    <col min="6" max="7" width="8.6640625" style="233" customWidth="1"/>
    <col min="8" max="8" width="4.109375" style="233" customWidth="1"/>
    <col min="9" max="9" width="12" style="233" customWidth="1"/>
    <col min="10" max="11" width="9" style="233" customWidth="1"/>
    <col min="12" max="12" width="6.33203125" style="233" customWidth="1"/>
    <col min="13" max="13" width="1.33203125" style="233" customWidth="1"/>
    <col min="14" max="14" width="13.44140625" style="233" customWidth="1"/>
    <col min="15" max="15" width="10.33203125" style="233" customWidth="1"/>
    <col min="16" max="16" width="1.33203125" style="233" customWidth="1"/>
    <col min="17" max="17" width="10" style="2054" customWidth="1"/>
    <col min="18" max="18" width="10.33203125" style="2054" customWidth="1"/>
    <col min="19" max="19" width="8.88671875" style="2054" customWidth="1"/>
    <col min="20" max="24" width="11.44140625" style="2054"/>
    <col min="25" max="16384" width="11.44140625" style="233"/>
  </cols>
  <sheetData>
    <row r="1" spans="2:24" s="1678" customFormat="1" ht="22.95" customHeight="1">
      <c r="Q1" s="1798"/>
      <c r="R1" s="1798"/>
      <c r="S1" s="1798"/>
      <c r="T1" s="1798"/>
      <c r="U1" s="1798"/>
      <c r="V1" s="1798"/>
      <c r="W1" s="1798"/>
      <c r="X1" s="1798"/>
    </row>
    <row r="2" spans="2:24" s="1678" customFormat="1" ht="22.95" customHeight="1">
      <c r="Q2" s="1798"/>
      <c r="R2" s="1798"/>
      <c r="S2" s="1798"/>
      <c r="T2" s="1798"/>
      <c r="U2" s="1798"/>
      <c r="V2" s="1798"/>
      <c r="W2" s="1798"/>
      <c r="X2" s="1798"/>
    </row>
    <row r="3" spans="2:24" s="1678" customFormat="1" ht="22.95" customHeight="1">
      <c r="Q3" s="1798"/>
      <c r="R3" s="1798"/>
      <c r="S3" s="1798"/>
      <c r="T3" s="1798"/>
      <c r="U3" s="1798"/>
      <c r="V3" s="1798"/>
      <c r="W3" s="1798"/>
      <c r="X3" s="1798"/>
    </row>
    <row r="4" spans="2:24" s="1678" customFormat="1" ht="22.95" customHeight="1">
      <c r="Q4" s="1798"/>
      <c r="R4" s="1798"/>
      <c r="S4" s="1798"/>
      <c r="T4" s="1798"/>
      <c r="U4" s="1798"/>
      <c r="V4" s="1798"/>
      <c r="W4" s="1798"/>
      <c r="X4" s="1798"/>
    </row>
    <row r="5" spans="2:24" s="1678" customFormat="1" ht="22.95" customHeight="1" thickBot="1">
      <c r="Q5" s="1798"/>
      <c r="R5" s="1798"/>
      <c r="S5" s="1798"/>
      <c r="T5" s="1798"/>
      <c r="U5" s="1798"/>
      <c r="V5" s="1798"/>
      <c r="W5" s="1798"/>
      <c r="X5" s="1798"/>
    </row>
    <row r="6" spans="2:24" ht="13.8" thickBot="1">
      <c r="B6" s="1599" t="s">
        <v>36</v>
      </c>
      <c r="C6" s="1600"/>
      <c r="D6" s="1600"/>
      <c r="E6" s="1600"/>
      <c r="F6" s="1600"/>
      <c r="G6" s="1601"/>
      <c r="I6" s="1535" t="s">
        <v>60</v>
      </c>
      <c r="J6" s="1536"/>
      <c r="K6" s="1537"/>
      <c r="N6" s="3301" t="s">
        <v>58</v>
      </c>
      <c r="O6" s="3302"/>
    </row>
    <row r="7" spans="2:24" ht="13.8" thickBot="1">
      <c r="B7" s="1095" t="s">
        <v>1144</v>
      </c>
      <c r="C7" s="1538" t="str">
        <f>IF(title="","",title)</f>
        <v/>
      </c>
      <c r="D7" s="1538"/>
      <c r="E7" s="1538"/>
      <c r="F7" s="1538"/>
      <c r="G7" s="1539"/>
      <c r="I7" s="1056" t="s">
        <v>1114</v>
      </c>
      <c r="J7" s="1057"/>
      <c r="K7" s="1540">
        <f>Matrix!M10</f>
        <v>0</v>
      </c>
      <c r="N7" s="3303" t="s">
        <v>59</v>
      </c>
      <c r="O7" s="3304"/>
    </row>
    <row r="8" spans="2:24">
      <c r="B8" s="1541"/>
      <c r="C8" s="528"/>
      <c r="D8" s="528"/>
      <c r="E8" s="528"/>
      <c r="F8" s="528"/>
      <c r="G8" s="1542"/>
      <c r="I8" s="1045"/>
      <c r="J8" s="1046" t="s">
        <v>1110</v>
      </c>
      <c r="K8" s="1543">
        <f>Matrix!M11</f>
        <v>0</v>
      </c>
      <c r="N8" s="1541" t="s">
        <v>37</v>
      </c>
      <c r="O8" s="1542">
        <f>time</f>
        <v>0</v>
      </c>
    </row>
    <row r="9" spans="2:24">
      <c r="B9" s="1098" t="s">
        <v>297</v>
      </c>
      <c r="C9" s="557" t="str">
        <f>IF(region=List!A6,"",region)</f>
        <v/>
      </c>
      <c r="D9" s="557"/>
      <c r="E9" s="557"/>
      <c r="F9" s="557"/>
      <c r="G9" s="1544"/>
      <c r="I9" s="1047" t="s">
        <v>1106</v>
      </c>
      <c r="J9" s="1046" t="s">
        <v>1111</v>
      </c>
      <c r="K9" s="1543">
        <f>Matrix!M12</f>
        <v>0</v>
      </c>
      <c r="N9" s="1541" t="s">
        <v>47</v>
      </c>
      <c r="O9" s="1542">
        <f>time2</f>
        <v>0</v>
      </c>
    </row>
    <row r="10" spans="2:24" ht="13.8" thickBot="1">
      <c r="B10" s="1541"/>
      <c r="C10" s="528"/>
      <c r="D10" s="528"/>
      <c r="E10" s="528"/>
      <c r="F10" s="528"/>
      <c r="G10" s="1542"/>
      <c r="I10" s="1047"/>
      <c r="J10" s="1046" t="s">
        <v>1112</v>
      </c>
      <c r="K10" s="1543">
        <f>Matrix!M13</f>
        <v>0</v>
      </c>
      <c r="N10" s="1545" t="s">
        <v>531</v>
      </c>
      <c r="O10" s="1546">
        <f>time_tot</f>
        <v>0</v>
      </c>
    </row>
    <row r="11" spans="2:24" ht="13.8" thickBot="1">
      <c r="B11" s="1098" t="s">
        <v>298</v>
      </c>
      <c r="C11" s="557" t="str">
        <f>IF(clim_simple=Help!N79,"",clim_full)</f>
        <v/>
      </c>
      <c r="D11" s="557"/>
      <c r="E11" s="557"/>
      <c r="F11" s="557"/>
      <c r="G11" s="1544"/>
      <c r="I11" s="1048" t="s">
        <v>334</v>
      </c>
      <c r="J11" s="1049"/>
      <c r="K11" s="1543">
        <f>Matrix!M14</f>
        <v>0</v>
      </c>
      <c r="N11" s="3313" t="s">
        <v>48</v>
      </c>
      <c r="O11" s="3314"/>
    </row>
    <row r="12" spans="2:24">
      <c r="B12" s="1541"/>
      <c r="C12" s="528"/>
      <c r="D12" s="528"/>
      <c r="E12" s="528"/>
      <c r="F12" s="528"/>
      <c r="G12" s="1542"/>
      <c r="I12" s="483" t="s">
        <v>1107</v>
      </c>
      <c r="J12" s="488" t="s">
        <v>1207</v>
      </c>
      <c r="K12" s="1543">
        <f>Matrix!M15</f>
        <v>0</v>
      </c>
      <c r="N12" s="1594" t="s">
        <v>271</v>
      </c>
      <c r="O12" s="1596">
        <f>SUM(K7:K13)</f>
        <v>0</v>
      </c>
    </row>
    <row r="13" spans="2:24" ht="13.8" thickBot="1">
      <c r="B13" s="1098" t="s">
        <v>35</v>
      </c>
      <c r="C13" s="557" t="str">
        <f>IF(soil=List!A20,"",soil)</f>
        <v/>
      </c>
      <c r="D13" s="557"/>
      <c r="E13" s="557"/>
      <c r="F13" s="557"/>
      <c r="G13" s="1544"/>
      <c r="I13" s="452"/>
      <c r="J13" s="492" t="s">
        <v>393</v>
      </c>
      <c r="K13" s="1547">
        <f>Matrix!M16</f>
        <v>0</v>
      </c>
      <c r="N13" s="1545" t="s">
        <v>272</v>
      </c>
      <c r="O13" s="1595">
        <f>'Organic Soils'!S45</f>
        <v>0</v>
      </c>
    </row>
    <row r="14" spans="2:24" ht="13.8" thickBot="1">
      <c r="B14" s="1545"/>
      <c r="C14" s="1602"/>
      <c r="D14" s="1602"/>
      <c r="E14" s="1602"/>
      <c r="F14" s="1602"/>
      <c r="G14" s="1546"/>
      <c r="I14" s="1598" t="s">
        <v>274</v>
      </c>
      <c r="J14" s="1597"/>
      <c r="K14" s="1605">
        <f>O13</f>
        <v>0</v>
      </c>
      <c r="N14" s="1077" t="s">
        <v>48</v>
      </c>
      <c r="O14" s="1078">
        <f>SUM(O12:O13)</f>
        <v>0</v>
      </c>
    </row>
    <row r="15" spans="2:24" ht="7.5" customHeight="1" thickBot="1"/>
    <row r="16" spans="2:24">
      <c r="B16" s="3329" t="s">
        <v>331</v>
      </c>
      <c r="C16" s="3330"/>
      <c r="E16" s="3318" t="s">
        <v>216</v>
      </c>
      <c r="F16" s="3319"/>
      <c r="G16" s="3320"/>
      <c r="I16" s="3305" t="s">
        <v>217</v>
      </c>
      <c r="J16" s="3306"/>
      <c r="K16" s="3307"/>
      <c r="N16" s="3311" t="s">
        <v>215</v>
      </c>
      <c r="O16" s="3312"/>
    </row>
    <row r="17" spans="2:18" ht="16.2" thickBot="1">
      <c r="B17" s="1080"/>
      <c r="C17" s="1081"/>
      <c r="D17" s="232"/>
      <c r="E17" s="3315" t="s">
        <v>446</v>
      </c>
      <c r="F17" s="3316"/>
      <c r="G17" s="3317"/>
      <c r="H17" s="232"/>
      <c r="I17" s="3308" t="s">
        <v>446</v>
      </c>
      <c r="J17" s="3309"/>
      <c r="K17" s="3310"/>
      <c r="N17" s="1371" t="s">
        <v>690</v>
      </c>
      <c r="O17" s="1548" t="s">
        <v>691</v>
      </c>
    </row>
    <row r="18" spans="2:18">
      <c r="B18" s="3327" t="s">
        <v>332</v>
      </c>
      <c r="C18" s="3328"/>
      <c r="D18" s="232"/>
      <c r="E18" s="525">
        <f>Deforestation!R53</f>
        <v>0</v>
      </c>
      <c r="F18" s="251" t="str">
        <f t="shared" ref="F18:F31" si="0">IF(E18=0,"",IF(E18&lt;0, "this is a sink","this is a source"))</f>
        <v/>
      </c>
      <c r="G18" s="245"/>
      <c r="H18" s="238" t="str">
        <f>IF(E18&gt;I18,"&gt;","&lt;")</f>
        <v>&lt;</v>
      </c>
      <c r="I18" s="525">
        <f>Deforestation!S53</f>
        <v>0</v>
      </c>
      <c r="J18" s="251" t="str">
        <f t="shared" ref="J18:J31" si="1">IF(I18=0,"",IF(I18&lt;0, "this is a sink","this is a source"))</f>
        <v/>
      </c>
      <c r="K18" s="245"/>
      <c r="N18" s="1115">
        <f>IF(time_tot=0,0,E18/time_tot)</f>
        <v>0</v>
      </c>
      <c r="O18" s="1638">
        <f>IF(time_tot=0,0,I18/time_tot)</f>
        <v>0</v>
      </c>
    </row>
    <row r="19" spans="2:18">
      <c r="B19" s="1550" t="s">
        <v>201</v>
      </c>
      <c r="C19" s="1551"/>
      <c r="D19" s="232"/>
      <c r="E19" s="525">
        <f>'Forest Degradation'!N54</f>
        <v>0</v>
      </c>
      <c r="F19" s="251" t="str">
        <f t="shared" si="0"/>
        <v/>
      </c>
      <c r="G19" s="245"/>
      <c r="H19" s="238" t="str">
        <f t="shared" ref="H19:H35" si="2">IF(E19&gt;I19,"&gt;","&lt;")</f>
        <v>&lt;</v>
      </c>
      <c r="I19" s="525">
        <f>'Forest Degradation'!O54</f>
        <v>0</v>
      </c>
      <c r="J19" s="251" t="str">
        <f t="shared" si="1"/>
        <v/>
      </c>
      <c r="K19" s="245"/>
      <c r="N19" s="1116">
        <f>IF(time_tot=0,0,E19/time_tot)</f>
        <v>0</v>
      </c>
      <c r="O19" s="1549">
        <f>IF(time_tot=0,0,I19/time_tot)</f>
        <v>0</v>
      </c>
    </row>
    <row r="20" spans="2:18">
      <c r="B20" s="3321" t="s">
        <v>478</v>
      </c>
      <c r="C20" s="3322"/>
      <c r="D20" s="232"/>
      <c r="E20" s="525">
        <f>'A-R'!Q53</f>
        <v>0</v>
      </c>
      <c r="F20" s="251" t="str">
        <f t="shared" si="0"/>
        <v/>
      </c>
      <c r="G20" s="245"/>
      <c r="H20" s="238" t="str">
        <f t="shared" si="2"/>
        <v>&lt;</v>
      </c>
      <c r="I20" s="525">
        <f>'A-R'!R53</f>
        <v>0</v>
      </c>
      <c r="J20" s="251" t="str">
        <f t="shared" si="1"/>
        <v/>
      </c>
      <c r="K20" s="245"/>
      <c r="N20" s="1116">
        <f>IF(time_tot=0,0,E20/time_tot)</f>
        <v>0</v>
      </c>
      <c r="O20" s="1549">
        <f>IF(time_tot=0,0,I20/time_tot)</f>
        <v>0</v>
      </c>
    </row>
    <row r="21" spans="2:18">
      <c r="B21" s="3323" t="s">
        <v>137</v>
      </c>
      <c r="C21" s="3324"/>
      <c r="D21" s="232"/>
      <c r="E21" s="525">
        <f>'non Forest LUC'!N48</f>
        <v>0</v>
      </c>
      <c r="F21" s="251" t="str">
        <f t="shared" si="0"/>
        <v/>
      </c>
      <c r="G21" s="245"/>
      <c r="H21" s="238" t="str">
        <f t="shared" si="2"/>
        <v>&lt;</v>
      </c>
      <c r="I21" s="525">
        <f>'non Forest LUC'!O48</f>
        <v>0</v>
      </c>
      <c r="J21" s="251" t="str">
        <f t="shared" si="1"/>
        <v/>
      </c>
      <c r="K21" s="245"/>
      <c r="N21" s="1116">
        <f>IF(time_tot=0,0,E21/time_tot)</f>
        <v>0</v>
      </c>
      <c r="O21" s="1549">
        <f>IF(time_tot=0,0,I21/time_tot)</f>
        <v>0</v>
      </c>
    </row>
    <row r="22" spans="2:18">
      <c r="B22" s="3331" t="s">
        <v>333</v>
      </c>
      <c r="C22" s="3332"/>
      <c r="D22" s="232"/>
      <c r="E22" s="526"/>
      <c r="F22" s="252" t="str">
        <f t="shared" si="0"/>
        <v/>
      </c>
      <c r="G22" s="246"/>
      <c r="H22" s="238"/>
      <c r="I22" s="526"/>
      <c r="J22" s="252" t="str">
        <f t="shared" si="1"/>
        <v/>
      </c>
      <c r="K22" s="246"/>
      <c r="N22" s="1552"/>
      <c r="O22" s="1553"/>
    </row>
    <row r="23" spans="2:18">
      <c r="B23" s="3335" t="s">
        <v>590</v>
      </c>
      <c r="C23" s="3336"/>
      <c r="D23" s="232"/>
      <c r="E23" s="525">
        <f>Annual!L49</f>
        <v>0</v>
      </c>
      <c r="F23" s="251" t="str">
        <f t="shared" si="0"/>
        <v/>
      </c>
      <c r="G23" s="245"/>
      <c r="H23" s="238" t="str">
        <f t="shared" si="2"/>
        <v>&lt;</v>
      </c>
      <c r="I23" s="525">
        <f>Annual!M49</f>
        <v>0</v>
      </c>
      <c r="J23" s="251" t="str">
        <f t="shared" si="1"/>
        <v/>
      </c>
      <c r="K23" s="245"/>
      <c r="N23" s="1116">
        <f>IF(time_tot=0,0,E23/time_tot)</f>
        <v>0</v>
      </c>
      <c r="O23" s="1549">
        <f>IF(time_tot=0,0,I23/time_tot)</f>
        <v>0</v>
      </c>
    </row>
    <row r="24" spans="2:18">
      <c r="B24" s="3335" t="s">
        <v>591</v>
      </c>
      <c r="C24" s="3336"/>
      <c r="D24" s="232"/>
      <c r="E24" s="525">
        <f>Perennial!N47</f>
        <v>0</v>
      </c>
      <c r="F24" s="251" t="str">
        <f t="shared" si="0"/>
        <v/>
      </c>
      <c r="G24" s="245"/>
      <c r="H24" s="238" t="str">
        <f t="shared" si="2"/>
        <v>&lt;</v>
      </c>
      <c r="I24" s="525">
        <f>Perennial!O47</f>
        <v>0</v>
      </c>
      <c r="J24" s="251" t="str">
        <f t="shared" si="1"/>
        <v/>
      </c>
      <c r="K24" s="245"/>
      <c r="N24" s="1116">
        <f>IF(time_tot=0,0,E24/time_tot)</f>
        <v>0</v>
      </c>
      <c r="O24" s="1549">
        <f>IF(time_tot=0,0,I24/time_tot)</f>
        <v>0</v>
      </c>
    </row>
    <row r="25" spans="2:18">
      <c r="B25" s="3335" t="s">
        <v>144</v>
      </c>
      <c r="C25" s="3336"/>
      <c r="D25" s="232"/>
      <c r="E25" s="525">
        <f>'Irrigated Rice'!N47</f>
        <v>0</v>
      </c>
      <c r="F25" s="251" t="str">
        <f t="shared" si="0"/>
        <v/>
      </c>
      <c r="G25" s="245"/>
      <c r="H25" s="238" t="str">
        <f t="shared" si="2"/>
        <v>&lt;</v>
      </c>
      <c r="I25" s="525">
        <f>'Irrigated Rice'!O47</f>
        <v>0</v>
      </c>
      <c r="J25" s="251" t="str">
        <f t="shared" si="1"/>
        <v/>
      </c>
      <c r="K25" s="245"/>
      <c r="N25" s="1116">
        <f>IF(time_tot=0,0,E25/time_tot)</f>
        <v>0</v>
      </c>
      <c r="O25" s="1549">
        <f>IF(time_tot=0,0,I25/time_tot)</f>
        <v>0</v>
      </c>
    </row>
    <row r="26" spans="2:18">
      <c r="B26" s="3337" t="s">
        <v>334</v>
      </c>
      <c r="C26" s="3338"/>
      <c r="D26" s="232"/>
      <c r="E26" s="525">
        <f>Grass!M44</f>
        <v>0</v>
      </c>
      <c r="F26" s="251" t="str">
        <f t="shared" si="0"/>
        <v/>
      </c>
      <c r="G26" s="245"/>
      <c r="H26" s="238" t="str">
        <f t="shared" si="2"/>
        <v>&lt;</v>
      </c>
      <c r="I26" s="525">
        <f>Grass!N44</f>
        <v>0</v>
      </c>
      <c r="J26" s="251" t="str">
        <f t="shared" si="1"/>
        <v/>
      </c>
      <c r="K26" s="245"/>
      <c r="N26" s="1116">
        <f>IF(time_tot=0,0,E26/time_tot)</f>
        <v>0</v>
      </c>
      <c r="O26" s="1549">
        <f>IF(time_tot=0,0,I26/time_tot)</f>
        <v>0</v>
      </c>
    </row>
    <row r="27" spans="2:18">
      <c r="B27" s="1593" t="s">
        <v>270</v>
      </c>
      <c r="C27" s="1592"/>
      <c r="D27" s="232"/>
      <c r="E27" s="525">
        <f>'Organic Soils'!P43</f>
        <v>0</v>
      </c>
      <c r="F27" s="251" t="str">
        <f t="shared" si="0"/>
        <v/>
      </c>
      <c r="G27" s="245"/>
      <c r="H27" s="238" t="str">
        <f t="shared" si="2"/>
        <v>&lt;</v>
      </c>
      <c r="I27" s="525">
        <f>'Organic Soils'!Q43</f>
        <v>0</v>
      </c>
      <c r="J27" s="251" t="str">
        <f t="shared" si="1"/>
        <v/>
      </c>
      <c r="K27" s="245"/>
      <c r="N27" s="1116">
        <f>IF(time_tot=0,0,E27/time_tot)</f>
        <v>0</v>
      </c>
      <c r="O27" s="1549">
        <f>IF(time_tot=0,0,I27/time_tot)</f>
        <v>0</v>
      </c>
    </row>
    <row r="28" spans="2:18">
      <c r="B28" s="3325" t="s">
        <v>477</v>
      </c>
      <c r="C28" s="3326"/>
      <c r="D28" s="232"/>
      <c r="E28" s="526"/>
      <c r="F28" s="252" t="str">
        <f t="shared" si="0"/>
        <v/>
      </c>
      <c r="G28" s="246"/>
      <c r="H28" s="238"/>
      <c r="I28" s="526"/>
      <c r="J28" s="252" t="str">
        <f t="shared" si="1"/>
        <v/>
      </c>
      <c r="K28" s="246"/>
      <c r="N28" s="1552"/>
      <c r="O28" s="1553"/>
    </row>
    <row r="29" spans="2:18">
      <c r="B29" s="3339" t="s">
        <v>681</v>
      </c>
      <c r="C29" s="3340"/>
      <c r="D29" s="232"/>
      <c r="E29" s="525">
        <f>Livestock!Q102</f>
        <v>0</v>
      </c>
      <c r="F29" s="251" t="str">
        <f t="shared" si="0"/>
        <v/>
      </c>
      <c r="G29" s="245"/>
      <c r="H29" s="238"/>
      <c r="I29" s="525">
        <f>Livestock!R102</f>
        <v>0</v>
      </c>
      <c r="J29" s="251" t="str">
        <f t="shared" si="1"/>
        <v/>
      </c>
      <c r="K29" s="245"/>
      <c r="N29" s="1116">
        <f>IF(time_tot=0,0,E29/time_tot)</f>
        <v>0</v>
      </c>
      <c r="O29" s="1549">
        <f>IF(time_tot=0,0,I29/time_tot)</f>
        <v>0</v>
      </c>
    </row>
    <row r="30" spans="2:18" ht="12.75" customHeight="1">
      <c r="B30" s="3339" t="s">
        <v>682</v>
      </c>
      <c r="C30" s="3340"/>
      <c r="D30" s="232"/>
      <c r="E30" s="525">
        <f>Inputs!Q52</f>
        <v>0</v>
      </c>
      <c r="F30" s="251" t="str">
        <f t="shared" si="0"/>
        <v/>
      </c>
      <c r="G30" s="245"/>
      <c r="H30" s="238" t="str">
        <f t="shared" si="2"/>
        <v>&lt;</v>
      </c>
      <c r="I30" s="525">
        <f>Inputs!R52</f>
        <v>0</v>
      </c>
      <c r="J30" s="251" t="str">
        <f t="shared" si="1"/>
        <v/>
      </c>
      <c r="K30" s="245"/>
      <c r="N30" s="1116">
        <f>IF(time_tot=0,0,E30/time_tot)</f>
        <v>0</v>
      </c>
      <c r="O30" s="1549">
        <f>IF(time_tot=0,0,I30/time_tot)</f>
        <v>0</v>
      </c>
    </row>
    <row r="31" spans="2:18" ht="12.75" customHeight="1" thickBot="1">
      <c r="B31" s="3333" t="s">
        <v>136</v>
      </c>
      <c r="C31" s="3334"/>
      <c r="D31" s="232"/>
      <c r="E31" s="527">
        <f>'Other investments'!F75</f>
        <v>0</v>
      </c>
      <c r="F31" s="253" t="str">
        <f t="shared" si="0"/>
        <v/>
      </c>
      <c r="G31" s="247"/>
      <c r="H31" s="238" t="str">
        <f t="shared" si="2"/>
        <v>&lt;</v>
      </c>
      <c r="I31" s="527">
        <f>'Other investments'!H75</f>
        <v>0</v>
      </c>
      <c r="J31" s="253" t="str">
        <f t="shared" si="1"/>
        <v/>
      </c>
      <c r="K31" s="247"/>
      <c r="N31" s="1117">
        <f>IF(time_tot=0,0,E31/time_tot)</f>
        <v>0</v>
      </c>
      <c r="O31" s="1554">
        <f>IF(time_tot=0,0,I31/time_tot)</f>
        <v>0</v>
      </c>
    </row>
    <row r="32" spans="2:18" ht="12.75" customHeight="1" thickBot="1">
      <c r="B32" s="248"/>
      <c r="C32" s="232"/>
      <c r="D32" s="232"/>
      <c r="E32" s="232"/>
      <c r="F32" s="232"/>
      <c r="G32" s="232"/>
      <c r="H32" s="238"/>
      <c r="I32" s="232"/>
      <c r="J32" s="232"/>
      <c r="K32" s="232"/>
      <c r="Q32" s="2055"/>
      <c r="R32" s="2055"/>
    </row>
    <row r="33" spans="3:18" ht="12.75" customHeight="1" thickBot="1">
      <c r="C33" s="1121" t="s">
        <v>1171</v>
      </c>
      <c r="D33" s="232"/>
      <c r="E33" s="1068">
        <f>SUM(E18:E31)</f>
        <v>0</v>
      </c>
      <c r="F33" s="1138" t="str">
        <f>IF(E33=0,"",IF(E33&lt;0,"It is a sink","It is a source"))</f>
        <v/>
      </c>
      <c r="G33" s="1079"/>
      <c r="H33" s="238" t="str">
        <f t="shared" si="2"/>
        <v>&lt;</v>
      </c>
      <c r="I33" s="1068">
        <f>SUM(I18:I31)</f>
        <v>0</v>
      </c>
      <c r="J33" s="1138" t="str">
        <f>IF(I33=0,"",IF(I33&lt;0,"It is a sink","It is a source"))</f>
        <v/>
      </c>
      <c r="K33" s="918"/>
      <c r="N33" s="1068">
        <f>IF(time_tot=0,0,E33/time_tot)</f>
        <v>0</v>
      </c>
      <c r="O33" s="918">
        <f>IF(time_tot=0,0,I33/time_tot)</f>
        <v>0</v>
      </c>
      <c r="Q33" s="2055"/>
      <c r="R33" s="2055"/>
    </row>
    <row r="34" spans="3:18" ht="12.75" customHeight="1" thickBot="1">
      <c r="C34" s="232"/>
      <c r="D34" s="232"/>
      <c r="Q34" s="2055"/>
      <c r="R34" s="2055"/>
    </row>
    <row r="35" spans="3:18" ht="13.8" thickBot="1">
      <c r="C35" s="1555" t="s">
        <v>70</v>
      </c>
      <c r="E35" s="1123">
        <f>IF($O$14=0,0,E33/$O$14)</f>
        <v>0</v>
      </c>
      <c r="F35" s="1124"/>
      <c r="G35" s="1125"/>
      <c r="H35" s="1126" t="str">
        <f t="shared" si="2"/>
        <v>&lt;</v>
      </c>
      <c r="I35" s="1123">
        <f>IF($O$14=0,0,I33/$O$14)</f>
        <v>0</v>
      </c>
      <c r="J35" s="1124"/>
      <c r="K35" s="1125"/>
      <c r="L35" s="1561"/>
      <c r="M35" s="1561"/>
      <c r="N35" s="1123">
        <f>IF($O$14=0,0,N33/$O$14)</f>
        <v>0</v>
      </c>
      <c r="O35" s="1125">
        <f>IF($O$14=0,0,O33/$O$14)</f>
        <v>0</v>
      </c>
      <c r="Q35" s="2055"/>
      <c r="R35" s="2055"/>
    </row>
    <row r="36" spans="3:18">
      <c r="K36" s="232"/>
      <c r="L36" s="244"/>
    </row>
    <row r="37" spans="3:18">
      <c r="K37" s="232"/>
      <c r="L37" s="244"/>
      <c r="N37" s="1363"/>
    </row>
    <row r="38" spans="3:18">
      <c r="K38" s="232"/>
      <c r="L38" s="244"/>
    </row>
    <row r="50" spans="5:6">
      <c r="E50" s="232"/>
      <c r="F50" s="232"/>
    </row>
  </sheetData>
  <sheetProtection formatCells="0" formatColumns="0" formatRows="0"/>
  <mergeCells count="21">
    <mergeCell ref="B31:C31"/>
    <mergeCell ref="B23:C23"/>
    <mergeCell ref="B24:C24"/>
    <mergeCell ref="B25:C25"/>
    <mergeCell ref="B26:C26"/>
    <mergeCell ref="B29:C29"/>
    <mergeCell ref="B30:C30"/>
    <mergeCell ref="E17:G17"/>
    <mergeCell ref="E16:G16"/>
    <mergeCell ref="B20:C20"/>
    <mergeCell ref="B21:C21"/>
    <mergeCell ref="B28:C28"/>
    <mergeCell ref="B18:C18"/>
    <mergeCell ref="B16:C16"/>
    <mergeCell ref="B22:C22"/>
    <mergeCell ref="N6:O6"/>
    <mergeCell ref="N7:O7"/>
    <mergeCell ref="I16:K16"/>
    <mergeCell ref="I17:K17"/>
    <mergeCell ref="N16:O16"/>
    <mergeCell ref="N11:O11"/>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1"/>
  <sheetViews>
    <sheetView topLeftCell="A61" zoomScaleNormal="100" workbookViewId="0">
      <selection activeCell="Y122" sqref="Y122"/>
    </sheetView>
  </sheetViews>
  <sheetFormatPr baseColWidth="10" defaultColWidth="11.44140625" defaultRowHeight="13.2"/>
  <cols>
    <col min="1" max="1" width="0.88671875" style="1" customWidth="1"/>
    <col min="2" max="2" width="15" style="1" customWidth="1"/>
    <col min="3" max="3" width="13.109375" style="1" customWidth="1"/>
    <col min="4" max="4" width="1.33203125" style="1" customWidth="1"/>
    <col min="5" max="5" width="10" style="1" customWidth="1"/>
    <col min="6" max="7" width="8.6640625" style="1" customWidth="1"/>
    <col min="8" max="8" width="1.44140625" style="1" customWidth="1"/>
    <col min="9" max="9" width="12" style="1" customWidth="1"/>
    <col min="10" max="12" width="9" style="1" customWidth="1"/>
    <col min="13" max="13" width="1.33203125" style="1" customWidth="1"/>
    <col min="14" max="14" width="12" style="1" customWidth="1"/>
    <col min="15" max="15" width="10.33203125" style="1" customWidth="1"/>
    <col min="16" max="16" width="1.33203125" style="1" customWidth="1"/>
    <col min="17" max="17" width="10" style="1" customWidth="1"/>
    <col min="18" max="18" width="10.33203125" style="1" customWidth="1"/>
    <col min="19" max="19" width="8.88671875" style="1" customWidth="1"/>
    <col min="20" max="20" width="1.5546875" style="1" customWidth="1"/>
    <col min="21" max="21" width="11.44140625" style="1"/>
    <col min="22" max="22" width="9.44140625" style="1" customWidth="1"/>
    <col min="23" max="23" width="3.33203125" style="1" customWidth="1"/>
    <col min="24" max="24" width="11.5546875" style="1" customWidth="1"/>
    <col min="25" max="16384" width="11.44140625" style="1"/>
  </cols>
  <sheetData>
    <row r="1" spans="1:19" s="1670" customFormat="1" ht="22.95" customHeight="1"/>
    <row r="2" spans="1:19" s="1670" customFormat="1" ht="22.95" customHeight="1"/>
    <row r="3" spans="1:19" s="1670" customFormat="1" ht="22.95" customHeight="1"/>
    <row r="4" spans="1:19" s="1670" customFormat="1" ht="22.95" customHeight="1"/>
    <row r="5" spans="1:19" s="1670" customFormat="1" ht="22.95" customHeight="1" thickBot="1">
      <c r="A5" s="1670" t="s">
        <v>227</v>
      </c>
    </row>
    <row r="6" spans="1:19" ht="13.8" thickBot="1">
      <c r="B6" s="1603" t="s">
        <v>36</v>
      </c>
      <c r="C6" s="1604"/>
      <c r="D6" s="1604"/>
      <c r="E6" s="1604"/>
      <c r="F6" s="1604"/>
      <c r="G6" s="1083"/>
      <c r="I6" s="1053" t="s">
        <v>60</v>
      </c>
      <c r="J6" s="1054"/>
      <c r="K6" s="1055"/>
      <c r="N6" s="3387" t="s">
        <v>58</v>
      </c>
      <c r="O6" s="3388"/>
    </row>
    <row r="7" spans="1:19" ht="13.8" thickBot="1">
      <c r="B7" s="1095" t="s">
        <v>1144</v>
      </c>
      <c r="C7" s="1096" t="str">
        <f>IF(title="","",title)</f>
        <v/>
      </c>
      <c r="D7" s="1096"/>
      <c r="E7" s="1096"/>
      <c r="F7" s="1096"/>
      <c r="G7" s="1097"/>
      <c r="I7" s="1056" t="s">
        <v>1114</v>
      </c>
      <c r="J7" s="1057"/>
      <c r="K7" s="1050">
        <f>Matrix!M10</f>
        <v>0</v>
      </c>
      <c r="N7" s="3389" t="s">
        <v>59</v>
      </c>
      <c r="O7" s="3390"/>
    </row>
    <row r="8" spans="1:19">
      <c r="B8" s="1092"/>
      <c r="C8" s="21"/>
      <c r="D8" s="21"/>
      <c r="E8" s="21"/>
      <c r="F8" s="21"/>
      <c r="G8" s="1093"/>
      <c r="I8" s="1045"/>
      <c r="J8" s="1046" t="s">
        <v>1110</v>
      </c>
      <c r="K8" s="1051">
        <f>Matrix!M11</f>
        <v>0</v>
      </c>
      <c r="N8" s="1092" t="s">
        <v>37</v>
      </c>
      <c r="O8" s="1615">
        <f>time</f>
        <v>0</v>
      </c>
    </row>
    <row r="9" spans="1:19">
      <c r="B9" s="1098" t="s">
        <v>297</v>
      </c>
      <c r="C9" s="89" t="str">
        <f>IF(region=List!A6,"",region)</f>
        <v/>
      </c>
      <c r="D9" s="89"/>
      <c r="E9" s="89"/>
      <c r="F9" s="89"/>
      <c r="G9" s="1099"/>
      <c r="I9" s="1047" t="s">
        <v>1106</v>
      </c>
      <c r="J9" s="1046" t="s">
        <v>1111</v>
      </c>
      <c r="K9" s="1051">
        <f>Matrix!M12</f>
        <v>0</v>
      </c>
      <c r="N9" s="1092" t="s">
        <v>47</v>
      </c>
      <c r="O9" s="1615">
        <f>time2</f>
        <v>0</v>
      </c>
    </row>
    <row r="10" spans="1:19" ht="13.8" thickBot="1">
      <c r="B10" s="1092"/>
      <c r="C10" s="21"/>
      <c r="D10" s="21"/>
      <c r="E10" s="21"/>
      <c r="F10" s="21"/>
      <c r="G10" s="1093"/>
      <c r="I10" s="1047"/>
      <c r="J10" s="1046" t="s">
        <v>1112</v>
      </c>
      <c r="K10" s="1051">
        <f>Matrix!M13</f>
        <v>0</v>
      </c>
      <c r="N10" s="1094" t="s">
        <v>531</v>
      </c>
      <c r="O10" s="1616">
        <f>time_tot</f>
        <v>0</v>
      </c>
    </row>
    <row r="11" spans="1:19" ht="13.8" thickBot="1">
      <c r="B11" s="1098" t="s">
        <v>298</v>
      </c>
      <c r="C11" s="89" t="str">
        <f>IF(clim_simple=Help!N79,"",clim_full)</f>
        <v/>
      </c>
      <c r="D11" s="89"/>
      <c r="E11" s="89"/>
      <c r="F11" s="89"/>
      <c r="G11" s="1099"/>
      <c r="I11" s="1048" t="s">
        <v>334</v>
      </c>
      <c r="J11" s="1049"/>
      <c r="K11" s="1051">
        <f>Matrix!M14</f>
        <v>0</v>
      </c>
      <c r="N11" s="3313" t="s">
        <v>48</v>
      </c>
      <c r="O11" s="3314"/>
    </row>
    <row r="12" spans="1:19">
      <c r="B12" s="1092"/>
      <c r="C12" s="21"/>
      <c r="D12" s="21"/>
      <c r="E12" s="21"/>
      <c r="F12" s="21"/>
      <c r="G12" s="1093"/>
      <c r="I12" s="483" t="s">
        <v>1107</v>
      </c>
      <c r="J12" s="488" t="s">
        <v>1207</v>
      </c>
      <c r="K12" s="1051">
        <f>Matrix!M15</f>
        <v>0</v>
      </c>
      <c r="N12" s="1594" t="s">
        <v>271</v>
      </c>
      <c r="O12" s="1596">
        <f>SUM(K7:K13)</f>
        <v>0</v>
      </c>
    </row>
    <row r="13" spans="1:19" ht="12" customHeight="1" thickBot="1">
      <c r="B13" s="1098" t="s">
        <v>35</v>
      </c>
      <c r="C13" s="89" t="str">
        <f>IF(soil=List!A20,"",soil)</f>
        <v/>
      </c>
      <c r="D13" s="89"/>
      <c r="E13" s="89"/>
      <c r="F13" s="89"/>
      <c r="G13" s="1099"/>
      <c r="I13" s="452"/>
      <c r="J13" s="492" t="s">
        <v>393</v>
      </c>
      <c r="K13" s="1052">
        <f>Matrix!M16</f>
        <v>0</v>
      </c>
      <c r="N13" s="1545" t="s">
        <v>272</v>
      </c>
      <c r="O13" s="1595">
        <f>'Organic Soils'!S45</f>
        <v>0</v>
      </c>
    </row>
    <row r="14" spans="1:19" ht="13.8" thickBot="1">
      <c r="B14" s="1100"/>
      <c r="C14" s="1101"/>
      <c r="D14" s="1101"/>
      <c r="E14" s="1101"/>
      <c r="F14" s="1101"/>
      <c r="G14" s="1102"/>
      <c r="I14" s="1598" t="s">
        <v>274</v>
      </c>
      <c r="J14" s="1597"/>
      <c r="K14" s="1605">
        <f>O13</f>
        <v>0</v>
      </c>
      <c r="N14" s="1077" t="s">
        <v>48</v>
      </c>
      <c r="O14" s="1078">
        <f>O12+O13</f>
        <v>0</v>
      </c>
    </row>
    <row r="15" spans="1:19" ht="7.5" customHeight="1" thickBot="1"/>
    <row r="16" spans="1:19">
      <c r="B16" s="3329" t="s">
        <v>331</v>
      </c>
      <c r="C16" s="3330"/>
      <c r="E16" s="3311" t="s">
        <v>49</v>
      </c>
      <c r="F16" s="3373"/>
      <c r="G16" s="3312"/>
      <c r="I16" s="3367" t="s">
        <v>336</v>
      </c>
      <c r="J16" s="3368"/>
      <c r="K16" s="1058" t="s">
        <v>338</v>
      </c>
      <c r="L16" s="1059" t="s">
        <v>337</v>
      </c>
      <c r="N16" s="1082" t="s">
        <v>62</v>
      </c>
      <c r="O16" s="1083"/>
      <c r="Q16" s="3311" t="s">
        <v>69</v>
      </c>
      <c r="R16" s="3373"/>
      <c r="S16" s="3312"/>
    </row>
    <row r="17" spans="2:25" ht="13.8" thickBot="1">
      <c r="B17" s="1080"/>
      <c r="C17" s="1081"/>
      <c r="D17" s="232"/>
      <c r="E17" s="3378" t="s">
        <v>61</v>
      </c>
      <c r="F17" s="3379"/>
      <c r="G17" s="3380"/>
      <c r="H17" s="232"/>
      <c r="I17" s="1060" t="s">
        <v>550</v>
      </c>
      <c r="J17" s="1061" t="s">
        <v>555</v>
      </c>
      <c r="K17" s="1061"/>
      <c r="L17" s="1062"/>
      <c r="N17" s="1617" t="s">
        <v>63</v>
      </c>
      <c r="O17" s="1618" t="s">
        <v>64</v>
      </c>
      <c r="Q17" s="1112" t="s">
        <v>531</v>
      </c>
      <c r="R17" s="1113" t="s">
        <v>63</v>
      </c>
      <c r="S17" s="1114" t="s">
        <v>64</v>
      </c>
    </row>
    <row r="18" spans="2:25">
      <c r="B18" s="3381" t="s">
        <v>332</v>
      </c>
      <c r="C18" s="3382"/>
      <c r="D18" s="232"/>
      <c r="E18" s="525">
        <f>Deforestation!T53</f>
        <v>0</v>
      </c>
      <c r="F18" s="251" t="str">
        <f t="shared" ref="F18:F31" si="0">IF(E18=0,"",IF(E18&lt;0, "this is a sink","this is a source"))</f>
        <v/>
      </c>
      <c r="G18" s="245"/>
      <c r="H18" s="232"/>
      <c r="I18" s="1063">
        <f>Deforestation!AG24</f>
        <v>0</v>
      </c>
      <c r="J18" s="1064">
        <f>Deforestation!AG25</f>
        <v>0</v>
      </c>
      <c r="K18" s="1064">
        <f>Deforestation!AG27</f>
        <v>0</v>
      </c>
      <c r="L18" s="1065">
        <f>Deforestation!AG26</f>
        <v>0</v>
      </c>
      <c r="N18" s="1063">
        <f>Deforestation!AH28</f>
        <v>0</v>
      </c>
      <c r="O18" s="1065">
        <f>Deforestation!AI28</f>
        <v>0</v>
      </c>
      <c r="Q18" s="1115">
        <f>IF(time_tot=0,0,E18/time_tot)</f>
        <v>0</v>
      </c>
      <c r="R18" s="1064">
        <f>IF(time=0,0,N18/time)</f>
        <v>0</v>
      </c>
      <c r="S18" s="1065">
        <f>IF(time2=0,0,O18/time2)</f>
        <v>0</v>
      </c>
      <c r="X18" s="80"/>
      <c r="Y18" s="924"/>
    </row>
    <row r="19" spans="2:25">
      <c r="B19" s="1302" t="s">
        <v>201</v>
      </c>
      <c r="C19" s="1303"/>
      <c r="D19" s="232"/>
      <c r="E19" s="525">
        <f>'Forest Degradation'!P54</f>
        <v>0</v>
      </c>
      <c r="F19" s="251" t="str">
        <f t="shared" si="0"/>
        <v/>
      </c>
      <c r="G19" s="245"/>
      <c r="H19" s="232"/>
      <c r="I19" s="1066">
        <f>'Forest Degradation'!AG24</f>
        <v>0</v>
      </c>
      <c r="J19" s="279">
        <f>'Forest Degradation'!AG25</f>
        <v>0</v>
      </c>
      <c r="K19" s="279">
        <f>'Forest Degradation'!AG26</f>
        <v>0</v>
      </c>
      <c r="L19" s="1067">
        <f>'Forest Degradation'!AG27</f>
        <v>0</v>
      </c>
      <c r="N19" s="1066">
        <f>'Forest Degradation'!AH28</f>
        <v>0</v>
      </c>
      <c r="O19" s="1067">
        <f>'Forest Degradation'!AI28</f>
        <v>0</v>
      </c>
      <c r="Q19" s="1116">
        <f>IF(time_tot=0,0,E19/time_tot)</f>
        <v>0</v>
      </c>
      <c r="R19" s="279">
        <f>IF(time=0,0,N19/time)</f>
        <v>0</v>
      </c>
      <c r="S19" s="1067">
        <f>IF(time2=0,0,O19/time2)</f>
        <v>0</v>
      </c>
      <c r="X19" s="80"/>
      <c r="Y19" s="924"/>
    </row>
    <row r="20" spans="2:25">
      <c r="B20" s="3383" t="s">
        <v>478</v>
      </c>
      <c r="C20" s="3384"/>
      <c r="D20" s="232"/>
      <c r="E20" s="525">
        <f>'A-R'!S53</f>
        <v>0</v>
      </c>
      <c r="F20" s="251" t="str">
        <f t="shared" si="0"/>
        <v/>
      </c>
      <c r="G20" s="245"/>
      <c r="H20" s="232"/>
      <c r="I20" s="1066">
        <f>'A-R'!AB26</f>
        <v>0</v>
      </c>
      <c r="J20" s="279">
        <f>'A-R'!AB27</f>
        <v>0</v>
      </c>
      <c r="K20" s="279">
        <f>'A-R'!AB29</f>
        <v>0</v>
      </c>
      <c r="L20" s="1067">
        <f>'A-R'!AB28</f>
        <v>0</v>
      </c>
      <c r="N20" s="1066">
        <f>'A-R'!AC30</f>
        <v>0</v>
      </c>
      <c r="O20" s="1067">
        <f>'A-R'!AD30</f>
        <v>0</v>
      </c>
      <c r="Q20" s="1116">
        <f>IF(time_tot=0,0,E20/time_tot)</f>
        <v>0</v>
      </c>
      <c r="R20" s="279">
        <f>IF(time=0,0,N20/time)</f>
        <v>0</v>
      </c>
      <c r="S20" s="1067">
        <f>IF(time2=0,0,O20/time2)</f>
        <v>0</v>
      </c>
      <c r="X20" s="80"/>
      <c r="Y20" s="924"/>
    </row>
    <row r="21" spans="2:25">
      <c r="B21" s="3385" t="s">
        <v>137</v>
      </c>
      <c r="C21" s="3386"/>
      <c r="D21" s="232"/>
      <c r="E21" s="525">
        <f>'non Forest LUC'!P48</f>
        <v>0</v>
      </c>
      <c r="F21" s="251" t="str">
        <f t="shared" si="0"/>
        <v/>
      </c>
      <c r="G21" s="245"/>
      <c r="H21" s="232"/>
      <c r="I21" s="1066">
        <f>'non Forest LUC'!AD12</f>
        <v>0</v>
      </c>
      <c r="J21" s="279">
        <f>'non Forest LUC'!AD13</f>
        <v>0</v>
      </c>
      <c r="K21" s="279">
        <f>'non Forest LUC'!AD15</f>
        <v>0</v>
      </c>
      <c r="L21" s="1067">
        <f>'non Forest LUC'!AD14</f>
        <v>0</v>
      </c>
      <c r="N21" s="1066">
        <f>'non Forest LUC'!AE16</f>
        <v>0</v>
      </c>
      <c r="O21" s="1067">
        <f>'non Forest LUC'!AF16</f>
        <v>0</v>
      </c>
      <c r="Q21" s="1116">
        <f>IF(time_tot=0,0,E21/time_tot)</f>
        <v>0</v>
      </c>
      <c r="R21" s="279">
        <f>IF(time=0,0,N21/time)</f>
        <v>0</v>
      </c>
      <c r="S21" s="1067">
        <f>IF(time2=0,0,O21/time2)</f>
        <v>0</v>
      </c>
      <c r="X21" s="80"/>
      <c r="Y21" s="924"/>
    </row>
    <row r="22" spans="2:25">
      <c r="B22" s="3331" t="s">
        <v>333</v>
      </c>
      <c r="C22" s="3332"/>
      <c r="D22" s="232"/>
      <c r="E22" s="526"/>
      <c r="F22" s="252" t="str">
        <f t="shared" si="0"/>
        <v/>
      </c>
      <c r="G22" s="246"/>
      <c r="H22" s="232"/>
      <c r="I22" s="1070"/>
      <c r="J22" s="1071"/>
      <c r="K22" s="1071"/>
      <c r="L22" s="1072"/>
      <c r="N22" s="1070"/>
      <c r="O22" s="1072"/>
      <c r="Q22" s="1070"/>
      <c r="R22" s="1071"/>
      <c r="S22" s="1072"/>
      <c r="X22" s="80"/>
      <c r="Y22" s="924"/>
    </row>
    <row r="23" spans="2:25">
      <c r="B23" s="3365" t="s">
        <v>590</v>
      </c>
      <c r="C23" s="3366"/>
      <c r="D23" s="232"/>
      <c r="E23" s="525">
        <f>Annual!N49</f>
        <v>0</v>
      </c>
      <c r="F23" s="251" t="str">
        <f t="shared" si="0"/>
        <v/>
      </c>
      <c r="G23" s="245"/>
      <c r="H23" s="232"/>
      <c r="I23" s="1066">
        <f>Annual!AR12</f>
        <v>0</v>
      </c>
      <c r="J23" s="279">
        <f>Annual!AR13</f>
        <v>0</v>
      </c>
      <c r="K23" s="279">
        <f>Annual!AR15</f>
        <v>0</v>
      </c>
      <c r="L23" s="1067">
        <f>Annual!AR14</f>
        <v>0</v>
      </c>
      <c r="N23" s="1066">
        <f>Annual!AS16</f>
        <v>0</v>
      </c>
      <c r="O23" s="1067">
        <f>Annual!AT16</f>
        <v>0</v>
      </c>
      <c r="Q23" s="1116">
        <f>IF(time_tot=0,0,E23/time_tot)</f>
        <v>0</v>
      </c>
      <c r="R23" s="279">
        <f>IF(time=0,0,N23/time)</f>
        <v>0</v>
      </c>
      <c r="S23" s="1067">
        <f>IF(time2=0,0,O23/time2)</f>
        <v>0</v>
      </c>
      <c r="X23" s="80"/>
      <c r="Y23" s="924"/>
    </row>
    <row r="24" spans="2:25">
      <c r="B24" s="3365" t="s">
        <v>591</v>
      </c>
      <c r="C24" s="3366"/>
      <c r="D24" s="232"/>
      <c r="E24" s="525">
        <f>Perennial!P47</f>
        <v>0</v>
      </c>
      <c r="F24" s="251" t="str">
        <f t="shared" si="0"/>
        <v/>
      </c>
      <c r="G24" s="245"/>
      <c r="H24" s="232"/>
      <c r="I24" s="1066">
        <f>Perennial!AM11</f>
        <v>0</v>
      </c>
      <c r="J24" s="279">
        <f>Perennial!AM12</f>
        <v>0</v>
      </c>
      <c r="K24" s="279">
        <f>Perennial!AM14</f>
        <v>0</v>
      </c>
      <c r="L24" s="1067">
        <f>Perennial!AM13</f>
        <v>0</v>
      </c>
      <c r="N24" s="1066">
        <f>Perennial!AN15</f>
        <v>0</v>
      </c>
      <c r="O24" s="1067">
        <f>Perennial!AO15</f>
        <v>0</v>
      </c>
      <c r="Q24" s="1116">
        <f>IF(time_tot=0,0,E24/time_tot)</f>
        <v>0</v>
      </c>
      <c r="R24" s="279">
        <f>IF(time=0,0,N24/time)</f>
        <v>0</v>
      </c>
      <c r="S24" s="1067">
        <f>IF(time2=0,0,O24/time2)</f>
        <v>0</v>
      </c>
      <c r="X24" s="80"/>
      <c r="Y24" s="924"/>
    </row>
    <row r="25" spans="2:25">
      <c r="B25" s="3365" t="s">
        <v>144</v>
      </c>
      <c r="C25" s="3366"/>
      <c r="D25" s="232"/>
      <c r="E25" s="525">
        <f>'Irrigated Rice'!P47</f>
        <v>0</v>
      </c>
      <c r="F25" s="251" t="str">
        <f t="shared" si="0"/>
        <v/>
      </c>
      <c r="G25" s="245"/>
      <c r="H25" s="232"/>
      <c r="I25" s="1066">
        <v>0</v>
      </c>
      <c r="J25" s="279">
        <f>'Irrigated Rice'!AR15</f>
        <v>0</v>
      </c>
      <c r="K25" s="279">
        <f>'Irrigated Rice'!AR17</f>
        <v>0</v>
      </c>
      <c r="L25" s="1067">
        <f>'Irrigated Rice'!AR16</f>
        <v>0</v>
      </c>
      <c r="N25" s="1066">
        <f>'Irrigated Rice'!AS18</f>
        <v>0</v>
      </c>
      <c r="O25" s="1067">
        <f>'Irrigated Rice'!AT18</f>
        <v>0</v>
      </c>
      <c r="Q25" s="1116">
        <f>IF(time_tot=0,0,E25/time_tot)</f>
        <v>0</v>
      </c>
      <c r="R25" s="279">
        <f>IF(time=0,0,N25/time)</f>
        <v>0</v>
      </c>
      <c r="S25" s="1067">
        <f>IF(time2=0,0,O25/time2)</f>
        <v>0</v>
      </c>
      <c r="X25" s="80"/>
      <c r="Y25" s="924"/>
    </row>
    <row r="26" spans="2:25">
      <c r="B26" s="3398" t="s">
        <v>334</v>
      </c>
      <c r="C26" s="3399"/>
      <c r="D26" s="232"/>
      <c r="E26" s="525">
        <f>Grass!O44</f>
        <v>0</v>
      </c>
      <c r="F26" s="251" t="str">
        <f t="shared" si="0"/>
        <v/>
      </c>
      <c r="G26" s="245"/>
      <c r="H26" s="232"/>
      <c r="I26" s="1066">
        <v>0</v>
      </c>
      <c r="J26" s="279">
        <f>Grass!AR12</f>
        <v>0</v>
      </c>
      <c r="K26" s="279">
        <f>Grass!AR14</f>
        <v>0</v>
      </c>
      <c r="L26" s="1067">
        <f>Grass!AR13</f>
        <v>0</v>
      </c>
      <c r="N26" s="1066">
        <f>Grass!AS15</f>
        <v>0</v>
      </c>
      <c r="O26" s="1067">
        <f>Grass!AT15</f>
        <v>0</v>
      </c>
      <c r="Q26" s="1116">
        <f>IF(time_tot=0,0,E26/time_tot)</f>
        <v>0</v>
      </c>
      <c r="R26" s="279">
        <f>IF(time=0,0,N26/time)</f>
        <v>0</v>
      </c>
      <c r="S26" s="1067">
        <f>IF(time2=0,0,O26/time2)</f>
        <v>0</v>
      </c>
      <c r="X26" s="80"/>
      <c r="Y26" s="924"/>
    </row>
    <row r="27" spans="2:25">
      <c r="B27" s="1593" t="s">
        <v>270</v>
      </c>
      <c r="C27" s="1592"/>
      <c r="D27" s="232"/>
      <c r="E27" s="525">
        <f>'Organic Soils'!S43</f>
        <v>0</v>
      </c>
      <c r="F27" s="251" t="str">
        <f t="shared" si="0"/>
        <v/>
      </c>
      <c r="G27" s="245"/>
      <c r="H27" s="232"/>
      <c r="I27" s="1606" t="s">
        <v>275</v>
      </c>
      <c r="J27" s="279">
        <f>'Organic Soils'!S43-SUM('Organic Soils'!S39:S40)</f>
        <v>0</v>
      </c>
      <c r="K27" s="279">
        <f>SUM('Organic Soils'!S39:S40)</f>
        <v>0</v>
      </c>
      <c r="L27" s="1067">
        <v>0</v>
      </c>
      <c r="N27" s="1066">
        <f>'Organic Soils'!AC43</f>
        <v>0</v>
      </c>
      <c r="O27" s="1067">
        <f>'Organic Soils'!AC45</f>
        <v>0</v>
      </c>
      <c r="Q27" s="1116">
        <f>IF(time_tot=0,0,E27/time_tot)</f>
        <v>0</v>
      </c>
      <c r="R27" s="279">
        <f>IF(time=0,0,N27/time)</f>
        <v>0</v>
      </c>
      <c r="S27" s="1067">
        <f>IF(time2=0,0,O27/time2)</f>
        <v>0</v>
      </c>
      <c r="X27" s="80"/>
      <c r="Y27" s="924"/>
    </row>
    <row r="28" spans="2:25">
      <c r="B28" s="3325" t="s">
        <v>477</v>
      </c>
      <c r="C28" s="3326"/>
      <c r="D28" s="232"/>
      <c r="E28" s="526"/>
      <c r="F28" s="252" t="str">
        <f t="shared" si="0"/>
        <v/>
      </c>
      <c r="G28" s="246"/>
      <c r="H28" s="232"/>
      <c r="I28" s="3357" t="s">
        <v>53</v>
      </c>
      <c r="J28" s="3358"/>
      <c r="K28" s="1071"/>
      <c r="L28" s="1072"/>
      <c r="N28" s="1070"/>
      <c r="O28" s="1072"/>
      <c r="Q28" s="1070"/>
      <c r="R28" s="1071"/>
      <c r="S28" s="1072"/>
      <c r="X28" s="80"/>
      <c r="Y28" s="924"/>
    </row>
    <row r="29" spans="2:25">
      <c r="B29" s="3341" t="s">
        <v>681</v>
      </c>
      <c r="C29" s="3342"/>
      <c r="D29" s="232"/>
      <c r="E29" s="525">
        <f>Livestock!T102</f>
        <v>0</v>
      </c>
      <c r="F29" s="251" t="str">
        <f t="shared" si="0"/>
        <v/>
      </c>
      <c r="G29" s="245"/>
      <c r="H29" s="232"/>
      <c r="I29" s="3374" t="s">
        <v>54</v>
      </c>
      <c r="J29" s="3375"/>
      <c r="K29" s="279">
        <f>Livestock!T74</f>
        <v>0</v>
      </c>
      <c r="L29" s="1067">
        <f>Livestock!T23+Livestock!T51+Livestock!T100</f>
        <v>0</v>
      </c>
      <c r="N29" s="1066">
        <f>Livestock!AI102</f>
        <v>0</v>
      </c>
      <c r="O29" s="1067">
        <f>Livestock!AJ102</f>
        <v>0</v>
      </c>
      <c r="Q29" s="1116">
        <f>IF(time_tot=0,0,E29/time_tot)</f>
        <v>0</v>
      </c>
      <c r="R29" s="279">
        <f>IF(time=0,0,N29/time)</f>
        <v>0</v>
      </c>
      <c r="S29" s="1067">
        <f>IF(time2=0,0,O29/time2)</f>
        <v>0</v>
      </c>
      <c r="X29" s="80"/>
      <c r="Y29" s="924"/>
    </row>
    <row r="30" spans="2:25">
      <c r="B30" s="3341" t="s">
        <v>682</v>
      </c>
      <c r="C30" s="3342"/>
      <c r="D30" s="232"/>
      <c r="E30" s="525">
        <f>Inputs!T52</f>
        <v>0</v>
      </c>
      <c r="F30" s="251" t="str">
        <f t="shared" si="0"/>
        <v/>
      </c>
      <c r="G30" s="245"/>
      <c r="H30" s="232"/>
      <c r="I30" s="3376">
        <f>Inputs!T15+Inputs!T22+Inputs!T50</f>
        <v>0</v>
      </c>
      <c r="J30" s="3377"/>
      <c r="K30" s="279">
        <f>Inputs!T33</f>
        <v>0</v>
      </c>
      <c r="L30" s="1073" t="s">
        <v>54</v>
      </c>
      <c r="N30" s="1066">
        <f>Inputs!AA52</f>
        <v>0</v>
      </c>
      <c r="O30" s="1067">
        <f>Inputs!AB52</f>
        <v>0</v>
      </c>
      <c r="Q30" s="1116">
        <f>IF(time_tot=0,0,E30/time_tot)</f>
        <v>0</v>
      </c>
      <c r="R30" s="279">
        <f>IF(time=0,0,N30/time)</f>
        <v>0</v>
      </c>
      <c r="S30" s="1067">
        <f>IF(time2=0,0,O30/time2)</f>
        <v>0</v>
      </c>
      <c r="X30" s="80"/>
      <c r="Y30" s="924"/>
    </row>
    <row r="31" spans="2:25" ht="12.75" customHeight="1" thickBot="1">
      <c r="B31" s="3349" t="s">
        <v>136</v>
      </c>
      <c r="C31" s="3350"/>
      <c r="D31" s="232"/>
      <c r="E31" s="527">
        <f>'Other investments'!J75</f>
        <v>0</v>
      </c>
      <c r="F31" s="253" t="str">
        <f t="shared" si="0"/>
        <v/>
      </c>
      <c r="G31" s="247"/>
      <c r="H31" s="232"/>
      <c r="I31" s="3400">
        <f>'Other investments'!J75</f>
        <v>0</v>
      </c>
      <c r="J31" s="3401"/>
      <c r="K31" s="1075" t="s">
        <v>54</v>
      </c>
      <c r="L31" s="1076" t="s">
        <v>54</v>
      </c>
      <c r="N31" s="1069">
        <f>'Other investments'!S75</f>
        <v>0</v>
      </c>
      <c r="O31" s="1084">
        <f>'Other investments'!T75</f>
        <v>0</v>
      </c>
      <c r="Q31" s="1117">
        <f>IF(time_tot=0,0,E31/time_tot)</f>
        <v>0</v>
      </c>
      <c r="R31" s="1074">
        <f>IF(time=0,0,N31/time)</f>
        <v>0</v>
      </c>
      <c r="S31" s="1084">
        <f>IF(time2=0,0,O31/time2)</f>
        <v>0</v>
      </c>
    </row>
    <row r="32" spans="2:25" ht="6.75" customHeight="1" thickBot="1">
      <c r="B32" s="248"/>
      <c r="C32" s="232"/>
      <c r="D32" s="232"/>
      <c r="E32" s="232"/>
      <c r="F32" s="232"/>
      <c r="G32" s="232"/>
      <c r="H32" s="232"/>
      <c r="I32" s="232"/>
      <c r="J32" s="232"/>
      <c r="K32" s="232"/>
      <c r="L32" s="232"/>
    </row>
    <row r="33" spans="3:22" ht="13.8" thickBot="1">
      <c r="C33" s="1520" t="s">
        <v>1171</v>
      </c>
      <c r="D33" s="1526"/>
      <c r="E33" s="1521">
        <f>SUM(E18:E31)</f>
        <v>0</v>
      </c>
      <c r="F33" s="1522" t="str">
        <f>IF(E33=0,"",IF(E33&lt;0,"It is a sink","It is a source"))</f>
        <v/>
      </c>
      <c r="G33" s="1523"/>
      <c r="H33" s="232"/>
      <c r="I33" s="1068">
        <f>SUM(I18:I31)</f>
        <v>0</v>
      </c>
      <c r="J33" s="1044">
        <f>SUM(J18:J31)</f>
        <v>0</v>
      </c>
      <c r="K33" s="1044">
        <f>SUM(K18:K31)</f>
        <v>0</v>
      </c>
      <c r="L33" s="918">
        <f>SUM(L18:L31)</f>
        <v>0</v>
      </c>
      <c r="N33" s="1068">
        <f>SUM(N18:N31)</f>
        <v>0</v>
      </c>
      <c r="O33" s="918">
        <f>SUM(O18:O31)</f>
        <v>0</v>
      </c>
      <c r="Q33" s="1118">
        <f>IF(time_tot=0,0,E33/time_tot)</f>
        <v>0</v>
      </c>
      <c r="R33" s="1119">
        <f>IF(time=0,0,N33/time)</f>
        <v>0</v>
      </c>
      <c r="S33" s="1120">
        <f>IF(time2=0,0,O33/time2)</f>
        <v>0</v>
      </c>
      <c r="V33" s="232"/>
    </row>
    <row r="34" spans="3:22" ht="12.75" customHeight="1" thickBot="1">
      <c r="C34" s="1524" t="s">
        <v>226</v>
      </c>
      <c r="D34" s="1527"/>
      <c r="E34" s="1191"/>
      <c r="F34" s="1525"/>
      <c r="G34" s="1528">
        <f>IF('Gross Results'!E33=0,0,E33/'Gross Results'!E33)</f>
        <v>0</v>
      </c>
      <c r="H34" s="232"/>
      <c r="I34" s="232"/>
      <c r="J34" s="232"/>
      <c r="K34" s="232"/>
      <c r="L34" s="232"/>
      <c r="M34" s="232"/>
      <c r="N34" s="232"/>
      <c r="O34" s="232"/>
      <c r="P34" s="232"/>
      <c r="Q34" s="232"/>
      <c r="R34" s="232"/>
      <c r="S34" s="232"/>
      <c r="T34" s="232"/>
      <c r="U34" s="232"/>
    </row>
    <row r="35" spans="3:22" ht="6" customHeight="1" thickBot="1">
      <c r="C35" s="232"/>
      <c r="D35" s="232"/>
    </row>
    <row r="36" spans="3:22" ht="13.8" thickBot="1">
      <c r="C36" s="1122" t="s">
        <v>70</v>
      </c>
      <c r="E36" s="1123">
        <f>IF($O$14=0,0,E33/$O$14)</f>
        <v>0</v>
      </c>
      <c r="F36" s="1124"/>
      <c r="G36" s="1125"/>
      <c r="H36" s="1126"/>
      <c r="I36" s="1123">
        <f>IF($O$14=0,0,I33/$O$14)</f>
        <v>0</v>
      </c>
      <c r="J36" s="1124">
        <f>IF($O$14=0,0,J33/$O$14)</f>
        <v>0</v>
      </c>
      <c r="K36" s="1124">
        <f>IF($O$14=0,0,K33/$O$14)</f>
        <v>0</v>
      </c>
      <c r="L36" s="1125">
        <f>IF($O$14=0,0,L33/$O$14)</f>
        <v>0</v>
      </c>
      <c r="M36" s="1126"/>
      <c r="N36" s="1123">
        <f>IF($O$14=0,0,N33/$O$14)</f>
        <v>0</v>
      </c>
      <c r="O36" s="1125">
        <f>IF($O$14=0,0,O33/$O$14)</f>
        <v>0</v>
      </c>
      <c r="P36" s="1126"/>
      <c r="Q36" s="1123">
        <f>IF($O$14=0,0,Q33/$O$14)</f>
        <v>0</v>
      </c>
      <c r="R36" s="1124">
        <f>IF($O$14=0,0,R33/$O$14)</f>
        <v>0</v>
      </c>
      <c r="S36" s="1125">
        <f>IF($O$14=0,0,S33/$O$14)</f>
        <v>0</v>
      </c>
    </row>
    <row r="37" spans="3:22">
      <c r="K37" s="232"/>
      <c r="L37" s="244"/>
    </row>
    <row r="38" spans="3:22">
      <c r="K38" s="232"/>
      <c r="L38" s="244"/>
      <c r="N38" s="80"/>
    </row>
    <row r="39" spans="3:22">
      <c r="K39" s="232"/>
      <c r="L39" s="244"/>
    </row>
    <row r="51" spans="2:18">
      <c r="E51" s="232"/>
      <c r="F51" s="232"/>
    </row>
    <row r="53" spans="2:18" ht="12.75" customHeight="1"/>
    <row r="54" spans="2:18" ht="12.75" customHeight="1">
      <c r="B54" s="1155" t="s">
        <v>89</v>
      </c>
      <c r="E54" s="3397" t="s">
        <v>109</v>
      </c>
      <c r="F54" s="3397"/>
      <c r="G54" s="3397"/>
      <c r="H54" s="3397"/>
      <c r="I54" s="3397"/>
      <c r="J54" s="3397"/>
      <c r="K54" s="3397"/>
      <c r="L54" s="3397"/>
      <c r="M54" s="3397"/>
      <c r="N54" s="3397"/>
      <c r="O54" s="3397"/>
      <c r="P54" s="3397"/>
      <c r="Q54" s="3397"/>
      <c r="R54" s="3397"/>
    </row>
    <row r="55" spans="2:18" ht="12.75" customHeight="1">
      <c r="B55" s="1155"/>
      <c r="E55" s="3397"/>
      <c r="F55" s="3397"/>
      <c r="G55" s="3397"/>
      <c r="H55" s="3397"/>
      <c r="I55" s="3397"/>
      <c r="J55" s="3397"/>
      <c r="K55" s="3397"/>
      <c r="L55" s="3397"/>
      <c r="M55" s="3397"/>
      <c r="N55" s="3397"/>
      <c r="O55" s="3397"/>
      <c r="P55" s="3397"/>
      <c r="Q55" s="3397"/>
      <c r="R55" s="3397"/>
    </row>
    <row r="56" spans="2:18" ht="12.75" customHeight="1">
      <c r="B56" s="1155"/>
      <c r="E56" s="3397"/>
      <c r="F56" s="3397"/>
      <c r="G56" s="3397"/>
      <c r="H56" s="3397"/>
      <c r="I56" s="3397"/>
      <c r="J56" s="3397"/>
      <c r="K56" s="3397"/>
      <c r="L56" s="3397"/>
      <c r="M56" s="3397"/>
      <c r="N56" s="3397"/>
      <c r="O56" s="3397"/>
      <c r="P56" s="3397"/>
      <c r="Q56" s="3397"/>
      <c r="R56" s="3397"/>
    </row>
    <row r="57" spans="2:18">
      <c r="C57" s="1157"/>
      <c r="D57" s="1157"/>
      <c r="E57" s="3397"/>
      <c r="F57" s="3397"/>
      <c r="G57" s="3397"/>
      <c r="H57" s="3397"/>
      <c r="I57" s="3397"/>
      <c r="J57" s="3397"/>
      <c r="K57" s="3397"/>
      <c r="L57" s="3397"/>
      <c r="M57" s="3397"/>
      <c r="N57" s="3397"/>
      <c r="O57" s="3397"/>
      <c r="P57" s="3397"/>
      <c r="Q57" s="3397"/>
      <c r="R57" s="3397"/>
    </row>
    <row r="58" spans="2:18">
      <c r="C58" s="1157"/>
      <c r="D58" s="1157"/>
      <c r="E58" s="3397"/>
      <c r="F58" s="3397"/>
      <c r="G58" s="3397"/>
      <c r="H58" s="3397"/>
      <c r="I58" s="3397"/>
      <c r="J58" s="3397"/>
      <c r="K58" s="3397"/>
      <c r="L58" s="3397"/>
      <c r="M58" s="3397"/>
      <c r="N58" s="3397"/>
      <c r="O58" s="3397"/>
      <c r="P58" s="3397"/>
      <c r="Q58" s="3397"/>
      <c r="R58" s="3397"/>
    </row>
    <row r="59" spans="2:18" ht="13.5" customHeight="1">
      <c r="C59" s="1157"/>
      <c r="D59" s="1157"/>
      <c r="E59" s="1156"/>
      <c r="F59" s="1156"/>
      <c r="G59" s="1156"/>
      <c r="H59" s="1156"/>
      <c r="I59" s="1156"/>
      <c r="J59" s="1156"/>
      <c r="K59" s="1156"/>
      <c r="L59" s="1156"/>
      <c r="M59" s="1156"/>
      <c r="N59" s="1198" t="s">
        <v>96</v>
      </c>
      <c r="O59" s="1156"/>
      <c r="P59" s="1156"/>
      <c r="Q59" s="1156"/>
      <c r="R59" s="1156"/>
    </row>
    <row r="60" spans="2:18" ht="13.5" customHeight="1">
      <c r="C60" s="1157"/>
      <c r="D60" s="1157"/>
      <c r="E60" s="1156"/>
      <c r="F60" s="1156"/>
      <c r="G60" s="1156"/>
      <c r="H60" s="1156"/>
      <c r="I60" s="1175" t="s">
        <v>93</v>
      </c>
      <c r="J60" s="1161" t="s">
        <v>97</v>
      </c>
      <c r="K60" s="1174"/>
      <c r="L60" s="1156"/>
      <c r="M60" s="1156"/>
      <c r="N60" s="1199">
        <v>10</v>
      </c>
      <c r="O60" s="1156"/>
      <c r="P60" s="1156"/>
      <c r="Q60" s="1156"/>
      <c r="R60" s="1156"/>
    </row>
    <row r="61" spans="2:18" ht="13.5" customHeight="1">
      <c r="C61" s="1157"/>
      <c r="D61" s="1157"/>
      <c r="E61" s="1156"/>
      <c r="F61" s="1156"/>
      <c r="G61" s="1156"/>
      <c r="H61" s="1156"/>
      <c r="I61" s="1175" t="s">
        <v>92</v>
      </c>
      <c r="J61" s="1161" t="s">
        <v>98</v>
      </c>
      <c r="K61" s="1174"/>
      <c r="L61" s="1156"/>
      <c r="M61" s="1156"/>
      <c r="N61" s="1199">
        <v>20</v>
      </c>
      <c r="O61" s="1156"/>
      <c r="P61" s="1156"/>
      <c r="Q61" s="1156"/>
      <c r="R61" s="1156"/>
    </row>
    <row r="62" spans="2:18" ht="13.5" customHeight="1">
      <c r="C62" s="1157"/>
      <c r="D62" s="1157"/>
      <c r="E62" s="1156"/>
      <c r="F62" s="1156"/>
      <c r="G62" s="1156"/>
      <c r="H62" s="1156"/>
      <c r="I62" s="1175" t="s">
        <v>90</v>
      </c>
      <c r="J62" s="1161" t="s">
        <v>99</v>
      </c>
      <c r="K62" s="1174"/>
      <c r="L62" s="1156"/>
      <c r="M62" s="1156"/>
      <c r="N62" s="1199">
        <v>33</v>
      </c>
      <c r="O62" s="1156"/>
      <c r="P62" s="1156"/>
      <c r="Q62" s="1156"/>
      <c r="R62" s="1156"/>
    </row>
    <row r="63" spans="2:18" ht="17.399999999999999">
      <c r="C63" s="1157"/>
      <c r="D63" s="1157"/>
      <c r="E63" s="1156"/>
      <c r="F63" s="1156"/>
      <c r="G63" s="1156"/>
      <c r="H63" s="1156"/>
      <c r="I63" s="1175" t="s">
        <v>91</v>
      </c>
      <c r="J63" s="1161" t="s">
        <v>101</v>
      </c>
      <c r="K63" s="1174"/>
      <c r="L63" s="1156"/>
      <c r="M63" s="1156"/>
      <c r="N63" s="1199">
        <v>50</v>
      </c>
      <c r="O63" s="1156"/>
      <c r="P63" s="1156"/>
      <c r="Q63" s="1156"/>
      <c r="R63" s="1156"/>
    </row>
    <row r="64" spans="2:18">
      <c r="C64" s="1157"/>
      <c r="D64" s="1157"/>
      <c r="E64" s="1156"/>
      <c r="F64" s="1156"/>
      <c r="G64" s="1156"/>
      <c r="H64" s="1156"/>
      <c r="I64" s="1156"/>
      <c r="J64" s="1161"/>
      <c r="K64" s="1174"/>
      <c r="L64" s="1156"/>
      <c r="M64" s="1156"/>
      <c r="N64" s="1156"/>
      <c r="O64" s="1156"/>
      <c r="P64" s="1156"/>
      <c r="Q64" s="1156"/>
      <c r="R64" s="1156"/>
    </row>
    <row r="65" spans="2:25" ht="13.8" thickBot="1">
      <c r="C65" s="1157"/>
      <c r="D65" s="1157"/>
      <c r="E65" s="1162"/>
      <c r="F65" s="1162"/>
      <c r="G65" s="1162"/>
      <c r="H65" s="1162"/>
      <c r="I65" s="1" t="s">
        <v>94</v>
      </c>
      <c r="J65" s="1162"/>
      <c r="K65" s="1162"/>
      <c r="L65" s="1162"/>
      <c r="M65" s="1162"/>
      <c r="N65" s="1162"/>
      <c r="O65" s="1162"/>
      <c r="P65" s="1162"/>
      <c r="Q65" s="1162"/>
      <c r="R65" s="1162"/>
    </row>
    <row r="66" spans="2:25">
      <c r="B66" s="1140" t="s">
        <v>331</v>
      </c>
      <c r="C66" s="1141"/>
      <c r="D66" s="1157"/>
      <c r="E66" s="1196" t="s">
        <v>107</v>
      </c>
      <c r="F66" s="1193"/>
      <c r="H66" s="1157"/>
      <c r="I66" s="1142" t="s">
        <v>336</v>
      </c>
      <c r="J66" s="1143"/>
      <c r="K66" s="1058" t="s">
        <v>338</v>
      </c>
      <c r="L66" s="1059" t="s">
        <v>337</v>
      </c>
      <c r="M66" s="1157"/>
      <c r="N66" s="1142" t="s">
        <v>336</v>
      </c>
      <c r="O66" s="1143"/>
      <c r="P66" s="1188"/>
      <c r="Q66" s="1058" t="s">
        <v>338</v>
      </c>
      <c r="R66" s="1059" t="s">
        <v>337</v>
      </c>
      <c r="U66" s="2878" t="s">
        <v>336</v>
      </c>
      <c r="V66" s="2879"/>
      <c r="W66" s="1188"/>
      <c r="X66" s="1058" t="s">
        <v>338</v>
      </c>
      <c r="Y66" s="1059" t="s">
        <v>337</v>
      </c>
    </row>
    <row r="67" spans="2:25" ht="13.8" thickBot="1">
      <c r="B67" s="1080"/>
      <c r="C67" s="1081"/>
      <c r="D67" s="1157"/>
      <c r="E67" s="1306"/>
      <c r="F67" s="1194"/>
      <c r="H67" s="1157"/>
      <c r="I67" s="1158" t="s">
        <v>550</v>
      </c>
      <c r="J67" s="1159" t="s">
        <v>555</v>
      </c>
      <c r="K67" s="1159"/>
      <c r="L67" s="1160"/>
      <c r="M67" s="1157"/>
      <c r="N67" s="1158" t="s">
        <v>550</v>
      </c>
      <c r="O67" s="1159" t="s">
        <v>555</v>
      </c>
      <c r="P67" s="1200"/>
      <c r="Q67" s="1159"/>
      <c r="R67" s="1160"/>
      <c r="U67" s="1158" t="s">
        <v>550</v>
      </c>
      <c r="V67" s="1159" t="s">
        <v>555</v>
      </c>
      <c r="W67" s="1200"/>
      <c r="X67" s="1159"/>
      <c r="Y67" s="1160"/>
    </row>
    <row r="68" spans="2:25" ht="13.8">
      <c r="B68" s="1163" t="s">
        <v>332</v>
      </c>
      <c r="C68" s="1164"/>
      <c r="D68" s="1157"/>
      <c r="E68" s="3369" t="str">
        <f>IF(SUM(Deforestation!C48:D51,Deforestation!F48:F51)&gt;0,"Tier 2","Tier 1")</f>
        <v>Tier 1</v>
      </c>
      <c r="F68" s="3370"/>
      <c r="H68" s="1157"/>
      <c r="I68" s="1218" t="str">
        <f>IF($E68="Tier 1","***","**")</f>
        <v>***</v>
      </c>
      <c r="J68" s="1219" t="str">
        <f>IF($E68="Tier 1","****","**")</f>
        <v>****</v>
      </c>
      <c r="K68" s="1178" t="str">
        <f>IF($E68="Tier 1","**","*")</f>
        <v>**</v>
      </c>
      <c r="L68" s="1179" t="str">
        <f>IF($E68="Tier 1","**","*")</f>
        <v>**</v>
      </c>
      <c r="M68" s="1157"/>
      <c r="N68" s="1186">
        <f>ABS(IF(I68="*",$N$60,IF(I68="**",$N$61,IF(I68="***",$N$62,$N$63)))*I18/100)</f>
        <v>0</v>
      </c>
      <c r="O68" s="1187">
        <f t="shared" ref="N68:O71" si="1">ABS(IF(J68="*",$N$60,IF(J68="**",$N$61,IF(J68="***",$N$62,$N$63)))*J18/100)</f>
        <v>0</v>
      </c>
      <c r="P68" s="1189"/>
      <c r="Q68" s="1178">
        <f t="shared" ref="Q68:R71" si="2">ABS(IF(K68="*",$N$60,IF(K68="**",$N$61,IF(K68="***",$N$62,$N$63)))*K18/100)</f>
        <v>0</v>
      </c>
      <c r="R68" s="1179">
        <f t="shared" si="2"/>
        <v>0</v>
      </c>
      <c r="U68" s="1186">
        <f>IF(I18=0,0,100*ABS(N68/I18))</f>
        <v>0</v>
      </c>
      <c r="V68" s="1187">
        <f>IF(J18=0,0,100*ABS(O68/J18))</f>
        <v>0</v>
      </c>
      <c r="W68" s="1189"/>
      <c r="X68" s="1178">
        <f>IF(K18=0,0,100*ABS(Q68/K18))</f>
        <v>0</v>
      </c>
      <c r="Y68" s="1179">
        <f>IF(L18=0,0,100*ABS(R68/L18))</f>
        <v>0</v>
      </c>
    </row>
    <row r="69" spans="2:25" ht="13.8">
      <c r="B69" s="1304" t="s">
        <v>201</v>
      </c>
      <c r="C69" s="1305"/>
      <c r="D69" s="1157"/>
      <c r="E69" s="3371" t="str">
        <f>IF(SUM('Forest Degradation'!C49:C52)&gt;0,"Tier 2","Tier 1")</f>
        <v>Tier 1</v>
      </c>
      <c r="F69" s="3372"/>
      <c r="H69" s="1157"/>
      <c r="I69" s="1216" t="str">
        <f>IF($E69="Tier 1","***","**")</f>
        <v>***</v>
      </c>
      <c r="J69" s="1217" t="str">
        <f t="shared" ref="J69:J76" si="3">IF($E69="Tier 1","****","**")</f>
        <v>****</v>
      </c>
      <c r="K69" s="1176" t="str">
        <f t="shared" ref="K69:L76" si="4">IF($E69="Tier 1","**","*")</f>
        <v>**</v>
      </c>
      <c r="L69" s="1180" t="str">
        <f t="shared" si="4"/>
        <v>**</v>
      </c>
      <c r="M69" s="1157"/>
      <c r="N69" s="2876">
        <f t="shared" si="1"/>
        <v>0</v>
      </c>
      <c r="O69" s="2877">
        <f t="shared" si="1"/>
        <v>0</v>
      </c>
      <c r="P69" s="1190"/>
      <c r="Q69" s="1176">
        <f t="shared" si="2"/>
        <v>0</v>
      </c>
      <c r="R69" s="1180">
        <f t="shared" si="2"/>
        <v>0</v>
      </c>
      <c r="U69" s="2876">
        <f t="shared" ref="U69:V69" si="5">IF(I19=0,0,100*ABS(N69/I19))</f>
        <v>0</v>
      </c>
      <c r="V69" s="2877">
        <f t="shared" si="5"/>
        <v>0</v>
      </c>
      <c r="W69" s="1190"/>
      <c r="X69" s="1176">
        <f t="shared" ref="X69:Y71" si="6">IF(K19=0,0,100*ABS(Q69/K19))</f>
        <v>0</v>
      </c>
      <c r="Y69" s="1180">
        <f t="shared" si="6"/>
        <v>0</v>
      </c>
    </row>
    <row r="70" spans="2:25" ht="13.8">
      <c r="B70" s="1165" t="s">
        <v>478</v>
      </c>
      <c r="C70" s="1166"/>
      <c r="D70" s="1157"/>
      <c r="E70" s="3371" t="str">
        <f>IF(SUM('A-R'!E48:E51,'A-R'!G48:G51)&gt;0,"Tier 2","Tier 1")</f>
        <v>Tier 1</v>
      </c>
      <c r="F70" s="3372"/>
      <c r="H70" s="1157"/>
      <c r="I70" s="1216" t="str">
        <f>IF($E70="Tier 1","***","**")</f>
        <v>***</v>
      </c>
      <c r="J70" s="1217" t="str">
        <f t="shared" si="3"/>
        <v>****</v>
      </c>
      <c r="K70" s="1176" t="str">
        <f t="shared" si="4"/>
        <v>**</v>
      </c>
      <c r="L70" s="1180" t="str">
        <f t="shared" si="4"/>
        <v>**</v>
      </c>
      <c r="M70" s="1157"/>
      <c r="N70" s="2876">
        <f t="shared" si="1"/>
        <v>0</v>
      </c>
      <c r="O70" s="2877">
        <f t="shared" si="1"/>
        <v>0</v>
      </c>
      <c r="P70" s="1190"/>
      <c r="Q70" s="1176">
        <f t="shared" si="2"/>
        <v>0</v>
      </c>
      <c r="R70" s="1180">
        <f t="shared" si="2"/>
        <v>0</v>
      </c>
      <c r="U70" s="2876">
        <f t="shared" ref="U70:V70" si="7">IF(I20=0,0,100*ABS(N70/I20))</f>
        <v>0</v>
      </c>
      <c r="V70" s="2877">
        <f t="shared" si="7"/>
        <v>0</v>
      </c>
      <c r="W70" s="1190"/>
      <c r="X70" s="1176">
        <f t="shared" si="6"/>
        <v>0</v>
      </c>
      <c r="Y70" s="1180">
        <f t="shared" si="6"/>
        <v>0</v>
      </c>
    </row>
    <row r="71" spans="2:25" ht="13.8">
      <c r="B71" s="1240" t="s">
        <v>137</v>
      </c>
      <c r="C71" s="1167"/>
      <c r="D71" s="1157"/>
      <c r="E71" s="3343" t="s">
        <v>95</v>
      </c>
      <c r="F71" s="3344"/>
      <c r="H71" s="1157"/>
      <c r="I71" s="1216" t="str">
        <f>IF($E71="Tier 1","***","**")</f>
        <v>***</v>
      </c>
      <c r="J71" s="1217" t="str">
        <f t="shared" si="3"/>
        <v>****</v>
      </c>
      <c r="K71" s="1176" t="str">
        <f t="shared" si="4"/>
        <v>**</v>
      </c>
      <c r="L71" s="1180" t="str">
        <f t="shared" si="4"/>
        <v>**</v>
      </c>
      <c r="M71" s="1157"/>
      <c r="N71" s="2876">
        <f t="shared" si="1"/>
        <v>0</v>
      </c>
      <c r="O71" s="2877">
        <f t="shared" si="1"/>
        <v>0</v>
      </c>
      <c r="P71" s="1190"/>
      <c r="Q71" s="1176">
        <f t="shared" si="2"/>
        <v>0</v>
      </c>
      <c r="R71" s="1180">
        <f t="shared" si="2"/>
        <v>0</v>
      </c>
      <c r="U71" s="2876">
        <f t="shared" ref="U71:V71" si="8">IF(I21=0,0,100*ABS(N71/I21))</f>
        <v>0</v>
      </c>
      <c r="V71" s="2877">
        <f t="shared" si="8"/>
        <v>0</v>
      </c>
      <c r="W71" s="1190"/>
      <c r="X71" s="1176">
        <f t="shared" si="6"/>
        <v>0</v>
      </c>
      <c r="Y71" s="1180">
        <f t="shared" si="6"/>
        <v>0</v>
      </c>
    </row>
    <row r="72" spans="2:25" ht="13.8">
      <c r="B72" s="1168" t="s">
        <v>333</v>
      </c>
      <c r="C72" s="1169"/>
      <c r="D72" s="1157"/>
      <c r="E72" s="1195"/>
      <c r="F72" s="1194"/>
      <c r="H72" s="1157"/>
      <c r="I72" s="1181"/>
      <c r="J72" s="1177"/>
      <c r="K72" s="1177"/>
      <c r="L72" s="1182"/>
      <c r="M72" s="1157"/>
      <c r="N72" s="1181"/>
      <c r="O72" s="1177"/>
      <c r="P72" s="1192"/>
      <c r="Q72" s="1177"/>
      <c r="R72" s="1182"/>
      <c r="U72" s="1181"/>
      <c r="V72" s="1177"/>
      <c r="W72" s="1192"/>
      <c r="X72" s="1177"/>
      <c r="Y72" s="1182"/>
    </row>
    <row r="73" spans="2:25" ht="13.8">
      <c r="B73" s="3365" t="s">
        <v>590</v>
      </c>
      <c r="C73" s="3366"/>
      <c r="D73" s="1157"/>
      <c r="E73" s="3343" t="str">
        <f>IF(SUM(Annual!F13:F22)&gt;0,"Tier 2","Tier 1")</f>
        <v>Tier 1</v>
      </c>
      <c r="F73" s="3344"/>
      <c r="H73" s="1157"/>
      <c r="I73" s="1216" t="str">
        <f>IF($E73="Tier 1","**","*")</f>
        <v>**</v>
      </c>
      <c r="J73" s="1217" t="str">
        <f t="shared" si="3"/>
        <v>****</v>
      </c>
      <c r="K73" s="1176" t="str">
        <f t="shared" si="4"/>
        <v>**</v>
      </c>
      <c r="L73" s="1180" t="str">
        <f t="shared" si="4"/>
        <v>**</v>
      </c>
      <c r="M73" s="1157"/>
      <c r="N73" s="2876">
        <f t="shared" ref="N73:O76" si="9">ABS(IF(I73="*",$N$60,IF(I73="**",$N$61,IF(I73="***",$N$62,$N$63)))*I23/100)</f>
        <v>0</v>
      </c>
      <c r="O73" s="2877">
        <f t="shared" si="9"/>
        <v>0</v>
      </c>
      <c r="P73" s="1190"/>
      <c r="Q73" s="1176">
        <f t="shared" ref="Q73:R77" si="10">ABS(IF(K73="*",$N$60,IF(K73="**",$N$61,IF(K73="***",$N$62,$N$63)))*K23/100)</f>
        <v>0</v>
      </c>
      <c r="R73" s="1180">
        <f t="shared" si="10"/>
        <v>0</v>
      </c>
      <c r="U73" s="2876">
        <f t="shared" ref="U73" si="11">IF(I23=0,0,100*ABS(N73/I23))</f>
        <v>0</v>
      </c>
      <c r="V73" s="2877">
        <f t="shared" ref="V73" si="12">IF(J23=0,0,100*ABS(O73/J23))</f>
        <v>0</v>
      </c>
      <c r="W73" s="1190"/>
      <c r="X73" s="1176">
        <f t="shared" ref="X73" si="13">IF(K23=0,0,100*ABS(Q73/K23))</f>
        <v>0</v>
      </c>
      <c r="Y73" s="1180">
        <f t="shared" ref="Y73" si="14">IF(L23=0,0,100*ABS(R73/L23))</f>
        <v>0</v>
      </c>
    </row>
    <row r="74" spans="2:25" ht="13.8">
      <c r="B74" s="3365" t="s">
        <v>591</v>
      </c>
      <c r="C74" s="3366"/>
      <c r="D74" s="1157"/>
      <c r="E74" s="3343" t="str">
        <f>IF(SUM(Perennial!H10:H23,Perennial!J10:J23,Perennial!M10:M23)&gt;0,"Tier 2","Tier 1")</f>
        <v>Tier 1</v>
      </c>
      <c r="F74" s="3344"/>
      <c r="H74" s="1157"/>
      <c r="I74" s="1216" t="str">
        <f>IF($E74="Tier 1","****","**")</f>
        <v>****</v>
      </c>
      <c r="J74" s="1217" t="str">
        <f t="shared" si="3"/>
        <v>****</v>
      </c>
      <c r="K74" s="1176" t="str">
        <f t="shared" si="4"/>
        <v>**</v>
      </c>
      <c r="L74" s="1180" t="str">
        <f t="shared" si="4"/>
        <v>**</v>
      </c>
      <c r="M74" s="1157"/>
      <c r="N74" s="2876">
        <f t="shared" si="9"/>
        <v>0</v>
      </c>
      <c r="O74" s="2877">
        <f t="shared" si="9"/>
        <v>0</v>
      </c>
      <c r="P74" s="1190"/>
      <c r="Q74" s="1176">
        <f t="shared" si="10"/>
        <v>0</v>
      </c>
      <c r="R74" s="1180">
        <f t="shared" si="10"/>
        <v>0</v>
      </c>
      <c r="U74" s="2876">
        <f t="shared" ref="U74:U76" si="15">IF(I24=0,0,100*ABS(N74/I24))</f>
        <v>0</v>
      </c>
      <c r="V74" s="2877">
        <f t="shared" ref="V74:V77" si="16">IF(J24=0,0,100*ABS(O74/J24))</f>
        <v>0</v>
      </c>
      <c r="W74" s="1190"/>
      <c r="X74" s="1176">
        <f t="shared" ref="X74:X77" si="17">IF(K24=0,0,100*ABS(Q74/K24))</f>
        <v>0</v>
      </c>
      <c r="Y74" s="1180">
        <f t="shared" ref="Y74:Y77" si="18">IF(L24=0,0,100*ABS(R74/L24))</f>
        <v>0</v>
      </c>
    </row>
    <row r="75" spans="2:25" ht="13.8">
      <c r="B75" s="3365" t="s">
        <v>592</v>
      </c>
      <c r="C75" s="3366"/>
      <c r="D75" s="1157"/>
      <c r="E75" s="3343" t="s">
        <v>95</v>
      </c>
      <c r="F75" s="3344"/>
      <c r="I75" s="1216" t="str">
        <f>IF($E75="Tier 1","**","*")</f>
        <v>**</v>
      </c>
      <c r="J75" s="1217" t="s">
        <v>91</v>
      </c>
      <c r="K75" s="1176" t="str">
        <f t="shared" si="4"/>
        <v>**</v>
      </c>
      <c r="L75" s="1180" t="str">
        <f t="shared" si="4"/>
        <v>**</v>
      </c>
      <c r="N75" s="2876">
        <f t="shared" si="9"/>
        <v>0</v>
      </c>
      <c r="O75" s="2877">
        <f t="shared" si="9"/>
        <v>0</v>
      </c>
      <c r="P75" s="1190"/>
      <c r="Q75" s="1176">
        <f t="shared" si="10"/>
        <v>0</v>
      </c>
      <c r="R75" s="1180">
        <f t="shared" si="10"/>
        <v>0</v>
      </c>
      <c r="U75" s="2876">
        <f t="shared" si="15"/>
        <v>0</v>
      </c>
      <c r="V75" s="2877">
        <f t="shared" si="16"/>
        <v>0</v>
      </c>
      <c r="W75" s="1190"/>
      <c r="X75" s="1176">
        <f t="shared" si="17"/>
        <v>0</v>
      </c>
      <c r="Y75" s="1180">
        <f t="shared" si="18"/>
        <v>0</v>
      </c>
    </row>
    <row r="76" spans="2:25" ht="13.8">
      <c r="B76" s="1170" t="s">
        <v>334</v>
      </c>
      <c r="C76" s="1171"/>
      <c r="D76" s="1157"/>
      <c r="E76" s="3343" t="s">
        <v>95</v>
      </c>
      <c r="F76" s="3344"/>
      <c r="I76" s="1216" t="str">
        <f>IF($E76="Tier 1","**","*")</f>
        <v>**</v>
      </c>
      <c r="J76" s="1217" t="str">
        <f t="shared" si="3"/>
        <v>****</v>
      </c>
      <c r="K76" s="1176" t="str">
        <f t="shared" si="4"/>
        <v>**</v>
      </c>
      <c r="L76" s="1180" t="str">
        <f t="shared" si="4"/>
        <v>**</v>
      </c>
      <c r="N76" s="2876">
        <f t="shared" si="9"/>
        <v>0</v>
      </c>
      <c r="O76" s="2877">
        <f t="shared" si="9"/>
        <v>0</v>
      </c>
      <c r="P76" s="1190"/>
      <c r="Q76" s="1176">
        <f t="shared" si="10"/>
        <v>0</v>
      </c>
      <c r="R76" s="1180">
        <f t="shared" si="10"/>
        <v>0</v>
      </c>
      <c r="U76" s="2876">
        <f t="shared" si="15"/>
        <v>0</v>
      </c>
      <c r="V76" s="2877">
        <f t="shared" si="16"/>
        <v>0</v>
      </c>
      <c r="W76" s="1190"/>
      <c r="X76" s="1176">
        <f t="shared" si="17"/>
        <v>0</v>
      </c>
      <c r="Y76" s="1180">
        <f t="shared" si="18"/>
        <v>0</v>
      </c>
    </row>
    <row r="77" spans="2:25" ht="13.8">
      <c r="B77" s="1593" t="s">
        <v>270</v>
      </c>
      <c r="C77" s="1592"/>
      <c r="D77" s="1157"/>
      <c r="E77" s="3343" t="str">
        <f>IF(SUM('Organic Soils'!D12:D15,'Organic Soils'!D22:D23,'Organic Soils'!D30:D31,'Organic Soils'!D39:D40)&gt;0,"Tier 2","Tier 1")</f>
        <v>Tier 1</v>
      </c>
      <c r="F77" s="3344"/>
      <c r="I77" s="1607" t="s">
        <v>275</v>
      </c>
      <c r="J77" s="1217" t="str">
        <f>IF($E77="Tier 1","****","***")</f>
        <v>****</v>
      </c>
      <c r="K77" s="1176" t="str">
        <f>IF($E77="Tier 1","****","***")</f>
        <v>****</v>
      </c>
      <c r="L77" s="1180" t="str">
        <f>IF($E77="Tier 1","****","***")</f>
        <v>****</v>
      </c>
      <c r="N77" s="1608" t="s">
        <v>275</v>
      </c>
      <c r="O77" s="2877">
        <f>ABS(IF(J77="*",$N$60,IF(J77="**",$N$61,IF(J77="***",$N$62,$N$63)))*J27/100)</f>
        <v>0</v>
      </c>
      <c r="P77" s="1190"/>
      <c r="Q77" s="1176">
        <f t="shared" si="10"/>
        <v>0</v>
      </c>
      <c r="R77" s="1180">
        <f t="shared" si="10"/>
        <v>0</v>
      </c>
      <c r="U77" s="1608" t="s">
        <v>275</v>
      </c>
      <c r="V77" s="2877">
        <f t="shared" si="16"/>
        <v>0</v>
      </c>
      <c r="W77" s="1190"/>
      <c r="X77" s="1176">
        <f t="shared" si="17"/>
        <v>0</v>
      </c>
      <c r="Y77" s="1180">
        <f t="shared" si="18"/>
        <v>0</v>
      </c>
    </row>
    <row r="78" spans="2:25">
      <c r="B78" s="1172" t="s">
        <v>477</v>
      </c>
      <c r="C78" s="1173"/>
      <c r="D78" s="1157"/>
      <c r="E78" s="1195"/>
      <c r="F78" s="1194"/>
      <c r="I78" s="3359" t="s">
        <v>53</v>
      </c>
      <c r="J78" s="3360"/>
      <c r="K78" s="1071"/>
      <c r="L78" s="1072"/>
      <c r="N78" s="3359" t="s">
        <v>53</v>
      </c>
      <c r="O78" s="3360"/>
      <c r="P78" s="2079"/>
      <c r="Q78" s="2875"/>
      <c r="R78" s="1072"/>
      <c r="U78" s="3359" t="s">
        <v>53</v>
      </c>
      <c r="V78" s="3360"/>
      <c r="W78" s="2079"/>
      <c r="X78" s="2875">
        <f t="shared" ref="X78:X79" si="19">IF(K28=0,0,100*ABS(Q78/K28))</f>
        <v>0</v>
      </c>
      <c r="Y78" s="1072">
        <f t="shared" ref="Y78:Y79" si="20">IF(L28=0,0,100*ABS(R78/L28))</f>
        <v>0</v>
      </c>
    </row>
    <row r="79" spans="2:25" ht="13.8">
      <c r="B79" s="3341" t="s">
        <v>681</v>
      </c>
      <c r="C79" s="3342"/>
      <c r="D79" s="1157"/>
      <c r="E79" s="3343" t="str">
        <f>IF(SUM(Livestock!D12:D22,Livestock!D40:D50,Livestock!D57:D73)&gt;0,"Tier 2","Tier 1")</f>
        <v>Tier 2</v>
      </c>
      <c r="F79" s="3344"/>
      <c r="I79" s="3393" t="s">
        <v>54</v>
      </c>
      <c r="J79" s="3394"/>
      <c r="K79" s="1176" t="str">
        <f>IF($E79="Tier 1","***","**")</f>
        <v>**</v>
      </c>
      <c r="L79" s="1180" t="str">
        <f>IF($E79="Tier 1","***","**")</f>
        <v>**</v>
      </c>
      <c r="N79" s="3393" t="s">
        <v>54</v>
      </c>
      <c r="O79" s="3394"/>
      <c r="P79" s="21"/>
      <c r="Q79" s="1176">
        <f>ABS(IF(K79="*",$N$60,IF(K79="**",$N$61,IF(K79="***",$N$62,$N$63)))*K29/100)</f>
        <v>0</v>
      </c>
      <c r="R79" s="1180">
        <f>ABS(IF(L79="*",$N$60,IF(L79="**",$N$61,IF(L79="***",$N$62,$N$63)))*L29/100)</f>
        <v>0</v>
      </c>
      <c r="U79" s="3393" t="s">
        <v>54</v>
      </c>
      <c r="V79" s="3394"/>
      <c r="W79" s="21"/>
      <c r="X79" s="1176">
        <f t="shared" si="19"/>
        <v>0</v>
      </c>
      <c r="Y79" s="1180">
        <f t="shared" si="20"/>
        <v>0</v>
      </c>
    </row>
    <row r="80" spans="2:25" ht="13.8">
      <c r="B80" s="3341" t="s">
        <v>682</v>
      </c>
      <c r="C80" s="3342"/>
      <c r="D80" s="1157"/>
      <c r="E80" s="3343" t="str">
        <f>IF(SUM(Inputs!D12:D14,Inputs!D21,Inputs!D28:D32,Inputs!D39:D49)&gt;0,"Tier 2","Tier 1")</f>
        <v>Tier 2</v>
      </c>
      <c r="F80" s="3344"/>
      <c r="I80" s="3395" t="str">
        <f>IF($E80="Tier 1","***","**")</f>
        <v>**</v>
      </c>
      <c r="J80" s="3396"/>
      <c r="K80" s="1176" t="str">
        <f>IF($E80="Tier 1","***","**")</f>
        <v>**</v>
      </c>
      <c r="L80" s="2888" t="s">
        <v>54</v>
      </c>
      <c r="N80" s="3347">
        <f>ABS(IF(I80="*",$N$60,IF(I80="**",$N$61,IF(I80="***",$N$62,$N$63)))*I30/100)</f>
        <v>0</v>
      </c>
      <c r="O80" s="3348"/>
      <c r="P80" s="21"/>
      <c r="Q80" s="1176">
        <f>ABS(IF(K80="*",$N$60,IF(K80="**",$N$61,IF(K80="***",$N$62,$N$63)))*K30/100)</f>
        <v>0</v>
      </c>
      <c r="R80" s="1183" t="s">
        <v>54</v>
      </c>
      <c r="U80" s="3347">
        <f>IF(I30=0,0,100*ABS(N80/I30))</f>
        <v>0</v>
      </c>
      <c r="V80" s="3348"/>
      <c r="W80" s="21"/>
      <c r="X80" s="1176">
        <f>IF(K30=0,0,100*ABS(Q80/K30))</f>
        <v>0</v>
      </c>
      <c r="Y80" s="1183" t="s">
        <v>54</v>
      </c>
    </row>
    <row r="81" spans="2:30" ht="14.4" thickBot="1">
      <c r="B81" s="3349" t="s">
        <v>135</v>
      </c>
      <c r="C81" s="3350"/>
      <c r="D81" s="1157"/>
      <c r="E81" s="3351" t="str">
        <f>IF(SUM('Other investments'!G11,'Other investments'!D37:D38)&gt;0,"Tier 2","Tier 1")</f>
        <v>Tier 2</v>
      </c>
      <c r="F81" s="3352"/>
      <c r="I81" s="3391" t="str">
        <f>IF($E81="Tier 1","***","**")</f>
        <v>**</v>
      </c>
      <c r="J81" s="3392"/>
      <c r="K81" s="2890" t="s">
        <v>54</v>
      </c>
      <c r="L81" s="2889" t="s">
        <v>54</v>
      </c>
      <c r="N81" s="3355">
        <f>ABS(IF(I81="*",$N$60,IF(I81="**",$N$61,IF(I81="***",$N$62,$N$63)))*I31/100)</f>
        <v>0</v>
      </c>
      <c r="O81" s="3356"/>
      <c r="P81" s="1191"/>
      <c r="Q81" s="1184" t="s">
        <v>54</v>
      </c>
      <c r="R81" s="1185" t="s">
        <v>54</v>
      </c>
      <c r="U81" s="3355">
        <f>IF(I31=0,0,100*ABS(N81/I31))</f>
        <v>0</v>
      </c>
      <c r="V81" s="3356"/>
      <c r="W81" s="1191"/>
      <c r="X81" s="1184" t="s">
        <v>54</v>
      </c>
      <c r="Y81" s="1185" t="s">
        <v>54</v>
      </c>
    </row>
    <row r="82" spans="2:30" ht="13.8" thickBot="1">
      <c r="B82" s="1239"/>
      <c r="C82" s="1239"/>
      <c r="D82" s="1157"/>
      <c r="E82" s="1157"/>
      <c r="F82" s="1157"/>
      <c r="I82" s="398"/>
      <c r="J82" s="398"/>
      <c r="N82" s="1926"/>
      <c r="O82" s="1926"/>
      <c r="P82" s="1926"/>
      <c r="Q82" s="1926"/>
      <c r="R82" s="1926"/>
    </row>
    <row r="83" spans="2:30" ht="15.6" thickBot="1">
      <c r="D83" s="398"/>
      <c r="E83" s="398"/>
      <c r="F83" s="1157"/>
      <c r="I83" s="1220" t="s">
        <v>142</v>
      </c>
      <c r="J83" s="1221"/>
      <c r="K83" s="1221"/>
      <c r="L83" s="1221"/>
      <c r="N83" s="2897" t="s">
        <v>110</v>
      </c>
      <c r="O83" s="2898"/>
      <c r="P83" s="2898"/>
      <c r="Q83" s="2898"/>
      <c r="R83" s="2899">
        <f>SUM(N68:R77,N79:R81)</f>
        <v>0</v>
      </c>
      <c r="U83" s="2897" t="s">
        <v>125</v>
      </c>
      <c r="V83" s="2898"/>
      <c r="W83" s="2898"/>
      <c r="X83" s="2898"/>
      <c r="Y83" s="2904" t="str">
        <f>IF(R83=0,"",SUMPRODUCT(N68:R81,U68:Y81)/R83)</f>
        <v/>
      </c>
    </row>
    <row r="86" spans="2:30" ht="13.8" thickBot="1">
      <c r="B86" s="2841" t="s">
        <v>2568</v>
      </c>
    </row>
    <row r="87" spans="2:30">
      <c r="B87" s="2835" t="s">
        <v>331</v>
      </c>
      <c r="C87" s="2836"/>
      <c r="E87" s="1196" t="s">
        <v>107</v>
      </c>
      <c r="F87" s="1193"/>
      <c r="I87" s="3367" t="s">
        <v>336</v>
      </c>
      <c r="J87" s="3368"/>
      <c r="K87" s="1058" t="s">
        <v>338</v>
      </c>
      <c r="L87" s="1059" t="s">
        <v>337</v>
      </c>
      <c r="N87" s="2837" t="s">
        <v>336</v>
      </c>
      <c r="O87" s="2838"/>
      <c r="P87" s="1188"/>
      <c r="Q87" s="1058" t="s">
        <v>338</v>
      </c>
      <c r="R87" s="1059" t="s">
        <v>337</v>
      </c>
      <c r="U87" s="2878" t="s">
        <v>336</v>
      </c>
      <c r="V87" s="2879"/>
      <c r="W87" s="1188"/>
      <c r="X87" s="1058" t="s">
        <v>338</v>
      </c>
      <c r="Y87" s="1059" t="s">
        <v>337</v>
      </c>
    </row>
    <row r="88" spans="2:30" ht="13.8" thickBot="1">
      <c r="B88" s="1080"/>
      <c r="C88" s="1081"/>
      <c r="E88" s="1306"/>
      <c r="F88" s="1194"/>
      <c r="I88" s="1060" t="s">
        <v>550</v>
      </c>
      <c r="J88" s="1061" t="s">
        <v>555</v>
      </c>
      <c r="K88" s="1061"/>
      <c r="L88" s="1062"/>
      <c r="N88" s="1158" t="s">
        <v>550</v>
      </c>
      <c r="O88" s="1159" t="s">
        <v>555</v>
      </c>
      <c r="P88" s="1200"/>
      <c r="Q88" s="1159"/>
      <c r="R88" s="1160"/>
      <c r="U88" s="1158" t="s">
        <v>550</v>
      </c>
      <c r="V88" s="1159" t="s">
        <v>555</v>
      </c>
      <c r="W88" s="1200"/>
      <c r="X88" s="1159"/>
      <c r="Y88" s="1160"/>
    </row>
    <row r="89" spans="2:30" ht="13.8">
      <c r="B89" s="1163" t="s">
        <v>332</v>
      </c>
      <c r="C89" s="1164"/>
      <c r="E89" s="3369" t="str">
        <f>IF(SUM(Deforestation!C69:D72,Deforestation!F69:F72)&gt;0,"Tier 2","Tier 1")</f>
        <v>Tier 1</v>
      </c>
      <c r="F89" s="3370"/>
      <c r="G89" s="924">
        <f>ABS(SUM(I89:L89))</f>
        <v>0</v>
      </c>
      <c r="I89" s="2842">
        <f>Deforestation!AB23</f>
        <v>0</v>
      </c>
      <c r="J89" s="2845">
        <f>Deforestation!AB24</f>
        <v>0</v>
      </c>
      <c r="K89" s="2845">
        <f>Deforestation!AB26</f>
        <v>0</v>
      </c>
      <c r="L89" s="2847">
        <f>Deforestation!AB25</f>
        <v>0</v>
      </c>
      <c r="N89" s="2843">
        <f t="shared" ref="N89:O92" si="21">ABS(IF(I68="*",$N$60,IF(I68="**",$N$61,IF(I68="***",$N$62,$N$63)))*I89/100)</f>
        <v>0</v>
      </c>
      <c r="O89" s="2846">
        <f t="shared" si="21"/>
        <v>0</v>
      </c>
      <c r="P89" s="1189"/>
      <c r="Q89" s="2850">
        <f t="shared" ref="Q89:R91" si="22">ABS(IF(K68="*",$N$60,IF(K68="**",$N$61,IF(K68="***",$N$62,$N$63)))*K89/100)</f>
        <v>0</v>
      </c>
      <c r="R89" s="2895">
        <f t="shared" si="22"/>
        <v>0</v>
      </c>
      <c r="S89" s="55">
        <f>100*IF(G89=0,0,ABS(SUM(N89:R89)/G89))</f>
        <v>0</v>
      </c>
      <c r="U89" s="2843">
        <f>IF(I89=0,0,100*ABS(N89/I89))</f>
        <v>0</v>
      </c>
      <c r="V89" s="2846">
        <f>IF(J89=0,0,100*ABS(O89/J89))</f>
        <v>0</v>
      </c>
      <c r="W89" s="1189"/>
      <c r="X89" s="2850">
        <f>IF(K89=0,0,100*ABS(Q89/K89))</f>
        <v>0</v>
      </c>
      <c r="Y89" s="2895">
        <f>IF(L89=0,0,100*ABS(R89/L89))</f>
        <v>0</v>
      </c>
      <c r="Z89" s="1926"/>
      <c r="AC89" s="80"/>
    </row>
    <row r="90" spans="2:30" ht="13.8">
      <c r="B90" s="1304" t="s">
        <v>201</v>
      </c>
      <c r="C90" s="1305"/>
      <c r="E90" s="3371" t="str">
        <f>IF(SUM('Forest Degradation'!C70:C73)&gt;0,"Tier 2","Tier 1")</f>
        <v>Tier 1</v>
      </c>
      <c r="F90" s="3372"/>
      <c r="G90" s="924">
        <f t="shared" ref="G90:G102" si="23">ABS(SUM(I90:L90))</f>
        <v>0</v>
      </c>
      <c r="I90" s="2851">
        <f>'Forest Degradation'!AB43</f>
        <v>0</v>
      </c>
      <c r="J90" s="2852">
        <f>'Forest Degradation'!AB44</f>
        <v>0</v>
      </c>
      <c r="K90" s="2852">
        <f>'Forest Degradation'!AB45</f>
        <v>0</v>
      </c>
      <c r="L90" s="2853">
        <f>'Forest Degradation'!AB46</f>
        <v>0</v>
      </c>
      <c r="N90" s="2882">
        <f t="shared" si="21"/>
        <v>0</v>
      </c>
      <c r="O90" s="2883">
        <f t="shared" si="21"/>
        <v>0</v>
      </c>
      <c r="P90" s="1190"/>
      <c r="Q90" s="2884">
        <f t="shared" si="22"/>
        <v>0</v>
      </c>
      <c r="R90" s="2885">
        <f t="shared" si="22"/>
        <v>0</v>
      </c>
      <c r="S90" s="55">
        <f t="shared" ref="S90:S102" si="24">100*IF(G90=0,0,ABS(SUM(N90:R90)/G90))</f>
        <v>0</v>
      </c>
      <c r="U90" s="2882">
        <f t="shared" ref="U90:U92" si="25">IF(I90=0,0,100*ABS(N90/I90))</f>
        <v>0</v>
      </c>
      <c r="V90" s="2883">
        <f t="shared" ref="V90:V98" si="26">IF(J90=0,0,100*ABS(O90/J90))</f>
        <v>0</v>
      </c>
      <c r="W90" s="1190"/>
      <c r="X90" s="2884">
        <f t="shared" ref="X90:X98" si="27">IF(K90=0,0,100*ABS(Q90/K90))</f>
        <v>0</v>
      </c>
      <c r="Y90" s="2885">
        <f t="shared" ref="Y90:Y98" si="28">IF(L90=0,0,100*ABS(R90/L90))</f>
        <v>0</v>
      </c>
      <c r="Z90" s="1926"/>
      <c r="AC90" s="80"/>
    </row>
    <row r="91" spans="2:30" ht="13.8">
      <c r="B91" s="1165" t="s">
        <v>478</v>
      </c>
      <c r="C91" s="1166"/>
      <c r="E91" s="3371" t="str">
        <f>IF(SUM('A-R'!E69:E72,'A-R'!G69:G72)&gt;0,"Tier 2","Tier 1")</f>
        <v>Tier 1</v>
      </c>
      <c r="F91" s="3372"/>
      <c r="G91" s="924">
        <f t="shared" si="23"/>
        <v>0</v>
      </c>
      <c r="I91" s="2851">
        <f>'A-R'!U27</f>
        <v>0</v>
      </c>
      <c r="J91" s="2852">
        <f>'A-R'!U28</f>
        <v>0</v>
      </c>
      <c r="K91" s="2852">
        <f>'A-R'!U30</f>
        <v>0</v>
      </c>
      <c r="L91" s="2853">
        <f>'A-R'!U29</f>
        <v>0</v>
      </c>
      <c r="N91" s="2882">
        <f t="shared" si="21"/>
        <v>0</v>
      </c>
      <c r="O91" s="2883">
        <f t="shared" si="21"/>
        <v>0</v>
      </c>
      <c r="P91" s="1190"/>
      <c r="Q91" s="2884">
        <f t="shared" si="22"/>
        <v>0</v>
      </c>
      <c r="R91" s="2885">
        <f t="shared" si="22"/>
        <v>0</v>
      </c>
      <c r="S91" s="55">
        <f t="shared" si="24"/>
        <v>0</v>
      </c>
      <c r="U91" s="2882">
        <f t="shared" si="25"/>
        <v>0</v>
      </c>
      <c r="V91" s="2883">
        <f t="shared" si="26"/>
        <v>0</v>
      </c>
      <c r="W91" s="1190"/>
      <c r="X91" s="2884">
        <f t="shared" si="27"/>
        <v>0</v>
      </c>
      <c r="Y91" s="2885">
        <f t="shared" si="28"/>
        <v>0</v>
      </c>
      <c r="Z91" s="1926"/>
      <c r="AC91" s="80"/>
      <c r="AD91" s="1951"/>
    </row>
    <row r="92" spans="2:30" ht="13.8">
      <c r="B92" s="1240" t="s">
        <v>137</v>
      </c>
      <c r="C92" s="1167"/>
      <c r="E92" s="3343" t="s">
        <v>95</v>
      </c>
      <c r="F92" s="3344"/>
      <c r="G92" s="924">
        <f t="shared" si="23"/>
        <v>0</v>
      </c>
      <c r="I92" s="2851">
        <f>'non Forest LUC'!U12</f>
        <v>0</v>
      </c>
      <c r="J92" s="2852">
        <f>'non Forest LUC'!U13</f>
        <v>0</v>
      </c>
      <c r="K92" s="2852">
        <f>'non Forest LUC'!U15</f>
        <v>0</v>
      </c>
      <c r="L92" s="2853">
        <f>'non Forest LUC'!U14</f>
        <v>0</v>
      </c>
      <c r="N92" s="2882">
        <f t="shared" si="21"/>
        <v>0</v>
      </c>
      <c r="O92" s="2883">
        <f t="shared" si="21"/>
        <v>0</v>
      </c>
      <c r="P92" s="1190"/>
      <c r="Q92" s="2884">
        <f>ABS(IF(K70="*",$N$60,IF(K70="**",$N$61,IF(K70="***",$N$62,$N$63)))*K92/100)</f>
        <v>0</v>
      </c>
      <c r="R92" s="2885">
        <f>ABS(IF(L71="*",$N$60,IF(L71="**",$N$61,IF(L71="***",$N$62,$N$63)))*L92/100)</f>
        <v>0</v>
      </c>
      <c r="S92" s="55">
        <f t="shared" si="24"/>
        <v>0</v>
      </c>
      <c r="U92" s="2882">
        <f t="shared" si="25"/>
        <v>0</v>
      </c>
      <c r="V92" s="2883">
        <f t="shared" si="26"/>
        <v>0</v>
      </c>
      <c r="W92" s="1190"/>
      <c r="X92" s="2884">
        <f t="shared" si="27"/>
        <v>0</v>
      </c>
      <c r="Y92" s="2885">
        <f t="shared" si="28"/>
        <v>0</v>
      </c>
      <c r="Z92" s="1926"/>
      <c r="AC92" s="80"/>
    </row>
    <row r="93" spans="2:30" ht="13.8">
      <c r="B93" s="1168" t="s">
        <v>333</v>
      </c>
      <c r="C93" s="1169"/>
      <c r="E93" s="1195"/>
      <c r="F93" s="1194"/>
      <c r="G93" s="924"/>
      <c r="I93" s="2839"/>
      <c r="J93" s="2840"/>
      <c r="K93" s="2840"/>
      <c r="L93" s="1072"/>
      <c r="N93" s="1181"/>
      <c r="O93" s="1177"/>
      <c r="P93" s="1192"/>
      <c r="Q93" s="1177"/>
      <c r="R93" s="1182"/>
      <c r="S93" s="55"/>
      <c r="U93" s="1181"/>
      <c r="V93" s="1177"/>
      <c r="W93" s="1192"/>
      <c r="X93" s="1177"/>
      <c r="Y93" s="1182"/>
      <c r="Z93" s="1926"/>
      <c r="AC93" s="80"/>
    </row>
    <row r="94" spans="2:30" ht="13.8">
      <c r="B94" s="3365" t="s">
        <v>590</v>
      </c>
      <c r="C94" s="3366"/>
      <c r="E94" s="3343" t="str">
        <f>IF(SUM(Annual!F34:F43)&gt;0,"Tier 2","Tier 1")</f>
        <v>Tier 1</v>
      </c>
      <c r="F94" s="3344"/>
      <c r="G94" s="924">
        <f t="shared" si="23"/>
        <v>0</v>
      </c>
      <c r="I94" s="2851">
        <f>Annual!AR20</f>
        <v>0</v>
      </c>
      <c r="J94" s="2852">
        <f>Annual!AR21</f>
        <v>0</v>
      </c>
      <c r="K94" s="2852">
        <f>Annual!AR23</f>
        <v>0</v>
      </c>
      <c r="L94" s="2853">
        <f>Annual!AR22</f>
        <v>0</v>
      </c>
      <c r="N94" s="2882">
        <f>ABS(IF(I73="*",$N$60,IF(I73="**",$N$61,IF(I73="***",$N$62,$N$63)))*I94/100)</f>
        <v>0</v>
      </c>
      <c r="O94" s="2883">
        <f>ABS(IF(J73="*",$N$60,IF(J73="**",$N$61,IF(J73="***",$N$62,$N$63)))*J94/100)</f>
        <v>0</v>
      </c>
      <c r="P94" s="1190"/>
      <c r="Q94" s="2884">
        <f>ABS(IF(K72="*",$N$60,IF(K72="**",$N$61,IF(K72="***",$N$62,$N$63)))*K94/100)</f>
        <v>0</v>
      </c>
      <c r="R94" s="2885">
        <f>ABS(IF(L73="*",$N$60,IF(L73="**",$N$61,IF(L73="***",$N$62,$N$63)))*L94/100)</f>
        <v>0</v>
      </c>
      <c r="S94" s="55">
        <f t="shared" si="24"/>
        <v>0</v>
      </c>
      <c r="U94" s="2882">
        <f>IF(I94=0,0,100*ABS(N94/I94))</f>
        <v>0</v>
      </c>
      <c r="V94" s="2883">
        <f t="shared" si="26"/>
        <v>0</v>
      </c>
      <c r="W94" s="1190"/>
      <c r="X94" s="2884">
        <f t="shared" si="27"/>
        <v>0</v>
      </c>
      <c r="Y94" s="2885">
        <f t="shared" si="28"/>
        <v>0</v>
      </c>
      <c r="Z94" s="1926"/>
      <c r="AC94" s="80"/>
    </row>
    <row r="95" spans="2:30" ht="13.8">
      <c r="B95" s="3365" t="s">
        <v>591</v>
      </c>
      <c r="C95" s="3366"/>
      <c r="E95" s="3343" t="str">
        <f>IF(SUM(Perennial!H36:H49,Perennial!J36:J49,Perennial!M36:M49)&gt;0,"Tier 2","Tier 1")</f>
        <v>Tier 1</v>
      </c>
      <c r="F95" s="3344"/>
      <c r="G95" s="924">
        <f t="shared" si="23"/>
        <v>0</v>
      </c>
      <c r="I95" s="2851">
        <f>Perennial!AM23</f>
        <v>0</v>
      </c>
      <c r="J95" s="2852">
        <f>Perennial!AM24</f>
        <v>0</v>
      </c>
      <c r="K95" s="2852">
        <f>Perennial!AM26</f>
        <v>0</v>
      </c>
      <c r="L95" s="2853">
        <f>Perennial!AM25</f>
        <v>0</v>
      </c>
      <c r="N95" s="2882">
        <f>ABS(IF(I74="*",$N$60,IF(I74="**",$N$61,IF(I74="***",$N$62,$N$63)))*I95/100)</f>
        <v>0</v>
      </c>
      <c r="O95" s="2883">
        <f t="shared" ref="O95" si="29">ABS(IF(J74="*",$N$60,IF(J74="**",$N$61,IF(J74="***",$N$62,$N$63)))*J95/100)</f>
        <v>0</v>
      </c>
      <c r="P95" s="1190"/>
      <c r="Q95" s="2884">
        <f t="shared" ref="Q95:Q97" si="30">ABS(IF(K73="*",$N$60,IF(K73="**",$N$61,IF(K73="***",$N$62,$N$63)))*K95/100)</f>
        <v>0</v>
      </c>
      <c r="R95" s="2885">
        <f t="shared" ref="R95:R97" si="31">ABS(IF(L74="*",$N$60,IF(L74="**",$N$61,IF(L74="***",$N$62,$N$63)))*L95/100)</f>
        <v>0</v>
      </c>
      <c r="S95" s="55">
        <f t="shared" si="24"/>
        <v>0</v>
      </c>
      <c r="U95" s="2882">
        <f t="shared" ref="U95:U97" si="32">IF(I95=0,0,100*ABS(N95/I95))</f>
        <v>0</v>
      </c>
      <c r="V95" s="2883">
        <f t="shared" si="26"/>
        <v>0</v>
      </c>
      <c r="W95" s="1190"/>
      <c r="X95" s="2884">
        <f t="shared" si="27"/>
        <v>0</v>
      </c>
      <c r="Y95" s="2885">
        <f t="shared" si="28"/>
        <v>0</v>
      </c>
      <c r="Z95" s="1926"/>
      <c r="AC95" s="80"/>
    </row>
    <row r="96" spans="2:30" ht="13.8">
      <c r="B96" s="3365" t="s">
        <v>592</v>
      </c>
      <c r="C96" s="3366"/>
      <c r="E96" s="3343" t="s">
        <v>95</v>
      </c>
      <c r="F96" s="3344"/>
      <c r="G96" s="924">
        <f t="shared" si="23"/>
        <v>0</v>
      </c>
      <c r="I96" s="2851">
        <f>'Irrigated Rice'!AR22</f>
        <v>0</v>
      </c>
      <c r="J96" s="2852">
        <f>'Irrigated Rice'!AR23</f>
        <v>0</v>
      </c>
      <c r="K96" s="2852">
        <f>'Irrigated Rice'!AR25</f>
        <v>0</v>
      </c>
      <c r="L96" s="2853">
        <f>'Irrigated Rice'!AR24</f>
        <v>0</v>
      </c>
      <c r="N96" s="2882">
        <f t="shared" ref="N96:O96" si="33">ABS(IF(I75="*",$N$60,IF(I75="**",$N$61,IF(I75="***",$N$62,$N$63)))*I96/100)</f>
        <v>0</v>
      </c>
      <c r="O96" s="2883">
        <f t="shared" si="33"/>
        <v>0</v>
      </c>
      <c r="P96" s="1190"/>
      <c r="Q96" s="2884">
        <f t="shared" si="30"/>
        <v>0</v>
      </c>
      <c r="R96" s="2885">
        <f t="shared" si="31"/>
        <v>0</v>
      </c>
      <c r="S96" s="55">
        <f t="shared" si="24"/>
        <v>0</v>
      </c>
      <c r="U96" s="2882">
        <f t="shared" si="32"/>
        <v>0</v>
      </c>
      <c r="V96" s="2883">
        <f t="shared" si="26"/>
        <v>0</v>
      </c>
      <c r="W96" s="1190"/>
      <c r="X96" s="2884">
        <f t="shared" si="27"/>
        <v>0</v>
      </c>
      <c r="Y96" s="2885">
        <f t="shared" si="28"/>
        <v>0</v>
      </c>
      <c r="Z96" s="1926"/>
    </row>
    <row r="97" spans="2:26" ht="13.8">
      <c r="B97" s="1170" t="s">
        <v>334</v>
      </c>
      <c r="C97" s="1171"/>
      <c r="E97" s="3343" t="s">
        <v>95</v>
      </c>
      <c r="F97" s="3344"/>
      <c r="G97" s="924">
        <f t="shared" si="23"/>
        <v>0</v>
      </c>
      <c r="I97" s="2851">
        <f>Grass!AR19</f>
        <v>0</v>
      </c>
      <c r="J97" s="2852">
        <f>Grass!AR20</f>
        <v>0</v>
      </c>
      <c r="K97" s="2852">
        <f>Grass!AR22</f>
        <v>0</v>
      </c>
      <c r="L97" s="2853">
        <f>Grass!AR21</f>
        <v>0</v>
      </c>
      <c r="N97" s="2882">
        <f t="shared" ref="N97:O97" si="34">ABS(IF(I76="*",$N$60,IF(I76="**",$N$61,IF(I76="***",$N$62,$N$63)))*I97/100)</f>
        <v>0</v>
      </c>
      <c r="O97" s="2883">
        <f t="shared" si="34"/>
        <v>0</v>
      </c>
      <c r="P97" s="1190"/>
      <c r="Q97" s="2884">
        <f t="shared" si="30"/>
        <v>0</v>
      </c>
      <c r="R97" s="2885">
        <f t="shared" si="31"/>
        <v>0</v>
      </c>
      <c r="S97" s="55">
        <f t="shared" si="24"/>
        <v>0</v>
      </c>
      <c r="U97" s="2882">
        <f t="shared" si="32"/>
        <v>0</v>
      </c>
      <c r="V97" s="2883">
        <f t="shared" si="26"/>
        <v>0</v>
      </c>
      <c r="W97" s="1190"/>
      <c r="X97" s="2884">
        <f t="shared" si="27"/>
        <v>0</v>
      </c>
      <c r="Y97" s="2885">
        <f t="shared" si="28"/>
        <v>0</v>
      </c>
      <c r="Z97" s="1926"/>
    </row>
    <row r="98" spans="2:26" ht="13.8">
      <c r="B98" s="1593" t="s">
        <v>270</v>
      </c>
      <c r="C98" s="1592"/>
      <c r="E98" s="3343" t="str">
        <f>IF(SUM('Organic Soils'!D33:D36,'Organic Soils'!D43:D44,'Organic Soils'!D51:D52,'Organic Soils'!D60:D61)&gt;0,"Tier 2","Tier 1")</f>
        <v>Tier 1</v>
      </c>
      <c r="F98" s="3344"/>
      <c r="G98" s="924">
        <f t="shared" si="23"/>
        <v>0</v>
      </c>
      <c r="I98" s="1606" t="s">
        <v>275</v>
      </c>
      <c r="J98" s="2852">
        <f>'Organic Soils'!P43-K98</f>
        <v>0</v>
      </c>
      <c r="K98" s="2852">
        <f>SUM('Organic Soils'!P39:P40)</f>
        <v>0</v>
      </c>
      <c r="L98" s="2853">
        <v>0</v>
      </c>
      <c r="N98" s="2887" t="s">
        <v>275</v>
      </c>
      <c r="O98" s="2883">
        <f t="shared" ref="O98" si="35">ABS(IF(J77="*",$N$60,IF(J77="**",$N$61,IF(J77="***",$N$62,$N$63)))*J98/100)</f>
        <v>0</v>
      </c>
      <c r="P98" s="1190"/>
      <c r="Q98" s="2884">
        <f t="shared" ref="Q98" si="36">ABS(IF(K76="*",$N$60,IF(K76="**",$N$61,IF(K76="***",$N$62,$N$63)))*K98/100)</f>
        <v>0</v>
      </c>
      <c r="R98" s="2885">
        <f t="shared" ref="R98" si="37">ABS(IF(L77="*",$N$60,IF(L77="**",$N$61,IF(L77="***",$N$62,$N$63)))*L98/100)</f>
        <v>0</v>
      </c>
      <c r="S98" s="55">
        <f t="shared" si="24"/>
        <v>0</v>
      </c>
      <c r="U98" s="2887" t="s">
        <v>275</v>
      </c>
      <c r="V98" s="2883">
        <f t="shared" si="26"/>
        <v>0</v>
      </c>
      <c r="W98" s="1190"/>
      <c r="X98" s="2884">
        <f t="shared" si="27"/>
        <v>0</v>
      </c>
      <c r="Y98" s="2885">
        <f t="shared" si="28"/>
        <v>0</v>
      </c>
      <c r="Z98" s="1926"/>
    </row>
    <row r="99" spans="2:26">
      <c r="B99" s="1172" t="s">
        <v>477</v>
      </c>
      <c r="C99" s="1173"/>
      <c r="E99" s="1195"/>
      <c r="F99" s="1194"/>
      <c r="G99" s="924"/>
      <c r="I99" s="3357" t="s">
        <v>53</v>
      </c>
      <c r="J99" s="3358"/>
      <c r="K99" s="2840"/>
      <c r="L99" s="1072"/>
      <c r="N99" s="3359" t="s">
        <v>53</v>
      </c>
      <c r="O99" s="3360"/>
      <c r="P99" s="2079"/>
      <c r="Q99" s="2875"/>
      <c r="R99" s="1072"/>
      <c r="S99" s="55"/>
      <c r="U99" s="3359" t="s">
        <v>53</v>
      </c>
      <c r="V99" s="3360"/>
      <c r="W99" s="2079"/>
      <c r="X99" s="2875"/>
      <c r="Y99" s="1072"/>
      <c r="Z99" s="1926"/>
    </row>
    <row r="100" spans="2:26" ht="13.8">
      <c r="B100" s="3341" t="s">
        <v>681</v>
      </c>
      <c r="C100" s="3342"/>
      <c r="E100" s="3343" t="str">
        <f>IF(SUM(Livestock!D33:D43,Livestock!D61:D71,Livestock!D78:D94)&gt;0,"Tier 2","Tier 1")</f>
        <v>Tier 2</v>
      </c>
      <c r="F100" s="3344"/>
      <c r="G100" s="924">
        <f t="shared" si="23"/>
        <v>0</v>
      </c>
      <c r="I100" s="3361" t="s">
        <v>54</v>
      </c>
      <c r="J100" s="3362"/>
      <c r="K100" s="2852">
        <f>Livestock!AM98</f>
        <v>0</v>
      </c>
      <c r="L100" s="2853">
        <f>Livestock!AM97</f>
        <v>0</v>
      </c>
      <c r="N100" s="3363" t="s">
        <v>275</v>
      </c>
      <c r="O100" s="3364"/>
      <c r="P100" s="1190"/>
      <c r="Q100" s="2884">
        <f>ABS(IF(K79="*",$N$60,IF(K79="**",$N$61,IF(K79="***",$N$62,$N$63)))*K100/100)</f>
        <v>0</v>
      </c>
      <c r="R100" s="2885">
        <f>ABS(IF(L79="*",$N$60,IF(L79="**",$N$61,IF(L79="***",$N$62,$N$63)))*L100/100)</f>
        <v>0</v>
      </c>
      <c r="S100" s="55">
        <f t="shared" si="24"/>
        <v>0</v>
      </c>
      <c r="U100" s="3363" t="s">
        <v>275</v>
      </c>
      <c r="V100" s="3364"/>
      <c r="W100" s="1190"/>
      <c r="X100" s="2884">
        <f t="shared" ref="X100" si="38">IF(K100=0,0,100*ABS(Q100/K100))</f>
        <v>0</v>
      </c>
      <c r="Y100" s="2885">
        <f t="shared" ref="Y100" si="39">IF(L100=0,0,100*ABS(R100/L100))</f>
        <v>0</v>
      </c>
      <c r="Z100" s="1926"/>
    </row>
    <row r="101" spans="2:26" ht="13.8">
      <c r="B101" s="3341" t="s">
        <v>682</v>
      </c>
      <c r="C101" s="3342"/>
      <c r="E101" s="3343" t="str">
        <f>IF(SUM(Inputs!D33:D35,Inputs!D42,Inputs!D49:D53,Inputs!D60:D70)&gt;0,"Tier 2","Tier 1")</f>
        <v>Tier 2</v>
      </c>
      <c r="F101" s="3344"/>
      <c r="G101" s="924">
        <f t="shared" si="23"/>
        <v>0</v>
      </c>
      <c r="I101" s="3345">
        <f>Inputs!Q15+Inputs!Q22+Inputs!Q50</f>
        <v>0</v>
      </c>
      <c r="J101" s="3346"/>
      <c r="K101" s="2852">
        <f>Inputs!Q33</f>
        <v>0</v>
      </c>
      <c r="L101" s="2891" t="s">
        <v>54</v>
      </c>
      <c r="N101" s="3347">
        <f>ABS(IF(I80="*",$N$60,IF(I80="**",$N$61,IF(I80="***",$N$62,$N$63)))*I101/100)</f>
        <v>0</v>
      </c>
      <c r="O101" s="3348"/>
      <c r="P101" s="21"/>
      <c r="Q101" s="2884">
        <f>ABS(IF(K80="*",$N$60,IF(K80="**",$N$61,IF(K80="***",$N$62,$N$63)))*K101/100)</f>
        <v>0</v>
      </c>
      <c r="R101" s="2891" t="s">
        <v>54</v>
      </c>
      <c r="S101" s="55">
        <f t="shared" si="24"/>
        <v>0</v>
      </c>
      <c r="U101" s="3347">
        <f>IF(I101=0,0,100*ABS(N101/I101))</f>
        <v>0</v>
      </c>
      <c r="V101" s="3348"/>
      <c r="W101" s="21"/>
      <c r="X101" s="2884">
        <f>IF(K101=0,0,100*ABS(Q101/K101))</f>
        <v>0</v>
      </c>
      <c r="Y101" s="2891" t="s">
        <v>54</v>
      </c>
      <c r="Z101" s="1926"/>
    </row>
    <row r="102" spans="2:26" ht="14.4" thickBot="1">
      <c r="B102" s="3349" t="s">
        <v>135</v>
      </c>
      <c r="C102" s="3350"/>
      <c r="E102" s="3351" t="str">
        <f>IF(SUM('Other investments'!G32,'Other investments'!D58:D59)&gt;0,"Tier 2","Tier 1")</f>
        <v>Tier 1</v>
      </c>
      <c r="F102" s="3352"/>
      <c r="G102" s="924">
        <f t="shared" si="23"/>
        <v>0</v>
      </c>
      <c r="I102" s="3353">
        <f>'Other investments'!F75</f>
        <v>0</v>
      </c>
      <c r="J102" s="3354"/>
      <c r="K102" s="2893" t="s">
        <v>54</v>
      </c>
      <c r="L102" s="2892" t="s">
        <v>54</v>
      </c>
      <c r="N102" s="3355">
        <f>ABS(IF(I81="*",$N$60,IF(I81="**",$N$61,IF(I81="***",$N$62,$N$63)))*I102/100)</f>
        <v>0</v>
      </c>
      <c r="O102" s="3356"/>
      <c r="P102" s="2894"/>
      <c r="Q102" s="2893" t="s">
        <v>54</v>
      </c>
      <c r="R102" s="2892" t="s">
        <v>54</v>
      </c>
      <c r="S102" s="55">
        <f t="shared" si="24"/>
        <v>0</v>
      </c>
      <c r="U102" s="3355">
        <f>IF(I102=0,0,100*ABS(N102/I102))</f>
        <v>0</v>
      </c>
      <c r="V102" s="3356"/>
      <c r="W102" s="2894"/>
      <c r="X102" s="2893" t="s">
        <v>54</v>
      </c>
      <c r="Y102" s="2892" t="s">
        <v>54</v>
      </c>
      <c r="Z102" s="1926"/>
    </row>
    <row r="103" spans="2:26" ht="15.6" thickBot="1">
      <c r="G103" s="80"/>
      <c r="I103" s="2901" t="s">
        <v>278</v>
      </c>
      <c r="J103" s="2902"/>
      <c r="K103" s="2902"/>
      <c r="L103" s="2903">
        <f>SUM(I89:L102)</f>
        <v>0</v>
      </c>
      <c r="N103" s="2897" t="s">
        <v>110</v>
      </c>
      <c r="O103" s="2898"/>
      <c r="P103" s="2898"/>
      <c r="Q103" s="2898"/>
      <c r="R103" s="2899">
        <f>SUM(N89:R98,N100:R102)</f>
        <v>0</v>
      </c>
      <c r="S103" s="55" t="e">
        <f>SUMPRODUCT(G89:G102,S89:S102)/SUM(G89:G102)</f>
        <v>#DIV/0!</v>
      </c>
      <c r="U103" s="1222" t="s">
        <v>125</v>
      </c>
      <c r="V103" s="1223"/>
      <c r="W103" s="1223"/>
      <c r="X103" s="1223"/>
      <c r="Y103" s="2900" t="str">
        <f>IF(R103=0,"",SUMPRODUCT(N89:R102,U89:Y102)/R103)</f>
        <v/>
      </c>
      <c r="Z103" s="80"/>
    </row>
    <row r="104" spans="2:26" ht="13.8" thickBot="1">
      <c r="B104" s="2841" t="s">
        <v>2569</v>
      </c>
      <c r="C104" s="1926"/>
      <c r="D104" s="1926"/>
      <c r="E104" s="1926"/>
      <c r="F104" s="1926"/>
      <c r="G104" s="1926"/>
      <c r="H104" s="1926"/>
      <c r="I104" s="1926"/>
      <c r="J104" s="1926"/>
      <c r="K104" s="1926"/>
      <c r="L104" s="1926"/>
      <c r="M104" s="1926"/>
      <c r="N104" s="1926"/>
      <c r="O104" s="1926"/>
      <c r="P104" s="1926"/>
      <c r="Q104" s="1926"/>
      <c r="R104" s="1926"/>
    </row>
    <row r="105" spans="2:26">
      <c r="B105" s="2835" t="s">
        <v>331</v>
      </c>
      <c r="C105" s="2836"/>
      <c r="D105" s="1926"/>
      <c r="E105" s="1196" t="s">
        <v>107</v>
      </c>
      <c r="F105" s="1193"/>
      <c r="G105" s="1926"/>
      <c r="H105" s="1926"/>
      <c r="I105" s="3367" t="s">
        <v>336</v>
      </c>
      <c r="J105" s="3368"/>
      <c r="K105" s="1058" t="s">
        <v>338</v>
      </c>
      <c r="L105" s="1059" t="s">
        <v>337</v>
      </c>
      <c r="M105" s="1926"/>
      <c r="N105" s="2837" t="s">
        <v>336</v>
      </c>
      <c r="O105" s="2838"/>
      <c r="P105" s="1188"/>
      <c r="Q105" s="1058" t="s">
        <v>338</v>
      </c>
      <c r="R105" s="1059" t="s">
        <v>337</v>
      </c>
      <c r="U105" s="2878" t="s">
        <v>336</v>
      </c>
      <c r="V105" s="2879"/>
      <c r="W105" s="1188"/>
      <c r="X105" s="1058" t="s">
        <v>338</v>
      </c>
      <c r="Y105" s="1059" t="s">
        <v>337</v>
      </c>
    </row>
    <row r="106" spans="2:26" ht="13.8" thickBot="1">
      <c r="B106" s="1080"/>
      <c r="C106" s="1081"/>
      <c r="D106" s="1926"/>
      <c r="E106" s="1306"/>
      <c r="F106" s="1194"/>
      <c r="G106" s="1926"/>
      <c r="H106" s="1926"/>
      <c r="I106" s="1060" t="s">
        <v>550</v>
      </c>
      <c r="J106" s="1061" t="s">
        <v>555</v>
      </c>
      <c r="K106" s="1061"/>
      <c r="L106" s="1062"/>
      <c r="M106" s="1926"/>
      <c r="N106" s="1158" t="s">
        <v>550</v>
      </c>
      <c r="O106" s="1159" t="s">
        <v>555</v>
      </c>
      <c r="P106" s="1200"/>
      <c r="Q106" s="1159"/>
      <c r="R106" s="1160"/>
      <c r="U106" s="1158" t="s">
        <v>550</v>
      </c>
      <c r="V106" s="1159" t="s">
        <v>555</v>
      </c>
      <c r="W106" s="1200"/>
      <c r="X106" s="1159"/>
      <c r="Y106" s="1160"/>
    </row>
    <row r="107" spans="2:26" ht="13.8">
      <c r="B107" s="1163" t="s">
        <v>332</v>
      </c>
      <c r="C107" s="1164"/>
      <c r="D107" s="1926"/>
      <c r="E107" s="3369" t="str">
        <f>IF(SUM(Deforestation!C87:D90,Deforestation!F87:F90)&gt;0,"Tier 2","Tier 1")</f>
        <v>Tier 1</v>
      </c>
      <c r="F107" s="3370"/>
      <c r="G107" s="924">
        <f>ABS(SUM(I107:L107))</f>
        <v>0</v>
      </c>
      <c r="H107" s="1926"/>
      <c r="I107" s="2842">
        <f>Deforestation!AC23</f>
        <v>0</v>
      </c>
      <c r="J107" s="2845">
        <f>Deforestation!AC24</f>
        <v>0</v>
      </c>
      <c r="K107" s="2845">
        <f>Deforestation!AC26</f>
        <v>0</v>
      </c>
      <c r="L107" s="2847">
        <f>Deforestation!AC25</f>
        <v>0</v>
      </c>
      <c r="M107" s="1926"/>
      <c r="N107" s="2843">
        <f>ABS(IF(I68="*",$N$60,IF(I68="**",$N$61,IF(I68="***",$N$62,$N$63)))*I107/100)</f>
        <v>0</v>
      </c>
      <c r="O107" s="2846">
        <f t="shared" ref="N107:O109" si="40">ABS(IF(J68="*",$N$60,IF(J68="**",$N$61,IF(J68="***",$N$62,$N$63)))*J107/100)</f>
        <v>0</v>
      </c>
      <c r="P107" s="1189"/>
      <c r="Q107" s="2850">
        <f t="shared" ref="Q107:R109" si="41">ABS(IF(K68="*",$N$60,IF(K68="**",$N$61,IF(K68="***",$N$62,$N$63)))*K107/100)</f>
        <v>0</v>
      </c>
      <c r="R107" s="2895">
        <f t="shared" si="41"/>
        <v>0</v>
      </c>
      <c r="S107" s="55">
        <f>100*IF(G107=0,0,ABS(SUM(N107:R107)/G107))</f>
        <v>0</v>
      </c>
      <c r="U107" s="2843">
        <f>IF(I107=0,0,100*ABS(N107/I107))</f>
        <v>0</v>
      </c>
      <c r="V107" s="2846">
        <f>IF(J107=0,0,100*ABS(O107/J107))</f>
        <v>0</v>
      </c>
      <c r="W107" s="1189"/>
      <c r="X107" s="2850">
        <f>IF(K107=0,0,100*ABS(Q107/K107))</f>
        <v>0</v>
      </c>
      <c r="Y107" s="2895">
        <f>IF(L107=0,0,100*ABS(R107/L107))</f>
        <v>0</v>
      </c>
    </row>
    <row r="108" spans="2:26" ht="13.8">
      <c r="B108" s="1304" t="s">
        <v>201</v>
      </c>
      <c r="C108" s="1305"/>
      <c r="D108" s="1926"/>
      <c r="E108" s="3371" t="str">
        <f>IF(SUM('Forest Degradation'!C88:C91)&gt;0,"Tier 2","Tier 1")</f>
        <v>Tier 1</v>
      </c>
      <c r="F108" s="3372"/>
      <c r="G108" s="924">
        <f t="shared" ref="G108:G120" si="42">ABS(SUM(I108:L108))</f>
        <v>0</v>
      </c>
      <c r="H108" s="1926"/>
      <c r="I108" s="2851">
        <f>'Forest Degradation'!AC43</f>
        <v>0</v>
      </c>
      <c r="J108" s="2852">
        <f>'Forest Degradation'!AC44</f>
        <v>0</v>
      </c>
      <c r="K108" s="2852">
        <f>'Forest Degradation'!AC45</f>
        <v>0</v>
      </c>
      <c r="L108" s="2853">
        <f>'Forest Degradation'!AC46</f>
        <v>0</v>
      </c>
      <c r="M108" s="1926"/>
      <c r="N108" s="2882">
        <f t="shared" si="40"/>
        <v>0</v>
      </c>
      <c r="O108" s="2883">
        <f t="shared" si="40"/>
        <v>0</v>
      </c>
      <c r="P108" s="1190"/>
      <c r="Q108" s="2884">
        <f t="shared" si="41"/>
        <v>0</v>
      </c>
      <c r="R108" s="2885">
        <f t="shared" si="41"/>
        <v>0</v>
      </c>
      <c r="S108" s="55">
        <f t="shared" ref="S108:S120" si="43">100*IF(G108=0,0,ABS(SUM(N108:R108)/G108))</f>
        <v>0</v>
      </c>
      <c r="U108" s="2882">
        <f t="shared" ref="U108:U110" si="44">IF(I108=0,0,100*ABS(N108/I108))</f>
        <v>0</v>
      </c>
      <c r="V108" s="2883">
        <f t="shared" ref="V108:V110" si="45">IF(J108=0,0,100*ABS(O108/J108))</f>
        <v>0</v>
      </c>
      <c r="W108" s="1190"/>
      <c r="X108" s="2884">
        <f t="shared" ref="X108:X110" si="46">IF(K108=0,0,100*ABS(Q108/K108))</f>
        <v>0</v>
      </c>
      <c r="Y108" s="2885">
        <f t="shared" ref="Y108:Y110" si="47">IF(L108=0,0,100*ABS(R108/L108))</f>
        <v>0</v>
      </c>
    </row>
    <row r="109" spans="2:26" ht="13.8">
      <c r="B109" s="1165" t="s">
        <v>478</v>
      </c>
      <c r="C109" s="1166"/>
      <c r="D109" s="1926"/>
      <c r="E109" s="3371" t="str">
        <f>IF(SUM('A-R'!E87:E90,'A-R'!G87:G90)&gt;0,"Tier 2","Tier 1")</f>
        <v>Tier 1</v>
      </c>
      <c r="F109" s="3372"/>
      <c r="G109" s="924">
        <f t="shared" si="42"/>
        <v>0</v>
      </c>
      <c r="H109" s="1926"/>
      <c r="I109" s="2851">
        <f>'A-R'!V27</f>
        <v>0</v>
      </c>
      <c r="J109" s="2852">
        <f>'A-R'!V28</f>
        <v>0</v>
      </c>
      <c r="K109" s="2852">
        <f>'A-R'!V30</f>
        <v>0</v>
      </c>
      <c r="L109" s="2853">
        <f>'A-R'!V29</f>
        <v>0</v>
      </c>
      <c r="M109" s="1926"/>
      <c r="N109" s="2882">
        <f t="shared" si="40"/>
        <v>0</v>
      </c>
      <c r="O109" s="2883">
        <f t="shared" si="40"/>
        <v>0</v>
      </c>
      <c r="P109" s="1190"/>
      <c r="Q109" s="2884">
        <f t="shared" si="41"/>
        <v>0</v>
      </c>
      <c r="R109" s="2885">
        <f t="shared" si="41"/>
        <v>0</v>
      </c>
      <c r="S109" s="55">
        <f t="shared" si="43"/>
        <v>0</v>
      </c>
      <c r="U109" s="2882">
        <f t="shared" si="44"/>
        <v>0</v>
      </c>
      <c r="V109" s="2883">
        <f t="shared" si="45"/>
        <v>0</v>
      </c>
      <c r="W109" s="1190"/>
      <c r="X109" s="2884">
        <f t="shared" si="46"/>
        <v>0</v>
      </c>
      <c r="Y109" s="2885">
        <f t="shared" si="47"/>
        <v>0</v>
      </c>
    </row>
    <row r="110" spans="2:26" ht="13.8">
      <c r="B110" s="1240" t="s">
        <v>137</v>
      </c>
      <c r="C110" s="1167"/>
      <c r="D110" s="1926"/>
      <c r="E110" s="3343" t="s">
        <v>95</v>
      </c>
      <c r="F110" s="3344"/>
      <c r="G110" s="924">
        <f t="shared" si="42"/>
        <v>0</v>
      </c>
      <c r="H110" s="1926"/>
      <c r="I110" s="2851">
        <f>'non Forest LUC'!V12</f>
        <v>0</v>
      </c>
      <c r="J110" s="2852">
        <f>'non Forest LUC'!V13</f>
        <v>0</v>
      </c>
      <c r="K110" s="2852">
        <f>'non Forest LUC'!V15</f>
        <v>0</v>
      </c>
      <c r="L110" s="2853">
        <f>'non Forest LUC'!V14</f>
        <v>0</v>
      </c>
      <c r="M110" s="1926"/>
      <c r="N110" s="2882">
        <f>ABS(IF(I71="*",$N$60,IF(I71="**",$N$61,IF(I71="***",$N$62,$N$63)))*I110/100)</f>
        <v>0</v>
      </c>
      <c r="O110" s="2883">
        <f>ABS(IF(J71="*",$N$60,IF(J71="**",$N$61,IF(J71="***",$N$62,$N$63)))*J110/100)</f>
        <v>0</v>
      </c>
      <c r="P110" s="2896">
        <f t="shared" ref="P110" si="48">ABS(IF(K71="*",$N$60,IF(K71="**",$N$61,IF(K71="***",$N$62,$N$63)))*K110/100)</f>
        <v>0</v>
      </c>
      <c r="Q110" s="2884">
        <f>ABS(IF(K71="*",$N$60,IF(K71="**",$N$61,IF(K71="***",$N$62,$N$63)))*K110/100)</f>
        <v>0</v>
      </c>
      <c r="R110" s="2885">
        <f>ABS(IF(L71="*",$N$60,IF(L71="**",$N$61,IF(L71="***",$N$62,$N$63)))*L110/100)</f>
        <v>0</v>
      </c>
      <c r="S110" s="55">
        <f t="shared" si="43"/>
        <v>0</v>
      </c>
      <c r="U110" s="2882">
        <f t="shared" si="44"/>
        <v>0</v>
      </c>
      <c r="V110" s="2883">
        <f t="shared" si="45"/>
        <v>0</v>
      </c>
      <c r="W110" s="1190"/>
      <c r="X110" s="2884">
        <f t="shared" si="46"/>
        <v>0</v>
      </c>
      <c r="Y110" s="2885">
        <f t="shared" si="47"/>
        <v>0</v>
      </c>
    </row>
    <row r="111" spans="2:26" ht="13.8">
      <c r="B111" s="1168" t="s">
        <v>333</v>
      </c>
      <c r="C111" s="1169"/>
      <c r="D111" s="1926"/>
      <c r="E111" s="1195"/>
      <c r="F111" s="1194"/>
      <c r="G111" s="924"/>
      <c r="H111" s="1926"/>
      <c r="I111" s="2839"/>
      <c r="J111" s="2840"/>
      <c r="K111" s="2840"/>
      <c r="L111" s="1072"/>
      <c r="M111" s="1926"/>
      <c r="N111" s="1181"/>
      <c r="O111" s="1177"/>
      <c r="P111" s="1192"/>
      <c r="Q111" s="1177"/>
      <c r="R111" s="1182"/>
      <c r="S111" s="55"/>
      <c r="U111" s="1181"/>
      <c r="V111" s="1177"/>
      <c r="W111" s="1192"/>
      <c r="X111" s="1177"/>
      <c r="Y111" s="1182"/>
    </row>
    <row r="112" spans="2:26" ht="13.8">
      <c r="B112" s="3365" t="s">
        <v>590</v>
      </c>
      <c r="C112" s="3366"/>
      <c r="D112" s="1926"/>
      <c r="E112" s="3343" t="str">
        <f>IF(SUM(Annual!F52:F61)&gt;0,"Tier 2","Tier 1")</f>
        <v>Tier 1</v>
      </c>
      <c r="F112" s="3344"/>
      <c r="G112" s="924">
        <f t="shared" si="42"/>
        <v>0</v>
      </c>
      <c r="H112" s="1926"/>
      <c r="I112" s="2851">
        <f>Annual!AS20</f>
        <v>0</v>
      </c>
      <c r="J112" s="2852">
        <f>Annual!AS21</f>
        <v>0</v>
      </c>
      <c r="K112" s="2852">
        <f>Annual!AS23</f>
        <v>0</v>
      </c>
      <c r="L112" s="2853">
        <f>Annual!AS22</f>
        <v>0</v>
      </c>
      <c r="M112" s="1926"/>
      <c r="N112" s="2882">
        <f>ABS(IF(I73="*",$N$60,IF(I73="**",$N$61,IF(I73="***",$N$62,$N$63)))*I112/100)</f>
        <v>0</v>
      </c>
      <c r="O112" s="2883">
        <f>ABS(IF(J73="*",$N$60,IF(J73="**",$N$61,IF(J73="***",$N$62,$N$63)))*J112/100)</f>
        <v>0</v>
      </c>
      <c r="P112" s="1190"/>
      <c r="Q112" s="2884">
        <f>ABS(IF(K73="*",$N$60,IF(K73="**",$N$61,IF(K73="***",$N$62,$N$63)))*K112/100)</f>
        <v>0</v>
      </c>
      <c r="R112" s="2885">
        <f>ABS(IF(L73="*",$N$60,IF(L73="**",$N$61,IF(L73="***",$N$62,$N$63)))*L112/100)</f>
        <v>0</v>
      </c>
      <c r="S112" s="55">
        <f t="shared" si="43"/>
        <v>0</v>
      </c>
      <c r="U112" s="2882">
        <f>IF(I112=0,0,100*ABS(N112/I112))</f>
        <v>0</v>
      </c>
      <c r="V112" s="2883">
        <f t="shared" ref="V112:V116" si="49">IF(J112=0,0,100*ABS(O112/J112))</f>
        <v>0</v>
      </c>
      <c r="W112" s="1190"/>
      <c r="X112" s="2884">
        <f t="shared" ref="X112:X116" si="50">IF(K112=0,0,100*ABS(Q112/K112))</f>
        <v>0</v>
      </c>
      <c r="Y112" s="2885">
        <f t="shared" ref="Y112:Y116" si="51">IF(L112=0,0,100*ABS(R112/L112))</f>
        <v>0</v>
      </c>
    </row>
    <row r="113" spans="2:25" ht="13.8">
      <c r="B113" s="3365" t="s">
        <v>591</v>
      </c>
      <c r="C113" s="3366"/>
      <c r="D113" s="1926"/>
      <c r="E113" s="3343" t="str">
        <f>IF(SUM(Perennial!H59:H67,Perennial!J59:J67,Perennial!M59:M67)&gt;0,"Tier 2","Tier 1")</f>
        <v>Tier 1</v>
      </c>
      <c r="F113" s="3344"/>
      <c r="G113" s="924">
        <f t="shared" si="42"/>
        <v>0</v>
      </c>
      <c r="H113" s="1926"/>
      <c r="I113" s="2851">
        <f>Perennial!AN23</f>
        <v>0</v>
      </c>
      <c r="J113" s="2852">
        <f>Perennial!AN24</f>
        <v>0</v>
      </c>
      <c r="K113" s="2852">
        <f>Perennial!AN26</f>
        <v>0</v>
      </c>
      <c r="L113" s="2853">
        <f>Perennial!AN25</f>
        <v>0</v>
      </c>
      <c r="M113" s="1926"/>
      <c r="N113" s="2882">
        <f t="shared" ref="N113:O113" si="52">ABS(IF(I74="*",$N$60,IF(I74="**",$N$61,IF(I74="***",$N$62,$N$63)))*I113/100)</f>
        <v>0</v>
      </c>
      <c r="O113" s="2883">
        <f t="shared" si="52"/>
        <v>0</v>
      </c>
      <c r="P113" s="1190"/>
      <c r="Q113" s="2884">
        <f t="shared" ref="Q113:R113" si="53">ABS(IF(K74="*",$N$60,IF(K74="**",$N$61,IF(K74="***",$N$62,$N$63)))*K113/100)</f>
        <v>0</v>
      </c>
      <c r="R113" s="2885">
        <f t="shared" si="53"/>
        <v>0</v>
      </c>
      <c r="S113" s="55">
        <f t="shared" si="43"/>
        <v>0</v>
      </c>
      <c r="U113" s="2882">
        <f t="shared" ref="U113:U115" si="54">IF(I113=0,0,100*ABS(N113/I113))</f>
        <v>0</v>
      </c>
      <c r="V113" s="2883">
        <f t="shared" si="49"/>
        <v>0</v>
      </c>
      <c r="W113" s="1190"/>
      <c r="X113" s="2884">
        <f t="shared" si="50"/>
        <v>0</v>
      </c>
      <c r="Y113" s="2885">
        <f t="shared" si="51"/>
        <v>0</v>
      </c>
    </row>
    <row r="114" spans="2:25" ht="13.8">
      <c r="B114" s="3365" t="s">
        <v>592</v>
      </c>
      <c r="C114" s="3366"/>
      <c r="D114" s="1926"/>
      <c r="E114" s="3343" t="s">
        <v>95</v>
      </c>
      <c r="F114" s="3344"/>
      <c r="G114" s="924">
        <f t="shared" si="42"/>
        <v>0</v>
      </c>
      <c r="H114" s="1926"/>
      <c r="I114" s="2851">
        <f>'Irrigated Rice'!AS22</f>
        <v>0</v>
      </c>
      <c r="J114" s="2852">
        <f>'Irrigated Rice'!AS23</f>
        <v>0</v>
      </c>
      <c r="K114" s="2852">
        <f>'Irrigated Rice'!AS25</f>
        <v>0</v>
      </c>
      <c r="L114" s="2853">
        <f>'Irrigated Rice'!AS24</f>
        <v>0</v>
      </c>
      <c r="M114" s="1926"/>
      <c r="N114" s="2882">
        <f t="shared" ref="N114:O114" si="55">ABS(IF(I75="*",$N$60,IF(I75="**",$N$61,IF(I75="***",$N$62,$N$63)))*I114/100)</f>
        <v>0</v>
      </c>
      <c r="O114" s="2883">
        <f t="shared" si="55"/>
        <v>0</v>
      </c>
      <c r="P114" s="1190"/>
      <c r="Q114" s="2884">
        <f t="shared" ref="Q114" si="56">ABS(IF(K75="*",$N$60,IF(K75="**",$N$61,IF(K75="***",$N$62,$N$63)))*K114/100)</f>
        <v>0</v>
      </c>
      <c r="R114" s="2885">
        <f>ABS(IF(L75="*",$N$60,IF(L75="**",$N$61,IF(L75="***",$N$62,$N$63)))*L114/100)</f>
        <v>0</v>
      </c>
      <c r="S114" s="55">
        <f t="shared" si="43"/>
        <v>0</v>
      </c>
      <c r="U114" s="2882">
        <f t="shared" si="54"/>
        <v>0</v>
      </c>
      <c r="V114" s="2883">
        <f t="shared" si="49"/>
        <v>0</v>
      </c>
      <c r="W114" s="1190"/>
      <c r="X114" s="2884">
        <f t="shared" si="50"/>
        <v>0</v>
      </c>
      <c r="Y114" s="2885">
        <f t="shared" si="51"/>
        <v>0</v>
      </c>
    </row>
    <row r="115" spans="2:25" ht="13.8">
      <c r="B115" s="1170" t="s">
        <v>334</v>
      </c>
      <c r="C115" s="1171"/>
      <c r="D115" s="1926"/>
      <c r="E115" s="3343" t="s">
        <v>95</v>
      </c>
      <c r="F115" s="3344"/>
      <c r="G115" s="924">
        <f t="shared" si="42"/>
        <v>0</v>
      </c>
      <c r="H115" s="1926"/>
      <c r="I115" s="2851">
        <f>Grass!AS19</f>
        <v>0</v>
      </c>
      <c r="J115" s="2852">
        <f>Grass!AS20</f>
        <v>0</v>
      </c>
      <c r="K115" s="2852">
        <f>Grass!AS22</f>
        <v>0</v>
      </c>
      <c r="L115" s="2853">
        <f>Grass!AS21</f>
        <v>0</v>
      </c>
      <c r="M115" s="1926"/>
      <c r="N115" s="2882">
        <f>ABS(IF(I76="*",$N$60,IF(I76="**",$N$61,IF(I76="***",$N$62,$N$63)))*I115/100)</f>
        <v>0</v>
      </c>
      <c r="O115" s="2883">
        <f t="shared" ref="O115" si="57">ABS(IF(J76="*",$N$60,IF(J76="**",$N$61,IF(J76="***",$N$62,$N$63)))*J115/100)</f>
        <v>0</v>
      </c>
      <c r="P115" s="1190"/>
      <c r="Q115" s="2884">
        <f t="shared" ref="Q115:R115" si="58">ABS(IF(K76="*",$N$60,IF(K76="**",$N$61,IF(K76="***",$N$62,$N$63)))*K115/100)</f>
        <v>0</v>
      </c>
      <c r="R115" s="2885">
        <f t="shared" si="58"/>
        <v>0</v>
      </c>
      <c r="S115" s="55">
        <f t="shared" si="43"/>
        <v>0</v>
      </c>
      <c r="U115" s="2882">
        <f t="shared" si="54"/>
        <v>0</v>
      </c>
      <c r="V115" s="2883">
        <f t="shared" si="49"/>
        <v>0</v>
      </c>
      <c r="W115" s="1190"/>
      <c r="X115" s="2884">
        <f t="shared" si="50"/>
        <v>0</v>
      </c>
      <c r="Y115" s="2885">
        <f t="shared" si="51"/>
        <v>0</v>
      </c>
    </row>
    <row r="116" spans="2:25" ht="13.8">
      <c r="B116" s="1593" t="s">
        <v>270</v>
      </c>
      <c r="C116" s="1592"/>
      <c r="D116" s="1926"/>
      <c r="E116" s="3343" t="str">
        <f>IF(SUM('Organic Soils'!D51:D54,'Organic Soils'!D61:D62,'Organic Soils'!D69:D70,'Organic Soils'!D78:D79)&gt;0,"Tier 2","Tier 1")</f>
        <v>Tier 1</v>
      </c>
      <c r="F116" s="3344"/>
      <c r="G116" s="924">
        <f t="shared" si="42"/>
        <v>0</v>
      </c>
      <c r="H116" s="1926"/>
      <c r="I116" s="1606" t="s">
        <v>275</v>
      </c>
      <c r="J116" s="2852">
        <f>'Organic Soils'!Q43-BALANCE!K116</f>
        <v>0</v>
      </c>
      <c r="K116" s="2852">
        <f>SUM('Organic Soils'!Q39:Q40)</f>
        <v>0</v>
      </c>
      <c r="L116" s="2853">
        <v>0</v>
      </c>
      <c r="M116" s="1926"/>
      <c r="N116" s="2887" t="s">
        <v>275</v>
      </c>
      <c r="O116" s="2883">
        <f t="shared" ref="O116" si="59">ABS(IF(J77="*",$N$60,IF(J77="**",$N$61,IF(J77="***",$N$62,$N$63)))*J116/100)</f>
        <v>0</v>
      </c>
      <c r="P116" s="1190"/>
      <c r="Q116" s="2884">
        <f t="shared" ref="Q116:R116" si="60">ABS(IF(K77="*",$N$60,IF(K77="**",$N$61,IF(K77="***",$N$62,$N$63)))*K116/100)</f>
        <v>0</v>
      </c>
      <c r="R116" s="2885">
        <f t="shared" si="60"/>
        <v>0</v>
      </c>
      <c r="S116" s="55">
        <f t="shared" si="43"/>
        <v>0</v>
      </c>
      <c r="U116" s="2887" t="s">
        <v>275</v>
      </c>
      <c r="V116" s="2883">
        <f t="shared" si="49"/>
        <v>0</v>
      </c>
      <c r="W116" s="1190"/>
      <c r="X116" s="2884">
        <f t="shared" si="50"/>
        <v>0</v>
      </c>
      <c r="Y116" s="2885">
        <f t="shared" si="51"/>
        <v>0</v>
      </c>
    </row>
    <row r="117" spans="2:25" ht="13.8">
      <c r="B117" s="1172" t="s">
        <v>477</v>
      </c>
      <c r="C117" s="1173"/>
      <c r="D117" s="1926"/>
      <c r="E117" s="1195"/>
      <c r="F117" s="1194"/>
      <c r="G117" s="924"/>
      <c r="H117" s="1926"/>
      <c r="I117" s="3357" t="s">
        <v>53</v>
      </c>
      <c r="J117" s="3358"/>
      <c r="K117" s="2840"/>
      <c r="L117" s="1072"/>
      <c r="M117" s="1926"/>
      <c r="N117" s="3359" t="s">
        <v>53</v>
      </c>
      <c r="O117" s="3360"/>
      <c r="P117" s="2079"/>
      <c r="Q117" s="2884">
        <f t="shared" ref="Q117:Q118" si="61">ABS(IF(K78="*",$N$60,IF(K78="**",$N$61,IF(K78="***",$N$62,$N$63)))*K117/100)</f>
        <v>0</v>
      </c>
      <c r="R117" s="2885">
        <f t="shared" ref="R117" si="62">ABS(IF(L78="*",$N$60,IF(L78="**",$N$61,IF(L78="***",$N$62,$N$63)))*L117/100)</f>
        <v>0</v>
      </c>
      <c r="S117" s="55"/>
      <c r="U117" s="3359" t="s">
        <v>53</v>
      </c>
      <c r="V117" s="3360"/>
      <c r="W117" s="2079"/>
      <c r="X117" s="2875"/>
      <c r="Y117" s="1072"/>
    </row>
    <row r="118" spans="2:25" ht="13.8">
      <c r="B118" s="3341" t="s">
        <v>681</v>
      </c>
      <c r="C118" s="3342"/>
      <c r="D118" s="1926"/>
      <c r="E118" s="3343" t="str">
        <f>IF(SUM(Livestock!D51:D61,Livestock!D79:D89,Livestock!D96:D112)&gt;0,"Tier 2","Tier 1")</f>
        <v>Tier 2</v>
      </c>
      <c r="F118" s="3344"/>
      <c r="G118" s="924">
        <f t="shared" si="42"/>
        <v>0</v>
      </c>
      <c r="H118" s="1926"/>
      <c r="I118" s="3361" t="s">
        <v>54</v>
      </c>
      <c r="J118" s="3362"/>
      <c r="K118" s="2852">
        <f>Livestock!AN98</f>
        <v>0</v>
      </c>
      <c r="L118" s="2853">
        <f>Livestock!AN97</f>
        <v>0</v>
      </c>
      <c r="M118" s="1926"/>
      <c r="N118" s="3363" t="s">
        <v>54</v>
      </c>
      <c r="O118" s="3364"/>
      <c r="P118" s="1190"/>
      <c r="Q118" s="2884">
        <f t="shared" si="61"/>
        <v>0</v>
      </c>
      <c r="R118" s="2885">
        <f>ABS(IF(L79="*",$N$60,IF(L79="**",$N$61,IF(L79="***",$N$62,$N$63)))*L118/100)</f>
        <v>0</v>
      </c>
      <c r="S118" s="55">
        <f t="shared" si="43"/>
        <v>0</v>
      </c>
      <c r="U118" s="3363" t="s">
        <v>275</v>
      </c>
      <c r="V118" s="3364"/>
      <c r="W118" s="1190"/>
      <c r="X118" s="2884">
        <f t="shared" ref="X118" si="63">IF(K118=0,0,100*ABS(Q118/K118))</f>
        <v>0</v>
      </c>
      <c r="Y118" s="2885">
        <f t="shared" ref="Y118" si="64">IF(L118=0,0,100*ABS(R118/L118))</f>
        <v>0</v>
      </c>
    </row>
    <row r="119" spans="2:25" ht="13.8">
      <c r="B119" s="3341" t="s">
        <v>682</v>
      </c>
      <c r="C119" s="3342"/>
      <c r="D119" s="1926"/>
      <c r="E119" s="3343" t="str">
        <f>IF(SUM(Inputs!D51:D53,Inputs!D60,Inputs!D67:D71,Inputs!D78:D88)&gt;0,"Tier 2","Tier 1")</f>
        <v>Tier 1</v>
      </c>
      <c r="F119" s="3344"/>
      <c r="G119" s="924">
        <f t="shared" si="42"/>
        <v>0</v>
      </c>
      <c r="H119" s="1926"/>
      <c r="I119" s="3345">
        <f>Inputs!R15+Inputs!R22+Inputs!R50</f>
        <v>0</v>
      </c>
      <c r="J119" s="3346"/>
      <c r="K119" s="2852">
        <f>Inputs!R33</f>
        <v>0</v>
      </c>
      <c r="L119" s="2891" t="s">
        <v>54</v>
      </c>
      <c r="M119" s="1926"/>
      <c r="N119" s="3347">
        <f>ABS(IF(I80="*",$N$60,IF(I80="**",$N$61,IF(I80="***",$N$62,$N$63)))*I119/100)</f>
        <v>0</v>
      </c>
      <c r="O119" s="3348"/>
      <c r="P119" s="21"/>
      <c r="Q119" s="2884">
        <f>ABS(IF(K80="*",$N$60,IF(K80="**",$N$61,IF(K80="***",$N$62,$N$63)))*K119/100)</f>
        <v>0</v>
      </c>
      <c r="R119" s="2891" t="s">
        <v>54</v>
      </c>
      <c r="S119" s="55">
        <f t="shared" si="43"/>
        <v>0</v>
      </c>
      <c r="T119" s="1926"/>
      <c r="U119" s="3347">
        <f>IF(I119=0,0,100*ABS(N119/I119))</f>
        <v>0</v>
      </c>
      <c r="V119" s="3348"/>
      <c r="W119" s="21"/>
      <c r="X119" s="2884">
        <f>IF(K119=0,0,100*ABS(Q119/K119))</f>
        <v>0</v>
      </c>
      <c r="Y119" s="2891" t="s">
        <v>54</v>
      </c>
    </row>
    <row r="120" spans="2:25" ht="14.4" thickBot="1">
      <c r="B120" s="3349" t="s">
        <v>135</v>
      </c>
      <c r="C120" s="3350"/>
      <c r="D120" s="1926"/>
      <c r="E120" s="3351" t="str">
        <f>IF(SUM('Other investments'!G50,'Other investments'!D76:D77)&gt;0,"Tier 2","Tier 1")</f>
        <v>Tier 1</v>
      </c>
      <c r="F120" s="3352"/>
      <c r="G120" s="924">
        <f t="shared" si="42"/>
        <v>0</v>
      </c>
      <c r="H120" s="1926"/>
      <c r="I120" s="3353">
        <f>'Other investments'!H75</f>
        <v>0</v>
      </c>
      <c r="J120" s="3354"/>
      <c r="K120" s="2893" t="s">
        <v>54</v>
      </c>
      <c r="L120" s="2892" t="s">
        <v>54</v>
      </c>
      <c r="M120" s="1926"/>
      <c r="N120" s="3355">
        <f>ABS(IF(I81="*",$N$60,IF(I81="**",$N$61,IF(I81="***",$N$62,$N$63)))*I120/100)</f>
        <v>0</v>
      </c>
      <c r="O120" s="3356"/>
      <c r="P120" s="2894"/>
      <c r="Q120" s="2893" t="s">
        <v>54</v>
      </c>
      <c r="R120" s="2892" t="s">
        <v>54</v>
      </c>
      <c r="S120" s="55">
        <f t="shared" si="43"/>
        <v>0</v>
      </c>
      <c r="T120" s="1926"/>
      <c r="U120" s="3355">
        <f>IF(I120=0,0,100*ABS(N120/I120))</f>
        <v>0</v>
      </c>
      <c r="V120" s="3356"/>
      <c r="W120" s="2894"/>
      <c r="X120" s="2893" t="s">
        <v>54</v>
      </c>
      <c r="Y120" s="2892" t="s">
        <v>54</v>
      </c>
    </row>
    <row r="121" spans="2:25" ht="15.6" thickBot="1">
      <c r="I121" s="2901" t="s">
        <v>4681</v>
      </c>
      <c r="J121" s="2902"/>
      <c r="K121" s="2902"/>
      <c r="L121" s="2903">
        <f>SUM(I107:L120)</f>
        <v>0</v>
      </c>
      <c r="N121" s="2897" t="s">
        <v>110</v>
      </c>
      <c r="O121" s="2898"/>
      <c r="P121" s="2898"/>
      <c r="Q121" s="2898"/>
      <c r="R121" s="2899">
        <f>SUM(N107:R116,N118:R120)</f>
        <v>0</v>
      </c>
      <c r="S121" s="55" t="e">
        <f>SUMPRODUCT(G107:G120,S107:S120)/SUM(G107:G120)</f>
        <v>#DIV/0!</v>
      </c>
      <c r="U121" s="1222" t="s">
        <v>125</v>
      </c>
      <c r="V121" s="1223"/>
      <c r="W121" s="1223"/>
      <c r="X121" s="1223"/>
      <c r="Y121" s="2900" t="str">
        <f>IF(R121=0,"",SUMPRODUCT(N107:R120,U107:Y120)/R121)</f>
        <v/>
      </c>
    </row>
  </sheetData>
  <sheetProtection formatCells="0" formatColumns="0" formatRows="0"/>
  <mergeCells count="117">
    <mergeCell ref="U118:V118"/>
    <mergeCell ref="U119:V119"/>
    <mergeCell ref="U120:V120"/>
    <mergeCell ref="U99:V99"/>
    <mergeCell ref="U100:V100"/>
    <mergeCell ref="U101:V101"/>
    <mergeCell ref="U102:V102"/>
    <mergeCell ref="U78:V78"/>
    <mergeCell ref="U79:V79"/>
    <mergeCell ref="U80:V80"/>
    <mergeCell ref="U81:V81"/>
    <mergeCell ref="U117:V117"/>
    <mergeCell ref="B31:C31"/>
    <mergeCell ref="E76:F76"/>
    <mergeCell ref="E79:F79"/>
    <mergeCell ref="E54:R58"/>
    <mergeCell ref="B26:C26"/>
    <mergeCell ref="E75:F75"/>
    <mergeCell ref="E69:F69"/>
    <mergeCell ref="I78:J78"/>
    <mergeCell ref="I31:J31"/>
    <mergeCell ref="E68:F68"/>
    <mergeCell ref="E70:F70"/>
    <mergeCell ref="E71:F71"/>
    <mergeCell ref="E73:F73"/>
    <mergeCell ref="E74:F74"/>
    <mergeCell ref="E77:F77"/>
    <mergeCell ref="N6:O6"/>
    <mergeCell ref="N7:O7"/>
    <mergeCell ref="N11:O11"/>
    <mergeCell ref="I81:J81"/>
    <mergeCell ref="N78:O78"/>
    <mergeCell ref="N79:O79"/>
    <mergeCell ref="N80:O80"/>
    <mergeCell ref="E81:F81"/>
    <mergeCell ref="N81:O81"/>
    <mergeCell ref="I79:J79"/>
    <mergeCell ref="I80:J80"/>
    <mergeCell ref="E80:F80"/>
    <mergeCell ref="B81:C81"/>
    <mergeCell ref="B79:C79"/>
    <mergeCell ref="B73:C73"/>
    <mergeCell ref="B74:C74"/>
    <mergeCell ref="B75:C75"/>
    <mergeCell ref="B80:C80"/>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N99:O99"/>
    <mergeCell ref="N100:O100"/>
    <mergeCell ref="N101:O101"/>
    <mergeCell ref="N102:O102"/>
    <mergeCell ref="I87:J87"/>
    <mergeCell ref="I99:J99"/>
    <mergeCell ref="I100:J100"/>
    <mergeCell ref="I101:J101"/>
    <mergeCell ref="I102:J102"/>
    <mergeCell ref="B102:C102"/>
    <mergeCell ref="E89:F89"/>
    <mergeCell ref="E90:F90"/>
    <mergeCell ref="E91:F91"/>
    <mergeCell ref="E92:F92"/>
    <mergeCell ref="E94:F94"/>
    <mergeCell ref="E95:F95"/>
    <mergeCell ref="E96:F96"/>
    <mergeCell ref="E97:F97"/>
    <mergeCell ref="E98:F98"/>
    <mergeCell ref="E100:F100"/>
    <mergeCell ref="E101:F101"/>
    <mergeCell ref="E102:F102"/>
    <mergeCell ref="B94:C94"/>
    <mergeCell ref="B95:C95"/>
    <mergeCell ref="B96:C96"/>
    <mergeCell ref="B100:C100"/>
    <mergeCell ref="B101:C101"/>
    <mergeCell ref="B112:C112"/>
    <mergeCell ref="E112:F112"/>
    <mergeCell ref="B113:C113"/>
    <mergeCell ref="E113:F113"/>
    <mergeCell ref="B114:C114"/>
    <mergeCell ref="E114:F114"/>
    <mergeCell ref="I105:J105"/>
    <mergeCell ref="E107:F107"/>
    <mergeCell ref="E108:F108"/>
    <mergeCell ref="E109:F109"/>
    <mergeCell ref="E110:F110"/>
    <mergeCell ref="B119:C119"/>
    <mergeCell ref="E119:F119"/>
    <mergeCell ref="I119:J119"/>
    <mergeCell ref="N119:O119"/>
    <mergeCell ref="B120:C120"/>
    <mergeCell ref="E120:F120"/>
    <mergeCell ref="I120:J120"/>
    <mergeCell ref="N120:O120"/>
    <mergeCell ref="E115:F115"/>
    <mergeCell ref="E116:F116"/>
    <mergeCell ref="I117:J117"/>
    <mergeCell ref="N117:O117"/>
    <mergeCell ref="B118:C118"/>
    <mergeCell ref="E118:F118"/>
    <mergeCell ref="I118:J118"/>
    <mergeCell ref="N118:O118"/>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8" location="Deforestation!A1" display="Deforestation "/>
    <hyperlink ref="B70" location="'A-R'!A1" display="Afforestation and Reforestation"/>
    <hyperlink ref="B76" location="Grass!A1" display="Grassland"/>
    <hyperlink ref="B75" location="Rice!A1" display="Rice "/>
    <hyperlink ref="B74" location="Perennial!A1" display="Agroforestry/Perennial Crops"/>
    <hyperlink ref="B73" location="Annual!A1" display=" Annual Crops"/>
    <hyperlink ref="B79" location="Livestock!A1" display="From Livestock"/>
    <hyperlink ref="B81" location="'Other investments'!A1" display="Other Investments"/>
    <hyperlink ref="B71" location="'non Forest LUC'!A1" display="Other Land Use Change"/>
    <hyperlink ref="B31:C31" location="'Other investments'!A1" display="Other Investment"/>
    <hyperlink ref="B80" location="Inputs!A1" display="From Inputs"/>
    <hyperlink ref="B21:C21" location="'non Forest LUC'!A1" display="Other Land Use Change"/>
    <hyperlink ref="B25:C25" location="'Irrigated Rice'!A1" display="Irrigated Rice "/>
    <hyperlink ref="B19" location="'Forest Degradation'!A1" display="Forest Degradation"/>
    <hyperlink ref="B69" location="'Forest Degradation'!A1" display="Forest Degradation"/>
    <hyperlink ref="B89" location="Deforestation!A1" display="Deforestation "/>
    <hyperlink ref="B91" location="'A-R'!A1" display="Afforestation and Reforestation"/>
    <hyperlink ref="B97" location="Grass!A1" display="Grassland"/>
    <hyperlink ref="B96" location="Rice!A1" display="Rice "/>
    <hyperlink ref="B95" location="Perennial!A1" display="Agroforestry/Perennial Crops"/>
    <hyperlink ref="B94" location="Annual!A1" display=" Annual Crops"/>
    <hyperlink ref="B100" location="Livestock!A1" display="From Livestock"/>
    <hyperlink ref="B102" location="'Other investments'!A1" display="Other Investments"/>
    <hyperlink ref="B92" location="'non Forest LUC'!A1" display="Other Land Use Change"/>
    <hyperlink ref="B101" location="Inputs!A1" display="From Inputs"/>
    <hyperlink ref="B90" location="'Forest Degradation'!A1" display="Forest Degradation"/>
    <hyperlink ref="B107" location="Deforestation!A1" display="Deforestation "/>
    <hyperlink ref="B109" location="'A-R'!A1" display="Afforestation and Reforestation"/>
    <hyperlink ref="B115" location="Grass!A1" display="Grassland"/>
    <hyperlink ref="B114" location="Rice!A1" display="Rice "/>
    <hyperlink ref="B113" location="Perennial!A1" display="Agroforestry/Perennial Crops"/>
    <hyperlink ref="B112" location="Annual!A1" display=" Annual Crops"/>
    <hyperlink ref="B118" location="Livestock!A1" display="From Livestock"/>
    <hyperlink ref="B120" location="'Other investments'!A1" display="Other Investments"/>
    <hyperlink ref="B110" location="'non Forest LUC'!A1" display="Other Land Use Change"/>
    <hyperlink ref="B119" location="Inputs!A1" display="From Inputs"/>
    <hyperlink ref="B108" location="'Forest Degradation'!A1" display="Forest Degradation"/>
  </hyperlinks>
  <pageMargins left="0.28000000000000003" right="0.27" top="0.4" bottom="0.52" header="0.24" footer="0.33"/>
  <pageSetup paperSize="9" orientation="landscape" r:id="rId1"/>
  <headerFooter alignWithMargins="0"/>
  <ignoredErrors>
    <ignoredError sqref="E69:E70 E68" formulaRange="1"/>
    <ignoredError sqref="I74 J73:J74 J76"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pageSetUpPr fitToPage="1"/>
  </sheetPr>
  <dimension ref="A1:IU438"/>
  <sheetViews>
    <sheetView zoomScale="80" zoomScaleNormal="80" workbookViewId="0">
      <pane ySplit="5" topLeftCell="A6" activePane="bottomLeft" state="frozen"/>
      <selection activeCell="J14" sqref="J14"/>
      <selection pane="bottomLeft" activeCell="S12" sqref="S12"/>
    </sheetView>
  </sheetViews>
  <sheetFormatPr baseColWidth="10" defaultColWidth="11.44140625" defaultRowHeight="12.75" customHeight="1"/>
  <cols>
    <col min="1" max="10" width="11.44140625" style="233"/>
    <col min="11" max="11" width="3.5546875" style="233" customWidth="1"/>
    <col min="12" max="12" width="19.88671875" style="233" customWidth="1"/>
    <col min="13" max="13" width="16.109375" style="233" customWidth="1"/>
    <col min="14" max="14" width="10.44140625" style="233" customWidth="1"/>
    <col min="15" max="15" width="19.44140625" style="233" customWidth="1"/>
    <col min="16" max="17" width="14.6640625" style="233" customWidth="1"/>
    <col min="18" max="16384" width="11.44140625" style="233"/>
  </cols>
  <sheetData>
    <row r="1" spans="1:255" s="2289" customFormat="1" ht="22.95" customHeight="1"/>
    <row r="2" spans="1:255" s="2289" customFormat="1" ht="22.95" customHeight="1"/>
    <row r="3" spans="1:255" s="2289" customFormat="1" ht="22.95" customHeight="1"/>
    <row r="4" spans="1:255" s="2289" customFormat="1" ht="22.95" customHeight="1"/>
    <row r="5" spans="1:255" s="2289" customFormat="1" ht="22.95" customHeight="1">
      <c r="A5" s="2784" t="str">
        <f>HLOOKUP(select,translations!$B$436:$H$450,2,)</f>
        <v xml:space="preserve"> </v>
      </c>
      <c r="B5" s="2771"/>
      <c r="C5" s="2771"/>
      <c r="E5" s="2771"/>
      <c r="F5" s="2771"/>
      <c r="G5" s="2771"/>
      <c r="I5" s="2771"/>
      <c r="J5" s="2771"/>
      <c r="K5" s="2771"/>
      <c r="M5" s="2771"/>
      <c r="N5" s="2771"/>
      <c r="O5" s="2771"/>
      <c r="Q5" s="3403"/>
      <c r="R5" s="3403"/>
      <c r="S5" s="3403"/>
      <c r="U5" s="3403"/>
      <c r="V5" s="3403"/>
      <c r="W5" s="3403"/>
      <c r="Y5" s="3403"/>
      <c r="Z5" s="3403"/>
      <c r="AA5" s="3403"/>
      <c r="AC5" s="3403"/>
      <c r="AD5" s="3403"/>
      <c r="AE5" s="3403"/>
      <c r="AG5" s="3403"/>
      <c r="AH5" s="3403"/>
      <c r="AI5" s="3403"/>
      <c r="AK5" s="3403"/>
      <c r="AL5" s="3403"/>
      <c r="AM5" s="3403"/>
      <c r="AO5" s="3403"/>
      <c r="AP5" s="3403"/>
      <c r="AQ5" s="3403"/>
      <c r="AS5" s="3403"/>
      <c r="AT5" s="3403"/>
      <c r="AU5" s="3403"/>
      <c r="AW5" s="3403"/>
      <c r="AX5" s="3403"/>
      <c r="AY5" s="3403"/>
      <c r="BA5" s="3403"/>
      <c r="BB5" s="3403"/>
      <c r="BC5" s="3403"/>
      <c r="BE5" s="3403"/>
      <c r="BF5" s="3403"/>
      <c r="BG5" s="3403"/>
      <c r="BI5" s="3403"/>
      <c r="BJ5" s="3403"/>
      <c r="BK5" s="3403"/>
      <c r="BM5" s="3403"/>
      <c r="BN5" s="3403"/>
      <c r="BO5" s="3403"/>
      <c r="BQ5" s="3403"/>
      <c r="BR5" s="3403"/>
      <c r="BS5" s="3403"/>
      <c r="BU5" s="3403"/>
      <c r="BV5" s="3403"/>
      <c r="BW5" s="3403"/>
      <c r="BY5" s="3403"/>
      <c r="BZ5" s="3403"/>
      <c r="CA5" s="3403"/>
      <c r="CC5" s="3403"/>
      <c r="CD5" s="3403"/>
      <c r="CE5" s="3403"/>
      <c r="CG5" s="3403"/>
      <c r="CH5" s="3403"/>
      <c r="CI5" s="3403"/>
      <c r="CK5" s="3403"/>
      <c r="CL5" s="3403"/>
      <c r="CM5" s="3403"/>
      <c r="CO5" s="3403"/>
      <c r="CP5" s="3403"/>
      <c r="CQ5" s="3403"/>
      <c r="CS5" s="3403"/>
      <c r="CT5" s="3403"/>
      <c r="CU5" s="3403"/>
      <c r="CW5" s="3403"/>
      <c r="CX5" s="3403"/>
      <c r="CY5" s="3403"/>
      <c r="DA5" s="3403"/>
      <c r="DB5" s="3403"/>
      <c r="DC5" s="3403"/>
      <c r="DE5" s="3403"/>
      <c r="DF5" s="3403"/>
      <c r="DG5" s="3403"/>
      <c r="DI5" s="3403"/>
      <c r="DJ5" s="3403"/>
      <c r="DK5" s="3403"/>
      <c r="DM5" s="3403"/>
      <c r="DN5" s="3403"/>
      <c r="DO5" s="3403"/>
      <c r="DQ5" s="3403"/>
      <c r="DR5" s="3403"/>
      <c r="DS5" s="3403"/>
      <c r="DU5" s="3403"/>
      <c r="DV5" s="3403"/>
      <c r="DW5" s="3403"/>
      <c r="DY5" s="3403"/>
      <c r="DZ5" s="3403"/>
      <c r="EA5" s="3403"/>
      <c r="EC5" s="3403"/>
      <c r="ED5" s="3403"/>
      <c r="EE5" s="3403"/>
      <c r="EG5" s="3403"/>
      <c r="EH5" s="3403"/>
      <c r="EI5" s="3403"/>
      <c r="EK5" s="3403"/>
      <c r="EL5" s="3403"/>
      <c r="EM5" s="3403"/>
      <c r="EO5" s="3403"/>
      <c r="EP5" s="3403"/>
      <c r="EQ5" s="3403"/>
      <c r="ES5" s="3403"/>
      <c r="ET5" s="3403"/>
      <c r="EU5" s="3403"/>
      <c r="EW5" s="3403"/>
      <c r="EX5" s="3403"/>
      <c r="EY5" s="3403"/>
      <c r="FA5" s="3403"/>
      <c r="FB5" s="3403"/>
      <c r="FC5" s="3403"/>
      <c r="FE5" s="3403"/>
      <c r="FF5" s="3403"/>
      <c r="FG5" s="3403"/>
      <c r="FI5" s="3403"/>
      <c r="FJ5" s="3403"/>
      <c r="FK5" s="3403"/>
      <c r="FM5" s="3403"/>
      <c r="FN5" s="3403"/>
      <c r="FO5" s="3403"/>
      <c r="FQ5" s="3403"/>
      <c r="FR5" s="3403"/>
      <c r="FS5" s="3403"/>
      <c r="FU5" s="3403"/>
      <c r="FV5" s="3403"/>
      <c r="FW5" s="3403"/>
      <c r="FY5" s="3403"/>
      <c r="FZ5" s="3403"/>
      <c r="GA5" s="3403"/>
      <c r="GC5" s="3403"/>
      <c r="GD5" s="3403"/>
      <c r="GE5" s="3403"/>
      <c r="GG5" s="3403"/>
      <c r="GH5" s="3403"/>
      <c r="GI5" s="3403"/>
      <c r="GK5" s="3403"/>
      <c r="GL5" s="3403"/>
      <c r="GM5" s="3403"/>
      <c r="GO5" s="3403"/>
      <c r="GP5" s="3403"/>
      <c r="GQ5" s="3403"/>
      <c r="GS5" s="3403"/>
      <c r="GT5" s="3403"/>
      <c r="GU5" s="3403"/>
      <c r="GW5" s="3403"/>
      <c r="GX5" s="3403"/>
      <c r="GY5" s="3403"/>
      <c r="HA5" s="3403"/>
      <c r="HB5" s="3403"/>
      <c r="HC5" s="3403"/>
      <c r="HE5" s="3403"/>
      <c r="HF5" s="3403"/>
      <c r="HG5" s="3403"/>
      <c r="HI5" s="3403"/>
      <c r="HJ5" s="3403"/>
      <c r="HK5" s="3403"/>
      <c r="HM5" s="3403"/>
      <c r="HN5" s="3403"/>
      <c r="HO5" s="3403"/>
      <c r="HQ5" s="3403"/>
      <c r="HR5" s="3403"/>
      <c r="HS5" s="3403"/>
      <c r="HU5" s="3403"/>
      <c r="HV5" s="3403"/>
      <c r="HW5" s="3403"/>
      <c r="HY5" s="3403"/>
      <c r="HZ5" s="3403"/>
      <c r="IA5" s="3403"/>
      <c r="IC5" s="3403"/>
      <c r="ID5" s="3403"/>
      <c r="IE5" s="3403"/>
      <c r="IG5" s="3403"/>
      <c r="IH5" s="3403"/>
      <c r="II5" s="3403"/>
      <c r="IK5" s="3403"/>
      <c r="IL5" s="3403"/>
      <c r="IM5" s="3403"/>
      <c r="IO5" s="3403"/>
      <c r="IP5" s="3403"/>
      <c r="IQ5" s="3403"/>
      <c r="IS5" s="3403"/>
      <c r="IT5" s="3403"/>
      <c r="IU5" s="3403"/>
    </row>
    <row r="6" spans="1:255" s="2144" customFormat="1" ht="9.6" customHeight="1">
      <c r="A6" s="2791"/>
      <c r="B6" s="2792"/>
      <c r="C6" s="2792"/>
      <c r="E6" s="2792"/>
      <c r="F6" s="2792"/>
      <c r="G6" s="2792"/>
      <c r="I6" s="2792"/>
      <c r="J6" s="2792"/>
      <c r="K6" s="2792"/>
      <c r="M6" s="2792"/>
      <c r="N6" s="2792"/>
      <c r="O6" s="2792"/>
      <c r="Q6" s="2793"/>
      <c r="R6" s="2793"/>
      <c r="S6" s="2793"/>
      <c r="U6" s="2793"/>
      <c r="V6" s="2793"/>
      <c r="W6" s="2793"/>
      <c r="Y6" s="2793"/>
      <c r="Z6" s="2793"/>
      <c r="AA6" s="2793"/>
      <c r="AC6" s="2793"/>
      <c r="AD6" s="2793"/>
      <c r="AE6" s="2793"/>
      <c r="AG6" s="2793"/>
      <c r="AH6" s="2793"/>
      <c r="AI6" s="2793"/>
      <c r="AK6" s="2793"/>
      <c r="AL6" s="2793"/>
      <c r="AM6" s="2793"/>
      <c r="AO6" s="2793"/>
      <c r="AP6" s="2793"/>
      <c r="AQ6" s="2793"/>
      <c r="AS6" s="2793"/>
      <c r="AT6" s="2793"/>
      <c r="AU6" s="2793"/>
      <c r="AW6" s="2793"/>
      <c r="AX6" s="2793"/>
      <c r="AY6" s="2793"/>
      <c r="BA6" s="2793"/>
      <c r="BB6" s="2793"/>
      <c r="BC6" s="2793"/>
      <c r="BE6" s="2793"/>
      <c r="BF6" s="2793"/>
      <c r="BG6" s="2793"/>
      <c r="BI6" s="2793"/>
      <c r="BJ6" s="2793"/>
      <c r="BK6" s="2793"/>
      <c r="BM6" s="2793"/>
      <c r="BN6" s="2793"/>
      <c r="BO6" s="2793"/>
      <c r="BQ6" s="2793"/>
      <c r="BR6" s="2793"/>
      <c r="BS6" s="2793"/>
      <c r="BU6" s="2793"/>
      <c r="BV6" s="2793"/>
      <c r="BW6" s="2793"/>
      <c r="BY6" s="2793"/>
      <c r="BZ6" s="2793"/>
      <c r="CA6" s="2793"/>
      <c r="CC6" s="2793"/>
      <c r="CD6" s="2793"/>
      <c r="CE6" s="2793"/>
      <c r="CG6" s="2793"/>
      <c r="CH6" s="2793"/>
      <c r="CI6" s="2793"/>
      <c r="CK6" s="2793"/>
      <c r="CL6" s="2793"/>
      <c r="CM6" s="2793"/>
      <c r="CO6" s="2793"/>
      <c r="CP6" s="2793"/>
      <c r="CQ6" s="2793"/>
      <c r="CS6" s="2793"/>
      <c r="CT6" s="2793"/>
      <c r="CU6" s="2793"/>
      <c r="CW6" s="2793"/>
      <c r="CX6" s="2793"/>
      <c r="CY6" s="2793"/>
      <c r="DA6" s="2793"/>
      <c r="DB6" s="2793"/>
      <c r="DC6" s="2793"/>
      <c r="DE6" s="2793"/>
      <c r="DF6" s="2793"/>
      <c r="DG6" s="2793"/>
      <c r="DI6" s="2793"/>
      <c r="DJ6" s="2793"/>
      <c r="DK6" s="2793"/>
      <c r="DM6" s="2793"/>
      <c r="DN6" s="2793"/>
      <c r="DO6" s="2793"/>
      <c r="DQ6" s="2793"/>
      <c r="DR6" s="2793"/>
      <c r="DS6" s="2793"/>
      <c r="DU6" s="2793"/>
      <c r="DV6" s="2793"/>
      <c r="DW6" s="2793"/>
      <c r="DY6" s="2793"/>
      <c r="DZ6" s="2793"/>
      <c r="EA6" s="2793"/>
      <c r="EC6" s="2793"/>
      <c r="ED6" s="2793"/>
      <c r="EE6" s="2793"/>
      <c r="EG6" s="2793"/>
      <c r="EH6" s="2793"/>
      <c r="EI6" s="2793"/>
      <c r="EK6" s="2793"/>
      <c r="EL6" s="2793"/>
      <c r="EM6" s="2793"/>
      <c r="EO6" s="2793"/>
      <c r="EP6" s="2793"/>
      <c r="EQ6" s="2793"/>
      <c r="ES6" s="2793"/>
      <c r="ET6" s="2793"/>
      <c r="EU6" s="2793"/>
      <c r="EW6" s="2793"/>
      <c r="EX6" s="2793"/>
      <c r="EY6" s="2793"/>
      <c r="FA6" s="2793"/>
      <c r="FB6" s="2793"/>
      <c r="FC6" s="2793"/>
      <c r="FE6" s="2793"/>
      <c r="FF6" s="2793"/>
      <c r="FG6" s="2793"/>
      <c r="FI6" s="2793"/>
      <c r="FJ6" s="2793"/>
      <c r="FK6" s="2793"/>
      <c r="FM6" s="2793"/>
      <c r="FN6" s="2793"/>
      <c r="FO6" s="2793"/>
      <c r="FQ6" s="2793"/>
      <c r="FR6" s="2793"/>
      <c r="FS6" s="2793"/>
      <c r="FU6" s="2793"/>
      <c r="FV6" s="2793"/>
      <c r="FW6" s="2793"/>
      <c r="FY6" s="2793"/>
      <c r="FZ6" s="2793"/>
      <c r="GA6" s="2793"/>
      <c r="GC6" s="2793"/>
      <c r="GD6" s="2793"/>
      <c r="GE6" s="2793"/>
      <c r="GG6" s="2793"/>
      <c r="GH6" s="2793"/>
      <c r="GI6" s="2793"/>
      <c r="GK6" s="2793"/>
      <c r="GL6" s="2793"/>
      <c r="GM6" s="2793"/>
      <c r="GO6" s="2793"/>
      <c r="GP6" s="2793"/>
      <c r="GQ6" s="2793"/>
      <c r="GS6" s="2793"/>
      <c r="GT6" s="2793"/>
      <c r="GU6" s="2793"/>
      <c r="GW6" s="2793"/>
      <c r="GX6" s="2793"/>
      <c r="GY6" s="2793"/>
      <c r="HA6" s="2793"/>
      <c r="HB6" s="2793"/>
      <c r="HC6" s="2793"/>
      <c r="HE6" s="2793"/>
      <c r="HF6" s="2793"/>
      <c r="HG6" s="2793"/>
      <c r="HI6" s="2793"/>
      <c r="HJ6" s="2793"/>
      <c r="HK6" s="2793"/>
      <c r="HM6" s="2793"/>
      <c r="HN6" s="2793"/>
      <c r="HO6" s="2793"/>
      <c r="HQ6" s="2793"/>
      <c r="HR6" s="2793"/>
      <c r="HS6" s="2793"/>
      <c r="HU6" s="2793"/>
      <c r="HV6" s="2793"/>
      <c r="HW6" s="2793"/>
      <c r="HY6" s="2793"/>
      <c r="HZ6" s="2793"/>
      <c r="IA6" s="2793"/>
      <c r="IC6" s="2793"/>
      <c r="ID6" s="2793"/>
      <c r="IE6" s="2793"/>
      <c r="IG6" s="2793"/>
      <c r="IH6" s="2793"/>
      <c r="II6" s="2793"/>
      <c r="IK6" s="2793"/>
      <c r="IL6" s="2793"/>
      <c r="IM6" s="2793"/>
      <c r="IO6" s="2793"/>
      <c r="IP6" s="2793"/>
      <c r="IQ6" s="2793"/>
      <c r="IS6" s="2793"/>
      <c r="IT6" s="2793"/>
      <c r="IU6" s="2793"/>
    </row>
    <row r="7" spans="1:255" s="2144" customFormat="1" ht="13.2">
      <c r="C7" s="3405" t="str">
        <f>HLOOKUP(select,translations!$A$445:$H$490,2,)</f>
        <v>Soil</v>
      </c>
      <c r="D7" s="3405"/>
      <c r="P7" s="3406" t="str">
        <f>HLOOKUP(select,translations!$A$445:$H$490,3,)</f>
        <v>Soil classifications</v>
      </c>
      <c r="Q7" s="3406"/>
    </row>
    <row r="8" spans="1:255" s="2144" customFormat="1" ht="13.2">
      <c r="C8" s="3405"/>
      <c r="D8" s="3405"/>
      <c r="P8" s="2145" t="str">
        <f>HLOOKUP(select,translations!$A$445:$H$490,4,)</f>
        <v>WRB-2006</v>
      </c>
      <c r="Q8" s="2145" t="str">
        <f>HLOOKUP(select,translations!$A$445:$H$490,5,)</f>
        <v>IPCC</v>
      </c>
    </row>
    <row r="9" spans="1:255" s="2144" customFormat="1" ht="13.2"/>
    <row r="10" spans="1:255" s="2144" customFormat="1" ht="13.2">
      <c r="P10" s="2145" t="s">
        <v>1071</v>
      </c>
      <c r="Q10" s="2145" t="s">
        <v>472</v>
      </c>
    </row>
    <row r="11" spans="1:255" s="2144" customFormat="1" ht="13.2">
      <c r="P11" s="2145" t="s">
        <v>1072</v>
      </c>
      <c r="Q11" s="2145" t="s">
        <v>471</v>
      </c>
    </row>
    <row r="12" spans="1:255" s="2144" customFormat="1" ht="13.2">
      <c r="P12" s="2145" t="s">
        <v>1073</v>
      </c>
      <c r="Q12" s="2145" t="s">
        <v>471</v>
      </c>
    </row>
    <row r="13" spans="1:255" s="2144" customFormat="1" ht="13.2">
      <c r="P13" s="2145" t="s">
        <v>1074</v>
      </c>
      <c r="Q13" s="2145" t="s">
        <v>519</v>
      </c>
    </row>
    <row r="14" spans="1:255" s="2144" customFormat="1" ht="13.2">
      <c r="P14" s="2145" t="s">
        <v>1075</v>
      </c>
      <c r="Q14" s="2145" t="s">
        <v>472</v>
      </c>
    </row>
    <row r="15" spans="1:255" s="2144" customFormat="1" ht="13.2">
      <c r="P15" s="2145" t="s">
        <v>1076</v>
      </c>
      <c r="Q15" s="2145" t="s">
        <v>473</v>
      </c>
    </row>
    <row r="16" spans="1:255" s="2144" customFormat="1" ht="13.2">
      <c r="P16" s="2145" t="s">
        <v>1077</v>
      </c>
      <c r="Q16" s="2145" t="s">
        <v>471</v>
      </c>
    </row>
    <row r="17" spans="1:17" s="2144" customFormat="1" ht="13.2">
      <c r="P17" s="2145" t="s">
        <v>1078</v>
      </c>
      <c r="Q17" s="2145" t="s">
        <v>471</v>
      </c>
    </row>
    <row r="18" spans="1:17" s="2144" customFormat="1" ht="13.2">
      <c r="P18" s="2145" t="s">
        <v>1079</v>
      </c>
      <c r="Q18" s="2145" t="s">
        <v>471</v>
      </c>
    </row>
    <row r="19" spans="1:17" s="2144" customFormat="1" ht="13.2">
      <c r="P19" s="2145" t="s">
        <v>1080</v>
      </c>
      <c r="Q19" s="2145" t="s">
        <v>472</v>
      </c>
    </row>
    <row r="20" spans="1:17" s="2144" customFormat="1" ht="13.2">
      <c r="P20" s="2145" t="s">
        <v>1081</v>
      </c>
      <c r="Q20" s="2145" t="s">
        <v>472</v>
      </c>
    </row>
    <row r="21" spans="1:17" s="2144" customFormat="1" ht="13.2">
      <c r="P21" s="2145" t="s">
        <v>1082</v>
      </c>
      <c r="Q21" s="2145" t="s">
        <v>472</v>
      </c>
    </row>
    <row r="22" spans="1:17" s="2144" customFormat="1" ht="13.2">
      <c r="P22" s="2145" t="s">
        <v>1083</v>
      </c>
      <c r="Q22" s="2145" t="s">
        <v>472</v>
      </c>
    </row>
    <row r="23" spans="1:17" s="2144" customFormat="1" ht="15.6">
      <c r="A23" s="2794" t="str">
        <f>'5. Degradation'!AC9</f>
        <v xml:space="preserve"> </v>
      </c>
      <c r="P23" s="2145" t="s">
        <v>1084</v>
      </c>
      <c r="Q23" s="2145" t="s">
        <v>520</v>
      </c>
    </row>
    <row r="24" spans="1:17" s="2144" customFormat="1" ht="13.2">
      <c r="P24" s="2145" t="s">
        <v>1085</v>
      </c>
      <c r="Q24" s="2145" t="s">
        <v>471</v>
      </c>
    </row>
    <row r="25" spans="1:17" s="2144" customFormat="1" ht="13.8">
      <c r="B25" s="2795" t="str">
        <f>IF(Nlang=1,"",VLOOKUP('Name translation'!A23,'Name translation'!$A$2:$H$29,Nlang+1,))</f>
        <v/>
      </c>
      <c r="P25" s="2145" t="s">
        <v>1086</v>
      </c>
      <c r="Q25" s="2145" t="s">
        <v>518</v>
      </c>
    </row>
    <row r="26" spans="1:17" s="2144" customFormat="1" ht="13.2">
      <c r="B26" s="2796"/>
      <c r="P26" s="2145" t="s">
        <v>1087</v>
      </c>
      <c r="Q26" s="2145" t="s">
        <v>471</v>
      </c>
    </row>
    <row r="27" spans="1:17" s="2144" customFormat="1" ht="13.8">
      <c r="B27" s="2795" t="str">
        <f>IF(Nlang=1,"",VLOOKUP('Name translation'!A24,'Name translation'!$A$2:$H$29,Nlang+1,))</f>
        <v/>
      </c>
      <c r="P27" s="2145" t="s">
        <v>1088</v>
      </c>
      <c r="Q27" s="2145" t="s">
        <v>471</v>
      </c>
    </row>
    <row r="28" spans="1:17" s="2144" customFormat="1" ht="13.2">
      <c r="B28" s="2796"/>
      <c r="P28" s="2145" t="s">
        <v>1089</v>
      </c>
      <c r="Q28" s="2145" t="s">
        <v>472</v>
      </c>
    </row>
    <row r="29" spans="1:17" s="2144" customFormat="1" ht="13.8">
      <c r="B29" s="2795" t="str">
        <f>IF(Nlang=1,"",VLOOKUP('Name translation'!A25,'Name translation'!$A$2:$H$29,Nlang+1,))</f>
        <v/>
      </c>
      <c r="P29" s="2145" t="s">
        <v>1090</v>
      </c>
      <c r="Q29" s="2145" t="s">
        <v>471</v>
      </c>
    </row>
    <row r="30" spans="1:17" s="2144" customFormat="1" ht="13.2">
      <c r="B30" s="2796"/>
      <c r="P30" s="2145" t="s">
        <v>1091</v>
      </c>
      <c r="Q30" s="2145" t="s">
        <v>472</v>
      </c>
    </row>
    <row r="31" spans="1:17" s="2144" customFormat="1" ht="13.8">
      <c r="B31" s="2795" t="str">
        <f>IF(Nlang=1,"",VLOOKUP('Name translation'!A26,'Name translation'!$A$2:$H$29,Nlang+1,))</f>
        <v/>
      </c>
      <c r="P31" s="2145" t="s">
        <v>1092</v>
      </c>
      <c r="Q31" s="2145" t="s">
        <v>471</v>
      </c>
    </row>
    <row r="32" spans="1:17" s="2144" customFormat="1" ht="13.2">
      <c r="B32" s="2796"/>
      <c r="P32" s="2145" t="s">
        <v>1093</v>
      </c>
      <c r="Q32" s="2145" t="s">
        <v>472</v>
      </c>
    </row>
    <row r="33" spans="1:255" s="2144" customFormat="1" ht="13.8">
      <c r="B33" s="2795" t="str">
        <f>IF(Nlang=1,"",VLOOKUP('Name translation'!A27,'Name translation'!$A$2:$H$29,Nlang+1,))</f>
        <v/>
      </c>
      <c r="P33" s="2145" t="s">
        <v>1094</v>
      </c>
      <c r="Q33" s="2145" t="s">
        <v>472</v>
      </c>
    </row>
    <row r="34" spans="1:255" s="2144" customFormat="1" ht="13.2">
      <c r="B34" s="2796"/>
      <c r="P34" s="2145" t="s">
        <v>1095</v>
      </c>
      <c r="Q34" s="2145" t="s">
        <v>474</v>
      </c>
    </row>
    <row r="35" spans="1:255" s="2144" customFormat="1" ht="13.8">
      <c r="B35" s="2795" t="str">
        <f>IF(Nlang=1,"",VLOOKUP('Name translation'!A28,'Name translation'!$A$2:$H$29,Nlang+1,))</f>
        <v/>
      </c>
      <c r="P35" s="2145" t="s">
        <v>1096</v>
      </c>
      <c r="Q35" s="2145" t="s">
        <v>471</v>
      </c>
    </row>
    <row r="36" spans="1:255" s="2144" customFormat="1" ht="15.6">
      <c r="A36" s="2146"/>
      <c r="B36" s="2796"/>
      <c r="G36" s="2147"/>
      <c r="P36" s="2145" t="s">
        <v>1097</v>
      </c>
      <c r="Q36" s="2145" t="s">
        <v>472</v>
      </c>
    </row>
    <row r="37" spans="1:255" s="2144" customFormat="1" ht="13.8">
      <c r="B37" s="2795" t="str">
        <f>IF(Nlang=1,"",VLOOKUP('Name translation'!A164,'Name translation'!$A$2:$H$447,Nlang+1,))</f>
        <v/>
      </c>
      <c r="P37" s="2145" t="s">
        <v>1098</v>
      </c>
      <c r="Q37" s="2145" t="s">
        <v>471</v>
      </c>
    </row>
    <row r="38" spans="1:255" s="2144" customFormat="1" ht="13.2">
      <c r="B38" s="2796"/>
      <c r="P38" s="2145" t="s">
        <v>1099</v>
      </c>
      <c r="Q38" s="2145" t="s">
        <v>472</v>
      </c>
    </row>
    <row r="39" spans="1:255" s="2144" customFormat="1" ht="13.8">
      <c r="B39" s="2795" t="str">
        <f>IF(Nlang=1,"",VLOOKUP('Name translation'!A163,'Name translation'!$A$2:$H$446,Nlang+1,))</f>
        <v/>
      </c>
      <c r="P39" s="2145" t="s">
        <v>1100</v>
      </c>
      <c r="Q39" s="2145" t="s">
        <v>472</v>
      </c>
    </row>
    <row r="40" spans="1:255" s="2144" customFormat="1" ht="13.2">
      <c r="P40" s="2145" t="s">
        <v>1101</v>
      </c>
      <c r="Q40" s="2145" t="s">
        <v>471</v>
      </c>
    </row>
    <row r="41" spans="1:255" s="2144" customFormat="1" ht="13.2">
      <c r="P41" s="2145" t="s">
        <v>1102</v>
      </c>
      <c r="Q41" s="2145" t="s">
        <v>471</v>
      </c>
    </row>
    <row r="42" spans="1:255" s="2144" customFormat="1" ht="13.2"/>
    <row r="43" spans="1:255" s="1678" customFormat="1" ht="12.6" customHeight="1">
      <c r="A43" s="1733"/>
      <c r="B43" s="1733"/>
      <c r="C43" s="1733"/>
      <c r="E43" s="2128"/>
      <c r="F43" s="2128"/>
      <c r="G43" s="2128"/>
      <c r="I43" s="2128"/>
      <c r="J43" s="2128"/>
      <c r="K43" s="2128"/>
      <c r="M43" s="2128"/>
      <c r="N43" s="2128"/>
      <c r="O43" s="2128"/>
      <c r="Q43" s="2128"/>
      <c r="R43" s="2128"/>
      <c r="S43" s="2128"/>
      <c r="U43" s="2128"/>
      <c r="V43" s="2128"/>
      <c r="W43" s="2128"/>
      <c r="Y43" s="2128"/>
      <c r="Z43" s="2128"/>
      <c r="AA43" s="2128"/>
      <c r="AC43" s="2128"/>
      <c r="AD43" s="2128"/>
      <c r="AE43" s="2128"/>
      <c r="AG43" s="2128"/>
      <c r="AH43" s="2128"/>
      <c r="AI43" s="2128"/>
      <c r="AK43" s="2128"/>
      <c r="AL43" s="2128"/>
      <c r="AM43" s="2128"/>
      <c r="AO43" s="2128"/>
      <c r="AP43" s="2128"/>
      <c r="AQ43" s="2128"/>
      <c r="AS43" s="2128"/>
      <c r="AT43" s="2128"/>
      <c r="AU43" s="2128"/>
      <c r="AW43" s="2128"/>
      <c r="AX43" s="2128"/>
      <c r="AY43" s="2128"/>
      <c r="BA43" s="2128"/>
      <c r="BB43" s="2128"/>
      <c r="BC43" s="2128"/>
      <c r="BE43" s="2128"/>
      <c r="BF43" s="2128"/>
      <c r="BG43" s="2128"/>
      <c r="BI43" s="2128"/>
      <c r="BJ43" s="2128"/>
      <c r="BK43" s="2128"/>
      <c r="BM43" s="2128"/>
      <c r="BN43" s="2128"/>
      <c r="BO43" s="2128"/>
      <c r="BQ43" s="2128"/>
      <c r="BR43" s="2128"/>
      <c r="BS43" s="2128"/>
      <c r="BU43" s="2128"/>
      <c r="BV43" s="2128"/>
      <c r="BW43" s="2128"/>
      <c r="BY43" s="2128"/>
      <c r="BZ43" s="2128"/>
      <c r="CA43" s="2128"/>
      <c r="CC43" s="2128"/>
      <c r="CD43" s="2128"/>
      <c r="CE43" s="2128"/>
      <c r="CG43" s="2128"/>
      <c r="CH43" s="2128"/>
      <c r="CI43" s="2128"/>
      <c r="CK43" s="2128"/>
      <c r="CL43" s="2128"/>
      <c r="CM43" s="2128"/>
      <c r="CO43" s="2128"/>
      <c r="CP43" s="2128"/>
      <c r="CQ43" s="2128"/>
      <c r="CS43" s="2128"/>
      <c r="CT43" s="2128"/>
      <c r="CU43" s="2128"/>
      <c r="CW43" s="2128"/>
      <c r="CX43" s="2128"/>
      <c r="CY43" s="2128"/>
      <c r="DA43" s="2128"/>
      <c r="DB43" s="2128"/>
      <c r="DC43" s="2128"/>
      <c r="DE43" s="2128"/>
      <c r="DF43" s="2128"/>
      <c r="DG43" s="2128"/>
      <c r="DI43" s="2128"/>
      <c r="DJ43" s="2128"/>
      <c r="DK43" s="2128"/>
      <c r="DM43" s="2128"/>
      <c r="DN43" s="2128"/>
      <c r="DO43" s="2128"/>
      <c r="DQ43" s="2128"/>
      <c r="DR43" s="2128"/>
      <c r="DS43" s="2128"/>
      <c r="DU43" s="2128"/>
      <c r="DV43" s="2128"/>
      <c r="DW43" s="2128"/>
      <c r="DY43" s="2128"/>
      <c r="DZ43" s="2128"/>
      <c r="EA43" s="2128"/>
      <c r="EC43" s="2128"/>
      <c r="ED43" s="2128"/>
      <c r="EE43" s="2128"/>
      <c r="EG43" s="2128"/>
      <c r="EH43" s="2128"/>
      <c r="EI43" s="2128"/>
      <c r="EK43" s="2128"/>
      <c r="EL43" s="2128"/>
      <c r="EM43" s="2128"/>
      <c r="EO43" s="2128"/>
      <c r="EP43" s="2128"/>
      <c r="EQ43" s="2128"/>
      <c r="ES43" s="2128"/>
      <c r="ET43" s="2128"/>
      <c r="EU43" s="2128"/>
      <c r="EW43" s="2128"/>
      <c r="EX43" s="2128"/>
      <c r="EY43" s="2128"/>
      <c r="FA43" s="2128"/>
      <c r="FB43" s="2128"/>
      <c r="FC43" s="2128"/>
      <c r="FE43" s="2128"/>
      <c r="FF43" s="2128"/>
      <c r="FG43" s="2128"/>
      <c r="FI43" s="2128"/>
      <c r="FJ43" s="2128"/>
      <c r="FK43" s="2128"/>
      <c r="FM43" s="2128"/>
      <c r="FN43" s="2128"/>
      <c r="FO43" s="2128"/>
      <c r="FQ43" s="2128"/>
      <c r="FR43" s="2128"/>
      <c r="FS43" s="2128"/>
      <c r="FU43" s="2128"/>
      <c r="FV43" s="2128"/>
      <c r="FW43" s="2128"/>
      <c r="FY43" s="2128"/>
      <c r="FZ43" s="2128"/>
      <c r="GA43" s="2128"/>
      <c r="GC43" s="2128"/>
      <c r="GD43" s="2128"/>
      <c r="GE43" s="2128"/>
      <c r="GG43" s="2128"/>
      <c r="GH43" s="2128"/>
      <c r="GI43" s="2128"/>
      <c r="GK43" s="2128"/>
      <c r="GL43" s="2128"/>
      <c r="GM43" s="2128"/>
      <c r="GO43" s="2128"/>
      <c r="GP43" s="2128"/>
      <c r="GQ43" s="2128"/>
      <c r="GS43" s="2128"/>
      <c r="GT43" s="2128"/>
      <c r="GU43" s="2128"/>
      <c r="GW43" s="2128"/>
      <c r="GX43" s="2128"/>
      <c r="GY43" s="2128"/>
      <c r="HA43" s="2128"/>
      <c r="HB43" s="2128"/>
      <c r="HC43" s="2128"/>
      <c r="HE43" s="2128"/>
      <c r="HF43" s="2128"/>
      <c r="HG43" s="2128"/>
      <c r="HI43" s="2128"/>
      <c r="HJ43" s="2128"/>
      <c r="HK43" s="2128"/>
      <c r="HM43" s="2128"/>
      <c r="HN43" s="2128"/>
      <c r="HO43" s="2128"/>
      <c r="HQ43" s="2128"/>
      <c r="HR43" s="2128"/>
      <c r="HS43" s="2128"/>
      <c r="HU43" s="2128"/>
      <c r="HV43" s="2128"/>
      <c r="HW43" s="2128"/>
      <c r="HY43" s="2128"/>
      <c r="HZ43" s="2128"/>
      <c r="IA43" s="2128"/>
      <c r="IC43" s="2128"/>
      <c r="ID43" s="2128"/>
      <c r="IE43" s="2128"/>
      <c r="IG43" s="2128"/>
      <c r="IH43" s="2128"/>
      <c r="II43" s="2128"/>
      <c r="IK43" s="2128"/>
      <c r="IL43" s="2128"/>
      <c r="IM43" s="2128"/>
      <c r="IO43" s="2128"/>
      <c r="IP43" s="2128"/>
      <c r="IQ43" s="2128"/>
      <c r="IS43" s="2128"/>
      <c r="IT43" s="2128"/>
      <c r="IU43" s="2128"/>
    </row>
    <row r="44" spans="1:255" s="1678" customFormat="1" ht="12.6" customHeight="1">
      <c r="A44" s="1733"/>
      <c r="B44" s="1733"/>
      <c r="C44" s="3405" t="str">
        <f>HLOOKUP(select,translations!$A$445:$H$490,6,)</f>
        <v>Climate</v>
      </c>
      <c r="D44" s="3405"/>
      <c r="E44" s="2128"/>
      <c r="F44" s="2128"/>
      <c r="G44" s="2128"/>
      <c r="I44" s="2128"/>
      <c r="J44" s="2128"/>
      <c r="K44" s="2128"/>
      <c r="M44" s="2128"/>
      <c r="N44" s="2128"/>
      <c r="O44" s="2128"/>
      <c r="Q44" s="2128"/>
      <c r="R44" s="2128"/>
      <c r="S44" s="2128"/>
      <c r="U44" s="2128"/>
      <c r="V44" s="2128"/>
      <c r="W44" s="2128"/>
      <c r="Y44" s="2128"/>
      <c r="Z44" s="2128"/>
      <c r="AA44" s="2128"/>
      <c r="AC44" s="2128"/>
      <c r="AD44" s="2128"/>
      <c r="AE44" s="2128"/>
      <c r="AG44" s="2128"/>
      <c r="AH44" s="2128"/>
      <c r="AI44" s="2128"/>
      <c r="AK44" s="2128"/>
      <c r="AL44" s="2128"/>
      <c r="AM44" s="2128"/>
      <c r="AO44" s="2128"/>
      <c r="AP44" s="2128"/>
      <c r="AQ44" s="2128"/>
      <c r="AS44" s="2128"/>
      <c r="AT44" s="2128"/>
      <c r="AU44" s="2128"/>
      <c r="AW44" s="2128"/>
      <c r="AX44" s="2128"/>
      <c r="AY44" s="2128"/>
      <c r="BA44" s="2128"/>
      <c r="BB44" s="2128"/>
      <c r="BC44" s="2128"/>
      <c r="BE44" s="2128"/>
      <c r="BF44" s="2128"/>
      <c r="BG44" s="2128"/>
      <c r="BI44" s="2128"/>
      <c r="BJ44" s="2128"/>
      <c r="BK44" s="2128"/>
      <c r="BM44" s="2128"/>
      <c r="BN44" s="2128"/>
      <c r="BO44" s="2128"/>
      <c r="BQ44" s="2128"/>
      <c r="BR44" s="2128"/>
      <c r="BS44" s="2128"/>
      <c r="BU44" s="2128"/>
      <c r="BV44" s="2128"/>
      <c r="BW44" s="2128"/>
      <c r="BY44" s="2128"/>
      <c r="BZ44" s="2128"/>
      <c r="CA44" s="2128"/>
      <c r="CC44" s="2128"/>
      <c r="CD44" s="2128"/>
      <c r="CE44" s="2128"/>
      <c r="CG44" s="2128"/>
      <c r="CH44" s="2128"/>
      <c r="CI44" s="2128"/>
      <c r="CK44" s="2128"/>
      <c r="CL44" s="2128"/>
      <c r="CM44" s="2128"/>
      <c r="CO44" s="2128"/>
      <c r="CP44" s="2128"/>
      <c r="CQ44" s="2128"/>
      <c r="CS44" s="2128"/>
      <c r="CT44" s="2128"/>
      <c r="CU44" s="2128"/>
      <c r="CW44" s="2128"/>
      <c r="CX44" s="2128"/>
      <c r="CY44" s="2128"/>
      <c r="DA44" s="2128"/>
      <c r="DB44" s="2128"/>
      <c r="DC44" s="2128"/>
      <c r="DE44" s="2128"/>
      <c r="DF44" s="2128"/>
      <c r="DG44" s="2128"/>
      <c r="DI44" s="2128"/>
      <c r="DJ44" s="2128"/>
      <c r="DK44" s="2128"/>
      <c r="DM44" s="2128"/>
      <c r="DN44" s="2128"/>
      <c r="DO44" s="2128"/>
      <c r="DQ44" s="2128"/>
      <c r="DR44" s="2128"/>
      <c r="DS44" s="2128"/>
      <c r="DU44" s="2128"/>
      <c r="DV44" s="2128"/>
      <c r="DW44" s="2128"/>
      <c r="DY44" s="2128"/>
      <c r="DZ44" s="2128"/>
      <c r="EA44" s="2128"/>
      <c r="EC44" s="2128"/>
      <c r="ED44" s="2128"/>
      <c r="EE44" s="2128"/>
      <c r="EG44" s="2128"/>
      <c r="EH44" s="2128"/>
      <c r="EI44" s="2128"/>
      <c r="EK44" s="2128"/>
      <c r="EL44" s="2128"/>
      <c r="EM44" s="2128"/>
      <c r="EO44" s="2128"/>
      <c r="EP44" s="2128"/>
      <c r="EQ44" s="2128"/>
      <c r="ES44" s="2128"/>
      <c r="ET44" s="2128"/>
      <c r="EU44" s="2128"/>
      <c r="EW44" s="2128"/>
      <c r="EX44" s="2128"/>
      <c r="EY44" s="2128"/>
      <c r="FA44" s="2128"/>
      <c r="FB44" s="2128"/>
      <c r="FC44" s="2128"/>
      <c r="FE44" s="2128"/>
      <c r="FF44" s="2128"/>
      <c r="FG44" s="2128"/>
      <c r="FI44" s="2128"/>
      <c r="FJ44" s="2128"/>
      <c r="FK44" s="2128"/>
      <c r="FM44" s="2128"/>
      <c r="FN44" s="2128"/>
      <c r="FO44" s="2128"/>
      <c r="FQ44" s="2128"/>
      <c r="FR44" s="2128"/>
      <c r="FS44" s="2128"/>
      <c r="FU44" s="2128"/>
      <c r="FV44" s="2128"/>
      <c r="FW44" s="2128"/>
      <c r="FY44" s="2128"/>
      <c r="FZ44" s="2128"/>
      <c r="GA44" s="2128"/>
      <c r="GC44" s="2128"/>
      <c r="GD44" s="2128"/>
      <c r="GE44" s="2128"/>
      <c r="GG44" s="2128"/>
      <c r="GH44" s="2128"/>
      <c r="GI44" s="2128"/>
      <c r="GK44" s="2128"/>
      <c r="GL44" s="2128"/>
      <c r="GM44" s="2128"/>
      <c r="GO44" s="2128"/>
      <c r="GP44" s="2128"/>
      <c r="GQ44" s="2128"/>
      <c r="GS44" s="2128"/>
      <c r="GT44" s="2128"/>
      <c r="GU44" s="2128"/>
      <c r="GW44" s="2128"/>
      <c r="GX44" s="2128"/>
      <c r="GY44" s="2128"/>
      <c r="HA44" s="2128"/>
      <c r="HB44" s="2128"/>
      <c r="HC44" s="2128"/>
      <c r="HE44" s="2128"/>
      <c r="HF44" s="2128"/>
      <c r="HG44" s="2128"/>
      <c r="HI44" s="2128"/>
      <c r="HJ44" s="2128"/>
      <c r="HK44" s="2128"/>
      <c r="HM44" s="2128"/>
      <c r="HN44" s="2128"/>
      <c r="HO44" s="2128"/>
      <c r="HQ44" s="2128"/>
      <c r="HR44" s="2128"/>
      <c r="HS44" s="2128"/>
      <c r="HU44" s="2128"/>
      <c r="HV44" s="2128"/>
      <c r="HW44" s="2128"/>
      <c r="HY44" s="2128"/>
      <c r="HZ44" s="2128"/>
      <c r="IA44" s="2128"/>
      <c r="IC44" s="2128"/>
      <c r="ID44" s="2128"/>
      <c r="IE44" s="2128"/>
      <c r="IG44" s="2128"/>
      <c r="IH44" s="2128"/>
      <c r="II44" s="2128"/>
      <c r="IK44" s="2128"/>
      <c r="IL44" s="2128"/>
      <c r="IM44" s="2128"/>
      <c r="IO44" s="2128"/>
      <c r="IP44" s="2128"/>
      <c r="IQ44" s="2128"/>
      <c r="IS44" s="2128"/>
      <c r="IT44" s="2128"/>
      <c r="IU44" s="2128"/>
    </row>
    <row r="45" spans="1:255" s="1678" customFormat="1" ht="12.6" customHeight="1">
      <c r="A45" s="1733"/>
      <c r="B45" s="1733"/>
      <c r="C45" s="3405"/>
      <c r="D45" s="3405"/>
      <c r="E45" s="2128"/>
      <c r="F45" s="2128"/>
      <c r="G45" s="2128"/>
      <c r="I45" s="2128"/>
      <c r="J45" s="2128"/>
      <c r="K45" s="2128"/>
      <c r="M45" s="2128"/>
      <c r="N45" s="2128"/>
      <c r="O45" s="2128"/>
      <c r="Q45" s="2128"/>
      <c r="R45" s="2128"/>
      <c r="S45" s="2128"/>
      <c r="U45" s="2128"/>
      <c r="V45" s="2128"/>
      <c r="W45" s="2128"/>
      <c r="Y45" s="2128"/>
      <c r="Z45" s="2128"/>
      <c r="AA45" s="2128"/>
      <c r="AC45" s="2128"/>
      <c r="AD45" s="2128"/>
      <c r="AE45" s="2128"/>
      <c r="AG45" s="2128"/>
      <c r="AH45" s="2128"/>
      <c r="AI45" s="2128"/>
      <c r="AK45" s="2128"/>
      <c r="AL45" s="2128"/>
      <c r="AM45" s="2128"/>
      <c r="AO45" s="2128"/>
      <c r="AP45" s="2128"/>
      <c r="AQ45" s="2128"/>
      <c r="AS45" s="2128"/>
      <c r="AT45" s="2128"/>
      <c r="AU45" s="2128"/>
      <c r="AW45" s="2128"/>
      <c r="AX45" s="2128"/>
      <c r="AY45" s="2128"/>
      <c r="BA45" s="2128"/>
      <c r="BB45" s="2128"/>
      <c r="BC45" s="2128"/>
      <c r="BE45" s="2128"/>
      <c r="BF45" s="2128"/>
      <c r="BG45" s="2128"/>
      <c r="BI45" s="2128"/>
      <c r="BJ45" s="2128"/>
      <c r="BK45" s="2128"/>
      <c r="BM45" s="2128"/>
      <c r="BN45" s="2128"/>
      <c r="BO45" s="2128"/>
      <c r="BQ45" s="2128"/>
      <c r="BR45" s="2128"/>
      <c r="BS45" s="2128"/>
      <c r="BU45" s="2128"/>
      <c r="BV45" s="2128"/>
      <c r="BW45" s="2128"/>
      <c r="BY45" s="2128"/>
      <c r="BZ45" s="2128"/>
      <c r="CA45" s="2128"/>
      <c r="CC45" s="2128"/>
      <c r="CD45" s="2128"/>
      <c r="CE45" s="2128"/>
      <c r="CG45" s="2128"/>
      <c r="CH45" s="2128"/>
      <c r="CI45" s="2128"/>
      <c r="CK45" s="2128"/>
      <c r="CL45" s="2128"/>
      <c r="CM45" s="2128"/>
      <c r="CO45" s="2128"/>
      <c r="CP45" s="2128"/>
      <c r="CQ45" s="2128"/>
      <c r="CS45" s="2128"/>
      <c r="CT45" s="2128"/>
      <c r="CU45" s="2128"/>
      <c r="CW45" s="2128"/>
      <c r="CX45" s="2128"/>
      <c r="CY45" s="2128"/>
      <c r="DA45" s="2128"/>
      <c r="DB45" s="2128"/>
      <c r="DC45" s="2128"/>
      <c r="DE45" s="2128"/>
      <c r="DF45" s="2128"/>
      <c r="DG45" s="2128"/>
      <c r="DI45" s="2128"/>
      <c r="DJ45" s="2128"/>
      <c r="DK45" s="2128"/>
      <c r="DM45" s="2128"/>
      <c r="DN45" s="2128"/>
      <c r="DO45" s="2128"/>
      <c r="DQ45" s="2128"/>
      <c r="DR45" s="2128"/>
      <c r="DS45" s="2128"/>
      <c r="DU45" s="2128"/>
      <c r="DV45" s="2128"/>
      <c r="DW45" s="2128"/>
      <c r="DY45" s="2128"/>
      <c r="DZ45" s="2128"/>
      <c r="EA45" s="2128"/>
      <c r="EC45" s="2128"/>
      <c r="ED45" s="2128"/>
      <c r="EE45" s="2128"/>
      <c r="EG45" s="2128"/>
      <c r="EH45" s="2128"/>
      <c r="EI45" s="2128"/>
      <c r="EK45" s="2128"/>
      <c r="EL45" s="2128"/>
      <c r="EM45" s="2128"/>
      <c r="EO45" s="2128"/>
      <c r="EP45" s="2128"/>
      <c r="EQ45" s="2128"/>
      <c r="ES45" s="2128"/>
      <c r="ET45" s="2128"/>
      <c r="EU45" s="2128"/>
      <c r="EW45" s="2128"/>
      <c r="EX45" s="2128"/>
      <c r="EY45" s="2128"/>
      <c r="FA45" s="2128"/>
      <c r="FB45" s="2128"/>
      <c r="FC45" s="2128"/>
      <c r="FE45" s="2128"/>
      <c r="FF45" s="2128"/>
      <c r="FG45" s="2128"/>
      <c r="FI45" s="2128"/>
      <c r="FJ45" s="2128"/>
      <c r="FK45" s="2128"/>
      <c r="FM45" s="2128"/>
      <c r="FN45" s="2128"/>
      <c r="FO45" s="2128"/>
      <c r="FQ45" s="2128"/>
      <c r="FR45" s="2128"/>
      <c r="FS45" s="2128"/>
      <c r="FU45" s="2128"/>
      <c r="FV45" s="2128"/>
      <c r="FW45" s="2128"/>
      <c r="FY45" s="2128"/>
      <c r="FZ45" s="2128"/>
      <c r="GA45" s="2128"/>
      <c r="GC45" s="2128"/>
      <c r="GD45" s="2128"/>
      <c r="GE45" s="2128"/>
      <c r="GG45" s="2128"/>
      <c r="GH45" s="2128"/>
      <c r="GI45" s="2128"/>
      <c r="GK45" s="2128"/>
      <c r="GL45" s="2128"/>
      <c r="GM45" s="2128"/>
      <c r="GO45" s="2128"/>
      <c r="GP45" s="2128"/>
      <c r="GQ45" s="2128"/>
      <c r="GS45" s="2128"/>
      <c r="GT45" s="2128"/>
      <c r="GU45" s="2128"/>
      <c r="GW45" s="2128"/>
      <c r="GX45" s="2128"/>
      <c r="GY45" s="2128"/>
      <c r="HA45" s="2128"/>
      <c r="HB45" s="2128"/>
      <c r="HC45" s="2128"/>
      <c r="HE45" s="2128"/>
      <c r="HF45" s="2128"/>
      <c r="HG45" s="2128"/>
      <c r="HI45" s="2128"/>
      <c r="HJ45" s="2128"/>
      <c r="HK45" s="2128"/>
      <c r="HM45" s="2128"/>
      <c r="HN45" s="2128"/>
      <c r="HO45" s="2128"/>
      <c r="HQ45" s="2128"/>
      <c r="HR45" s="2128"/>
      <c r="HS45" s="2128"/>
      <c r="HU45" s="2128"/>
      <c r="HV45" s="2128"/>
      <c r="HW45" s="2128"/>
      <c r="HY45" s="2128"/>
      <c r="HZ45" s="2128"/>
      <c r="IA45" s="2128"/>
      <c r="IC45" s="2128"/>
      <c r="ID45" s="2128"/>
      <c r="IE45" s="2128"/>
      <c r="IG45" s="2128"/>
      <c r="IH45" s="2128"/>
      <c r="II45" s="2128"/>
      <c r="IK45" s="2128"/>
      <c r="IL45" s="2128"/>
      <c r="IM45" s="2128"/>
      <c r="IO45" s="2128"/>
      <c r="IP45" s="2128"/>
      <c r="IQ45" s="2128"/>
      <c r="IS45" s="2128"/>
      <c r="IT45" s="2128"/>
      <c r="IU45" s="2128"/>
    </row>
    <row r="46" spans="1:255" s="2144" customFormat="1" ht="12.75" customHeight="1">
      <c r="Q46" s="1758"/>
    </row>
    <row r="47" spans="1:255" s="2144" customFormat="1" ht="12.75" customHeight="1">
      <c r="B47" s="1765" t="s">
        <v>286</v>
      </c>
      <c r="C47" s="1765"/>
      <c r="D47" s="1758"/>
      <c r="E47" s="1759" t="s">
        <v>83</v>
      </c>
      <c r="F47" s="1759"/>
      <c r="G47" s="1759"/>
      <c r="L47" s="2148" t="str">
        <f>HLOOKUP(select,translations!$A$445:$H$490,7,)</f>
        <v>Climate Helper : Help  to determine the Climate category with MAT and MAP</v>
      </c>
      <c r="M47" s="2149"/>
      <c r="N47" s="2149"/>
      <c r="O47" s="2149"/>
      <c r="P47" s="2149"/>
      <c r="Q47" s="2150"/>
    </row>
    <row r="48" spans="1:255" s="2144" customFormat="1" ht="12.75" customHeight="1">
      <c r="B48" s="1765" t="s">
        <v>287</v>
      </c>
      <c r="C48" s="1765" t="s">
        <v>288</v>
      </c>
      <c r="D48" s="1758"/>
      <c r="E48" s="1759"/>
      <c r="F48" s="1759" t="s">
        <v>85</v>
      </c>
      <c r="G48" s="1759" t="s">
        <v>86</v>
      </c>
      <c r="L48" s="2151"/>
      <c r="M48" s="2151"/>
      <c r="N48" s="2151"/>
      <c r="O48" s="2151"/>
      <c r="P48" s="2151"/>
      <c r="Q48" s="2151"/>
      <c r="U48" s="1799"/>
    </row>
    <row r="49" spans="2:21" s="2144" customFormat="1" ht="12.75" customHeight="1">
      <c r="B49" s="1758" t="str">
        <f>HLOOKUP(select,'Name translation'!$A$1:$H$29,14,)</f>
        <v>Please select</v>
      </c>
      <c r="C49" s="1758" t="str">
        <f>B49</f>
        <v>Please select</v>
      </c>
      <c r="D49" s="1758"/>
      <c r="E49" s="1759">
        <v>0</v>
      </c>
      <c r="F49" s="1759">
        <v>-45</v>
      </c>
      <c r="G49" s="1759">
        <v>45</v>
      </c>
      <c r="L49" s="2152" t="str">
        <f>HLOOKUP(select,translations!$A$445:$H$490,8,)</f>
        <v>MAT</v>
      </c>
      <c r="M49" s="2077">
        <v>26</v>
      </c>
      <c r="N49" s="3413" t="str">
        <f>IF(M49&gt;18,B53,IF(M49&gt;10,B52,IF(M49&gt;0,B51,B50)))</f>
        <v>Tropical</v>
      </c>
      <c r="O49" s="3413"/>
      <c r="P49" s="3413" t="str">
        <f>IF(N49=B53,IF(M51&gt;2000,C52,IF(M51&gt;1000,C51,C50)),"")</f>
        <v>Dry</v>
      </c>
      <c r="Q49" s="2151"/>
      <c r="U49" s="1799"/>
    </row>
    <row r="50" spans="2:21" s="2144" customFormat="1" ht="12.75" customHeight="1">
      <c r="B50" s="1758" t="str">
        <f>HLOOKUP(select,'Name translation'!$A$1:$H$29,15,)</f>
        <v>Boreal</v>
      </c>
      <c r="C50" s="1758" t="str">
        <f>HLOOKUP(select,'Name translation'!$A$1:$H$29,20,)</f>
        <v>Dry</v>
      </c>
      <c r="D50" s="1758"/>
      <c r="E50" s="1759">
        <v>0</v>
      </c>
      <c r="F50" s="1759">
        <v>-45</v>
      </c>
      <c r="G50" s="1759">
        <v>-0.01</v>
      </c>
      <c r="L50" s="2798" t="str">
        <f>HLOOKUP(select,translations!$A$445:$H$490,10,)</f>
        <v>Mean Annual temperature in °C</v>
      </c>
      <c r="M50" s="2151"/>
      <c r="N50" s="2151"/>
      <c r="O50" s="3412" t="str">
        <f>IF(N49&lt;&gt;B53,HLOOKUP(select,translations!$A$445:$H$490,12,),"")</f>
        <v/>
      </c>
      <c r="P50" s="2151"/>
      <c r="Q50" s="2151"/>
      <c r="U50" s="1799"/>
    </row>
    <row r="51" spans="2:21" s="2144" customFormat="1" ht="12.75" customHeight="1">
      <c r="B51" s="1758" t="str">
        <f>HLOOKUP(select,'Name translation'!$A$1:$H$29,16,)</f>
        <v>Cool Temperate</v>
      </c>
      <c r="C51" s="1758" t="str">
        <f>HLOOKUP(select,'Name translation'!$A$1:$H$29,21,)</f>
        <v>Moist</v>
      </c>
      <c r="D51" s="1758"/>
      <c r="E51" s="1759">
        <v>5</v>
      </c>
      <c r="F51" s="1759">
        <v>0</v>
      </c>
      <c r="G51" s="1759">
        <v>9.99</v>
      </c>
      <c r="L51" s="2152" t="str">
        <f>HLOOKUP(select,translations!$A$445:$H$490,9,)</f>
        <v>MAP</v>
      </c>
      <c r="M51" s="2077">
        <v>900</v>
      </c>
      <c r="N51" s="3411" t="str">
        <f>IF(M49&gt;18,"or Tropical Montane if elevation &gt;1000m","")</f>
        <v>or Tropical Montane if elevation &gt;1000m</v>
      </c>
      <c r="O51" s="2151"/>
      <c r="P51" s="2151"/>
      <c r="Q51" s="2151"/>
      <c r="U51" s="1799"/>
    </row>
    <row r="52" spans="2:21" s="2144" customFormat="1" ht="12.75" customHeight="1">
      <c r="B52" s="1758" t="str">
        <f>HLOOKUP(select,'Name translation'!$A$1:$H$29,17,)</f>
        <v>Warm Temperate</v>
      </c>
      <c r="C52" s="1758" t="str">
        <f>HLOOKUP(select,'Name translation'!$A$1:$H$29,22,)</f>
        <v>Wet</v>
      </c>
      <c r="D52" s="1758"/>
      <c r="E52" s="1759">
        <v>15</v>
      </c>
      <c r="F52" s="1759">
        <v>10</v>
      </c>
      <c r="G52" s="1759">
        <v>17.989999999999998</v>
      </c>
      <c r="L52" s="2798" t="str">
        <f>HLOOKUP(select,translations!$A$445:$H$490,11,)</f>
        <v>Mean Annual Precipitation in mm</v>
      </c>
      <c r="M52" s="2151"/>
      <c r="N52" s="2151"/>
      <c r="O52" s="2153" t="str">
        <f>IF(N49&lt;&gt;B53,HLOOKUP(select,translations!$A$445:$H$490,13,),"")</f>
        <v/>
      </c>
      <c r="P52" s="2151"/>
      <c r="Q52" s="2151"/>
      <c r="U52" s="1799"/>
    </row>
    <row r="53" spans="2:21" s="2144" customFormat="1" ht="12.75" customHeight="1">
      <c r="B53" s="1758" t="str">
        <f>HLOOKUP(select,'Name translation'!$A$1:$H$29,18,)</f>
        <v>Tropical</v>
      </c>
      <c r="C53" s="1758"/>
      <c r="D53" s="1758"/>
      <c r="E53" s="1759">
        <v>25</v>
      </c>
      <c r="F53" s="1759">
        <v>18</v>
      </c>
      <c r="G53" s="1759">
        <v>45</v>
      </c>
      <c r="L53" s="1799" t="s">
        <v>6244</v>
      </c>
      <c r="U53" s="1799"/>
    </row>
    <row r="54" spans="2:21" s="2144" customFormat="1" ht="12.75" customHeight="1">
      <c r="B54" s="1758" t="str">
        <f>HLOOKUP(select,'Name translation'!$A$1:$H$29,19,)</f>
        <v>Tropical Montane</v>
      </c>
      <c r="C54" s="1758"/>
      <c r="D54" s="1758"/>
      <c r="E54" s="1759">
        <v>25</v>
      </c>
      <c r="F54" s="1759">
        <v>18</v>
      </c>
      <c r="G54" s="1759">
        <v>45</v>
      </c>
      <c r="L54" s="1799"/>
      <c r="M54" s="1799"/>
      <c r="N54" s="1799"/>
      <c r="O54" s="2154" t="str">
        <f>HLOOKUP(select,translations!$A$445:$H$490,19,)</f>
        <v>Note: Tropical Montane is usually Dry</v>
      </c>
      <c r="P54" s="2167"/>
      <c r="Q54" s="2154"/>
      <c r="U54" s="1799"/>
    </row>
    <row r="55" spans="2:21" s="2144" customFormat="1" ht="12.75" customHeight="1">
      <c r="U55" s="1799"/>
    </row>
    <row r="56" spans="2:21" s="2144" customFormat="1" ht="12.75" customHeight="1">
      <c r="B56" s="1799" t="s">
        <v>4</v>
      </c>
      <c r="C56" s="1799" t="s">
        <v>4</v>
      </c>
      <c r="L56" s="2155" t="str">
        <f>HLOOKUP(select,translations!$A$445:$H$490,14,)</f>
        <v>MAT and Climate Category</v>
      </c>
      <c r="M56" s="2155"/>
      <c r="N56" s="2155"/>
      <c r="O56" s="2775" t="str">
        <f>HLOOKUP(select,translations!$A$445:$H$490,22,)</f>
        <v>Default MAT</v>
      </c>
      <c r="P56" s="2805"/>
      <c r="U56" s="1799"/>
    </row>
    <row r="57" spans="2:21" s="2144" customFormat="1" ht="12.75" customHeight="1">
      <c r="L57" s="2167" t="str">
        <f>HLOOKUP(select,translations!$A$445:$H$490,15,)</f>
        <v>MAT &gt; 18</v>
      </c>
      <c r="M57" s="2151" t="str">
        <f>B53</f>
        <v>Tropical</v>
      </c>
      <c r="N57" s="2151"/>
      <c r="O57" s="2815">
        <f>E53</f>
        <v>25</v>
      </c>
      <c r="P57" s="2807" t="s">
        <v>294</v>
      </c>
    </row>
    <row r="58" spans="2:21" s="2144" customFormat="1" ht="12.75" customHeight="1">
      <c r="L58" s="2167" t="str">
        <f>HLOOKUP(select,translations!$A$445:$H$490,16,)</f>
        <v>10 &gt; MAT &gt; 18</v>
      </c>
      <c r="M58" s="2151" t="str">
        <f>B52</f>
        <v>Warm Temperate</v>
      </c>
      <c r="N58" s="2151"/>
      <c r="O58" s="2815">
        <f>E52</f>
        <v>15</v>
      </c>
      <c r="P58" s="2807" t="s">
        <v>292</v>
      </c>
    </row>
    <row r="59" spans="2:21" s="2144" customFormat="1" ht="12.75" customHeight="1">
      <c r="L59" s="2167" t="str">
        <f>HLOOKUP(select,translations!$A$445:$H$490,17,)</f>
        <v>0 &gt; MAT &gt; 10</v>
      </c>
      <c r="M59" s="2151" t="str">
        <f>B51</f>
        <v>Cool Temperate</v>
      </c>
      <c r="N59" s="2151"/>
      <c r="O59" s="2815">
        <v>5</v>
      </c>
      <c r="P59" s="2807" t="s">
        <v>290</v>
      </c>
    </row>
    <row r="60" spans="2:21" s="2144" customFormat="1" ht="12.75" customHeight="1">
      <c r="L60" s="2167" t="str">
        <f>HLOOKUP(select,translations!$A$445:$H$490,18,)</f>
        <v>MAT &lt; 0</v>
      </c>
      <c r="M60" s="2151" t="str">
        <f>B50</f>
        <v>Boreal</v>
      </c>
      <c r="N60" s="2151"/>
      <c r="O60" s="2815">
        <f>E50</f>
        <v>0</v>
      </c>
      <c r="P60" s="2807" t="s">
        <v>396</v>
      </c>
    </row>
    <row r="61" spans="2:21" s="2144" customFormat="1" ht="12.75" customHeight="1">
      <c r="N61" s="2159"/>
      <c r="O61" s="2808">
        <f>E54</f>
        <v>25</v>
      </c>
      <c r="P61" s="2807" t="s">
        <v>295</v>
      </c>
    </row>
    <row r="62" spans="2:21" s="2144" customFormat="1" ht="12.75" customHeight="1">
      <c r="L62" s="2156" t="str">
        <f>HLOOKUP(select,translations!$A$445:$H$490,28,)</f>
        <v>FAO ressources:</v>
      </c>
      <c r="M62" s="2157"/>
      <c r="N62" s="2157"/>
      <c r="O62" s="2157"/>
      <c r="P62" s="2157"/>
      <c r="Q62" s="2157"/>
    </row>
    <row r="63" spans="2:21" s="2144" customFormat="1" ht="12.75" customHeight="1">
      <c r="L63" s="2158" t="str">
        <f>HLOOKUP(select,translations!$A$445:$H$490,29,)</f>
        <v>MAP and MAT Maps</v>
      </c>
      <c r="M63" s="2797"/>
      <c r="N63" s="2797"/>
      <c r="O63" s="2797"/>
      <c r="P63" s="2157"/>
      <c r="Q63" s="2157"/>
    </row>
    <row r="64" spans="2:21" s="2144" customFormat="1" ht="12.75" customHeight="1">
      <c r="B64" s="2800"/>
      <c r="C64" s="2800"/>
      <c r="D64" s="2800"/>
      <c r="E64" s="2800"/>
      <c r="F64" s="2800"/>
      <c r="G64" s="2800"/>
      <c r="H64" s="2800"/>
      <c r="I64" s="2800"/>
      <c r="J64" s="2800"/>
      <c r="L64" s="2157"/>
      <c r="M64" s="3404" t="str">
        <f>HLOOKUP(select,translations!$A$445:$H$490,30,)</f>
        <v>See the Global Climate map at FAO</v>
      </c>
      <c r="N64" s="3404"/>
      <c r="O64" s="3404"/>
      <c r="P64" s="3404"/>
      <c r="Q64" s="3404"/>
    </row>
    <row r="65" spans="2:17" s="2144" customFormat="1" ht="12.75" customHeight="1">
      <c r="B65" s="2799" t="str">
        <f>HLOOKUP(select,translations!$A$445:$H$490,20,)</f>
        <v>IPCC Climate Zones</v>
      </c>
      <c r="C65" s="2800"/>
      <c r="D65" s="2800"/>
      <c r="E65" s="2800"/>
      <c r="F65" s="2800"/>
      <c r="G65" s="2802" t="str">
        <f>IF(Nlang=1,"",A23)</f>
        <v/>
      </c>
      <c r="H65" s="2800"/>
      <c r="I65" s="2800"/>
      <c r="J65" s="2800"/>
      <c r="L65" s="2157"/>
      <c r="M65" s="2821" t="str">
        <f>HLOOKUP(select,translations!$A$445:$H$490,31,)</f>
        <v>Annual average rainfall total</v>
      </c>
      <c r="N65" s="2157"/>
      <c r="O65" s="2797"/>
      <c r="P65" s="2822"/>
      <c r="Q65" s="2157"/>
    </row>
    <row r="66" spans="2:17" s="2144" customFormat="1" ht="12.75" customHeight="1">
      <c r="B66" s="2800"/>
      <c r="C66" s="2800"/>
      <c r="D66" s="2800"/>
      <c r="E66" s="2800"/>
      <c r="F66" s="2800"/>
      <c r="G66" s="2803" t="str">
        <f>IF(Nlang=1,"",HLOOKUP(select,translations!$A$445:$H$490,21,))</f>
        <v/>
      </c>
      <c r="H66" s="2800"/>
      <c r="I66" s="2800"/>
      <c r="J66" s="2800"/>
      <c r="L66" s="2157"/>
      <c r="M66" s="3404" t="str">
        <f>HLOOKUP(select,translations!$A$445:$H$490,32,)</f>
        <v>Annual average temperature</v>
      </c>
      <c r="N66" s="3404"/>
      <c r="O66" s="3404"/>
      <c r="P66" s="3404"/>
      <c r="Q66" s="2157"/>
    </row>
    <row r="67" spans="2:17" s="2144" customFormat="1" ht="15.6" customHeight="1">
      <c r="B67" s="2800"/>
      <c r="C67" s="2800"/>
      <c r="D67" s="2800"/>
      <c r="E67" s="2800"/>
      <c r="F67" s="2800"/>
      <c r="G67" s="2803" t="str">
        <f>IF(Nlang=1,"",B54)</f>
        <v/>
      </c>
      <c r="H67" s="2800"/>
      <c r="I67" s="2800"/>
      <c r="J67" s="2800"/>
    </row>
    <row r="68" spans="2:17" s="2144" customFormat="1" ht="15.6" customHeight="1">
      <c r="B68" s="2800"/>
      <c r="C68" s="2800"/>
      <c r="D68" s="2800"/>
      <c r="E68" s="2800"/>
      <c r="F68" s="2800"/>
      <c r="G68" s="2803" t="str">
        <f>IF(Nlang=1,"",CONCATENATE(B53," ",C52))</f>
        <v/>
      </c>
      <c r="H68" s="2800"/>
      <c r="I68" s="2800"/>
      <c r="J68" s="2800"/>
    </row>
    <row r="69" spans="2:17" s="2144" customFormat="1" ht="15.6" customHeight="1">
      <c r="B69" s="2800"/>
      <c r="C69" s="2800"/>
      <c r="D69" s="2800"/>
      <c r="E69" s="2800"/>
      <c r="F69" s="2800"/>
      <c r="G69" s="2803" t="str">
        <f>IF(Nlang=1,"",CONCATENATE(B53," ",C51))</f>
        <v/>
      </c>
      <c r="H69" s="2800"/>
      <c r="I69" s="2800"/>
      <c r="J69" s="2800"/>
      <c r="L69" s="2158" t="str">
        <f>HLOOKUP(select,translations!$A$445:$H$490,33,)</f>
        <v>LocClim</v>
      </c>
      <c r="M69" s="3407" t="str">
        <f>HLOOKUP(select,translations!$A$445:$H$490,35,)</f>
        <v xml:space="preserve">LocClim was developed to provide an estimate of climatic conditions at locations for which no observations are available. To achieve this, the programme uses the 28800 stations of FAOCLIM 2.0 </v>
      </c>
      <c r="N69" s="3407"/>
      <c r="O69" s="3407"/>
      <c r="P69" s="3407"/>
      <c r="Q69" s="3407"/>
    </row>
    <row r="70" spans="2:17" s="2144" customFormat="1" ht="15.6" customHeight="1">
      <c r="B70" s="2800"/>
      <c r="C70" s="2800"/>
      <c r="D70" s="2800"/>
      <c r="E70" s="2800"/>
      <c r="F70" s="2800"/>
      <c r="G70" s="2801" t="str">
        <f>IF(Nlang=1,"",CONCATENATE(B53," ",C50))</f>
        <v/>
      </c>
      <c r="H70" s="2800"/>
      <c r="I70" s="2800"/>
      <c r="J70" s="2800"/>
      <c r="L70" s="2157"/>
      <c r="M70" s="3407"/>
      <c r="N70" s="3407"/>
      <c r="O70" s="3407"/>
      <c r="P70" s="3407"/>
      <c r="Q70" s="3407"/>
    </row>
    <row r="71" spans="2:17" s="2144" customFormat="1" ht="15.6" customHeight="1">
      <c r="B71" s="2800"/>
      <c r="C71" s="2800"/>
      <c r="D71" s="2800"/>
      <c r="E71" s="2800"/>
      <c r="F71" s="2800"/>
      <c r="G71" s="2804" t="str">
        <f>IF(Nlang=1,"",CONCATENATE(B52," ",C51))</f>
        <v/>
      </c>
      <c r="H71" s="2800"/>
      <c r="I71" s="2800"/>
      <c r="J71" s="2800"/>
      <c r="L71" s="2157"/>
      <c r="M71" s="3407"/>
      <c r="N71" s="3407"/>
      <c r="O71" s="3407"/>
      <c r="P71" s="3407"/>
      <c r="Q71" s="3407"/>
    </row>
    <row r="72" spans="2:17" s="2144" customFormat="1" ht="15.6" customHeight="1">
      <c r="B72" s="2800"/>
      <c r="C72" s="2800"/>
      <c r="D72" s="2800"/>
      <c r="E72" s="2800"/>
      <c r="F72" s="2800"/>
      <c r="G72" s="2804" t="str">
        <f>IF(Nlang=1,"",CONCATENATE(B52," ",C50))</f>
        <v/>
      </c>
      <c r="H72" s="2800"/>
      <c r="I72" s="2800"/>
      <c r="J72" s="2800"/>
      <c r="L72" s="2157"/>
      <c r="M72" s="3404" t="str">
        <f>HLOOKUP(select,translations!$A$445:$H$490,36,)</f>
        <v>Click here to go to the application</v>
      </c>
      <c r="N72" s="3404"/>
      <c r="O72" s="3404"/>
      <c r="P72" s="2157"/>
      <c r="Q72" s="2157"/>
    </row>
    <row r="73" spans="2:17" s="2144" customFormat="1" ht="15.6" customHeight="1">
      <c r="B73" s="2800"/>
      <c r="C73" s="2800"/>
      <c r="D73" s="2800"/>
      <c r="E73" s="2800"/>
      <c r="F73" s="2801"/>
      <c r="G73" s="2804" t="str">
        <f>IF(Nlang=1,"",CONCATENATE(B51," ",C51))</f>
        <v/>
      </c>
      <c r="H73" s="2800"/>
      <c r="I73" s="2800"/>
      <c r="J73" s="2800"/>
    </row>
    <row r="74" spans="2:17" s="2144" customFormat="1" ht="15.6" customHeight="1">
      <c r="B74" s="2800"/>
      <c r="C74" s="2800"/>
      <c r="D74" s="2800"/>
      <c r="E74" s="2800"/>
      <c r="F74" s="2801"/>
      <c r="G74" s="2804" t="str">
        <f>IF(Nlang=1,"",CONCATENATE(B51," ",C50))</f>
        <v/>
      </c>
      <c r="H74" s="2800"/>
      <c r="I74" s="2800"/>
      <c r="J74" s="2800"/>
      <c r="L74" s="2158" t="str">
        <f>HLOOKUP(select,translations!$A$445:$H$490,34,)</f>
        <v>Web Loc Clim</v>
      </c>
      <c r="M74" s="3407" t="str">
        <f>HLOOKUP(select,translations!$A$445:$H$490,37,)</f>
        <v>For on-line climate data using localisation see also Web LocClim the  local monthly climate estimator</v>
      </c>
      <c r="N74" s="3407"/>
      <c r="O74" s="3407"/>
      <c r="P74" s="3407"/>
      <c r="Q74" s="3407"/>
    </row>
    <row r="75" spans="2:17" s="2144" customFormat="1" ht="15" customHeight="1">
      <c r="B75" s="2800"/>
      <c r="C75" s="2800"/>
      <c r="D75" s="2800"/>
      <c r="E75" s="2800"/>
      <c r="F75" s="2801"/>
      <c r="G75" s="2804" t="str">
        <f>IF(Nlang=1,"",CONCATENATE(B50," ",C51))</f>
        <v/>
      </c>
      <c r="H75" s="2800"/>
      <c r="I75" s="2800"/>
      <c r="J75" s="2800"/>
      <c r="L75" s="2157"/>
      <c r="M75" s="3407"/>
      <c r="N75" s="3407"/>
      <c r="O75" s="3407"/>
      <c r="P75" s="3407"/>
      <c r="Q75" s="3407"/>
    </row>
    <row r="76" spans="2:17" s="2144" customFormat="1" ht="15" customHeight="1">
      <c r="B76" s="2800"/>
      <c r="C76" s="2800"/>
      <c r="D76" s="2800"/>
      <c r="E76" s="2800"/>
      <c r="F76" s="2801"/>
      <c r="G76" s="2804" t="str">
        <f>IF(Nlang=1,"",CONCATENATE(B50," ",C50))</f>
        <v/>
      </c>
      <c r="H76" s="2800"/>
      <c r="I76" s="2800"/>
      <c r="J76" s="2800"/>
      <c r="L76" s="2157"/>
      <c r="M76" s="3404" t="str">
        <f>HLOOKUP(select,translations!$A$445:$H$490,38,)</f>
        <v>Go to Web LocClim</v>
      </c>
      <c r="N76" s="3404"/>
      <c r="O76" s="3404"/>
      <c r="P76" s="2157"/>
      <c r="Q76" s="2157"/>
    </row>
    <row r="77" spans="2:17" s="2144" customFormat="1" ht="12.75" customHeight="1">
      <c r="L77" s="2806" t="s">
        <v>312</v>
      </c>
      <c r="M77" s="2805"/>
      <c r="N77" s="2805"/>
      <c r="O77" s="1799"/>
    </row>
    <row r="78" spans="2:17" s="2144" customFormat="1" ht="12.75" customHeight="1">
      <c r="B78" s="2799" t="str">
        <f>HLOOKUP(select,translations!$A$445:$H$490,23,)</f>
        <v>Simplified IPCC Climate Zones</v>
      </c>
      <c r="C78" s="2800"/>
      <c r="D78" s="2800"/>
      <c r="E78" s="2800"/>
      <c r="F78" s="2800"/>
      <c r="G78" s="2800"/>
      <c r="H78" s="2800"/>
      <c r="I78" s="2800"/>
      <c r="J78" s="2800"/>
      <c r="K78" s="2800"/>
      <c r="L78" s="2819" t="s">
        <v>286</v>
      </c>
      <c r="M78" s="2819"/>
      <c r="N78" s="2805" t="s">
        <v>313</v>
      </c>
      <c r="O78" s="1799"/>
    </row>
    <row r="79" spans="2:17" s="2144" customFormat="1" ht="12.75" customHeight="1">
      <c r="B79" s="2800"/>
      <c r="C79" s="2800"/>
      <c r="D79" s="2800"/>
      <c r="E79" s="2800"/>
      <c r="F79" s="2800"/>
      <c r="G79" s="2800"/>
      <c r="H79" s="2800"/>
      <c r="I79" s="2800"/>
      <c r="J79" s="2800"/>
      <c r="K79" s="2800"/>
      <c r="L79" s="2819" t="str">
        <f>B56</f>
        <v>Please select</v>
      </c>
      <c r="M79" s="2819"/>
      <c r="N79" s="2805" t="s">
        <v>5</v>
      </c>
      <c r="O79" s="2159"/>
    </row>
    <row r="80" spans="2:17" s="2144" customFormat="1" ht="12.75" customHeight="1">
      <c r="B80" s="2800"/>
      <c r="C80" s="2800"/>
      <c r="D80" s="2800"/>
      <c r="E80" s="2800"/>
      <c r="F80" s="2800"/>
      <c r="G80" s="2800"/>
      <c r="H80" s="2800"/>
      <c r="I80" s="2800"/>
      <c r="J80" s="2800"/>
      <c r="K80" s="2800"/>
      <c r="L80" s="2819" t="s">
        <v>516</v>
      </c>
      <c r="M80" s="2819"/>
      <c r="N80" s="2805" t="s">
        <v>314</v>
      </c>
      <c r="O80" s="2159"/>
    </row>
    <row r="81" spans="2:15" s="2144" customFormat="1" ht="12.75" customHeight="1">
      <c r="B81" s="2800"/>
      <c r="C81" s="2800"/>
      <c r="D81" s="2800"/>
      <c r="E81" s="2800"/>
      <c r="F81" s="2800"/>
      <c r="G81" s="2800"/>
      <c r="H81" s="2800"/>
      <c r="I81" s="2800"/>
      <c r="J81" s="2800"/>
      <c r="K81" s="2800"/>
      <c r="L81" s="2819" t="s">
        <v>515</v>
      </c>
      <c r="M81" s="2819"/>
      <c r="N81" s="2805" t="s">
        <v>317</v>
      </c>
      <c r="O81" s="2159"/>
    </row>
    <row r="82" spans="2:15" s="2144" customFormat="1" ht="12.75" customHeight="1">
      <c r="B82" s="2800"/>
      <c r="C82" s="2800"/>
      <c r="D82" s="2800"/>
      <c r="E82" s="2800"/>
      <c r="F82" s="2800"/>
      <c r="G82" s="2800"/>
      <c r="H82" s="2800"/>
      <c r="I82" s="2800"/>
      <c r="J82" s="2800"/>
      <c r="K82" s="2800"/>
      <c r="L82" s="2819" t="s">
        <v>315</v>
      </c>
      <c r="M82" s="2819"/>
      <c r="N82" s="2805" t="s">
        <v>317</v>
      </c>
      <c r="O82" s="2159"/>
    </row>
    <row r="83" spans="2:15" s="2144" customFormat="1" ht="12.75" customHeight="1">
      <c r="B83" s="2800"/>
      <c r="C83" s="2800"/>
      <c r="D83" s="2800"/>
      <c r="E83" s="2800"/>
      <c r="F83" s="2800"/>
      <c r="G83" s="2800"/>
      <c r="H83" s="2800"/>
      <c r="I83" s="2800"/>
      <c r="J83" s="2800"/>
      <c r="K83" s="2800"/>
      <c r="L83" s="2819" t="s">
        <v>316</v>
      </c>
      <c r="M83" s="2819"/>
      <c r="N83" s="2805" t="s">
        <v>317</v>
      </c>
      <c r="O83" s="2159"/>
    </row>
    <row r="84" spans="2:15" s="2144" customFormat="1" ht="12.75" customHeight="1">
      <c r="B84" s="2800"/>
      <c r="C84" s="2800"/>
      <c r="D84" s="2800"/>
      <c r="E84" s="2800"/>
      <c r="F84" s="2800"/>
      <c r="G84" s="2800"/>
      <c r="H84" s="2800"/>
      <c r="I84" s="2800"/>
      <c r="J84" s="2800"/>
      <c r="K84" s="2800"/>
      <c r="L84" s="2819" t="s">
        <v>318</v>
      </c>
      <c r="M84" s="2819"/>
      <c r="N84" s="2805" t="s">
        <v>314</v>
      </c>
      <c r="O84" s="2159"/>
    </row>
    <row r="85" spans="2:15" s="2144" customFormat="1" ht="12.75" customHeight="1">
      <c r="B85" s="2800"/>
      <c r="C85" s="2800"/>
      <c r="D85" s="2800"/>
      <c r="E85" s="2800"/>
      <c r="F85" s="2800"/>
      <c r="G85" s="2800"/>
      <c r="H85" s="2800"/>
      <c r="I85" s="2800"/>
      <c r="J85" s="2800"/>
      <c r="K85" s="2800"/>
      <c r="L85" s="2819" t="s">
        <v>319</v>
      </c>
      <c r="M85" s="2819"/>
      <c r="N85" s="2805" t="s">
        <v>314</v>
      </c>
      <c r="O85" s="2159"/>
    </row>
    <row r="86" spans="2:15" s="2144" customFormat="1" ht="12.75" customHeight="1">
      <c r="B86" s="2800"/>
      <c r="C86" s="2800"/>
      <c r="D86" s="2800"/>
      <c r="E86" s="2800"/>
      <c r="F86" s="2800"/>
      <c r="G86" s="2800"/>
      <c r="H86" s="2800"/>
      <c r="I86" s="2800"/>
      <c r="J86" s="2800"/>
      <c r="K86" s="2800"/>
      <c r="L86" s="2819" t="s">
        <v>475</v>
      </c>
      <c r="M86" s="2819"/>
      <c r="N86" s="2805" t="s">
        <v>317</v>
      </c>
      <c r="O86" s="2159"/>
    </row>
    <row r="87" spans="2:15" s="2144" customFormat="1" ht="12.75" customHeight="1">
      <c r="B87" s="2800"/>
      <c r="C87" s="2800"/>
      <c r="D87" s="2800"/>
      <c r="E87" s="2800"/>
      <c r="F87" s="2800"/>
      <c r="G87" s="2800"/>
      <c r="H87" s="2800"/>
      <c r="I87" s="2800"/>
      <c r="J87" s="2800"/>
      <c r="K87" s="2800"/>
      <c r="L87" s="2819" t="s">
        <v>320</v>
      </c>
      <c r="M87" s="2819"/>
      <c r="N87" s="2805" t="s">
        <v>324</v>
      </c>
      <c r="O87" s="2159"/>
    </row>
    <row r="88" spans="2:15" s="2144" customFormat="1" ht="12.75" customHeight="1">
      <c r="B88" s="2800"/>
      <c r="C88" s="2800"/>
      <c r="D88" s="2800"/>
      <c r="E88" s="2800"/>
      <c r="F88" s="2800"/>
      <c r="G88" s="2800"/>
      <c r="H88" s="2800"/>
      <c r="I88" s="2800"/>
      <c r="J88" s="2800"/>
      <c r="K88" s="2800"/>
      <c r="L88" s="2819" t="s">
        <v>321</v>
      </c>
      <c r="M88" s="2819"/>
      <c r="N88" s="2805" t="s">
        <v>325</v>
      </c>
      <c r="O88" s="2159"/>
    </row>
    <row r="89" spans="2:15" s="2144" customFormat="1" ht="12.75" customHeight="1">
      <c r="B89" s="2800"/>
      <c r="C89" s="2800"/>
      <c r="D89" s="2800"/>
      <c r="E89" s="2800"/>
      <c r="F89" s="2800"/>
      <c r="G89" s="2800"/>
      <c r="H89" s="2800"/>
      <c r="I89" s="2800"/>
      <c r="J89" s="2800"/>
      <c r="K89" s="2800"/>
      <c r="L89" s="2819" t="s">
        <v>322</v>
      </c>
      <c r="M89" s="2819"/>
      <c r="N89" s="2805" t="s">
        <v>325</v>
      </c>
      <c r="O89" s="2159"/>
    </row>
    <row r="90" spans="2:15" s="2144" customFormat="1" ht="12.75" customHeight="1">
      <c r="B90" s="2800"/>
      <c r="C90" s="2800"/>
      <c r="D90" s="2800"/>
      <c r="E90" s="2800"/>
      <c r="F90" s="2800"/>
      <c r="G90" s="2800"/>
      <c r="H90" s="2800"/>
      <c r="I90" s="2800"/>
      <c r="J90" s="2800"/>
      <c r="K90" s="2800"/>
      <c r="L90" s="2819" t="s">
        <v>323</v>
      </c>
      <c r="M90" s="2819"/>
      <c r="N90" s="2805" t="s">
        <v>324</v>
      </c>
      <c r="O90" s="2159"/>
    </row>
    <row r="91" spans="2:15" s="2144" customFormat="1" ht="12.75" customHeight="1">
      <c r="B91" s="2800"/>
      <c r="C91" s="2800"/>
      <c r="D91" s="2800"/>
      <c r="E91" s="2800"/>
      <c r="F91" s="2800"/>
      <c r="G91" s="2800"/>
      <c r="H91" s="2800"/>
      <c r="I91" s="2800"/>
      <c r="J91" s="2800"/>
      <c r="K91" s="2800"/>
      <c r="L91" s="2820" t="s">
        <v>521</v>
      </c>
      <c r="M91" s="2820" t="s">
        <v>522</v>
      </c>
      <c r="N91" s="2159"/>
      <c r="O91" s="2159"/>
    </row>
    <row r="92" spans="2:15" s="2144" customFormat="1" ht="15.6" customHeight="1">
      <c r="B92" s="2800"/>
      <c r="C92" s="2816" t="str">
        <f>C50</f>
        <v>Dry</v>
      </c>
      <c r="D92" s="2816" t="str">
        <f>C51</f>
        <v>Moist</v>
      </c>
      <c r="E92" s="2800"/>
      <c r="F92" s="2800"/>
      <c r="G92" s="2800"/>
      <c r="H92" s="2800"/>
      <c r="I92" s="2800"/>
      <c r="J92" s="2800"/>
      <c r="K92" s="2800"/>
      <c r="L92" s="2820" t="str">
        <f>IF(climate&lt;&gt;B56,IF(moist_type&lt;&gt;C56,CONCATENATE(climate," ",moist_type),B56),C56)</f>
        <v>Please select</v>
      </c>
      <c r="M92" s="2820" t="str">
        <f>VLOOKUP(L92,L79:N90,3,)</f>
        <v>?</v>
      </c>
      <c r="N92" s="1799"/>
      <c r="O92" s="1799"/>
    </row>
    <row r="93" spans="2:15" s="2144" customFormat="1" ht="12.75" customHeight="1">
      <c r="B93" s="2800"/>
      <c r="C93" s="2800"/>
      <c r="D93" s="2800"/>
      <c r="E93" s="2800"/>
      <c r="F93" s="2800"/>
      <c r="G93" s="2800"/>
      <c r="H93" s="2800"/>
      <c r="I93" s="2800"/>
      <c r="J93" s="2800"/>
      <c r="K93" s="2800"/>
      <c r="L93" s="3053"/>
      <c r="M93" s="3053"/>
      <c r="N93" s="1799"/>
      <c r="O93" s="1799"/>
    </row>
    <row r="94" spans="2:15" s="2144" customFormat="1" ht="16.2" customHeight="1">
      <c r="B94" s="2817" t="str">
        <f>HLOOKUP(select,translations!$A$445:$H$490,24,)</f>
        <v>Cool</v>
      </c>
      <c r="C94" s="2800"/>
      <c r="D94" s="2800"/>
      <c r="E94" s="2800"/>
      <c r="F94" s="2800"/>
      <c r="G94" s="2800"/>
      <c r="H94" s="2800"/>
      <c r="I94" s="2800"/>
      <c r="J94" s="2800"/>
      <c r="K94" s="2800"/>
      <c r="L94" s="3053"/>
      <c r="M94" s="3053"/>
      <c r="N94" s="1799"/>
      <c r="O94" s="1799"/>
    </row>
    <row r="95" spans="2:15" s="2144" customFormat="1" ht="12.75" customHeight="1">
      <c r="B95" s="2800"/>
      <c r="C95" s="2800"/>
      <c r="D95" s="2800"/>
      <c r="E95" s="2800"/>
      <c r="F95" s="2800"/>
      <c r="G95" s="2800"/>
      <c r="H95" s="2800"/>
      <c r="I95" s="2800"/>
      <c r="J95" s="2800"/>
      <c r="K95" s="2800"/>
      <c r="L95" s="2673"/>
      <c r="M95" s="2673"/>
      <c r="N95" s="1799"/>
      <c r="O95" s="1799"/>
    </row>
    <row r="96" spans="2:15" s="2144" customFormat="1" ht="16.2" customHeight="1">
      <c r="B96" s="2817" t="str">
        <f>HLOOKUP(select,translations!$A$445:$H$490,25,)</f>
        <v>Warm</v>
      </c>
      <c r="C96" s="2800"/>
      <c r="D96" s="2800"/>
      <c r="E96" s="2800"/>
      <c r="F96" s="2800"/>
      <c r="G96" s="2800"/>
      <c r="H96" s="2800"/>
      <c r="I96" s="2800"/>
      <c r="J96" s="2800"/>
      <c r="K96" s="2800"/>
      <c r="L96" s="2673"/>
      <c r="M96" s="2673"/>
      <c r="N96" s="1799"/>
      <c r="O96" s="1799"/>
    </row>
    <row r="97" spans="1:14" s="2144" customFormat="1" ht="12.75" customHeight="1">
      <c r="B97" s="2800"/>
      <c r="C97" s="2800"/>
      <c r="D97" s="2800"/>
      <c r="E97" s="2800"/>
      <c r="F97" s="2800"/>
      <c r="G97" s="2800"/>
      <c r="H97" s="2800"/>
      <c r="I97" s="2800"/>
      <c r="J97" s="2800"/>
      <c r="K97" s="2800"/>
      <c r="L97" s="2800"/>
      <c r="M97" s="2800"/>
    </row>
    <row r="98" spans="1:14" s="2144" customFormat="1" ht="15" customHeight="1">
      <c r="B98" s="2817" t="str">
        <f>HLOOKUP(select,translations!$A$445:$H$490,26,)</f>
        <v>Boreal</v>
      </c>
      <c r="C98" s="2800"/>
      <c r="D98" s="2800"/>
      <c r="E98" s="2800"/>
      <c r="F98" s="2800"/>
      <c r="G98" s="2800"/>
      <c r="H98" s="2800"/>
      <c r="I98" s="2800"/>
      <c r="J98" s="2800"/>
      <c r="K98" s="2800"/>
      <c r="L98" s="2800"/>
      <c r="M98" s="2800"/>
    </row>
    <row r="99" spans="1:14" s="2144" customFormat="1" ht="12.75" customHeight="1">
      <c r="B99" s="2818" t="str">
        <f>HLOOKUP(select,translations!$A$445:$H$490,27,)</f>
        <v>(or Polar)</v>
      </c>
      <c r="C99" s="2800"/>
      <c r="D99" s="2800"/>
      <c r="E99" s="2800"/>
      <c r="F99" s="2800"/>
      <c r="G99" s="2800"/>
      <c r="H99" s="2800"/>
      <c r="I99" s="2800"/>
      <c r="J99" s="2800"/>
      <c r="K99" s="2800"/>
      <c r="L99" s="2800"/>
      <c r="M99" s="2800"/>
    </row>
    <row r="100" spans="1:14" s="2144" customFormat="1" ht="12.6" customHeight="1">
      <c r="B100" s="2800"/>
      <c r="C100" s="2800"/>
      <c r="D100" s="2800"/>
      <c r="E100" s="2800"/>
      <c r="F100" s="2800"/>
      <c r="G100" s="2800"/>
      <c r="H100" s="2800"/>
      <c r="I100" s="2800"/>
      <c r="J100" s="2800"/>
      <c r="K100" s="2800"/>
      <c r="L100" s="2800"/>
      <c r="M100" s="2800"/>
    </row>
    <row r="101" spans="1:14" s="2144" customFormat="1" ht="12.75" customHeight="1">
      <c r="L101" s="2159" t="s">
        <v>4</v>
      </c>
      <c r="M101" s="2159">
        <v>0</v>
      </c>
      <c r="N101" s="2159"/>
    </row>
    <row r="102" spans="1:14" s="2144" customFormat="1" ht="12.75" customHeight="1">
      <c r="L102" s="2159"/>
      <c r="M102" s="2159"/>
      <c r="N102" s="2159"/>
    </row>
    <row r="103" spans="1:14" s="2144" customFormat="1" ht="12.75" customHeight="1">
      <c r="L103" s="2159"/>
      <c r="M103" s="2159"/>
      <c r="N103" s="2159"/>
    </row>
    <row r="104" spans="1:14" s="1678" customFormat="1" ht="12.75" customHeight="1">
      <c r="L104" s="2160"/>
      <c r="M104" s="2160"/>
      <c r="N104" s="2160"/>
    </row>
    <row r="105" spans="1:14" s="1678" customFormat="1" ht="12.75" customHeight="1">
      <c r="C105" s="3402" t="str">
        <f>HLOOKUP(select,translations!$A$445:$H$490,39,)</f>
        <v>Global Ecological Zones</v>
      </c>
      <c r="D105" s="3402"/>
      <c r="E105" s="3402"/>
      <c r="L105" s="2160"/>
      <c r="M105" s="2160"/>
      <c r="N105" s="2160"/>
    </row>
    <row r="106" spans="1:14" s="1678" customFormat="1" ht="12.75" customHeight="1">
      <c r="C106" s="3402"/>
      <c r="D106" s="3402"/>
      <c r="E106" s="3402"/>
    </row>
    <row r="107" spans="1:14" s="1678" customFormat="1" ht="12.75" customHeight="1">
      <c r="C107" s="3402"/>
      <c r="D107" s="3402"/>
      <c r="E107" s="3402"/>
    </row>
    <row r="108" spans="1:14" s="1678" customFormat="1" ht="12.75" customHeight="1"/>
    <row r="109" spans="1:14" s="2144" customFormat="1" ht="12.75" customHeight="1">
      <c r="B109" s="2161"/>
      <c r="C109" s="2161"/>
      <c r="D109" s="2161"/>
      <c r="E109" s="2161"/>
      <c r="F109" s="2161"/>
      <c r="G109" s="2161"/>
      <c r="H109" s="2161"/>
      <c r="I109" s="2161"/>
      <c r="J109" s="2161"/>
      <c r="K109" s="2161"/>
      <c r="L109" s="2161"/>
      <c r="M109" s="2161"/>
    </row>
    <row r="110" spans="1:14" s="2144" customFormat="1" ht="12.75" customHeight="1">
      <c r="A110" s="1892" t="str">
        <f>HLOOKUP(select,translations!$A$445:$H$490,40,)</f>
        <v>Global ecological zones, based on observed climate and vegetation patterns (FAO, 2001). Data for geographic information systems available at http://www.fao.org.</v>
      </c>
    </row>
    <row r="111" spans="1:14" s="2144" customFormat="1" ht="12.75" customHeight="1"/>
    <row r="112" spans="1:14" s="2144" customFormat="1" ht="12.75" customHeight="1"/>
    <row r="113" s="2144" customFormat="1" ht="12.75" customHeight="1"/>
    <row r="114" s="2144" customFormat="1" ht="12.75" customHeight="1"/>
    <row r="115" s="2144" customFormat="1" ht="12.75" customHeight="1"/>
    <row r="116" s="2144" customFormat="1" ht="12.75" customHeight="1"/>
    <row r="117" s="2144" customFormat="1" ht="12.75" customHeight="1"/>
    <row r="118" s="2144" customFormat="1" ht="12.75" customHeight="1"/>
    <row r="119" s="2144" customFormat="1" ht="12.75" customHeight="1"/>
    <row r="120" s="2144" customFormat="1" ht="12.75" customHeight="1"/>
    <row r="121" s="2144" customFormat="1" ht="12.75" customHeight="1"/>
    <row r="122" s="2144" customFormat="1" ht="12.75" customHeight="1"/>
    <row r="123" s="2144" customFormat="1" ht="12.75" customHeight="1"/>
    <row r="124" s="2144" customFormat="1" ht="12.75" customHeight="1"/>
    <row r="125" s="2144" customFormat="1" ht="12.75" customHeight="1"/>
    <row r="126" s="2144" customFormat="1" ht="12.75" customHeight="1"/>
    <row r="127" s="2144" customFormat="1" ht="12.75" customHeight="1"/>
    <row r="128" s="2144" customFormat="1" ht="12.75" customHeight="1"/>
    <row r="129" s="2144" customFormat="1" ht="12.75" customHeight="1"/>
    <row r="130" s="2144" customFormat="1" ht="12.75" customHeight="1"/>
    <row r="131" s="2144" customFormat="1" ht="12.75" customHeight="1"/>
    <row r="132" s="2144" customFormat="1" ht="12.75" customHeight="1"/>
    <row r="133" s="2144" customFormat="1" ht="12.75" customHeight="1"/>
    <row r="134" s="2144" customFormat="1" ht="12.75" customHeight="1"/>
    <row r="135" s="2144" customFormat="1" ht="12.75" customHeight="1"/>
    <row r="136" s="2144" customFormat="1" ht="12.75" customHeight="1"/>
    <row r="137" s="2144" customFormat="1" ht="12.75" customHeight="1"/>
    <row r="138" s="2144" customFormat="1" ht="12.75" customHeight="1"/>
    <row r="139" s="2144" customFormat="1" ht="12.75" customHeight="1"/>
    <row r="140" s="2144" customFormat="1" ht="12.75" customHeight="1"/>
    <row r="141" s="2144" customFormat="1" ht="12.75" customHeight="1"/>
    <row r="142" s="2144" customFormat="1" ht="12.75" customHeight="1"/>
    <row r="143" s="2144" customFormat="1" ht="12.75" customHeight="1"/>
    <row r="144" s="2144" customFormat="1" ht="12.75" customHeight="1"/>
    <row r="145" spans="1:14" s="2144" customFormat="1" ht="12.75" customHeight="1"/>
    <row r="146" spans="1:14" s="2144" customFormat="1" ht="12.75" customHeight="1"/>
    <row r="147" spans="1:14" s="2144" customFormat="1" ht="12.75" customHeight="1"/>
    <row r="148" spans="1:14" s="2144" customFormat="1" ht="12.75" customHeight="1"/>
    <row r="149" spans="1:14" s="2144" customFormat="1" ht="12.75" customHeight="1"/>
    <row r="150" spans="1:14" s="2144" customFormat="1" ht="12.75" customHeight="1">
      <c r="A150" s="2794" t="str">
        <f>'5. Degradation'!AC9</f>
        <v xml:space="preserve"> </v>
      </c>
    </row>
    <row r="151" spans="1:14" s="2144" customFormat="1" ht="12.75" customHeight="1">
      <c r="A151" s="2823" t="str">
        <f>IF(Nlang=1,"","Tar")</f>
        <v/>
      </c>
      <c r="B151" s="2144" t="str">
        <f>IF(Nlang=1,"",HLOOKUP(select,'Name translation'!$A$1:$H$45,31,))</f>
        <v/>
      </c>
      <c r="E151" s="2823" t="str">
        <f>IF(Nlang=1,"","SCf")</f>
        <v/>
      </c>
      <c r="F151" s="2144" t="str">
        <f>IF(Nlang=1,"",HLOOKUP(select,'Name translation'!$A$1:$H$45,35,))</f>
        <v/>
      </c>
      <c r="I151" s="2823" t="str">
        <f>IF(Nlang=1,"","TeDo")</f>
        <v/>
      </c>
      <c r="J151" s="2144" t="str">
        <f>IF(Nlang=1,"",HLOOKUP(select,'Name translation'!$A$1:$H$45,39,))</f>
        <v/>
      </c>
      <c r="M151" s="2823" t="str">
        <f>IF(Nlang=1,"","Ba")</f>
        <v/>
      </c>
      <c r="N151" s="2144" t="str">
        <f>IF(Nlang=1,"",HLOOKUP(select,'Name translation'!$A$1:$H$45,42,))</f>
        <v/>
      </c>
    </row>
    <row r="152" spans="1:14" s="2144" customFormat="1" ht="12.75" customHeight="1">
      <c r="A152" s="2823" t="str">
        <f>IF(Nlang=1,"","TAWa")</f>
        <v/>
      </c>
      <c r="B152" s="2144" t="str">
        <f>IF(Nlang=1,"",HLOOKUP(select,'Name translation'!$A$1:$H$45,32,))</f>
        <v/>
      </c>
      <c r="E152" s="2823" t="str">
        <f>IF(Nlang=1,"","SCs")</f>
        <v/>
      </c>
      <c r="F152" s="2144" t="str">
        <f>IF(Nlang=1,"",HLOOKUP(select,'Name translation'!$A$1:$H$45,36,))</f>
        <v/>
      </c>
      <c r="I152" s="2823" t="str">
        <f>IF(Nlang=1,"","TeDc")</f>
        <v/>
      </c>
      <c r="J152" s="2144" t="str">
        <f>IF(Nlang=1,"",HLOOKUP(select,'Name translation'!$A$1:$H$45,40,))</f>
        <v/>
      </c>
      <c r="M152" s="2823" t="str">
        <f>IF(Nlang=1,"","Bb")</f>
        <v/>
      </c>
      <c r="N152" s="2144" t="str">
        <f>IF(Nlang=1,"",HLOOKUP(select,'Name translation'!$A$1:$H$45,43,))</f>
        <v/>
      </c>
    </row>
    <row r="153" spans="1:14" s="2144" customFormat="1" ht="12.75" customHeight="1">
      <c r="A153" s="2823" t="str">
        <f>IF(Nlang=1,"","TAWb")</f>
        <v/>
      </c>
      <c r="B153" s="2144" t="str">
        <f>IF(Nlang=1,"",HLOOKUP(select,'Name translation'!$A$1:$H$45,33,))</f>
        <v/>
      </c>
      <c r="E153" s="2823" t="str">
        <f>IF(Nlang=1,"","SCSh")</f>
        <v/>
      </c>
      <c r="F153" s="2144" t="str">
        <f>IF(Nlang=1,"",HLOOKUP(select,'Name translation'!$A$1:$H$45,37,))</f>
        <v/>
      </c>
      <c r="I153" s="2823" t="str">
        <f>IF(Nlang=1,"","TeBsk")</f>
        <v/>
      </c>
      <c r="J153" s="2144" t="str">
        <f>IF(Nlang=1,"",HLOOKUP(select,translations!$A$445:$H$490,43,))</f>
        <v/>
      </c>
      <c r="M153" s="2823" t="str">
        <f>IF(Nlang=1,"","BM")</f>
        <v/>
      </c>
      <c r="N153" s="2144" t="str">
        <f>IF(Nlang=1,"",HLOOKUP(select,'Name translation'!$A$1:$H$45,44,))</f>
        <v/>
      </c>
    </row>
    <row r="154" spans="1:14" s="2144" customFormat="1" ht="12.75" customHeight="1">
      <c r="A154" s="2823" t="str">
        <f>IF(Nlang=1,"","TBSh")</f>
        <v/>
      </c>
      <c r="B154" s="2144" t="str">
        <f>IF(Nlang=1,"",HLOOKUP(select,'Name translation'!$A$1:$H$45,34,))</f>
        <v/>
      </c>
      <c r="E154" s="2823" t="str">
        <f>IF(Nlang=1,"","SBWh")</f>
        <v/>
      </c>
      <c r="F154" s="2144" t="str">
        <f>IF(Nlang=1,"",HLOOKUP(select,translations!$A$445:$H$490,42,))</f>
        <v/>
      </c>
      <c r="I154" s="2823" t="str">
        <f>IF(Nlang=1,"","TeBWK")</f>
        <v/>
      </c>
      <c r="J154" s="2144" t="str">
        <f>IF(Nlang=1,"",HLOOKUP(select,translations!$A$445:$H$490,44,))</f>
        <v/>
      </c>
      <c r="M154" s="2824"/>
    </row>
    <row r="155" spans="1:14" s="2144" customFormat="1" ht="12.75" customHeight="1">
      <c r="A155" s="2823" t="str">
        <f>IF(Nlang=1,"","TBWh")</f>
        <v/>
      </c>
      <c r="B155" s="2144" t="str">
        <f>IF(Nlang=1,"",HLOOKUP(select,translations!$A$445:$H$490,41,))</f>
        <v/>
      </c>
      <c r="E155" s="2823" t="str">
        <f>IF(Nlang=1,"","SM")</f>
        <v/>
      </c>
      <c r="F155" s="2144" t="str">
        <f>IF(Nlang=1,"",HLOOKUP(select,'Name translation'!$A$1:$H$45,38,))</f>
        <v/>
      </c>
      <c r="I155" s="2823" t="str">
        <f>IF(Nlang=1,"","TeM")</f>
        <v/>
      </c>
      <c r="J155" s="2144" t="str">
        <f>IF(Nlang=1,"",HLOOKUP(select,'Name translation'!$A$1:$H$45,41,))</f>
        <v/>
      </c>
      <c r="M155" s="2823" t="str">
        <f>IF(Nlang=1,"","P")</f>
        <v/>
      </c>
      <c r="N155" s="2144" t="str">
        <f>IF(Nlang=1,"",HLOOKUP(select,translations!$A$445:$H$490,45,))</f>
        <v/>
      </c>
    </row>
    <row r="156" spans="1:14" s="2144" customFormat="1" ht="12.75" customHeight="1">
      <c r="A156" s="2823" t="str">
        <f>IF(Nlang=1,"","TM")</f>
        <v/>
      </c>
      <c r="B156" s="2144" t="str">
        <f>IF(Nlang=1,"",HLOOKUP(select,'Name translation'!$A$1:$H$45,45,))</f>
        <v/>
      </c>
    </row>
    <row r="157" spans="1:14" s="2144" customFormat="1" ht="12.75" customHeight="1"/>
    <row r="158" spans="1:14" s="2144" customFormat="1" ht="12.75" customHeight="1"/>
    <row r="159" spans="1:14" s="2144" customFormat="1" ht="12.75" customHeight="1"/>
    <row r="160" spans="1:14" s="2144" customFormat="1" ht="12.75" customHeight="1"/>
    <row r="161" s="2144" customFormat="1" ht="12.75" customHeight="1"/>
    <row r="162" s="2144" customFormat="1" ht="12.75" customHeight="1"/>
    <row r="163" s="2144" customFormat="1" ht="12.75" customHeight="1"/>
    <row r="164" s="2144" customFormat="1" ht="12.75" customHeight="1"/>
    <row r="165" s="2144" customFormat="1" ht="12.75" customHeight="1"/>
    <row r="166" s="2144" customFormat="1" ht="12.75" customHeight="1"/>
    <row r="167" s="2144" customFormat="1" ht="12.75" customHeight="1"/>
    <row r="168" s="2144" customFormat="1" ht="12.75" customHeight="1"/>
    <row r="169" s="2144" customFormat="1" ht="12.75" customHeight="1"/>
    <row r="170" s="2144" customFormat="1" ht="12.75" customHeight="1"/>
    <row r="171" s="2144" customFormat="1" ht="12.75" customHeight="1"/>
    <row r="172" s="2144" customFormat="1" ht="12.75" customHeight="1"/>
    <row r="173" s="2144" customFormat="1" ht="12.75" customHeight="1"/>
    <row r="174" s="2144" customFormat="1" ht="12.75" customHeight="1"/>
    <row r="175" s="2144" customFormat="1" ht="12.75" customHeight="1"/>
    <row r="176" s="2144" customFormat="1" ht="12.75" customHeight="1"/>
    <row r="177" s="2144" customFormat="1" ht="12.75" customHeight="1"/>
    <row r="178" s="2144" customFormat="1" ht="12.75" customHeight="1"/>
    <row r="179" s="2144" customFormat="1" ht="12.75" customHeight="1"/>
    <row r="180" s="2144" customFormat="1" ht="12.75" customHeight="1"/>
    <row r="181" s="2144" customFormat="1" ht="12.75" customHeight="1"/>
    <row r="182" s="2144" customFormat="1" ht="12.75" customHeight="1"/>
    <row r="183" s="2144" customFormat="1" ht="12.75" customHeight="1"/>
    <row r="184" s="2144" customFormat="1" ht="12.75" customHeight="1"/>
    <row r="185" s="2144" customFormat="1" ht="12.75" customHeight="1"/>
    <row r="186" s="2144" customFormat="1" ht="12.75" customHeight="1"/>
    <row r="187" s="2144" customFormat="1" ht="12.75" customHeight="1"/>
    <row r="188" s="2144" customFormat="1" ht="12.75" customHeight="1"/>
    <row r="189" s="2144" customFormat="1" ht="12.75" customHeight="1"/>
    <row r="190" s="2144" customFormat="1" ht="12.75" customHeight="1"/>
    <row r="191" s="2144" customFormat="1" ht="12.75" customHeight="1"/>
    <row r="192" s="2144" customFormat="1" ht="12.75" customHeight="1"/>
    <row r="193" s="2144" customFormat="1" ht="12.75" customHeight="1"/>
    <row r="194" s="2144" customFormat="1" ht="12.75" customHeight="1"/>
    <row r="195" s="2144" customFormat="1" ht="12.75" customHeight="1"/>
    <row r="196" s="2144" customFormat="1" ht="12.75" customHeight="1"/>
    <row r="197" s="2144" customFormat="1" ht="12.75" customHeight="1"/>
    <row r="198" s="2144" customFormat="1" ht="12.75" customHeight="1"/>
    <row r="199" s="2144" customFormat="1" ht="12.75" customHeight="1"/>
    <row r="200" s="2144" customFormat="1" ht="12.75" customHeight="1"/>
    <row r="201" s="2144" customFormat="1" ht="12.75" customHeight="1"/>
    <row r="202" s="2144" customFormat="1" ht="12.75" customHeight="1"/>
    <row r="203" s="2144" customFormat="1" ht="12.75" customHeight="1"/>
    <row r="204" s="2144" customFormat="1" ht="12.75" customHeight="1"/>
    <row r="205" s="2144" customFormat="1" ht="12.75" customHeight="1"/>
    <row r="206" s="2144" customFormat="1" ht="12.75" customHeight="1"/>
    <row r="207" s="2144" customFormat="1" ht="12.75" customHeight="1"/>
    <row r="208" s="2144" customFormat="1" ht="12.75" customHeight="1"/>
    <row r="209" s="2144" customFormat="1" ht="12.75" customHeight="1"/>
    <row r="210" s="2144" customFormat="1" ht="12.75" customHeight="1"/>
    <row r="211" s="2144" customFormat="1" ht="12.75" customHeight="1"/>
    <row r="212" s="2144" customFormat="1" ht="12.75" customHeight="1"/>
    <row r="213" s="2144" customFormat="1" ht="12.75" customHeight="1"/>
    <row r="214" s="2144" customFormat="1" ht="12.75" customHeight="1"/>
    <row r="215" s="2144" customFormat="1" ht="12.75" customHeight="1"/>
    <row r="216" s="2144" customFormat="1" ht="12.75" customHeight="1"/>
    <row r="217" s="2144" customFormat="1" ht="12.75" customHeight="1"/>
    <row r="218" s="2144" customFormat="1" ht="12.75" customHeight="1"/>
    <row r="219" s="2144" customFormat="1" ht="12.75" customHeight="1"/>
    <row r="220" s="2144" customFormat="1" ht="12.75" customHeight="1"/>
    <row r="221" s="2144" customFormat="1" ht="12.75" customHeight="1"/>
    <row r="222" s="2144" customFormat="1" ht="12.75" customHeight="1"/>
    <row r="223" s="2144" customFormat="1" ht="12.75" customHeight="1"/>
    <row r="224" s="2144" customFormat="1" ht="12.75" customHeight="1"/>
    <row r="225" s="2144" customFormat="1" ht="12.75" customHeight="1"/>
    <row r="226" s="2144" customFormat="1" ht="12.75" customHeight="1"/>
    <row r="227" s="2144" customFormat="1" ht="12.75" customHeight="1"/>
    <row r="228" s="2144" customFormat="1" ht="12.75" customHeight="1"/>
    <row r="229" s="2144" customFormat="1" ht="12.75" customHeight="1"/>
    <row r="230" s="2144" customFormat="1" ht="12.75" customHeight="1"/>
    <row r="231" s="2144" customFormat="1" ht="12.75" customHeight="1"/>
    <row r="232" s="2144" customFormat="1" ht="12.75" customHeight="1"/>
    <row r="233" s="2144" customFormat="1" ht="12.75" customHeight="1"/>
    <row r="234" s="2144" customFormat="1" ht="12.75" customHeight="1"/>
    <row r="235" s="2144" customFormat="1" ht="12.75" customHeight="1"/>
    <row r="236" s="2144" customFormat="1" ht="12.75" customHeight="1"/>
    <row r="237" s="2144" customFormat="1" ht="12.75" customHeight="1"/>
    <row r="238" s="2144" customFormat="1" ht="12.75" customHeight="1"/>
    <row r="239" s="2144" customFormat="1" ht="12.75" customHeight="1"/>
    <row r="240" s="2144" customFormat="1" ht="12.75" customHeight="1"/>
    <row r="241" s="2144" customFormat="1" ht="12.75" customHeight="1"/>
    <row r="242" s="2144" customFormat="1" ht="12.75" customHeight="1"/>
    <row r="243" s="2144" customFormat="1" ht="12.75" customHeight="1"/>
    <row r="244" s="2144" customFormat="1" ht="12.75" customHeight="1"/>
    <row r="245" s="2144" customFormat="1" ht="12.75" customHeight="1"/>
    <row r="246" s="2144" customFormat="1" ht="12.75" customHeight="1"/>
    <row r="247" s="2144" customFormat="1" ht="12.75" customHeight="1"/>
    <row r="248" s="2144" customFormat="1" ht="12.75" customHeight="1"/>
    <row r="249" s="2144" customFormat="1" ht="12.75" customHeight="1"/>
    <row r="250" s="2144" customFormat="1" ht="12.75" customHeight="1"/>
    <row r="251" s="2144" customFormat="1" ht="12.75" customHeight="1"/>
    <row r="252" s="2144" customFormat="1" ht="12.75" customHeight="1"/>
    <row r="253" s="2144" customFormat="1" ht="12.75" customHeight="1"/>
    <row r="254" s="2144" customFormat="1" ht="12.75" customHeight="1"/>
    <row r="255" s="2144" customFormat="1" ht="12.75" customHeight="1"/>
    <row r="256" s="2144" customFormat="1" ht="12.75" customHeight="1"/>
    <row r="257" s="2144" customFormat="1" ht="12.75" customHeight="1"/>
    <row r="258" s="2144" customFormat="1" ht="12.75" customHeight="1"/>
    <row r="259" s="2144" customFormat="1" ht="12.75" customHeight="1"/>
    <row r="260" s="2144" customFormat="1" ht="12.75" customHeight="1"/>
    <row r="261" s="2144" customFormat="1" ht="12.75" customHeight="1"/>
    <row r="262" s="2144" customFormat="1" ht="12.75" customHeight="1"/>
    <row r="263" s="2144" customFormat="1" ht="12.75" customHeight="1"/>
    <row r="264" s="2144" customFormat="1" ht="12.75" customHeight="1"/>
    <row r="265" s="2144" customFormat="1" ht="12.75" customHeight="1"/>
    <row r="266" s="2144" customFormat="1" ht="12.75" customHeight="1"/>
    <row r="267" s="2144" customFormat="1" ht="12.75" customHeight="1"/>
    <row r="268" s="2144" customFormat="1" ht="12.75" customHeight="1"/>
    <row r="269" s="2144" customFormat="1" ht="12.75" customHeight="1"/>
    <row r="270" s="2144" customFormat="1" ht="12.75" customHeight="1"/>
    <row r="271" s="2144" customFormat="1" ht="12.75" customHeight="1"/>
    <row r="272" s="2144" customFormat="1" ht="12.75" customHeight="1"/>
    <row r="273" s="2144" customFormat="1" ht="12.75" customHeight="1"/>
    <row r="274" s="2144" customFormat="1" ht="12.75" customHeight="1"/>
    <row r="275" s="2144" customFormat="1" ht="12.75" customHeight="1"/>
    <row r="276" s="2144" customFormat="1" ht="12.75" customHeight="1"/>
    <row r="277" s="2144" customFormat="1" ht="12.75" customHeight="1"/>
    <row r="278" s="2144" customFormat="1" ht="12.75" customHeight="1"/>
    <row r="279" s="2144" customFormat="1" ht="12.75" customHeight="1"/>
    <row r="280" s="2144" customFormat="1" ht="12.75" customHeight="1"/>
    <row r="281" s="2144" customFormat="1" ht="12.75" customHeight="1"/>
    <row r="282" s="2144" customFormat="1" ht="12.75" customHeight="1"/>
    <row r="283" s="2144" customFormat="1" ht="12.75" customHeight="1"/>
    <row r="284" s="2144" customFormat="1" ht="12.75" customHeight="1"/>
    <row r="285" s="2144" customFormat="1" ht="12.75" customHeight="1"/>
    <row r="286" s="2144" customFormat="1" ht="12.75" customHeight="1"/>
    <row r="287" s="2144" customFormat="1" ht="12.75" customHeight="1"/>
    <row r="288" s="2144" customFormat="1" ht="12.75" customHeight="1"/>
    <row r="289" s="2144" customFormat="1" ht="12.75" customHeight="1"/>
    <row r="290" s="2144" customFormat="1" ht="12.75" customHeight="1"/>
    <row r="291" s="2144" customFormat="1" ht="12.75" customHeight="1"/>
    <row r="292" s="2144" customFormat="1" ht="12.75" customHeight="1"/>
    <row r="293" s="2144" customFormat="1" ht="12.75" customHeight="1"/>
    <row r="294" s="2144" customFormat="1" ht="12.75" customHeight="1"/>
    <row r="295" s="2144" customFormat="1" ht="12.75" customHeight="1"/>
    <row r="296" s="2144" customFormat="1" ht="12.75" customHeight="1"/>
    <row r="297" s="2144" customFormat="1" ht="12.75" customHeight="1"/>
    <row r="298" s="2144" customFormat="1" ht="12.75" customHeight="1"/>
    <row r="299" s="2144" customFormat="1" ht="12.75" customHeight="1"/>
    <row r="300" s="2144" customFormat="1" ht="12.75" customHeight="1"/>
    <row r="301" s="2144" customFormat="1" ht="12.75" customHeight="1"/>
    <row r="302" s="2144" customFormat="1" ht="12.75" customHeight="1"/>
    <row r="303" s="2144" customFormat="1" ht="12.75" customHeight="1"/>
    <row r="304" s="2144" customFormat="1" ht="12.75" customHeight="1"/>
    <row r="305" s="2144" customFormat="1" ht="12.75" customHeight="1"/>
    <row r="306" s="2144" customFormat="1" ht="12.75" customHeight="1"/>
    <row r="307" s="2144" customFormat="1" ht="12.75" customHeight="1"/>
    <row r="308" s="2144" customFormat="1" ht="12.75" customHeight="1"/>
    <row r="309" s="2144" customFormat="1" ht="12.75" customHeight="1"/>
    <row r="310" s="2144" customFormat="1" ht="12.75" customHeight="1"/>
    <row r="311" s="2144" customFormat="1" ht="12.75" customHeight="1"/>
    <row r="312" s="2144" customFormat="1" ht="12.75" customHeight="1"/>
    <row r="313" s="2144" customFormat="1" ht="12.75" customHeight="1"/>
    <row r="314" s="2144" customFormat="1" ht="12.75" customHeight="1"/>
    <row r="315" s="2144" customFormat="1" ht="12.75" customHeight="1"/>
    <row r="316" s="2144" customFormat="1" ht="12.75" customHeight="1"/>
    <row r="317" s="2144" customFormat="1" ht="12.75" customHeight="1"/>
    <row r="318" s="2144" customFormat="1" ht="12.75" customHeight="1"/>
    <row r="319" s="2144" customFormat="1" ht="12.75" customHeight="1"/>
    <row r="320" s="2144" customFormat="1" ht="12.75" customHeight="1"/>
    <row r="321" s="2144" customFormat="1" ht="12.75" customHeight="1"/>
    <row r="322" s="2144" customFormat="1" ht="12.75" customHeight="1"/>
    <row r="323" s="2144" customFormat="1" ht="12.75" customHeight="1"/>
    <row r="324" s="2144" customFormat="1" ht="12.75" customHeight="1"/>
    <row r="325" s="2144" customFormat="1" ht="12.75" customHeight="1"/>
    <row r="326" s="2144" customFormat="1" ht="12.75" customHeight="1"/>
    <row r="327" s="2144" customFormat="1" ht="12.75" customHeight="1"/>
    <row r="328" s="2144" customFormat="1" ht="12.75" customHeight="1"/>
    <row r="329" s="2144" customFormat="1" ht="12.75" customHeight="1"/>
    <row r="330" s="2144" customFormat="1" ht="12.75" customHeight="1"/>
    <row r="331" s="2144" customFormat="1" ht="12.75" customHeight="1"/>
    <row r="332" s="2144" customFormat="1" ht="12.75" customHeight="1"/>
    <row r="333" s="2144" customFormat="1" ht="12.75" customHeight="1"/>
    <row r="334" s="2144" customFormat="1" ht="12.75" customHeight="1"/>
    <row r="335" s="2144" customFormat="1" ht="12.75" customHeight="1"/>
    <row r="336" s="2144" customFormat="1" ht="12.75" customHeight="1"/>
    <row r="337" s="2144" customFormat="1" ht="12.75" customHeight="1"/>
    <row r="338" s="2144" customFormat="1" ht="12.75" customHeight="1"/>
    <row r="339" s="2144" customFormat="1" ht="12.75" customHeight="1"/>
    <row r="340" s="2144" customFormat="1" ht="12.75" customHeight="1"/>
    <row r="341" s="2144" customFormat="1" ht="12.75" customHeight="1"/>
    <row r="342" s="2144" customFormat="1" ht="12.75" customHeight="1"/>
    <row r="343" s="2144" customFormat="1" ht="12.75" customHeight="1"/>
    <row r="344" s="2144" customFormat="1" ht="12.75" customHeight="1"/>
    <row r="345" s="2144" customFormat="1" ht="12.75" customHeight="1"/>
    <row r="346" s="2144" customFormat="1" ht="12.75" customHeight="1"/>
    <row r="347" s="2144" customFormat="1" ht="12.75" customHeight="1"/>
    <row r="348" s="2144" customFormat="1" ht="12.75" customHeight="1"/>
    <row r="349" s="2144" customFormat="1" ht="12.75" customHeight="1"/>
    <row r="350" s="2144" customFormat="1" ht="12.75" customHeight="1"/>
    <row r="351" s="2144" customFormat="1" ht="12.75" customHeight="1"/>
    <row r="352" s="2144" customFormat="1" ht="12.75" customHeight="1"/>
    <row r="353" s="2144" customFormat="1" ht="12.75" customHeight="1"/>
    <row r="354" s="2144" customFormat="1" ht="12.75" customHeight="1"/>
    <row r="355" s="2144" customFormat="1" ht="12.75" customHeight="1"/>
    <row r="356" s="2144" customFormat="1" ht="12.75" customHeight="1"/>
    <row r="357" s="2144" customFormat="1" ht="12.75" customHeight="1"/>
    <row r="358" s="2144" customFormat="1" ht="12.75" customHeight="1"/>
    <row r="359" s="2144" customFormat="1" ht="12.75" customHeight="1"/>
    <row r="360" s="2144" customFormat="1" ht="12.75" customHeight="1"/>
    <row r="361" s="2144" customFormat="1" ht="12.75" customHeight="1"/>
    <row r="362" s="2144" customFormat="1" ht="12.75" customHeight="1"/>
    <row r="363" s="2144" customFormat="1" ht="12.75" customHeight="1"/>
    <row r="364" s="2144" customFormat="1" ht="12.75" customHeight="1"/>
    <row r="365" s="2144" customFormat="1" ht="12.75" customHeight="1"/>
    <row r="366" s="2144" customFormat="1" ht="12.75" customHeight="1"/>
    <row r="367" s="2144" customFormat="1" ht="12.75" customHeight="1"/>
    <row r="368" s="2144" customFormat="1" ht="12.75" customHeight="1"/>
    <row r="369" s="2144" customFormat="1" ht="12.75" customHeight="1"/>
    <row r="370" s="2144" customFormat="1" ht="12.75" customHeight="1"/>
    <row r="371" s="2144" customFormat="1" ht="12.75" customHeight="1"/>
    <row r="372" s="2144" customFormat="1" ht="12.75" customHeight="1"/>
    <row r="373" s="2144" customFormat="1" ht="12.75" customHeight="1"/>
    <row r="374" s="2144" customFormat="1" ht="12.75" customHeight="1"/>
    <row r="375" s="2144" customFormat="1" ht="12.75" customHeight="1"/>
    <row r="376" s="2144" customFormat="1" ht="12.75" customHeight="1"/>
    <row r="377" s="2144" customFormat="1" ht="12.75" customHeight="1"/>
    <row r="378" s="2144" customFormat="1" ht="12.75" customHeight="1"/>
    <row r="379" s="2144" customFormat="1" ht="12.75" customHeight="1"/>
    <row r="380" s="2144" customFormat="1" ht="12.75" customHeight="1"/>
    <row r="381" s="2144" customFormat="1" ht="12.75" customHeight="1"/>
    <row r="382" s="2144" customFormat="1" ht="12.75" customHeight="1"/>
    <row r="383" s="2144" customFormat="1" ht="12.75" customHeight="1"/>
    <row r="384" s="2144" customFormat="1" ht="12.75" customHeight="1"/>
    <row r="385" s="2144" customFormat="1" ht="12.75" customHeight="1"/>
    <row r="386" s="2144" customFormat="1" ht="12.75" customHeight="1"/>
    <row r="387" s="2144" customFormat="1" ht="12.75" customHeight="1"/>
    <row r="388" s="2144" customFormat="1" ht="12.75" customHeight="1"/>
    <row r="389" s="2144" customFormat="1" ht="12.75" customHeight="1"/>
    <row r="390" s="2144" customFormat="1" ht="12.75" customHeight="1"/>
    <row r="391" s="2144" customFormat="1" ht="12.75" customHeight="1"/>
    <row r="392" s="2144" customFormat="1" ht="12.75" customHeight="1"/>
    <row r="393" s="2144" customFormat="1" ht="12.75" customHeight="1"/>
    <row r="394" s="2144" customFormat="1" ht="12.75" customHeight="1"/>
    <row r="395" s="2144" customFormat="1" ht="12.75" customHeight="1"/>
    <row r="396" s="2144" customFormat="1" ht="12.75" customHeight="1"/>
    <row r="397" s="2144" customFormat="1" ht="12.75" customHeight="1"/>
    <row r="398" s="2144" customFormat="1" ht="12.75" customHeight="1"/>
    <row r="399" s="2144" customFormat="1" ht="12.75" customHeight="1"/>
    <row r="400" s="2144" customFormat="1" ht="12.75" customHeight="1"/>
    <row r="401" s="2144" customFormat="1" ht="12.75" customHeight="1"/>
    <row r="402" s="2144" customFormat="1" ht="12.75" customHeight="1"/>
    <row r="403" s="2144" customFormat="1" ht="12.75" customHeight="1"/>
    <row r="404" s="2144" customFormat="1" ht="12.75" customHeight="1"/>
    <row r="405" s="2144" customFormat="1" ht="12.75" customHeight="1"/>
    <row r="406" s="2144" customFormat="1" ht="12.75" customHeight="1"/>
    <row r="407" s="2144" customFormat="1" ht="12.75" customHeight="1"/>
    <row r="408" s="2144" customFormat="1" ht="12.75" customHeight="1"/>
    <row r="409" s="2144" customFormat="1" ht="12.75" customHeight="1"/>
    <row r="410" s="2144" customFormat="1" ht="12.75" customHeight="1"/>
    <row r="411" s="2144" customFormat="1" ht="12.75" customHeight="1"/>
    <row r="412" s="2144" customFormat="1" ht="12.75" customHeight="1"/>
    <row r="413" s="2144" customFormat="1" ht="12.75" customHeight="1"/>
    <row r="414" s="2144" customFormat="1" ht="12.75" customHeight="1"/>
    <row r="415" s="2144" customFormat="1" ht="12.75" customHeight="1"/>
    <row r="416" s="2144" customFormat="1" ht="12.75" customHeight="1"/>
    <row r="417" s="2144" customFormat="1" ht="12.75" customHeight="1"/>
    <row r="418" s="2144" customFormat="1" ht="12.75" customHeight="1"/>
    <row r="419" s="2144" customFormat="1" ht="12.75" customHeight="1"/>
    <row r="420" s="2144" customFormat="1" ht="12.75" customHeight="1"/>
    <row r="421" s="2144" customFormat="1" ht="12.75" customHeight="1"/>
    <row r="422" s="2144" customFormat="1" ht="12.75" customHeight="1"/>
    <row r="423" s="2144" customFormat="1" ht="12.75" customHeight="1"/>
    <row r="424" s="2144" customFormat="1" ht="12.75" customHeight="1"/>
    <row r="425" s="2144" customFormat="1" ht="12.75" customHeight="1"/>
    <row r="426" s="2144" customFormat="1" ht="12.75" customHeight="1"/>
    <row r="427" s="2144" customFormat="1" ht="12.75" customHeight="1"/>
    <row r="428" s="2144" customFormat="1" ht="12.75" customHeight="1"/>
    <row r="429" s="2144" customFormat="1" ht="12.75" customHeight="1"/>
    <row r="430" s="2144" customFormat="1" ht="12.75" customHeight="1"/>
    <row r="431" s="2144" customFormat="1" ht="12.75" customHeight="1"/>
    <row r="432" s="2144" customFormat="1" ht="12.75" customHeight="1"/>
    <row r="433" s="2144" customFormat="1" ht="12.75" customHeight="1"/>
    <row r="434" s="2144" customFormat="1" ht="12.75" customHeight="1"/>
    <row r="435" s="2144" customFormat="1" ht="12.75" customHeight="1"/>
    <row r="436" s="2144" customFormat="1" ht="12.75" customHeight="1"/>
    <row r="437" s="2144" customFormat="1" ht="12.75" customHeight="1"/>
    <row r="438" s="2144" customFormat="1" ht="12.75" customHeight="1"/>
  </sheetData>
  <sheetProtection password="E8A2" sheet="1" objects="1" scenarios="1" formatCells="0" formatColumns="0" formatRows="0"/>
  <mergeCells count="70">
    <mergeCell ref="HA5:HC5"/>
    <mergeCell ref="HE5:HG5"/>
    <mergeCell ref="HI5:HK5"/>
    <mergeCell ref="HM5:HO5"/>
    <mergeCell ref="GK5:GM5"/>
    <mergeCell ref="GO5:GQ5"/>
    <mergeCell ref="GS5:GU5"/>
    <mergeCell ref="GW5:GY5"/>
    <mergeCell ref="IK5:IM5"/>
    <mergeCell ref="IO5:IQ5"/>
    <mergeCell ref="IS5:IU5"/>
    <mergeCell ref="HQ5:HS5"/>
    <mergeCell ref="HU5:HW5"/>
    <mergeCell ref="HY5:IA5"/>
    <mergeCell ref="IC5:IE5"/>
    <mergeCell ref="IG5:II5"/>
    <mergeCell ref="GG5:GI5"/>
    <mergeCell ref="FE5:FG5"/>
    <mergeCell ref="FI5:FK5"/>
    <mergeCell ref="FM5:FO5"/>
    <mergeCell ref="FQ5:FS5"/>
    <mergeCell ref="FU5:FW5"/>
    <mergeCell ref="FY5:GA5"/>
    <mergeCell ref="GC5:GE5"/>
    <mergeCell ref="EO5:EQ5"/>
    <mergeCell ref="ES5:EU5"/>
    <mergeCell ref="EW5:EY5"/>
    <mergeCell ref="FA5:FC5"/>
    <mergeCell ref="DY5:EA5"/>
    <mergeCell ref="EC5:EE5"/>
    <mergeCell ref="EG5:EI5"/>
    <mergeCell ref="EK5:EM5"/>
    <mergeCell ref="DI5:DK5"/>
    <mergeCell ref="DM5:DO5"/>
    <mergeCell ref="DQ5:DS5"/>
    <mergeCell ref="DU5:DW5"/>
    <mergeCell ref="CS5:CU5"/>
    <mergeCell ref="CW5:CY5"/>
    <mergeCell ref="DA5:DC5"/>
    <mergeCell ref="DE5:DG5"/>
    <mergeCell ref="CC5:CE5"/>
    <mergeCell ref="CG5:CI5"/>
    <mergeCell ref="CK5:CM5"/>
    <mergeCell ref="CO5:CQ5"/>
    <mergeCell ref="BM5:BO5"/>
    <mergeCell ref="BQ5:BS5"/>
    <mergeCell ref="BU5:BW5"/>
    <mergeCell ref="BY5:CA5"/>
    <mergeCell ref="AW5:AY5"/>
    <mergeCell ref="BA5:BC5"/>
    <mergeCell ref="BE5:BG5"/>
    <mergeCell ref="BI5:BK5"/>
    <mergeCell ref="AG5:AI5"/>
    <mergeCell ref="AK5:AM5"/>
    <mergeCell ref="AO5:AQ5"/>
    <mergeCell ref="AS5:AU5"/>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D32"/>
  <sheetViews>
    <sheetView zoomScale="90" zoomScaleNormal="90" workbookViewId="0">
      <pane ySplit="5" topLeftCell="A6" activePane="bottomLeft" state="frozen"/>
      <selection activeCell="J14" sqref="J14"/>
      <selection pane="bottomLeft" activeCell="AC27" sqref="AC27"/>
    </sheetView>
  </sheetViews>
  <sheetFormatPr baseColWidth="10" defaultColWidth="11.44140625" defaultRowHeight="13.2"/>
  <cols>
    <col min="1" max="1" width="3.33203125" style="1877" customWidth="1"/>
    <col min="2" max="2" width="5.6640625" style="1878" customWidth="1"/>
    <col min="3" max="3" width="18.109375" style="1878" customWidth="1"/>
    <col min="4" max="4" width="5.5546875" style="1878" customWidth="1"/>
    <col min="5" max="28" width="5.5546875" style="1879" customWidth="1"/>
    <col min="29" max="29" width="4.6640625" style="1879" customWidth="1"/>
    <col min="30" max="30" width="5.44140625" style="1879" customWidth="1"/>
    <col min="31" max="256" width="11.5546875" style="1877"/>
    <col min="257" max="257" width="3.33203125" style="1877" customWidth="1"/>
    <col min="258" max="258" width="5.6640625" style="1877" customWidth="1"/>
    <col min="259" max="259" width="19.44140625" style="1877" customWidth="1"/>
    <col min="260" max="260" width="4.33203125" style="1877" customWidth="1"/>
    <col min="261" max="261" width="4.33203125" style="1877" bestFit="1" customWidth="1"/>
    <col min="262" max="282" width="4.109375" style="1877" customWidth="1"/>
    <col min="283" max="285" width="4.6640625" style="1877" customWidth="1"/>
    <col min="286" max="286" width="5.44140625" style="1877" customWidth="1"/>
    <col min="287" max="512" width="11.5546875" style="1877"/>
    <col min="513" max="513" width="3.33203125" style="1877" customWidth="1"/>
    <col min="514" max="514" width="5.6640625" style="1877" customWidth="1"/>
    <col min="515" max="515" width="19.44140625" style="1877" customWidth="1"/>
    <col min="516" max="516" width="4.33203125" style="1877" customWidth="1"/>
    <col min="517" max="517" width="4.33203125" style="1877" bestFit="1" customWidth="1"/>
    <col min="518" max="538" width="4.109375" style="1877" customWidth="1"/>
    <col min="539" max="541" width="4.6640625" style="1877" customWidth="1"/>
    <col min="542" max="542" width="5.44140625" style="1877" customWidth="1"/>
    <col min="543" max="768" width="11.5546875" style="1877"/>
    <col min="769" max="769" width="3.33203125" style="1877" customWidth="1"/>
    <col min="770" max="770" width="5.6640625" style="1877" customWidth="1"/>
    <col min="771" max="771" width="19.44140625" style="1877" customWidth="1"/>
    <col min="772" max="772" width="4.33203125" style="1877" customWidth="1"/>
    <col min="773" max="773" width="4.33203125" style="1877" bestFit="1" customWidth="1"/>
    <col min="774" max="794" width="4.109375" style="1877" customWidth="1"/>
    <col min="795" max="797" width="4.6640625" style="1877" customWidth="1"/>
    <col min="798" max="798" width="5.44140625" style="1877" customWidth="1"/>
    <col min="799" max="1024" width="11.5546875" style="1877"/>
    <col min="1025" max="1025" width="3.33203125" style="1877" customWidth="1"/>
    <col min="1026" max="1026" width="5.6640625" style="1877" customWidth="1"/>
    <col min="1027" max="1027" width="19.44140625" style="1877" customWidth="1"/>
    <col min="1028" max="1028" width="4.33203125" style="1877" customWidth="1"/>
    <col min="1029" max="1029" width="4.33203125" style="1877" bestFit="1" customWidth="1"/>
    <col min="1030" max="1050" width="4.109375" style="1877" customWidth="1"/>
    <col min="1051" max="1053" width="4.6640625" style="1877" customWidth="1"/>
    <col min="1054" max="1054" width="5.44140625" style="1877" customWidth="1"/>
    <col min="1055" max="1280" width="11.5546875" style="1877"/>
    <col min="1281" max="1281" width="3.33203125" style="1877" customWidth="1"/>
    <col min="1282" max="1282" width="5.6640625" style="1877" customWidth="1"/>
    <col min="1283" max="1283" width="19.44140625" style="1877" customWidth="1"/>
    <col min="1284" max="1284" width="4.33203125" style="1877" customWidth="1"/>
    <col min="1285" max="1285" width="4.33203125" style="1877" bestFit="1" customWidth="1"/>
    <col min="1286" max="1306" width="4.109375" style="1877" customWidth="1"/>
    <col min="1307" max="1309" width="4.6640625" style="1877" customWidth="1"/>
    <col min="1310" max="1310" width="5.44140625" style="1877" customWidth="1"/>
    <col min="1311" max="1536" width="11.5546875" style="1877"/>
    <col min="1537" max="1537" width="3.33203125" style="1877" customWidth="1"/>
    <col min="1538" max="1538" width="5.6640625" style="1877" customWidth="1"/>
    <col min="1539" max="1539" width="19.44140625" style="1877" customWidth="1"/>
    <col min="1540" max="1540" width="4.33203125" style="1877" customWidth="1"/>
    <col min="1541" max="1541" width="4.33203125" style="1877" bestFit="1" customWidth="1"/>
    <col min="1542" max="1562" width="4.109375" style="1877" customWidth="1"/>
    <col min="1563" max="1565" width="4.6640625" style="1877" customWidth="1"/>
    <col min="1566" max="1566" width="5.44140625" style="1877" customWidth="1"/>
    <col min="1567" max="1792" width="11.5546875" style="1877"/>
    <col min="1793" max="1793" width="3.33203125" style="1877" customWidth="1"/>
    <col min="1794" max="1794" width="5.6640625" style="1877" customWidth="1"/>
    <col min="1795" max="1795" width="19.44140625" style="1877" customWidth="1"/>
    <col min="1796" max="1796" width="4.33203125" style="1877" customWidth="1"/>
    <col min="1797" max="1797" width="4.33203125" style="1877" bestFit="1" customWidth="1"/>
    <col min="1798" max="1818" width="4.109375" style="1877" customWidth="1"/>
    <col min="1819" max="1821" width="4.6640625" style="1877" customWidth="1"/>
    <col min="1822" max="1822" width="5.44140625" style="1877" customWidth="1"/>
    <col min="1823" max="2048" width="11.5546875" style="1877"/>
    <col min="2049" max="2049" width="3.33203125" style="1877" customWidth="1"/>
    <col min="2050" max="2050" width="5.6640625" style="1877" customWidth="1"/>
    <col min="2051" max="2051" width="19.44140625" style="1877" customWidth="1"/>
    <col min="2052" max="2052" width="4.33203125" style="1877" customWidth="1"/>
    <col min="2053" max="2053" width="4.33203125" style="1877" bestFit="1" customWidth="1"/>
    <col min="2054" max="2074" width="4.109375" style="1877" customWidth="1"/>
    <col min="2075" max="2077" width="4.6640625" style="1877" customWidth="1"/>
    <col min="2078" max="2078" width="5.44140625" style="1877" customWidth="1"/>
    <col min="2079" max="2304" width="11.5546875" style="1877"/>
    <col min="2305" max="2305" width="3.33203125" style="1877" customWidth="1"/>
    <col min="2306" max="2306" width="5.6640625" style="1877" customWidth="1"/>
    <col min="2307" max="2307" width="19.44140625" style="1877" customWidth="1"/>
    <col min="2308" max="2308" width="4.33203125" style="1877" customWidth="1"/>
    <col min="2309" max="2309" width="4.33203125" style="1877" bestFit="1" customWidth="1"/>
    <col min="2310" max="2330" width="4.109375" style="1877" customWidth="1"/>
    <col min="2331" max="2333" width="4.6640625" style="1877" customWidth="1"/>
    <col min="2334" max="2334" width="5.44140625" style="1877" customWidth="1"/>
    <col min="2335" max="2560" width="11.5546875" style="1877"/>
    <col min="2561" max="2561" width="3.33203125" style="1877" customWidth="1"/>
    <col min="2562" max="2562" width="5.6640625" style="1877" customWidth="1"/>
    <col min="2563" max="2563" width="19.44140625" style="1877" customWidth="1"/>
    <col min="2564" max="2564" width="4.33203125" style="1877" customWidth="1"/>
    <col min="2565" max="2565" width="4.33203125" style="1877" bestFit="1" customWidth="1"/>
    <col min="2566" max="2586" width="4.109375" style="1877" customWidth="1"/>
    <col min="2587" max="2589" width="4.6640625" style="1877" customWidth="1"/>
    <col min="2590" max="2590" width="5.44140625" style="1877" customWidth="1"/>
    <col min="2591" max="2816" width="11.5546875" style="1877"/>
    <col min="2817" max="2817" width="3.33203125" style="1877" customWidth="1"/>
    <col min="2818" max="2818" width="5.6640625" style="1877" customWidth="1"/>
    <col min="2819" max="2819" width="19.44140625" style="1877" customWidth="1"/>
    <col min="2820" max="2820" width="4.33203125" style="1877" customWidth="1"/>
    <col min="2821" max="2821" width="4.33203125" style="1877" bestFit="1" customWidth="1"/>
    <col min="2822" max="2842" width="4.109375" style="1877" customWidth="1"/>
    <col min="2843" max="2845" width="4.6640625" style="1877" customWidth="1"/>
    <col min="2846" max="2846" width="5.44140625" style="1877" customWidth="1"/>
    <col min="2847" max="3072" width="11.5546875" style="1877"/>
    <col min="3073" max="3073" width="3.33203125" style="1877" customWidth="1"/>
    <col min="3074" max="3074" width="5.6640625" style="1877" customWidth="1"/>
    <col min="3075" max="3075" width="19.44140625" style="1877" customWidth="1"/>
    <col min="3076" max="3076" width="4.33203125" style="1877" customWidth="1"/>
    <col min="3077" max="3077" width="4.33203125" style="1877" bestFit="1" customWidth="1"/>
    <col min="3078" max="3098" width="4.109375" style="1877" customWidth="1"/>
    <col min="3099" max="3101" width="4.6640625" style="1877" customWidth="1"/>
    <col min="3102" max="3102" width="5.44140625" style="1877" customWidth="1"/>
    <col min="3103" max="3328" width="11.5546875" style="1877"/>
    <col min="3329" max="3329" width="3.33203125" style="1877" customWidth="1"/>
    <col min="3330" max="3330" width="5.6640625" style="1877" customWidth="1"/>
    <col min="3331" max="3331" width="19.44140625" style="1877" customWidth="1"/>
    <col min="3332" max="3332" width="4.33203125" style="1877" customWidth="1"/>
    <col min="3333" max="3333" width="4.33203125" style="1877" bestFit="1" customWidth="1"/>
    <col min="3334" max="3354" width="4.109375" style="1877" customWidth="1"/>
    <col min="3355" max="3357" width="4.6640625" style="1877" customWidth="1"/>
    <col min="3358" max="3358" width="5.44140625" style="1877" customWidth="1"/>
    <col min="3359" max="3584" width="11.5546875" style="1877"/>
    <col min="3585" max="3585" width="3.33203125" style="1877" customWidth="1"/>
    <col min="3586" max="3586" width="5.6640625" style="1877" customWidth="1"/>
    <col min="3587" max="3587" width="19.44140625" style="1877" customWidth="1"/>
    <col min="3588" max="3588" width="4.33203125" style="1877" customWidth="1"/>
    <col min="3589" max="3589" width="4.33203125" style="1877" bestFit="1" customWidth="1"/>
    <col min="3590" max="3610" width="4.109375" style="1877" customWidth="1"/>
    <col min="3611" max="3613" width="4.6640625" style="1877" customWidth="1"/>
    <col min="3614" max="3614" width="5.44140625" style="1877" customWidth="1"/>
    <col min="3615" max="3840" width="11.5546875" style="1877"/>
    <col min="3841" max="3841" width="3.33203125" style="1877" customWidth="1"/>
    <col min="3842" max="3842" width="5.6640625" style="1877" customWidth="1"/>
    <col min="3843" max="3843" width="19.44140625" style="1877" customWidth="1"/>
    <col min="3844" max="3844" width="4.33203125" style="1877" customWidth="1"/>
    <col min="3845" max="3845" width="4.33203125" style="1877" bestFit="1" customWidth="1"/>
    <col min="3846" max="3866" width="4.109375" style="1877" customWidth="1"/>
    <col min="3867" max="3869" width="4.6640625" style="1877" customWidth="1"/>
    <col min="3870" max="3870" width="5.44140625" style="1877" customWidth="1"/>
    <col min="3871" max="4096" width="11.5546875" style="1877"/>
    <col min="4097" max="4097" width="3.33203125" style="1877" customWidth="1"/>
    <col min="4098" max="4098" width="5.6640625" style="1877" customWidth="1"/>
    <col min="4099" max="4099" width="19.44140625" style="1877" customWidth="1"/>
    <col min="4100" max="4100" width="4.33203125" style="1877" customWidth="1"/>
    <col min="4101" max="4101" width="4.33203125" style="1877" bestFit="1" customWidth="1"/>
    <col min="4102" max="4122" width="4.109375" style="1877" customWidth="1"/>
    <col min="4123" max="4125" width="4.6640625" style="1877" customWidth="1"/>
    <col min="4126" max="4126" width="5.44140625" style="1877" customWidth="1"/>
    <col min="4127" max="4352" width="11.5546875" style="1877"/>
    <col min="4353" max="4353" width="3.33203125" style="1877" customWidth="1"/>
    <col min="4354" max="4354" width="5.6640625" style="1877" customWidth="1"/>
    <col min="4355" max="4355" width="19.44140625" style="1877" customWidth="1"/>
    <col min="4356" max="4356" width="4.33203125" style="1877" customWidth="1"/>
    <col min="4357" max="4357" width="4.33203125" style="1877" bestFit="1" customWidth="1"/>
    <col min="4358" max="4378" width="4.109375" style="1877" customWidth="1"/>
    <col min="4379" max="4381" width="4.6640625" style="1877" customWidth="1"/>
    <col min="4382" max="4382" width="5.44140625" style="1877" customWidth="1"/>
    <col min="4383" max="4608" width="11.5546875" style="1877"/>
    <col min="4609" max="4609" width="3.33203125" style="1877" customWidth="1"/>
    <col min="4610" max="4610" width="5.6640625" style="1877" customWidth="1"/>
    <col min="4611" max="4611" width="19.44140625" style="1877" customWidth="1"/>
    <col min="4612" max="4612" width="4.33203125" style="1877" customWidth="1"/>
    <col min="4613" max="4613" width="4.33203125" style="1877" bestFit="1" customWidth="1"/>
    <col min="4614" max="4634" width="4.109375" style="1877" customWidth="1"/>
    <col min="4635" max="4637" width="4.6640625" style="1877" customWidth="1"/>
    <col min="4638" max="4638" width="5.44140625" style="1877" customWidth="1"/>
    <col min="4639" max="4864" width="11.5546875" style="1877"/>
    <col min="4865" max="4865" width="3.33203125" style="1877" customWidth="1"/>
    <col min="4866" max="4866" width="5.6640625" style="1877" customWidth="1"/>
    <col min="4867" max="4867" width="19.44140625" style="1877" customWidth="1"/>
    <col min="4868" max="4868" width="4.33203125" style="1877" customWidth="1"/>
    <col min="4869" max="4869" width="4.33203125" style="1877" bestFit="1" customWidth="1"/>
    <col min="4870" max="4890" width="4.109375" style="1877" customWidth="1"/>
    <col min="4891" max="4893" width="4.6640625" style="1877" customWidth="1"/>
    <col min="4894" max="4894" width="5.44140625" style="1877" customWidth="1"/>
    <col min="4895" max="5120" width="11.5546875" style="1877"/>
    <col min="5121" max="5121" width="3.33203125" style="1877" customWidth="1"/>
    <col min="5122" max="5122" width="5.6640625" style="1877" customWidth="1"/>
    <col min="5123" max="5123" width="19.44140625" style="1877" customWidth="1"/>
    <col min="5124" max="5124" width="4.33203125" style="1877" customWidth="1"/>
    <col min="5125" max="5125" width="4.33203125" style="1877" bestFit="1" customWidth="1"/>
    <col min="5126" max="5146" width="4.109375" style="1877" customWidth="1"/>
    <col min="5147" max="5149" width="4.6640625" style="1877" customWidth="1"/>
    <col min="5150" max="5150" width="5.44140625" style="1877" customWidth="1"/>
    <col min="5151" max="5376" width="11.5546875" style="1877"/>
    <col min="5377" max="5377" width="3.33203125" style="1877" customWidth="1"/>
    <col min="5378" max="5378" width="5.6640625" style="1877" customWidth="1"/>
    <col min="5379" max="5379" width="19.44140625" style="1877" customWidth="1"/>
    <col min="5380" max="5380" width="4.33203125" style="1877" customWidth="1"/>
    <col min="5381" max="5381" width="4.33203125" style="1877" bestFit="1" customWidth="1"/>
    <col min="5382" max="5402" width="4.109375" style="1877" customWidth="1"/>
    <col min="5403" max="5405" width="4.6640625" style="1877" customWidth="1"/>
    <col min="5406" max="5406" width="5.44140625" style="1877" customWidth="1"/>
    <col min="5407" max="5632" width="11.5546875" style="1877"/>
    <col min="5633" max="5633" width="3.33203125" style="1877" customWidth="1"/>
    <col min="5634" max="5634" width="5.6640625" style="1877" customWidth="1"/>
    <col min="5635" max="5635" width="19.44140625" style="1877" customWidth="1"/>
    <col min="5636" max="5636" width="4.33203125" style="1877" customWidth="1"/>
    <col min="5637" max="5637" width="4.33203125" style="1877" bestFit="1" customWidth="1"/>
    <col min="5638" max="5658" width="4.109375" style="1877" customWidth="1"/>
    <col min="5659" max="5661" width="4.6640625" style="1877" customWidth="1"/>
    <col min="5662" max="5662" width="5.44140625" style="1877" customWidth="1"/>
    <col min="5663" max="5888" width="11.5546875" style="1877"/>
    <col min="5889" max="5889" width="3.33203125" style="1877" customWidth="1"/>
    <col min="5890" max="5890" width="5.6640625" style="1877" customWidth="1"/>
    <col min="5891" max="5891" width="19.44140625" style="1877" customWidth="1"/>
    <col min="5892" max="5892" width="4.33203125" style="1877" customWidth="1"/>
    <col min="5893" max="5893" width="4.33203125" style="1877" bestFit="1" customWidth="1"/>
    <col min="5894" max="5914" width="4.109375" style="1877" customWidth="1"/>
    <col min="5915" max="5917" width="4.6640625" style="1877" customWidth="1"/>
    <col min="5918" max="5918" width="5.44140625" style="1877" customWidth="1"/>
    <col min="5919" max="6144" width="11.5546875" style="1877"/>
    <col min="6145" max="6145" width="3.33203125" style="1877" customWidth="1"/>
    <col min="6146" max="6146" width="5.6640625" style="1877" customWidth="1"/>
    <col min="6147" max="6147" width="19.44140625" style="1877" customWidth="1"/>
    <col min="6148" max="6148" width="4.33203125" style="1877" customWidth="1"/>
    <col min="6149" max="6149" width="4.33203125" style="1877" bestFit="1" customWidth="1"/>
    <col min="6150" max="6170" width="4.109375" style="1877" customWidth="1"/>
    <col min="6171" max="6173" width="4.6640625" style="1877" customWidth="1"/>
    <col min="6174" max="6174" width="5.44140625" style="1877" customWidth="1"/>
    <col min="6175" max="6400" width="11.5546875" style="1877"/>
    <col min="6401" max="6401" width="3.33203125" style="1877" customWidth="1"/>
    <col min="6402" max="6402" width="5.6640625" style="1877" customWidth="1"/>
    <col min="6403" max="6403" width="19.44140625" style="1877" customWidth="1"/>
    <col min="6404" max="6404" width="4.33203125" style="1877" customWidth="1"/>
    <col min="6405" max="6405" width="4.33203125" style="1877" bestFit="1" customWidth="1"/>
    <col min="6406" max="6426" width="4.109375" style="1877" customWidth="1"/>
    <col min="6427" max="6429" width="4.6640625" style="1877" customWidth="1"/>
    <col min="6430" max="6430" width="5.44140625" style="1877" customWidth="1"/>
    <col min="6431" max="6656" width="11.5546875" style="1877"/>
    <col min="6657" max="6657" width="3.33203125" style="1877" customWidth="1"/>
    <col min="6658" max="6658" width="5.6640625" style="1877" customWidth="1"/>
    <col min="6659" max="6659" width="19.44140625" style="1877" customWidth="1"/>
    <col min="6660" max="6660" width="4.33203125" style="1877" customWidth="1"/>
    <col min="6661" max="6661" width="4.33203125" style="1877" bestFit="1" customWidth="1"/>
    <col min="6662" max="6682" width="4.109375" style="1877" customWidth="1"/>
    <col min="6683" max="6685" width="4.6640625" style="1877" customWidth="1"/>
    <col min="6686" max="6686" width="5.44140625" style="1877" customWidth="1"/>
    <col min="6687" max="6912" width="11.5546875" style="1877"/>
    <col min="6913" max="6913" width="3.33203125" style="1877" customWidth="1"/>
    <col min="6914" max="6914" width="5.6640625" style="1877" customWidth="1"/>
    <col min="6915" max="6915" width="19.44140625" style="1877" customWidth="1"/>
    <col min="6916" max="6916" width="4.33203125" style="1877" customWidth="1"/>
    <col min="6917" max="6917" width="4.33203125" style="1877" bestFit="1" customWidth="1"/>
    <col min="6918" max="6938" width="4.109375" style="1877" customWidth="1"/>
    <col min="6939" max="6941" width="4.6640625" style="1877" customWidth="1"/>
    <col min="6942" max="6942" width="5.44140625" style="1877" customWidth="1"/>
    <col min="6943" max="7168" width="11.5546875" style="1877"/>
    <col min="7169" max="7169" width="3.33203125" style="1877" customWidth="1"/>
    <col min="7170" max="7170" width="5.6640625" style="1877" customWidth="1"/>
    <col min="7171" max="7171" width="19.44140625" style="1877" customWidth="1"/>
    <col min="7172" max="7172" width="4.33203125" style="1877" customWidth="1"/>
    <col min="7173" max="7173" width="4.33203125" style="1877" bestFit="1" customWidth="1"/>
    <col min="7174" max="7194" width="4.109375" style="1877" customWidth="1"/>
    <col min="7195" max="7197" width="4.6640625" style="1877" customWidth="1"/>
    <col min="7198" max="7198" width="5.44140625" style="1877" customWidth="1"/>
    <col min="7199" max="7424" width="11.5546875" style="1877"/>
    <col min="7425" max="7425" width="3.33203125" style="1877" customWidth="1"/>
    <col min="7426" max="7426" width="5.6640625" style="1877" customWidth="1"/>
    <col min="7427" max="7427" width="19.44140625" style="1877" customWidth="1"/>
    <col min="7428" max="7428" width="4.33203125" style="1877" customWidth="1"/>
    <col min="7429" max="7429" width="4.33203125" style="1877" bestFit="1" customWidth="1"/>
    <col min="7430" max="7450" width="4.109375" style="1877" customWidth="1"/>
    <col min="7451" max="7453" width="4.6640625" style="1877" customWidth="1"/>
    <col min="7454" max="7454" width="5.44140625" style="1877" customWidth="1"/>
    <col min="7455" max="7680" width="11.5546875" style="1877"/>
    <col min="7681" max="7681" width="3.33203125" style="1877" customWidth="1"/>
    <col min="7682" max="7682" width="5.6640625" style="1877" customWidth="1"/>
    <col min="7683" max="7683" width="19.44140625" style="1877" customWidth="1"/>
    <col min="7684" max="7684" width="4.33203125" style="1877" customWidth="1"/>
    <col min="7685" max="7685" width="4.33203125" style="1877" bestFit="1" customWidth="1"/>
    <col min="7686" max="7706" width="4.109375" style="1877" customWidth="1"/>
    <col min="7707" max="7709" width="4.6640625" style="1877" customWidth="1"/>
    <col min="7710" max="7710" width="5.44140625" style="1877" customWidth="1"/>
    <col min="7711" max="7936" width="11.5546875" style="1877"/>
    <col min="7937" max="7937" width="3.33203125" style="1877" customWidth="1"/>
    <col min="7938" max="7938" width="5.6640625" style="1877" customWidth="1"/>
    <col min="7939" max="7939" width="19.44140625" style="1877" customWidth="1"/>
    <col min="7940" max="7940" width="4.33203125" style="1877" customWidth="1"/>
    <col min="7941" max="7941" width="4.33203125" style="1877" bestFit="1" customWidth="1"/>
    <col min="7942" max="7962" width="4.109375" style="1877" customWidth="1"/>
    <col min="7963" max="7965" width="4.6640625" style="1877" customWidth="1"/>
    <col min="7966" max="7966" width="5.44140625" style="1877" customWidth="1"/>
    <col min="7967" max="8192" width="11.5546875" style="1877"/>
    <col min="8193" max="8193" width="3.33203125" style="1877" customWidth="1"/>
    <col min="8194" max="8194" width="5.6640625" style="1877" customWidth="1"/>
    <col min="8195" max="8195" width="19.44140625" style="1877" customWidth="1"/>
    <col min="8196" max="8196" width="4.33203125" style="1877" customWidth="1"/>
    <col min="8197" max="8197" width="4.33203125" style="1877" bestFit="1" customWidth="1"/>
    <col min="8198" max="8218" width="4.109375" style="1877" customWidth="1"/>
    <col min="8219" max="8221" width="4.6640625" style="1877" customWidth="1"/>
    <col min="8222" max="8222" width="5.44140625" style="1877" customWidth="1"/>
    <col min="8223" max="8448" width="11.5546875" style="1877"/>
    <col min="8449" max="8449" width="3.33203125" style="1877" customWidth="1"/>
    <col min="8450" max="8450" width="5.6640625" style="1877" customWidth="1"/>
    <col min="8451" max="8451" width="19.44140625" style="1877" customWidth="1"/>
    <col min="8452" max="8452" width="4.33203125" style="1877" customWidth="1"/>
    <col min="8453" max="8453" width="4.33203125" style="1877" bestFit="1" customWidth="1"/>
    <col min="8454" max="8474" width="4.109375" style="1877" customWidth="1"/>
    <col min="8475" max="8477" width="4.6640625" style="1877" customWidth="1"/>
    <col min="8478" max="8478" width="5.44140625" style="1877" customWidth="1"/>
    <col min="8479" max="8704" width="11.5546875" style="1877"/>
    <col min="8705" max="8705" width="3.33203125" style="1877" customWidth="1"/>
    <col min="8706" max="8706" width="5.6640625" style="1877" customWidth="1"/>
    <col min="8707" max="8707" width="19.44140625" style="1877" customWidth="1"/>
    <col min="8708" max="8708" width="4.33203125" style="1877" customWidth="1"/>
    <col min="8709" max="8709" width="4.33203125" style="1877" bestFit="1" customWidth="1"/>
    <col min="8710" max="8730" width="4.109375" style="1877" customWidth="1"/>
    <col min="8731" max="8733" width="4.6640625" style="1877" customWidth="1"/>
    <col min="8734" max="8734" width="5.44140625" style="1877" customWidth="1"/>
    <col min="8735" max="8960" width="11.5546875" style="1877"/>
    <col min="8961" max="8961" width="3.33203125" style="1877" customWidth="1"/>
    <col min="8962" max="8962" width="5.6640625" style="1877" customWidth="1"/>
    <col min="8963" max="8963" width="19.44140625" style="1877" customWidth="1"/>
    <col min="8964" max="8964" width="4.33203125" style="1877" customWidth="1"/>
    <col min="8965" max="8965" width="4.33203125" style="1877" bestFit="1" customWidth="1"/>
    <col min="8966" max="8986" width="4.109375" style="1877" customWidth="1"/>
    <col min="8987" max="8989" width="4.6640625" style="1877" customWidth="1"/>
    <col min="8990" max="8990" width="5.44140625" style="1877" customWidth="1"/>
    <col min="8991" max="9216" width="11.5546875" style="1877"/>
    <col min="9217" max="9217" width="3.33203125" style="1877" customWidth="1"/>
    <col min="9218" max="9218" width="5.6640625" style="1877" customWidth="1"/>
    <col min="9219" max="9219" width="19.44140625" style="1877" customWidth="1"/>
    <col min="9220" max="9220" width="4.33203125" style="1877" customWidth="1"/>
    <col min="9221" max="9221" width="4.33203125" style="1877" bestFit="1" customWidth="1"/>
    <col min="9222" max="9242" width="4.109375" style="1877" customWidth="1"/>
    <col min="9243" max="9245" width="4.6640625" style="1877" customWidth="1"/>
    <col min="9246" max="9246" width="5.44140625" style="1877" customWidth="1"/>
    <col min="9247" max="9472" width="11.5546875" style="1877"/>
    <col min="9473" max="9473" width="3.33203125" style="1877" customWidth="1"/>
    <col min="9474" max="9474" width="5.6640625" style="1877" customWidth="1"/>
    <col min="9475" max="9475" width="19.44140625" style="1877" customWidth="1"/>
    <col min="9476" max="9476" width="4.33203125" style="1877" customWidth="1"/>
    <col min="9477" max="9477" width="4.33203125" style="1877" bestFit="1" customWidth="1"/>
    <col min="9478" max="9498" width="4.109375" style="1877" customWidth="1"/>
    <col min="9499" max="9501" width="4.6640625" style="1877" customWidth="1"/>
    <col min="9502" max="9502" width="5.44140625" style="1877" customWidth="1"/>
    <col min="9503" max="9728" width="11.5546875" style="1877"/>
    <col min="9729" max="9729" width="3.33203125" style="1877" customWidth="1"/>
    <col min="9730" max="9730" width="5.6640625" style="1877" customWidth="1"/>
    <col min="9731" max="9731" width="19.44140625" style="1877" customWidth="1"/>
    <col min="9732" max="9732" width="4.33203125" style="1877" customWidth="1"/>
    <col min="9733" max="9733" width="4.33203125" style="1877" bestFit="1" customWidth="1"/>
    <col min="9734" max="9754" width="4.109375" style="1877" customWidth="1"/>
    <col min="9755" max="9757" width="4.6640625" style="1877" customWidth="1"/>
    <col min="9758" max="9758" width="5.44140625" style="1877" customWidth="1"/>
    <col min="9759" max="9984" width="11.5546875" style="1877"/>
    <col min="9985" max="9985" width="3.33203125" style="1877" customWidth="1"/>
    <col min="9986" max="9986" width="5.6640625" style="1877" customWidth="1"/>
    <col min="9987" max="9987" width="19.44140625" style="1877" customWidth="1"/>
    <col min="9988" max="9988" width="4.33203125" style="1877" customWidth="1"/>
    <col min="9989" max="9989" width="4.33203125" style="1877" bestFit="1" customWidth="1"/>
    <col min="9990" max="10010" width="4.109375" style="1877" customWidth="1"/>
    <col min="10011" max="10013" width="4.6640625" style="1877" customWidth="1"/>
    <col min="10014" max="10014" width="5.44140625" style="1877" customWidth="1"/>
    <col min="10015" max="10240" width="11.5546875" style="1877"/>
    <col min="10241" max="10241" width="3.33203125" style="1877" customWidth="1"/>
    <col min="10242" max="10242" width="5.6640625" style="1877" customWidth="1"/>
    <col min="10243" max="10243" width="19.44140625" style="1877" customWidth="1"/>
    <col min="10244" max="10244" width="4.33203125" style="1877" customWidth="1"/>
    <col min="10245" max="10245" width="4.33203125" style="1877" bestFit="1" customWidth="1"/>
    <col min="10246" max="10266" width="4.109375" style="1877" customWidth="1"/>
    <col min="10267" max="10269" width="4.6640625" style="1877" customWidth="1"/>
    <col min="10270" max="10270" width="5.44140625" style="1877" customWidth="1"/>
    <col min="10271" max="10496" width="11.5546875" style="1877"/>
    <col min="10497" max="10497" width="3.33203125" style="1877" customWidth="1"/>
    <col min="10498" max="10498" width="5.6640625" style="1877" customWidth="1"/>
    <col min="10499" max="10499" width="19.44140625" style="1877" customWidth="1"/>
    <col min="10500" max="10500" width="4.33203125" style="1877" customWidth="1"/>
    <col min="10501" max="10501" width="4.33203125" style="1877" bestFit="1" customWidth="1"/>
    <col min="10502" max="10522" width="4.109375" style="1877" customWidth="1"/>
    <col min="10523" max="10525" width="4.6640625" style="1877" customWidth="1"/>
    <col min="10526" max="10526" width="5.44140625" style="1877" customWidth="1"/>
    <col min="10527" max="10752" width="11.5546875" style="1877"/>
    <col min="10753" max="10753" width="3.33203125" style="1877" customWidth="1"/>
    <col min="10754" max="10754" width="5.6640625" style="1877" customWidth="1"/>
    <col min="10755" max="10755" width="19.44140625" style="1877" customWidth="1"/>
    <col min="10756" max="10756" width="4.33203125" style="1877" customWidth="1"/>
    <col min="10757" max="10757" width="4.33203125" style="1877" bestFit="1" customWidth="1"/>
    <col min="10758" max="10778" width="4.109375" style="1877" customWidth="1"/>
    <col min="10779" max="10781" width="4.6640625" style="1877" customWidth="1"/>
    <col min="10782" max="10782" width="5.44140625" style="1877" customWidth="1"/>
    <col min="10783" max="11008" width="11.5546875" style="1877"/>
    <col min="11009" max="11009" width="3.33203125" style="1877" customWidth="1"/>
    <col min="11010" max="11010" width="5.6640625" style="1877" customWidth="1"/>
    <col min="11011" max="11011" width="19.44140625" style="1877" customWidth="1"/>
    <col min="11012" max="11012" width="4.33203125" style="1877" customWidth="1"/>
    <col min="11013" max="11013" width="4.33203125" style="1877" bestFit="1" customWidth="1"/>
    <col min="11014" max="11034" width="4.109375" style="1877" customWidth="1"/>
    <col min="11035" max="11037" width="4.6640625" style="1877" customWidth="1"/>
    <col min="11038" max="11038" width="5.44140625" style="1877" customWidth="1"/>
    <col min="11039" max="11264" width="11.5546875" style="1877"/>
    <col min="11265" max="11265" width="3.33203125" style="1877" customWidth="1"/>
    <col min="11266" max="11266" width="5.6640625" style="1877" customWidth="1"/>
    <col min="11267" max="11267" width="19.44140625" style="1877" customWidth="1"/>
    <col min="11268" max="11268" width="4.33203125" style="1877" customWidth="1"/>
    <col min="11269" max="11269" width="4.33203125" style="1877" bestFit="1" customWidth="1"/>
    <col min="11270" max="11290" width="4.109375" style="1877" customWidth="1"/>
    <col min="11291" max="11293" width="4.6640625" style="1877" customWidth="1"/>
    <col min="11294" max="11294" width="5.44140625" style="1877" customWidth="1"/>
    <col min="11295" max="11520" width="11.5546875" style="1877"/>
    <col min="11521" max="11521" width="3.33203125" style="1877" customWidth="1"/>
    <col min="11522" max="11522" width="5.6640625" style="1877" customWidth="1"/>
    <col min="11523" max="11523" width="19.44140625" style="1877" customWidth="1"/>
    <col min="11524" max="11524" width="4.33203125" style="1877" customWidth="1"/>
    <col min="11525" max="11525" width="4.33203125" style="1877" bestFit="1" customWidth="1"/>
    <col min="11526" max="11546" width="4.109375" style="1877" customWidth="1"/>
    <col min="11547" max="11549" width="4.6640625" style="1877" customWidth="1"/>
    <col min="11550" max="11550" width="5.44140625" style="1877" customWidth="1"/>
    <col min="11551" max="11776" width="11.5546875" style="1877"/>
    <col min="11777" max="11777" width="3.33203125" style="1877" customWidth="1"/>
    <col min="11778" max="11778" width="5.6640625" style="1877" customWidth="1"/>
    <col min="11779" max="11779" width="19.44140625" style="1877" customWidth="1"/>
    <col min="11780" max="11780" width="4.33203125" style="1877" customWidth="1"/>
    <col min="11781" max="11781" width="4.33203125" style="1877" bestFit="1" customWidth="1"/>
    <col min="11782" max="11802" width="4.109375" style="1877" customWidth="1"/>
    <col min="11803" max="11805" width="4.6640625" style="1877" customWidth="1"/>
    <col min="11806" max="11806" width="5.44140625" style="1877" customWidth="1"/>
    <col min="11807" max="12032" width="11.5546875" style="1877"/>
    <col min="12033" max="12033" width="3.33203125" style="1877" customWidth="1"/>
    <col min="12034" max="12034" width="5.6640625" style="1877" customWidth="1"/>
    <col min="12035" max="12035" width="19.44140625" style="1877" customWidth="1"/>
    <col min="12036" max="12036" width="4.33203125" style="1877" customWidth="1"/>
    <col min="12037" max="12037" width="4.33203125" style="1877" bestFit="1" customWidth="1"/>
    <col min="12038" max="12058" width="4.109375" style="1877" customWidth="1"/>
    <col min="12059" max="12061" width="4.6640625" style="1877" customWidth="1"/>
    <col min="12062" max="12062" width="5.44140625" style="1877" customWidth="1"/>
    <col min="12063" max="12288" width="11.5546875" style="1877"/>
    <col min="12289" max="12289" width="3.33203125" style="1877" customWidth="1"/>
    <col min="12290" max="12290" width="5.6640625" style="1877" customWidth="1"/>
    <col min="12291" max="12291" width="19.44140625" style="1877" customWidth="1"/>
    <col min="12292" max="12292" width="4.33203125" style="1877" customWidth="1"/>
    <col min="12293" max="12293" width="4.33203125" style="1877" bestFit="1" customWidth="1"/>
    <col min="12294" max="12314" width="4.109375" style="1877" customWidth="1"/>
    <col min="12315" max="12317" width="4.6640625" style="1877" customWidth="1"/>
    <col min="12318" max="12318" width="5.44140625" style="1877" customWidth="1"/>
    <col min="12319" max="12544" width="11.5546875" style="1877"/>
    <col min="12545" max="12545" width="3.33203125" style="1877" customWidth="1"/>
    <col min="12546" max="12546" width="5.6640625" style="1877" customWidth="1"/>
    <col min="12547" max="12547" width="19.44140625" style="1877" customWidth="1"/>
    <col min="12548" max="12548" width="4.33203125" style="1877" customWidth="1"/>
    <col min="12549" max="12549" width="4.33203125" style="1877" bestFit="1" customWidth="1"/>
    <col min="12550" max="12570" width="4.109375" style="1877" customWidth="1"/>
    <col min="12571" max="12573" width="4.6640625" style="1877" customWidth="1"/>
    <col min="12574" max="12574" width="5.44140625" style="1877" customWidth="1"/>
    <col min="12575" max="12800" width="11.5546875" style="1877"/>
    <col min="12801" max="12801" width="3.33203125" style="1877" customWidth="1"/>
    <col min="12802" max="12802" width="5.6640625" style="1877" customWidth="1"/>
    <col min="12803" max="12803" width="19.44140625" style="1877" customWidth="1"/>
    <col min="12804" max="12804" width="4.33203125" style="1877" customWidth="1"/>
    <col min="12805" max="12805" width="4.33203125" style="1877" bestFit="1" customWidth="1"/>
    <col min="12806" max="12826" width="4.109375" style="1877" customWidth="1"/>
    <col min="12827" max="12829" width="4.6640625" style="1877" customWidth="1"/>
    <col min="12830" max="12830" width="5.44140625" style="1877" customWidth="1"/>
    <col min="12831" max="13056" width="11.5546875" style="1877"/>
    <col min="13057" max="13057" width="3.33203125" style="1877" customWidth="1"/>
    <col min="13058" max="13058" width="5.6640625" style="1877" customWidth="1"/>
    <col min="13059" max="13059" width="19.44140625" style="1877" customWidth="1"/>
    <col min="13060" max="13060" width="4.33203125" style="1877" customWidth="1"/>
    <col min="13061" max="13061" width="4.33203125" style="1877" bestFit="1" customWidth="1"/>
    <col min="13062" max="13082" width="4.109375" style="1877" customWidth="1"/>
    <col min="13083" max="13085" width="4.6640625" style="1877" customWidth="1"/>
    <col min="13086" max="13086" width="5.44140625" style="1877" customWidth="1"/>
    <col min="13087" max="13312" width="11.5546875" style="1877"/>
    <col min="13313" max="13313" width="3.33203125" style="1877" customWidth="1"/>
    <col min="13314" max="13314" width="5.6640625" style="1877" customWidth="1"/>
    <col min="13315" max="13315" width="19.44140625" style="1877" customWidth="1"/>
    <col min="13316" max="13316" width="4.33203125" style="1877" customWidth="1"/>
    <col min="13317" max="13317" width="4.33203125" style="1877" bestFit="1" customWidth="1"/>
    <col min="13318" max="13338" width="4.109375" style="1877" customWidth="1"/>
    <col min="13339" max="13341" width="4.6640625" style="1877" customWidth="1"/>
    <col min="13342" max="13342" width="5.44140625" style="1877" customWidth="1"/>
    <col min="13343" max="13568" width="11.5546875" style="1877"/>
    <col min="13569" max="13569" width="3.33203125" style="1877" customWidth="1"/>
    <col min="13570" max="13570" width="5.6640625" style="1877" customWidth="1"/>
    <col min="13571" max="13571" width="19.44140625" style="1877" customWidth="1"/>
    <col min="13572" max="13572" width="4.33203125" style="1877" customWidth="1"/>
    <col min="13573" max="13573" width="4.33203125" style="1877" bestFit="1" customWidth="1"/>
    <col min="13574" max="13594" width="4.109375" style="1877" customWidth="1"/>
    <col min="13595" max="13597" width="4.6640625" style="1877" customWidth="1"/>
    <col min="13598" max="13598" width="5.44140625" style="1877" customWidth="1"/>
    <col min="13599" max="13824" width="11.5546875" style="1877"/>
    <col min="13825" max="13825" width="3.33203125" style="1877" customWidth="1"/>
    <col min="13826" max="13826" width="5.6640625" style="1877" customWidth="1"/>
    <col min="13827" max="13827" width="19.44140625" style="1877" customWidth="1"/>
    <col min="13828" max="13828" width="4.33203125" style="1877" customWidth="1"/>
    <col min="13829" max="13829" width="4.33203125" style="1877" bestFit="1" customWidth="1"/>
    <col min="13830" max="13850" width="4.109375" style="1877" customWidth="1"/>
    <col min="13851" max="13853" width="4.6640625" style="1877" customWidth="1"/>
    <col min="13854" max="13854" width="5.44140625" style="1877" customWidth="1"/>
    <col min="13855" max="14080" width="11.5546875" style="1877"/>
    <col min="14081" max="14081" width="3.33203125" style="1877" customWidth="1"/>
    <col min="14082" max="14082" width="5.6640625" style="1877" customWidth="1"/>
    <col min="14083" max="14083" width="19.44140625" style="1877" customWidth="1"/>
    <col min="14084" max="14084" width="4.33203125" style="1877" customWidth="1"/>
    <col min="14085" max="14085" width="4.33203125" style="1877" bestFit="1" customWidth="1"/>
    <col min="14086" max="14106" width="4.109375" style="1877" customWidth="1"/>
    <col min="14107" max="14109" width="4.6640625" style="1877" customWidth="1"/>
    <col min="14110" max="14110" width="5.44140625" style="1877" customWidth="1"/>
    <col min="14111" max="14336" width="11.5546875" style="1877"/>
    <col min="14337" max="14337" width="3.33203125" style="1877" customWidth="1"/>
    <col min="14338" max="14338" width="5.6640625" style="1877" customWidth="1"/>
    <col min="14339" max="14339" width="19.44140625" style="1877" customWidth="1"/>
    <col min="14340" max="14340" width="4.33203125" style="1877" customWidth="1"/>
    <col min="14341" max="14341" width="4.33203125" style="1877" bestFit="1" customWidth="1"/>
    <col min="14342" max="14362" width="4.109375" style="1877" customWidth="1"/>
    <col min="14363" max="14365" width="4.6640625" style="1877" customWidth="1"/>
    <col min="14366" max="14366" width="5.44140625" style="1877" customWidth="1"/>
    <col min="14367" max="14592" width="11.5546875" style="1877"/>
    <col min="14593" max="14593" width="3.33203125" style="1877" customWidth="1"/>
    <col min="14594" max="14594" width="5.6640625" style="1877" customWidth="1"/>
    <col min="14595" max="14595" width="19.44140625" style="1877" customWidth="1"/>
    <col min="14596" max="14596" width="4.33203125" style="1877" customWidth="1"/>
    <col min="14597" max="14597" width="4.33203125" style="1877" bestFit="1" customWidth="1"/>
    <col min="14598" max="14618" width="4.109375" style="1877" customWidth="1"/>
    <col min="14619" max="14621" width="4.6640625" style="1877" customWidth="1"/>
    <col min="14622" max="14622" width="5.44140625" style="1877" customWidth="1"/>
    <col min="14623" max="14848" width="11.5546875" style="1877"/>
    <col min="14849" max="14849" width="3.33203125" style="1877" customWidth="1"/>
    <col min="14850" max="14850" width="5.6640625" style="1877" customWidth="1"/>
    <col min="14851" max="14851" width="19.44140625" style="1877" customWidth="1"/>
    <col min="14852" max="14852" width="4.33203125" style="1877" customWidth="1"/>
    <col min="14853" max="14853" width="4.33203125" style="1877" bestFit="1" customWidth="1"/>
    <col min="14854" max="14874" width="4.109375" style="1877" customWidth="1"/>
    <col min="14875" max="14877" width="4.6640625" style="1877" customWidth="1"/>
    <col min="14878" max="14878" width="5.44140625" style="1877" customWidth="1"/>
    <col min="14879" max="15104" width="11.5546875" style="1877"/>
    <col min="15105" max="15105" width="3.33203125" style="1877" customWidth="1"/>
    <col min="15106" max="15106" width="5.6640625" style="1877" customWidth="1"/>
    <col min="15107" max="15107" width="19.44140625" style="1877" customWidth="1"/>
    <col min="15108" max="15108" width="4.33203125" style="1877" customWidth="1"/>
    <col min="15109" max="15109" width="4.33203125" style="1877" bestFit="1" customWidth="1"/>
    <col min="15110" max="15130" width="4.109375" style="1877" customWidth="1"/>
    <col min="15131" max="15133" width="4.6640625" style="1877" customWidth="1"/>
    <col min="15134" max="15134" width="5.44140625" style="1877" customWidth="1"/>
    <col min="15135" max="15360" width="11.5546875" style="1877"/>
    <col min="15361" max="15361" width="3.33203125" style="1877" customWidth="1"/>
    <col min="15362" max="15362" width="5.6640625" style="1877" customWidth="1"/>
    <col min="15363" max="15363" width="19.44140625" style="1877" customWidth="1"/>
    <col min="15364" max="15364" width="4.33203125" style="1877" customWidth="1"/>
    <col min="15365" max="15365" width="4.33203125" style="1877" bestFit="1" customWidth="1"/>
    <col min="15366" max="15386" width="4.109375" style="1877" customWidth="1"/>
    <col min="15387" max="15389" width="4.6640625" style="1877" customWidth="1"/>
    <col min="15390" max="15390" width="5.44140625" style="1877" customWidth="1"/>
    <col min="15391" max="15616" width="11.5546875" style="1877"/>
    <col min="15617" max="15617" width="3.33203125" style="1877" customWidth="1"/>
    <col min="15618" max="15618" width="5.6640625" style="1877" customWidth="1"/>
    <col min="15619" max="15619" width="19.44140625" style="1877" customWidth="1"/>
    <col min="15620" max="15620" width="4.33203125" style="1877" customWidth="1"/>
    <col min="15621" max="15621" width="4.33203125" style="1877" bestFit="1" customWidth="1"/>
    <col min="15622" max="15642" width="4.109375" style="1877" customWidth="1"/>
    <col min="15643" max="15645" width="4.6640625" style="1877" customWidth="1"/>
    <col min="15646" max="15646" width="5.44140625" style="1877" customWidth="1"/>
    <col min="15647" max="15872" width="11.5546875" style="1877"/>
    <col min="15873" max="15873" width="3.33203125" style="1877" customWidth="1"/>
    <col min="15874" max="15874" width="5.6640625" style="1877" customWidth="1"/>
    <col min="15875" max="15875" width="19.44140625" style="1877" customWidth="1"/>
    <col min="15876" max="15876" width="4.33203125" style="1877" customWidth="1"/>
    <col min="15877" max="15877" width="4.33203125" style="1877" bestFit="1" customWidth="1"/>
    <col min="15878" max="15898" width="4.109375" style="1877" customWidth="1"/>
    <col min="15899" max="15901" width="4.6640625" style="1877" customWidth="1"/>
    <col min="15902" max="15902" width="5.44140625" style="1877" customWidth="1"/>
    <col min="15903" max="16128" width="11.5546875" style="1877"/>
    <col min="16129" max="16129" width="3.33203125" style="1877" customWidth="1"/>
    <col min="16130" max="16130" width="5.6640625" style="1877" customWidth="1"/>
    <col min="16131" max="16131" width="19.44140625" style="1877" customWidth="1"/>
    <col min="16132" max="16132" width="4.33203125" style="1877" customWidth="1"/>
    <col min="16133" max="16133" width="4.33203125" style="1877" bestFit="1" customWidth="1"/>
    <col min="16134" max="16154" width="4.109375" style="1877" customWidth="1"/>
    <col min="16155" max="16157" width="4.6640625" style="1877" customWidth="1"/>
    <col min="16158" max="16158" width="5.44140625" style="1877" customWidth="1"/>
    <col min="16159" max="16384" width="11.5546875" style="1877"/>
  </cols>
  <sheetData>
    <row r="1" spans="1:30" s="2286" customFormat="1" ht="23.4" customHeight="1">
      <c r="B1" s="2287"/>
      <c r="C1" s="2287"/>
      <c r="D1" s="2287"/>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row>
    <row r="2" spans="1:30" s="2286" customFormat="1" ht="23.4" customHeight="1">
      <c r="B2" s="2287"/>
      <c r="C2" s="2287"/>
      <c r="D2" s="2287"/>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row>
    <row r="3" spans="1:30" s="2286" customFormat="1" ht="23.4" customHeight="1">
      <c r="B3" s="2287"/>
      <c r="C3" s="2287"/>
      <c r="D3" s="2287"/>
      <c r="E3" s="2288"/>
      <c r="F3" s="2288"/>
      <c r="G3" s="2288"/>
      <c r="H3" s="2288"/>
      <c r="I3" s="2288"/>
      <c r="J3" s="2288"/>
      <c r="K3" s="2288"/>
      <c r="L3" s="2288"/>
      <c r="M3" s="2288"/>
      <c r="N3" s="2288"/>
      <c r="O3" s="2288"/>
      <c r="P3" s="2288"/>
      <c r="Q3" s="2288"/>
      <c r="R3" s="2288"/>
      <c r="S3" s="2288"/>
      <c r="T3" s="2288"/>
      <c r="U3" s="2288"/>
      <c r="V3" s="2288"/>
      <c r="W3" s="2288"/>
      <c r="X3" s="2288"/>
      <c r="Y3" s="2288"/>
      <c r="Z3" s="2288"/>
      <c r="AA3" s="2288"/>
      <c r="AB3" s="2288"/>
      <c r="AC3" s="2288"/>
      <c r="AD3" s="2288"/>
    </row>
    <row r="4" spans="1:30" s="2286" customFormat="1" ht="23.4" customHeight="1">
      <c r="B4" s="2287"/>
      <c r="C4" s="2287"/>
      <c r="D4" s="2287"/>
      <c r="E4" s="2288"/>
      <c r="F4" s="2288"/>
      <c r="G4" s="2288"/>
      <c r="H4" s="2288"/>
      <c r="I4" s="2288"/>
      <c r="J4" s="2288"/>
      <c r="K4" s="2288"/>
      <c r="L4" s="2288"/>
      <c r="M4" s="2288"/>
      <c r="N4" s="2288"/>
      <c r="O4" s="2288"/>
      <c r="P4" s="2288"/>
      <c r="Q4" s="2288"/>
      <c r="R4" s="2288"/>
      <c r="S4" s="2288"/>
      <c r="T4" s="2288"/>
      <c r="U4" s="2288"/>
      <c r="V4" s="2288"/>
      <c r="W4" s="2288"/>
      <c r="X4" s="2288"/>
      <c r="Y4" s="2288"/>
      <c r="Z4" s="2288"/>
      <c r="AA4" s="2288"/>
      <c r="AB4" s="2288"/>
      <c r="AC4" s="2288"/>
      <c r="AD4" s="2288"/>
    </row>
    <row r="5" spans="1:30" s="2286" customFormat="1" ht="23.4" customHeight="1">
      <c r="A5" s="2785" t="str">
        <f>HLOOKUP(select,translations!$B$436:$H$450,2,)</f>
        <v xml:space="preserve"> </v>
      </c>
      <c r="B5" s="2287"/>
      <c r="C5" s="2287"/>
      <c r="D5" s="2287"/>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row>
    <row r="6" spans="1:30">
      <c r="A6" s="3408"/>
      <c r="B6" s="3408"/>
      <c r="C6" s="3408"/>
    </row>
    <row r="7" spans="1:30" ht="13.2" customHeight="1">
      <c r="B7" s="3405" t="str">
        <f>HLOOKUP(select,translations!$A$491:$H$520,2,)</f>
        <v>Yield</v>
      </c>
      <c r="C7" s="3405"/>
      <c r="D7" s="3405"/>
    </row>
    <row r="8" spans="1:30" ht="13.2" customHeight="1">
      <c r="B8" s="3405"/>
      <c r="C8" s="3405"/>
      <c r="D8" s="3405"/>
      <c r="E8" s="1871"/>
      <c r="F8" s="1871"/>
      <c r="G8" s="1887" t="str">
        <f>IF(Nlang=1,"",HLOOKUP(select,translations!$A$491:$H$520,3,))</f>
        <v/>
      </c>
      <c r="H8" s="3409" t="s">
        <v>5</v>
      </c>
      <c r="I8" s="3409"/>
      <c r="J8" s="3409"/>
      <c r="K8" s="3409"/>
      <c r="L8" s="1891" t="str">
        <f>IF(Nlang=1,"",HLOOKUP(select,translations!$A$491:$H$520,5,))</f>
        <v/>
      </c>
      <c r="M8" s="1871"/>
      <c r="N8" s="1871"/>
      <c r="O8" s="1871"/>
      <c r="P8" s="2830" t="str">
        <f>IF(Nlang=1,H8,VLOOKUP(H8,List_Yield!A1:B31,2,))</f>
        <v>?</v>
      </c>
      <c r="Q8" s="1871"/>
      <c r="R8" s="1871"/>
      <c r="S8" s="1871"/>
      <c r="T8" s="1871"/>
      <c r="U8" s="1871"/>
      <c r="V8" s="1871"/>
      <c r="W8" s="1871"/>
      <c r="X8" s="1871"/>
      <c r="Y8" s="1871"/>
      <c r="Z8" s="1871"/>
      <c r="AA8" s="1871"/>
      <c r="AB8" s="1870"/>
    </row>
    <row r="9" spans="1:30">
      <c r="B9" s="1871"/>
      <c r="C9" s="1871"/>
      <c r="D9" s="1871"/>
      <c r="E9" s="1871"/>
      <c r="F9" s="1871"/>
      <c r="G9" s="1887" t="str">
        <f>IF(Nlang=1,"",HLOOKUP(select,translations!$A$491:$H$520,4,))</f>
        <v/>
      </c>
      <c r="H9" s="3409" t="s">
        <v>5</v>
      </c>
      <c r="I9" s="3409"/>
      <c r="J9" s="3409"/>
      <c r="K9" s="3409"/>
      <c r="L9" s="1871"/>
      <c r="M9" s="1871"/>
      <c r="N9" s="1871"/>
      <c r="O9" s="1871"/>
      <c r="P9" s="2830" t="str">
        <f>IF(Nlang=1,H9,VLOOKUP(H9,List_Yield!C2:D63,2,))</f>
        <v>?</v>
      </c>
      <c r="Q9" s="1871"/>
      <c r="R9" s="1871"/>
      <c r="S9" s="1871"/>
      <c r="T9" s="1871"/>
      <c r="U9" s="1871"/>
      <c r="V9" s="1871"/>
      <c r="W9" s="1871"/>
      <c r="X9" s="1871"/>
      <c r="Y9" s="1871"/>
      <c r="Z9" s="1871"/>
      <c r="AA9" s="1871"/>
      <c r="AB9" s="1870"/>
    </row>
    <row r="10" spans="1:30">
      <c r="B10" s="1880"/>
      <c r="C10" s="1880"/>
      <c r="D10" s="1880"/>
      <c r="E10" s="1881"/>
      <c r="F10" s="1881"/>
      <c r="G10" s="1881"/>
      <c r="H10" s="1881"/>
      <c r="I10" s="1881"/>
      <c r="J10" s="1881"/>
      <c r="K10" s="1881"/>
      <c r="L10" s="1881"/>
      <c r="M10" s="1881"/>
      <c r="N10" s="1881"/>
      <c r="O10" s="1881"/>
      <c r="P10" s="1881"/>
      <c r="Q10" s="1881"/>
      <c r="R10" s="1881"/>
      <c r="S10" s="1881"/>
      <c r="T10" s="1881"/>
      <c r="U10" s="1881"/>
      <c r="V10" s="1881"/>
      <c r="W10" s="1881"/>
      <c r="X10" s="1881"/>
      <c r="Y10" s="1881"/>
      <c r="Z10" s="1881"/>
      <c r="AA10" s="1881"/>
    </row>
    <row r="11" spans="1:30">
      <c r="B11" s="1888"/>
      <c r="C11" s="1875" t="str">
        <f>IF(Nlang=1,"",HLOOKUP(select,translations!$A$491:$H$520,6,))</f>
        <v/>
      </c>
      <c r="D11" s="1876">
        <v>1961</v>
      </c>
      <c r="E11" s="1876">
        <v>1962</v>
      </c>
      <c r="F11" s="1876">
        <v>1963</v>
      </c>
      <c r="G11" s="1876">
        <v>1964</v>
      </c>
      <c r="H11" s="1876">
        <v>1965</v>
      </c>
      <c r="I11" s="1876">
        <v>1966</v>
      </c>
      <c r="J11" s="1876">
        <v>1967</v>
      </c>
      <c r="K11" s="1876">
        <v>1968</v>
      </c>
      <c r="L11" s="1876">
        <v>1969</v>
      </c>
      <c r="M11" s="1876">
        <v>1970</v>
      </c>
      <c r="N11" s="1876">
        <v>1971</v>
      </c>
      <c r="O11" s="1876">
        <v>1972</v>
      </c>
      <c r="P11" s="1876">
        <v>1973</v>
      </c>
      <c r="Q11" s="1876">
        <v>1974</v>
      </c>
      <c r="R11" s="1876">
        <v>1975</v>
      </c>
      <c r="S11" s="1876">
        <v>1976</v>
      </c>
      <c r="T11" s="1876">
        <v>1977</v>
      </c>
      <c r="U11" s="1876">
        <v>1978</v>
      </c>
      <c r="V11" s="1876">
        <v>1979</v>
      </c>
      <c r="W11" s="1876">
        <v>1980</v>
      </c>
      <c r="X11" s="1876">
        <v>1981</v>
      </c>
      <c r="Y11" s="1876">
        <v>1982</v>
      </c>
      <c r="Z11" s="1876">
        <v>1983</v>
      </c>
      <c r="AA11" s="1876">
        <v>1984</v>
      </c>
      <c r="AB11" s="1876">
        <v>1985</v>
      </c>
    </row>
    <row r="12" spans="1:30">
      <c r="B12" s="1882"/>
      <c r="C12" s="1872" t="str">
        <f>IF(Nlang=1,"",HLOOKUP(select,translations!$A$491:$H$520,7,))</f>
        <v/>
      </c>
      <c r="D12" s="1874">
        <f>VLOOKUP(CONCATENATE(Select_c,Select_p),Stats_yield!$A$1:$BA$1363,D11-1957,)</f>
        <v>0</v>
      </c>
      <c r="E12" s="1874">
        <f>VLOOKUP(CONCATENATE(Select_c,Select_p),Stats_yield!$A$1:$BA$1363,E11-1957,)</f>
        <v>0</v>
      </c>
      <c r="F12" s="1874">
        <f>VLOOKUP(CONCATENATE(Select_c,Select_p),Stats_yield!$A$1:$BA$1363,F11-1957,)</f>
        <v>0</v>
      </c>
      <c r="G12" s="1874">
        <f>VLOOKUP(CONCATENATE(Select_c,Select_p),Stats_yield!$A$1:$BA$1363,G11-1957,)</f>
        <v>0</v>
      </c>
      <c r="H12" s="1874">
        <f>VLOOKUP(CONCATENATE(Select_c,Select_p),Stats_yield!$A$1:$BA$1363,H11-1957,)</f>
        <v>0</v>
      </c>
      <c r="I12" s="1874">
        <f>VLOOKUP(CONCATENATE(Select_c,Select_p),Stats_yield!$A$1:$BA$1363,I11-1957,)</f>
        <v>0</v>
      </c>
      <c r="J12" s="1874">
        <f>VLOOKUP(CONCATENATE(Select_c,Select_p),Stats_yield!$A$1:$BA$1363,J11-1957,)</f>
        <v>0</v>
      </c>
      <c r="K12" s="1874">
        <f>VLOOKUP(CONCATENATE(Select_c,Select_p),Stats_yield!$A$1:$BA$1363,K11-1957,)</f>
        <v>0</v>
      </c>
      <c r="L12" s="1874">
        <f>VLOOKUP(CONCATENATE(Select_c,Select_p),Stats_yield!$A$1:$BA$1363,L11-1957,)</f>
        <v>0</v>
      </c>
      <c r="M12" s="1874">
        <f>VLOOKUP(CONCATENATE(Select_c,Select_p),Stats_yield!$A$1:$BA$1363,M11-1957,)</f>
        <v>0</v>
      </c>
      <c r="N12" s="1874">
        <f>VLOOKUP(CONCATENATE(Select_c,Select_p),Stats_yield!$A$1:$BA$1363,N11-1957,)</f>
        <v>0</v>
      </c>
      <c r="O12" s="1874">
        <f>VLOOKUP(CONCATENATE(Select_c,Select_p),Stats_yield!$A$1:$BA$1363,O11-1957,)</f>
        <v>0</v>
      </c>
      <c r="P12" s="1874">
        <f>VLOOKUP(CONCATENATE(Select_c,Select_p),Stats_yield!$A$1:$BA$1363,P11-1957,)</f>
        <v>0</v>
      </c>
      <c r="Q12" s="1874">
        <f>VLOOKUP(CONCATENATE(Select_c,Select_p),Stats_yield!$A$1:$BA$1363,Q11-1957,)</f>
        <v>0</v>
      </c>
      <c r="R12" s="1874">
        <f>VLOOKUP(CONCATENATE(Select_c,Select_p),Stats_yield!$A$1:$BA$1363,R11-1957,)</f>
        <v>0</v>
      </c>
      <c r="S12" s="1874">
        <f>VLOOKUP(CONCATENATE(Select_c,Select_p),Stats_yield!$A$1:$BA$1363,S11-1957,)</f>
        <v>0</v>
      </c>
      <c r="T12" s="1874">
        <f>VLOOKUP(CONCATENATE(Select_c,Select_p),Stats_yield!$A$1:$BA$1363,T11-1957,)</f>
        <v>0</v>
      </c>
      <c r="U12" s="1874">
        <f>VLOOKUP(CONCATENATE(Select_c,Select_p),Stats_yield!$A$1:$BA$1363,U11-1957,)</f>
        <v>0</v>
      </c>
      <c r="V12" s="1874">
        <f>VLOOKUP(CONCATENATE(Select_c,Select_p),Stats_yield!$A$1:$BA$1363,V11-1957,)</f>
        <v>0</v>
      </c>
      <c r="W12" s="1874">
        <f>VLOOKUP(CONCATENATE(Select_c,Select_p),Stats_yield!$A$1:$BA$1363,W11-1957,)</f>
        <v>0</v>
      </c>
      <c r="X12" s="1874">
        <f>VLOOKUP(CONCATENATE(Select_c,Select_p),Stats_yield!$A$1:$BA$1363,X11-1957,)</f>
        <v>0</v>
      </c>
      <c r="Y12" s="1874">
        <f>VLOOKUP(CONCATENATE(Select_c,Select_p),Stats_yield!$A$1:$BA$1363,Y11-1957,)</f>
        <v>0</v>
      </c>
      <c r="Z12" s="1874">
        <f>VLOOKUP(CONCATENATE(Select_c,Select_p),Stats_yield!$A$1:$BA$1363,Z11-1957,)</f>
        <v>0</v>
      </c>
      <c r="AA12" s="1874">
        <f>VLOOKUP(CONCATENATE(Select_c,Select_p),Stats_yield!$A$1:$BA$1363,AA11-1957,)</f>
        <v>0</v>
      </c>
      <c r="AB12" s="1874">
        <f>VLOOKUP(CONCATENATE(Select_c,Select_p),Stats_yield!$A$1:$BA$1363,AB11-1957,)</f>
        <v>0</v>
      </c>
    </row>
    <row r="13" spans="1:30">
      <c r="B13" s="1880"/>
      <c r="C13" s="1881"/>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row>
    <row r="14" spans="1:30">
      <c r="B14" s="1889"/>
      <c r="C14" s="1875" t="str">
        <f>C11</f>
        <v/>
      </c>
      <c r="D14" s="1890">
        <v>1986</v>
      </c>
      <c r="E14" s="1890">
        <v>1987</v>
      </c>
      <c r="F14" s="1890">
        <v>1988</v>
      </c>
      <c r="G14" s="1890">
        <v>1989</v>
      </c>
      <c r="H14" s="1890">
        <v>1990</v>
      </c>
      <c r="I14" s="1890">
        <v>1991</v>
      </c>
      <c r="J14" s="1890">
        <v>1992</v>
      </c>
      <c r="K14" s="1890">
        <v>1993</v>
      </c>
      <c r="L14" s="1890">
        <v>1994</v>
      </c>
      <c r="M14" s="1890">
        <v>1995</v>
      </c>
      <c r="N14" s="1890">
        <v>1996</v>
      </c>
      <c r="O14" s="1890">
        <v>1997</v>
      </c>
      <c r="P14" s="1890">
        <v>1998</v>
      </c>
      <c r="Q14" s="1890">
        <v>1999</v>
      </c>
      <c r="R14" s="1890">
        <v>2000</v>
      </c>
      <c r="S14" s="1890">
        <v>2001</v>
      </c>
      <c r="T14" s="1890">
        <v>2002</v>
      </c>
      <c r="U14" s="1890">
        <v>2003</v>
      </c>
      <c r="V14" s="1890">
        <v>2004</v>
      </c>
      <c r="W14" s="1890">
        <v>2005</v>
      </c>
      <c r="X14" s="1890">
        <v>2006</v>
      </c>
      <c r="Y14" s="1890">
        <v>2007</v>
      </c>
      <c r="Z14" s="1890">
        <v>2008</v>
      </c>
      <c r="AA14" s="1890">
        <v>2009</v>
      </c>
      <c r="AB14" s="1890">
        <v>2010</v>
      </c>
    </row>
    <row r="15" spans="1:30">
      <c r="B15" s="1882"/>
      <c r="C15" s="1872" t="str">
        <f>C12</f>
        <v/>
      </c>
      <c r="D15" s="1874">
        <f>VLOOKUP(CONCATENATE(Select_c,Select_p),Stats_yield!$A$1:$BA$1363,D14-1957,)</f>
        <v>0</v>
      </c>
      <c r="E15" s="1874">
        <f>VLOOKUP(CONCATENATE(Select_c,Select_p),Stats_yield!$A$1:$BA$1363,E14-1957,)</f>
        <v>0</v>
      </c>
      <c r="F15" s="1874">
        <f>VLOOKUP(CONCATENATE(Select_c,Select_p),Stats_yield!$A$1:$BA$1363,F14-1957,)</f>
        <v>0</v>
      </c>
      <c r="G15" s="1874">
        <f>VLOOKUP(CONCATENATE(Select_c,Select_p),Stats_yield!$A$1:$BA$1363,G14-1957,)</f>
        <v>0</v>
      </c>
      <c r="H15" s="1874">
        <f>VLOOKUP(CONCATENATE(Select_c,Select_p),Stats_yield!$A$1:$BA$1363,H14-1957,)</f>
        <v>0</v>
      </c>
      <c r="I15" s="1874">
        <f>VLOOKUP(CONCATENATE(Select_c,Select_p),Stats_yield!$A$1:$BA$1363,I14-1957,)</f>
        <v>0</v>
      </c>
      <c r="J15" s="1874">
        <f>VLOOKUP(CONCATENATE(Select_c,Select_p),Stats_yield!$A$1:$BA$1363,J14-1957,)</f>
        <v>0</v>
      </c>
      <c r="K15" s="1874">
        <f>VLOOKUP(CONCATENATE(Select_c,Select_p),Stats_yield!$A$1:$BA$1363,K14-1957,)</f>
        <v>0</v>
      </c>
      <c r="L15" s="1874">
        <f>VLOOKUP(CONCATENATE(Select_c,Select_p),Stats_yield!$A$1:$BA$1363,L14-1957,)</f>
        <v>0</v>
      </c>
      <c r="M15" s="1874">
        <f>VLOOKUP(CONCATENATE(Select_c,Select_p),Stats_yield!$A$1:$BA$1363,M14-1957,)</f>
        <v>0</v>
      </c>
      <c r="N15" s="1874">
        <f>VLOOKUP(CONCATENATE(Select_c,Select_p),Stats_yield!$A$1:$BA$1363,N14-1957,)</f>
        <v>0</v>
      </c>
      <c r="O15" s="1874">
        <f>VLOOKUP(CONCATENATE(Select_c,Select_p),Stats_yield!$A$1:$BA$1363,O14-1957,)</f>
        <v>0</v>
      </c>
      <c r="P15" s="1874">
        <f>VLOOKUP(CONCATENATE(Select_c,Select_p),Stats_yield!$A$1:$BA$1363,P14-1957,)</f>
        <v>0</v>
      </c>
      <c r="Q15" s="1874">
        <f>VLOOKUP(CONCATENATE(Select_c,Select_p),Stats_yield!$A$1:$BA$1363,Q14-1957,)</f>
        <v>0</v>
      </c>
      <c r="R15" s="1874">
        <f>VLOOKUP(CONCATENATE(Select_c,Select_p),Stats_yield!$A$1:$BA$1363,R14-1957,)</f>
        <v>0</v>
      </c>
      <c r="S15" s="1874">
        <f>VLOOKUP(CONCATENATE(Select_c,Select_p),Stats_yield!$A$1:$BA$1363,S14-1957,)</f>
        <v>0</v>
      </c>
      <c r="T15" s="1874">
        <f>VLOOKUP(CONCATENATE(Select_c,Select_p),Stats_yield!$A$1:$BA$1363,T14-1957,)</f>
        <v>0</v>
      </c>
      <c r="U15" s="1874">
        <f>VLOOKUP(CONCATENATE(Select_c,Select_p),Stats_yield!$A$1:$BA$1363,U14-1957,)</f>
        <v>0</v>
      </c>
      <c r="V15" s="1874">
        <f>VLOOKUP(CONCATENATE(Select_c,Select_p),Stats_yield!$A$1:$BA$1363,V14-1957,)</f>
        <v>0</v>
      </c>
      <c r="W15" s="1874">
        <f>VLOOKUP(CONCATENATE(Select_c,Select_p),Stats_yield!$A$1:$BA$1363,W14-1957,)</f>
        <v>0</v>
      </c>
      <c r="X15" s="1874">
        <f>VLOOKUP(CONCATENATE(Select_c,Select_p),Stats_yield!$A$1:$BA$1363,X14-1957,)</f>
        <v>0</v>
      </c>
      <c r="Y15" s="1874">
        <f>VLOOKUP(CONCATENATE(Select_c,Select_p),Stats_yield!$A$1:$BA$1363,Y14-1957,)</f>
        <v>0</v>
      </c>
      <c r="Z15" s="1874">
        <f>VLOOKUP(CONCATENATE(Select_c,Select_p),Stats_yield!$A$1:$BA$1363,Z14-1957,)</f>
        <v>0</v>
      </c>
      <c r="AA15" s="1874">
        <f>VLOOKUP(CONCATENATE(Select_c,Select_p),Stats_yield!$A$1:$BA$1363,AA14-1957,)</f>
        <v>0</v>
      </c>
      <c r="AB15" s="1874">
        <f>VLOOKUP(CONCATENATE(Select_c,Select_p),Stats_yield!$A$1:$BA$1363,AB14-1957,)</f>
        <v>0</v>
      </c>
    </row>
    <row r="16" spans="1:30">
      <c r="B16" s="1880"/>
      <c r="C16" s="1881"/>
      <c r="D16" s="1881"/>
      <c r="E16" s="1881"/>
      <c r="F16" s="1881"/>
      <c r="G16" s="1881"/>
      <c r="H16" s="1881"/>
      <c r="I16" s="1881"/>
      <c r="J16" s="1881"/>
      <c r="K16" s="1881"/>
      <c r="L16" s="1881"/>
      <c r="M16" s="1881"/>
      <c r="N16" s="1881"/>
      <c r="O16" s="1881"/>
      <c r="P16" s="1881"/>
      <c r="Q16" s="1881"/>
      <c r="R16" s="1881"/>
      <c r="S16" s="1881"/>
      <c r="T16" s="1881"/>
      <c r="U16" s="1881"/>
      <c r="V16" s="1881"/>
      <c r="W16" s="1881"/>
      <c r="X16" s="1881"/>
      <c r="Y16" s="1881"/>
      <c r="Z16" s="1881"/>
      <c r="AA16" s="1881"/>
      <c r="AB16" s="1881"/>
    </row>
    <row r="17" spans="2:30">
      <c r="B17" s="1880"/>
      <c r="C17" s="1881"/>
      <c r="D17" s="1881"/>
      <c r="E17" s="1881"/>
      <c r="F17" s="1881"/>
      <c r="G17" s="1881"/>
      <c r="H17" s="1881"/>
      <c r="I17" s="1881"/>
      <c r="J17" s="1881"/>
      <c r="K17" s="1881"/>
      <c r="L17" s="1881"/>
      <c r="M17" s="1881"/>
      <c r="N17" s="1881"/>
      <c r="O17" s="1881"/>
      <c r="P17" s="1881"/>
      <c r="Q17" s="1881"/>
      <c r="R17" s="1881"/>
      <c r="S17" s="1881"/>
      <c r="T17" s="1881"/>
      <c r="U17" s="1881"/>
      <c r="V17" s="1881"/>
      <c r="W17" s="1881"/>
      <c r="X17" s="1881"/>
      <c r="Y17" s="1881"/>
      <c r="Z17" s="1881"/>
      <c r="AA17" s="1881"/>
      <c r="AB17" s="1881"/>
    </row>
    <row r="18" spans="2:30">
      <c r="B18" s="1880"/>
      <c r="C18" s="1881"/>
      <c r="D18" s="1881"/>
      <c r="E18" s="1881"/>
      <c r="F18" s="1881"/>
      <c r="G18" s="1881"/>
      <c r="H18" s="1881"/>
      <c r="I18" s="1881"/>
      <c r="J18" s="1881"/>
      <c r="K18" s="1881"/>
      <c r="L18" s="1881"/>
      <c r="M18" s="1881"/>
      <c r="N18" s="1881"/>
      <c r="O18" s="1881"/>
      <c r="P18" s="1877"/>
      <c r="Q18" s="1877"/>
      <c r="R18" s="1877"/>
      <c r="S18" s="1877"/>
      <c r="T18" s="1877"/>
      <c r="U18" s="1877"/>
      <c r="V18" s="1877"/>
      <c r="W18" s="1877"/>
      <c r="X18" s="1877"/>
      <c r="Y18" s="1877"/>
      <c r="Z18" s="1877"/>
      <c r="AA18" s="1881"/>
      <c r="AB18" s="1881"/>
    </row>
    <row r="19" spans="2:30">
      <c r="B19" s="1880"/>
      <c r="C19" s="1881"/>
      <c r="D19" s="1881"/>
      <c r="E19" s="1881"/>
      <c r="F19" s="1881"/>
      <c r="G19" s="1881"/>
      <c r="H19" s="1881"/>
      <c r="I19" s="1881"/>
      <c r="J19" s="1881"/>
      <c r="K19" s="1881"/>
      <c r="L19" s="1881"/>
      <c r="M19" s="1881"/>
      <c r="N19" s="1881"/>
      <c r="O19" s="1881"/>
      <c r="P19" s="1877"/>
      <c r="Q19" s="1875" t="str">
        <f>HLOOKUP(select,translations!$A$491:$H$520,8,)</f>
        <v>Periods</v>
      </c>
      <c r="R19" s="1875"/>
      <c r="S19" s="1875"/>
      <c r="T19" s="1875"/>
      <c r="U19" s="1875" t="str">
        <f>HLOOKUP(select,translations!$A$491:$H$520,9,)</f>
        <v>Average</v>
      </c>
      <c r="V19" s="1875"/>
      <c r="W19" s="1875" t="str">
        <f>HLOOKUP(select,translations!$A$491:$H$520,10,)</f>
        <v>Rate (%)</v>
      </c>
      <c r="X19" s="1875"/>
      <c r="Y19" s="1875"/>
      <c r="Z19" s="1876" t="str">
        <f>HLOOKUP(select,translations!$A$491:$H$520,11,)</f>
        <v>Projections</v>
      </c>
      <c r="AA19" s="1875"/>
      <c r="AB19" s="1881"/>
      <c r="AD19" s="1881"/>
    </row>
    <row r="20" spans="2:30">
      <c r="B20" s="1880"/>
      <c r="C20" s="1881"/>
      <c r="D20" s="1881"/>
      <c r="E20" s="1881"/>
      <c r="F20" s="1881"/>
      <c r="G20" s="1881"/>
      <c r="H20" s="1881"/>
      <c r="I20" s="1881"/>
      <c r="J20" s="1881"/>
      <c r="K20" s="1881"/>
      <c r="L20" s="1881"/>
      <c r="M20" s="1881"/>
      <c r="N20" s="1881"/>
      <c r="O20" s="1881"/>
      <c r="P20" s="1877"/>
      <c r="Q20" s="1875"/>
      <c r="R20" s="1875"/>
      <c r="S20" s="1875"/>
      <c r="T20" s="1875"/>
      <c r="U20" s="1875"/>
      <c r="V20" s="1875"/>
      <c r="W20" s="1875"/>
      <c r="X20" s="1875"/>
      <c r="Y20" s="1876">
        <v>2015</v>
      </c>
      <c r="Z20" s="1876">
        <v>2020</v>
      </c>
      <c r="AA20" s="1876">
        <v>2030</v>
      </c>
      <c r="AB20" s="1881"/>
      <c r="AD20" s="1881"/>
    </row>
    <row r="21" spans="2:30">
      <c r="B21" s="1880"/>
      <c r="C21" s="1881"/>
      <c r="D21" s="1881"/>
      <c r="E21" s="1881"/>
      <c r="F21" s="1881"/>
      <c r="G21" s="1881"/>
      <c r="H21" s="1881"/>
      <c r="I21" s="1881"/>
      <c r="J21" s="1881"/>
      <c r="K21" s="1881"/>
      <c r="L21" s="1881"/>
      <c r="M21" s="1881"/>
      <c r="N21" s="1881"/>
      <c r="O21" s="1881"/>
      <c r="P21" s="1877"/>
      <c r="Q21" s="1872" t="str">
        <f>HLOOKUP(select,translations!$A$491:$H$520,12,)</f>
        <v>Last 5 yr (2006-2010)</v>
      </c>
      <c r="R21" s="1872"/>
      <c r="S21" s="1872"/>
      <c r="T21" s="1872"/>
      <c r="U21" s="1873">
        <f>AVERAGE(X15:AB15)</f>
        <v>0</v>
      </c>
      <c r="V21" s="1872"/>
      <c r="W21" s="1874">
        <f>100*SLOPE(X15:AB15,X14:AB14)</f>
        <v>0</v>
      </c>
      <c r="X21" s="1872"/>
      <c r="Y21" s="1873">
        <f>INTERCEPT($X$15:$AB$15,$X$14:$AB$14)+$W$21*Y$20/100</f>
        <v>0</v>
      </c>
      <c r="Z21" s="1873">
        <f>INTERCEPT($X$15:$AB$15,$X$14:$AB$14)+$W$21*Z$20/100</f>
        <v>0</v>
      </c>
      <c r="AA21" s="1873">
        <f>INTERCEPT($X$15:$AB$15,$X$14:$AB$14)+$W$21*AA$20/100</f>
        <v>0</v>
      </c>
      <c r="AB21" s="1881"/>
      <c r="AC21" s="1881"/>
      <c r="AD21" s="1881"/>
    </row>
    <row r="22" spans="2:30">
      <c r="B22" s="1880"/>
      <c r="C22" s="1881"/>
      <c r="D22" s="1881"/>
      <c r="E22" s="1881"/>
      <c r="F22" s="1881"/>
      <c r="G22" s="1881"/>
      <c r="H22" s="1881"/>
      <c r="I22" s="1881"/>
      <c r="J22" s="1881"/>
      <c r="K22" s="1881"/>
      <c r="L22" s="1881"/>
      <c r="M22" s="1881"/>
      <c r="N22" s="1881"/>
      <c r="O22" s="1881"/>
      <c r="P22" s="1877"/>
      <c r="Q22" s="1872" t="str">
        <f>HLOOKUP(select,translations!$A$491:$H$520,13,)</f>
        <v>Last 10 yr (2001-2010)</v>
      </c>
      <c r="R22" s="1872"/>
      <c r="S22" s="1872"/>
      <c r="T22" s="1872"/>
      <c r="U22" s="1873">
        <f>AVERAGE(S15:AB15)</f>
        <v>0</v>
      </c>
      <c r="V22" s="1872"/>
      <c r="W22" s="1874">
        <f>100*SLOPE(S15:AB15,S14:AB14)</f>
        <v>0</v>
      </c>
      <c r="X22" s="1872"/>
      <c r="Y22" s="1873">
        <f>INTERCEPT($S$15:$AB$15,$S$14:$AB$14)+$W$22*Y$20/100</f>
        <v>0</v>
      </c>
      <c r="Z22" s="1873">
        <f>INTERCEPT($S$15:$AB$15,$S$14:$AB$14)+$W$22*Z$20/100</f>
        <v>0</v>
      </c>
      <c r="AA22" s="1873">
        <f>INTERCEPT($S$15:$AB$15,$S$14:$AB$14)+$W$22*AA$20/100</f>
        <v>0</v>
      </c>
      <c r="AB22" s="1881"/>
      <c r="AC22" s="1881"/>
      <c r="AD22" s="1881"/>
    </row>
    <row r="23" spans="2:30">
      <c r="B23" s="1880"/>
      <c r="C23" s="1881"/>
      <c r="D23" s="1881"/>
      <c r="E23" s="1881"/>
      <c r="F23" s="1881"/>
      <c r="G23" s="1881"/>
      <c r="H23" s="1881"/>
      <c r="I23" s="1881"/>
      <c r="J23" s="1881"/>
      <c r="K23" s="1881"/>
      <c r="L23" s="1881"/>
      <c r="M23" s="1881"/>
      <c r="N23" s="1881"/>
      <c r="O23" s="1881"/>
      <c r="P23" s="1877"/>
      <c r="Q23" s="1872" t="str">
        <f>HLOOKUP(select,translations!$A$491:$H$520,14,)</f>
        <v>Last 20 yr (1991-2010)</v>
      </c>
      <c r="R23" s="1872"/>
      <c r="S23" s="1872"/>
      <c r="T23" s="1872"/>
      <c r="U23" s="1873">
        <f>AVERAGE(I15:AB15)</f>
        <v>0</v>
      </c>
      <c r="V23" s="1872"/>
      <c r="W23" s="1874">
        <f>100*SLOPE(I15:AB15,I14:AB14)</f>
        <v>0</v>
      </c>
      <c r="X23" s="1872"/>
      <c r="Y23" s="1873">
        <f>INTERCEPT($I$15:$AB$15,$I$14:$AB$14)+$W$23*Y$20/100</f>
        <v>0</v>
      </c>
      <c r="Z23" s="1873">
        <f>INTERCEPT($I$15:$AB$15,$I$14:$AB$14)+$W$23*Z$20/100</f>
        <v>0</v>
      </c>
      <c r="AA23" s="1873">
        <f>INTERCEPT($I$15:$AB$15,$I$14:$AB$14)+$W$23*AA$20/100</f>
        <v>0</v>
      </c>
      <c r="AB23" s="1881"/>
      <c r="AC23" s="1881"/>
      <c r="AD23" s="1881"/>
    </row>
    <row r="24" spans="2:30">
      <c r="B24" s="1880"/>
      <c r="C24" s="1881"/>
      <c r="D24" s="1881"/>
      <c r="E24" s="1881"/>
      <c r="F24" s="1881"/>
      <c r="G24" s="1881"/>
      <c r="H24" s="1881"/>
      <c r="I24" s="1881"/>
      <c r="J24" s="1881"/>
      <c r="K24" s="1881"/>
      <c r="L24" s="1881"/>
      <c r="M24" s="1881"/>
      <c r="N24" s="1881"/>
      <c r="O24" s="1881"/>
      <c r="P24" s="1877"/>
      <c r="Q24" s="1872" t="str">
        <f>HLOOKUP(select,translations!$A$491:$H$520,15,)</f>
        <v>Last 25yr (1986-2010)</v>
      </c>
      <c r="R24" s="1872"/>
      <c r="S24" s="1872"/>
      <c r="T24" s="1872"/>
      <c r="U24" s="1873">
        <f>AVERAGE(D15:AB15)</f>
        <v>0</v>
      </c>
      <c r="V24" s="1872"/>
      <c r="W24" s="1874">
        <f>100*SLOPE(D15:AB15,D14:AB14)</f>
        <v>0</v>
      </c>
      <c r="X24" s="1872"/>
      <c r="Y24" s="1873">
        <f>INTERCEPT($D$15:$AB$15,$D$14:$AB$14)+$W$24*Y$20/100</f>
        <v>0</v>
      </c>
      <c r="Z24" s="1873">
        <f>INTERCEPT($D$15:$AB$15,$D$14:$AB$14)+$W$24*Z$20/100</f>
        <v>0</v>
      </c>
      <c r="AA24" s="1873">
        <f>INTERCEPT($D$15:$AB$15,$D$14:$AB$14)+$W$24*AA$20/100</f>
        <v>0</v>
      </c>
      <c r="AB24" s="1881"/>
      <c r="AC24" s="1881"/>
      <c r="AD24" s="1881"/>
    </row>
    <row r="25" spans="2:30">
      <c r="B25" s="1880"/>
      <c r="C25" s="1880"/>
      <c r="D25" s="1880"/>
      <c r="E25" s="1881"/>
      <c r="F25" s="1881"/>
      <c r="G25" s="1881"/>
      <c r="H25" s="1881"/>
      <c r="I25" s="1881"/>
      <c r="J25" s="1881"/>
      <c r="K25" s="1881"/>
      <c r="L25" s="1881"/>
      <c r="M25" s="1881"/>
      <c r="N25" s="1881"/>
      <c r="O25" s="1881"/>
      <c r="P25" s="1881"/>
      <c r="Q25" s="1872" t="s">
        <v>1340</v>
      </c>
      <c r="R25" s="1872"/>
      <c r="S25" s="1872"/>
      <c r="T25" s="1872"/>
      <c r="U25" s="1873">
        <f>AVERAGE(D12:AB12)</f>
        <v>0</v>
      </c>
      <c r="V25" s="1872"/>
      <c r="W25" s="1874">
        <f>100*SLOPE(D12:AB12,D11:AB11)</f>
        <v>0</v>
      </c>
      <c r="X25" s="1872"/>
      <c r="Y25" s="1873">
        <f>INTERCEPT($D$12:$AB$12,$D$11:$AB$11)+$W$25*Y$20/100</f>
        <v>0</v>
      </c>
      <c r="Z25" s="1873">
        <f>INTERCEPT($D$12:$AB$12,$D$11:$AB$11)+$W$25*Z$20/100</f>
        <v>0</v>
      </c>
      <c r="AA25" s="1873">
        <f>INTERCEPT($D$12:$AB$12,$D$11:$AB$11)+$W$25*AA$20/100</f>
        <v>0</v>
      </c>
      <c r="AB25" s="1881"/>
      <c r="AC25" s="1881"/>
      <c r="AD25" s="1881"/>
    </row>
    <row r="26" spans="2:30">
      <c r="B26" s="1880"/>
      <c r="C26" s="1880"/>
      <c r="D26" s="1880"/>
      <c r="E26" s="1881"/>
      <c r="F26" s="1881"/>
      <c r="G26" s="1881"/>
      <c r="H26" s="1881"/>
      <c r="I26" s="1881"/>
      <c r="J26" s="1881"/>
      <c r="K26" s="1881"/>
      <c r="L26" s="1881"/>
      <c r="M26" s="1881"/>
      <c r="N26" s="1881"/>
      <c r="O26" s="1881"/>
      <c r="P26" s="1881"/>
      <c r="Q26" s="1881"/>
      <c r="R26" s="1881"/>
      <c r="S26" s="1881"/>
      <c r="T26" s="1881"/>
      <c r="U26" s="1881"/>
      <c r="V26" s="1881"/>
      <c r="W26" s="1881"/>
      <c r="X26" s="1881"/>
      <c r="Y26" s="1881"/>
      <c r="Z26" s="1881"/>
      <c r="AA26" s="1881"/>
      <c r="AB26" s="1881"/>
      <c r="AC26" s="1881"/>
      <c r="AD26" s="1881"/>
    </row>
    <row r="32" spans="2:30">
      <c r="B32" s="1884"/>
      <c r="C32" s="1885" t="str">
        <f>HLOOKUP(select,translations!$A$491:$H$520,16,)</f>
        <v>These data are from FAOSTAT, if you need more detailed information (e.g. by country) please visit the FAO website</v>
      </c>
      <c r="D32" s="1884"/>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1886"/>
    </row>
  </sheetData>
  <sheetProtection password="E8A2" sheet="1" objects="1" scenarios="1" formatCells="0" formatColumns="0" formatRows="0"/>
  <mergeCells count="4">
    <mergeCell ref="A6:C6"/>
    <mergeCell ref="H8:K8"/>
    <mergeCell ref="H9:K9"/>
    <mergeCell ref="B7:D8"/>
  </mergeCells>
  <dataValidations count="2">
    <dataValidation type="list" allowBlank="1" showInputMessage="1" showErrorMessage="1" sqref="H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formula1>Region_y</formula1>
    </dataValidation>
    <dataValidation type="list" allowBlank="1" showInputMessage="1" showErrorMessage="1" sqref="H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Item</formula1>
    </dataValidation>
  </dataValidations>
  <pageMargins left="0.7" right="0.7" top="0.75" bottom="0.75" header="0.3" footer="0.3"/>
  <pageSetup paperSize="9" orientation="portrait" horizontalDpi="1200" verticalDpi="1200" r:id="rId1"/>
  <ignoredErrors>
    <ignoredError sqref="W21:W23"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BA1363"/>
  <sheetViews>
    <sheetView workbookViewId="0">
      <selection activeCell="C14" sqref="C14"/>
    </sheetView>
  </sheetViews>
  <sheetFormatPr baseColWidth="10" defaultColWidth="11.44140625" defaultRowHeight="13.8"/>
  <cols>
    <col min="1" max="1" width="11.5546875" style="1865" customWidth="1"/>
    <col min="2" max="2" width="17.5546875" style="1866" customWidth="1"/>
    <col min="3" max="3" width="22.6640625" style="1866" customWidth="1"/>
    <col min="4" max="30" width="8.33203125" style="1866" customWidth="1"/>
    <col min="31" max="34" width="9.109375" style="1866" customWidth="1"/>
    <col min="35" max="35" width="8.33203125" style="1866" customWidth="1"/>
    <col min="36" max="36" width="9.109375" style="1866" customWidth="1"/>
    <col min="37" max="53" width="8.33203125" style="1866" customWidth="1"/>
    <col min="54" max="256" width="11.5546875" style="1866"/>
    <col min="257" max="257" width="11.5546875" style="1866" customWidth="1"/>
    <col min="258" max="258" width="17.5546875" style="1866" customWidth="1"/>
    <col min="259" max="259" width="22.6640625" style="1866" customWidth="1"/>
    <col min="260" max="286" width="8.33203125" style="1866" customWidth="1"/>
    <col min="287" max="290" width="9.109375" style="1866" customWidth="1"/>
    <col min="291" max="291" width="8.33203125" style="1866" customWidth="1"/>
    <col min="292" max="292" width="9.109375" style="1866" customWidth="1"/>
    <col min="293" max="309" width="8.33203125" style="1866" customWidth="1"/>
    <col min="310" max="512" width="11.5546875" style="1866"/>
    <col min="513" max="513" width="11.5546875" style="1866" customWidth="1"/>
    <col min="514" max="514" width="17.5546875" style="1866" customWidth="1"/>
    <col min="515" max="515" width="22.6640625" style="1866" customWidth="1"/>
    <col min="516" max="542" width="8.33203125" style="1866" customWidth="1"/>
    <col min="543" max="546" width="9.109375" style="1866" customWidth="1"/>
    <col min="547" max="547" width="8.33203125" style="1866" customWidth="1"/>
    <col min="548" max="548" width="9.109375" style="1866" customWidth="1"/>
    <col min="549" max="565" width="8.33203125" style="1866" customWidth="1"/>
    <col min="566" max="768" width="11.5546875" style="1866"/>
    <col min="769" max="769" width="11.5546875" style="1866" customWidth="1"/>
    <col min="770" max="770" width="17.5546875" style="1866" customWidth="1"/>
    <col min="771" max="771" width="22.6640625" style="1866" customWidth="1"/>
    <col min="772" max="798" width="8.33203125" style="1866" customWidth="1"/>
    <col min="799" max="802" width="9.109375" style="1866" customWidth="1"/>
    <col min="803" max="803" width="8.33203125" style="1866" customWidth="1"/>
    <col min="804" max="804" width="9.109375" style="1866" customWidth="1"/>
    <col min="805" max="821" width="8.33203125" style="1866" customWidth="1"/>
    <col min="822" max="1024" width="11.5546875" style="1866"/>
    <col min="1025" max="1025" width="11.5546875" style="1866" customWidth="1"/>
    <col min="1026" max="1026" width="17.5546875" style="1866" customWidth="1"/>
    <col min="1027" max="1027" width="22.6640625" style="1866" customWidth="1"/>
    <col min="1028" max="1054" width="8.33203125" style="1866" customWidth="1"/>
    <col min="1055" max="1058" width="9.109375" style="1866" customWidth="1"/>
    <col min="1059" max="1059" width="8.33203125" style="1866" customWidth="1"/>
    <col min="1060" max="1060" width="9.109375" style="1866" customWidth="1"/>
    <col min="1061" max="1077" width="8.33203125" style="1866" customWidth="1"/>
    <col min="1078" max="1280" width="11.5546875" style="1866"/>
    <col min="1281" max="1281" width="11.5546875" style="1866" customWidth="1"/>
    <col min="1282" max="1282" width="17.5546875" style="1866" customWidth="1"/>
    <col min="1283" max="1283" width="22.6640625" style="1866" customWidth="1"/>
    <col min="1284" max="1310" width="8.33203125" style="1866" customWidth="1"/>
    <col min="1311" max="1314" width="9.109375" style="1866" customWidth="1"/>
    <col min="1315" max="1315" width="8.33203125" style="1866" customWidth="1"/>
    <col min="1316" max="1316" width="9.109375" style="1866" customWidth="1"/>
    <col min="1317" max="1333" width="8.33203125" style="1866" customWidth="1"/>
    <col min="1334" max="1536" width="11.5546875" style="1866"/>
    <col min="1537" max="1537" width="11.5546875" style="1866" customWidth="1"/>
    <col min="1538" max="1538" width="17.5546875" style="1866" customWidth="1"/>
    <col min="1539" max="1539" width="22.6640625" style="1866" customWidth="1"/>
    <col min="1540" max="1566" width="8.33203125" style="1866" customWidth="1"/>
    <col min="1567" max="1570" width="9.109375" style="1866" customWidth="1"/>
    <col min="1571" max="1571" width="8.33203125" style="1866" customWidth="1"/>
    <col min="1572" max="1572" width="9.109375" style="1866" customWidth="1"/>
    <col min="1573" max="1589" width="8.33203125" style="1866" customWidth="1"/>
    <col min="1590" max="1792" width="11.5546875" style="1866"/>
    <col min="1793" max="1793" width="11.5546875" style="1866" customWidth="1"/>
    <col min="1794" max="1794" width="17.5546875" style="1866" customWidth="1"/>
    <col min="1795" max="1795" width="22.6640625" style="1866" customWidth="1"/>
    <col min="1796" max="1822" width="8.33203125" style="1866" customWidth="1"/>
    <col min="1823" max="1826" width="9.109375" style="1866" customWidth="1"/>
    <col min="1827" max="1827" width="8.33203125" style="1866" customWidth="1"/>
    <col min="1828" max="1828" width="9.109375" style="1866" customWidth="1"/>
    <col min="1829" max="1845" width="8.33203125" style="1866" customWidth="1"/>
    <col min="1846" max="2048" width="11.5546875" style="1866"/>
    <col min="2049" max="2049" width="11.5546875" style="1866" customWidth="1"/>
    <col min="2050" max="2050" width="17.5546875" style="1866" customWidth="1"/>
    <col min="2051" max="2051" width="22.6640625" style="1866" customWidth="1"/>
    <col min="2052" max="2078" width="8.33203125" style="1866" customWidth="1"/>
    <col min="2079" max="2082" width="9.109375" style="1866" customWidth="1"/>
    <col min="2083" max="2083" width="8.33203125" style="1866" customWidth="1"/>
    <col min="2084" max="2084" width="9.109375" style="1866" customWidth="1"/>
    <col min="2085" max="2101" width="8.33203125" style="1866" customWidth="1"/>
    <col min="2102" max="2304" width="11.5546875" style="1866"/>
    <col min="2305" max="2305" width="11.5546875" style="1866" customWidth="1"/>
    <col min="2306" max="2306" width="17.5546875" style="1866" customWidth="1"/>
    <col min="2307" max="2307" width="22.6640625" style="1866" customWidth="1"/>
    <col min="2308" max="2334" width="8.33203125" style="1866" customWidth="1"/>
    <col min="2335" max="2338" width="9.109375" style="1866" customWidth="1"/>
    <col min="2339" max="2339" width="8.33203125" style="1866" customWidth="1"/>
    <col min="2340" max="2340" width="9.109375" style="1866" customWidth="1"/>
    <col min="2341" max="2357" width="8.33203125" style="1866" customWidth="1"/>
    <col min="2358" max="2560" width="11.5546875" style="1866"/>
    <col min="2561" max="2561" width="11.5546875" style="1866" customWidth="1"/>
    <col min="2562" max="2562" width="17.5546875" style="1866" customWidth="1"/>
    <col min="2563" max="2563" width="22.6640625" style="1866" customWidth="1"/>
    <col min="2564" max="2590" width="8.33203125" style="1866" customWidth="1"/>
    <col min="2591" max="2594" width="9.109375" style="1866" customWidth="1"/>
    <col min="2595" max="2595" width="8.33203125" style="1866" customWidth="1"/>
    <col min="2596" max="2596" width="9.109375" style="1866" customWidth="1"/>
    <col min="2597" max="2613" width="8.33203125" style="1866" customWidth="1"/>
    <col min="2614" max="2816" width="11.5546875" style="1866"/>
    <col min="2817" max="2817" width="11.5546875" style="1866" customWidth="1"/>
    <col min="2818" max="2818" width="17.5546875" style="1866" customWidth="1"/>
    <col min="2819" max="2819" width="22.6640625" style="1866" customWidth="1"/>
    <col min="2820" max="2846" width="8.33203125" style="1866" customWidth="1"/>
    <col min="2847" max="2850" width="9.109375" style="1866" customWidth="1"/>
    <col min="2851" max="2851" width="8.33203125" style="1866" customWidth="1"/>
    <col min="2852" max="2852" width="9.109375" style="1866" customWidth="1"/>
    <col min="2853" max="2869" width="8.33203125" style="1866" customWidth="1"/>
    <col min="2870" max="3072" width="11.5546875" style="1866"/>
    <col min="3073" max="3073" width="11.5546875" style="1866" customWidth="1"/>
    <col min="3074" max="3074" width="17.5546875" style="1866" customWidth="1"/>
    <col min="3075" max="3075" width="22.6640625" style="1866" customWidth="1"/>
    <col min="3076" max="3102" width="8.33203125" style="1866" customWidth="1"/>
    <col min="3103" max="3106" width="9.109375" style="1866" customWidth="1"/>
    <col min="3107" max="3107" width="8.33203125" style="1866" customWidth="1"/>
    <col min="3108" max="3108" width="9.109375" style="1866" customWidth="1"/>
    <col min="3109" max="3125" width="8.33203125" style="1866" customWidth="1"/>
    <col min="3126" max="3328" width="11.5546875" style="1866"/>
    <col min="3329" max="3329" width="11.5546875" style="1866" customWidth="1"/>
    <col min="3330" max="3330" width="17.5546875" style="1866" customWidth="1"/>
    <col min="3331" max="3331" width="22.6640625" style="1866" customWidth="1"/>
    <col min="3332" max="3358" width="8.33203125" style="1866" customWidth="1"/>
    <col min="3359" max="3362" width="9.109375" style="1866" customWidth="1"/>
    <col min="3363" max="3363" width="8.33203125" style="1866" customWidth="1"/>
    <col min="3364" max="3364" width="9.109375" style="1866" customWidth="1"/>
    <col min="3365" max="3381" width="8.33203125" style="1866" customWidth="1"/>
    <col min="3382" max="3584" width="11.5546875" style="1866"/>
    <col min="3585" max="3585" width="11.5546875" style="1866" customWidth="1"/>
    <col min="3586" max="3586" width="17.5546875" style="1866" customWidth="1"/>
    <col min="3587" max="3587" width="22.6640625" style="1866" customWidth="1"/>
    <col min="3588" max="3614" width="8.33203125" style="1866" customWidth="1"/>
    <col min="3615" max="3618" width="9.109375" style="1866" customWidth="1"/>
    <col min="3619" max="3619" width="8.33203125" style="1866" customWidth="1"/>
    <col min="3620" max="3620" width="9.109375" style="1866" customWidth="1"/>
    <col min="3621" max="3637" width="8.33203125" style="1866" customWidth="1"/>
    <col min="3638" max="3840" width="11.5546875" style="1866"/>
    <col min="3841" max="3841" width="11.5546875" style="1866" customWidth="1"/>
    <col min="3842" max="3842" width="17.5546875" style="1866" customWidth="1"/>
    <col min="3843" max="3843" width="22.6640625" style="1866" customWidth="1"/>
    <col min="3844" max="3870" width="8.33203125" style="1866" customWidth="1"/>
    <col min="3871" max="3874" width="9.109375" style="1866" customWidth="1"/>
    <col min="3875" max="3875" width="8.33203125" style="1866" customWidth="1"/>
    <col min="3876" max="3876" width="9.109375" style="1866" customWidth="1"/>
    <col min="3877" max="3893" width="8.33203125" style="1866" customWidth="1"/>
    <col min="3894" max="4096" width="11.5546875" style="1866"/>
    <col min="4097" max="4097" width="11.5546875" style="1866" customWidth="1"/>
    <col min="4098" max="4098" width="17.5546875" style="1866" customWidth="1"/>
    <col min="4099" max="4099" width="22.6640625" style="1866" customWidth="1"/>
    <col min="4100" max="4126" width="8.33203125" style="1866" customWidth="1"/>
    <col min="4127" max="4130" width="9.109375" style="1866" customWidth="1"/>
    <col min="4131" max="4131" width="8.33203125" style="1866" customWidth="1"/>
    <col min="4132" max="4132" width="9.109375" style="1866" customWidth="1"/>
    <col min="4133" max="4149" width="8.33203125" style="1866" customWidth="1"/>
    <col min="4150" max="4352" width="11.5546875" style="1866"/>
    <col min="4353" max="4353" width="11.5546875" style="1866" customWidth="1"/>
    <col min="4354" max="4354" width="17.5546875" style="1866" customWidth="1"/>
    <col min="4355" max="4355" width="22.6640625" style="1866" customWidth="1"/>
    <col min="4356" max="4382" width="8.33203125" style="1866" customWidth="1"/>
    <col min="4383" max="4386" width="9.109375" style="1866" customWidth="1"/>
    <col min="4387" max="4387" width="8.33203125" style="1866" customWidth="1"/>
    <col min="4388" max="4388" width="9.109375" style="1866" customWidth="1"/>
    <col min="4389" max="4405" width="8.33203125" style="1866" customWidth="1"/>
    <col min="4406" max="4608" width="11.5546875" style="1866"/>
    <col min="4609" max="4609" width="11.5546875" style="1866" customWidth="1"/>
    <col min="4610" max="4610" width="17.5546875" style="1866" customWidth="1"/>
    <col min="4611" max="4611" width="22.6640625" style="1866" customWidth="1"/>
    <col min="4612" max="4638" width="8.33203125" style="1866" customWidth="1"/>
    <col min="4639" max="4642" width="9.109375" style="1866" customWidth="1"/>
    <col min="4643" max="4643" width="8.33203125" style="1866" customWidth="1"/>
    <col min="4644" max="4644" width="9.109375" style="1866" customWidth="1"/>
    <col min="4645" max="4661" width="8.33203125" style="1866" customWidth="1"/>
    <col min="4662" max="4864" width="11.5546875" style="1866"/>
    <col min="4865" max="4865" width="11.5546875" style="1866" customWidth="1"/>
    <col min="4866" max="4866" width="17.5546875" style="1866" customWidth="1"/>
    <col min="4867" max="4867" width="22.6640625" style="1866" customWidth="1"/>
    <col min="4868" max="4894" width="8.33203125" style="1866" customWidth="1"/>
    <col min="4895" max="4898" width="9.109375" style="1866" customWidth="1"/>
    <col min="4899" max="4899" width="8.33203125" style="1866" customWidth="1"/>
    <col min="4900" max="4900" width="9.109375" style="1866" customWidth="1"/>
    <col min="4901" max="4917" width="8.33203125" style="1866" customWidth="1"/>
    <col min="4918" max="5120" width="11.5546875" style="1866"/>
    <col min="5121" max="5121" width="11.5546875" style="1866" customWidth="1"/>
    <col min="5122" max="5122" width="17.5546875" style="1866" customWidth="1"/>
    <col min="5123" max="5123" width="22.6640625" style="1866" customWidth="1"/>
    <col min="5124" max="5150" width="8.33203125" style="1866" customWidth="1"/>
    <col min="5151" max="5154" width="9.109375" style="1866" customWidth="1"/>
    <col min="5155" max="5155" width="8.33203125" style="1866" customWidth="1"/>
    <col min="5156" max="5156" width="9.109375" style="1866" customWidth="1"/>
    <col min="5157" max="5173" width="8.33203125" style="1866" customWidth="1"/>
    <col min="5174" max="5376" width="11.5546875" style="1866"/>
    <col min="5377" max="5377" width="11.5546875" style="1866" customWidth="1"/>
    <col min="5378" max="5378" width="17.5546875" style="1866" customWidth="1"/>
    <col min="5379" max="5379" width="22.6640625" style="1866" customWidth="1"/>
    <col min="5380" max="5406" width="8.33203125" style="1866" customWidth="1"/>
    <col min="5407" max="5410" width="9.109375" style="1866" customWidth="1"/>
    <col min="5411" max="5411" width="8.33203125" style="1866" customWidth="1"/>
    <col min="5412" max="5412" width="9.109375" style="1866" customWidth="1"/>
    <col min="5413" max="5429" width="8.33203125" style="1866" customWidth="1"/>
    <col min="5430" max="5632" width="11.5546875" style="1866"/>
    <col min="5633" max="5633" width="11.5546875" style="1866" customWidth="1"/>
    <col min="5634" max="5634" width="17.5546875" style="1866" customWidth="1"/>
    <col min="5635" max="5635" width="22.6640625" style="1866" customWidth="1"/>
    <col min="5636" max="5662" width="8.33203125" style="1866" customWidth="1"/>
    <col min="5663" max="5666" width="9.109375" style="1866" customWidth="1"/>
    <col min="5667" max="5667" width="8.33203125" style="1866" customWidth="1"/>
    <col min="5668" max="5668" width="9.109375" style="1866" customWidth="1"/>
    <col min="5669" max="5685" width="8.33203125" style="1866" customWidth="1"/>
    <col min="5686" max="5888" width="11.5546875" style="1866"/>
    <col min="5889" max="5889" width="11.5546875" style="1866" customWidth="1"/>
    <col min="5890" max="5890" width="17.5546875" style="1866" customWidth="1"/>
    <col min="5891" max="5891" width="22.6640625" style="1866" customWidth="1"/>
    <col min="5892" max="5918" width="8.33203125" style="1866" customWidth="1"/>
    <col min="5919" max="5922" width="9.109375" style="1866" customWidth="1"/>
    <col min="5923" max="5923" width="8.33203125" style="1866" customWidth="1"/>
    <col min="5924" max="5924" width="9.109375" style="1866" customWidth="1"/>
    <col min="5925" max="5941" width="8.33203125" style="1866" customWidth="1"/>
    <col min="5942" max="6144" width="11.5546875" style="1866"/>
    <col min="6145" max="6145" width="11.5546875" style="1866" customWidth="1"/>
    <col min="6146" max="6146" width="17.5546875" style="1866" customWidth="1"/>
    <col min="6147" max="6147" width="22.6640625" style="1866" customWidth="1"/>
    <col min="6148" max="6174" width="8.33203125" style="1866" customWidth="1"/>
    <col min="6175" max="6178" width="9.109375" style="1866" customWidth="1"/>
    <col min="6179" max="6179" width="8.33203125" style="1866" customWidth="1"/>
    <col min="6180" max="6180" width="9.109375" style="1866" customWidth="1"/>
    <col min="6181" max="6197" width="8.33203125" style="1866" customWidth="1"/>
    <col min="6198" max="6400" width="11.5546875" style="1866"/>
    <col min="6401" max="6401" width="11.5546875" style="1866" customWidth="1"/>
    <col min="6402" max="6402" width="17.5546875" style="1866" customWidth="1"/>
    <col min="6403" max="6403" width="22.6640625" style="1866" customWidth="1"/>
    <col min="6404" max="6430" width="8.33203125" style="1866" customWidth="1"/>
    <col min="6431" max="6434" width="9.109375" style="1866" customWidth="1"/>
    <col min="6435" max="6435" width="8.33203125" style="1866" customWidth="1"/>
    <col min="6436" max="6436" width="9.109375" style="1866" customWidth="1"/>
    <col min="6437" max="6453" width="8.33203125" style="1866" customWidth="1"/>
    <col min="6454" max="6656" width="11.5546875" style="1866"/>
    <col min="6657" max="6657" width="11.5546875" style="1866" customWidth="1"/>
    <col min="6658" max="6658" width="17.5546875" style="1866" customWidth="1"/>
    <col min="6659" max="6659" width="22.6640625" style="1866" customWidth="1"/>
    <col min="6660" max="6686" width="8.33203125" style="1866" customWidth="1"/>
    <col min="6687" max="6690" width="9.109375" style="1866" customWidth="1"/>
    <col min="6691" max="6691" width="8.33203125" style="1866" customWidth="1"/>
    <col min="6692" max="6692" width="9.109375" style="1866" customWidth="1"/>
    <col min="6693" max="6709" width="8.33203125" style="1866" customWidth="1"/>
    <col min="6710" max="6912" width="11.5546875" style="1866"/>
    <col min="6913" max="6913" width="11.5546875" style="1866" customWidth="1"/>
    <col min="6914" max="6914" width="17.5546875" style="1866" customWidth="1"/>
    <col min="6915" max="6915" width="22.6640625" style="1866" customWidth="1"/>
    <col min="6916" max="6942" width="8.33203125" style="1866" customWidth="1"/>
    <col min="6943" max="6946" width="9.109375" style="1866" customWidth="1"/>
    <col min="6947" max="6947" width="8.33203125" style="1866" customWidth="1"/>
    <col min="6948" max="6948" width="9.109375" style="1866" customWidth="1"/>
    <col min="6949" max="6965" width="8.33203125" style="1866" customWidth="1"/>
    <col min="6966" max="7168" width="11.5546875" style="1866"/>
    <col min="7169" max="7169" width="11.5546875" style="1866" customWidth="1"/>
    <col min="7170" max="7170" width="17.5546875" style="1866" customWidth="1"/>
    <col min="7171" max="7171" width="22.6640625" style="1866" customWidth="1"/>
    <col min="7172" max="7198" width="8.33203125" style="1866" customWidth="1"/>
    <col min="7199" max="7202" width="9.109375" style="1866" customWidth="1"/>
    <col min="7203" max="7203" width="8.33203125" style="1866" customWidth="1"/>
    <col min="7204" max="7204" width="9.109375" style="1866" customWidth="1"/>
    <col min="7205" max="7221" width="8.33203125" style="1866" customWidth="1"/>
    <col min="7222" max="7424" width="11.5546875" style="1866"/>
    <col min="7425" max="7425" width="11.5546875" style="1866" customWidth="1"/>
    <col min="7426" max="7426" width="17.5546875" style="1866" customWidth="1"/>
    <col min="7427" max="7427" width="22.6640625" style="1866" customWidth="1"/>
    <col min="7428" max="7454" width="8.33203125" style="1866" customWidth="1"/>
    <col min="7455" max="7458" width="9.109375" style="1866" customWidth="1"/>
    <col min="7459" max="7459" width="8.33203125" style="1866" customWidth="1"/>
    <col min="7460" max="7460" width="9.109375" style="1866" customWidth="1"/>
    <col min="7461" max="7477" width="8.33203125" style="1866" customWidth="1"/>
    <col min="7478" max="7680" width="11.5546875" style="1866"/>
    <col min="7681" max="7681" width="11.5546875" style="1866" customWidth="1"/>
    <col min="7682" max="7682" width="17.5546875" style="1866" customWidth="1"/>
    <col min="7683" max="7683" width="22.6640625" style="1866" customWidth="1"/>
    <col min="7684" max="7710" width="8.33203125" style="1866" customWidth="1"/>
    <col min="7711" max="7714" width="9.109375" style="1866" customWidth="1"/>
    <col min="7715" max="7715" width="8.33203125" style="1866" customWidth="1"/>
    <col min="7716" max="7716" width="9.109375" style="1866" customWidth="1"/>
    <col min="7717" max="7733" width="8.33203125" style="1866" customWidth="1"/>
    <col min="7734" max="7936" width="11.5546875" style="1866"/>
    <col min="7937" max="7937" width="11.5546875" style="1866" customWidth="1"/>
    <col min="7938" max="7938" width="17.5546875" style="1866" customWidth="1"/>
    <col min="7939" max="7939" width="22.6640625" style="1866" customWidth="1"/>
    <col min="7940" max="7966" width="8.33203125" style="1866" customWidth="1"/>
    <col min="7967" max="7970" width="9.109375" style="1866" customWidth="1"/>
    <col min="7971" max="7971" width="8.33203125" style="1866" customWidth="1"/>
    <col min="7972" max="7972" width="9.109375" style="1866" customWidth="1"/>
    <col min="7973" max="7989" width="8.33203125" style="1866" customWidth="1"/>
    <col min="7990" max="8192" width="11.5546875" style="1866"/>
    <col min="8193" max="8193" width="11.5546875" style="1866" customWidth="1"/>
    <col min="8194" max="8194" width="17.5546875" style="1866" customWidth="1"/>
    <col min="8195" max="8195" width="22.6640625" style="1866" customWidth="1"/>
    <col min="8196" max="8222" width="8.33203125" style="1866" customWidth="1"/>
    <col min="8223" max="8226" width="9.109375" style="1866" customWidth="1"/>
    <col min="8227" max="8227" width="8.33203125" style="1866" customWidth="1"/>
    <col min="8228" max="8228" width="9.109375" style="1866" customWidth="1"/>
    <col min="8229" max="8245" width="8.33203125" style="1866" customWidth="1"/>
    <col min="8246" max="8448" width="11.5546875" style="1866"/>
    <col min="8449" max="8449" width="11.5546875" style="1866" customWidth="1"/>
    <col min="8450" max="8450" width="17.5546875" style="1866" customWidth="1"/>
    <col min="8451" max="8451" width="22.6640625" style="1866" customWidth="1"/>
    <col min="8452" max="8478" width="8.33203125" style="1866" customWidth="1"/>
    <col min="8479" max="8482" width="9.109375" style="1866" customWidth="1"/>
    <col min="8483" max="8483" width="8.33203125" style="1866" customWidth="1"/>
    <col min="8484" max="8484" width="9.109375" style="1866" customWidth="1"/>
    <col min="8485" max="8501" width="8.33203125" style="1866" customWidth="1"/>
    <col min="8502" max="8704" width="11.5546875" style="1866"/>
    <col min="8705" max="8705" width="11.5546875" style="1866" customWidth="1"/>
    <col min="8706" max="8706" width="17.5546875" style="1866" customWidth="1"/>
    <col min="8707" max="8707" width="22.6640625" style="1866" customWidth="1"/>
    <col min="8708" max="8734" width="8.33203125" style="1866" customWidth="1"/>
    <col min="8735" max="8738" width="9.109375" style="1866" customWidth="1"/>
    <col min="8739" max="8739" width="8.33203125" style="1866" customWidth="1"/>
    <col min="8740" max="8740" width="9.109375" style="1866" customWidth="1"/>
    <col min="8741" max="8757" width="8.33203125" style="1866" customWidth="1"/>
    <col min="8758" max="8960" width="11.5546875" style="1866"/>
    <col min="8961" max="8961" width="11.5546875" style="1866" customWidth="1"/>
    <col min="8962" max="8962" width="17.5546875" style="1866" customWidth="1"/>
    <col min="8963" max="8963" width="22.6640625" style="1866" customWidth="1"/>
    <col min="8964" max="8990" width="8.33203125" style="1866" customWidth="1"/>
    <col min="8991" max="8994" width="9.109375" style="1866" customWidth="1"/>
    <col min="8995" max="8995" width="8.33203125" style="1866" customWidth="1"/>
    <col min="8996" max="8996" width="9.109375" style="1866" customWidth="1"/>
    <col min="8997" max="9013" width="8.33203125" style="1866" customWidth="1"/>
    <col min="9014" max="9216" width="11.5546875" style="1866"/>
    <col min="9217" max="9217" width="11.5546875" style="1866" customWidth="1"/>
    <col min="9218" max="9218" width="17.5546875" style="1866" customWidth="1"/>
    <col min="9219" max="9219" width="22.6640625" style="1866" customWidth="1"/>
    <col min="9220" max="9246" width="8.33203125" style="1866" customWidth="1"/>
    <col min="9247" max="9250" width="9.109375" style="1866" customWidth="1"/>
    <col min="9251" max="9251" width="8.33203125" style="1866" customWidth="1"/>
    <col min="9252" max="9252" width="9.109375" style="1866" customWidth="1"/>
    <col min="9253" max="9269" width="8.33203125" style="1866" customWidth="1"/>
    <col min="9270" max="9472" width="11.5546875" style="1866"/>
    <col min="9473" max="9473" width="11.5546875" style="1866" customWidth="1"/>
    <col min="9474" max="9474" width="17.5546875" style="1866" customWidth="1"/>
    <col min="9475" max="9475" width="22.6640625" style="1866" customWidth="1"/>
    <col min="9476" max="9502" width="8.33203125" style="1866" customWidth="1"/>
    <col min="9503" max="9506" width="9.109375" style="1866" customWidth="1"/>
    <col min="9507" max="9507" width="8.33203125" style="1866" customWidth="1"/>
    <col min="9508" max="9508" width="9.109375" style="1866" customWidth="1"/>
    <col min="9509" max="9525" width="8.33203125" style="1866" customWidth="1"/>
    <col min="9526" max="9728" width="11.5546875" style="1866"/>
    <col min="9729" max="9729" width="11.5546875" style="1866" customWidth="1"/>
    <col min="9730" max="9730" width="17.5546875" style="1866" customWidth="1"/>
    <col min="9731" max="9731" width="22.6640625" style="1866" customWidth="1"/>
    <col min="9732" max="9758" width="8.33203125" style="1866" customWidth="1"/>
    <col min="9759" max="9762" width="9.109375" style="1866" customWidth="1"/>
    <col min="9763" max="9763" width="8.33203125" style="1866" customWidth="1"/>
    <col min="9764" max="9764" width="9.109375" style="1866" customWidth="1"/>
    <col min="9765" max="9781" width="8.33203125" style="1866" customWidth="1"/>
    <col min="9782" max="9984" width="11.5546875" style="1866"/>
    <col min="9985" max="9985" width="11.5546875" style="1866" customWidth="1"/>
    <col min="9986" max="9986" width="17.5546875" style="1866" customWidth="1"/>
    <col min="9987" max="9987" width="22.6640625" style="1866" customWidth="1"/>
    <col min="9988" max="10014" width="8.33203125" style="1866" customWidth="1"/>
    <col min="10015" max="10018" width="9.109375" style="1866" customWidth="1"/>
    <col min="10019" max="10019" width="8.33203125" style="1866" customWidth="1"/>
    <col min="10020" max="10020" width="9.109375" style="1866" customWidth="1"/>
    <col min="10021" max="10037" width="8.33203125" style="1866" customWidth="1"/>
    <col min="10038" max="10240" width="11.5546875" style="1866"/>
    <col min="10241" max="10241" width="11.5546875" style="1866" customWidth="1"/>
    <col min="10242" max="10242" width="17.5546875" style="1866" customWidth="1"/>
    <col min="10243" max="10243" width="22.6640625" style="1866" customWidth="1"/>
    <col min="10244" max="10270" width="8.33203125" style="1866" customWidth="1"/>
    <col min="10271" max="10274" width="9.109375" style="1866" customWidth="1"/>
    <col min="10275" max="10275" width="8.33203125" style="1866" customWidth="1"/>
    <col min="10276" max="10276" width="9.109375" style="1866" customWidth="1"/>
    <col min="10277" max="10293" width="8.33203125" style="1866" customWidth="1"/>
    <col min="10294" max="10496" width="11.5546875" style="1866"/>
    <col min="10497" max="10497" width="11.5546875" style="1866" customWidth="1"/>
    <col min="10498" max="10498" width="17.5546875" style="1866" customWidth="1"/>
    <col min="10499" max="10499" width="22.6640625" style="1866" customWidth="1"/>
    <col min="10500" max="10526" width="8.33203125" style="1866" customWidth="1"/>
    <col min="10527" max="10530" width="9.109375" style="1866" customWidth="1"/>
    <col min="10531" max="10531" width="8.33203125" style="1866" customWidth="1"/>
    <col min="10532" max="10532" width="9.109375" style="1866" customWidth="1"/>
    <col min="10533" max="10549" width="8.33203125" style="1866" customWidth="1"/>
    <col min="10550" max="10752" width="11.5546875" style="1866"/>
    <col min="10753" max="10753" width="11.5546875" style="1866" customWidth="1"/>
    <col min="10754" max="10754" width="17.5546875" style="1866" customWidth="1"/>
    <col min="10755" max="10755" width="22.6640625" style="1866" customWidth="1"/>
    <col min="10756" max="10782" width="8.33203125" style="1866" customWidth="1"/>
    <col min="10783" max="10786" width="9.109375" style="1866" customWidth="1"/>
    <col min="10787" max="10787" width="8.33203125" style="1866" customWidth="1"/>
    <col min="10788" max="10788" width="9.109375" style="1866" customWidth="1"/>
    <col min="10789" max="10805" width="8.33203125" style="1866" customWidth="1"/>
    <col min="10806" max="11008" width="11.5546875" style="1866"/>
    <col min="11009" max="11009" width="11.5546875" style="1866" customWidth="1"/>
    <col min="11010" max="11010" width="17.5546875" style="1866" customWidth="1"/>
    <col min="11011" max="11011" width="22.6640625" style="1866" customWidth="1"/>
    <col min="11012" max="11038" width="8.33203125" style="1866" customWidth="1"/>
    <col min="11039" max="11042" width="9.109375" style="1866" customWidth="1"/>
    <col min="11043" max="11043" width="8.33203125" style="1866" customWidth="1"/>
    <col min="11044" max="11044" width="9.109375" style="1866" customWidth="1"/>
    <col min="11045" max="11061" width="8.33203125" style="1866" customWidth="1"/>
    <col min="11062" max="11264" width="11.5546875" style="1866"/>
    <col min="11265" max="11265" width="11.5546875" style="1866" customWidth="1"/>
    <col min="11266" max="11266" width="17.5546875" style="1866" customWidth="1"/>
    <col min="11267" max="11267" width="22.6640625" style="1866" customWidth="1"/>
    <col min="11268" max="11294" width="8.33203125" style="1866" customWidth="1"/>
    <col min="11295" max="11298" width="9.109375" style="1866" customWidth="1"/>
    <col min="11299" max="11299" width="8.33203125" style="1866" customWidth="1"/>
    <col min="11300" max="11300" width="9.109375" style="1866" customWidth="1"/>
    <col min="11301" max="11317" width="8.33203125" style="1866" customWidth="1"/>
    <col min="11318" max="11520" width="11.5546875" style="1866"/>
    <col min="11521" max="11521" width="11.5546875" style="1866" customWidth="1"/>
    <col min="11522" max="11522" width="17.5546875" style="1866" customWidth="1"/>
    <col min="11523" max="11523" width="22.6640625" style="1866" customWidth="1"/>
    <col min="11524" max="11550" width="8.33203125" style="1866" customWidth="1"/>
    <col min="11551" max="11554" width="9.109375" style="1866" customWidth="1"/>
    <col min="11555" max="11555" width="8.33203125" style="1866" customWidth="1"/>
    <col min="11556" max="11556" width="9.109375" style="1866" customWidth="1"/>
    <col min="11557" max="11573" width="8.33203125" style="1866" customWidth="1"/>
    <col min="11574" max="11776" width="11.5546875" style="1866"/>
    <col min="11777" max="11777" width="11.5546875" style="1866" customWidth="1"/>
    <col min="11778" max="11778" width="17.5546875" style="1866" customWidth="1"/>
    <col min="11779" max="11779" width="22.6640625" style="1866" customWidth="1"/>
    <col min="11780" max="11806" width="8.33203125" style="1866" customWidth="1"/>
    <col min="11807" max="11810" width="9.109375" style="1866" customWidth="1"/>
    <col min="11811" max="11811" width="8.33203125" style="1866" customWidth="1"/>
    <col min="11812" max="11812" width="9.109375" style="1866" customWidth="1"/>
    <col min="11813" max="11829" width="8.33203125" style="1866" customWidth="1"/>
    <col min="11830" max="12032" width="11.5546875" style="1866"/>
    <col min="12033" max="12033" width="11.5546875" style="1866" customWidth="1"/>
    <col min="12034" max="12034" width="17.5546875" style="1866" customWidth="1"/>
    <col min="12035" max="12035" width="22.6640625" style="1866" customWidth="1"/>
    <col min="12036" max="12062" width="8.33203125" style="1866" customWidth="1"/>
    <col min="12063" max="12066" width="9.109375" style="1866" customWidth="1"/>
    <col min="12067" max="12067" width="8.33203125" style="1866" customWidth="1"/>
    <col min="12068" max="12068" width="9.109375" style="1866" customWidth="1"/>
    <col min="12069" max="12085" width="8.33203125" style="1866" customWidth="1"/>
    <col min="12086" max="12288" width="11.5546875" style="1866"/>
    <col min="12289" max="12289" width="11.5546875" style="1866" customWidth="1"/>
    <col min="12290" max="12290" width="17.5546875" style="1866" customWidth="1"/>
    <col min="12291" max="12291" width="22.6640625" style="1866" customWidth="1"/>
    <col min="12292" max="12318" width="8.33203125" style="1866" customWidth="1"/>
    <col min="12319" max="12322" width="9.109375" style="1866" customWidth="1"/>
    <col min="12323" max="12323" width="8.33203125" style="1866" customWidth="1"/>
    <col min="12324" max="12324" width="9.109375" style="1866" customWidth="1"/>
    <col min="12325" max="12341" width="8.33203125" style="1866" customWidth="1"/>
    <col min="12342" max="12544" width="11.5546875" style="1866"/>
    <col min="12545" max="12545" width="11.5546875" style="1866" customWidth="1"/>
    <col min="12546" max="12546" width="17.5546875" style="1866" customWidth="1"/>
    <col min="12547" max="12547" width="22.6640625" style="1866" customWidth="1"/>
    <col min="12548" max="12574" width="8.33203125" style="1866" customWidth="1"/>
    <col min="12575" max="12578" width="9.109375" style="1866" customWidth="1"/>
    <col min="12579" max="12579" width="8.33203125" style="1866" customWidth="1"/>
    <col min="12580" max="12580" width="9.109375" style="1866" customWidth="1"/>
    <col min="12581" max="12597" width="8.33203125" style="1866" customWidth="1"/>
    <col min="12598" max="12800" width="11.5546875" style="1866"/>
    <col min="12801" max="12801" width="11.5546875" style="1866" customWidth="1"/>
    <col min="12802" max="12802" width="17.5546875" style="1866" customWidth="1"/>
    <col min="12803" max="12803" width="22.6640625" style="1866" customWidth="1"/>
    <col min="12804" max="12830" width="8.33203125" style="1866" customWidth="1"/>
    <col min="12831" max="12834" width="9.109375" style="1866" customWidth="1"/>
    <col min="12835" max="12835" width="8.33203125" style="1866" customWidth="1"/>
    <col min="12836" max="12836" width="9.109375" style="1866" customWidth="1"/>
    <col min="12837" max="12853" width="8.33203125" style="1866" customWidth="1"/>
    <col min="12854" max="13056" width="11.5546875" style="1866"/>
    <col min="13057" max="13057" width="11.5546875" style="1866" customWidth="1"/>
    <col min="13058" max="13058" width="17.5546875" style="1866" customWidth="1"/>
    <col min="13059" max="13059" width="22.6640625" style="1866" customWidth="1"/>
    <col min="13060" max="13086" width="8.33203125" style="1866" customWidth="1"/>
    <col min="13087" max="13090" width="9.109375" style="1866" customWidth="1"/>
    <col min="13091" max="13091" width="8.33203125" style="1866" customWidth="1"/>
    <col min="13092" max="13092" width="9.109375" style="1866" customWidth="1"/>
    <col min="13093" max="13109" width="8.33203125" style="1866" customWidth="1"/>
    <col min="13110" max="13312" width="11.5546875" style="1866"/>
    <col min="13313" max="13313" width="11.5546875" style="1866" customWidth="1"/>
    <col min="13314" max="13314" width="17.5546875" style="1866" customWidth="1"/>
    <col min="13315" max="13315" width="22.6640625" style="1866" customWidth="1"/>
    <col min="13316" max="13342" width="8.33203125" style="1866" customWidth="1"/>
    <col min="13343" max="13346" width="9.109375" style="1866" customWidth="1"/>
    <col min="13347" max="13347" width="8.33203125" style="1866" customWidth="1"/>
    <col min="13348" max="13348" width="9.109375" style="1866" customWidth="1"/>
    <col min="13349" max="13365" width="8.33203125" style="1866" customWidth="1"/>
    <col min="13366" max="13568" width="11.5546875" style="1866"/>
    <col min="13569" max="13569" width="11.5546875" style="1866" customWidth="1"/>
    <col min="13570" max="13570" width="17.5546875" style="1866" customWidth="1"/>
    <col min="13571" max="13571" width="22.6640625" style="1866" customWidth="1"/>
    <col min="13572" max="13598" width="8.33203125" style="1866" customWidth="1"/>
    <col min="13599" max="13602" width="9.109375" style="1866" customWidth="1"/>
    <col min="13603" max="13603" width="8.33203125" style="1866" customWidth="1"/>
    <col min="13604" max="13604" width="9.109375" style="1866" customWidth="1"/>
    <col min="13605" max="13621" width="8.33203125" style="1866" customWidth="1"/>
    <col min="13622" max="13824" width="11.5546875" style="1866"/>
    <col min="13825" max="13825" width="11.5546875" style="1866" customWidth="1"/>
    <col min="13826" max="13826" width="17.5546875" style="1866" customWidth="1"/>
    <col min="13827" max="13827" width="22.6640625" style="1866" customWidth="1"/>
    <col min="13828" max="13854" width="8.33203125" style="1866" customWidth="1"/>
    <col min="13855" max="13858" width="9.109375" style="1866" customWidth="1"/>
    <col min="13859" max="13859" width="8.33203125" style="1866" customWidth="1"/>
    <col min="13860" max="13860" width="9.109375" style="1866" customWidth="1"/>
    <col min="13861" max="13877" width="8.33203125" style="1866" customWidth="1"/>
    <col min="13878" max="14080" width="11.5546875" style="1866"/>
    <col min="14081" max="14081" width="11.5546875" style="1866" customWidth="1"/>
    <col min="14082" max="14082" width="17.5546875" style="1866" customWidth="1"/>
    <col min="14083" max="14083" width="22.6640625" style="1866" customWidth="1"/>
    <col min="14084" max="14110" width="8.33203125" style="1866" customWidth="1"/>
    <col min="14111" max="14114" width="9.109375" style="1866" customWidth="1"/>
    <col min="14115" max="14115" width="8.33203125" style="1866" customWidth="1"/>
    <col min="14116" max="14116" width="9.109375" style="1866" customWidth="1"/>
    <col min="14117" max="14133" width="8.33203125" style="1866" customWidth="1"/>
    <col min="14134" max="14336" width="11.5546875" style="1866"/>
    <col min="14337" max="14337" width="11.5546875" style="1866" customWidth="1"/>
    <col min="14338" max="14338" width="17.5546875" style="1866" customWidth="1"/>
    <col min="14339" max="14339" width="22.6640625" style="1866" customWidth="1"/>
    <col min="14340" max="14366" width="8.33203125" style="1866" customWidth="1"/>
    <col min="14367" max="14370" width="9.109375" style="1866" customWidth="1"/>
    <col min="14371" max="14371" width="8.33203125" style="1866" customWidth="1"/>
    <col min="14372" max="14372" width="9.109375" style="1866" customWidth="1"/>
    <col min="14373" max="14389" width="8.33203125" style="1866" customWidth="1"/>
    <col min="14390" max="14592" width="11.5546875" style="1866"/>
    <col min="14593" max="14593" width="11.5546875" style="1866" customWidth="1"/>
    <col min="14594" max="14594" width="17.5546875" style="1866" customWidth="1"/>
    <col min="14595" max="14595" width="22.6640625" style="1866" customWidth="1"/>
    <col min="14596" max="14622" width="8.33203125" style="1866" customWidth="1"/>
    <col min="14623" max="14626" width="9.109375" style="1866" customWidth="1"/>
    <col min="14627" max="14627" width="8.33203125" style="1866" customWidth="1"/>
    <col min="14628" max="14628" width="9.109375" style="1866" customWidth="1"/>
    <col min="14629" max="14645" width="8.33203125" style="1866" customWidth="1"/>
    <col min="14646" max="14848" width="11.5546875" style="1866"/>
    <col min="14849" max="14849" width="11.5546875" style="1866" customWidth="1"/>
    <col min="14850" max="14850" width="17.5546875" style="1866" customWidth="1"/>
    <col min="14851" max="14851" width="22.6640625" style="1866" customWidth="1"/>
    <col min="14852" max="14878" width="8.33203125" style="1866" customWidth="1"/>
    <col min="14879" max="14882" width="9.109375" style="1866" customWidth="1"/>
    <col min="14883" max="14883" width="8.33203125" style="1866" customWidth="1"/>
    <col min="14884" max="14884" width="9.109375" style="1866" customWidth="1"/>
    <col min="14885" max="14901" width="8.33203125" style="1866" customWidth="1"/>
    <col min="14902" max="15104" width="11.5546875" style="1866"/>
    <col min="15105" max="15105" width="11.5546875" style="1866" customWidth="1"/>
    <col min="15106" max="15106" width="17.5546875" style="1866" customWidth="1"/>
    <col min="15107" max="15107" width="22.6640625" style="1866" customWidth="1"/>
    <col min="15108" max="15134" width="8.33203125" style="1866" customWidth="1"/>
    <col min="15135" max="15138" width="9.109375" style="1866" customWidth="1"/>
    <col min="15139" max="15139" width="8.33203125" style="1866" customWidth="1"/>
    <col min="15140" max="15140" width="9.109375" style="1866" customWidth="1"/>
    <col min="15141" max="15157" width="8.33203125" style="1866" customWidth="1"/>
    <col min="15158" max="15360" width="11.5546875" style="1866"/>
    <col min="15361" max="15361" width="11.5546875" style="1866" customWidth="1"/>
    <col min="15362" max="15362" width="17.5546875" style="1866" customWidth="1"/>
    <col min="15363" max="15363" width="22.6640625" style="1866" customWidth="1"/>
    <col min="15364" max="15390" width="8.33203125" style="1866" customWidth="1"/>
    <col min="15391" max="15394" width="9.109375" style="1866" customWidth="1"/>
    <col min="15395" max="15395" width="8.33203125" style="1866" customWidth="1"/>
    <col min="15396" max="15396" width="9.109375" style="1866" customWidth="1"/>
    <col min="15397" max="15413" width="8.33203125" style="1866" customWidth="1"/>
    <col min="15414" max="15616" width="11.5546875" style="1866"/>
    <col min="15617" max="15617" width="11.5546875" style="1866" customWidth="1"/>
    <col min="15618" max="15618" width="17.5546875" style="1866" customWidth="1"/>
    <col min="15619" max="15619" width="22.6640625" style="1866" customWidth="1"/>
    <col min="15620" max="15646" width="8.33203125" style="1866" customWidth="1"/>
    <col min="15647" max="15650" width="9.109375" style="1866" customWidth="1"/>
    <col min="15651" max="15651" width="8.33203125" style="1866" customWidth="1"/>
    <col min="15652" max="15652" width="9.109375" style="1866" customWidth="1"/>
    <col min="15653" max="15669" width="8.33203125" style="1866" customWidth="1"/>
    <col min="15670" max="15872" width="11.5546875" style="1866"/>
    <col min="15873" max="15873" width="11.5546875" style="1866" customWidth="1"/>
    <col min="15874" max="15874" width="17.5546875" style="1866" customWidth="1"/>
    <col min="15875" max="15875" width="22.6640625" style="1866" customWidth="1"/>
    <col min="15876" max="15902" width="8.33203125" style="1866" customWidth="1"/>
    <col min="15903" max="15906" width="9.109375" style="1866" customWidth="1"/>
    <col min="15907" max="15907" width="8.33203125" style="1866" customWidth="1"/>
    <col min="15908" max="15908" width="9.109375" style="1866" customWidth="1"/>
    <col min="15909" max="15925" width="8.33203125" style="1866" customWidth="1"/>
    <col min="15926" max="16128" width="11.5546875" style="1866"/>
    <col min="16129" max="16129" width="11.5546875" style="1866" customWidth="1"/>
    <col min="16130" max="16130" width="17.5546875" style="1866" customWidth="1"/>
    <col min="16131" max="16131" width="22.6640625" style="1866" customWidth="1"/>
    <col min="16132" max="16158" width="8.33203125" style="1866" customWidth="1"/>
    <col min="16159" max="16162" width="9.109375" style="1866" customWidth="1"/>
    <col min="16163" max="16163" width="8.33203125" style="1866" customWidth="1"/>
    <col min="16164" max="16164" width="9.109375" style="1866" customWidth="1"/>
    <col min="16165" max="16181" width="8.33203125" style="1866" customWidth="1"/>
    <col min="16182" max="16384" width="11.5546875" style="1866"/>
  </cols>
  <sheetData>
    <row r="1" spans="1:53">
      <c r="A1" s="1865" t="s">
        <v>1341</v>
      </c>
      <c r="B1" s="1866" t="s">
        <v>1342</v>
      </c>
      <c r="C1" s="1866" t="s">
        <v>1343</v>
      </c>
      <c r="D1" s="1867">
        <v>1961</v>
      </c>
      <c r="E1" s="1867">
        <v>1962</v>
      </c>
      <c r="F1" s="1867">
        <v>1963</v>
      </c>
      <c r="G1" s="1867">
        <v>1964</v>
      </c>
      <c r="H1" s="1867">
        <v>1965</v>
      </c>
      <c r="I1" s="1867">
        <v>1966</v>
      </c>
      <c r="J1" s="1867">
        <v>1967</v>
      </c>
      <c r="K1" s="1867">
        <v>1968</v>
      </c>
      <c r="L1" s="1867">
        <v>1969</v>
      </c>
      <c r="M1" s="1867">
        <v>1970</v>
      </c>
      <c r="N1" s="1867">
        <v>1971</v>
      </c>
      <c r="O1" s="1867">
        <v>1972</v>
      </c>
      <c r="P1" s="1867">
        <v>1973</v>
      </c>
      <c r="Q1" s="1867">
        <v>1974</v>
      </c>
      <c r="R1" s="1867">
        <v>1975</v>
      </c>
      <c r="S1" s="1867">
        <v>1976</v>
      </c>
      <c r="T1" s="1867">
        <v>1977</v>
      </c>
      <c r="U1" s="1867">
        <v>1978</v>
      </c>
      <c r="V1" s="1867">
        <v>1979</v>
      </c>
      <c r="W1" s="1867">
        <v>1980</v>
      </c>
      <c r="X1" s="1867">
        <v>1981</v>
      </c>
      <c r="Y1" s="1867">
        <v>1982</v>
      </c>
      <c r="Z1" s="1867">
        <v>1983</v>
      </c>
      <c r="AA1" s="1867">
        <v>1984</v>
      </c>
      <c r="AB1" s="1867">
        <v>1985</v>
      </c>
      <c r="AC1" s="1867">
        <v>1986</v>
      </c>
      <c r="AD1" s="1867">
        <v>1987</v>
      </c>
      <c r="AE1" s="1867">
        <v>1988</v>
      </c>
      <c r="AF1" s="1867">
        <v>1989</v>
      </c>
      <c r="AG1" s="1867">
        <v>1990</v>
      </c>
      <c r="AH1" s="1867">
        <v>1991</v>
      </c>
      <c r="AI1" s="1867">
        <v>1992</v>
      </c>
      <c r="AJ1" s="1867">
        <v>1993</v>
      </c>
      <c r="AK1" s="1867">
        <v>1994</v>
      </c>
      <c r="AL1" s="1867">
        <v>1995</v>
      </c>
      <c r="AM1" s="1867">
        <v>1996</v>
      </c>
      <c r="AN1" s="1867">
        <v>1997</v>
      </c>
      <c r="AO1" s="1867">
        <v>1998</v>
      </c>
      <c r="AP1" s="1867">
        <v>1999</v>
      </c>
      <c r="AQ1" s="1867">
        <v>2000</v>
      </c>
      <c r="AR1" s="1867">
        <v>2001</v>
      </c>
      <c r="AS1" s="1867">
        <v>2002</v>
      </c>
      <c r="AT1" s="1867">
        <v>2003</v>
      </c>
      <c r="AU1" s="1867">
        <v>2004</v>
      </c>
      <c r="AV1" s="1867">
        <v>2005</v>
      </c>
      <c r="AW1" s="1867">
        <v>2006</v>
      </c>
      <c r="AX1" s="1867">
        <v>2007</v>
      </c>
      <c r="AY1" s="1867">
        <v>2008</v>
      </c>
      <c r="AZ1" s="1867">
        <v>2009</v>
      </c>
      <c r="BA1" s="1867">
        <v>2010</v>
      </c>
    </row>
    <row r="2" spans="1:53">
      <c r="A2" s="1865" t="str">
        <f>CONCATENATE(B2,C2)</f>
        <v>??</v>
      </c>
      <c r="B2" s="2825" t="s">
        <v>5</v>
      </c>
      <c r="C2" s="2825" t="s">
        <v>5</v>
      </c>
      <c r="D2" s="1867">
        <v>0</v>
      </c>
      <c r="E2" s="1867">
        <v>0</v>
      </c>
      <c r="F2" s="1867">
        <v>0</v>
      </c>
      <c r="G2" s="1867">
        <v>0</v>
      </c>
      <c r="H2" s="1867">
        <v>0</v>
      </c>
      <c r="I2" s="1867">
        <v>0</v>
      </c>
      <c r="J2" s="1867">
        <v>0</v>
      </c>
      <c r="K2" s="1867">
        <v>0</v>
      </c>
      <c r="L2" s="1867">
        <v>0</v>
      </c>
      <c r="M2" s="1867">
        <v>0</v>
      </c>
      <c r="N2" s="1867">
        <v>0</v>
      </c>
      <c r="O2" s="1867">
        <v>0</v>
      </c>
      <c r="P2" s="1867">
        <v>0</v>
      </c>
      <c r="Q2" s="1867">
        <v>0</v>
      </c>
      <c r="R2" s="1867">
        <v>0</v>
      </c>
      <c r="S2" s="1867">
        <v>0</v>
      </c>
      <c r="T2" s="1867">
        <v>0</v>
      </c>
      <c r="U2" s="1867">
        <v>0</v>
      </c>
      <c r="V2" s="1867">
        <v>0</v>
      </c>
      <c r="W2" s="1867">
        <v>0</v>
      </c>
      <c r="X2" s="1867">
        <v>0</v>
      </c>
      <c r="Y2" s="1867">
        <v>0</v>
      </c>
      <c r="Z2" s="1867">
        <v>0</v>
      </c>
      <c r="AA2" s="1867">
        <v>0</v>
      </c>
      <c r="AB2" s="1867">
        <v>0</v>
      </c>
      <c r="AC2" s="1867">
        <v>0</v>
      </c>
      <c r="AD2" s="1867">
        <v>0</v>
      </c>
      <c r="AE2" s="1867">
        <v>0</v>
      </c>
      <c r="AF2" s="1867">
        <v>0</v>
      </c>
      <c r="AG2" s="1867">
        <v>0</v>
      </c>
      <c r="AH2" s="1867">
        <v>0</v>
      </c>
      <c r="AI2" s="1867">
        <v>0</v>
      </c>
      <c r="AJ2" s="1867">
        <v>0</v>
      </c>
      <c r="AK2" s="1867">
        <v>0</v>
      </c>
      <c r="AL2" s="1867">
        <v>0</v>
      </c>
      <c r="AM2" s="1867">
        <v>0</v>
      </c>
      <c r="AN2" s="1867">
        <v>0</v>
      </c>
      <c r="AO2" s="1867">
        <v>0</v>
      </c>
      <c r="AP2" s="1867">
        <v>0</v>
      </c>
      <c r="AQ2" s="1867">
        <v>0</v>
      </c>
      <c r="AR2" s="1867">
        <v>0</v>
      </c>
      <c r="AS2" s="1867">
        <v>0</v>
      </c>
      <c r="AT2" s="1867">
        <v>0</v>
      </c>
      <c r="AU2" s="1867">
        <v>0</v>
      </c>
      <c r="AV2" s="1867">
        <v>0</v>
      </c>
      <c r="AW2" s="1867">
        <v>0</v>
      </c>
      <c r="AX2" s="1867">
        <v>0</v>
      </c>
      <c r="AY2" s="1867">
        <v>0</v>
      </c>
      <c r="AZ2" s="1867">
        <v>0</v>
      </c>
      <c r="BA2" s="1867">
        <v>0</v>
      </c>
    </row>
    <row r="3" spans="1:53">
      <c r="A3" s="1865" t="str">
        <f>CONCATENATE(B3,C3)</f>
        <v>Northern AmericaSesame seed</v>
      </c>
      <c r="B3" s="1866" t="s">
        <v>1344</v>
      </c>
      <c r="C3" s="1866" t="s">
        <v>1345</v>
      </c>
      <c r="D3" s="1868">
        <v>0.54879</v>
      </c>
      <c r="E3" s="1868">
        <v>0.55556000000000005</v>
      </c>
      <c r="F3" s="1868">
        <v>0.54546000000000006</v>
      </c>
      <c r="G3" s="1868">
        <v>0.53332999999999997</v>
      </c>
    </row>
    <row r="4" spans="1:53">
      <c r="A4" s="1865" t="str">
        <f t="shared" ref="A4:A67" si="0">CONCATENATE(B4,C4)</f>
        <v>Northern EuropeTobacco, unmanufactured</v>
      </c>
      <c r="B4" s="1866" t="s">
        <v>1346</v>
      </c>
      <c r="C4" s="1866" t="s">
        <v>1347</v>
      </c>
      <c r="D4" s="1868">
        <v>0.63333000000000006</v>
      </c>
      <c r="E4" s="1868">
        <v>1.6470599999999997</v>
      </c>
      <c r="F4" s="1868">
        <v>2.2115400000000003</v>
      </c>
      <c r="G4" s="1868">
        <v>2.1176499999999998</v>
      </c>
    </row>
    <row r="5" spans="1:53">
      <c r="A5" s="1865" t="str">
        <f t="shared" si="0"/>
        <v>Middle AfricaOats</v>
      </c>
      <c r="B5" s="1866" t="s">
        <v>1348</v>
      </c>
      <c r="C5" s="1866" t="s">
        <v>1349</v>
      </c>
      <c r="D5" s="1868">
        <v>0.64139999999999997</v>
      </c>
      <c r="E5" s="1868">
        <v>0.61334999999999995</v>
      </c>
      <c r="F5" s="1868">
        <v>0.41063</v>
      </c>
      <c r="G5" s="1868">
        <v>0.62</v>
      </c>
      <c r="H5" s="1868">
        <v>0.61218000000000006</v>
      </c>
      <c r="I5" s="1868">
        <v>0.56828999999999996</v>
      </c>
      <c r="J5" s="1868">
        <v>0.62507000000000001</v>
      </c>
      <c r="K5" s="1868">
        <v>0.625</v>
      </c>
      <c r="L5" s="1868">
        <v>0.625</v>
      </c>
      <c r="M5" s="1868">
        <v>0.625</v>
      </c>
    </row>
    <row r="6" spans="1:53">
      <c r="A6" s="1865" t="str">
        <f t="shared" si="0"/>
        <v>MicronesiaPineapples</v>
      </c>
      <c r="B6" s="1866" t="s">
        <v>1350</v>
      </c>
      <c r="C6" s="1866" t="s">
        <v>1351</v>
      </c>
      <c r="Y6" s="1868">
        <v>25</v>
      </c>
      <c r="Z6" s="1868">
        <v>50</v>
      </c>
      <c r="AA6" s="1868">
        <v>63</v>
      </c>
      <c r="AB6" s="1868">
        <v>41.666670000000003</v>
      </c>
      <c r="AC6" s="1868">
        <v>48</v>
      </c>
      <c r="AD6" s="1868">
        <v>51.5</v>
      </c>
      <c r="AE6" s="1868">
        <v>49.4</v>
      </c>
    </row>
    <row r="7" spans="1:53">
      <c r="A7" s="1865" t="str">
        <f t="shared" si="0"/>
        <v>Southern AsiaRye</v>
      </c>
      <c r="B7" s="1866" t="s">
        <v>1352</v>
      </c>
      <c r="C7" s="1866" t="s">
        <v>1353</v>
      </c>
      <c r="AE7" s="1868">
        <v>0.61904999999999999</v>
      </c>
    </row>
    <row r="8" spans="1:53">
      <c r="A8" s="1865" t="str">
        <f t="shared" si="0"/>
        <v>Eastern EuropeSesame seed</v>
      </c>
      <c r="B8" s="1866" t="s">
        <v>307</v>
      </c>
      <c r="C8" s="1866" t="s">
        <v>1345</v>
      </c>
      <c r="D8" s="1868">
        <v>6.8860000000000005E-2</v>
      </c>
      <c r="E8" s="1868">
        <v>6.2420000000000003E-2</v>
      </c>
      <c r="F8" s="1868">
        <v>8.7520000000000001E-2</v>
      </c>
      <c r="G8" s="1868">
        <v>0.12070999999999998</v>
      </c>
      <c r="H8" s="1868">
        <v>7.714E-2</v>
      </c>
      <c r="I8" s="1868">
        <v>0.1336</v>
      </c>
      <c r="J8" s="1868">
        <v>0.20953000000000002</v>
      </c>
      <c r="K8" s="1868">
        <v>0.13464999999999999</v>
      </c>
      <c r="L8" s="1868">
        <v>7.2279999999999997E-2</v>
      </c>
      <c r="M8" s="1868">
        <v>0.12899000000000002</v>
      </c>
      <c r="N8" s="1868">
        <v>6.0429999999999998E-2</v>
      </c>
      <c r="O8" s="1868">
        <v>9.468E-2</v>
      </c>
      <c r="P8" s="1868">
        <v>9.9360000000000004E-2</v>
      </c>
      <c r="Q8" s="1868">
        <v>0.11917999999999999</v>
      </c>
      <c r="R8" s="1868">
        <v>6.4549999999999996E-2</v>
      </c>
      <c r="S8" s="1868">
        <v>3.0489999999999996E-2</v>
      </c>
      <c r="T8" s="1868">
        <v>3.5160000000000004E-2</v>
      </c>
      <c r="U8" s="1868">
        <v>6.5600000000000006E-2</v>
      </c>
      <c r="V8" s="1868">
        <v>8.2729999999999998E-2</v>
      </c>
      <c r="W8" s="1868">
        <v>0.2</v>
      </c>
      <c r="X8" s="1868">
        <v>1</v>
      </c>
      <c r="Y8" s="1868">
        <v>1</v>
      </c>
      <c r="Z8" s="1868">
        <v>1</v>
      </c>
      <c r="AA8" s="1868">
        <v>1</v>
      </c>
      <c r="AB8" s="1868">
        <v>1</v>
      </c>
      <c r="AC8" s="1868">
        <v>2.32558</v>
      </c>
      <c r="AD8" s="1868">
        <v>1</v>
      </c>
      <c r="AE8" s="1868">
        <v>1.05</v>
      </c>
      <c r="AF8" s="1868">
        <v>1.05</v>
      </c>
      <c r="AG8" s="1868">
        <v>1.1224499999999999</v>
      </c>
      <c r="AH8" s="1868">
        <v>1.25</v>
      </c>
    </row>
    <row r="9" spans="1:53">
      <c r="A9" s="1865" t="str">
        <f t="shared" si="0"/>
        <v>Eastern AsiaCow peas, dry</v>
      </c>
      <c r="B9" s="1866" t="s">
        <v>1354</v>
      </c>
      <c r="C9" s="1866" t="s">
        <v>1355</v>
      </c>
      <c r="D9" s="1868">
        <v>1.02721</v>
      </c>
      <c r="E9" s="1868">
        <v>1</v>
      </c>
      <c r="F9" s="1868">
        <v>1.10084</v>
      </c>
      <c r="G9" s="1868">
        <v>0.98276000000000008</v>
      </c>
      <c r="H9" s="1868">
        <v>1</v>
      </c>
      <c r="I9" s="1868">
        <v>1.0362200000000001</v>
      </c>
      <c r="J9" s="1868">
        <v>0.92887999999999993</v>
      </c>
      <c r="K9" s="1868">
        <v>1.0238100000000001</v>
      </c>
      <c r="L9" s="1868">
        <v>0.97402999999999995</v>
      </c>
      <c r="M9" s="1868">
        <v>1</v>
      </c>
      <c r="N9" s="1868">
        <v>1</v>
      </c>
      <c r="O9" s="1868">
        <v>1</v>
      </c>
      <c r="P9" s="1868">
        <v>1.0217399999999999</v>
      </c>
      <c r="Q9" s="1868">
        <v>1</v>
      </c>
      <c r="R9" s="1868">
        <v>1.0879099999999999</v>
      </c>
      <c r="S9" s="1868">
        <v>1.09877</v>
      </c>
      <c r="T9" s="1868">
        <v>1.1585399999999999</v>
      </c>
      <c r="U9" s="1868">
        <v>1.1969700000000001</v>
      </c>
      <c r="V9" s="1868">
        <v>1</v>
      </c>
      <c r="W9" s="1868">
        <v>0.97307999999999995</v>
      </c>
      <c r="X9" s="1868">
        <v>1</v>
      </c>
      <c r="Y9" s="1868">
        <v>1</v>
      </c>
      <c r="Z9" s="1868">
        <v>1</v>
      </c>
      <c r="AA9" s="1868">
        <v>1</v>
      </c>
      <c r="AB9" s="1868">
        <v>1</v>
      </c>
      <c r="AC9" s="1868">
        <v>1</v>
      </c>
      <c r="AD9" s="1868">
        <v>1</v>
      </c>
      <c r="AE9" s="1868">
        <v>1</v>
      </c>
      <c r="AF9" s="1868">
        <v>1</v>
      </c>
      <c r="AG9" s="1868">
        <v>1</v>
      </c>
      <c r="AH9" s="1868">
        <v>1</v>
      </c>
      <c r="AI9" s="1868">
        <v>1.11663</v>
      </c>
    </row>
    <row r="10" spans="1:53">
      <c r="A10" s="1865" t="str">
        <f t="shared" si="0"/>
        <v>Eastern EuropeRoots and Tubers, nes</v>
      </c>
      <c r="B10" s="1866" t="s">
        <v>307</v>
      </c>
      <c r="C10" s="1866" t="s">
        <v>1356</v>
      </c>
      <c r="D10" s="1868">
        <v>8</v>
      </c>
      <c r="E10" s="1868">
        <v>10</v>
      </c>
      <c r="F10" s="1868">
        <v>10</v>
      </c>
      <c r="G10" s="1868">
        <v>12.22222</v>
      </c>
      <c r="H10" s="1868">
        <v>10</v>
      </c>
      <c r="I10" s="1868">
        <v>8.88889</v>
      </c>
      <c r="J10" s="1868">
        <v>8.88889</v>
      </c>
      <c r="K10" s="1868">
        <v>10</v>
      </c>
      <c r="L10" s="1868">
        <v>10</v>
      </c>
      <c r="M10" s="1868">
        <v>10</v>
      </c>
      <c r="N10" s="1868">
        <v>10</v>
      </c>
      <c r="O10" s="1868">
        <v>10</v>
      </c>
      <c r="P10" s="1868">
        <v>10</v>
      </c>
      <c r="Q10" s="1868">
        <v>10</v>
      </c>
      <c r="R10" s="1868">
        <v>10</v>
      </c>
      <c r="S10" s="1868">
        <v>10</v>
      </c>
      <c r="T10" s="1868">
        <v>10</v>
      </c>
      <c r="U10" s="1868">
        <v>10</v>
      </c>
      <c r="V10" s="1868">
        <v>12</v>
      </c>
      <c r="W10" s="1868">
        <v>10</v>
      </c>
      <c r="X10" s="1868">
        <v>16</v>
      </c>
      <c r="Y10" s="1868">
        <v>12</v>
      </c>
      <c r="Z10" s="1868">
        <v>13.333329999999998</v>
      </c>
      <c r="AA10" s="1868">
        <v>18</v>
      </c>
      <c r="AB10" s="1868">
        <v>16.5</v>
      </c>
      <c r="AC10" s="1868">
        <v>17.5</v>
      </c>
      <c r="AD10" s="1868">
        <v>18</v>
      </c>
      <c r="AE10" s="1868">
        <v>16</v>
      </c>
      <c r="AF10" s="1868">
        <v>16</v>
      </c>
      <c r="AG10" s="1868">
        <v>14</v>
      </c>
      <c r="AH10" s="1868">
        <v>12.5</v>
      </c>
      <c r="AI10" s="1868">
        <v>14.54054</v>
      </c>
    </row>
    <row r="11" spans="1:53">
      <c r="A11" s="1865" t="str">
        <f t="shared" si="0"/>
        <v>OceaniaCow peas, dry</v>
      </c>
      <c r="B11" s="1866" t="s">
        <v>308</v>
      </c>
      <c r="C11" s="1866" t="s">
        <v>1355</v>
      </c>
      <c r="AA11" s="1868">
        <v>0.47699999999999998</v>
      </c>
      <c r="AB11" s="1868">
        <v>0.49062</v>
      </c>
      <c r="AC11" s="1868">
        <v>0.40476000000000001</v>
      </c>
      <c r="AD11" s="1868">
        <v>0.625</v>
      </c>
      <c r="AE11" s="1868">
        <v>0.29197000000000001</v>
      </c>
      <c r="AF11" s="1868">
        <v>0.54286000000000001</v>
      </c>
      <c r="AG11" s="1868">
        <v>0.44183999999999996</v>
      </c>
      <c r="AH11" s="1868">
        <v>0.39121999999999996</v>
      </c>
      <c r="AI11" s="1868">
        <v>0.47452</v>
      </c>
      <c r="AJ11" s="1868">
        <v>0.36707000000000001</v>
      </c>
    </row>
    <row r="12" spans="1:53">
      <c r="A12" s="1865" t="str">
        <f t="shared" si="0"/>
        <v>Australia &amp; New ZealandCow peas, dry</v>
      </c>
      <c r="B12" s="1866" t="s">
        <v>1357</v>
      </c>
      <c r="C12" s="1866" t="s">
        <v>1355</v>
      </c>
      <c r="AA12" s="1868">
        <v>0.47699999999999998</v>
      </c>
      <c r="AB12" s="1868">
        <v>0.49062</v>
      </c>
      <c r="AC12" s="1868">
        <v>0.40476000000000001</v>
      </c>
      <c r="AD12" s="1868">
        <v>0.625</v>
      </c>
      <c r="AE12" s="1868">
        <v>0.29197000000000001</v>
      </c>
      <c r="AF12" s="1868">
        <v>0.54286000000000001</v>
      </c>
      <c r="AG12" s="1868">
        <v>0.44183999999999996</v>
      </c>
      <c r="AH12" s="1868">
        <v>0.39121999999999996</v>
      </c>
      <c r="AI12" s="1868">
        <v>0.47452</v>
      </c>
      <c r="AJ12" s="1868">
        <v>0.36707000000000001</v>
      </c>
    </row>
    <row r="13" spans="1:53">
      <c r="A13" s="1865" t="str">
        <f t="shared" si="0"/>
        <v>Central AmericaSugar beet</v>
      </c>
      <c r="B13" s="1866" t="s">
        <v>310</v>
      </c>
      <c r="C13" s="1866" t="s">
        <v>1358</v>
      </c>
      <c r="AF13" s="1868">
        <v>35</v>
      </c>
      <c r="AG13" s="1868">
        <v>40</v>
      </c>
      <c r="AH13" s="1868">
        <v>19</v>
      </c>
      <c r="AI13" s="1868">
        <v>15.967739999999999</v>
      </c>
      <c r="AM13" s="1868">
        <v>45.166670000000003</v>
      </c>
    </row>
    <row r="14" spans="1:53">
      <c r="A14" s="1865" t="str">
        <f t="shared" si="0"/>
        <v>Northern EuropeSoybeans</v>
      </c>
      <c r="B14" s="1866" t="s">
        <v>1346</v>
      </c>
      <c r="C14" s="1866" t="s">
        <v>1359</v>
      </c>
      <c r="AI14" s="1868">
        <v>0.875</v>
      </c>
      <c r="AJ14" s="1868">
        <v>1.25</v>
      </c>
      <c r="AK14" s="1868">
        <v>0.69667000000000001</v>
      </c>
      <c r="AL14" s="1868">
        <v>1.3333299999999999</v>
      </c>
      <c r="AM14" s="1868">
        <v>1</v>
      </c>
      <c r="AN14" s="1868">
        <v>1.1133299999999999</v>
      </c>
    </row>
    <row r="15" spans="1:53">
      <c r="A15" s="1865" t="str">
        <f t="shared" si="0"/>
        <v>Central AsiaTriticale</v>
      </c>
      <c r="B15" s="1866" t="s">
        <v>1360</v>
      </c>
      <c r="C15" s="1866" t="s">
        <v>1361</v>
      </c>
      <c r="AT15" s="1868">
        <v>4.4000000000000004</v>
      </c>
      <c r="AU15" s="1868">
        <v>2.6666699999999999</v>
      </c>
      <c r="AV15" s="1868">
        <v>3.8</v>
      </c>
    </row>
    <row r="16" spans="1:53">
      <c r="A16" s="1865" t="str">
        <f t="shared" si="0"/>
        <v>Eastern EuropeCow peas, dry</v>
      </c>
      <c r="B16" s="1866" t="s">
        <v>307</v>
      </c>
      <c r="C16" s="1866" t="s">
        <v>1355</v>
      </c>
      <c r="AV16" s="1868">
        <v>1.09091</v>
      </c>
      <c r="AW16" s="1868">
        <v>1</v>
      </c>
      <c r="AX16" s="1868">
        <v>0.63636000000000004</v>
      </c>
      <c r="AY16" s="1868">
        <v>1.11111</v>
      </c>
      <c r="AZ16" s="1868">
        <v>0.875</v>
      </c>
    </row>
    <row r="17" spans="1:53">
      <c r="A17" s="1865" t="str">
        <f t="shared" si="0"/>
        <v>AfricaBananas</v>
      </c>
      <c r="B17" s="1866" t="s">
        <v>302</v>
      </c>
      <c r="C17" s="1866" t="s">
        <v>1362</v>
      </c>
      <c r="D17" s="1868">
        <v>5.8850199999999999</v>
      </c>
      <c r="E17" s="1868">
        <v>5.9518000000000004</v>
      </c>
      <c r="F17" s="1868">
        <v>6.1251300000000004</v>
      </c>
      <c r="G17" s="1868">
        <v>6.2524800000000003</v>
      </c>
      <c r="H17" s="1868">
        <v>6.1769800000000004</v>
      </c>
      <c r="I17" s="1868">
        <v>6.2688499999999996</v>
      </c>
      <c r="J17" s="1868">
        <v>6.3067299999999999</v>
      </c>
      <c r="K17" s="1868">
        <v>6.3432599999999999</v>
      </c>
      <c r="L17" s="1868">
        <v>6.3909500000000001</v>
      </c>
      <c r="M17" s="1868">
        <v>5.7810499999999996</v>
      </c>
      <c r="N17" s="1868">
        <v>6.2294900000000002</v>
      </c>
      <c r="O17" s="1868">
        <v>5.9343599999999999</v>
      </c>
      <c r="P17" s="1868">
        <v>6.5727899999999995</v>
      </c>
      <c r="Q17" s="1868">
        <v>6.8237800000000002</v>
      </c>
      <c r="R17" s="1868">
        <v>6.5176600000000002</v>
      </c>
      <c r="S17" s="1868">
        <v>6.2904900000000001</v>
      </c>
      <c r="T17" s="1868">
        <v>6.4150400000000003</v>
      </c>
      <c r="U17" s="1868">
        <v>6.3093599999999999</v>
      </c>
      <c r="V17" s="1868">
        <v>6.6400899999999998</v>
      </c>
      <c r="W17" s="1868">
        <v>6.4083899999999998</v>
      </c>
      <c r="X17" s="1868">
        <v>7.1898800000000005</v>
      </c>
      <c r="Y17" s="1868">
        <v>6.7821800000000003</v>
      </c>
      <c r="Z17" s="1868">
        <v>6.76328</v>
      </c>
      <c r="AA17" s="1868">
        <v>6.7333499999999997</v>
      </c>
      <c r="AB17" s="1868">
        <v>6.7867699999999997</v>
      </c>
      <c r="AC17" s="1868">
        <v>6.7988800000000005</v>
      </c>
      <c r="AD17" s="1868">
        <v>6.7376600000000009</v>
      </c>
      <c r="AE17" s="1868">
        <v>6.52644</v>
      </c>
      <c r="AF17" s="1868">
        <v>6.5722899999999997</v>
      </c>
      <c r="AG17" s="1868">
        <v>6.9231600000000002</v>
      </c>
      <c r="AH17" s="1868">
        <v>6.9784899999999999</v>
      </c>
      <c r="AI17" s="1868">
        <v>7.0047100000000002</v>
      </c>
      <c r="AJ17" s="1868">
        <v>7.0192600000000009</v>
      </c>
      <c r="AK17" s="1868">
        <v>6.9843399999999995</v>
      </c>
      <c r="AL17" s="1868">
        <v>7.8207600000000008</v>
      </c>
      <c r="AM17" s="1868">
        <v>7.2272600000000002</v>
      </c>
      <c r="AN17" s="1868">
        <v>6.1415199999999999</v>
      </c>
      <c r="AO17" s="1868">
        <v>5.8896300000000004</v>
      </c>
      <c r="AP17" s="1868">
        <v>6.5126400000000002</v>
      </c>
      <c r="AQ17" s="1868">
        <v>5.9312100000000001</v>
      </c>
      <c r="AR17" s="1868">
        <v>6.5431400000000002</v>
      </c>
      <c r="AS17" s="1868">
        <v>7.2950200000000001</v>
      </c>
      <c r="AT17" s="1868">
        <v>6.8571600000000004</v>
      </c>
      <c r="AU17" s="1868">
        <v>7.7633100000000006</v>
      </c>
      <c r="AV17" s="1868">
        <v>8.2668900000000001</v>
      </c>
      <c r="AW17" s="1868">
        <v>7.8326199999999995</v>
      </c>
      <c r="AX17" s="1868">
        <v>8.2885600000000004</v>
      </c>
      <c r="AY17" s="1868">
        <v>8.2287800000000004</v>
      </c>
      <c r="AZ17" s="1868">
        <v>7.7819100000000008</v>
      </c>
      <c r="BA17" s="1868">
        <v>8.3808199999999999</v>
      </c>
    </row>
    <row r="18" spans="1:53">
      <c r="A18" s="1865" t="str">
        <f t="shared" si="0"/>
        <v>AfricaBarley</v>
      </c>
      <c r="B18" s="1866" t="s">
        <v>302</v>
      </c>
      <c r="C18" s="1866" t="s">
        <v>1363</v>
      </c>
      <c r="D18" s="1868">
        <v>0.44572000000000001</v>
      </c>
      <c r="E18" s="1868">
        <v>0.88592000000000004</v>
      </c>
      <c r="F18" s="1868">
        <v>0.79420000000000002</v>
      </c>
      <c r="G18" s="1868">
        <v>0.70536999999999994</v>
      </c>
      <c r="H18" s="1868">
        <v>0.76741999999999999</v>
      </c>
      <c r="I18" s="1868">
        <v>0.48601000000000005</v>
      </c>
      <c r="J18" s="1868">
        <v>0.69143999999999994</v>
      </c>
      <c r="K18" s="1868">
        <v>1.07094</v>
      </c>
      <c r="L18" s="1868">
        <v>0.83828999999999998</v>
      </c>
      <c r="M18" s="1868">
        <v>0.85026000000000002</v>
      </c>
      <c r="N18" s="1868">
        <v>0.96827999999999992</v>
      </c>
      <c r="O18" s="1868">
        <v>0.99952000000000008</v>
      </c>
      <c r="P18" s="1868">
        <v>0.65827000000000002</v>
      </c>
      <c r="Q18" s="1868">
        <v>0.90817999999999988</v>
      </c>
      <c r="R18" s="1868">
        <v>0.85429999999999995</v>
      </c>
      <c r="S18" s="1868">
        <v>0.99424999999999997</v>
      </c>
      <c r="T18" s="1868">
        <v>0.67301999999999995</v>
      </c>
      <c r="U18" s="1868">
        <v>0.8339700000000001</v>
      </c>
      <c r="V18" s="1868">
        <v>0.80745</v>
      </c>
      <c r="W18" s="1868">
        <v>0.96922000000000008</v>
      </c>
      <c r="X18" s="1868">
        <v>0.70213000000000003</v>
      </c>
      <c r="Y18" s="1868">
        <v>1.04135</v>
      </c>
      <c r="Z18" s="1868">
        <v>0.76075000000000004</v>
      </c>
      <c r="AA18" s="1868">
        <v>0.72392000000000001</v>
      </c>
      <c r="AB18" s="1868">
        <v>1.02437</v>
      </c>
      <c r="AC18" s="1868">
        <v>1.1435799999999998</v>
      </c>
      <c r="AD18" s="1868">
        <v>0.83365</v>
      </c>
      <c r="AE18" s="1868">
        <v>1.17574</v>
      </c>
      <c r="AF18" s="1868">
        <v>1.07084</v>
      </c>
      <c r="AG18" s="1868">
        <v>0.94597999999999993</v>
      </c>
      <c r="AH18" s="1868">
        <v>1.2494100000000001</v>
      </c>
      <c r="AI18" s="1868">
        <v>0.82102999999999993</v>
      </c>
      <c r="AJ18" s="1868">
        <v>0.75295000000000001</v>
      </c>
      <c r="AK18" s="1868">
        <v>1.2406700000000002</v>
      </c>
      <c r="AL18" s="1868">
        <v>0.74102999999999997</v>
      </c>
      <c r="AM18" s="1868">
        <v>1.38411</v>
      </c>
      <c r="AN18" s="1868">
        <v>0.80728</v>
      </c>
      <c r="AO18" s="1868">
        <v>0.92122999999999988</v>
      </c>
      <c r="AP18" s="1868">
        <v>0.84225000000000005</v>
      </c>
      <c r="AQ18" s="1868">
        <v>0.50870000000000004</v>
      </c>
      <c r="AR18" s="1868">
        <v>0.83814999999999995</v>
      </c>
      <c r="AS18" s="1868">
        <v>1.0464200000000001</v>
      </c>
      <c r="AT18" s="1868">
        <v>1.2011499999999999</v>
      </c>
      <c r="AU18" s="1868">
        <v>1.1489799999999999</v>
      </c>
      <c r="AV18" s="1868">
        <v>0.93128999999999995</v>
      </c>
      <c r="AW18" s="1868">
        <v>1.2688700000000002</v>
      </c>
      <c r="AX18" s="1868">
        <v>0.90144000000000002</v>
      </c>
      <c r="AY18" s="1868">
        <v>0.91431000000000007</v>
      </c>
      <c r="AZ18" s="1868">
        <v>1.7006700000000001</v>
      </c>
      <c r="BA18" s="1868">
        <v>1.3478299999999999</v>
      </c>
    </row>
    <row r="19" spans="1:53">
      <c r="A19" s="1865" t="str">
        <f t="shared" si="0"/>
        <v>AfricaBeans, dry</v>
      </c>
      <c r="B19" s="1866" t="s">
        <v>302</v>
      </c>
      <c r="C19" s="1866" t="s">
        <v>1364</v>
      </c>
      <c r="D19" s="1868">
        <v>0.58743000000000001</v>
      </c>
      <c r="E19" s="1868">
        <v>0.60143999999999997</v>
      </c>
      <c r="F19" s="1868">
        <v>0.60028999999999999</v>
      </c>
      <c r="G19" s="1868">
        <v>0.61316000000000004</v>
      </c>
      <c r="H19" s="1868">
        <v>0.62978000000000001</v>
      </c>
      <c r="I19" s="1868">
        <v>0.64478999999999997</v>
      </c>
      <c r="J19" s="1868">
        <v>0.65785000000000005</v>
      </c>
      <c r="K19" s="1868">
        <v>0.63217999999999996</v>
      </c>
      <c r="L19" s="1868">
        <v>0.62166999999999994</v>
      </c>
      <c r="M19" s="1868">
        <v>0.62778999999999996</v>
      </c>
      <c r="N19" s="1868">
        <v>0.61829000000000001</v>
      </c>
      <c r="O19" s="1868">
        <v>0.67601999999999995</v>
      </c>
      <c r="P19" s="1868">
        <v>0.61450000000000005</v>
      </c>
      <c r="Q19" s="1868">
        <v>0.60829999999999995</v>
      </c>
      <c r="R19" s="1868">
        <v>0.66835</v>
      </c>
      <c r="S19" s="1868">
        <v>0.68073000000000006</v>
      </c>
      <c r="T19" s="1868">
        <v>0.67730000000000001</v>
      </c>
      <c r="U19" s="1868">
        <v>0.65932000000000002</v>
      </c>
      <c r="V19" s="1868">
        <v>0.63631000000000004</v>
      </c>
      <c r="W19" s="1868">
        <v>0.62033000000000005</v>
      </c>
      <c r="X19" s="1868">
        <v>0.65175000000000005</v>
      </c>
      <c r="Y19" s="1868">
        <v>0.64190000000000003</v>
      </c>
      <c r="Z19" s="1868">
        <v>0.65521000000000007</v>
      </c>
      <c r="AA19" s="1868">
        <v>0.65138000000000007</v>
      </c>
      <c r="AB19" s="1868">
        <v>0.68735000000000002</v>
      </c>
      <c r="AC19" s="1868">
        <v>0.67586999999999997</v>
      </c>
      <c r="AD19" s="1868">
        <v>0.68886999999999998</v>
      </c>
      <c r="AE19" s="1868">
        <v>0.68131000000000008</v>
      </c>
      <c r="AF19" s="1868">
        <v>0.69084999999999996</v>
      </c>
      <c r="AG19" s="1868">
        <v>0.75121000000000004</v>
      </c>
      <c r="AH19" s="1868">
        <v>0.73175000000000001</v>
      </c>
      <c r="AI19" s="1868">
        <v>0.70133999999999996</v>
      </c>
      <c r="AJ19" s="1868">
        <v>0.68128999999999995</v>
      </c>
      <c r="AK19" s="1868">
        <v>0.59791000000000005</v>
      </c>
      <c r="AL19" s="1868">
        <v>0.62531999999999999</v>
      </c>
      <c r="AM19" s="1868">
        <v>0.57058999999999993</v>
      </c>
      <c r="AN19" s="1868">
        <v>0.55306999999999995</v>
      </c>
      <c r="AO19" s="1868">
        <v>0.61216999999999999</v>
      </c>
      <c r="AP19" s="1868">
        <v>0.62929999999999997</v>
      </c>
      <c r="AQ19" s="1868">
        <v>0.61599999999999999</v>
      </c>
      <c r="AR19" s="1868">
        <v>0.64971999999999996</v>
      </c>
      <c r="AS19" s="1868">
        <v>0.59484999999999999</v>
      </c>
      <c r="AT19" s="1868">
        <v>0.63323999999999991</v>
      </c>
      <c r="AU19" s="1868">
        <v>0.59453</v>
      </c>
      <c r="AV19" s="1868">
        <v>0.60487999999999997</v>
      </c>
      <c r="AW19" s="1868">
        <v>0.64091999999999993</v>
      </c>
      <c r="AX19" s="1868">
        <v>0.65185999999999999</v>
      </c>
      <c r="AY19" s="1868">
        <v>0.66671000000000002</v>
      </c>
      <c r="AZ19" s="1868">
        <v>0.65700000000000003</v>
      </c>
      <c r="BA19" s="1868">
        <v>0.68283000000000005</v>
      </c>
    </row>
    <row r="20" spans="1:53">
      <c r="A20" s="1865" t="str">
        <f t="shared" si="0"/>
        <v>AfricaBeans, green</v>
      </c>
      <c r="B20" s="1866" t="s">
        <v>302</v>
      </c>
      <c r="C20" s="1866" t="s">
        <v>1365</v>
      </c>
      <c r="D20" s="1868">
        <v>6.5102699999999993</v>
      </c>
      <c r="E20" s="1868">
        <v>6.6025800000000006</v>
      </c>
      <c r="F20" s="1868">
        <v>5.8180300000000003</v>
      </c>
      <c r="G20" s="1868">
        <v>6.4357600000000001</v>
      </c>
      <c r="H20" s="1868">
        <v>5.2598799999999999</v>
      </c>
      <c r="I20" s="1868">
        <v>6.07735</v>
      </c>
      <c r="J20" s="1868">
        <v>5.6504400000000006</v>
      </c>
      <c r="K20" s="1868">
        <v>6.4810999999999996</v>
      </c>
      <c r="L20" s="1868">
        <v>6.1534500000000003</v>
      </c>
      <c r="M20" s="1868">
        <v>6.2720099999999999</v>
      </c>
      <c r="N20" s="1868">
        <v>6.3703599999999998</v>
      </c>
      <c r="O20" s="1868">
        <v>6.8787199999999995</v>
      </c>
      <c r="P20" s="1868">
        <v>6.2286000000000001</v>
      </c>
      <c r="Q20" s="1868">
        <v>6.3401500000000004</v>
      </c>
      <c r="R20" s="1868">
        <v>6.3977900000000005</v>
      </c>
      <c r="S20" s="1868">
        <v>6.9204800000000004</v>
      </c>
      <c r="T20" s="1868">
        <v>7.0832499999999996</v>
      </c>
      <c r="U20" s="1868">
        <v>5.87439</v>
      </c>
      <c r="V20" s="1868">
        <v>6.0935499999999996</v>
      </c>
      <c r="W20" s="1868">
        <v>6.0865300000000007</v>
      </c>
      <c r="X20" s="1868">
        <v>6.2930599999999997</v>
      </c>
      <c r="Y20" s="1868">
        <v>6.1453800000000003</v>
      </c>
      <c r="Z20" s="1868">
        <v>5.8860000000000001</v>
      </c>
      <c r="AA20" s="1868">
        <v>6.1886099999999997</v>
      </c>
      <c r="AB20" s="1868">
        <v>6.7032100000000003</v>
      </c>
      <c r="AC20" s="1868">
        <v>7.5432399999999991</v>
      </c>
      <c r="AD20" s="1868">
        <v>7.6773800000000003</v>
      </c>
      <c r="AE20" s="1868">
        <v>6.9789899999999996</v>
      </c>
      <c r="AF20" s="1868">
        <v>7.3610399999999991</v>
      </c>
      <c r="AG20" s="1868">
        <v>5.8157800000000002</v>
      </c>
      <c r="AH20" s="1868">
        <v>6.3663099999999995</v>
      </c>
      <c r="AI20" s="1868">
        <v>6.0391599999999999</v>
      </c>
      <c r="AJ20" s="1868">
        <v>5.6287400000000005</v>
      </c>
      <c r="AK20" s="1868">
        <v>6.26851</v>
      </c>
      <c r="AL20" s="1868">
        <v>6.3352399999999998</v>
      </c>
      <c r="AM20" s="1868">
        <v>6.51905</v>
      </c>
      <c r="AN20" s="1868">
        <v>6.8526399999999992</v>
      </c>
      <c r="AO20" s="1868">
        <v>6.7716199999999995</v>
      </c>
      <c r="AP20" s="1868">
        <v>6.7711699999999997</v>
      </c>
      <c r="AQ20" s="1868">
        <v>6.6270699999999998</v>
      </c>
      <c r="AR20" s="1868">
        <v>7.7639600000000009</v>
      </c>
      <c r="AS20" s="1868">
        <v>7.6443899999999996</v>
      </c>
      <c r="AT20" s="1868">
        <v>7.7097399999999991</v>
      </c>
      <c r="AU20" s="1868">
        <v>8.4208999999999996</v>
      </c>
      <c r="AV20" s="1868">
        <v>8.9207600000000014</v>
      </c>
      <c r="AW20" s="1868">
        <v>10.45064</v>
      </c>
      <c r="AX20" s="1868">
        <v>7.9997399999999992</v>
      </c>
      <c r="AY20" s="1868">
        <v>7.5957800000000004</v>
      </c>
      <c r="AZ20" s="1868">
        <v>6.3097500000000002</v>
      </c>
      <c r="BA20" s="1868">
        <v>7.8324800000000003</v>
      </c>
    </row>
    <row r="21" spans="1:53">
      <c r="A21" s="1865" t="str">
        <f t="shared" si="0"/>
        <v>AfricaCarrots and turnips</v>
      </c>
      <c r="B21" s="1866" t="s">
        <v>302</v>
      </c>
      <c r="C21" s="1866" t="s">
        <v>1366</v>
      </c>
      <c r="D21" s="1868">
        <v>8.8044499999999992</v>
      </c>
      <c r="E21" s="1868">
        <v>9.8650300000000009</v>
      </c>
      <c r="F21" s="1868">
        <v>9.6134399999999989</v>
      </c>
      <c r="G21" s="1868">
        <v>9.3350000000000009</v>
      </c>
      <c r="H21" s="1868">
        <v>9.1155899999999992</v>
      </c>
      <c r="I21" s="1868">
        <v>9.6183800000000002</v>
      </c>
      <c r="J21" s="1868">
        <v>9.9156999999999993</v>
      </c>
      <c r="K21" s="1868">
        <v>9.3573000000000004</v>
      </c>
      <c r="L21" s="1868">
        <v>9.1821300000000008</v>
      </c>
      <c r="M21" s="1868">
        <v>9.2405200000000001</v>
      </c>
      <c r="N21" s="1868">
        <v>9.1811600000000002</v>
      </c>
      <c r="O21" s="1868">
        <v>8.8933</v>
      </c>
      <c r="P21" s="1868">
        <v>8.96035</v>
      </c>
      <c r="Q21" s="1868">
        <v>9.7883399999999998</v>
      </c>
      <c r="R21" s="1868">
        <v>9.7432199999999991</v>
      </c>
      <c r="S21" s="1868">
        <v>9.7534600000000005</v>
      </c>
      <c r="T21" s="1868">
        <v>9.6654999999999998</v>
      </c>
      <c r="U21" s="1868">
        <v>9.9991399999999988</v>
      </c>
      <c r="V21" s="1868">
        <v>10.36116</v>
      </c>
      <c r="W21" s="1868">
        <v>10.35467</v>
      </c>
      <c r="X21" s="1868">
        <v>10.634360000000001</v>
      </c>
      <c r="Y21" s="1868">
        <v>9.9936000000000007</v>
      </c>
      <c r="Z21" s="1868">
        <v>9.6443200000000004</v>
      </c>
      <c r="AA21" s="1868">
        <v>9.2963899999999988</v>
      </c>
      <c r="AB21" s="1868">
        <v>10.025639999999999</v>
      </c>
      <c r="AC21" s="1868">
        <v>10.875810000000001</v>
      </c>
      <c r="AD21" s="1868">
        <v>11.32353</v>
      </c>
      <c r="AE21" s="1868">
        <v>10.72003</v>
      </c>
      <c r="AF21" s="1868">
        <v>11.55799</v>
      </c>
      <c r="AG21" s="1868">
        <v>10.84521</v>
      </c>
      <c r="AH21" s="1868">
        <v>11.195789999999999</v>
      </c>
      <c r="AI21" s="1868">
        <v>11.66947</v>
      </c>
      <c r="AJ21" s="1868">
        <v>11.821589999999999</v>
      </c>
      <c r="AK21" s="1868">
        <v>12.19102</v>
      </c>
      <c r="AL21" s="1868">
        <v>12.15513</v>
      </c>
      <c r="AM21" s="1868">
        <v>11.10557</v>
      </c>
      <c r="AN21" s="1868">
        <v>12.934839999999999</v>
      </c>
      <c r="AO21" s="1868">
        <v>12.88308</v>
      </c>
      <c r="AP21" s="1868">
        <v>12.28561</v>
      </c>
      <c r="AQ21" s="1868">
        <v>12.54505</v>
      </c>
      <c r="AR21" s="1868">
        <v>14.007220000000002</v>
      </c>
      <c r="AS21" s="1868">
        <v>13.379489999999999</v>
      </c>
      <c r="AT21" s="1868">
        <v>14.46486</v>
      </c>
      <c r="AU21" s="1868">
        <v>14.745429999999999</v>
      </c>
      <c r="AV21" s="1868">
        <v>13.222320000000002</v>
      </c>
      <c r="AW21" s="1868">
        <v>14.006500000000001</v>
      </c>
      <c r="AX21" s="1868">
        <v>14.24335</v>
      </c>
      <c r="AY21" s="1868">
        <v>15.680229999999998</v>
      </c>
      <c r="AZ21" s="1868">
        <v>14.829800000000001</v>
      </c>
      <c r="BA21" s="1868">
        <v>13.552079999999998</v>
      </c>
    </row>
    <row r="22" spans="1:53">
      <c r="A22" s="1865" t="str">
        <f t="shared" si="0"/>
        <v>AfricaCashew nuts, with shell</v>
      </c>
      <c r="B22" s="1866" t="s">
        <v>302</v>
      </c>
      <c r="C22" s="1866" t="s">
        <v>1367</v>
      </c>
      <c r="D22" s="1868">
        <v>0.53598000000000001</v>
      </c>
      <c r="E22" s="1868">
        <v>0.55931999999999993</v>
      </c>
      <c r="F22" s="1868">
        <v>0.58311999999999997</v>
      </c>
      <c r="G22" s="1868">
        <v>0.62060000000000004</v>
      </c>
      <c r="H22" s="1868">
        <v>0.59484999999999999</v>
      </c>
      <c r="I22" s="1868">
        <v>0.58984999999999999</v>
      </c>
      <c r="J22" s="1868">
        <v>0.52831000000000006</v>
      </c>
      <c r="K22" s="1868">
        <v>0.56263999999999992</v>
      </c>
      <c r="L22" s="1868">
        <v>0.54141000000000006</v>
      </c>
      <c r="M22" s="1868">
        <v>0.55186000000000002</v>
      </c>
      <c r="N22" s="1868">
        <v>0.57336999999999994</v>
      </c>
      <c r="O22" s="1868">
        <v>0.58026</v>
      </c>
      <c r="P22" s="1868">
        <v>0.59482999999999997</v>
      </c>
      <c r="Q22" s="1868">
        <v>0.57462999999999997</v>
      </c>
      <c r="R22" s="1868">
        <v>0.56118000000000001</v>
      </c>
      <c r="S22" s="1868">
        <v>0.54625000000000001</v>
      </c>
      <c r="T22" s="1868">
        <v>0.52669999999999995</v>
      </c>
      <c r="U22" s="1868">
        <v>0.50885000000000002</v>
      </c>
      <c r="V22" s="1868">
        <v>0.49281000000000003</v>
      </c>
      <c r="W22" s="1868">
        <v>0.48607</v>
      </c>
      <c r="X22" s="1868">
        <v>0.50486000000000009</v>
      </c>
      <c r="Y22" s="1868">
        <v>0.47103999999999996</v>
      </c>
      <c r="Z22" s="1868">
        <v>0.45545000000000002</v>
      </c>
      <c r="AA22" s="1868">
        <v>0.41388999999999998</v>
      </c>
      <c r="AB22" s="1868">
        <v>0.43959999999999999</v>
      </c>
      <c r="AC22" s="1868">
        <v>0.42285</v>
      </c>
      <c r="AD22" s="1868">
        <v>0.43358000000000002</v>
      </c>
      <c r="AE22" s="1868">
        <v>0.46426000000000006</v>
      </c>
      <c r="AF22" s="1868">
        <v>0.44853999999999994</v>
      </c>
      <c r="AG22" s="1868">
        <v>0.41396000000000005</v>
      </c>
      <c r="AH22" s="1868">
        <v>0.42243000000000003</v>
      </c>
      <c r="AI22" s="1868">
        <v>0.47921000000000002</v>
      </c>
      <c r="AJ22" s="1868">
        <v>0.45823999999999998</v>
      </c>
      <c r="AK22" s="1868">
        <v>0.45097999999999999</v>
      </c>
      <c r="AL22" s="1868">
        <v>0.50111000000000006</v>
      </c>
      <c r="AM22" s="1868">
        <v>0.54821999999999993</v>
      </c>
      <c r="AN22" s="1868">
        <v>0.45279999999999998</v>
      </c>
      <c r="AO22" s="1868">
        <v>0.52227999999999997</v>
      </c>
      <c r="AP22" s="1868">
        <v>0.73333999999999999</v>
      </c>
      <c r="AQ22" s="1868">
        <v>0.78847</v>
      </c>
      <c r="AR22" s="1868">
        <v>0.89800000000000002</v>
      </c>
      <c r="AS22" s="1868">
        <v>0.75353000000000003</v>
      </c>
      <c r="AT22" s="1868">
        <v>0.76312999999999998</v>
      </c>
      <c r="AU22" s="1868">
        <v>0.74076000000000009</v>
      </c>
      <c r="AV22" s="1868">
        <v>0.73560999999999999</v>
      </c>
      <c r="AW22" s="1868">
        <v>0.72907</v>
      </c>
      <c r="AX22" s="1868">
        <v>0.72038999999999997</v>
      </c>
      <c r="AY22" s="1868">
        <v>0.73887999999999998</v>
      </c>
      <c r="AZ22" s="1868">
        <v>0.64858000000000005</v>
      </c>
      <c r="BA22" s="1868">
        <v>0.67248999999999992</v>
      </c>
    </row>
    <row r="23" spans="1:53">
      <c r="A23" s="1865" t="str">
        <f t="shared" si="0"/>
        <v>AfricaCassava</v>
      </c>
      <c r="B23" s="1866" t="s">
        <v>302</v>
      </c>
      <c r="C23" s="1866" t="s">
        <v>1368</v>
      </c>
      <c r="D23" s="1868">
        <v>5.6603300000000001</v>
      </c>
      <c r="E23" s="1868">
        <v>5.6597300000000006</v>
      </c>
      <c r="F23" s="1868">
        <v>5.7156799999999999</v>
      </c>
      <c r="G23" s="1868">
        <v>5.7467699999999997</v>
      </c>
      <c r="H23" s="1868">
        <v>5.9013599999999995</v>
      </c>
      <c r="I23" s="1868">
        <v>5.8845400000000003</v>
      </c>
      <c r="J23" s="1868">
        <v>5.8648600000000002</v>
      </c>
      <c r="K23" s="1868">
        <v>5.9491399999999999</v>
      </c>
      <c r="L23" s="1868">
        <v>5.9575300000000002</v>
      </c>
      <c r="M23" s="1868">
        <v>6.18574</v>
      </c>
      <c r="N23" s="1868">
        <v>5.9990600000000001</v>
      </c>
      <c r="O23" s="1868">
        <v>6.1545500000000004</v>
      </c>
      <c r="P23" s="1868">
        <v>6.0315199999999995</v>
      </c>
      <c r="Q23" s="1868">
        <v>6.0151500000000002</v>
      </c>
      <c r="R23" s="1868">
        <v>6.5096400000000001</v>
      </c>
      <c r="S23" s="1868">
        <v>6.7223199999999999</v>
      </c>
      <c r="T23" s="1868">
        <v>6.8671699999999998</v>
      </c>
      <c r="U23" s="1868">
        <v>6.7290300000000007</v>
      </c>
      <c r="V23" s="1868">
        <v>6.9545000000000003</v>
      </c>
      <c r="W23" s="1868">
        <v>6.8532600000000006</v>
      </c>
      <c r="X23" s="1868">
        <v>7.0623500000000003</v>
      </c>
      <c r="Y23" s="1868">
        <v>7.0467899999999997</v>
      </c>
      <c r="Z23" s="1868">
        <v>7.1104000000000003</v>
      </c>
      <c r="AA23" s="1868">
        <v>7.1689399999999992</v>
      </c>
      <c r="AB23" s="1868">
        <v>7.7661199999999999</v>
      </c>
      <c r="AC23" s="1868">
        <v>7.7292699999999996</v>
      </c>
      <c r="AD23" s="1868">
        <v>7.6430699999999998</v>
      </c>
      <c r="AE23" s="1868">
        <v>7.7508600000000003</v>
      </c>
      <c r="AF23" s="1868">
        <v>7.6925800000000004</v>
      </c>
      <c r="AG23" s="1868">
        <v>8.1797599999999999</v>
      </c>
      <c r="AH23" s="1868">
        <v>8.0754000000000001</v>
      </c>
      <c r="AI23" s="1868">
        <v>8.0460399999999996</v>
      </c>
      <c r="AJ23" s="1868">
        <v>8.1976899999999997</v>
      </c>
      <c r="AK23" s="1868">
        <v>8.0630699999999997</v>
      </c>
      <c r="AL23" s="1868">
        <v>8.2508300000000006</v>
      </c>
      <c r="AM23" s="1868">
        <v>8.3184100000000001</v>
      </c>
      <c r="AN23" s="1868">
        <v>8.5621899999999993</v>
      </c>
      <c r="AO23" s="1868">
        <v>8.336269999999999</v>
      </c>
      <c r="AP23" s="1868">
        <v>8.4610199999999995</v>
      </c>
      <c r="AQ23" s="1868">
        <v>8.656089999999999</v>
      </c>
      <c r="AR23" s="1868">
        <v>8.9059899999999992</v>
      </c>
      <c r="AS23" s="1868">
        <v>8.8905600000000007</v>
      </c>
      <c r="AT23" s="1868">
        <v>8.7620000000000005</v>
      </c>
      <c r="AU23" s="1868">
        <v>8.9425600000000003</v>
      </c>
      <c r="AV23" s="1868">
        <v>9.2476899999999986</v>
      </c>
      <c r="AW23" s="1868">
        <v>9.8809899999999988</v>
      </c>
      <c r="AX23" s="1868">
        <v>9.8729700000000005</v>
      </c>
      <c r="AY23" s="1868">
        <v>10.315289999999999</v>
      </c>
      <c r="AZ23" s="1868">
        <v>9.8995300000000004</v>
      </c>
      <c r="BA23" s="1868">
        <v>10.223789999999999</v>
      </c>
    </row>
    <row r="24" spans="1:53">
      <c r="A24" s="1865" t="str">
        <f t="shared" si="0"/>
        <v>AfricaCauliflowers and broccoli</v>
      </c>
      <c r="B24" s="1866" t="s">
        <v>302</v>
      </c>
      <c r="C24" s="1866" t="s">
        <v>1369</v>
      </c>
      <c r="D24" s="1868">
        <v>23.288970000000003</v>
      </c>
      <c r="E24" s="1868">
        <v>23.350750000000001</v>
      </c>
      <c r="F24" s="1868">
        <v>24.10322</v>
      </c>
      <c r="G24" s="1868">
        <v>24.030560000000001</v>
      </c>
      <c r="H24" s="1868">
        <v>23.953970000000002</v>
      </c>
      <c r="I24" s="1868">
        <v>23.134629999999998</v>
      </c>
      <c r="J24" s="1868">
        <v>23.495100000000001</v>
      </c>
      <c r="K24" s="1868">
        <v>21.26296</v>
      </c>
      <c r="L24" s="1868">
        <v>21.161829999999998</v>
      </c>
      <c r="M24" s="1868">
        <v>21.667539999999999</v>
      </c>
      <c r="N24" s="1868">
        <v>22.15232</v>
      </c>
      <c r="O24" s="1868">
        <v>19.40044</v>
      </c>
      <c r="P24" s="1868">
        <v>20.0748</v>
      </c>
      <c r="Q24" s="1868">
        <v>18.359779999999997</v>
      </c>
      <c r="R24" s="1868">
        <v>18.165779999999998</v>
      </c>
      <c r="S24" s="1868">
        <v>19.317160000000001</v>
      </c>
      <c r="T24" s="1868">
        <v>19.66703</v>
      </c>
      <c r="U24" s="1868">
        <v>20.249639999999999</v>
      </c>
      <c r="V24" s="1868">
        <v>19.759209999999999</v>
      </c>
      <c r="W24" s="1868">
        <v>20.360710000000001</v>
      </c>
      <c r="X24" s="1868">
        <v>19.503610000000002</v>
      </c>
      <c r="Y24" s="1868">
        <v>18.372479999999999</v>
      </c>
      <c r="Z24" s="1868">
        <v>16.940160000000002</v>
      </c>
      <c r="AA24" s="1868">
        <v>16.816659999999999</v>
      </c>
      <c r="AB24" s="1868">
        <v>17.299620000000001</v>
      </c>
      <c r="AC24" s="1868">
        <v>16.541820000000001</v>
      </c>
      <c r="AD24" s="1868">
        <v>19.287479999999999</v>
      </c>
      <c r="AE24" s="1868">
        <v>17.662010000000002</v>
      </c>
      <c r="AF24" s="1868">
        <v>16.325860000000002</v>
      </c>
      <c r="AG24" s="1868">
        <v>15.928889999999999</v>
      </c>
      <c r="AH24" s="1868">
        <v>16.122399999999999</v>
      </c>
      <c r="AI24" s="1868">
        <v>16.210260000000002</v>
      </c>
      <c r="AJ24" s="1868">
        <v>17.15645</v>
      </c>
      <c r="AK24" s="1868">
        <v>16.956139999999998</v>
      </c>
      <c r="AL24" s="1868">
        <v>16.871270000000003</v>
      </c>
      <c r="AM24" s="1868">
        <v>16.52253</v>
      </c>
      <c r="AN24" s="1868">
        <v>18.484070000000003</v>
      </c>
      <c r="AO24" s="1868">
        <v>18.13157</v>
      </c>
      <c r="AP24" s="1868">
        <v>18.402290000000001</v>
      </c>
      <c r="AQ24" s="1868">
        <v>18.005029999999998</v>
      </c>
      <c r="AR24" s="1868">
        <v>18.374979999999997</v>
      </c>
      <c r="AS24" s="1868">
        <v>19.422629999999998</v>
      </c>
      <c r="AT24" s="1868">
        <v>15.057729999999999</v>
      </c>
      <c r="AU24" s="1868">
        <v>19.315520000000003</v>
      </c>
      <c r="AV24" s="1868">
        <v>18.281140000000001</v>
      </c>
      <c r="AW24" s="1868">
        <v>20.364810000000002</v>
      </c>
      <c r="AX24" s="1868">
        <v>20.098020000000002</v>
      </c>
      <c r="AY24" s="1868">
        <v>20.376839999999998</v>
      </c>
      <c r="AZ24" s="1868">
        <v>19.791679999999999</v>
      </c>
      <c r="BA24" s="1868">
        <v>20.84845</v>
      </c>
    </row>
    <row r="25" spans="1:53">
      <c r="A25" s="1865" t="str">
        <f t="shared" si="0"/>
        <v>AfricaCereals, nes</v>
      </c>
      <c r="B25" s="1866" t="s">
        <v>302</v>
      </c>
      <c r="C25" s="1866" t="s">
        <v>1370</v>
      </c>
      <c r="D25" s="1868">
        <v>0.57579999999999998</v>
      </c>
      <c r="E25" s="1868">
        <v>0.55221999999999993</v>
      </c>
      <c r="F25" s="1868">
        <v>0.57225000000000004</v>
      </c>
      <c r="G25" s="1868">
        <v>0.58689999999999998</v>
      </c>
      <c r="H25" s="1868">
        <v>0.60009000000000001</v>
      </c>
      <c r="I25" s="1868">
        <v>0.59476000000000007</v>
      </c>
      <c r="J25" s="1868">
        <v>0.60206999999999999</v>
      </c>
      <c r="K25" s="1868">
        <v>0.61536000000000002</v>
      </c>
      <c r="L25" s="1868">
        <v>0.60938999999999999</v>
      </c>
      <c r="M25" s="1868">
        <v>0.61097999999999997</v>
      </c>
      <c r="N25" s="1868">
        <v>0.60892000000000002</v>
      </c>
      <c r="O25" s="1868">
        <v>0.62150000000000005</v>
      </c>
      <c r="P25" s="1868">
        <v>0.72633999999999999</v>
      </c>
      <c r="Q25" s="1868">
        <v>0.67823</v>
      </c>
      <c r="R25" s="1868">
        <v>0.69040000000000001</v>
      </c>
      <c r="S25" s="1868">
        <v>0.69799</v>
      </c>
      <c r="T25" s="1868">
        <v>0.71928999999999998</v>
      </c>
      <c r="U25" s="1868">
        <v>0.77012000000000003</v>
      </c>
      <c r="V25" s="1868">
        <v>0.80838999999999994</v>
      </c>
      <c r="W25" s="1868">
        <v>0.92981000000000003</v>
      </c>
      <c r="X25" s="1868">
        <v>0.93903999999999999</v>
      </c>
      <c r="Y25" s="1868">
        <v>0.80986000000000002</v>
      </c>
      <c r="Z25" s="1868">
        <v>0.94277000000000011</v>
      </c>
      <c r="AA25" s="1868">
        <v>0.80484999999999995</v>
      </c>
      <c r="AB25" s="1868">
        <v>0.69042000000000003</v>
      </c>
      <c r="AC25" s="1868">
        <v>0.75075000000000003</v>
      </c>
      <c r="AD25" s="1868">
        <v>0.79023999999999994</v>
      </c>
      <c r="AE25" s="1868">
        <v>0.79646000000000006</v>
      </c>
      <c r="AF25" s="1868">
        <v>0.82064999999999999</v>
      </c>
      <c r="AG25" s="1868">
        <v>0.83952000000000004</v>
      </c>
      <c r="AH25" s="1868">
        <v>1.34491</v>
      </c>
      <c r="AI25" s="1868">
        <v>0.85440000000000005</v>
      </c>
      <c r="AJ25" s="1868">
        <v>0.92364000000000002</v>
      </c>
      <c r="AK25" s="1868">
        <v>0.87314999999999998</v>
      </c>
      <c r="AL25" s="1868">
        <v>0.71978999999999993</v>
      </c>
      <c r="AM25" s="1868">
        <v>0.83101000000000003</v>
      </c>
      <c r="AN25" s="1868">
        <v>0.90116000000000007</v>
      </c>
      <c r="AO25" s="1868">
        <v>0.73528000000000004</v>
      </c>
      <c r="AP25" s="1868">
        <v>0.78000999999999998</v>
      </c>
      <c r="AQ25" s="1868">
        <v>0.79154999999999998</v>
      </c>
      <c r="AR25" s="1868">
        <v>0.82056000000000007</v>
      </c>
      <c r="AS25" s="1868">
        <v>0.86865999999999999</v>
      </c>
      <c r="AT25" s="1868">
        <v>0.72638000000000003</v>
      </c>
      <c r="AU25" s="1868">
        <v>0.73514999999999997</v>
      </c>
      <c r="AV25" s="1868">
        <v>0.96081000000000005</v>
      </c>
      <c r="AW25" s="1868">
        <v>1.0072399999999999</v>
      </c>
      <c r="AX25" s="1868">
        <v>1.0383200000000001</v>
      </c>
      <c r="AY25" s="1868">
        <v>0.88754</v>
      </c>
      <c r="AZ25" s="1868">
        <v>1.2566899999999999</v>
      </c>
      <c r="BA25" s="1868">
        <v>1.1597200000000001</v>
      </c>
    </row>
    <row r="26" spans="1:53">
      <c r="A26" s="1865" t="str">
        <f t="shared" si="0"/>
        <v>AfricaChestnuts</v>
      </c>
      <c r="B26" s="1866" t="s">
        <v>302</v>
      </c>
      <c r="C26" s="1866" t="s">
        <v>1371</v>
      </c>
      <c r="AB26" s="1868">
        <v>1</v>
      </c>
      <c r="AC26" s="1868">
        <v>1</v>
      </c>
      <c r="AD26" s="1868">
        <v>1</v>
      </c>
      <c r="AE26" s="1868">
        <v>1</v>
      </c>
      <c r="AF26" s="1868">
        <v>1</v>
      </c>
      <c r="AG26" s="1868">
        <v>1.5</v>
      </c>
      <c r="AH26" s="1868">
        <v>1.59</v>
      </c>
      <c r="AI26" s="1868">
        <v>1.68</v>
      </c>
      <c r="AJ26" s="1868">
        <v>1.6</v>
      </c>
      <c r="AK26" s="1868">
        <v>1.78</v>
      </c>
      <c r="AL26" s="1868">
        <v>2.29</v>
      </c>
      <c r="AM26" s="1868">
        <v>2.93</v>
      </c>
      <c r="AN26" s="1868">
        <v>2.97</v>
      </c>
      <c r="AO26" s="1868">
        <v>2.83</v>
      </c>
      <c r="AP26" s="1868">
        <v>1.44</v>
      </c>
      <c r="AQ26" s="1868">
        <v>1.47</v>
      </c>
      <c r="AR26" s="1868">
        <v>1.5</v>
      </c>
      <c r="AS26" s="1868">
        <v>1.49</v>
      </c>
      <c r="AT26" s="1868">
        <v>1.5</v>
      </c>
      <c r="AU26" s="1868">
        <v>1.55</v>
      </c>
      <c r="AV26" s="1868">
        <v>1.64</v>
      </c>
      <c r="AW26" s="1868">
        <v>1.66</v>
      </c>
      <c r="AX26" s="1868">
        <v>1.77</v>
      </c>
      <c r="AY26" s="1868">
        <v>1.85</v>
      </c>
      <c r="AZ26" s="1868">
        <v>1.68</v>
      </c>
      <c r="BA26" s="1868">
        <v>1.4166700000000001</v>
      </c>
    </row>
    <row r="27" spans="1:53">
      <c r="A27" s="1865" t="str">
        <f t="shared" si="0"/>
        <v>AfricaCitrus fruit, nes</v>
      </c>
      <c r="B27" s="1866" t="s">
        <v>302</v>
      </c>
      <c r="C27" s="1866" t="s">
        <v>1372</v>
      </c>
      <c r="D27" s="1868">
        <v>3.5629599999999999</v>
      </c>
      <c r="E27" s="1868">
        <v>3.5743900000000002</v>
      </c>
      <c r="F27" s="1868">
        <v>3.5809000000000002</v>
      </c>
      <c r="G27" s="1868">
        <v>3.5793499999999998</v>
      </c>
      <c r="H27" s="1868">
        <v>3.6102300000000005</v>
      </c>
      <c r="I27" s="1868">
        <v>3.6234300000000004</v>
      </c>
      <c r="J27" s="1868">
        <v>3.60975</v>
      </c>
      <c r="K27" s="1868">
        <v>3.58074</v>
      </c>
      <c r="L27" s="1868">
        <v>3.5346000000000002</v>
      </c>
      <c r="M27" s="1868">
        <v>3.38876</v>
      </c>
      <c r="N27" s="1868">
        <v>3.4977800000000001</v>
      </c>
      <c r="O27" s="1868">
        <v>3.5689199999999999</v>
      </c>
      <c r="P27" s="1868">
        <v>3.5939400000000004</v>
      </c>
      <c r="Q27" s="1868">
        <v>3.6274800000000003</v>
      </c>
      <c r="R27" s="1868">
        <v>3.6350599999999997</v>
      </c>
      <c r="S27" s="1868">
        <v>3.6411300000000004</v>
      </c>
      <c r="T27" s="1868">
        <v>3.6421900000000003</v>
      </c>
      <c r="U27" s="1868">
        <v>3.62235</v>
      </c>
      <c r="V27" s="1868">
        <v>3.5203199999999999</v>
      </c>
      <c r="W27" s="1868">
        <v>3.5468500000000001</v>
      </c>
      <c r="X27" s="1868">
        <v>3.5538300000000005</v>
      </c>
      <c r="Y27" s="1868">
        <v>3.5705499999999999</v>
      </c>
      <c r="Z27" s="1868">
        <v>3.7839099999999997</v>
      </c>
      <c r="AA27" s="1868">
        <v>3.78809</v>
      </c>
      <c r="AB27" s="1868">
        <v>3.6920999999999999</v>
      </c>
      <c r="AC27" s="1868">
        <v>3.7076199999999999</v>
      </c>
      <c r="AD27" s="1868">
        <v>3.7140699999999995</v>
      </c>
      <c r="AE27" s="1868">
        <v>3.71576</v>
      </c>
      <c r="AF27" s="1868">
        <v>3.7887199999999996</v>
      </c>
      <c r="AG27" s="1868">
        <v>3.8322800000000004</v>
      </c>
      <c r="AH27" s="1868">
        <v>4.1715099999999996</v>
      </c>
      <c r="AI27" s="1868">
        <v>4.47424</v>
      </c>
      <c r="AJ27" s="1868">
        <v>4.6199699999999995</v>
      </c>
      <c r="AK27" s="1868">
        <v>4.42638</v>
      </c>
      <c r="AL27" s="1868">
        <v>4.4779800000000005</v>
      </c>
      <c r="AM27" s="1868">
        <v>4.5902199999999995</v>
      </c>
      <c r="AN27" s="1868">
        <v>4.6498300000000006</v>
      </c>
      <c r="AO27" s="1868">
        <v>4.6959099999999996</v>
      </c>
      <c r="AP27" s="1868">
        <v>4.6618199999999996</v>
      </c>
      <c r="AQ27" s="1868">
        <v>4.68607</v>
      </c>
      <c r="AR27" s="1868">
        <v>4.5262799999999999</v>
      </c>
      <c r="AS27" s="1868">
        <v>4.5556900000000002</v>
      </c>
      <c r="AT27" s="1868">
        <v>4.7189199999999998</v>
      </c>
      <c r="AU27" s="1868">
        <v>4.9580299999999999</v>
      </c>
      <c r="AV27" s="1868">
        <v>5.8779599999999999</v>
      </c>
      <c r="AW27" s="1868">
        <v>4.6636100000000003</v>
      </c>
      <c r="AX27" s="1868">
        <v>4.7795800000000002</v>
      </c>
      <c r="AY27" s="1868">
        <v>5.0060599999999997</v>
      </c>
      <c r="AZ27" s="1868">
        <v>5.2697500000000002</v>
      </c>
      <c r="BA27" s="1868">
        <v>4.96732</v>
      </c>
    </row>
    <row r="28" spans="1:53">
      <c r="A28" s="1865" t="str">
        <f t="shared" si="0"/>
        <v>AfricaCoffee, green</v>
      </c>
      <c r="B28" s="1866" t="s">
        <v>302</v>
      </c>
      <c r="C28" s="1866" t="s">
        <v>1373</v>
      </c>
      <c r="D28" s="1868">
        <v>0.40313000000000004</v>
      </c>
      <c r="E28" s="1868">
        <v>0.33955000000000002</v>
      </c>
      <c r="F28" s="1868">
        <v>0.36633000000000004</v>
      </c>
      <c r="G28" s="1868">
        <v>0.41556999999999999</v>
      </c>
      <c r="H28" s="1868">
        <v>0.37270999999999999</v>
      </c>
      <c r="I28" s="1868">
        <v>0.39876</v>
      </c>
      <c r="J28" s="1868">
        <v>0.35255999999999998</v>
      </c>
      <c r="K28" s="1868">
        <v>0.39621000000000001</v>
      </c>
      <c r="L28" s="1868">
        <v>0.41242000000000001</v>
      </c>
      <c r="M28" s="1868">
        <v>0.42373</v>
      </c>
      <c r="N28" s="1868">
        <v>0.40238000000000002</v>
      </c>
      <c r="O28" s="1868">
        <v>0.41493000000000002</v>
      </c>
      <c r="P28" s="1868">
        <v>0.42563999999999996</v>
      </c>
      <c r="Q28" s="1868">
        <v>0.38797999999999999</v>
      </c>
      <c r="R28" s="1868">
        <v>0.41691000000000006</v>
      </c>
      <c r="S28" s="1868">
        <v>0.38245000000000001</v>
      </c>
      <c r="T28" s="1868">
        <v>0.39404</v>
      </c>
      <c r="U28" s="1868">
        <v>0.33839000000000002</v>
      </c>
      <c r="V28" s="1868">
        <v>0.34893000000000002</v>
      </c>
      <c r="W28" s="1868">
        <v>0.36164000000000002</v>
      </c>
      <c r="X28" s="1868">
        <v>0.39561000000000002</v>
      </c>
      <c r="Y28" s="1868">
        <v>0.36160999999999999</v>
      </c>
      <c r="Z28" s="1868">
        <v>0.34371000000000002</v>
      </c>
      <c r="AA28" s="1868">
        <v>0.32880999999999999</v>
      </c>
      <c r="AB28" s="1868">
        <v>0.37423000000000001</v>
      </c>
      <c r="AC28" s="1868">
        <v>0.3982</v>
      </c>
      <c r="AD28" s="1868">
        <v>0.39124000000000003</v>
      </c>
      <c r="AE28" s="1868">
        <v>0.37709000000000004</v>
      </c>
      <c r="AF28" s="1868">
        <v>0.39749000000000001</v>
      </c>
      <c r="AG28" s="1868">
        <v>0.37619000000000002</v>
      </c>
      <c r="AH28" s="1868">
        <v>0.39460000000000001</v>
      </c>
      <c r="AI28" s="1868">
        <v>0.40818000000000004</v>
      </c>
      <c r="AJ28" s="1868">
        <v>0.36626999999999998</v>
      </c>
      <c r="AK28" s="1868">
        <v>0.42373</v>
      </c>
      <c r="AL28" s="1868">
        <v>0.41018999999999994</v>
      </c>
      <c r="AM28" s="1868">
        <v>0.46984999999999999</v>
      </c>
      <c r="AN28" s="1868">
        <v>0.44416000000000005</v>
      </c>
      <c r="AO28" s="1868">
        <v>0.45983999999999997</v>
      </c>
      <c r="AP28" s="1868">
        <v>0.48983000000000004</v>
      </c>
      <c r="AQ28" s="1868">
        <v>0.47963</v>
      </c>
      <c r="AR28" s="1868">
        <v>0.50751000000000002</v>
      </c>
      <c r="AS28" s="1868">
        <v>0.53296999999999994</v>
      </c>
      <c r="AT28" s="1868">
        <v>0.47753000000000001</v>
      </c>
      <c r="AU28" s="1868">
        <v>0.37364999999999998</v>
      </c>
      <c r="AV28" s="1868">
        <v>0.35549999999999998</v>
      </c>
      <c r="AW28" s="1868">
        <v>0.38729000000000002</v>
      </c>
      <c r="AX28" s="1868">
        <v>0.45231000000000005</v>
      </c>
      <c r="AY28" s="1868">
        <v>0.37690000000000001</v>
      </c>
      <c r="AZ28" s="1868">
        <v>0.43621000000000004</v>
      </c>
      <c r="BA28" s="1868">
        <v>0.43103999999999998</v>
      </c>
    </row>
    <row r="29" spans="1:53">
      <c r="A29" s="1865" t="str">
        <f t="shared" si="0"/>
        <v>AfricaCow peas, dry</v>
      </c>
      <c r="B29" s="1866" t="s">
        <v>302</v>
      </c>
      <c r="C29" s="1866" t="s">
        <v>1355</v>
      </c>
      <c r="D29" s="1868">
        <v>0.32900000000000001</v>
      </c>
      <c r="E29" s="1868">
        <v>0.33088000000000001</v>
      </c>
      <c r="F29" s="1868">
        <v>0.25480999999999998</v>
      </c>
      <c r="G29" s="1868">
        <v>0.26655000000000001</v>
      </c>
      <c r="H29" s="1868">
        <v>0.25727</v>
      </c>
      <c r="I29" s="1868">
        <v>0.21151</v>
      </c>
      <c r="J29" s="1868">
        <v>0.17982000000000001</v>
      </c>
      <c r="K29" s="1868">
        <v>0.21725999999999998</v>
      </c>
      <c r="L29" s="1868">
        <v>0.23398000000000002</v>
      </c>
      <c r="M29" s="1868">
        <v>0.23300999999999999</v>
      </c>
      <c r="N29" s="1868">
        <v>0.21588000000000002</v>
      </c>
      <c r="O29" s="1868">
        <v>0.21115999999999999</v>
      </c>
      <c r="P29" s="1868">
        <v>0.19217000000000001</v>
      </c>
      <c r="Q29" s="1868">
        <v>0.34468000000000004</v>
      </c>
      <c r="R29" s="1868">
        <v>0.30759000000000003</v>
      </c>
      <c r="S29" s="1868">
        <v>0.28511999999999998</v>
      </c>
      <c r="T29" s="1868">
        <v>0.30363000000000001</v>
      </c>
      <c r="U29" s="1868">
        <v>0.34739999999999999</v>
      </c>
      <c r="V29" s="1868">
        <v>0.39794000000000002</v>
      </c>
      <c r="W29" s="1868">
        <v>0.32684000000000002</v>
      </c>
      <c r="X29" s="1868">
        <v>0.36759000000000003</v>
      </c>
      <c r="Y29" s="1868">
        <v>0.32418000000000002</v>
      </c>
      <c r="Z29" s="1868">
        <v>0.32811000000000001</v>
      </c>
      <c r="AA29" s="1868">
        <v>0.28920000000000001</v>
      </c>
      <c r="AB29" s="1868">
        <v>0.28897</v>
      </c>
      <c r="AC29" s="1868">
        <v>0.34315999999999997</v>
      </c>
      <c r="AD29" s="1868">
        <v>0.30431999999999998</v>
      </c>
      <c r="AE29" s="1868">
        <v>0.35996999999999996</v>
      </c>
      <c r="AF29" s="1868">
        <v>0.40453</v>
      </c>
      <c r="AG29" s="1868">
        <v>0.36285000000000001</v>
      </c>
      <c r="AH29" s="1868">
        <v>0.39340999999999998</v>
      </c>
      <c r="AI29" s="1868">
        <v>0.29430000000000001</v>
      </c>
      <c r="AJ29" s="1868">
        <v>0.29161999999999999</v>
      </c>
      <c r="AK29" s="1868">
        <v>0.36735999999999996</v>
      </c>
      <c r="AL29" s="1868">
        <v>0.30086999999999997</v>
      </c>
      <c r="AM29" s="1868">
        <v>0.32218000000000002</v>
      </c>
      <c r="AN29" s="1868">
        <v>0.31361999999999995</v>
      </c>
      <c r="AO29" s="1868">
        <v>0.34843000000000002</v>
      </c>
      <c r="AP29" s="1868">
        <v>0.37881999999999999</v>
      </c>
      <c r="AQ29" s="1868">
        <v>0.41288999999999998</v>
      </c>
      <c r="AR29" s="1868">
        <v>0.39705999999999997</v>
      </c>
      <c r="AS29" s="1868">
        <v>0.39918000000000003</v>
      </c>
      <c r="AT29" s="1868">
        <v>0.40146999999999999</v>
      </c>
      <c r="AU29" s="1868">
        <v>0.44653000000000004</v>
      </c>
      <c r="AV29" s="1868">
        <v>0.45450000000000002</v>
      </c>
      <c r="AW29" s="1868">
        <v>0.44886999999999999</v>
      </c>
      <c r="AX29" s="1868">
        <v>0.42423</v>
      </c>
      <c r="AY29" s="1868">
        <v>0.47473000000000004</v>
      </c>
      <c r="AZ29" s="1868">
        <v>0.48166000000000003</v>
      </c>
      <c r="BA29" s="1868">
        <v>0.50624999999999998</v>
      </c>
    </row>
    <row r="30" spans="1:53">
      <c r="A30" s="1865" t="str">
        <f t="shared" si="0"/>
        <v>AfricaDates</v>
      </c>
      <c r="B30" s="1866" t="s">
        <v>302</v>
      </c>
      <c r="C30" s="1866" t="s">
        <v>1374</v>
      </c>
      <c r="D30" s="1868">
        <v>8.1090900000000001</v>
      </c>
      <c r="E30" s="1868">
        <v>7.1777300000000004</v>
      </c>
      <c r="F30" s="1868">
        <v>6.9987500000000002</v>
      </c>
      <c r="G30" s="1868">
        <v>5.9642099999999996</v>
      </c>
      <c r="H30" s="1868">
        <v>6.7834399999999997</v>
      </c>
      <c r="I30" s="1868">
        <v>6.2491699999999994</v>
      </c>
      <c r="J30" s="1868">
        <v>5.8294899999999998</v>
      </c>
      <c r="K30" s="1868">
        <v>5.7503400000000005</v>
      </c>
      <c r="L30" s="1868">
        <v>7.1544300000000005</v>
      </c>
      <c r="M30" s="1868">
        <v>6.9463999999999997</v>
      </c>
      <c r="N30" s="1868">
        <v>6.2516600000000002</v>
      </c>
      <c r="O30" s="1868">
        <v>6.65747</v>
      </c>
      <c r="P30" s="1868">
        <v>6.5811199999999994</v>
      </c>
      <c r="Q30" s="1868">
        <v>6.8483000000000001</v>
      </c>
      <c r="R30" s="1868">
        <v>7.0337800000000001</v>
      </c>
      <c r="S30" s="1868">
        <v>7.0408899999999992</v>
      </c>
      <c r="T30" s="1868">
        <v>7.7873199999999994</v>
      </c>
      <c r="U30" s="1868">
        <v>6.7561100000000005</v>
      </c>
      <c r="V30" s="1868">
        <v>6.8171999999999997</v>
      </c>
      <c r="W30" s="1868">
        <v>7.2566100000000002</v>
      </c>
      <c r="X30" s="1868">
        <v>6.5137199999999993</v>
      </c>
      <c r="Y30" s="1868">
        <v>6.6383199999999993</v>
      </c>
      <c r="Z30" s="1868">
        <v>6.8978600000000005</v>
      </c>
      <c r="AA30" s="1868">
        <v>6.6732399999999998</v>
      </c>
      <c r="AB30" s="1868">
        <v>5.75786</v>
      </c>
      <c r="AC30" s="1868">
        <v>5.7660999999999998</v>
      </c>
      <c r="AD30" s="1868">
        <v>6.0635000000000003</v>
      </c>
      <c r="AE30" s="1868">
        <v>5.7904499999999999</v>
      </c>
      <c r="AF30" s="1868">
        <v>6.3504300000000002</v>
      </c>
      <c r="AG30" s="1868">
        <v>6.1424699999999994</v>
      </c>
      <c r="AH30" s="1868">
        <v>6.1717900000000006</v>
      </c>
      <c r="AI30" s="1868">
        <v>6.21007</v>
      </c>
      <c r="AJ30" s="1868">
        <v>6.4972000000000003</v>
      </c>
      <c r="AK30" s="1868">
        <v>6.3109599999999997</v>
      </c>
      <c r="AL30" s="1868">
        <v>5.9807499999999996</v>
      </c>
      <c r="AM30" s="1868">
        <v>6.1290100000000001</v>
      </c>
      <c r="AN30" s="1868">
        <v>6.2126800000000006</v>
      </c>
      <c r="AO30" s="1868">
        <v>6.8506800000000005</v>
      </c>
      <c r="AP30" s="1868">
        <v>7.0813100000000002</v>
      </c>
      <c r="AQ30" s="1868">
        <v>7.6859299999999999</v>
      </c>
      <c r="AR30" s="1868">
        <v>7.2249999999999996</v>
      </c>
      <c r="AS30" s="1868">
        <v>7.3083200000000001</v>
      </c>
      <c r="AT30" s="1868">
        <v>7.4644399999999997</v>
      </c>
      <c r="AU30" s="1868">
        <v>7.1864899999999992</v>
      </c>
      <c r="AV30" s="1868">
        <v>7.0186299999999999</v>
      </c>
      <c r="AW30" s="1868">
        <v>7.1730499999999999</v>
      </c>
      <c r="AX30" s="1868">
        <v>7.1929499999999997</v>
      </c>
      <c r="AY30" s="1868">
        <v>7.3070600000000008</v>
      </c>
      <c r="AZ30" s="1868">
        <v>7.3715399999999995</v>
      </c>
      <c r="BA30" s="1868">
        <v>7.664439999999999</v>
      </c>
    </row>
    <row r="31" spans="1:53">
      <c r="A31" s="1865" t="str">
        <f t="shared" si="0"/>
        <v>AfricaEggplants (aubergines)</v>
      </c>
      <c r="B31" s="1866" t="s">
        <v>302</v>
      </c>
      <c r="C31" s="1866" t="s">
        <v>1375</v>
      </c>
      <c r="D31" s="1868">
        <v>16.93721</v>
      </c>
      <c r="E31" s="1868">
        <v>17.632820000000002</v>
      </c>
      <c r="F31" s="1868">
        <v>18.14564</v>
      </c>
      <c r="G31" s="1868">
        <v>18.67794</v>
      </c>
      <c r="H31" s="1868">
        <v>18.997399999999999</v>
      </c>
      <c r="I31" s="1868">
        <v>19.802789999999998</v>
      </c>
      <c r="J31" s="1868">
        <v>19.048920000000003</v>
      </c>
      <c r="K31" s="1868">
        <v>18.541729999999998</v>
      </c>
      <c r="L31" s="1868">
        <v>18.504379999999998</v>
      </c>
      <c r="M31" s="1868">
        <v>16.91497</v>
      </c>
      <c r="N31" s="1868">
        <v>16.95307</v>
      </c>
      <c r="O31" s="1868">
        <v>12.603429999999999</v>
      </c>
      <c r="P31" s="1868">
        <v>13.452260000000001</v>
      </c>
      <c r="Q31" s="1868">
        <v>13.556620000000001</v>
      </c>
      <c r="R31" s="1868">
        <v>14.910550000000001</v>
      </c>
      <c r="S31" s="1868">
        <v>14.47621</v>
      </c>
      <c r="T31" s="1868">
        <v>15.187429999999999</v>
      </c>
      <c r="U31" s="1868">
        <v>15.874979999999999</v>
      </c>
      <c r="V31" s="1868">
        <v>16.365960000000001</v>
      </c>
      <c r="W31" s="1868">
        <v>13.918049999999999</v>
      </c>
      <c r="X31" s="1868">
        <v>14.701320000000001</v>
      </c>
      <c r="Y31" s="1868">
        <v>14.775029999999999</v>
      </c>
      <c r="Z31" s="1868">
        <v>15.25196</v>
      </c>
      <c r="AA31" s="1868">
        <v>14.92309</v>
      </c>
      <c r="AB31" s="1868">
        <v>16.551579999999998</v>
      </c>
      <c r="AC31" s="1868">
        <v>19.082129999999999</v>
      </c>
      <c r="AD31" s="1868">
        <v>19.921399999999998</v>
      </c>
      <c r="AE31" s="1868">
        <v>18.967649999999999</v>
      </c>
      <c r="AF31" s="1868">
        <v>18.946189999999998</v>
      </c>
      <c r="AG31" s="1868">
        <v>19.118220000000001</v>
      </c>
      <c r="AH31" s="1868">
        <v>19.240460000000002</v>
      </c>
      <c r="AI31" s="1868">
        <v>18.395429999999998</v>
      </c>
      <c r="AJ31" s="1868">
        <v>17.999610000000001</v>
      </c>
      <c r="AK31" s="1868">
        <v>17.69061</v>
      </c>
      <c r="AL31" s="1868">
        <v>17.51699</v>
      </c>
      <c r="AM31" s="1868">
        <v>18.933520000000001</v>
      </c>
      <c r="AN31" s="1868">
        <v>18.476659999999999</v>
      </c>
      <c r="AO31" s="1868">
        <v>17.874089999999999</v>
      </c>
      <c r="AP31" s="1868">
        <v>16.680529999999997</v>
      </c>
      <c r="AQ31" s="1868">
        <v>18.545500000000001</v>
      </c>
      <c r="AR31" s="1868">
        <v>19.54325</v>
      </c>
      <c r="AS31" s="1868">
        <v>18.51839</v>
      </c>
      <c r="AT31" s="1868">
        <v>19.537029999999998</v>
      </c>
      <c r="AU31" s="1868">
        <v>18.930099999999999</v>
      </c>
      <c r="AV31" s="1868">
        <v>17.11834</v>
      </c>
      <c r="AW31" s="1868">
        <v>18.924029999999998</v>
      </c>
      <c r="AX31" s="1868">
        <v>18.898670000000003</v>
      </c>
      <c r="AY31" s="1868">
        <v>18.371099999999998</v>
      </c>
      <c r="AZ31" s="1868">
        <v>21.579799999999999</v>
      </c>
      <c r="BA31" s="1868">
        <v>28.315379999999998</v>
      </c>
    </row>
    <row r="32" spans="1:53">
      <c r="A32" s="1865" t="str">
        <f t="shared" si="0"/>
        <v>AfricaFibre Crops Nes</v>
      </c>
      <c r="B32" s="1866" t="s">
        <v>302</v>
      </c>
      <c r="C32" s="1866" t="s">
        <v>1376</v>
      </c>
      <c r="D32" s="1868">
        <v>0.21591999999999997</v>
      </c>
      <c r="E32" s="1868">
        <v>0.20556999999999997</v>
      </c>
      <c r="F32" s="1868">
        <v>0.21511999999999998</v>
      </c>
      <c r="G32" s="1868">
        <v>0.222</v>
      </c>
      <c r="H32" s="1868">
        <v>0.20788000000000001</v>
      </c>
      <c r="I32" s="1868">
        <v>0.18997999999999998</v>
      </c>
      <c r="J32" s="1868">
        <v>0.19429000000000002</v>
      </c>
      <c r="K32" s="1868">
        <v>0.20524999999999999</v>
      </c>
      <c r="L32" s="1868">
        <v>0.1827</v>
      </c>
      <c r="M32" s="1868">
        <v>0.18464</v>
      </c>
      <c r="N32" s="1868">
        <v>0.18769</v>
      </c>
      <c r="O32" s="1868">
        <v>0.18274000000000001</v>
      </c>
      <c r="P32" s="1868">
        <v>0.18039000000000002</v>
      </c>
      <c r="Q32" s="1868">
        <v>0.18029000000000001</v>
      </c>
      <c r="R32" s="1868">
        <v>0.18270999999999998</v>
      </c>
      <c r="S32" s="1868">
        <v>0.16412000000000002</v>
      </c>
      <c r="T32" s="1868">
        <v>0.17027999999999999</v>
      </c>
      <c r="U32" s="1868">
        <v>0.16569</v>
      </c>
      <c r="V32" s="1868">
        <v>0.16633000000000001</v>
      </c>
      <c r="W32" s="1868">
        <v>0.16902</v>
      </c>
      <c r="X32" s="1868">
        <v>0.16964000000000001</v>
      </c>
      <c r="Y32" s="1868">
        <v>0.17257</v>
      </c>
      <c r="Z32" s="1868">
        <v>0.17324999999999999</v>
      </c>
      <c r="AA32" s="1868">
        <v>0.17597000000000002</v>
      </c>
      <c r="AB32" s="1868">
        <v>0.17726</v>
      </c>
      <c r="AC32" s="1868">
        <v>0.18010999999999999</v>
      </c>
      <c r="AD32" s="1868">
        <v>0.18278</v>
      </c>
      <c r="AE32" s="1868">
        <v>0.18294000000000002</v>
      </c>
      <c r="AF32" s="1868">
        <v>0.18421999999999999</v>
      </c>
      <c r="AG32" s="1868">
        <v>0.18346999999999999</v>
      </c>
      <c r="AH32" s="1868">
        <v>0.17605999999999999</v>
      </c>
      <c r="AI32" s="1868">
        <v>0.16217999999999999</v>
      </c>
      <c r="AJ32" s="1868">
        <v>0.15215999999999999</v>
      </c>
      <c r="AK32" s="1868">
        <v>0.18519000000000002</v>
      </c>
      <c r="AL32" s="1868">
        <v>0.18307000000000001</v>
      </c>
      <c r="AM32" s="1868">
        <v>0.18537000000000001</v>
      </c>
      <c r="AN32" s="1868">
        <v>0.19012999999999999</v>
      </c>
      <c r="AO32" s="1868">
        <v>0.20613000000000001</v>
      </c>
      <c r="AP32" s="1868">
        <v>0.17441999999999999</v>
      </c>
      <c r="AQ32" s="1868">
        <v>0.18839</v>
      </c>
      <c r="AR32" s="1868">
        <v>0.18274000000000001</v>
      </c>
      <c r="AS32" s="1868">
        <v>0.17547000000000001</v>
      </c>
      <c r="AT32" s="1868">
        <v>0.16097999999999998</v>
      </c>
      <c r="AU32" s="1868">
        <v>0.19704000000000002</v>
      </c>
      <c r="AV32" s="1868">
        <v>0.18783</v>
      </c>
      <c r="AW32" s="1868">
        <v>0.16055</v>
      </c>
      <c r="AX32" s="1868">
        <v>0.12665000000000001</v>
      </c>
      <c r="AY32" s="1868">
        <v>0.14213000000000001</v>
      </c>
      <c r="AZ32" s="1868">
        <v>0.14445999999999998</v>
      </c>
      <c r="BA32" s="1868">
        <v>0.22069</v>
      </c>
    </row>
    <row r="33" spans="1:53">
      <c r="A33" s="1865" t="str">
        <f t="shared" si="0"/>
        <v>AfricaGrapefruit (inc. pomelos)</v>
      </c>
      <c r="B33" s="1866" t="s">
        <v>302</v>
      </c>
      <c r="C33" s="1866" t="s">
        <v>1377</v>
      </c>
      <c r="D33" s="1868">
        <v>14.3117</v>
      </c>
      <c r="E33" s="1868">
        <v>14.589220000000001</v>
      </c>
      <c r="F33" s="1868">
        <v>14.397129999999999</v>
      </c>
      <c r="G33" s="1868">
        <v>14.569739999999999</v>
      </c>
      <c r="H33" s="1868">
        <v>14.282720000000001</v>
      </c>
      <c r="I33" s="1868">
        <v>15.26925</v>
      </c>
      <c r="J33" s="1868">
        <v>15.629160000000001</v>
      </c>
      <c r="K33" s="1868">
        <v>15.346589999999999</v>
      </c>
      <c r="L33" s="1868">
        <v>15.573220000000001</v>
      </c>
      <c r="M33" s="1868">
        <v>15.483979999999999</v>
      </c>
      <c r="N33" s="1868">
        <v>15.62304</v>
      </c>
      <c r="O33" s="1868">
        <v>17.196760000000001</v>
      </c>
      <c r="P33" s="1868">
        <v>16.203020000000002</v>
      </c>
      <c r="Q33" s="1868">
        <v>15.987410000000001</v>
      </c>
      <c r="R33" s="1868">
        <v>14.744710000000001</v>
      </c>
      <c r="S33" s="1868">
        <v>15.039389999999999</v>
      </c>
      <c r="T33" s="1868">
        <v>14.988029999999998</v>
      </c>
      <c r="U33" s="1868">
        <v>16.421489999999999</v>
      </c>
      <c r="V33" s="1868">
        <v>16.458729999999999</v>
      </c>
      <c r="W33" s="1868">
        <v>16.2956</v>
      </c>
      <c r="X33" s="1868">
        <v>16.607129999999998</v>
      </c>
      <c r="Y33" s="1868">
        <v>14.558110000000001</v>
      </c>
      <c r="Z33" s="1868">
        <v>14.362639999999999</v>
      </c>
      <c r="AA33" s="1868">
        <v>14.44326</v>
      </c>
      <c r="AB33" s="1868">
        <v>12.46302</v>
      </c>
      <c r="AC33" s="1868">
        <v>13.592970000000001</v>
      </c>
      <c r="AD33" s="1868">
        <v>14.682170000000001</v>
      </c>
      <c r="AE33" s="1868">
        <v>14.386629999999998</v>
      </c>
      <c r="AF33" s="1868">
        <v>14.815529999999999</v>
      </c>
      <c r="AG33" s="1868">
        <v>13.11323</v>
      </c>
      <c r="AH33" s="1868">
        <v>13.552179999999998</v>
      </c>
      <c r="AI33" s="1868">
        <v>13.19966</v>
      </c>
      <c r="AJ33" s="1868">
        <v>12.3246</v>
      </c>
      <c r="AK33" s="1868">
        <v>13.668570000000001</v>
      </c>
      <c r="AL33" s="1868">
        <v>13.413</v>
      </c>
      <c r="AM33" s="1868">
        <v>14.20486</v>
      </c>
      <c r="AN33" s="1868">
        <v>13.6494</v>
      </c>
      <c r="AO33" s="1868">
        <v>15.027460000000001</v>
      </c>
      <c r="AP33" s="1868">
        <v>15.756449999999999</v>
      </c>
      <c r="AQ33" s="1868">
        <v>17.348299999999998</v>
      </c>
      <c r="AR33" s="1868">
        <v>15.929349999999999</v>
      </c>
      <c r="AS33" s="1868">
        <v>15.66952</v>
      </c>
      <c r="AT33" s="1868">
        <v>16.345179999999999</v>
      </c>
      <c r="AU33" s="1868">
        <v>16.148310000000002</v>
      </c>
      <c r="AV33" s="1868">
        <v>16.956889999999998</v>
      </c>
      <c r="AW33" s="1868">
        <v>17.698450000000001</v>
      </c>
      <c r="AX33" s="1868">
        <v>16.6662</v>
      </c>
      <c r="AY33" s="1868">
        <v>16.71733</v>
      </c>
      <c r="AZ33" s="1868">
        <v>17.866399999999999</v>
      </c>
      <c r="BA33" s="1868">
        <v>16.158079999999998</v>
      </c>
    </row>
    <row r="34" spans="1:53">
      <c r="A34" s="1865" t="str">
        <f t="shared" si="0"/>
        <v>AfricaGrapes</v>
      </c>
      <c r="B34" s="1866" t="s">
        <v>302</v>
      </c>
      <c r="C34" s="1866" t="s">
        <v>1378</v>
      </c>
      <c r="D34" s="1868">
        <v>5.5987900000000002</v>
      </c>
      <c r="E34" s="1868">
        <v>5.3310900000000006</v>
      </c>
      <c r="F34" s="1868">
        <v>5.5838099999999997</v>
      </c>
      <c r="G34" s="1868">
        <v>4.9690099999999999</v>
      </c>
      <c r="H34" s="1868">
        <v>6.2989800000000002</v>
      </c>
      <c r="I34" s="1868">
        <v>4.2172199999999993</v>
      </c>
      <c r="J34" s="1868">
        <v>4.1016000000000004</v>
      </c>
      <c r="K34" s="1868">
        <v>5.5503200000000001</v>
      </c>
      <c r="L34" s="1868">
        <v>4.8461999999999996</v>
      </c>
      <c r="M34" s="1868">
        <v>4.6119699999999995</v>
      </c>
      <c r="N34" s="1868">
        <v>5.3540599999999996</v>
      </c>
      <c r="O34" s="1868">
        <v>4.5895599999999996</v>
      </c>
      <c r="P34" s="1868">
        <v>4.9067099999999995</v>
      </c>
      <c r="Q34" s="1868">
        <v>5.0084099999999996</v>
      </c>
      <c r="R34" s="1868">
        <v>4.8904899999999998</v>
      </c>
      <c r="S34" s="1868">
        <v>4.7367400000000002</v>
      </c>
      <c r="T34" s="1868">
        <v>3.9646199999999996</v>
      </c>
      <c r="U34" s="1868">
        <v>4.0318899999999998</v>
      </c>
      <c r="V34" s="1868">
        <v>4.7435800000000006</v>
      </c>
      <c r="W34" s="1868">
        <v>5.0869800000000005</v>
      </c>
      <c r="X34" s="1868">
        <v>5.2809699999999999</v>
      </c>
      <c r="Y34" s="1868">
        <v>5.0203899999999999</v>
      </c>
      <c r="Z34" s="1868">
        <v>5.66465</v>
      </c>
      <c r="AA34" s="1868">
        <v>6.0900099999999995</v>
      </c>
      <c r="AB34" s="1868">
        <v>6.2852899999999998</v>
      </c>
      <c r="AC34" s="1868">
        <v>6.7423100000000007</v>
      </c>
      <c r="AD34" s="1868">
        <v>6.7685199999999996</v>
      </c>
      <c r="AE34" s="1868">
        <v>7.2466200000000001</v>
      </c>
      <c r="AF34" s="1868">
        <v>7.5612199999999996</v>
      </c>
      <c r="AG34" s="1868">
        <v>8.00901</v>
      </c>
      <c r="AH34" s="1868">
        <v>8.1408199999999997</v>
      </c>
      <c r="AI34" s="1868">
        <v>8.4987899999999996</v>
      </c>
      <c r="AJ34" s="1868">
        <v>8.1818100000000005</v>
      </c>
      <c r="AK34" s="1868">
        <v>8.3404399999999992</v>
      </c>
      <c r="AL34" s="1868">
        <v>8.7671299999999999</v>
      </c>
      <c r="AM34" s="1868">
        <v>9.7172199999999993</v>
      </c>
      <c r="AN34" s="1868">
        <v>9.8180199999999989</v>
      </c>
      <c r="AO34" s="1868">
        <v>9.5061400000000003</v>
      </c>
      <c r="AP34" s="1868">
        <v>10.8028</v>
      </c>
      <c r="AQ34" s="1868">
        <v>10.42066</v>
      </c>
      <c r="AR34" s="1868">
        <v>9.5491600000000005</v>
      </c>
      <c r="AS34" s="1868">
        <v>10.236880000000001</v>
      </c>
      <c r="AT34" s="1868">
        <v>11.40302</v>
      </c>
      <c r="AU34" s="1868">
        <v>11.845989999999999</v>
      </c>
      <c r="AV34" s="1868">
        <v>11.721730000000001</v>
      </c>
      <c r="AW34" s="1868">
        <v>11.70243</v>
      </c>
      <c r="AX34" s="1868">
        <v>11.33168</v>
      </c>
      <c r="AY34" s="1868">
        <v>12.095039999999999</v>
      </c>
      <c r="AZ34" s="1868">
        <v>12.15192</v>
      </c>
      <c r="BA34" s="1868">
        <v>11.976989999999999</v>
      </c>
    </row>
    <row r="35" spans="1:53">
      <c r="A35" s="1865" t="str">
        <f t="shared" si="0"/>
        <v>AfricaGroundnuts, with shell</v>
      </c>
      <c r="B35" s="1866" t="s">
        <v>302</v>
      </c>
      <c r="C35" s="1866" t="s">
        <v>1379</v>
      </c>
      <c r="D35" s="1868">
        <v>0.83104999999999996</v>
      </c>
      <c r="E35" s="1868">
        <v>0.89846000000000004</v>
      </c>
      <c r="F35" s="1868">
        <v>0.84765000000000001</v>
      </c>
      <c r="G35" s="1868">
        <v>0.80915000000000004</v>
      </c>
      <c r="H35" s="1868">
        <v>0.80642000000000003</v>
      </c>
      <c r="I35" s="1868">
        <v>0.76098999999999994</v>
      </c>
      <c r="J35" s="1868">
        <v>0.77664</v>
      </c>
      <c r="K35" s="1868">
        <v>0.75836999999999999</v>
      </c>
      <c r="L35" s="1868">
        <v>0.8286</v>
      </c>
      <c r="M35" s="1868">
        <v>0.73099999999999998</v>
      </c>
      <c r="N35" s="1868">
        <v>0.76849000000000001</v>
      </c>
      <c r="O35" s="1868">
        <v>0.70540999999999998</v>
      </c>
      <c r="P35" s="1868">
        <v>0.61696000000000006</v>
      </c>
      <c r="Q35" s="1868">
        <v>0.90837999999999997</v>
      </c>
      <c r="R35" s="1868">
        <v>0.71216000000000002</v>
      </c>
      <c r="S35" s="1868">
        <v>0.79764000000000002</v>
      </c>
      <c r="T35" s="1868">
        <v>0.73026000000000002</v>
      </c>
      <c r="U35" s="1868">
        <v>0.77638999999999991</v>
      </c>
      <c r="V35" s="1868">
        <v>0.71819</v>
      </c>
      <c r="W35" s="1868">
        <v>0.68363999999999991</v>
      </c>
      <c r="X35" s="1868">
        <v>0.72882000000000002</v>
      </c>
      <c r="Y35" s="1868">
        <v>0.71836999999999995</v>
      </c>
      <c r="Z35" s="1868">
        <v>0.60938999999999999</v>
      </c>
      <c r="AA35" s="1868">
        <v>0.61328000000000005</v>
      </c>
      <c r="AB35" s="1868">
        <v>0.76365000000000005</v>
      </c>
      <c r="AC35" s="1868">
        <v>0.80227999999999999</v>
      </c>
      <c r="AD35" s="1868">
        <v>0.78042</v>
      </c>
      <c r="AE35" s="1868">
        <v>0.85682000000000003</v>
      </c>
      <c r="AF35" s="1868">
        <v>0.8319700000000001</v>
      </c>
      <c r="AG35" s="1868">
        <v>0.81528</v>
      </c>
      <c r="AH35" s="1868">
        <v>0.82099</v>
      </c>
      <c r="AI35" s="1868">
        <v>0.74266999999999994</v>
      </c>
      <c r="AJ35" s="1868">
        <v>0.79971999999999999</v>
      </c>
      <c r="AK35" s="1868">
        <v>0.78649999999999998</v>
      </c>
      <c r="AL35" s="1868">
        <v>0.77485999999999999</v>
      </c>
      <c r="AM35" s="1868">
        <v>0.84106000000000003</v>
      </c>
      <c r="AN35" s="1868">
        <v>0.83909999999999996</v>
      </c>
      <c r="AO35" s="1868">
        <v>0.83316000000000001</v>
      </c>
      <c r="AP35" s="1868">
        <v>1.0025200000000001</v>
      </c>
      <c r="AQ35" s="1868">
        <v>0.95504</v>
      </c>
      <c r="AR35" s="1868">
        <v>0.97727999999999993</v>
      </c>
      <c r="AS35" s="1868">
        <v>0.95499999999999996</v>
      </c>
      <c r="AT35" s="1868">
        <v>0.9674299999999999</v>
      </c>
      <c r="AU35" s="1868">
        <v>0.96973999999999994</v>
      </c>
      <c r="AV35" s="1868">
        <v>0.99636000000000002</v>
      </c>
      <c r="AW35" s="1868">
        <v>1.0803700000000001</v>
      </c>
      <c r="AX35" s="1868">
        <v>0.90942000000000012</v>
      </c>
      <c r="AY35" s="1868">
        <v>0.93003999999999998</v>
      </c>
      <c r="AZ35" s="1868">
        <v>0.93162999999999996</v>
      </c>
      <c r="BA35" s="1868">
        <v>0.88849</v>
      </c>
    </row>
    <row r="36" spans="1:53">
      <c r="A36" s="1865" t="str">
        <f t="shared" si="0"/>
        <v>AfricaLeguminous vegetables, nes</v>
      </c>
      <c r="B36" s="1866" t="s">
        <v>302</v>
      </c>
      <c r="C36" s="1866" t="s">
        <v>1380</v>
      </c>
      <c r="D36" s="1868">
        <v>3.7309600000000001</v>
      </c>
      <c r="E36" s="1868">
        <v>3.63089</v>
      </c>
      <c r="F36" s="1868">
        <v>3.7257899999999999</v>
      </c>
      <c r="G36" s="1868">
        <v>3.9994099999999997</v>
      </c>
      <c r="H36" s="1868">
        <v>3.56324</v>
      </c>
      <c r="I36" s="1868">
        <v>3.5542400000000001</v>
      </c>
      <c r="J36" s="1868">
        <v>3.3697599999999999</v>
      </c>
      <c r="K36" s="1868">
        <v>3.51661</v>
      </c>
      <c r="L36" s="1868">
        <v>3.2824300000000002</v>
      </c>
      <c r="M36" s="1868">
        <v>3.18465</v>
      </c>
      <c r="N36" s="1868">
        <v>3.1822499999999998</v>
      </c>
      <c r="O36" s="1868">
        <v>2.8290299999999999</v>
      </c>
      <c r="P36" s="1868">
        <v>2.9141599999999999</v>
      </c>
      <c r="Q36" s="1868">
        <v>2.9716999999999998</v>
      </c>
      <c r="R36" s="1868">
        <v>3.14737</v>
      </c>
      <c r="S36" s="1868">
        <v>3.1817500000000001</v>
      </c>
      <c r="T36" s="1868">
        <v>3.24661</v>
      </c>
      <c r="U36" s="1868">
        <v>3.4481699999999997</v>
      </c>
      <c r="V36" s="1868">
        <v>3.4820500000000001</v>
      </c>
      <c r="W36" s="1868">
        <v>3.4981</v>
      </c>
      <c r="X36" s="1868">
        <v>3.5701199999999997</v>
      </c>
      <c r="Y36" s="1868">
        <v>3.78979</v>
      </c>
      <c r="Z36" s="1868">
        <v>3.9293099999999996</v>
      </c>
      <c r="AA36" s="1868">
        <v>3.82959</v>
      </c>
      <c r="AB36" s="1868">
        <v>4.6917</v>
      </c>
      <c r="AC36" s="1868">
        <v>4.641</v>
      </c>
      <c r="AD36" s="1868">
        <v>4.6453100000000003</v>
      </c>
      <c r="AE36" s="1868">
        <v>4.8635199999999994</v>
      </c>
      <c r="AF36" s="1868">
        <v>5.2226699999999999</v>
      </c>
      <c r="AG36" s="1868">
        <v>4.9704199999999998</v>
      </c>
      <c r="AH36" s="1868">
        <v>5.3059900000000004</v>
      </c>
      <c r="AI36" s="1868">
        <v>5.9863999999999997</v>
      </c>
      <c r="AJ36" s="1868">
        <v>4.7712399999999997</v>
      </c>
      <c r="AK36" s="1868">
        <v>5.1531099999999999</v>
      </c>
      <c r="AL36" s="1868">
        <v>6.11503</v>
      </c>
      <c r="AM36" s="1868">
        <v>6.0803699999999994</v>
      </c>
      <c r="AN36" s="1868">
        <v>5.73935</v>
      </c>
      <c r="AO36" s="1868">
        <v>5.9264700000000001</v>
      </c>
      <c r="AP36" s="1868">
        <v>6.9183100000000008</v>
      </c>
      <c r="AQ36" s="1868">
        <v>5.4112499999999999</v>
      </c>
      <c r="AR36" s="1868">
        <v>6.5911200000000001</v>
      </c>
      <c r="AS36" s="1868">
        <v>7.1320800000000002</v>
      </c>
      <c r="AT36" s="1868">
        <v>7.4693699999999996</v>
      </c>
      <c r="AU36" s="1868">
        <v>8.11252</v>
      </c>
      <c r="AV36" s="1868">
        <v>7.7726199999999999</v>
      </c>
      <c r="AW36" s="1868">
        <v>7.4814100000000003</v>
      </c>
      <c r="AX36" s="1868">
        <v>7.89933</v>
      </c>
      <c r="AY36" s="1868">
        <v>8.4317399999999996</v>
      </c>
      <c r="AZ36" s="1868">
        <v>9.50854</v>
      </c>
      <c r="BA36" s="1868">
        <v>11.3215</v>
      </c>
    </row>
    <row r="37" spans="1:53">
      <c r="A37" s="1865" t="str">
        <f t="shared" si="0"/>
        <v>AfricaLinseed</v>
      </c>
      <c r="B37" s="1866" t="s">
        <v>302</v>
      </c>
      <c r="C37" s="1866" t="s">
        <v>1381</v>
      </c>
      <c r="D37" s="1868">
        <v>0.52121000000000006</v>
      </c>
      <c r="E37" s="1868">
        <v>0.54852000000000001</v>
      </c>
      <c r="F37" s="1868">
        <v>0.5625</v>
      </c>
      <c r="G37" s="1868">
        <v>0.56476000000000004</v>
      </c>
      <c r="H37" s="1868">
        <v>0.54401999999999995</v>
      </c>
      <c r="I37" s="1868">
        <v>0.54366000000000003</v>
      </c>
      <c r="J37" s="1868">
        <v>0.53854000000000002</v>
      </c>
      <c r="K37" s="1868">
        <v>0.56758999999999993</v>
      </c>
      <c r="L37" s="1868">
        <v>0.58406000000000002</v>
      </c>
      <c r="M37" s="1868">
        <v>0.58835000000000004</v>
      </c>
      <c r="N37" s="1868">
        <v>0.57423000000000002</v>
      </c>
      <c r="O37" s="1868">
        <v>0.63534999999999997</v>
      </c>
      <c r="P37" s="1868">
        <v>0.47826000000000002</v>
      </c>
      <c r="Q37" s="1868">
        <v>0.59609000000000001</v>
      </c>
      <c r="R37" s="1868">
        <v>0.53634999999999999</v>
      </c>
      <c r="S37" s="1868">
        <v>0.62288999999999994</v>
      </c>
      <c r="T37" s="1868">
        <v>0.75868000000000002</v>
      </c>
      <c r="U37" s="1868">
        <v>0.80766000000000004</v>
      </c>
      <c r="V37" s="1868">
        <v>0.79752000000000001</v>
      </c>
      <c r="W37" s="1868">
        <v>0.74482999999999999</v>
      </c>
      <c r="X37" s="1868">
        <v>0.66625000000000001</v>
      </c>
      <c r="Y37" s="1868">
        <v>0.62570000000000003</v>
      </c>
      <c r="Z37" s="1868">
        <v>0.53648000000000007</v>
      </c>
      <c r="AA37" s="1868">
        <v>0.71077000000000001</v>
      </c>
      <c r="AB37" s="1868">
        <v>0.50195000000000001</v>
      </c>
      <c r="AC37" s="1868">
        <v>0.72258</v>
      </c>
      <c r="AD37" s="1868">
        <v>0.65643000000000007</v>
      </c>
      <c r="AE37" s="1868">
        <v>0.75741000000000003</v>
      </c>
      <c r="AF37" s="1868">
        <v>0.73103000000000007</v>
      </c>
      <c r="AG37" s="1868">
        <v>0.69616</v>
      </c>
      <c r="AH37" s="1868">
        <v>0.70035000000000003</v>
      </c>
      <c r="AI37" s="1868">
        <v>0.63502000000000003</v>
      </c>
      <c r="AJ37" s="1868">
        <v>0.65203999999999995</v>
      </c>
      <c r="AK37" s="1868">
        <v>0.66438999999999993</v>
      </c>
      <c r="AL37" s="1868">
        <v>0.62681000000000009</v>
      </c>
      <c r="AM37" s="1868">
        <v>0.76002999999999998</v>
      </c>
      <c r="AN37" s="1868">
        <v>0.61718000000000006</v>
      </c>
      <c r="AO37" s="1868">
        <v>0.64990000000000003</v>
      </c>
      <c r="AP37" s="1868">
        <v>0.62966999999999995</v>
      </c>
      <c r="AQ37" s="1868">
        <v>0.69647000000000003</v>
      </c>
      <c r="AR37" s="1868">
        <v>0.65131000000000006</v>
      </c>
      <c r="AS37" s="1868">
        <v>0.60443999999999998</v>
      </c>
      <c r="AT37" s="1868">
        <v>0.64638999999999991</v>
      </c>
      <c r="AU37" s="1868">
        <v>0.67048999999999992</v>
      </c>
      <c r="AV37" s="1868">
        <v>0.67462</v>
      </c>
      <c r="AW37" s="1868">
        <v>0.61951999999999996</v>
      </c>
      <c r="AX37" s="1868">
        <v>0.66681999999999997</v>
      </c>
      <c r="AY37" s="1868">
        <v>1.13802</v>
      </c>
      <c r="AZ37" s="1868">
        <v>0.8625799999999999</v>
      </c>
      <c r="BA37" s="1868">
        <v>1.0864200000000002</v>
      </c>
    </row>
    <row r="38" spans="1:53">
      <c r="A38" s="1865" t="str">
        <f t="shared" si="0"/>
        <v>AfricaMaize</v>
      </c>
      <c r="B38" s="1866" t="s">
        <v>302</v>
      </c>
      <c r="C38" s="1866" t="s">
        <v>1382</v>
      </c>
      <c r="D38" s="1868">
        <v>1.0443799999999999</v>
      </c>
      <c r="E38" s="1868">
        <v>1.11117</v>
      </c>
      <c r="F38" s="1868">
        <v>1.11127</v>
      </c>
      <c r="G38" s="1868">
        <v>0.98321000000000003</v>
      </c>
      <c r="H38" s="1868">
        <v>1.02722</v>
      </c>
      <c r="I38" s="1868">
        <v>1.0746599999999999</v>
      </c>
      <c r="J38" s="1868">
        <v>1.3730799999999999</v>
      </c>
      <c r="K38" s="1868">
        <v>1.07853</v>
      </c>
      <c r="L38" s="1868">
        <v>1.14123</v>
      </c>
      <c r="M38" s="1868">
        <v>1.1382099999999999</v>
      </c>
      <c r="N38" s="1868">
        <v>1.3476700000000001</v>
      </c>
      <c r="O38" s="1868">
        <v>1.3790899999999999</v>
      </c>
      <c r="P38" s="1868">
        <v>1.06839</v>
      </c>
      <c r="Q38" s="1868">
        <v>1.4569299999999998</v>
      </c>
      <c r="R38" s="1868">
        <v>1.4157600000000001</v>
      </c>
      <c r="S38" s="1868">
        <v>1.3860700000000001</v>
      </c>
      <c r="T38" s="1868">
        <v>1.5093000000000001</v>
      </c>
      <c r="U38" s="1868">
        <v>1.5377100000000001</v>
      </c>
      <c r="V38" s="1868">
        <v>1.3986000000000001</v>
      </c>
      <c r="W38" s="1868">
        <v>1.5579700000000001</v>
      </c>
      <c r="X38" s="1868">
        <v>1.8504099999999999</v>
      </c>
      <c r="Y38" s="1868">
        <v>1.4670299999999998</v>
      </c>
      <c r="Z38" s="1868">
        <v>1.1568200000000002</v>
      </c>
      <c r="AA38" s="1868">
        <v>1.2021999999999999</v>
      </c>
      <c r="AB38" s="1868">
        <v>1.4991399999999999</v>
      </c>
      <c r="AC38" s="1868">
        <v>1.44926</v>
      </c>
      <c r="AD38" s="1868">
        <v>1.3412200000000001</v>
      </c>
      <c r="AE38" s="1868">
        <v>1.5071299999999999</v>
      </c>
      <c r="AF38" s="1868">
        <v>1.69268</v>
      </c>
      <c r="AG38" s="1868">
        <v>1.4945999999999999</v>
      </c>
      <c r="AH38" s="1868">
        <v>1.47557</v>
      </c>
      <c r="AI38" s="1868">
        <v>1.12459</v>
      </c>
      <c r="AJ38" s="1868">
        <v>1.5383899999999999</v>
      </c>
      <c r="AK38" s="1868">
        <v>1.6122000000000001</v>
      </c>
      <c r="AL38" s="1868">
        <v>1.37815</v>
      </c>
      <c r="AM38" s="1868">
        <v>1.70885</v>
      </c>
      <c r="AN38" s="1868">
        <v>1.62547</v>
      </c>
      <c r="AO38" s="1868">
        <v>1.5966899999999999</v>
      </c>
      <c r="AP38" s="1868">
        <v>1.7446999999999999</v>
      </c>
      <c r="AQ38" s="1868">
        <v>1.8231400000000002</v>
      </c>
      <c r="AR38" s="1868">
        <v>1.73062</v>
      </c>
      <c r="AS38" s="1868">
        <v>1.7657400000000001</v>
      </c>
      <c r="AT38" s="1868">
        <v>1.6133999999999999</v>
      </c>
      <c r="AU38" s="1868">
        <v>1.6699099999999998</v>
      </c>
      <c r="AV38" s="1868">
        <v>1.7471900000000002</v>
      </c>
      <c r="AW38" s="1868">
        <v>1.76797</v>
      </c>
      <c r="AX38" s="1868">
        <v>1.7238</v>
      </c>
      <c r="AY38" s="1868">
        <v>1.9136200000000001</v>
      </c>
      <c r="AZ38" s="1868">
        <v>1.9722999999999999</v>
      </c>
      <c r="BA38" s="1868">
        <v>2.0787299999999997</v>
      </c>
    </row>
    <row r="39" spans="1:53">
      <c r="A39" s="1865" t="str">
        <f t="shared" si="0"/>
        <v>AfricaMaize, green</v>
      </c>
      <c r="B39" s="1866" t="s">
        <v>302</v>
      </c>
      <c r="C39" s="1866" t="s">
        <v>1383</v>
      </c>
      <c r="D39" s="1868">
        <v>2.5247900000000003</v>
      </c>
      <c r="E39" s="1868">
        <v>2.6667900000000002</v>
      </c>
      <c r="F39" s="1868">
        <v>2.8651299999999997</v>
      </c>
      <c r="G39" s="1868">
        <v>2.48577</v>
      </c>
      <c r="H39" s="1868">
        <v>2.6322799999999997</v>
      </c>
      <c r="I39" s="1868">
        <v>2.7053199999999999</v>
      </c>
      <c r="J39" s="1868">
        <v>2.6292</v>
      </c>
      <c r="K39" s="1868">
        <v>2.7599900000000002</v>
      </c>
      <c r="L39" s="1868">
        <v>2.6964200000000003</v>
      </c>
      <c r="M39" s="1868">
        <v>2.7324799999999998</v>
      </c>
      <c r="N39" s="1868">
        <v>2.9129999999999998</v>
      </c>
      <c r="O39" s="1868">
        <v>2.5236000000000001</v>
      </c>
      <c r="P39" s="1868">
        <v>2.98929</v>
      </c>
      <c r="Q39" s="1868">
        <v>3.06724</v>
      </c>
      <c r="R39" s="1868">
        <v>3.40116</v>
      </c>
      <c r="S39" s="1868">
        <v>3.23421</v>
      </c>
      <c r="T39" s="1868">
        <v>3.3183300000000004</v>
      </c>
      <c r="U39" s="1868">
        <v>3.1258400000000002</v>
      </c>
      <c r="V39" s="1868">
        <v>3.2921499999999999</v>
      </c>
      <c r="W39" s="1868">
        <v>3.4417699999999996</v>
      </c>
      <c r="X39" s="1868">
        <v>3.4323000000000001</v>
      </c>
      <c r="Y39" s="1868">
        <v>3.2509000000000001</v>
      </c>
      <c r="Z39" s="1868">
        <v>3.1308099999999999</v>
      </c>
      <c r="AA39" s="1868">
        <v>3.22281</v>
      </c>
      <c r="AB39" s="1868">
        <v>3.19163</v>
      </c>
      <c r="AC39" s="1868">
        <v>3.1537000000000002</v>
      </c>
      <c r="AD39" s="1868">
        <v>3.5782500000000002</v>
      </c>
      <c r="AE39" s="1868">
        <v>3.5358800000000001</v>
      </c>
      <c r="AF39" s="1868">
        <v>3.5462099999999999</v>
      </c>
      <c r="AG39" s="1868">
        <v>3.6220699999999999</v>
      </c>
      <c r="AH39" s="1868">
        <v>3.7302199999999996</v>
      </c>
      <c r="AI39" s="1868">
        <v>3.7243699999999995</v>
      </c>
      <c r="AJ39" s="1868">
        <v>4.1924199999999994</v>
      </c>
      <c r="AK39" s="1868">
        <v>4.0434400000000004</v>
      </c>
      <c r="AL39" s="1868">
        <v>3.1891500000000002</v>
      </c>
      <c r="AM39" s="1868">
        <v>2.75197</v>
      </c>
      <c r="AN39" s="1868">
        <v>2.7894000000000001</v>
      </c>
      <c r="AO39" s="1868">
        <v>2.3928700000000003</v>
      </c>
      <c r="AP39" s="1868">
        <v>2.3128000000000002</v>
      </c>
      <c r="AQ39" s="1868">
        <v>2.3985099999999999</v>
      </c>
      <c r="AR39" s="1868">
        <v>2.5897000000000001</v>
      </c>
      <c r="AS39" s="1868">
        <v>2.7839900000000002</v>
      </c>
      <c r="AT39" s="1868">
        <v>2.6370900000000002</v>
      </c>
      <c r="AU39" s="1868">
        <v>2.8323800000000001</v>
      </c>
      <c r="AV39" s="1868">
        <v>2.6120299999999999</v>
      </c>
      <c r="AW39" s="1868">
        <v>3.4917699999999998</v>
      </c>
      <c r="AX39" s="1868">
        <v>3.5632900000000003</v>
      </c>
      <c r="AY39" s="1868">
        <v>3.8441000000000001</v>
      </c>
      <c r="AZ39" s="1868">
        <v>3.8901500000000002</v>
      </c>
      <c r="BA39" s="1868">
        <v>3.6093599999999997</v>
      </c>
    </row>
    <row r="40" spans="1:53">
      <c r="A40" s="1865" t="str">
        <f t="shared" si="0"/>
        <v>AfricaMangoes, mangosteens, guavas</v>
      </c>
      <c r="B40" s="1866" t="s">
        <v>302</v>
      </c>
      <c r="C40" s="1866" t="s">
        <v>1384</v>
      </c>
      <c r="D40" s="1868">
        <v>7.1196600000000005</v>
      </c>
      <c r="E40" s="1868">
        <v>7.47037</v>
      </c>
      <c r="F40" s="1868">
        <v>7.5928399999999998</v>
      </c>
      <c r="G40" s="1868">
        <v>7.6977800000000007</v>
      </c>
      <c r="H40" s="1868">
        <v>7.2866999999999997</v>
      </c>
      <c r="I40" s="1868">
        <v>7.4794100000000006</v>
      </c>
      <c r="J40" s="1868">
        <v>7.2886699999999998</v>
      </c>
      <c r="K40" s="1868">
        <v>7.2062899999999992</v>
      </c>
      <c r="L40" s="1868">
        <v>7.3879199999999994</v>
      </c>
      <c r="M40" s="1868">
        <v>7.1635800000000005</v>
      </c>
      <c r="N40" s="1868">
        <v>7.3342899999999993</v>
      </c>
      <c r="O40" s="1868">
        <v>7.2906699999999995</v>
      </c>
      <c r="P40" s="1868">
        <v>7.5009699999999997</v>
      </c>
      <c r="Q40" s="1868">
        <v>8.0771800000000002</v>
      </c>
      <c r="R40" s="1868">
        <v>7.6248300000000002</v>
      </c>
      <c r="S40" s="1868">
        <v>7.8715800000000007</v>
      </c>
      <c r="T40" s="1868">
        <v>7.4377399999999998</v>
      </c>
      <c r="U40" s="1868">
        <v>7.5961100000000004</v>
      </c>
      <c r="V40" s="1868">
        <v>7.7123200000000001</v>
      </c>
      <c r="W40" s="1868">
        <v>7.53592</v>
      </c>
      <c r="X40" s="1868">
        <v>7.4756600000000004</v>
      </c>
      <c r="Y40" s="1868">
        <v>7.5591399999999993</v>
      </c>
      <c r="Z40" s="1868">
        <v>7.6716499999999996</v>
      </c>
      <c r="AA40" s="1868">
        <v>7.5512899999999998</v>
      </c>
      <c r="AB40" s="1868">
        <v>6.9680399999999993</v>
      </c>
      <c r="AC40" s="1868">
        <v>6.8877899999999999</v>
      </c>
      <c r="AD40" s="1868">
        <v>6.78552</v>
      </c>
      <c r="AE40" s="1868">
        <v>6.6124800000000006</v>
      </c>
      <c r="AF40" s="1868">
        <v>6.9215399999999994</v>
      </c>
      <c r="AG40" s="1868">
        <v>6.7330699999999997</v>
      </c>
      <c r="AH40" s="1868">
        <v>6.8968699999999998</v>
      </c>
      <c r="AI40" s="1868">
        <v>6.4278900000000005</v>
      </c>
      <c r="AJ40" s="1868">
        <v>6.6124399999999994</v>
      </c>
      <c r="AK40" s="1868">
        <v>6.3983600000000003</v>
      </c>
      <c r="AL40" s="1868">
        <v>6.4903000000000004</v>
      </c>
      <c r="AM40" s="1868">
        <v>6.4667500000000002</v>
      </c>
      <c r="AN40" s="1868">
        <v>6.3786899999999997</v>
      </c>
      <c r="AO40" s="1868">
        <v>6.5453299999999999</v>
      </c>
      <c r="AP40" s="1868">
        <v>6.2161800000000005</v>
      </c>
      <c r="AQ40" s="1868">
        <v>6.1502400000000002</v>
      </c>
      <c r="AR40" s="1868">
        <v>6.3384999999999998</v>
      </c>
      <c r="AS40" s="1868">
        <v>6.4303400000000002</v>
      </c>
      <c r="AT40" s="1868">
        <v>6.5224400000000005</v>
      </c>
      <c r="AU40" s="1868">
        <v>6.4654300000000005</v>
      </c>
      <c r="AV40" s="1868">
        <v>6.4030300000000002</v>
      </c>
      <c r="AW40" s="1868">
        <v>6.5903300000000007</v>
      </c>
      <c r="AX40" s="1868">
        <v>6.8477800000000002</v>
      </c>
      <c r="AY40" s="1868">
        <v>6.879389999999999</v>
      </c>
      <c r="AZ40" s="1868">
        <v>6.8893600000000008</v>
      </c>
      <c r="BA40" s="1868">
        <v>7.08847</v>
      </c>
    </row>
    <row r="41" spans="1:53">
      <c r="A41" s="1865" t="str">
        <f t="shared" si="0"/>
        <v>AfricaMillet</v>
      </c>
      <c r="B41" s="1866" t="s">
        <v>302</v>
      </c>
      <c r="C41" s="1866" t="s">
        <v>1385</v>
      </c>
      <c r="D41" s="1868">
        <v>0.57630000000000003</v>
      </c>
      <c r="E41" s="1868">
        <v>0.57671000000000006</v>
      </c>
      <c r="F41" s="1868">
        <v>0.60538999999999998</v>
      </c>
      <c r="G41" s="1868">
        <v>0.60408000000000006</v>
      </c>
      <c r="H41" s="1868">
        <v>0.56343999999999994</v>
      </c>
      <c r="I41" s="1868">
        <v>0.51488999999999996</v>
      </c>
      <c r="J41" s="1868">
        <v>0.59331999999999996</v>
      </c>
      <c r="K41" s="1868">
        <v>0.57167999999999997</v>
      </c>
      <c r="L41" s="1868">
        <v>0.62265999999999999</v>
      </c>
      <c r="M41" s="1868">
        <v>0.59430000000000005</v>
      </c>
      <c r="N41" s="1868">
        <v>0.56679999999999997</v>
      </c>
      <c r="O41" s="1868">
        <v>0.55220000000000002</v>
      </c>
      <c r="P41" s="1868">
        <v>0.55820000000000003</v>
      </c>
      <c r="Q41" s="1868">
        <v>0.68936999999999993</v>
      </c>
      <c r="R41" s="1868">
        <v>0.64828999999999992</v>
      </c>
      <c r="S41" s="1868">
        <v>0.61453999999999998</v>
      </c>
      <c r="T41" s="1868">
        <v>0.59319999999999995</v>
      </c>
      <c r="U41" s="1868">
        <v>0.67584999999999995</v>
      </c>
      <c r="V41" s="1868">
        <v>0.63698999999999995</v>
      </c>
      <c r="W41" s="1868">
        <v>0.60118000000000005</v>
      </c>
      <c r="X41" s="1868">
        <v>0.73265000000000002</v>
      </c>
      <c r="Y41" s="1868">
        <v>0.71435999999999999</v>
      </c>
      <c r="Z41" s="1868">
        <v>0.69388000000000005</v>
      </c>
      <c r="AA41" s="1868">
        <v>0.63433000000000006</v>
      </c>
      <c r="AB41" s="1868">
        <v>0.77778999999999998</v>
      </c>
      <c r="AC41" s="1868">
        <v>0.68628</v>
      </c>
      <c r="AD41" s="1868">
        <v>0.67203999999999997</v>
      </c>
      <c r="AE41" s="1868">
        <v>0.69136000000000009</v>
      </c>
      <c r="AF41" s="1868">
        <v>0.6905</v>
      </c>
      <c r="AG41" s="1868">
        <v>0.67623</v>
      </c>
      <c r="AH41" s="1868">
        <v>0.66258000000000006</v>
      </c>
      <c r="AI41" s="1868">
        <v>0.6331</v>
      </c>
      <c r="AJ41" s="1868">
        <v>0.63033000000000006</v>
      </c>
      <c r="AK41" s="1868">
        <v>0.61329999999999996</v>
      </c>
      <c r="AL41" s="1868">
        <v>0.62729999999999997</v>
      </c>
      <c r="AM41" s="1868">
        <v>0.66991999999999996</v>
      </c>
      <c r="AN41" s="1868">
        <v>0.62638000000000005</v>
      </c>
      <c r="AO41" s="1868">
        <v>0.68188000000000004</v>
      </c>
      <c r="AP41" s="1868">
        <v>0.68547999999999998</v>
      </c>
      <c r="AQ41" s="1868">
        <v>0.64901000000000009</v>
      </c>
      <c r="AR41" s="1868">
        <v>0.71378999999999992</v>
      </c>
      <c r="AS41" s="1868">
        <v>0.69488000000000005</v>
      </c>
      <c r="AT41" s="1868">
        <v>0.75848000000000004</v>
      </c>
      <c r="AU41" s="1868">
        <v>0.75341000000000002</v>
      </c>
      <c r="AV41" s="1868">
        <v>0.81633</v>
      </c>
      <c r="AW41" s="1868">
        <v>0.82857000000000003</v>
      </c>
      <c r="AX41" s="1868">
        <v>0.82117000000000007</v>
      </c>
      <c r="AY41" s="1868">
        <v>0.90707000000000004</v>
      </c>
      <c r="AZ41" s="1868">
        <v>0.72250000000000003</v>
      </c>
      <c r="BA41" s="1868">
        <v>0.72543999999999997</v>
      </c>
    </row>
    <row r="42" spans="1:53">
      <c r="A42" s="1865" t="str">
        <f t="shared" si="0"/>
        <v>AfricaOats</v>
      </c>
      <c r="B42" s="1866" t="s">
        <v>302</v>
      </c>
      <c r="C42" s="1866" t="s">
        <v>1349</v>
      </c>
      <c r="D42" s="1868">
        <v>0.79766000000000004</v>
      </c>
      <c r="E42" s="1868">
        <v>0.92069000000000001</v>
      </c>
      <c r="F42" s="1868">
        <v>0.87898999999999994</v>
      </c>
      <c r="G42" s="1868">
        <v>0.95130999999999999</v>
      </c>
      <c r="H42" s="1868">
        <v>0.90212000000000003</v>
      </c>
      <c r="I42" s="1868">
        <v>0.76733000000000007</v>
      </c>
      <c r="J42" s="1868">
        <v>1.13941</v>
      </c>
      <c r="K42" s="1868">
        <v>0.99475000000000002</v>
      </c>
      <c r="L42" s="1868">
        <v>0.80498999999999998</v>
      </c>
      <c r="M42" s="1868">
        <v>0.93043999999999993</v>
      </c>
      <c r="N42" s="1868">
        <v>0.84652000000000005</v>
      </c>
      <c r="O42" s="1868">
        <v>0.82865</v>
      </c>
      <c r="P42" s="1868">
        <v>0.83538999999999997</v>
      </c>
      <c r="Q42" s="1868">
        <v>0.93625000000000003</v>
      </c>
      <c r="R42" s="1868">
        <v>0.97016000000000002</v>
      </c>
      <c r="S42" s="1868">
        <v>0.91087000000000007</v>
      </c>
      <c r="T42" s="1868">
        <v>0.59909999999999997</v>
      </c>
      <c r="U42" s="1868">
        <v>0.76646000000000003</v>
      </c>
      <c r="V42" s="1868">
        <v>0.79403999999999997</v>
      </c>
      <c r="W42" s="1868">
        <v>0.82904999999999995</v>
      </c>
      <c r="X42" s="1868">
        <v>0.78549999999999998</v>
      </c>
      <c r="Y42" s="1868">
        <v>0.86208999999999991</v>
      </c>
      <c r="Z42" s="1868">
        <v>0.85065000000000002</v>
      </c>
      <c r="AA42" s="1868">
        <v>0.76556999999999997</v>
      </c>
      <c r="AB42" s="1868">
        <v>0.72648000000000001</v>
      </c>
      <c r="AC42" s="1868">
        <v>0.87398999999999993</v>
      </c>
      <c r="AD42" s="1868">
        <v>0.76828999999999992</v>
      </c>
      <c r="AE42" s="1868">
        <v>0.70930000000000004</v>
      </c>
      <c r="AF42" s="1868">
        <v>0.8430200000000001</v>
      </c>
      <c r="AG42" s="1868">
        <v>0.87147000000000008</v>
      </c>
      <c r="AH42" s="1868">
        <v>1.14134</v>
      </c>
      <c r="AI42" s="1868">
        <v>0.81708999999999998</v>
      </c>
      <c r="AJ42" s="1868">
        <v>0.77746999999999999</v>
      </c>
      <c r="AK42" s="1868">
        <v>1.04335</v>
      </c>
      <c r="AL42" s="1868">
        <v>0.84462999999999988</v>
      </c>
      <c r="AM42" s="1868">
        <v>1.1410100000000001</v>
      </c>
      <c r="AN42" s="1868">
        <v>0.86291000000000007</v>
      </c>
      <c r="AO42" s="1868">
        <v>0.84927000000000008</v>
      </c>
      <c r="AP42" s="1868">
        <v>0.81131000000000009</v>
      </c>
      <c r="AQ42" s="1868">
        <v>0.83052000000000004</v>
      </c>
      <c r="AR42" s="1868">
        <v>1.02755</v>
      </c>
      <c r="AS42" s="1868">
        <v>0.99385000000000001</v>
      </c>
      <c r="AT42" s="1868">
        <v>1.0092700000000001</v>
      </c>
      <c r="AU42" s="1868">
        <v>1.12906</v>
      </c>
      <c r="AV42" s="1868">
        <v>1.03396</v>
      </c>
      <c r="AW42" s="1868">
        <v>1.2103999999999999</v>
      </c>
      <c r="AX42" s="1868">
        <v>0.98682999999999987</v>
      </c>
      <c r="AY42" s="1868">
        <v>0.82252999999999987</v>
      </c>
      <c r="AZ42" s="1868">
        <v>1.2323500000000001</v>
      </c>
      <c r="BA42" s="1868">
        <v>1.1832400000000001</v>
      </c>
    </row>
    <row r="43" spans="1:53">
      <c r="A43" s="1865" t="str">
        <f t="shared" si="0"/>
        <v>AfricaOil palm fruit</v>
      </c>
      <c r="B43" s="1866" t="s">
        <v>302</v>
      </c>
      <c r="C43" s="1866" t="s">
        <v>1386</v>
      </c>
      <c r="D43" s="1868">
        <v>3.3431699999999998</v>
      </c>
      <c r="E43" s="1868">
        <v>3.40496</v>
      </c>
      <c r="F43" s="1868">
        <v>3.39744</v>
      </c>
      <c r="G43" s="1868">
        <v>3.3668999999999998</v>
      </c>
      <c r="H43" s="1868">
        <v>3.31271</v>
      </c>
      <c r="I43" s="1868">
        <v>3.3002899999999999</v>
      </c>
      <c r="J43" s="1868">
        <v>3.5563400000000001</v>
      </c>
      <c r="K43" s="1868">
        <v>3.6081300000000005</v>
      </c>
      <c r="L43" s="1868">
        <v>3.5710199999999999</v>
      </c>
      <c r="M43" s="1868">
        <v>3.6043699999999999</v>
      </c>
      <c r="N43" s="1868">
        <v>3.6149300000000002</v>
      </c>
      <c r="O43" s="1868">
        <v>3.7114500000000001</v>
      </c>
      <c r="P43" s="1868">
        <v>3.6962599999999997</v>
      </c>
      <c r="Q43" s="1868">
        <v>3.7367800000000004</v>
      </c>
      <c r="R43" s="1868">
        <v>3.7813500000000002</v>
      </c>
      <c r="S43" s="1868">
        <v>3.7375099999999999</v>
      </c>
      <c r="T43" s="1868">
        <v>3.61686</v>
      </c>
      <c r="U43" s="1868">
        <v>3.7754099999999999</v>
      </c>
      <c r="V43" s="1868">
        <v>3.5968800000000001</v>
      </c>
      <c r="W43" s="1868">
        <v>3.66439</v>
      </c>
      <c r="X43" s="1868">
        <v>3.6892699999999996</v>
      </c>
      <c r="Y43" s="1868">
        <v>3.7106400000000002</v>
      </c>
      <c r="Z43" s="1868">
        <v>3.6979900000000003</v>
      </c>
      <c r="AA43" s="1868">
        <v>3.61266</v>
      </c>
      <c r="AB43" s="1868">
        <v>3.6477300000000001</v>
      </c>
      <c r="AC43" s="1868">
        <v>3.7476599999999998</v>
      </c>
      <c r="AD43" s="1868">
        <v>3.7045599999999999</v>
      </c>
      <c r="AE43" s="1868">
        <v>3.6959800000000005</v>
      </c>
      <c r="AF43" s="1868">
        <v>3.81121</v>
      </c>
      <c r="AG43" s="1868">
        <v>3.8487800000000001</v>
      </c>
      <c r="AH43" s="1868">
        <v>3.7363199999999996</v>
      </c>
      <c r="AI43" s="1868">
        <v>3.7022599999999999</v>
      </c>
      <c r="AJ43" s="1868">
        <v>3.7056400000000003</v>
      </c>
      <c r="AK43" s="1868">
        <v>3.6816800000000005</v>
      </c>
      <c r="AL43" s="1868">
        <v>3.6541199999999998</v>
      </c>
      <c r="AM43" s="1868">
        <v>3.6985600000000001</v>
      </c>
      <c r="AN43" s="1868">
        <v>3.5762300000000002</v>
      </c>
      <c r="AO43" s="1868">
        <v>3.6573800000000003</v>
      </c>
      <c r="AP43" s="1868">
        <v>3.6817000000000002</v>
      </c>
      <c r="AQ43" s="1868">
        <v>3.6297999999999999</v>
      </c>
      <c r="AR43" s="1868">
        <v>3.5892499999999998</v>
      </c>
      <c r="AS43" s="1868">
        <v>3.6178300000000001</v>
      </c>
      <c r="AT43" s="1868">
        <v>3.6156599999999997</v>
      </c>
      <c r="AU43" s="1868">
        <v>3.6745400000000004</v>
      </c>
      <c r="AV43" s="1868">
        <v>3.6479900000000001</v>
      </c>
      <c r="AW43" s="1868">
        <v>3.8573699999999995</v>
      </c>
      <c r="AX43" s="1868">
        <v>3.8042099999999999</v>
      </c>
      <c r="AY43" s="1868">
        <v>3.7864199999999997</v>
      </c>
      <c r="AZ43" s="1868">
        <v>3.8922199999999996</v>
      </c>
      <c r="BA43" s="1868">
        <v>3.8062</v>
      </c>
    </row>
    <row r="44" spans="1:53">
      <c r="A44" s="1865" t="str">
        <f t="shared" si="0"/>
        <v>AfricaOlives</v>
      </c>
      <c r="B44" s="1866" t="s">
        <v>302</v>
      </c>
      <c r="C44" s="1866" t="s">
        <v>1387</v>
      </c>
      <c r="D44" s="1868">
        <v>0.76276999999999995</v>
      </c>
      <c r="E44" s="1868">
        <v>0.68971000000000005</v>
      </c>
      <c r="F44" s="1868">
        <v>0.54551000000000005</v>
      </c>
      <c r="G44" s="1868">
        <v>0.53508</v>
      </c>
      <c r="H44" s="1868">
        <v>0.84887999999999997</v>
      </c>
      <c r="I44" s="1868">
        <v>1.07389</v>
      </c>
      <c r="J44" s="1868">
        <v>0.83235999999999999</v>
      </c>
      <c r="K44" s="1868">
        <v>0.87317000000000011</v>
      </c>
      <c r="L44" s="1868">
        <v>0.79305999999999999</v>
      </c>
      <c r="M44" s="1868">
        <v>0.62106000000000006</v>
      </c>
      <c r="N44" s="1868">
        <v>0.84562999999999988</v>
      </c>
      <c r="O44" s="1868">
        <v>0.51175000000000004</v>
      </c>
      <c r="P44" s="1868">
        <v>0.69256000000000006</v>
      </c>
      <c r="Q44" s="1868">
        <v>0.62258000000000002</v>
      </c>
      <c r="R44" s="1868">
        <v>0.86382000000000003</v>
      </c>
      <c r="S44" s="1868">
        <v>0.60851</v>
      </c>
      <c r="T44" s="1868">
        <v>0.57701999999999998</v>
      </c>
      <c r="U44" s="1868">
        <v>0.49253000000000002</v>
      </c>
      <c r="V44" s="1868">
        <v>0.56061000000000005</v>
      </c>
      <c r="W44" s="1868">
        <v>0.69821</v>
      </c>
      <c r="X44" s="1868">
        <v>0.55006999999999995</v>
      </c>
      <c r="Y44" s="1868">
        <v>0.58077000000000001</v>
      </c>
      <c r="Z44" s="1868">
        <v>0.74192999999999998</v>
      </c>
      <c r="AA44" s="1868">
        <v>0.58699000000000001</v>
      </c>
      <c r="AB44" s="1868">
        <v>0.64788000000000001</v>
      </c>
      <c r="AC44" s="1868">
        <v>0.70851999999999993</v>
      </c>
      <c r="AD44" s="1868">
        <v>0.66053000000000006</v>
      </c>
      <c r="AE44" s="1868">
        <v>0.44455</v>
      </c>
      <c r="AF44" s="1868">
        <v>0.76717999999999997</v>
      </c>
      <c r="AG44" s="1868">
        <v>0.75501000000000007</v>
      </c>
      <c r="AH44" s="1868">
        <v>1.0482400000000001</v>
      </c>
      <c r="AI44" s="1868">
        <v>0.73855999999999999</v>
      </c>
      <c r="AJ44" s="1868">
        <v>0.89261000000000001</v>
      </c>
      <c r="AK44" s="1868">
        <v>0.62671999999999994</v>
      </c>
      <c r="AL44" s="1868">
        <v>0.57881000000000005</v>
      </c>
      <c r="AM44" s="1868">
        <v>1.35781</v>
      </c>
      <c r="AN44" s="1868">
        <v>0.90024999999999999</v>
      </c>
      <c r="AO44" s="1868">
        <v>1.0141</v>
      </c>
      <c r="AP44" s="1868">
        <v>1.05732</v>
      </c>
      <c r="AQ44" s="1868">
        <v>0.71068999999999993</v>
      </c>
      <c r="AR44" s="1868">
        <v>0.53908</v>
      </c>
      <c r="AS44" s="1868">
        <v>0.67586000000000002</v>
      </c>
      <c r="AT44" s="1868">
        <v>1.1149799999999999</v>
      </c>
      <c r="AU44" s="1868">
        <v>0.76885000000000003</v>
      </c>
      <c r="AV44" s="1868">
        <v>0.80813999999999997</v>
      </c>
      <c r="AW44" s="1868">
        <v>0.79915000000000003</v>
      </c>
      <c r="AX44" s="1868">
        <v>0.84597999999999995</v>
      </c>
      <c r="AY44" s="1868">
        <v>0.83212999999999993</v>
      </c>
      <c r="AZ44" s="1868">
        <v>0.99172000000000005</v>
      </c>
      <c r="BA44" s="1868">
        <v>1.2232299999999998</v>
      </c>
    </row>
    <row r="45" spans="1:53">
      <c r="A45" s="1865" t="str">
        <f t="shared" si="0"/>
        <v>AfricaOnions, dry</v>
      </c>
      <c r="B45" s="1866" t="s">
        <v>302</v>
      </c>
      <c r="C45" s="1866" t="s">
        <v>1388</v>
      </c>
      <c r="D45" s="1868">
        <v>13.289910000000001</v>
      </c>
      <c r="E45" s="1868">
        <v>14.38139</v>
      </c>
      <c r="F45" s="1868">
        <v>14.768120000000001</v>
      </c>
      <c r="G45" s="1868">
        <v>14.58264</v>
      </c>
      <c r="H45" s="1868">
        <v>14.780900000000001</v>
      </c>
      <c r="I45" s="1868">
        <v>13.917489999999999</v>
      </c>
      <c r="J45" s="1868">
        <v>13.307070000000001</v>
      </c>
      <c r="K45" s="1868">
        <v>12.047180000000001</v>
      </c>
      <c r="L45" s="1868">
        <v>12.37927</v>
      </c>
      <c r="M45" s="1868">
        <v>11.15282</v>
      </c>
      <c r="N45" s="1868">
        <v>11.906549999999999</v>
      </c>
      <c r="O45" s="1868">
        <v>11.03764</v>
      </c>
      <c r="P45" s="1868">
        <v>11.352319999999999</v>
      </c>
      <c r="Q45" s="1868">
        <v>12.35406</v>
      </c>
      <c r="R45" s="1868">
        <v>12.163019999999999</v>
      </c>
      <c r="S45" s="1868">
        <v>11.383900000000001</v>
      </c>
      <c r="T45" s="1868">
        <v>11.57738</v>
      </c>
      <c r="U45" s="1868">
        <v>12.140789999999999</v>
      </c>
      <c r="V45" s="1868">
        <v>12.796749999999999</v>
      </c>
      <c r="W45" s="1868">
        <v>13.717310000000001</v>
      </c>
      <c r="X45" s="1868">
        <v>13.392560000000001</v>
      </c>
      <c r="Y45" s="1868">
        <v>13.383020000000002</v>
      </c>
      <c r="Z45" s="1868">
        <v>13.27609</v>
      </c>
      <c r="AA45" s="1868">
        <v>13.279199999999999</v>
      </c>
      <c r="AB45" s="1868">
        <v>13.60394</v>
      </c>
      <c r="AC45" s="1868">
        <v>14.164770000000001</v>
      </c>
      <c r="AD45" s="1868">
        <v>13.528939999999999</v>
      </c>
      <c r="AE45" s="1868">
        <v>12.985110000000001</v>
      </c>
      <c r="AF45" s="1868">
        <v>13.04834</v>
      </c>
      <c r="AG45" s="1868">
        <v>14.112620000000001</v>
      </c>
      <c r="AH45" s="1868">
        <v>14.09179</v>
      </c>
      <c r="AI45" s="1868">
        <v>13.785160000000001</v>
      </c>
      <c r="AJ45" s="1868">
        <v>14.46594</v>
      </c>
      <c r="AK45" s="1868">
        <v>13.393429999999999</v>
      </c>
      <c r="AL45" s="1868">
        <v>12.3363</v>
      </c>
      <c r="AM45" s="1868">
        <v>12.360860000000001</v>
      </c>
      <c r="AN45" s="1868">
        <v>12.8636</v>
      </c>
      <c r="AO45" s="1868">
        <v>13.778820000000001</v>
      </c>
      <c r="AP45" s="1868">
        <v>13.72611</v>
      </c>
      <c r="AQ45" s="1868">
        <v>13.0303</v>
      </c>
      <c r="AR45" s="1868">
        <v>13.994450000000001</v>
      </c>
      <c r="AS45" s="1868">
        <v>14.184729999999998</v>
      </c>
      <c r="AT45" s="1868">
        <v>14.64926</v>
      </c>
      <c r="AU45" s="1868">
        <v>16.16264</v>
      </c>
      <c r="AV45" s="1868">
        <v>15.758329999999999</v>
      </c>
      <c r="AW45" s="1868">
        <v>15.264570000000001</v>
      </c>
      <c r="AX45" s="1868">
        <v>16.00704</v>
      </c>
      <c r="AY45" s="1868">
        <v>16.84834</v>
      </c>
      <c r="AZ45" s="1868">
        <v>18.127359999999999</v>
      </c>
      <c r="BA45" s="1868">
        <v>18.90869</v>
      </c>
    </row>
    <row r="46" spans="1:53">
      <c r="A46" s="1865" t="str">
        <f t="shared" si="0"/>
        <v>AfricaOranges</v>
      </c>
      <c r="B46" s="1866" t="s">
        <v>302</v>
      </c>
      <c r="C46" s="1866" t="s">
        <v>1389</v>
      </c>
      <c r="D46" s="1868">
        <v>12.21368</v>
      </c>
      <c r="E46" s="1868">
        <v>13.360749999999999</v>
      </c>
      <c r="F46" s="1868">
        <v>13.158160000000001</v>
      </c>
      <c r="G46" s="1868">
        <v>13.657670000000001</v>
      </c>
      <c r="H46" s="1868">
        <v>12.62332</v>
      </c>
      <c r="I46" s="1868">
        <v>13.6302</v>
      </c>
      <c r="J46" s="1868">
        <v>14.14715</v>
      </c>
      <c r="K46" s="1868">
        <v>13.865429999999998</v>
      </c>
      <c r="L46" s="1868">
        <v>13.78675</v>
      </c>
      <c r="M46" s="1868">
        <v>13.641489999999999</v>
      </c>
      <c r="N46" s="1868">
        <v>13.32906</v>
      </c>
      <c r="O46" s="1868">
        <v>13.962110000000001</v>
      </c>
      <c r="P46" s="1868">
        <v>14.555110000000001</v>
      </c>
      <c r="Q46" s="1868">
        <v>14.14996</v>
      </c>
      <c r="R46" s="1868">
        <v>13.37664</v>
      </c>
      <c r="S46" s="1868">
        <v>13.094760000000001</v>
      </c>
      <c r="T46" s="1868">
        <v>12.476339999999999</v>
      </c>
      <c r="U46" s="1868">
        <v>14.600570000000001</v>
      </c>
      <c r="V46" s="1868">
        <v>15.2149</v>
      </c>
      <c r="W46" s="1868">
        <v>14.289079999999998</v>
      </c>
      <c r="X46" s="1868">
        <v>14.290800000000001</v>
      </c>
      <c r="Y46" s="1868">
        <v>15.336829999999999</v>
      </c>
      <c r="Z46" s="1868">
        <v>15.940250000000001</v>
      </c>
      <c r="AA46" s="1868">
        <v>15.697379999999999</v>
      </c>
      <c r="AB46" s="1868">
        <v>12.1305</v>
      </c>
      <c r="AC46" s="1868">
        <v>12.16897</v>
      </c>
      <c r="AD46" s="1868">
        <v>12.263630000000001</v>
      </c>
      <c r="AE46" s="1868">
        <v>12.483039999999999</v>
      </c>
      <c r="AF46" s="1868">
        <v>13.356579999999999</v>
      </c>
      <c r="AG46" s="1868">
        <v>13.2103</v>
      </c>
      <c r="AH46" s="1868">
        <v>14.387689999999999</v>
      </c>
      <c r="AI46" s="1868">
        <v>13.465689999999999</v>
      </c>
      <c r="AJ46" s="1868">
        <v>12.366389999999999</v>
      </c>
      <c r="AK46" s="1868">
        <v>13.256789999999999</v>
      </c>
      <c r="AL46" s="1868">
        <v>12.625960000000001</v>
      </c>
      <c r="AM46" s="1868">
        <v>13.89448</v>
      </c>
      <c r="AN46" s="1868">
        <v>13.0101</v>
      </c>
      <c r="AO46" s="1868">
        <v>13.75859</v>
      </c>
      <c r="AP46" s="1868">
        <v>13.753920000000001</v>
      </c>
      <c r="AQ46" s="1868">
        <v>13.684070000000002</v>
      </c>
      <c r="AR46" s="1868">
        <v>13.90846</v>
      </c>
      <c r="AS46" s="1868">
        <v>14.13466</v>
      </c>
      <c r="AT46" s="1868">
        <v>15.04579</v>
      </c>
      <c r="AU46" s="1868">
        <v>14.586410000000001</v>
      </c>
      <c r="AV46" s="1868">
        <v>14.699570000000001</v>
      </c>
      <c r="AW46" s="1868">
        <v>16.188359999999999</v>
      </c>
      <c r="AX46" s="1868">
        <v>15.557079999999999</v>
      </c>
      <c r="AY46" s="1868">
        <v>15.413629999999999</v>
      </c>
      <c r="AZ46" s="1868">
        <v>16.01502</v>
      </c>
      <c r="BA46" s="1868">
        <v>16.89209</v>
      </c>
    </row>
    <row r="47" spans="1:53">
      <c r="A47" s="1865" t="str">
        <f t="shared" si="0"/>
        <v>AfricaPeaches and nectarines</v>
      </c>
      <c r="B47" s="1866" t="s">
        <v>302</v>
      </c>
      <c r="C47" s="1866" t="s">
        <v>1390</v>
      </c>
      <c r="D47" s="1868">
        <v>4.47858</v>
      </c>
      <c r="E47" s="1868">
        <v>4.2067699999999997</v>
      </c>
      <c r="F47" s="1868">
        <v>5.3252600000000001</v>
      </c>
      <c r="G47" s="1868">
        <v>6.2960199999999995</v>
      </c>
      <c r="H47" s="1868">
        <v>6.6589800000000006</v>
      </c>
      <c r="I47" s="1868">
        <v>7.1608399999999994</v>
      </c>
      <c r="J47" s="1868">
        <v>7.1553199999999997</v>
      </c>
      <c r="K47" s="1868">
        <v>6.4473199999999995</v>
      </c>
      <c r="L47" s="1868">
        <v>6.976189999999999</v>
      </c>
      <c r="M47" s="1868">
        <v>6.5896800000000004</v>
      </c>
      <c r="N47" s="1868">
        <v>7.055060000000001</v>
      </c>
      <c r="O47" s="1868">
        <v>7.1150799999999998</v>
      </c>
      <c r="P47" s="1868">
        <v>7.2774800000000006</v>
      </c>
      <c r="Q47" s="1868">
        <v>7.3391699999999993</v>
      </c>
      <c r="R47" s="1868">
        <v>6.8273399999999995</v>
      </c>
      <c r="S47" s="1868">
        <v>7.4386100000000006</v>
      </c>
      <c r="T47" s="1868">
        <v>7.2783300000000004</v>
      </c>
      <c r="U47" s="1868">
        <v>6.819939999999999</v>
      </c>
      <c r="V47" s="1868">
        <v>6.8217100000000004</v>
      </c>
      <c r="W47" s="1868">
        <v>7.3474600000000008</v>
      </c>
      <c r="X47" s="1868">
        <v>6.8645800000000001</v>
      </c>
      <c r="Y47" s="1868">
        <v>6.4687299999999999</v>
      </c>
      <c r="Z47" s="1868">
        <v>6.1935099999999998</v>
      </c>
      <c r="AA47" s="1868">
        <v>6.8902100000000006</v>
      </c>
      <c r="AB47" s="1868">
        <v>5.8617800000000004</v>
      </c>
      <c r="AC47" s="1868">
        <v>5.7546200000000001</v>
      </c>
      <c r="AD47" s="1868">
        <v>6.3228400000000002</v>
      </c>
      <c r="AE47" s="1868">
        <v>5.7708699999999995</v>
      </c>
      <c r="AF47" s="1868">
        <v>6.0074500000000004</v>
      </c>
      <c r="AG47" s="1868">
        <v>5.4473099999999999</v>
      </c>
      <c r="AH47" s="1868">
        <v>5.6970400000000003</v>
      </c>
      <c r="AI47" s="1868">
        <v>6.1821599999999997</v>
      </c>
      <c r="AJ47" s="1868">
        <v>6.48123</v>
      </c>
      <c r="AK47" s="1868">
        <v>6.4932099999999995</v>
      </c>
      <c r="AL47" s="1868">
        <v>7.1830100000000003</v>
      </c>
      <c r="AM47" s="1868">
        <v>7.4823000000000004</v>
      </c>
      <c r="AN47" s="1868">
        <v>8.2634100000000004</v>
      </c>
      <c r="AO47" s="1868">
        <v>8.7431199999999993</v>
      </c>
      <c r="AP47" s="1868">
        <v>7.6220499999999998</v>
      </c>
      <c r="AQ47" s="1868">
        <v>7.1921200000000001</v>
      </c>
      <c r="AR47" s="1868">
        <v>6.8491399999999993</v>
      </c>
      <c r="AS47" s="1868">
        <v>8.3336000000000006</v>
      </c>
      <c r="AT47" s="1868">
        <v>8.9213300000000011</v>
      </c>
      <c r="AU47" s="1868">
        <v>9.0689700000000002</v>
      </c>
      <c r="AV47" s="1868">
        <v>9.6764399999999995</v>
      </c>
      <c r="AW47" s="1868">
        <v>10.648</v>
      </c>
      <c r="AX47" s="1868">
        <v>9.8852100000000007</v>
      </c>
      <c r="AY47" s="1868">
        <v>10.182700000000001</v>
      </c>
      <c r="AZ47" s="1868">
        <v>10.06087</v>
      </c>
      <c r="BA47" s="1868">
        <v>9.2774999999999999</v>
      </c>
    </row>
    <row r="48" spans="1:53">
      <c r="A48" s="1865" t="str">
        <f t="shared" si="0"/>
        <v>AfricaPeas, dry</v>
      </c>
      <c r="B48" s="1866" t="s">
        <v>302</v>
      </c>
      <c r="C48" s="1866" t="s">
        <v>1391</v>
      </c>
      <c r="D48" s="1868">
        <v>0.67868000000000006</v>
      </c>
      <c r="E48" s="1868">
        <v>0.77449000000000001</v>
      </c>
      <c r="F48" s="1868">
        <v>0.71163999999999994</v>
      </c>
      <c r="G48" s="1868">
        <v>0.74411000000000005</v>
      </c>
      <c r="H48" s="1868">
        <v>0.72077000000000002</v>
      </c>
      <c r="I48" s="1868">
        <v>0.71430000000000005</v>
      </c>
      <c r="J48" s="1868">
        <v>0.71765000000000001</v>
      </c>
      <c r="K48" s="1868">
        <v>0.72743000000000002</v>
      </c>
      <c r="L48" s="1868">
        <v>0.74861999999999995</v>
      </c>
      <c r="M48" s="1868">
        <v>0.73804999999999998</v>
      </c>
      <c r="N48" s="1868">
        <v>0.77968000000000004</v>
      </c>
      <c r="O48" s="1868">
        <v>0.73019999999999996</v>
      </c>
      <c r="P48" s="1868">
        <v>0.53454000000000002</v>
      </c>
      <c r="Q48" s="1868">
        <v>0.67684999999999995</v>
      </c>
      <c r="R48" s="1868">
        <v>0.62318999999999991</v>
      </c>
      <c r="S48" s="1868">
        <v>0.65700000000000003</v>
      </c>
      <c r="T48" s="1868">
        <v>0.59575</v>
      </c>
      <c r="U48" s="1868">
        <v>0.62578999999999996</v>
      </c>
      <c r="V48" s="1868">
        <v>0.76249999999999996</v>
      </c>
      <c r="W48" s="1868">
        <v>0.84987000000000013</v>
      </c>
      <c r="X48" s="1868">
        <v>0.67642999999999998</v>
      </c>
      <c r="Y48" s="1868">
        <v>0.72045000000000003</v>
      </c>
      <c r="Z48" s="1868">
        <v>0.63858000000000004</v>
      </c>
      <c r="AA48" s="1868">
        <v>0.59286000000000005</v>
      </c>
      <c r="AB48" s="1868">
        <v>0.58828000000000003</v>
      </c>
      <c r="AC48" s="1868">
        <v>0.58382000000000001</v>
      </c>
      <c r="AD48" s="1868">
        <v>0.59136999999999995</v>
      </c>
      <c r="AE48" s="1868">
        <v>0.60272999999999999</v>
      </c>
      <c r="AF48" s="1868">
        <v>0.61385000000000001</v>
      </c>
      <c r="AG48" s="1868">
        <v>0.66191</v>
      </c>
      <c r="AH48" s="1868">
        <v>0.82472999999999996</v>
      </c>
      <c r="AI48" s="1868">
        <v>0.55451000000000006</v>
      </c>
      <c r="AJ48" s="1868">
        <v>0.65195000000000003</v>
      </c>
      <c r="AK48" s="1868">
        <v>0.54615000000000002</v>
      </c>
      <c r="AL48" s="1868">
        <v>0.64507000000000003</v>
      </c>
      <c r="AM48" s="1868">
        <v>0.61146999999999996</v>
      </c>
      <c r="AN48" s="1868">
        <v>0.63506000000000007</v>
      </c>
      <c r="AO48" s="1868">
        <v>0.59043000000000001</v>
      </c>
      <c r="AP48" s="1868">
        <v>0.57574999999999998</v>
      </c>
      <c r="AQ48" s="1868">
        <v>0.60375000000000001</v>
      </c>
      <c r="AR48" s="1868">
        <v>0.59282999999999997</v>
      </c>
      <c r="AS48" s="1868">
        <v>0.73329999999999995</v>
      </c>
      <c r="AT48" s="1868">
        <v>0.63423000000000007</v>
      </c>
      <c r="AU48" s="1868">
        <v>0.70830000000000004</v>
      </c>
      <c r="AV48" s="1868">
        <v>0.65912999999999999</v>
      </c>
      <c r="AW48" s="1868">
        <v>0.67737999999999998</v>
      </c>
      <c r="AX48" s="1868">
        <v>0.72018000000000004</v>
      </c>
      <c r="AY48" s="1868">
        <v>0.78064</v>
      </c>
      <c r="AZ48" s="1868">
        <v>0.83362999999999998</v>
      </c>
      <c r="BA48" s="1868">
        <v>0.80925000000000002</v>
      </c>
    </row>
    <row r="49" spans="1:53">
      <c r="A49" s="1865" t="str">
        <f t="shared" si="0"/>
        <v>AfricaPeas, green</v>
      </c>
      <c r="B49" s="1866" t="s">
        <v>302</v>
      </c>
      <c r="C49" s="1866" t="s">
        <v>1392</v>
      </c>
      <c r="D49" s="1868">
        <v>4.4409900000000002</v>
      </c>
      <c r="E49" s="1868">
        <v>5.7664</v>
      </c>
      <c r="F49" s="1868">
        <v>5.8026300000000006</v>
      </c>
      <c r="G49" s="1868">
        <v>5.7946499999999999</v>
      </c>
      <c r="H49" s="1868">
        <v>4.1428000000000003</v>
      </c>
      <c r="I49" s="1868">
        <v>5.7708199999999996</v>
      </c>
      <c r="J49" s="1868">
        <v>4.37643</v>
      </c>
      <c r="K49" s="1868">
        <v>4.7343000000000002</v>
      </c>
      <c r="L49" s="1868">
        <v>4.78484</v>
      </c>
      <c r="M49" s="1868">
        <v>4.5546499999999996</v>
      </c>
      <c r="N49" s="1868">
        <v>4.4176699999999993</v>
      </c>
      <c r="O49" s="1868">
        <v>4.9753300000000005</v>
      </c>
      <c r="P49" s="1868">
        <v>4.7524899999999999</v>
      </c>
      <c r="Q49" s="1868">
        <v>4.7380599999999999</v>
      </c>
      <c r="R49" s="1868">
        <v>5.0429599999999999</v>
      </c>
      <c r="S49" s="1868">
        <v>5.1258900000000001</v>
      </c>
      <c r="T49" s="1868">
        <v>4.8421199999999995</v>
      </c>
      <c r="U49" s="1868">
        <v>4.3771900000000006</v>
      </c>
      <c r="V49" s="1868">
        <v>4.4064800000000002</v>
      </c>
      <c r="W49" s="1868">
        <v>4.2979599999999998</v>
      </c>
      <c r="X49" s="1868">
        <v>4.4172799999999999</v>
      </c>
      <c r="Y49" s="1868">
        <v>4.8377300000000005</v>
      </c>
      <c r="Z49" s="1868">
        <v>5.3408199999999999</v>
      </c>
      <c r="AA49" s="1868">
        <v>5.0968900000000001</v>
      </c>
      <c r="AB49" s="1868">
        <v>5.3040599999999998</v>
      </c>
      <c r="AC49" s="1868">
        <v>4.9303699999999999</v>
      </c>
      <c r="AD49" s="1868">
        <v>4.9853300000000003</v>
      </c>
      <c r="AE49" s="1868">
        <v>4.8612900000000003</v>
      </c>
      <c r="AF49" s="1868">
        <v>5.3938499999999996</v>
      </c>
      <c r="AG49" s="1868">
        <v>5.9523199999999994</v>
      </c>
      <c r="AH49" s="1868">
        <v>5.4689199999999998</v>
      </c>
      <c r="AI49" s="1868">
        <v>4.7671999999999999</v>
      </c>
      <c r="AJ49" s="1868">
        <v>4.7332099999999997</v>
      </c>
      <c r="AK49" s="1868">
        <v>5.0620699999999994</v>
      </c>
      <c r="AL49" s="1868">
        <v>6.1280000000000001</v>
      </c>
      <c r="AM49" s="1868">
        <v>5.3731300000000006</v>
      </c>
      <c r="AN49" s="1868">
        <v>5.1144999999999996</v>
      </c>
      <c r="AO49" s="1868">
        <v>5.0637999999999996</v>
      </c>
      <c r="AP49" s="1868">
        <v>5.2595800000000006</v>
      </c>
      <c r="AQ49" s="1868">
        <v>6.3014900000000003</v>
      </c>
      <c r="AR49" s="1868">
        <v>5.7533300000000001</v>
      </c>
      <c r="AS49" s="1868">
        <v>5.9628800000000002</v>
      </c>
      <c r="AT49" s="1868">
        <v>6.0698999999999996</v>
      </c>
      <c r="AU49" s="1868">
        <v>6.6754600000000002</v>
      </c>
      <c r="AV49" s="1868">
        <v>6.1134900000000005</v>
      </c>
      <c r="AW49" s="1868">
        <v>5.3791599999999997</v>
      </c>
      <c r="AX49" s="1868">
        <v>6.1505900000000002</v>
      </c>
      <c r="AY49" s="1868">
        <v>6.4584099999999998</v>
      </c>
      <c r="AZ49" s="1868">
        <v>6.7358000000000002</v>
      </c>
      <c r="BA49" s="1868">
        <v>6.4982600000000001</v>
      </c>
    </row>
    <row r="50" spans="1:53">
      <c r="A50" s="1865" t="str">
        <f t="shared" si="0"/>
        <v>AfricaPineapples</v>
      </c>
      <c r="B50" s="1866" t="s">
        <v>302</v>
      </c>
      <c r="C50" s="1866" t="s">
        <v>1351</v>
      </c>
      <c r="D50" s="1868">
        <v>7.4988100000000006</v>
      </c>
      <c r="E50" s="1868">
        <v>7.4374100000000007</v>
      </c>
      <c r="F50" s="1868">
        <v>7.4140699999999997</v>
      </c>
      <c r="G50" s="1868">
        <v>7.5598000000000001</v>
      </c>
      <c r="H50" s="1868">
        <v>7.3870800000000001</v>
      </c>
      <c r="I50" s="1868">
        <v>7.5806899999999997</v>
      </c>
      <c r="J50" s="1868">
        <v>7.727339999999999</v>
      </c>
      <c r="K50" s="1868">
        <v>7.7953899999999994</v>
      </c>
      <c r="L50" s="1868">
        <v>7.7461500000000001</v>
      </c>
      <c r="M50" s="1868">
        <v>8.1938800000000001</v>
      </c>
      <c r="N50" s="1868">
        <v>8.4988399999999995</v>
      </c>
      <c r="O50" s="1868">
        <v>8.6944800000000004</v>
      </c>
      <c r="P50" s="1868">
        <v>8.840069999999999</v>
      </c>
      <c r="Q50" s="1868">
        <v>9.0409299999999995</v>
      </c>
      <c r="R50" s="1868">
        <v>9.35093</v>
      </c>
      <c r="S50" s="1868">
        <v>9.91418</v>
      </c>
      <c r="T50" s="1868">
        <v>9.7296999999999993</v>
      </c>
      <c r="U50" s="1868">
        <v>10.129560000000001</v>
      </c>
      <c r="V50" s="1868">
        <v>10.021269999999999</v>
      </c>
      <c r="W50" s="1868">
        <v>10.286949999999999</v>
      </c>
      <c r="X50" s="1868">
        <v>10.3559</v>
      </c>
      <c r="Y50" s="1868">
        <v>10.162599999999999</v>
      </c>
      <c r="Z50" s="1868">
        <v>10.070679999999999</v>
      </c>
      <c r="AA50" s="1868">
        <v>10.29829</v>
      </c>
      <c r="AB50" s="1868">
        <v>11.093780000000001</v>
      </c>
      <c r="AC50" s="1868">
        <v>11.32002</v>
      </c>
      <c r="AD50" s="1868">
        <v>10.802250000000001</v>
      </c>
      <c r="AE50" s="1868">
        <v>10.845080000000001</v>
      </c>
      <c r="AF50" s="1868">
        <v>10.866149999999999</v>
      </c>
      <c r="AG50" s="1868">
        <v>10.819419999999999</v>
      </c>
      <c r="AH50" s="1868">
        <v>10.633749999999999</v>
      </c>
      <c r="AI50" s="1868">
        <v>11.172969999999999</v>
      </c>
      <c r="AJ50" s="1868">
        <v>10.36786</v>
      </c>
      <c r="AK50" s="1868">
        <v>9.1662400000000002</v>
      </c>
      <c r="AL50" s="1868">
        <v>9.486930000000001</v>
      </c>
      <c r="AM50" s="1868">
        <v>9.5654500000000002</v>
      </c>
      <c r="AN50" s="1868">
        <v>10.9442</v>
      </c>
      <c r="AO50" s="1868">
        <v>11.54007</v>
      </c>
      <c r="AP50" s="1868">
        <v>11.39949</v>
      </c>
      <c r="AQ50" s="1868">
        <v>9.4928100000000004</v>
      </c>
      <c r="AR50" s="1868">
        <v>9.9844500000000007</v>
      </c>
      <c r="AS50" s="1868">
        <v>11.583449999999999</v>
      </c>
      <c r="AT50" s="1868">
        <v>10.770250000000001</v>
      </c>
      <c r="AU50" s="1868">
        <v>11.69877</v>
      </c>
      <c r="AV50" s="1868">
        <v>11.517530000000001</v>
      </c>
      <c r="AW50" s="1868">
        <v>10.441939999999999</v>
      </c>
      <c r="AX50" s="1868">
        <v>10.649150000000001</v>
      </c>
      <c r="AY50" s="1868">
        <v>10.012169999999999</v>
      </c>
      <c r="AZ50" s="1868">
        <v>8.656369999999999</v>
      </c>
      <c r="BA50" s="1868">
        <v>9.1719899999999992</v>
      </c>
    </row>
    <row r="51" spans="1:53">
      <c r="A51" s="1865" t="str">
        <f t="shared" si="0"/>
        <v>AfricaPlantains</v>
      </c>
      <c r="B51" s="1866" t="s">
        <v>302</v>
      </c>
      <c r="C51" s="1866" t="s">
        <v>1393</v>
      </c>
      <c r="D51" s="1868">
        <v>4.6859800000000007</v>
      </c>
      <c r="E51" s="1868">
        <v>4.8047599999999999</v>
      </c>
      <c r="F51" s="1868">
        <v>4.7556099999999999</v>
      </c>
      <c r="G51" s="1868">
        <v>4.8102099999999997</v>
      </c>
      <c r="H51" s="1868">
        <v>4.8154699999999995</v>
      </c>
      <c r="I51" s="1868">
        <v>4.9187500000000002</v>
      </c>
      <c r="J51" s="1868">
        <v>5.2690999999999999</v>
      </c>
      <c r="K51" s="1868">
        <v>5.2048500000000004</v>
      </c>
      <c r="L51" s="1868">
        <v>5.41995</v>
      </c>
      <c r="M51" s="1868">
        <v>5.8170900000000003</v>
      </c>
      <c r="N51" s="1868">
        <v>5.8710500000000003</v>
      </c>
      <c r="O51" s="1868">
        <v>5.9298699999999993</v>
      </c>
      <c r="P51" s="1868">
        <v>6.0196399999999999</v>
      </c>
      <c r="Q51" s="1868">
        <v>5.96014</v>
      </c>
      <c r="R51" s="1868">
        <v>6.0111699999999999</v>
      </c>
      <c r="S51" s="1868">
        <v>5.4942599999999997</v>
      </c>
      <c r="T51" s="1868">
        <v>5.4776199999999999</v>
      </c>
      <c r="U51" s="1868">
        <v>5.5658699999999994</v>
      </c>
      <c r="V51" s="1868">
        <v>4.9112300000000007</v>
      </c>
      <c r="W51" s="1868">
        <v>5.0037900000000004</v>
      </c>
      <c r="X51" s="1868">
        <v>5.1216599999999994</v>
      </c>
      <c r="Y51" s="1868">
        <v>5.2688800000000002</v>
      </c>
      <c r="Z51" s="1868">
        <v>4.8875500000000001</v>
      </c>
      <c r="AA51" s="1868">
        <v>4.8085900000000006</v>
      </c>
      <c r="AB51" s="1868">
        <v>4.9981599999999995</v>
      </c>
      <c r="AC51" s="1868">
        <v>5.0110700000000001</v>
      </c>
      <c r="AD51" s="1868">
        <v>5.4222099999999998</v>
      </c>
      <c r="AE51" s="1868">
        <v>5.2550800000000004</v>
      </c>
      <c r="AF51" s="1868">
        <v>5.4297599999999999</v>
      </c>
      <c r="AG51" s="1868">
        <v>5.3184300000000002</v>
      </c>
      <c r="AH51" s="1868">
        <v>5.3855599999999999</v>
      </c>
      <c r="AI51" s="1868">
        <v>5.2919499999999999</v>
      </c>
      <c r="AJ51" s="1868">
        <v>5.3183699999999998</v>
      </c>
      <c r="AK51" s="1868">
        <v>5.3857300000000006</v>
      </c>
      <c r="AL51" s="1868">
        <v>5.5541499999999999</v>
      </c>
      <c r="AM51" s="1868">
        <v>5.5335400000000003</v>
      </c>
      <c r="AN51" s="1868">
        <v>5.7304300000000001</v>
      </c>
      <c r="AO51" s="1868">
        <v>5.6729099999999999</v>
      </c>
      <c r="AP51" s="1868">
        <v>5.4816500000000001</v>
      </c>
      <c r="AQ51" s="1868">
        <v>5.40055</v>
      </c>
      <c r="AR51" s="1868">
        <v>5.2676300000000005</v>
      </c>
      <c r="AS51" s="1868">
        <v>5.5209599999999996</v>
      </c>
      <c r="AT51" s="1868">
        <v>5.3642000000000003</v>
      </c>
      <c r="AU51" s="1868">
        <v>5.5448699999999995</v>
      </c>
      <c r="AV51" s="1868">
        <v>5.7194799999999999</v>
      </c>
      <c r="AW51" s="1868">
        <v>5.79704</v>
      </c>
      <c r="AX51" s="1868">
        <v>6.0680500000000004</v>
      </c>
      <c r="AY51" s="1868">
        <v>6.1480499999999996</v>
      </c>
      <c r="AZ51" s="1868">
        <v>6.3128900000000003</v>
      </c>
      <c r="BA51" s="1868">
        <v>6.2140500000000003</v>
      </c>
    </row>
    <row r="52" spans="1:53">
      <c r="A52" s="1865" t="str">
        <f t="shared" si="0"/>
        <v>AfricaPotatoes</v>
      </c>
      <c r="B52" s="1866" t="s">
        <v>302</v>
      </c>
      <c r="C52" s="1866" t="s">
        <v>1394</v>
      </c>
      <c r="D52" s="1868">
        <v>8.1798600000000015</v>
      </c>
      <c r="E52" s="1868">
        <v>7.7205500000000002</v>
      </c>
      <c r="F52" s="1868">
        <v>7.8659399999999993</v>
      </c>
      <c r="G52" s="1868">
        <v>7.9027699999999994</v>
      </c>
      <c r="H52" s="1868">
        <v>8.191510000000001</v>
      </c>
      <c r="I52" s="1868">
        <v>8.3493899999999996</v>
      </c>
      <c r="J52" s="1868">
        <v>8.269169999999999</v>
      </c>
      <c r="K52" s="1868">
        <v>8.5805899999999991</v>
      </c>
      <c r="L52" s="1868">
        <v>8.2050900000000002</v>
      </c>
      <c r="M52" s="1868">
        <v>8.7581600000000002</v>
      </c>
      <c r="N52" s="1868">
        <v>8.1387100000000014</v>
      </c>
      <c r="O52" s="1868">
        <v>8.9003499999999995</v>
      </c>
      <c r="P52" s="1868">
        <v>8.5143300000000011</v>
      </c>
      <c r="Q52" s="1868">
        <v>8.4566600000000012</v>
      </c>
      <c r="R52" s="1868">
        <v>8.5599500000000006</v>
      </c>
      <c r="S52" s="1868">
        <v>8.6551600000000004</v>
      </c>
      <c r="T52" s="1868">
        <v>8.8702899999999989</v>
      </c>
      <c r="U52" s="1868">
        <v>8.8103600000000011</v>
      </c>
      <c r="V52" s="1868">
        <v>9.3175600000000003</v>
      </c>
      <c r="W52" s="1868">
        <v>9.3611399999999989</v>
      </c>
      <c r="X52" s="1868">
        <v>8.7576000000000001</v>
      </c>
      <c r="Y52" s="1868">
        <v>8.6480399999999999</v>
      </c>
      <c r="Z52" s="1868">
        <v>8.921660000000001</v>
      </c>
      <c r="AA52" s="1868">
        <v>9.0914699999999993</v>
      </c>
      <c r="AB52" s="1868">
        <v>9.9537899999999997</v>
      </c>
      <c r="AC52" s="1868">
        <v>10.032689999999999</v>
      </c>
      <c r="AD52" s="1868">
        <v>11.01164</v>
      </c>
      <c r="AE52" s="1868">
        <v>10.906080000000001</v>
      </c>
      <c r="AF52" s="1868">
        <v>10.968999999999999</v>
      </c>
      <c r="AG52" s="1868">
        <v>11.015369999999999</v>
      </c>
      <c r="AH52" s="1868">
        <v>11.011039999999999</v>
      </c>
      <c r="AI52" s="1868">
        <v>11.203669999999999</v>
      </c>
      <c r="AJ52" s="1868">
        <v>11.361239999999999</v>
      </c>
      <c r="AK52" s="1868">
        <v>11.31809</v>
      </c>
      <c r="AL52" s="1868">
        <v>12.110939999999999</v>
      </c>
      <c r="AM52" s="1868">
        <v>12.11721</v>
      </c>
      <c r="AN52" s="1868">
        <v>11.44922</v>
      </c>
      <c r="AO52" s="1868">
        <v>12.428879999999999</v>
      </c>
      <c r="AP52" s="1868">
        <v>10.810989999999999</v>
      </c>
      <c r="AQ52" s="1868">
        <v>10.53645</v>
      </c>
      <c r="AR52" s="1868">
        <v>11.11309</v>
      </c>
      <c r="AS52" s="1868">
        <v>10.966889999999999</v>
      </c>
      <c r="AT52" s="1868">
        <v>10.900130000000001</v>
      </c>
      <c r="AU52" s="1868">
        <v>10.91048</v>
      </c>
      <c r="AV52" s="1868">
        <v>10.315539999999999</v>
      </c>
      <c r="AW52" s="1868">
        <v>10.982799999999999</v>
      </c>
      <c r="AX52" s="1868">
        <v>10.80218</v>
      </c>
      <c r="AY52" s="1868">
        <v>11.86534</v>
      </c>
      <c r="AZ52" s="1868">
        <v>12.182460000000001</v>
      </c>
      <c r="BA52" s="1868">
        <v>12.994949999999999</v>
      </c>
    </row>
    <row r="53" spans="1:53">
      <c r="A53" s="1865" t="str">
        <f t="shared" si="0"/>
        <v>AfricaPulses, nes</v>
      </c>
      <c r="B53" s="1866" t="s">
        <v>302</v>
      </c>
      <c r="C53" s="1866" t="s">
        <v>1395</v>
      </c>
      <c r="D53" s="1868">
        <v>0.50570000000000004</v>
      </c>
      <c r="E53" s="1868">
        <v>0.54028999999999994</v>
      </c>
      <c r="F53" s="1868">
        <v>0.52638999999999991</v>
      </c>
      <c r="G53" s="1868">
        <v>0.53493000000000002</v>
      </c>
      <c r="H53" s="1868">
        <v>0.53717999999999999</v>
      </c>
      <c r="I53" s="1868">
        <v>0.51638000000000006</v>
      </c>
      <c r="J53" s="1868">
        <v>0.51329999999999998</v>
      </c>
      <c r="K53" s="1868">
        <v>0.51241000000000003</v>
      </c>
      <c r="L53" s="1868">
        <v>0.52063999999999999</v>
      </c>
      <c r="M53" s="1868">
        <v>0.50386999999999993</v>
      </c>
      <c r="N53" s="1868">
        <v>0.5081</v>
      </c>
      <c r="O53" s="1868">
        <v>0.51783999999999997</v>
      </c>
      <c r="P53" s="1868">
        <v>0.52843999999999991</v>
      </c>
      <c r="Q53" s="1868">
        <v>0.50324999999999998</v>
      </c>
      <c r="R53" s="1868">
        <v>0.52244999999999997</v>
      </c>
      <c r="S53" s="1868">
        <v>0.52191999999999994</v>
      </c>
      <c r="T53" s="1868">
        <v>0.4854</v>
      </c>
      <c r="U53" s="1868">
        <v>0.48758000000000001</v>
      </c>
      <c r="V53" s="1868">
        <v>0.49433999999999995</v>
      </c>
      <c r="W53" s="1868">
        <v>0.50111000000000006</v>
      </c>
      <c r="X53" s="1868">
        <v>0.46889999999999998</v>
      </c>
      <c r="Y53" s="1868">
        <v>0.50701000000000007</v>
      </c>
      <c r="Z53" s="1868">
        <v>0.56561000000000006</v>
      </c>
      <c r="AA53" s="1868">
        <v>0.47194999999999998</v>
      </c>
      <c r="AB53" s="1868">
        <v>0.45053000000000004</v>
      </c>
      <c r="AC53" s="1868">
        <v>0.52585000000000004</v>
      </c>
      <c r="AD53" s="1868">
        <v>0.45371000000000006</v>
      </c>
      <c r="AE53" s="1868">
        <v>0.43293999999999994</v>
      </c>
      <c r="AF53" s="1868">
        <v>0.44983999999999996</v>
      </c>
      <c r="AG53" s="1868">
        <v>0.41752</v>
      </c>
      <c r="AH53" s="1868">
        <v>0.40484999999999999</v>
      </c>
      <c r="AI53" s="1868">
        <v>0.39301999999999998</v>
      </c>
      <c r="AJ53" s="1868">
        <v>0.36989</v>
      </c>
      <c r="AK53" s="1868">
        <v>0.42011000000000004</v>
      </c>
      <c r="AL53" s="1868">
        <v>0.42616000000000004</v>
      </c>
      <c r="AM53" s="1868">
        <v>0.47418000000000005</v>
      </c>
      <c r="AN53" s="1868">
        <v>0.46124999999999999</v>
      </c>
      <c r="AO53" s="1868">
        <v>0.49626000000000003</v>
      </c>
      <c r="AP53" s="1868">
        <v>0.53905000000000003</v>
      </c>
      <c r="AQ53" s="1868">
        <v>0.55645</v>
      </c>
      <c r="AR53" s="1868">
        <v>0.53488999999999998</v>
      </c>
      <c r="AS53" s="1868">
        <v>0.62793999999999994</v>
      </c>
      <c r="AT53" s="1868">
        <v>0.62281999999999993</v>
      </c>
      <c r="AU53" s="1868">
        <v>0.59640000000000004</v>
      </c>
      <c r="AV53" s="1868">
        <v>0.55952999999999997</v>
      </c>
      <c r="AW53" s="1868">
        <v>0.56037999999999999</v>
      </c>
      <c r="AX53" s="1868">
        <v>0.58418000000000003</v>
      </c>
      <c r="AY53" s="1868">
        <v>0.57582</v>
      </c>
      <c r="AZ53" s="1868">
        <v>0.65985000000000005</v>
      </c>
      <c r="BA53" s="1868">
        <v>0.64215</v>
      </c>
    </row>
    <row r="54" spans="1:53">
      <c r="A54" s="1865" t="str">
        <f t="shared" si="0"/>
        <v>AfricaRice, paddy</v>
      </c>
      <c r="B54" s="1866" t="s">
        <v>302</v>
      </c>
      <c r="C54" s="1866" t="s">
        <v>1396</v>
      </c>
      <c r="D54" s="1868">
        <v>1.55203</v>
      </c>
      <c r="E54" s="1868">
        <v>1.8007799999999998</v>
      </c>
      <c r="F54" s="1868">
        <v>1.9112799999999999</v>
      </c>
      <c r="G54" s="1868">
        <v>1.8306500000000001</v>
      </c>
      <c r="H54" s="1868">
        <v>1.7468400000000002</v>
      </c>
      <c r="I54" s="1868">
        <v>1.7178</v>
      </c>
      <c r="J54" s="1868">
        <v>1.8656400000000002</v>
      </c>
      <c r="K54" s="1868">
        <v>1.9009499999999999</v>
      </c>
      <c r="L54" s="1868">
        <v>1.95713</v>
      </c>
      <c r="M54" s="1868">
        <v>1.9220900000000001</v>
      </c>
      <c r="N54" s="1868">
        <v>1.8835200000000001</v>
      </c>
      <c r="O54" s="1868">
        <v>1.8974299999999999</v>
      </c>
      <c r="P54" s="1868">
        <v>1.8490599999999999</v>
      </c>
      <c r="Q54" s="1868">
        <v>1.8937099999999998</v>
      </c>
      <c r="R54" s="1868">
        <v>1.8960999999999999</v>
      </c>
      <c r="S54" s="1868">
        <v>1.8224400000000001</v>
      </c>
      <c r="T54" s="1868">
        <v>1.7803799999999999</v>
      </c>
      <c r="U54" s="1868">
        <v>1.8102799999999999</v>
      </c>
      <c r="V54" s="1868">
        <v>1.7832599999999998</v>
      </c>
      <c r="W54" s="1868">
        <v>1.8291299999999999</v>
      </c>
      <c r="X54" s="1868">
        <v>1.7849900000000001</v>
      </c>
      <c r="Y54" s="1868">
        <v>1.8130900000000001</v>
      </c>
      <c r="Z54" s="1868">
        <v>1.8812400000000002</v>
      </c>
      <c r="AA54" s="1868">
        <v>1.87422</v>
      </c>
      <c r="AB54" s="1868">
        <v>1.9393799999999999</v>
      </c>
      <c r="AC54" s="1868">
        <v>1.95597</v>
      </c>
      <c r="AD54" s="1868">
        <v>2.0111699999999999</v>
      </c>
      <c r="AE54" s="1868">
        <v>1.91326</v>
      </c>
      <c r="AF54" s="1868">
        <v>2.0124400000000002</v>
      </c>
      <c r="AG54" s="1868">
        <v>2.10412</v>
      </c>
      <c r="AH54" s="1868">
        <v>2.08128</v>
      </c>
      <c r="AI54" s="1868">
        <v>2.09361</v>
      </c>
      <c r="AJ54" s="1868">
        <v>2.1900400000000002</v>
      </c>
      <c r="AK54" s="1868">
        <v>2.0523599999999997</v>
      </c>
      <c r="AL54" s="1868">
        <v>2.1335599999999997</v>
      </c>
      <c r="AM54" s="1868">
        <v>2.2603900000000001</v>
      </c>
      <c r="AN54" s="1868">
        <v>2.20492</v>
      </c>
      <c r="AO54" s="1868">
        <v>2.0977200000000003</v>
      </c>
      <c r="AP54" s="1868">
        <v>2.31229</v>
      </c>
      <c r="AQ54" s="1868">
        <v>2.3111599999999997</v>
      </c>
      <c r="AR54" s="1868">
        <v>2.20539</v>
      </c>
      <c r="AS54" s="1868">
        <v>2.24966</v>
      </c>
      <c r="AT54" s="1868">
        <v>2.3130700000000002</v>
      </c>
      <c r="AU54" s="1868">
        <v>2.2854400000000004</v>
      </c>
      <c r="AV54" s="1868">
        <v>2.3331300000000001</v>
      </c>
      <c r="AW54" s="1868">
        <v>2.4144999999999999</v>
      </c>
      <c r="AX54" s="1868">
        <v>2.4823900000000001</v>
      </c>
      <c r="AY54" s="1868">
        <v>2.6934</v>
      </c>
      <c r="AZ54" s="1868">
        <v>2.4873599999999998</v>
      </c>
      <c r="BA54" s="1868">
        <v>2.52495</v>
      </c>
    </row>
    <row r="55" spans="1:53">
      <c r="A55" s="1865" t="str">
        <f t="shared" si="0"/>
        <v>AfricaRoots and Tubers, nes</v>
      </c>
      <c r="B55" s="1866" t="s">
        <v>302</v>
      </c>
      <c r="C55" s="1866" t="s">
        <v>1356</v>
      </c>
      <c r="D55" s="1868">
        <v>3.23997</v>
      </c>
      <c r="E55" s="1868">
        <v>3.2951300000000003</v>
      </c>
      <c r="F55" s="1868">
        <v>3.3065000000000002</v>
      </c>
      <c r="G55" s="1868">
        <v>3.3184900000000002</v>
      </c>
      <c r="H55" s="1868">
        <v>3.3344199999999997</v>
      </c>
      <c r="I55" s="1868">
        <v>3.3537800000000004</v>
      </c>
      <c r="J55" s="1868">
        <v>3.3507300000000004</v>
      </c>
      <c r="K55" s="1868">
        <v>3.3602199999999995</v>
      </c>
      <c r="L55" s="1868">
        <v>3.3325900000000002</v>
      </c>
      <c r="M55" s="1868">
        <v>3.3385599999999998</v>
      </c>
      <c r="N55" s="1868">
        <v>3.3368099999999998</v>
      </c>
      <c r="O55" s="1868">
        <v>3.3477000000000001</v>
      </c>
      <c r="P55" s="1868">
        <v>3.6450900000000002</v>
      </c>
      <c r="Q55" s="1868">
        <v>3.9052699999999998</v>
      </c>
      <c r="R55" s="1868">
        <v>4.3147000000000002</v>
      </c>
      <c r="S55" s="1868">
        <v>4.6848099999999997</v>
      </c>
      <c r="T55" s="1868">
        <v>5.2550600000000003</v>
      </c>
      <c r="U55" s="1868">
        <v>5.9352999999999998</v>
      </c>
      <c r="V55" s="1868">
        <v>6.2331000000000003</v>
      </c>
      <c r="W55" s="1868">
        <v>6.3253599999999999</v>
      </c>
      <c r="X55" s="1868">
        <v>6.4738499999999997</v>
      </c>
      <c r="Y55" s="1868">
        <v>6.5911300000000006</v>
      </c>
      <c r="Z55" s="1868">
        <v>6.9002999999999997</v>
      </c>
      <c r="AA55" s="1868">
        <v>6.4959499999999997</v>
      </c>
      <c r="AB55" s="1868">
        <v>6.6215399999999995</v>
      </c>
      <c r="AC55" s="1868">
        <v>6.8182600000000004</v>
      </c>
      <c r="AD55" s="1868">
        <v>7.0730000000000004</v>
      </c>
      <c r="AE55" s="1868">
        <v>7.2396500000000001</v>
      </c>
      <c r="AF55" s="1868">
        <v>6.9860800000000003</v>
      </c>
      <c r="AG55" s="1868">
        <v>7.180439999999999</v>
      </c>
      <c r="AH55" s="1868">
        <v>7.0998399999999995</v>
      </c>
      <c r="AI55" s="1868">
        <v>7.0938300000000005</v>
      </c>
      <c r="AJ55" s="1868">
        <v>6.818410000000001</v>
      </c>
      <c r="AK55" s="1868">
        <v>6.9312300000000002</v>
      </c>
      <c r="AL55" s="1868">
        <v>7.1943399999999995</v>
      </c>
      <c r="AM55" s="1868">
        <v>7.3721199999999998</v>
      </c>
      <c r="AN55" s="1868">
        <v>7.1063300000000007</v>
      </c>
      <c r="AO55" s="1868">
        <v>7.4836899999999993</v>
      </c>
      <c r="AP55" s="1868">
        <v>7.45235</v>
      </c>
      <c r="AQ55" s="1868">
        <v>7.4854000000000003</v>
      </c>
      <c r="AR55" s="1868">
        <v>7.4613300000000002</v>
      </c>
      <c r="AS55" s="1868">
        <v>7.4751500000000002</v>
      </c>
      <c r="AT55" s="1868">
        <v>7.4980600000000006</v>
      </c>
      <c r="AU55" s="1868">
        <v>7.4652399999999997</v>
      </c>
      <c r="AV55" s="1868">
        <v>7.5169199999999998</v>
      </c>
      <c r="AW55" s="1868">
        <v>7.6763199999999996</v>
      </c>
      <c r="AX55" s="1868">
        <v>7.0511300000000006</v>
      </c>
      <c r="AY55" s="1868">
        <v>7.6870100000000008</v>
      </c>
      <c r="AZ55" s="1868">
        <v>7.6913100000000005</v>
      </c>
      <c r="BA55" s="1868">
        <v>10.24414</v>
      </c>
    </row>
    <row r="56" spans="1:53">
      <c r="A56" s="1865" t="str">
        <f t="shared" si="0"/>
        <v>AfricaRye</v>
      </c>
      <c r="B56" s="1866" t="s">
        <v>302</v>
      </c>
      <c r="C56" s="1866" t="s">
        <v>1353</v>
      </c>
      <c r="D56" s="1868">
        <v>0.19489999999999999</v>
      </c>
      <c r="E56" s="1868">
        <v>0.15698000000000001</v>
      </c>
      <c r="F56" s="1868">
        <v>0.20909</v>
      </c>
      <c r="G56" s="1868">
        <v>0.18090000000000001</v>
      </c>
      <c r="H56" s="1868">
        <v>0.11915000000000001</v>
      </c>
      <c r="I56" s="1868">
        <v>6.5759999999999999E-2</v>
      </c>
      <c r="J56" s="1868">
        <v>0.10668</v>
      </c>
      <c r="K56" s="1868">
        <v>8.052999999999999E-2</v>
      </c>
      <c r="L56" s="1868">
        <v>8.0600000000000005E-2</v>
      </c>
      <c r="M56" s="1868">
        <v>0.45663000000000004</v>
      </c>
      <c r="N56" s="1868">
        <v>0.26468000000000003</v>
      </c>
      <c r="O56" s="1868">
        <v>0.33613000000000004</v>
      </c>
      <c r="P56" s="1868">
        <v>0.41404999999999997</v>
      </c>
      <c r="Q56" s="1868">
        <v>0.2379</v>
      </c>
      <c r="R56" s="1868">
        <v>0.26163999999999998</v>
      </c>
      <c r="S56" s="1868">
        <v>0.28708</v>
      </c>
      <c r="T56" s="1868">
        <v>0.27189000000000002</v>
      </c>
      <c r="U56" s="1868">
        <v>0.40259</v>
      </c>
      <c r="V56" s="1868">
        <v>0.30809000000000003</v>
      </c>
      <c r="W56" s="1868">
        <v>0.28005999999999998</v>
      </c>
      <c r="X56" s="1868">
        <v>0.27650000000000002</v>
      </c>
      <c r="Y56" s="1868">
        <v>0.28192</v>
      </c>
      <c r="Z56" s="1868">
        <v>0.27528000000000002</v>
      </c>
      <c r="AA56" s="1868">
        <v>0.23873000000000003</v>
      </c>
      <c r="AB56" s="1868">
        <v>0.128</v>
      </c>
      <c r="AC56" s="1868">
        <v>0.13355999999999998</v>
      </c>
      <c r="AD56" s="1868">
        <v>0.14285999999999999</v>
      </c>
      <c r="AE56" s="1868">
        <v>0.10525999999999999</v>
      </c>
      <c r="AF56" s="1868">
        <v>0.21079000000000001</v>
      </c>
      <c r="AG56" s="1868">
        <v>0.30120999999999998</v>
      </c>
      <c r="AH56" s="1868">
        <v>0.2838</v>
      </c>
      <c r="AI56" s="1868">
        <v>0.45888000000000001</v>
      </c>
      <c r="AJ56" s="1868">
        <v>0.38880999999999999</v>
      </c>
      <c r="AK56" s="1868">
        <v>0.41426000000000002</v>
      </c>
      <c r="AL56" s="1868">
        <v>0.45639999999999997</v>
      </c>
      <c r="AM56" s="1868">
        <v>0.47313</v>
      </c>
      <c r="AN56" s="1868">
        <v>0.53012999999999999</v>
      </c>
      <c r="AO56" s="1868">
        <v>0.54348999999999992</v>
      </c>
      <c r="AP56" s="1868">
        <v>1.6558999999999999</v>
      </c>
      <c r="AQ56" s="1868">
        <v>1.7022599999999999</v>
      </c>
      <c r="AR56" s="1868">
        <v>1.7019900000000001</v>
      </c>
      <c r="AS56" s="1868">
        <v>1.8242499999999999</v>
      </c>
      <c r="AT56" s="1868">
        <v>1.8218099999999999</v>
      </c>
      <c r="AU56" s="1868">
        <v>1.8150200000000001</v>
      </c>
      <c r="AV56" s="1868">
        <v>1.73308</v>
      </c>
      <c r="AW56" s="1868">
        <v>1.8189900000000001</v>
      </c>
      <c r="AX56" s="1868">
        <v>1.74901</v>
      </c>
      <c r="AY56" s="1868">
        <v>1.6837299999999999</v>
      </c>
      <c r="AZ56" s="1868">
        <v>1.6783999999999999</v>
      </c>
      <c r="BA56" s="1868">
        <v>1.49837</v>
      </c>
    </row>
    <row r="57" spans="1:53">
      <c r="A57" s="1865" t="str">
        <f t="shared" si="0"/>
        <v>AfricaSeed cotton</v>
      </c>
      <c r="B57" s="1866" t="s">
        <v>302</v>
      </c>
      <c r="C57" s="1866" t="s">
        <v>1397</v>
      </c>
      <c r="D57" s="1868">
        <v>0.57646000000000008</v>
      </c>
      <c r="E57" s="1868">
        <v>0.73089999999999999</v>
      </c>
      <c r="F57" s="1868">
        <v>0.71316000000000002</v>
      </c>
      <c r="G57" s="1868">
        <v>0.70213000000000003</v>
      </c>
      <c r="H57" s="1868">
        <v>0.70721999999999996</v>
      </c>
      <c r="I57" s="1868">
        <v>0.69384000000000001</v>
      </c>
      <c r="J57" s="1868">
        <v>0.70421999999999996</v>
      </c>
      <c r="K57" s="1868">
        <v>0.71145000000000003</v>
      </c>
      <c r="L57" s="1868">
        <v>0.83840999999999999</v>
      </c>
      <c r="M57" s="1868">
        <v>0.80021999999999993</v>
      </c>
      <c r="N57" s="1868">
        <v>0.77098999999999995</v>
      </c>
      <c r="O57" s="1868">
        <v>0.77406000000000008</v>
      </c>
      <c r="P57" s="1868">
        <v>0.72251999999999994</v>
      </c>
      <c r="Q57" s="1868">
        <v>0.82358999999999993</v>
      </c>
      <c r="R57" s="1868">
        <v>0.78883000000000003</v>
      </c>
      <c r="S57" s="1868">
        <v>0.73585</v>
      </c>
      <c r="T57" s="1868">
        <v>0.75721000000000005</v>
      </c>
      <c r="U57" s="1868">
        <v>0.75609999999999999</v>
      </c>
      <c r="V57" s="1868">
        <v>0.85691000000000006</v>
      </c>
      <c r="W57" s="1868">
        <v>0.90267000000000008</v>
      </c>
      <c r="X57" s="1868">
        <v>0.94007999999999992</v>
      </c>
      <c r="Y57" s="1868">
        <v>0.95471000000000006</v>
      </c>
      <c r="Z57" s="1868">
        <v>0.92179999999999995</v>
      </c>
      <c r="AA57" s="1868">
        <v>0.93097000000000008</v>
      </c>
      <c r="AB57" s="1868">
        <v>1.0586799999999998</v>
      </c>
      <c r="AC57" s="1868">
        <v>1.02335</v>
      </c>
      <c r="AD57" s="1868">
        <v>1.0212600000000001</v>
      </c>
      <c r="AE57" s="1868">
        <v>1.0088999999999999</v>
      </c>
      <c r="AF57" s="1868">
        <v>1.00891</v>
      </c>
      <c r="AG57" s="1868">
        <v>0.98324</v>
      </c>
      <c r="AH57" s="1868">
        <v>0.92932000000000003</v>
      </c>
      <c r="AI57" s="1868">
        <v>0.95032000000000005</v>
      </c>
      <c r="AJ57" s="1868">
        <v>1.0400100000000001</v>
      </c>
      <c r="AK57" s="1868">
        <v>0.95312000000000008</v>
      </c>
      <c r="AL57" s="1868">
        <v>0.97776000000000007</v>
      </c>
      <c r="AM57" s="1868">
        <v>1.0489200000000001</v>
      </c>
      <c r="AN57" s="1868">
        <v>0.99642999999999993</v>
      </c>
      <c r="AO57" s="1868">
        <v>0.93912000000000007</v>
      </c>
      <c r="AP57" s="1868">
        <v>0.95399999999999996</v>
      </c>
      <c r="AQ57" s="1868">
        <v>0.93884000000000001</v>
      </c>
      <c r="AR57" s="1868">
        <v>0.98285</v>
      </c>
      <c r="AS57" s="1868">
        <v>0.94358999999999993</v>
      </c>
      <c r="AT57" s="1868">
        <v>0.97747000000000006</v>
      </c>
      <c r="AU57" s="1868">
        <v>0.99177999999999988</v>
      </c>
      <c r="AV57" s="1868">
        <v>0.96575</v>
      </c>
      <c r="AW57" s="1868">
        <v>0.99034999999999995</v>
      </c>
      <c r="AX57" s="1868">
        <v>0.98045000000000004</v>
      </c>
      <c r="AY57" s="1868">
        <v>1.01224</v>
      </c>
      <c r="AZ57" s="1868">
        <v>1.01057</v>
      </c>
      <c r="BA57" s="1868">
        <v>0.99565000000000003</v>
      </c>
    </row>
    <row r="58" spans="1:53">
      <c r="A58" s="1865" t="str">
        <f t="shared" si="0"/>
        <v>AfricaSesame seed</v>
      </c>
      <c r="B58" s="1866" t="s">
        <v>302</v>
      </c>
      <c r="C58" s="1866" t="s">
        <v>1345</v>
      </c>
      <c r="D58" s="1868">
        <v>0.42868000000000001</v>
      </c>
      <c r="E58" s="1868">
        <v>0.38761000000000001</v>
      </c>
      <c r="F58" s="1868">
        <v>0.35474</v>
      </c>
      <c r="G58" s="1868">
        <v>0.36038000000000003</v>
      </c>
      <c r="H58" s="1868">
        <v>0.36564999999999998</v>
      </c>
      <c r="I58" s="1868">
        <v>0.33534000000000003</v>
      </c>
      <c r="J58" s="1868">
        <v>0.33892</v>
      </c>
      <c r="K58" s="1868">
        <v>0.31259000000000003</v>
      </c>
      <c r="L58" s="1868">
        <v>0.33650999999999998</v>
      </c>
      <c r="M58" s="1868">
        <v>0.38495000000000001</v>
      </c>
      <c r="N58" s="1868">
        <v>0.38345000000000001</v>
      </c>
      <c r="O58" s="1868">
        <v>0.32756000000000002</v>
      </c>
      <c r="P58" s="1868">
        <v>0.32665</v>
      </c>
      <c r="Q58" s="1868">
        <v>0.32584000000000002</v>
      </c>
      <c r="R58" s="1868">
        <v>0.31413000000000002</v>
      </c>
      <c r="S58" s="1868">
        <v>0.32014000000000004</v>
      </c>
      <c r="T58" s="1868">
        <v>0.31437999999999999</v>
      </c>
      <c r="U58" s="1868">
        <v>0.29781999999999997</v>
      </c>
      <c r="V58" s="1868">
        <v>0.31138000000000005</v>
      </c>
      <c r="W58" s="1868">
        <v>0.30438000000000004</v>
      </c>
      <c r="X58" s="1868">
        <v>0.33300999999999997</v>
      </c>
      <c r="Y58" s="1868">
        <v>0.35331999999999997</v>
      </c>
      <c r="Z58" s="1868">
        <v>0.28486999999999996</v>
      </c>
      <c r="AA58" s="1868">
        <v>0.26434999999999997</v>
      </c>
      <c r="AB58" s="1868">
        <v>0.22854000000000002</v>
      </c>
      <c r="AC58" s="1868">
        <v>0.30330000000000001</v>
      </c>
      <c r="AD58" s="1868">
        <v>0.31</v>
      </c>
      <c r="AE58" s="1868">
        <v>0.25829999999999997</v>
      </c>
      <c r="AF58" s="1868">
        <v>0.24214000000000002</v>
      </c>
      <c r="AG58" s="1868">
        <v>0.34584000000000004</v>
      </c>
      <c r="AH58" s="1868">
        <v>0.33326</v>
      </c>
      <c r="AI58" s="1868">
        <v>0.28649000000000002</v>
      </c>
      <c r="AJ58" s="1868">
        <v>0.25313000000000002</v>
      </c>
      <c r="AK58" s="1868">
        <v>0.23613000000000001</v>
      </c>
      <c r="AL58" s="1868">
        <v>0.29463</v>
      </c>
      <c r="AM58" s="1868">
        <v>0.29531999999999997</v>
      </c>
      <c r="AN58" s="1868">
        <v>0.27221999999999996</v>
      </c>
      <c r="AO58" s="1868">
        <v>0.29146</v>
      </c>
      <c r="AP58" s="1868">
        <v>0.23876</v>
      </c>
      <c r="AQ58" s="1868">
        <v>0.23805999999999999</v>
      </c>
      <c r="AR58" s="1868">
        <v>0.30625000000000002</v>
      </c>
      <c r="AS58" s="1868">
        <v>0.28493000000000002</v>
      </c>
      <c r="AT58" s="1868">
        <v>0.33971000000000001</v>
      </c>
      <c r="AU58" s="1868">
        <v>0.37048999999999999</v>
      </c>
      <c r="AV58" s="1868">
        <v>0.36549999999999999</v>
      </c>
      <c r="AW58" s="1868">
        <v>0.37476999999999999</v>
      </c>
      <c r="AX58" s="1868">
        <v>0.40190999999999999</v>
      </c>
      <c r="AY58" s="1868">
        <v>0.40878999999999999</v>
      </c>
      <c r="AZ58" s="1868">
        <v>0.44983999999999996</v>
      </c>
      <c r="BA58" s="1868">
        <v>0.44219999999999998</v>
      </c>
    </row>
    <row r="59" spans="1:53">
      <c r="A59" s="1865" t="str">
        <f t="shared" si="0"/>
        <v>AfricaSisal</v>
      </c>
      <c r="B59" s="1866" t="s">
        <v>302</v>
      </c>
      <c r="C59" s="1866" t="s">
        <v>1398</v>
      </c>
      <c r="D59" s="1868">
        <v>0.86653999999999998</v>
      </c>
      <c r="E59" s="1868">
        <v>0.93315000000000003</v>
      </c>
      <c r="F59" s="1868">
        <v>0.93107000000000006</v>
      </c>
      <c r="G59" s="1868">
        <v>0.96766000000000008</v>
      </c>
      <c r="H59" s="1868">
        <v>0.95509999999999995</v>
      </c>
      <c r="I59" s="1868">
        <v>0.93815999999999999</v>
      </c>
      <c r="J59" s="1868">
        <v>0.87624000000000002</v>
      </c>
      <c r="K59" s="1868">
        <v>0.84957000000000005</v>
      </c>
      <c r="L59" s="1868">
        <v>0.88453999999999999</v>
      </c>
      <c r="M59" s="1868">
        <v>0.86353999999999997</v>
      </c>
      <c r="N59" s="1868">
        <v>0.88796000000000008</v>
      </c>
      <c r="O59" s="1868">
        <v>0.83267000000000002</v>
      </c>
      <c r="P59" s="1868">
        <v>0.90959000000000001</v>
      </c>
      <c r="Q59" s="1868">
        <v>0.93606</v>
      </c>
      <c r="R59" s="1868">
        <v>0.81023999999999996</v>
      </c>
      <c r="S59" s="1868">
        <v>0.85267999999999988</v>
      </c>
      <c r="T59" s="1868">
        <v>0.84372000000000003</v>
      </c>
      <c r="U59" s="1868">
        <v>0.70814999999999995</v>
      </c>
      <c r="V59" s="1868">
        <v>0.73946999999999996</v>
      </c>
      <c r="W59" s="1868">
        <v>0.70626999999999995</v>
      </c>
      <c r="X59" s="1868">
        <v>0.70662000000000003</v>
      </c>
      <c r="Y59" s="1868">
        <v>0.77146000000000003</v>
      </c>
      <c r="Z59" s="1868">
        <v>0.69838999999999996</v>
      </c>
      <c r="AA59" s="1868">
        <v>0.74829999999999997</v>
      </c>
      <c r="AB59" s="1868">
        <v>0.75131000000000003</v>
      </c>
      <c r="AC59" s="1868">
        <v>0.67832000000000003</v>
      </c>
      <c r="AD59" s="1868">
        <v>0.67700000000000005</v>
      </c>
      <c r="AE59" s="1868">
        <v>0.83140000000000003</v>
      </c>
      <c r="AF59" s="1868">
        <v>0.77941000000000005</v>
      </c>
      <c r="AG59" s="1868">
        <v>0.77146999999999999</v>
      </c>
      <c r="AH59" s="1868">
        <v>0.81891000000000003</v>
      </c>
      <c r="AI59" s="1868">
        <v>0.78796999999999995</v>
      </c>
      <c r="AJ59" s="1868">
        <v>0.86601000000000006</v>
      </c>
      <c r="AK59" s="1868">
        <v>0.85937000000000008</v>
      </c>
      <c r="AL59" s="1868">
        <v>0.81684999999999997</v>
      </c>
      <c r="AM59" s="1868">
        <v>0.76541000000000003</v>
      </c>
      <c r="AN59" s="1868">
        <v>0.89617999999999998</v>
      </c>
      <c r="AO59" s="1868">
        <v>0.67366999999999999</v>
      </c>
      <c r="AP59" s="1868">
        <v>0.70158999999999994</v>
      </c>
      <c r="AQ59" s="1868">
        <v>0.66759000000000002</v>
      </c>
      <c r="AR59" s="1868">
        <v>0.69408000000000003</v>
      </c>
      <c r="AS59" s="1868">
        <v>0.76554999999999995</v>
      </c>
      <c r="AT59" s="1868">
        <v>0.69563999999999993</v>
      </c>
      <c r="AU59" s="1868">
        <v>0.83426</v>
      </c>
      <c r="AV59" s="1868">
        <v>0.68635000000000002</v>
      </c>
      <c r="AW59" s="1868">
        <v>0.92383999999999999</v>
      </c>
      <c r="AX59" s="1868">
        <v>0.82522999999999991</v>
      </c>
      <c r="AY59" s="1868">
        <v>0.68694999999999995</v>
      </c>
      <c r="AZ59" s="1868">
        <v>0.56501999999999997</v>
      </c>
      <c r="BA59" s="1868">
        <v>0.71196000000000004</v>
      </c>
    </row>
    <row r="60" spans="1:53">
      <c r="A60" s="1865" t="str">
        <f t="shared" si="0"/>
        <v>AfricaSorghum</v>
      </c>
      <c r="B60" s="1866" t="s">
        <v>302</v>
      </c>
      <c r="C60" s="1866" t="s">
        <v>1399</v>
      </c>
      <c r="D60" s="1868">
        <v>0.80908999999999998</v>
      </c>
      <c r="E60" s="1868">
        <v>0.83450000000000002</v>
      </c>
      <c r="F60" s="1868">
        <v>0.79396999999999995</v>
      </c>
      <c r="G60" s="1868">
        <v>0.78006000000000009</v>
      </c>
      <c r="H60" s="1868">
        <v>0.75534999999999997</v>
      </c>
      <c r="I60" s="1868">
        <v>0.72908000000000006</v>
      </c>
      <c r="J60" s="1868">
        <v>0.78881999999999997</v>
      </c>
      <c r="K60" s="1868">
        <v>0.71145999999999998</v>
      </c>
      <c r="L60" s="1868">
        <v>0.66100000000000003</v>
      </c>
      <c r="M60" s="1868">
        <v>0.75888999999999995</v>
      </c>
      <c r="N60" s="1868">
        <v>0.77885000000000004</v>
      </c>
      <c r="O60" s="1868">
        <v>0.74077999999999999</v>
      </c>
      <c r="P60" s="1868">
        <v>0.70782</v>
      </c>
      <c r="Q60" s="1868">
        <v>0.89261000000000001</v>
      </c>
      <c r="R60" s="1868">
        <v>0.85797000000000012</v>
      </c>
      <c r="S60" s="1868">
        <v>0.75721000000000005</v>
      </c>
      <c r="T60" s="1868">
        <v>0.80325000000000002</v>
      </c>
      <c r="U60" s="1868">
        <v>0.79791000000000001</v>
      </c>
      <c r="V60" s="1868">
        <v>0.85362999999999989</v>
      </c>
      <c r="W60" s="1868">
        <v>0.91997000000000007</v>
      </c>
      <c r="X60" s="1868">
        <v>0.97398999999999991</v>
      </c>
      <c r="Y60" s="1868">
        <v>0.88497000000000003</v>
      </c>
      <c r="Z60" s="1868">
        <v>0.86411000000000004</v>
      </c>
      <c r="AA60" s="1868">
        <v>0.76102000000000003</v>
      </c>
      <c r="AB60" s="1868">
        <v>0.82245000000000001</v>
      </c>
      <c r="AC60" s="1868">
        <v>0.85903999999999991</v>
      </c>
      <c r="AD60" s="1868">
        <v>0.80713000000000001</v>
      </c>
      <c r="AE60" s="1868">
        <v>0.88542999999999994</v>
      </c>
      <c r="AF60" s="1868">
        <v>0.76949000000000001</v>
      </c>
      <c r="AG60" s="1868">
        <v>0.72801000000000005</v>
      </c>
      <c r="AH60" s="1868">
        <v>0.81623999999999997</v>
      </c>
      <c r="AI60" s="1868">
        <v>0.77668000000000004</v>
      </c>
      <c r="AJ60" s="1868">
        <v>0.75908999999999993</v>
      </c>
      <c r="AK60" s="1868">
        <v>0.77376999999999996</v>
      </c>
      <c r="AL60" s="1868">
        <v>0.82394000000000001</v>
      </c>
      <c r="AM60" s="1868">
        <v>0.87086000000000008</v>
      </c>
      <c r="AN60" s="1868">
        <v>0.7903</v>
      </c>
      <c r="AO60" s="1868">
        <v>0.87822000000000011</v>
      </c>
      <c r="AP60" s="1868">
        <v>0.86334</v>
      </c>
      <c r="AQ60" s="1868">
        <v>0.86593999999999993</v>
      </c>
      <c r="AR60" s="1868">
        <v>0.88039000000000001</v>
      </c>
      <c r="AS60" s="1868">
        <v>0.86965999999999999</v>
      </c>
      <c r="AT60" s="1868">
        <v>0.91342999999999996</v>
      </c>
      <c r="AU60" s="1868">
        <v>0.94915000000000005</v>
      </c>
      <c r="AV60" s="1868">
        <v>0.87727000000000011</v>
      </c>
      <c r="AW60" s="1868">
        <v>0.98092000000000013</v>
      </c>
      <c r="AX60" s="1868">
        <v>0.94802999999999993</v>
      </c>
      <c r="AY60" s="1868">
        <v>0.92849999999999999</v>
      </c>
      <c r="AZ60" s="1868">
        <v>0.90339999999999998</v>
      </c>
      <c r="BA60" s="1868">
        <v>0.84592999999999996</v>
      </c>
    </row>
    <row r="61" spans="1:53">
      <c r="A61" s="1865" t="str">
        <f t="shared" si="0"/>
        <v>AfricaSoybeans</v>
      </c>
      <c r="B61" s="1866" t="s">
        <v>302</v>
      </c>
      <c r="C61" s="1866" t="s">
        <v>1359</v>
      </c>
      <c r="D61" s="1868">
        <v>0.37585000000000002</v>
      </c>
      <c r="E61" s="1868">
        <v>0.39346999999999999</v>
      </c>
      <c r="F61" s="1868">
        <v>0.39484999999999998</v>
      </c>
      <c r="G61" s="1868">
        <v>0.36924000000000001</v>
      </c>
      <c r="H61" s="1868">
        <v>0.34799999999999998</v>
      </c>
      <c r="I61" s="1868">
        <v>0.37456999999999996</v>
      </c>
      <c r="J61" s="1868">
        <v>0.41886999999999996</v>
      </c>
      <c r="K61" s="1868">
        <v>0.4163</v>
      </c>
      <c r="L61" s="1868">
        <v>0.45958000000000004</v>
      </c>
      <c r="M61" s="1868">
        <v>0.43690000000000001</v>
      </c>
      <c r="N61" s="1868">
        <v>0.41206000000000004</v>
      </c>
      <c r="O61" s="1868">
        <v>0.43073</v>
      </c>
      <c r="P61" s="1868">
        <v>0.43576000000000004</v>
      </c>
      <c r="Q61" s="1868">
        <v>0.53856000000000004</v>
      </c>
      <c r="R61" s="1868">
        <v>0.55163999999999991</v>
      </c>
      <c r="S61" s="1868">
        <v>0.59418000000000004</v>
      </c>
      <c r="T61" s="1868">
        <v>0.65816000000000008</v>
      </c>
      <c r="U61" s="1868">
        <v>0.8444799999999999</v>
      </c>
      <c r="V61" s="1868">
        <v>0.8196</v>
      </c>
      <c r="W61" s="1868">
        <v>0.79843999999999993</v>
      </c>
      <c r="X61" s="1868">
        <v>0.79032000000000002</v>
      </c>
      <c r="Y61" s="1868">
        <v>0.79901999999999995</v>
      </c>
      <c r="Z61" s="1868">
        <v>0.91572999999999993</v>
      </c>
      <c r="AA61" s="1868">
        <v>0.91718999999999995</v>
      </c>
      <c r="AB61" s="1868">
        <v>1.01095</v>
      </c>
      <c r="AC61" s="1868">
        <v>0.93245</v>
      </c>
      <c r="AD61" s="1868">
        <v>0.84217000000000009</v>
      </c>
      <c r="AE61" s="1868">
        <v>0.80889</v>
      </c>
      <c r="AF61" s="1868">
        <v>0.70293000000000005</v>
      </c>
      <c r="AG61" s="1868">
        <v>0.67663999999999991</v>
      </c>
      <c r="AH61" s="1868">
        <v>0.83207999999999993</v>
      </c>
      <c r="AI61" s="1868">
        <v>0.57291999999999998</v>
      </c>
      <c r="AJ61" s="1868">
        <v>0.65566000000000002</v>
      </c>
      <c r="AK61" s="1868">
        <v>0.65338000000000007</v>
      </c>
      <c r="AL61" s="1868">
        <v>0.68279000000000001</v>
      </c>
      <c r="AM61" s="1868">
        <v>0.88690000000000002</v>
      </c>
      <c r="AN61" s="1868">
        <v>0.90693999999999997</v>
      </c>
      <c r="AO61" s="1868">
        <v>0.98988999999999994</v>
      </c>
      <c r="AP61" s="1868">
        <v>1.0255100000000001</v>
      </c>
      <c r="AQ61" s="1868">
        <v>1.0481799999999999</v>
      </c>
      <c r="AR61" s="1868">
        <v>1.0933700000000002</v>
      </c>
      <c r="AS61" s="1868">
        <v>1.0297399999999999</v>
      </c>
      <c r="AT61" s="1868">
        <v>0.99332000000000009</v>
      </c>
      <c r="AU61" s="1868">
        <v>1.0249999999999999</v>
      </c>
      <c r="AV61" s="1868">
        <v>1.0663</v>
      </c>
      <c r="AW61" s="1868">
        <v>1.12846</v>
      </c>
      <c r="AX61" s="1868">
        <v>1.00495</v>
      </c>
      <c r="AY61" s="1868">
        <v>1.12029</v>
      </c>
      <c r="AZ61" s="1868">
        <v>1.2530700000000001</v>
      </c>
      <c r="BA61" s="1868">
        <v>1.3309200000000001</v>
      </c>
    </row>
    <row r="62" spans="1:53">
      <c r="A62" s="1865" t="str">
        <f t="shared" si="0"/>
        <v>AfricaStrawberries</v>
      </c>
      <c r="B62" s="1866" t="s">
        <v>302</v>
      </c>
      <c r="C62" s="1866" t="s">
        <v>1400</v>
      </c>
      <c r="D62" s="1868">
        <v>2.95</v>
      </c>
      <c r="E62" s="1868">
        <v>3.165</v>
      </c>
      <c r="F62" s="1868">
        <v>4.2359999999999998</v>
      </c>
      <c r="G62" s="1868">
        <v>3.016</v>
      </c>
      <c r="H62" s="1868">
        <v>3.78</v>
      </c>
      <c r="I62" s="1868">
        <v>3.5720000000000001</v>
      </c>
      <c r="J62" s="1868">
        <v>3.49</v>
      </c>
      <c r="K62" s="1868">
        <v>3.94</v>
      </c>
      <c r="L62" s="1868">
        <v>3.6240000000000001</v>
      </c>
      <c r="M62" s="1868">
        <v>3.968</v>
      </c>
      <c r="N62" s="1868">
        <v>3.92</v>
      </c>
      <c r="O62" s="1868">
        <v>4.2175000000000002</v>
      </c>
      <c r="P62" s="1868">
        <v>5.4760900000000001</v>
      </c>
      <c r="Q62" s="1868">
        <v>5.4218400000000004</v>
      </c>
      <c r="R62" s="1868">
        <v>4.7388500000000002</v>
      </c>
      <c r="S62" s="1868">
        <v>4.5714300000000003</v>
      </c>
      <c r="T62" s="1868">
        <v>4.5258400000000005</v>
      </c>
      <c r="U62" s="1868">
        <v>4.6692</v>
      </c>
      <c r="V62" s="1868">
        <v>4.4088199999999995</v>
      </c>
      <c r="W62" s="1868">
        <v>4.8859000000000004</v>
      </c>
      <c r="X62" s="1868">
        <v>4.8943500000000002</v>
      </c>
      <c r="Y62" s="1868">
        <v>6.7739000000000003</v>
      </c>
      <c r="Z62" s="1868">
        <v>7.9714300000000007</v>
      </c>
      <c r="AA62" s="1868">
        <v>8.0437399999999997</v>
      </c>
      <c r="AB62" s="1868">
        <v>8.9044100000000004</v>
      </c>
      <c r="AC62" s="1868">
        <v>12.997260000000001</v>
      </c>
      <c r="AD62" s="1868">
        <v>12.24433</v>
      </c>
      <c r="AE62" s="1868">
        <v>11.873989999999999</v>
      </c>
      <c r="AF62" s="1868">
        <v>12.703099999999999</v>
      </c>
      <c r="AG62" s="1868">
        <v>13.905429999999999</v>
      </c>
      <c r="AH62" s="1868">
        <v>12.724860000000001</v>
      </c>
      <c r="AI62" s="1868">
        <v>12.425039999999999</v>
      </c>
      <c r="AJ62" s="1868">
        <v>12.45871</v>
      </c>
      <c r="AK62" s="1868">
        <v>12.44145</v>
      </c>
      <c r="AL62" s="1868">
        <v>14.007339999999999</v>
      </c>
      <c r="AM62" s="1868">
        <v>17.865860000000001</v>
      </c>
      <c r="AN62" s="1868">
        <v>21.322210000000002</v>
      </c>
      <c r="AO62" s="1868">
        <v>22.639870000000002</v>
      </c>
      <c r="AP62" s="1868">
        <v>25.18684</v>
      </c>
      <c r="AQ62" s="1868">
        <v>30.186170000000001</v>
      </c>
      <c r="AR62" s="1868">
        <v>26.622290000000003</v>
      </c>
      <c r="AS62" s="1868">
        <v>27.854849999999999</v>
      </c>
      <c r="AT62" s="1868">
        <v>29.53312</v>
      </c>
      <c r="AU62" s="1868">
        <v>29.982090000000003</v>
      </c>
      <c r="AV62" s="1868">
        <v>29.381459999999997</v>
      </c>
      <c r="AW62" s="1868">
        <v>18.21292</v>
      </c>
      <c r="AX62" s="1868">
        <v>16.281029999999998</v>
      </c>
      <c r="AY62" s="1868">
        <v>36.906410000000001</v>
      </c>
      <c r="AZ62" s="1868">
        <v>61.191130000000001</v>
      </c>
      <c r="BA62" s="1868">
        <v>42.283439999999999</v>
      </c>
    </row>
    <row r="63" spans="1:53">
      <c r="A63" s="1865" t="str">
        <f t="shared" si="0"/>
        <v>AfricaSugar beet</v>
      </c>
      <c r="B63" s="1866" t="s">
        <v>302</v>
      </c>
      <c r="C63" s="1866" t="s">
        <v>1358</v>
      </c>
      <c r="D63" s="1868">
        <v>19.633329999999997</v>
      </c>
      <c r="E63" s="1868">
        <v>20.683800000000002</v>
      </c>
      <c r="F63" s="1868">
        <v>19.406330000000001</v>
      </c>
      <c r="G63" s="1868">
        <v>17.343389999999999</v>
      </c>
      <c r="H63" s="1868">
        <v>14.528479999999998</v>
      </c>
      <c r="I63" s="1868">
        <v>24.291520000000002</v>
      </c>
      <c r="J63" s="1868">
        <v>18.169039999999999</v>
      </c>
      <c r="K63" s="1868">
        <v>27.622809999999998</v>
      </c>
      <c r="L63" s="1868">
        <v>27.566740000000003</v>
      </c>
      <c r="M63" s="1868">
        <v>30.144820000000003</v>
      </c>
      <c r="N63" s="1868">
        <v>35.930859999999996</v>
      </c>
      <c r="O63" s="1868">
        <v>27.112759999999998</v>
      </c>
      <c r="P63" s="1868">
        <v>27.605370000000001</v>
      </c>
      <c r="Q63" s="1868">
        <v>32.63991</v>
      </c>
      <c r="R63" s="1868">
        <v>27.981870000000001</v>
      </c>
      <c r="S63" s="1868">
        <v>33.997</v>
      </c>
      <c r="T63" s="1868">
        <v>30.303850000000001</v>
      </c>
      <c r="U63" s="1868">
        <v>38.538229999999999</v>
      </c>
      <c r="V63" s="1868">
        <v>33.548749999999998</v>
      </c>
      <c r="W63" s="1868">
        <v>34.032790000000006</v>
      </c>
      <c r="X63" s="1868">
        <v>35.979659999999996</v>
      </c>
      <c r="Y63" s="1868">
        <v>38.713270000000001</v>
      </c>
      <c r="Z63" s="1868">
        <v>36.840809999999998</v>
      </c>
      <c r="AA63" s="1868">
        <v>43.372669999999999</v>
      </c>
      <c r="AB63" s="1868">
        <v>37.52458</v>
      </c>
      <c r="AC63" s="1868">
        <v>43.550509999999996</v>
      </c>
      <c r="AD63" s="1868">
        <v>44.805259999999997</v>
      </c>
      <c r="AE63" s="1868">
        <v>46.962260000000001</v>
      </c>
      <c r="AF63" s="1868">
        <v>44.805590000000002</v>
      </c>
      <c r="AG63" s="1868">
        <v>45.853349999999999</v>
      </c>
      <c r="AH63" s="1868">
        <v>46.139569999999999</v>
      </c>
      <c r="AI63" s="1868">
        <v>51.3583</v>
      </c>
      <c r="AJ63" s="1868">
        <v>48.453769999999999</v>
      </c>
      <c r="AK63" s="1868">
        <v>48.921900000000001</v>
      </c>
      <c r="AL63" s="1868">
        <v>46.047640000000001</v>
      </c>
      <c r="AM63" s="1868">
        <v>46.513009999999994</v>
      </c>
      <c r="AN63" s="1868">
        <v>42.060229999999997</v>
      </c>
      <c r="AO63" s="1868">
        <v>51.465070000000004</v>
      </c>
      <c r="AP63" s="1868">
        <v>50.395070000000004</v>
      </c>
      <c r="AQ63" s="1868">
        <v>51.936109999999999</v>
      </c>
      <c r="AR63" s="1868">
        <v>50.506159999999994</v>
      </c>
      <c r="AS63" s="1868">
        <v>49.589599999999997</v>
      </c>
      <c r="AT63" s="1868">
        <v>50.967040000000004</v>
      </c>
      <c r="AU63" s="1868">
        <v>51.044069999999998</v>
      </c>
      <c r="AV63" s="1868">
        <v>48.1462</v>
      </c>
      <c r="AW63" s="1868">
        <v>50.59404</v>
      </c>
      <c r="AX63" s="1868">
        <v>51.331720000000004</v>
      </c>
      <c r="AY63" s="1868">
        <v>48.804949999999998</v>
      </c>
      <c r="AZ63" s="1868">
        <v>50.004199999999997</v>
      </c>
      <c r="BA63" s="1868">
        <v>57.750269999999993</v>
      </c>
    </row>
    <row r="64" spans="1:53">
      <c r="A64" s="1865" t="str">
        <f t="shared" si="0"/>
        <v>AfricaSugar cane</v>
      </c>
      <c r="B64" s="1866" t="s">
        <v>302</v>
      </c>
      <c r="C64" s="1866" t="s">
        <v>1401</v>
      </c>
      <c r="D64" s="1868">
        <v>65.898820000000001</v>
      </c>
      <c r="E64" s="1868">
        <v>66.807069999999996</v>
      </c>
      <c r="F64" s="1868">
        <v>64.688190000000006</v>
      </c>
      <c r="G64" s="1868">
        <v>62.63111</v>
      </c>
      <c r="H64" s="1868">
        <v>59.363289999999999</v>
      </c>
      <c r="I64" s="1868">
        <v>64.882599999999996</v>
      </c>
      <c r="J64" s="1868">
        <v>68.23124</v>
      </c>
      <c r="K64" s="1868">
        <v>64.065659999999994</v>
      </c>
      <c r="L64" s="1868">
        <v>67.271769999999989</v>
      </c>
      <c r="M64" s="1868">
        <v>63.083630000000007</v>
      </c>
      <c r="N64" s="1868">
        <v>68.293569999999988</v>
      </c>
      <c r="O64" s="1868">
        <v>70.150599999999997</v>
      </c>
      <c r="P64" s="1868">
        <v>68.082660000000004</v>
      </c>
      <c r="Q64" s="1868">
        <v>66.884450000000001</v>
      </c>
      <c r="R64" s="1868">
        <v>63.945790000000002</v>
      </c>
      <c r="S64" s="1868">
        <v>67.008330000000001</v>
      </c>
      <c r="T64" s="1868">
        <v>65.750389999999996</v>
      </c>
      <c r="U64" s="1868">
        <v>65.563079999999999</v>
      </c>
      <c r="V64" s="1868">
        <v>65.456299999999999</v>
      </c>
      <c r="W64" s="1868">
        <v>61.421399999999998</v>
      </c>
      <c r="X64" s="1868">
        <v>65.725740000000002</v>
      </c>
      <c r="Y64" s="1868">
        <v>64.771649999999994</v>
      </c>
      <c r="Z64" s="1868">
        <v>57.898319999999998</v>
      </c>
      <c r="AA64" s="1868">
        <v>61.562330000000003</v>
      </c>
      <c r="AB64" s="1868">
        <v>58.5092</v>
      </c>
      <c r="AC64" s="1868">
        <v>59.144090000000006</v>
      </c>
      <c r="AD64" s="1868">
        <v>60.141530000000003</v>
      </c>
      <c r="AE64" s="1868">
        <v>60.342869999999998</v>
      </c>
      <c r="AF64" s="1868">
        <v>62.185850000000002</v>
      </c>
      <c r="AG64" s="1868">
        <v>61.079319999999996</v>
      </c>
      <c r="AH64" s="1868">
        <v>63.554349999999999</v>
      </c>
      <c r="AI64" s="1868">
        <v>57.286700000000003</v>
      </c>
      <c r="AJ64" s="1868">
        <v>54.85239</v>
      </c>
      <c r="AK64" s="1868">
        <v>59.975650000000002</v>
      </c>
      <c r="AL64" s="1868">
        <v>62.172109999999996</v>
      </c>
      <c r="AM64" s="1868">
        <v>64.579509999999999</v>
      </c>
      <c r="AN64" s="1868">
        <v>66.927610000000001</v>
      </c>
      <c r="AO64" s="1868">
        <v>67.154420000000002</v>
      </c>
      <c r="AP64" s="1868">
        <v>64.550119999999993</v>
      </c>
      <c r="AQ64" s="1868">
        <v>66.401630000000011</v>
      </c>
      <c r="AR64" s="1868">
        <v>64.539619999999999</v>
      </c>
      <c r="AS64" s="1868">
        <v>62.640560000000001</v>
      </c>
      <c r="AT64" s="1868">
        <v>60.055149999999998</v>
      </c>
      <c r="AU64" s="1868">
        <v>60.067100000000003</v>
      </c>
      <c r="AV64" s="1868">
        <v>59.877580000000002</v>
      </c>
      <c r="AW64" s="1868">
        <v>61.410469999999997</v>
      </c>
      <c r="AX64" s="1868">
        <v>59.537909999999997</v>
      </c>
      <c r="AY64" s="1868">
        <v>58.925530000000002</v>
      </c>
      <c r="AZ64" s="1868">
        <v>59.195459999999997</v>
      </c>
      <c r="BA64" s="1868">
        <v>57.753149999999998</v>
      </c>
    </row>
    <row r="65" spans="1:53">
      <c r="A65" s="1865" t="str">
        <f t="shared" si="0"/>
        <v>AfricaSunflower seed</v>
      </c>
      <c r="B65" s="1866" t="s">
        <v>302</v>
      </c>
      <c r="C65" s="1866" t="s">
        <v>1402</v>
      </c>
      <c r="D65" s="1868">
        <v>0.56436000000000008</v>
      </c>
      <c r="E65" s="1868">
        <v>0.59546999999999994</v>
      </c>
      <c r="F65" s="1868">
        <v>0.56118999999999997</v>
      </c>
      <c r="G65" s="1868">
        <v>0.53476999999999997</v>
      </c>
      <c r="H65" s="1868">
        <v>0.51217999999999997</v>
      </c>
      <c r="I65" s="1868">
        <v>0.55096999999999996</v>
      </c>
      <c r="J65" s="1868">
        <v>0.67453999999999992</v>
      </c>
      <c r="K65" s="1868">
        <v>0.52068999999999999</v>
      </c>
      <c r="L65" s="1868">
        <v>0.52103999999999995</v>
      </c>
      <c r="M65" s="1868">
        <v>0.56878000000000006</v>
      </c>
      <c r="N65" s="1868">
        <v>0.69199999999999995</v>
      </c>
      <c r="O65" s="1868">
        <v>0.76218999999999992</v>
      </c>
      <c r="P65" s="1868">
        <v>0.70179999999999998</v>
      </c>
      <c r="Q65" s="1868">
        <v>0.90708999999999995</v>
      </c>
      <c r="R65" s="1868">
        <v>0.79048000000000007</v>
      </c>
      <c r="S65" s="1868">
        <v>0.83652999999999988</v>
      </c>
      <c r="T65" s="1868">
        <v>0.97558999999999996</v>
      </c>
      <c r="U65" s="1868">
        <v>0.76223999999999992</v>
      </c>
      <c r="V65" s="1868">
        <v>0.7893</v>
      </c>
      <c r="W65" s="1868">
        <v>0.94647000000000003</v>
      </c>
      <c r="X65" s="1868">
        <v>1.1852200000000002</v>
      </c>
      <c r="Y65" s="1868">
        <v>0.80416999999999994</v>
      </c>
      <c r="Z65" s="1868">
        <v>0.68171000000000004</v>
      </c>
      <c r="AA65" s="1868">
        <v>0.56657999999999997</v>
      </c>
      <c r="AB65" s="1868">
        <v>0.70765</v>
      </c>
      <c r="AC65" s="1868">
        <v>0.72161999999999993</v>
      </c>
      <c r="AD65" s="1868">
        <v>0.79688999999999999</v>
      </c>
      <c r="AE65" s="1868">
        <v>0.79996999999999996</v>
      </c>
      <c r="AF65" s="1868">
        <v>0.78905000000000003</v>
      </c>
      <c r="AG65" s="1868">
        <v>0.91597000000000006</v>
      </c>
      <c r="AH65" s="1868">
        <v>0.80903000000000003</v>
      </c>
      <c r="AI65" s="1868">
        <v>0.49853000000000003</v>
      </c>
      <c r="AJ65" s="1868">
        <v>0.61358000000000001</v>
      </c>
      <c r="AK65" s="1868">
        <v>0.74907999999999997</v>
      </c>
      <c r="AL65" s="1868">
        <v>0.74407000000000001</v>
      </c>
      <c r="AM65" s="1868">
        <v>0.98333999999999999</v>
      </c>
      <c r="AN65" s="1868">
        <v>0.82410000000000005</v>
      </c>
      <c r="AO65" s="1868">
        <v>0.91387000000000007</v>
      </c>
      <c r="AP65" s="1868">
        <v>1.1891200000000002</v>
      </c>
      <c r="AQ65" s="1868">
        <v>1.1108499999999999</v>
      </c>
      <c r="AR65" s="1868">
        <v>1.077</v>
      </c>
      <c r="AS65" s="1868">
        <v>1.1912100000000001</v>
      </c>
      <c r="AT65" s="1868">
        <v>1.03376</v>
      </c>
      <c r="AU65" s="1868">
        <v>0.98242999999999991</v>
      </c>
      <c r="AV65" s="1868">
        <v>1.0563899999999999</v>
      </c>
      <c r="AW65" s="1868">
        <v>0.92715000000000003</v>
      </c>
      <c r="AX65" s="1868">
        <v>0.86634</v>
      </c>
      <c r="AY65" s="1868">
        <v>1.14751</v>
      </c>
      <c r="AZ65" s="1868">
        <v>0.98014000000000001</v>
      </c>
      <c r="BA65" s="1868">
        <v>0.97561000000000009</v>
      </c>
    </row>
    <row r="66" spans="1:53">
      <c r="A66" s="1865" t="str">
        <f t="shared" si="0"/>
        <v>AfricaSweet potatoes</v>
      </c>
      <c r="B66" s="1866" t="s">
        <v>302</v>
      </c>
      <c r="C66" s="1866" t="s">
        <v>1403</v>
      </c>
      <c r="D66" s="1868">
        <v>5.2812000000000001</v>
      </c>
      <c r="E66" s="1868">
        <v>5.2802499999999997</v>
      </c>
      <c r="F66" s="1868">
        <v>5.1504900000000005</v>
      </c>
      <c r="G66" s="1868">
        <v>5.0537599999999996</v>
      </c>
      <c r="H66" s="1868">
        <v>4.9435900000000004</v>
      </c>
      <c r="I66" s="1868">
        <v>5.3834</v>
      </c>
      <c r="J66" s="1868">
        <v>6.0768599999999999</v>
      </c>
      <c r="K66" s="1868">
        <v>5.94625</v>
      </c>
      <c r="L66" s="1868">
        <v>4.8320300000000005</v>
      </c>
      <c r="M66" s="1868">
        <v>4.7989100000000002</v>
      </c>
      <c r="N66" s="1868">
        <v>4.2402800000000003</v>
      </c>
      <c r="O66" s="1868">
        <v>3.8981599999999998</v>
      </c>
      <c r="P66" s="1868">
        <v>4.3031699999999997</v>
      </c>
      <c r="Q66" s="1868">
        <v>4.4472100000000001</v>
      </c>
      <c r="R66" s="1868">
        <v>4.5027699999999999</v>
      </c>
      <c r="S66" s="1868">
        <v>4.5581199999999997</v>
      </c>
      <c r="T66" s="1868">
        <v>4.5929500000000001</v>
      </c>
      <c r="U66" s="1868">
        <v>4.7671099999999997</v>
      </c>
      <c r="V66" s="1868">
        <v>5.3852099999999998</v>
      </c>
      <c r="W66" s="1868">
        <v>5.3817199999999996</v>
      </c>
      <c r="X66" s="1868">
        <v>5.1147499999999999</v>
      </c>
      <c r="Y66" s="1868">
        <v>5.2704699999999995</v>
      </c>
      <c r="Z66" s="1868">
        <v>4.9178499999999996</v>
      </c>
      <c r="AA66" s="1868">
        <v>5.0624799999999999</v>
      </c>
      <c r="AB66" s="1868">
        <v>4.73508</v>
      </c>
      <c r="AC66" s="1868">
        <v>4.89269</v>
      </c>
      <c r="AD66" s="1868">
        <v>4.6864300000000005</v>
      </c>
      <c r="AE66" s="1868">
        <v>4.8585000000000003</v>
      </c>
      <c r="AF66" s="1868">
        <v>4.55769</v>
      </c>
      <c r="AG66" s="1868">
        <v>4.2761300000000002</v>
      </c>
      <c r="AH66" s="1868">
        <v>4.6074599999999997</v>
      </c>
      <c r="AI66" s="1868">
        <v>4.5481699999999998</v>
      </c>
      <c r="AJ66" s="1868">
        <v>4.5963000000000003</v>
      </c>
      <c r="AK66" s="1868">
        <v>4.5875500000000002</v>
      </c>
      <c r="AL66" s="1868">
        <v>4.3039199999999997</v>
      </c>
      <c r="AM66" s="1868">
        <v>3.9742500000000001</v>
      </c>
      <c r="AN66" s="1868">
        <v>4.3064300000000006</v>
      </c>
      <c r="AO66" s="1868">
        <v>4.2986300000000002</v>
      </c>
      <c r="AP66" s="1868">
        <v>4.1154199999999994</v>
      </c>
      <c r="AQ66" s="1868">
        <v>3.7926199999999999</v>
      </c>
      <c r="AR66" s="1868">
        <v>4.0335199999999993</v>
      </c>
      <c r="AS66" s="1868">
        <v>4.26694</v>
      </c>
      <c r="AT66" s="1868">
        <v>4.3816199999999998</v>
      </c>
      <c r="AU66" s="1868">
        <v>4.2353399999999999</v>
      </c>
      <c r="AV66" s="1868">
        <v>4.3980800000000002</v>
      </c>
      <c r="AW66" s="1868">
        <v>4.5066100000000002</v>
      </c>
      <c r="AX66" s="1868">
        <v>4.2211699999999999</v>
      </c>
      <c r="AY66" s="1868">
        <v>4.5565699999999998</v>
      </c>
      <c r="AZ66" s="1868">
        <v>4.6014800000000005</v>
      </c>
      <c r="BA66" s="1868">
        <v>4.4372099999999994</v>
      </c>
    </row>
    <row r="67" spans="1:53">
      <c r="A67" s="1865" t="str">
        <f t="shared" si="0"/>
        <v>AfricaTangerines, mandarins, clem.</v>
      </c>
      <c r="B67" s="1866" t="s">
        <v>302</v>
      </c>
      <c r="C67" s="1866" t="s">
        <v>1404</v>
      </c>
      <c r="D67" s="1868">
        <v>10.06537</v>
      </c>
      <c r="E67" s="1868">
        <v>10.91873</v>
      </c>
      <c r="F67" s="1868">
        <v>10.427339999999999</v>
      </c>
      <c r="G67" s="1868">
        <v>11.27481</v>
      </c>
      <c r="H67" s="1868">
        <v>11.7463</v>
      </c>
      <c r="I67" s="1868">
        <v>13.432789999999999</v>
      </c>
      <c r="J67" s="1868">
        <v>14.725179999999998</v>
      </c>
      <c r="K67" s="1868">
        <v>14.557160000000001</v>
      </c>
      <c r="L67" s="1868">
        <v>14.96766</v>
      </c>
      <c r="M67" s="1868">
        <v>15.468570000000001</v>
      </c>
      <c r="N67" s="1868">
        <v>16.892099999999999</v>
      </c>
      <c r="O67" s="1868">
        <v>17.54166</v>
      </c>
      <c r="P67" s="1868">
        <v>17.208479999999998</v>
      </c>
      <c r="Q67" s="1868">
        <v>18.90634</v>
      </c>
      <c r="R67" s="1868">
        <v>15.163379999999998</v>
      </c>
      <c r="S67" s="1868">
        <v>16.40052</v>
      </c>
      <c r="T67" s="1868">
        <v>19.664170000000002</v>
      </c>
      <c r="U67" s="1868">
        <v>22.927150000000001</v>
      </c>
      <c r="V67" s="1868">
        <v>22.498100000000001</v>
      </c>
      <c r="W67" s="1868">
        <v>20.63251</v>
      </c>
      <c r="X67" s="1868">
        <v>21.955310000000001</v>
      </c>
      <c r="Y67" s="1868">
        <v>24.14649</v>
      </c>
      <c r="Z67" s="1868">
        <v>20.461079999999999</v>
      </c>
      <c r="AA67" s="1868">
        <v>19.20937</v>
      </c>
      <c r="AB67" s="1868">
        <v>11.76545</v>
      </c>
      <c r="AC67" s="1868">
        <v>13.14446</v>
      </c>
      <c r="AD67" s="1868">
        <v>12.018930000000001</v>
      </c>
      <c r="AE67" s="1868">
        <v>12.204130000000001</v>
      </c>
      <c r="AF67" s="1868">
        <v>14.55035</v>
      </c>
      <c r="AG67" s="1868">
        <v>11.06335</v>
      </c>
      <c r="AH67" s="1868">
        <v>12.600210000000001</v>
      </c>
      <c r="AI67" s="1868">
        <v>11.06199</v>
      </c>
      <c r="AJ67" s="1868">
        <v>9.8656800000000011</v>
      </c>
      <c r="AK67" s="1868">
        <v>12.470750000000001</v>
      </c>
      <c r="AL67" s="1868">
        <v>11.72845</v>
      </c>
      <c r="AM67" s="1868">
        <v>13.900139999999999</v>
      </c>
      <c r="AN67" s="1868">
        <v>13.68544</v>
      </c>
      <c r="AO67" s="1868">
        <v>14.35266</v>
      </c>
      <c r="AP67" s="1868">
        <v>15.058279999999998</v>
      </c>
      <c r="AQ67" s="1868">
        <v>15.210329999999999</v>
      </c>
      <c r="AR67" s="1868">
        <v>13.170110000000001</v>
      </c>
      <c r="AS67" s="1868">
        <v>14.591679999999998</v>
      </c>
      <c r="AT67" s="1868">
        <v>15.601479999999999</v>
      </c>
      <c r="AU67" s="1868">
        <v>15.29509</v>
      </c>
      <c r="AV67" s="1868">
        <v>16.14761</v>
      </c>
      <c r="AW67" s="1868">
        <v>16.446929999999998</v>
      </c>
      <c r="AX67" s="1868">
        <v>15.640089999999999</v>
      </c>
      <c r="AY67" s="1868">
        <v>15.447770000000002</v>
      </c>
      <c r="AZ67" s="1868">
        <v>16.681249999999999</v>
      </c>
      <c r="BA67" s="1868">
        <v>17.733689999999999</v>
      </c>
    </row>
    <row r="68" spans="1:53">
      <c r="A68" s="1865" t="str">
        <f t="shared" ref="A68:A131" si="1">CONCATENATE(B68,C68)</f>
        <v>AfricaTea</v>
      </c>
      <c r="B68" s="1866" t="s">
        <v>302</v>
      </c>
      <c r="C68" s="1866" t="s">
        <v>1405</v>
      </c>
      <c r="D68" s="1868">
        <v>0.85376000000000007</v>
      </c>
      <c r="E68" s="1868">
        <v>0.84038999999999997</v>
      </c>
      <c r="F68" s="1868">
        <v>0.83817999999999993</v>
      </c>
      <c r="G68" s="1868">
        <v>0.86488999999999994</v>
      </c>
      <c r="H68" s="1868">
        <v>0.89673999999999998</v>
      </c>
      <c r="I68" s="1868">
        <v>1.0489700000000002</v>
      </c>
      <c r="J68" s="1868">
        <v>0.95445000000000002</v>
      </c>
      <c r="K68" s="1868">
        <v>1.0329600000000001</v>
      </c>
      <c r="L68" s="1868">
        <v>1.0711299999999999</v>
      </c>
      <c r="M68" s="1868">
        <v>1.05566</v>
      </c>
      <c r="N68" s="1868">
        <v>0.96027999999999991</v>
      </c>
      <c r="O68" s="1868">
        <v>1.13568</v>
      </c>
      <c r="P68" s="1868">
        <v>1.1101799999999999</v>
      </c>
      <c r="Q68" s="1868">
        <v>1.04209</v>
      </c>
      <c r="R68" s="1868">
        <v>1.0277100000000001</v>
      </c>
      <c r="S68" s="1868">
        <v>1.0070399999999999</v>
      </c>
      <c r="T68" s="1868">
        <v>1.1605299999999998</v>
      </c>
      <c r="U68" s="1868">
        <v>1.1401600000000001</v>
      </c>
      <c r="V68" s="1868">
        <v>1.22862</v>
      </c>
      <c r="W68" s="1868">
        <v>1.17991</v>
      </c>
      <c r="X68" s="1868">
        <v>1.1668700000000001</v>
      </c>
      <c r="Y68" s="1868">
        <v>1.2511099999999999</v>
      </c>
      <c r="Z68" s="1868">
        <v>1.3043100000000001</v>
      </c>
      <c r="AA68" s="1868">
        <v>1.3481100000000001</v>
      </c>
      <c r="AB68" s="1868">
        <v>1.53925</v>
      </c>
      <c r="AC68" s="1868">
        <v>1.5278</v>
      </c>
      <c r="AD68" s="1868">
        <v>1.55976</v>
      </c>
      <c r="AE68" s="1868">
        <v>1.6428799999999999</v>
      </c>
      <c r="AF68" s="1868">
        <v>1.7518499999999999</v>
      </c>
      <c r="AG68" s="1868">
        <v>1.7154200000000002</v>
      </c>
      <c r="AH68" s="1868">
        <v>1.6311200000000001</v>
      </c>
      <c r="AI68" s="1868">
        <v>1.4983500000000001</v>
      </c>
      <c r="AJ68" s="1868">
        <v>1.6816900000000001</v>
      </c>
      <c r="AK68" s="1868">
        <v>1.61388</v>
      </c>
      <c r="AL68" s="1868">
        <v>1.7650700000000001</v>
      </c>
      <c r="AM68" s="1868">
        <v>1.8241499999999999</v>
      </c>
      <c r="AN68" s="1868">
        <v>1.6435599999999999</v>
      </c>
      <c r="AO68" s="1868">
        <v>2.0464500000000001</v>
      </c>
      <c r="AP68" s="1868">
        <v>1.8586599999999998</v>
      </c>
      <c r="AQ68" s="1868">
        <v>1.8369200000000001</v>
      </c>
      <c r="AR68" s="1868">
        <v>2.0612699999999999</v>
      </c>
      <c r="AS68" s="1868">
        <v>1.9151499999999999</v>
      </c>
      <c r="AT68" s="1868">
        <v>1.9931099999999999</v>
      </c>
      <c r="AU68" s="1868">
        <v>2.07789</v>
      </c>
      <c r="AV68" s="1868">
        <v>2.06528</v>
      </c>
      <c r="AW68" s="1868">
        <v>1.91483</v>
      </c>
      <c r="AX68" s="1868">
        <v>2.1868400000000001</v>
      </c>
      <c r="AY68" s="1868">
        <v>1.9781099999999998</v>
      </c>
      <c r="AZ68" s="1868">
        <v>1.87808</v>
      </c>
      <c r="BA68" s="1868">
        <v>2.0760800000000001</v>
      </c>
    </row>
    <row r="69" spans="1:53">
      <c r="A69" s="1865" t="str">
        <f t="shared" si="1"/>
        <v>AfricaTobacco, unmanufactured</v>
      </c>
      <c r="B69" s="1866" t="s">
        <v>302</v>
      </c>
      <c r="C69" s="1866" t="s">
        <v>1347</v>
      </c>
      <c r="D69" s="1868">
        <v>0.75853999999999999</v>
      </c>
      <c r="E69" s="1868">
        <v>0.75527</v>
      </c>
      <c r="F69" s="1868">
        <v>0.62618000000000007</v>
      </c>
      <c r="G69" s="1868">
        <v>0.8858299999999999</v>
      </c>
      <c r="H69" s="1868">
        <v>0.77522999999999997</v>
      </c>
      <c r="I69" s="1868">
        <v>0.90437999999999996</v>
      </c>
      <c r="J69" s="1868">
        <v>0.83376000000000006</v>
      </c>
      <c r="K69" s="1868">
        <v>0.79190000000000005</v>
      </c>
      <c r="L69" s="1868">
        <v>0.99932999999999994</v>
      </c>
      <c r="M69" s="1868">
        <v>0.73026000000000002</v>
      </c>
      <c r="N69" s="1868">
        <v>0.78281999999999996</v>
      </c>
      <c r="O69" s="1868">
        <v>0.77424999999999999</v>
      </c>
      <c r="P69" s="1868">
        <v>0.80537999999999998</v>
      </c>
      <c r="Q69" s="1868">
        <v>0.77921000000000007</v>
      </c>
      <c r="R69" s="1868">
        <v>0.81068999999999991</v>
      </c>
      <c r="S69" s="1868">
        <v>0.90090999999999999</v>
      </c>
      <c r="T69" s="1868">
        <v>0.87117999999999995</v>
      </c>
      <c r="U69" s="1868">
        <v>0.82996000000000003</v>
      </c>
      <c r="V69" s="1868">
        <v>0.96506000000000003</v>
      </c>
      <c r="W69" s="1868">
        <v>1.0116399999999999</v>
      </c>
      <c r="X69" s="1868">
        <v>0.91712000000000005</v>
      </c>
      <c r="Y69" s="1868">
        <v>0.99265999999999999</v>
      </c>
      <c r="Z69" s="1868">
        <v>0.94110000000000005</v>
      </c>
      <c r="AA69" s="1868">
        <v>1.05749</v>
      </c>
      <c r="AB69" s="1868">
        <v>0.98047000000000006</v>
      </c>
      <c r="AC69" s="1868">
        <v>0.97642999999999991</v>
      </c>
      <c r="AD69" s="1868">
        <v>0.99429999999999996</v>
      </c>
      <c r="AE69" s="1868">
        <v>1.03295</v>
      </c>
      <c r="AF69" s="1868">
        <v>1.1595200000000001</v>
      </c>
      <c r="AG69" s="1868">
        <v>1.15134</v>
      </c>
      <c r="AH69" s="1868">
        <v>1.2043999999999999</v>
      </c>
      <c r="AI69" s="1868">
        <v>1.1918600000000001</v>
      </c>
      <c r="AJ69" s="1868">
        <v>1.16727</v>
      </c>
      <c r="AK69" s="1868">
        <v>1.2225900000000001</v>
      </c>
      <c r="AL69" s="1868">
        <v>1.27399</v>
      </c>
      <c r="AM69" s="1868">
        <v>1.2281200000000001</v>
      </c>
      <c r="AN69" s="1868">
        <v>1.3087899999999999</v>
      </c>
      <c r="AO69" s="1868">
        <v>1.37256</v>
      </c>
      <c r="AP69" s="1868">
        <v>1.1319600000000001</v>
      </c>
      <c r="AQ69" s="1868">
        <v>1.2134400000000001</v>
      </c>
      <c r="AR69" s="1868">
        <v>1.20367</v>
      </c>
      <c r="AS69" s="1868">
        <v>1.18</v>
      </c>
      <c r="AT69" s="1868">
        <v>1.10615</v>
      </c>
      <c r="AU69" s="1868">
        <v>1.01881</v>
      </c>
      <c r="AV69" s="1868">
        <v>1.0906100000000001</v>
      </c>
      <c r="AW69" s="1868">
        <v>1.0107700000000002</v>
      </c>
      <c r="AX69" s="1868">
        <v>1.1907799999999999</v>
      </c>
      <c r="AY69" s="1868">
        <v>1.05142</v>
      </c>
      <c r="AZ69" s="1868">
        <v>1.1281399999999999</v>
      </c>
      <c r="BA69" s="1868">
        <v>1.2473100000000001</v>
      </c>
    </row>
    <row r="70" spans="1:53">
      <c r="A70" s="1865" t="str">
        <f t="shared" si="1"/>
        <v>AfricaTomatoes</v>
      </c>
      <c r="B70" s="1866" t="s">
        <v>302</v>
      </c>
      <c r="C70" s="1866" t="s">
        <v>1406</v>
      </c>
      <c r="D70" s="1868">
        <v>12.336460000000001</v>
      </c>
      <c r="E70" s="1868">
        <v>12.96289</v>
      </c>
      <c r="F70" s="1868">
        <v>12.88836</v>
      </c>
      <c r="G70" s="1868">
        <v>13.195310000000001</v>
      </c>
      <c r="H70" s="1868">
        <v>13.453029999999998</v>
      </c>
      <c r="I70" s="1868">
        <v>13.2691</v>
      </c>
      <c r="J70" s="1868">
        <v>12.445039999999999</v>
      </c>
      <c r="K70" s="1868">
        <v>12.70561</v>
      </c>
      <c r="L70" s="1868">
        <v>13.228370000000002</v>
      </c>
      <c r="M70" s="1868">
        <v>12.890880000000001</v>
      </c>
      <c r="N70" s="1868">
        <v>12.72883</v>
      </c>
      <c r="O70" s="1868">
        <v>12.30226</v>
      </c>
      <c r="P70" s="1868">
        <v>11.952910000000001</v>
      </c>
      <c r="Q70" s="1868">
        <v>12.885910000000001</v>
      </c>
      <c r="R70" s="1868">
        <v>14.120379999999999</v>
      </c>
      <c r="S70" s="1868">
        <v>13.557170000000001</v>
      </c>
      <c r="T70" s="1868">
        <v>13.896850000000001</v>
      </c>
      <c r="U70" s="1868">
        <v>13.705279999999998</v>
      </c>
      <c r="V70" s="1868">
        <v>13.90058</v>
      </c>
      <c r="W70" s="1868">
        <v>14.919320000000001</v>
      </c>
      <c r="X70" s="1868">
        <v>14.928100000000001</v>
      </c>
      <c r="Y70" s="1868">
        <v>15.227600000000001</v>
      </c>
      <c r="Z70" s="1868">
        <v>15.13205</v>
      </c>
      <c r="AA70" s="1868">
        <v>15.88734</v>
      </c>
      <c r="AB70" s="1868">
        <v>17.130089999999999</v>
      </c>
      <c r="AC70" s="1868">
        <v>18.798359999999999</v>
      </c>
      <c r="AD70" s="1868">
        <v>19.866959999999999</v>
      </c>
      <c r="AE70" s="1868">
        <v>17.643339999999998</v>
      </c>
      <c r="AF70" s="1868">
        <v>17.26474</v>
      </c>
      <c r="AG70" s="1868">
        <v>18.563760000000002</v>
      </c>
      <c r="AH70" s="1868">
        <v>18.42597</v>
      </c>
      <c r="AI70" s="1868">
        <v>19.805109999999999</v>
      </c>
      <c r="AJ70" s="1868">
        <v>19.821909999999999</v>
      </c>
      <c r="AK70" s="1868">
        <v>19.325770000000002</v>
      </c>
      <c r="AL70" s="1868">
        <v>20.04908</v>
      </c>
      <c r="AM70" s="1868">
        <v>21.145039999999998</v>
      </c>
      <c r="AN70" s="1868">
        <v>19.809079999999998</v>
      </c>
      <c r="AO70" s="1868">
        <v>19.273420000000002</v>
      </c>
      <c r="AP70" s="1868">
        <v>19.931720000000002</v>
      </c>
      <c r="AQ70" s="1868">
        <v>19.69886</v>
      </c>
      <c r="AR70" s="1868">
        <v>20.970389999999998</v>
      </c>
      <c r="AS70" s="1868">
        <v>20.107020000000002</v>
      </c>
      <c r="AT70" s="1868">
        <v>21.316229999999997</v>
      </c>
      <c r="AU70" s="1868">
        <v>23.259079999999997</v>
      </c>
      <c r="AV70" s="1868">
        <v>21.09196</v>
      </c>
      <c r="AW70" s="1868">
        <v>22.87012</v>
      </c>
      <c r="AX70" s="1868">
        <v>22.085170000000002</v>
      </c>
      <c r="AY70" s="1868">
        <v>20.169539999999998</v>
      </c>
      <c r="AZ70" s="1868">
        <v>21.766779999999997</v>
      </c>
      <c r="BA70" s="1868">
        <v>20.024709999999999</v>
      </c>
    </row>
    <row r="71" spans="1:53">
      <c r="A71" s="1865" t="str">
        <f t="shared" si="1"/>
        <v>AfricaTriticale</v>
      </c>
      <c r="B71" s="1866" t="s">
        <v>302</v>
      </c>
      <c r="C71" s="1866" t="s">
        <v>1361</v>
      </c>
      <c r="AE71" s="1868">
        <v>1</v>
      </c>
      <c r="AF71" s="1868">
        <v>1.2015499999999999</v>
      </c>
      <c r="AG71" s="1868">
        <v>2.1795100000000001</v>
      </c>
      <c r="AH71" s="1868">
        <v>2.6945999999999999</v>
      </c>
      <c r="AI71" s="1868">
        <v>2.6171599999999997</v>
      </c>
      <c r="AJ71" s="1868">
        <v>1.9589400000000001</v>
      </c>
      <c r="AK71" s="1868">
        <v>0.91337000000000013</v>
      </c>
      <c r="AL71" s="1868">
        <v>1.5049700000000001</v>
      </c>
      <c r="AM71" s="1868">
        <v>2.4979299999999998</v>
      </c>
      <c r="AN71" s="1868">
        <v>1.51227</v>
      </c>
      <c r="AO71" s="1868">
        <v>2.20668</v>
      </c>
      <c r="AP71" s="1868">
        <v>1.7471299999999998</v>
      </c>
      <c r="AQ71" s="1868">
        <v>1.4476</v>
      </c>
      <c r="AR71" s="1868">
        <v>1.4955200000000002</v>
      </c>
      <c r="AS71" s="1868">
        <v>0.5</v>
      </c>
      <c r="AT71" s="1868">
        <v>2.3333300000000001</v>
      </c>
      <c r="AU71" s="1868">
        <v>1.6</v>
      </c>
      <c r="AV71" s="1868">
        <v>1.6666700000000001</v>
      </c>
      <c r="AW71" s="1868">
        <v>1.8666700000000001</v>
      </c>
      <c r="AX71" s="1868">
        <v>2.1</v>
      </c>
      <c r="AY71" s="1868">
        <v>2.0821900000000002</v>
      </c>
      <c r="AZ71" s="1868">
        <v>2.4038499999999998</v>
      </c>
      <c r="BA71" s="1868">
        <v>2.10101</v>
      </c>
    </row>
    <row r="72" spans="1:53">
      <c r="A72" s="1865" t="str">
        <f t="shared" si="1"/>
        <v>AfricaVegetables fresh nes</v>
      </c>
      <c r="B72" s="1866" t="s">
        <v>302</v>
      </c>
      <c r="C72" s="1866" t="s">
        <v>1407</v>
      </c>
      <c r="D72" s="1868">
        <v>5.7353500000000004</v>
      </c>
      <c r="E72" s="1868">
        <v>5.7430599999999998</v>
      </c>
      <c r="F72" s="1868">
        <v>5.73942</v>
      </c>
      <c r="G72" s="1868">
        <v>5.7420900000000001</v>
      </c>
      <c r="H72" s="1868">
        <v>5.74444</v>
      </c>
      <c r="I72" s="1868">
        <v>5.6569099999999999</v>
      </c>
      <c r="J72" s="1868">
        <v>5.7387100000000002</v>
      </c>
      <c r="K72" s="1868">
        <v>5.7796599999999998</v>
      </c>
      <c r="L72" s="1868">
        <v>5.7689000000000004</v>
      </c>
      <c r="M72" s="1868">
        <v>5.6809099999999999</v>
      </c>
      <c r="N72" s="1868">
        <v>5.7149099999999997</v>
      </c>
      <c r="O72" s="1868">
        <v>5.6056400000000002</v>
      </c>
      <c r="P72" s="1868">
        <v>5.6439399999999997</v>
      </c>
      <c r="Q72" s="1868">
        <v>5.6551499999999999</v>
      </c>
      <c r="R72" s="1868">
        <v>5.6826400000000001</v>
      </c>
      <c r="S72" s="1868">
        <v>5.7054</v>
      </c>
      <c r="T72" s="1868">
        <v>5.7568099999999998</v>
      </c>
      <c r="U72" s="1868">
        <v>5.7539999999999996</v>
      </c>
      <c r="V72" s="1868">
        <v>5.7562300000000004</v>
      </c>
      <c r="W72" s="1868">
        <v>5.8787699999999994</v>
      </c>
      <c r="X72" s="1868">
        <v>5.9437800000000003</v>
      </c>
      <c r="Y72" s="1868">
        <v>5.9846900000000005</v>
      </c>
      <c r="Z72" s="1868">
        <v>5.98691</v>
      </c>
      <c r="AA72" s="1868">
        <v>5.9711999999999996</v>
      </c>
      <c r="AB72" s="1868">
        <v>5.8978000000000002</v>
      </c>
      <c r="AC72" s="1868">
        <v>6.0271699999999999</v>
      </c>
      <c r="AD72" s="1868">
        <v>6.1410800000000005</v>
      </c>
      <c r="AE72" s="1868">
        <v>6.2088800000000006</v>
      </c>
      <c r="AF72" s="1868">
        <v>6.2129599999999998</v>
      </c>
      <c r="AG72" s="1868">
        <v>6.1732800000000001</v>
      </c>
      <c r="AH72" s="1868">
        <v>6.4853699999999996</v>
      </c>
      <c r="AI72" s="1868">
        <v>6.4474300000000007</v>
      </c>
      <c r="AJ72" s="1868">
        <v>6.6338300000000006</v>
      </c>
      <c r="AK72" s="1868">
        <v>6.2917199999999998</v>
      </c>
      <c r="AL72" s="1868">
        <v>6.3439500000000004</v>
      </c>
      <c r="AM72" s="1868">
        <v>6.3802900000000005</v>
      </c>
      <c r="AN72" s="1868">
        <v>6.2540899999999997</v>
      </c>
      <c r="AO72" s="1868">
        <v>6.19672</v>
      </c>
      <c r="AP72" s="1868">
        <v>6.2018800000000001</v>
      </c>
      <c r="AQ72" s="1868">
        <v>6.3162699999999994</v>
      </c>
      <c r="AR72" s="1868">
        <v>6.7594500000000002</v>
      </c>
      <c r="AS72" s="1868">
        <v>6.1676800000000007</v>
      </c>
      <c r="AT72" s="1868">
        <v>6.4917300000000004</v>
      </c>
      <c r="AU72" s="1868">
        <v>5.8358999999999996</v>
      </c>
      <c r="AV72" s="1868">
        <v>6.1106099999999994</v>
      </c>
      <c r="AW72" s="1868">
        <v>6.3862800000000002</v>
      </c>
      <c r="AX72" s="1868">
        <v>6.6078199999999994</v>
      </c>
      <c r="AY72" s="1868">
        <v>6.6312399999999991</v>
      </c>
      <c r="AZ72" s="1868">
        <v>6.3406799999999999</v>
      </c>
      <c r="BA72" s="1868">
        <v>6.1387900000000002</v>
      </c>
    </row>
    <row r="73" spans="1:53">
      <c r="A73" s="1865" t="str">
        <f t="shared" si="1"/>
        <v>AfricaVetches</v>
      </c>
      <c r="B73" s="1866" t="s">
        <v>302</v>
      </c>
      <c r="C73" s="1866" t="s">
        <v>1408</v>
      </c>
      <c r="D73" s="1868">
        <v>0.54762</v>
      </c>
      <c r="E73" s="1868">
        <v>0.69663999999999993</v>
      </c>
      <c r="F73" s="1868">
        <v>0.56946000000000008</v>
      </c>
      <c r="G73" s="1868">
        <v>0.58209999999999995</v>
      </c>
      <c r="H73" s="1868">
        <v>0.61182999999999998</v>
      </c>
      <c r="I73" s="1868">
        <v>0.59623999999999999</v>
      </c>
      <c r="J73" s="1868">
        <v>0.66720000000000002</v>
      </c>
      <c r="K73" s="1868">
        <v>0.77121000000000006</v>
      </c>
      <c r="L73" s="1868">
        <v>0.55203999999999998</v>
      </c>
      <c r="M73" s="1868">
        <v>0.59062000000000003</v>
      </c>
      <c r="N73" s="1868">
        <v>0.73346</v>
      </c>
      <c r="O73" s="1868">
        <v>0.70494999999999997</v>
      </c>
      <c r="P73" s="1868">
        <v>0.62948000000000004</v>
      </c>
      <c r="Q73" s="1868">
        <v>0.68636000000000008</v>
      </c>
      <c r="R73" s="1868">
        <v>0.64815</v>
      </c>
      <c r="S73" s="1868">
        <v>0.49996000000000002</v>
      </c>
      <c r="T73" s="1868">
        <v>0.39332</v>
      </c>
      <c r="U73" s="1868">
        <v>0.50692000000000004</v>
      </c>
      <c r="V73" s="1868">
        <v>0.78159000000000001</v>
      </c>
      <c r="W73" s="1868">
        <v>0.87607000000000013</v>
      </c>
      <c r="X73" s="1868">
        <v>0.73403000000000007</v>
      </c>
      <c r="Y73" s="1868">
        <v>0.61007</v>
      </c>
      <c r="Z73" s="1868">
        <v>0.8470700000000001</v>
      </c>
      <c r="AA73" s="1868">
        <v>0.59850999999999999</v>
      </c>
      <c r="AB73" s="1868">
        <v>0.56657999999999997</v>
      </c>
      <c r="AC73" s="1868">
        <v>0.67395000000000005</v>
      </c>
      <c r="AD73" s="1868">
        <v>0.65693000000000001</v>
      </c>
      <c r="AE73" s="1868">
        <v>0.66806999999999994</v>
      </c>
      <c r="AF73" s="1868">
        <v>0.67237999999999998</v>
      </c>
      <c r="AG73" s="1868">
        <v>0.95022000000000006</v>
      </c>
      <c r="AH73" s="1868">
        <v>1.1144100000000001</v>
      </c>
      <c r="AI73" s="1868">
        <v>0.62892999999999999</v>
      </c>
      <c r="AJ73" s="1868">
        <v>0.53678999999999999</v>
      </c>
      <c r="AK73" s="1868">
        <v>0.57296000000000002</v>
      </c>
      <c r="AL73" s="1868">
        <v>0.68063999999999991</v>
      </c>
      <c r="AM73" s="1868">
        <v>0.93220999999999998</v>
      </c>
      <c r="AN73" s="1868">
        <v>0.99597000000000002</v>
      </c>
      <c r="AO73" s="1868">
        <v>0.85119</v>
      </c>
      <c r="AP73" s="1868">
        <v>0.71467000000000003</v>
      </c>
      <c r="AQ73" s="1868">
        <v>0.80132999999999999</v>
      </c>
      <c r="AR73" s="1868">
        <v>0.74241999999999997</v>
      </c>
      <c r="AS73" s="1868">
        <v>0.93463999999999992</v>
      </c>
      <c r="AT73" s="1868">
        <v>0.79891999999999996</v>
      </c>
      <c r="AU73" s="1868">
        <v>0.93020999999999998</v>
      </c>
      <c r="AV73" s="1868">
        <v>1.0399499999999999</v>
      </c>
      <c r="AW73" s="1868">
        <v>1.1006799999999999</v>
      </c>
      <c r="AX73" s="1868">
        <v>1.35219</v>
      </c>
      <c r="AY73" s="1868">
        <v>1.18424</v>
      </c>
      <c r="AZ73" s="1868">
        <v>1.2071100000000001</v>
      </c>
      <c r="BA73" s="1868">
        <v>1.4122299999999999</v>
      </c>
    </row>
    <row r="74" spans="1:53">
      <c r="A74" s="1865" t="str">
        <f t="shared" si="1"/>
        <v>AfricaWheat</v>
      </c>
      <c r="B74" s="1866" t="s">
        <v>302</v>
      </c>
      <c r="C74" s="1866" t="s">
        <v>1409</v>
      </c>
      <c r="D74" s="1868">
        <v>0.69294999999999995</v>
      </c>
      <c r="E74" s="1868">
        <v>0.92372999999999994</v>
      </c>
      <c r="F74" s="1868">
        <v>0.89897000000000005</v>
      </c>
      <c r="G74" s="1868">
        <v>0.87363999999999997</v>
      </c>
      <c r="H74" s="1868">
        <v>0.82867000000000002</v>
      </c>
      <c r="I74" s="1868">
        <v>0.76043000000000005</v>
      </c>
      <c r="J74" s="1868">
        <v>0.84227000000000007</v>
      </c>
      <c r="K74" s="1868">
        <v>0.99219000000000002</v>
      </c>
      <c r="L74" s="1868">
        <v>0.81035000000000001</v>
      </c>
      <c r="M74" s="1868">
        <v>0.87034</v>
      </c>
      <c r="N74" s="1868">
        <v>0.98275000000000001</v>
      </c>
      <c r="O74" s="1868">
        <v>0.99183999999999994</v>
      </c>
      <c r="P74" s="1868">
        <v>0.94020000000000004</v>
      </c>
      <c r="Q74" s="1868">
        <v>0.97112000000000009</v>
      </c>
      <c r="R74" s="1868">
        <v>1.1004399999999999</v>
      </c>
      <c r="S74" s="1868">
        <v>1.1177299999999999</v>
      </c>
      <c r="T74" s="1868">
        <v>0.92693999999999999</v>
      </c>
      <c r="U74" s="1868">
        <v>1.0459100000000001</v>
      </c>
      <c r="V74" s="1868">
        <v>1.04582</v>
      </c>
      <c r="W74" s="1868">
        <v>1.0987899999999999</v>
      </c>
      <c r="X74" s="1868">
        <v>1.1340299999999999</v>
      </c>
      <c r="Y74" s="1868">
        <v>1.2749600000000001</v>
      </c>
      <c r="Z74" s="1868">
        <v>1.12307</v>
      </c>
      <c r="AA74" s="1868">
        <v>1.14381</v>
      </c>
      <c r="AB74" s="1868">
        <v>1.2476200000000002</v>
      </c>
      <c r="AC74" s="1868">
        <v>1.44278</v>
      </c>
      <c r="AD74" s="1868">
        <v>1.5012799999999999</v>
      </c>
      <c r="AE74" s="1868">
        <v>1.7497400000000001</v>
      </c>
      <c r="AF74" s="1868">
        <v>1.4811399999999999</v>
      </c>
      <c r="AG74" s="1868">
        <v>1.5981100000000001</v>
      </c>
      <c r="AH74" s="1868">
        <v>1.8952900000000001</v>
      </c>
      <c r="AI74" s="1868">
        <v>1.65472</v>
      </c>
      <c r="AJ74" s="1868">
        <v>1.6274899999999999</v>
      </c>
      <c r="AK74" s="1868">
        <v>1.9150400000000001</v>
      </c>
      <c r="AL74" s="1868">
        <v>1.6212899999999999</v>
      </c>
      <c r="AM74" s="1868">
        <v>2.0281599999999997</v>
      </c>
      <c r="AN74" s="1868">
        <v>1.7984500000000001</v>
      </c>
      <c r="AO74" s="1868">
        <v>1.8645200000000002</v>
      </c>
      <c r="AP74" s="1868">
        <v>1.8099499999999999</v>
      </c>
      <c r="AQ74" s="1868">
        <v>1.75247</v>
      </c>
      <c r="AR74" s="1868">
        <v>2.0230099999999998</v>
      </c>
      <c r="AS74" s="1868">
        <v>2.1271400000000003</v>
      </c>
      <c r="AT74" s="1868">
        <v>2.20546</v>
      </c>
      <c r="AU74" s="1868">
        <v>2.1835200000000001</v>
      </c>
      <c r="AV74" s="1868">
        <v>2.1118799999999998</v>
      </c>
      <c r="AW74" s="1868">
        <v>2.5139200000000002</v>
      </c>
      <c r="AX74" s="1868">
        <v>2.0187900000000001</v>
      </c>
      <c r="AY74" s="1868">
        <v>2.31203</v>
      </c>
      <c r="AZ74" s="1868">
        <v>2.6144599999999998</v>
      </c>
      <c r="BA74" s="1868">
        <v>2.31717</v>
      </c>
    </row>
    <row r="75" spans="1:53">
      <c r="A75" s="1865" t="str">
        <f t="shared" si="1"/>
        <v>AfricaCereals (Rice Milled Eqv</v>
      </c>
      <c r="B75" s="1866" t="s">
        <v>302</v>
      </c>
      <c r="C75" s="1866" t="s">
        <v>1410</v>
      </c>
      <c r="D75" s="1868">
        <v>0.78508999999999995</v>
      </c>
      <c r="E75" s="1868">
        <v>0.87887000000000004</v>
      </c>
      <c r="F75" s="1868">
        <v>0.86785000000000001</v>
      </c>
      <c r="G75" s="1868">
        <v>0.82350000000000001</v>
      </c>
      <c r="H75" s="1868">
        <v>0.81331000000000009</v>
      </c>
      <c r="I75" s="1868">
        <v>0.78598000000000001</v>
      </c>
      <c r="J75" s="1868">
        <v>0.92674000000000001</v>
      </c>
      <c r="K75" s="1868">
        <v>0.87980999999999998</v>
      </c>
      <c r="L75" s="1868">
        <v>0.84045000000000003</v>
      </c>
      <c r="M75" s="1868">
        <v>0.87104999999999999</v>
      </c>
      <c r="N75" s="1868">
        <v>0.94882999999999995</v>
      </c>
      <c r="O75" s="1868">
        <v>0.96850999999999998</v>
      </c>
      <c r="P75" s="1868">
        <v>0.83311000000000002</v>
      </c>
      <c r="Q75" s="1868">
        <v>1.03749</v>
      </c>
      <c r="R75" s="1868">
        <v>1.0371900000000001</v>
      </c>
      <c r="S75" s="1868">
        <v>0.99991000000000008</v>
      </c>
      <c r="T75" s="1868">
        <v>0.99132000000000009</v>
      </c>
      <c r="U75" s="1868">
        <v>1.04941</v>
      </c>
      <c r="V75" s="1868">
        <v>1.0153099999999999</v>
      </c>
      <c r="W75" s="1868">
        <v>1.08629</v>
      </c>
      <c r="X75" s="1868">
        <v>1.19577</v>
      </c>
      <c r="Y75" s="1868">
        <v>1.11355</v>
      </c>
      <c r="Z75" s="1868">
        <v>0.97928999999999999</v>
      </c>
      <c r="AA75" s="1868">
        <v>0.95022000000000006</v>
      </c>
      <c r="AB75" s="1868">
        <v>1.0974700000000002</v>
      </c>
      <c r="AC75" s="1868">
        <v>1.11209</v>
      </c>
      <c r="AD75" s="1868">
        <v>1.06576</v>
      </c>
      <c r="AE75" s="1868">
        <v>1.16086</v>
      </c>
      <c r="AF75" s="1868">
        <v>1.17791</v>
      </c>
      <c r="AG75" s="1868">
        <v>1.1231899999999999</v>
      </c>
      <c r="AH75" s="1868">
        <v>1.1820999999999999</v>
      </c>
      <c r="AI75" s="1868">
        <v>0.98462999999999989</v>
      </c>
      <c r="AJ75" s="1868">
        <v>1.1086200000000002</v>
      </c>
      <c r="AK75" s="1868">
        <v>1.15334</v>
      </c>
      <c r="AL75" s="1868">
        <v>1.05379</v>
      </c>
      <c r="AM75" s="1868">
        <v>1.27023</v>
      </c>
      <c r="AN75" s="1868">
        <v>1.1418700000000002</v>
      </c>
      <c r="AO75" s="1868">
        <v>1.1737799999999998</v>
      </c>
      <c r="AP75" s="1868">
        <v>1.20634</v>
      </c>
      <c r="AQ75" s="1868">
        <v>1.20343</v>
      </c>
      <c r="AR75" s="1868">
        <v>1.2307600000000001</v>
      </c>
      <c r="AS75" s="1868">
        <v>1.2573099999999999</v>
      </c>
      <c r="AT75" s="1868">
        <v>1.2617499999999999</v>
      </c>
      <c r="AU75" s="1868">
        <v>1.30314</v>
      </c>
      <c r="AV75" s="1868">
        <v>1.27803</v>
      </c>
      <c r="AW75" s="1868">
        <v>1.38317</v>
      </c>
      <c r="AX75" s="1868">
        <v>1.28769</v>
      </c>
      <c r="AY75" s="1868">
        <v>1.3856999999999999</v>
      </c>
      <c r="AZ75" s="1868">
        <v>1.4610700000000001</v>
      </c>
      <c r="BA75" s="1868">
        <v>1.42815</v>
      </c>
    </row>
    <row r="76" spans="1:53">
      <c r="A76" s="1865" t="str">
        <f t="shared" si="1"/>
        <v>AmericasBananas</v>
      </c>
      <c r="B76" s="1866" t="s">
        <v>1411</v>
      </c>
      <c r="C76" s="1866" t="s">
        <v>1362</v>
      </c>
      <c r="D76" s="1868">
        <v>16.339359999999999</v>
      </c>
      <c r="E76" s="1868">
        <v>16.285489999999999</v>
      </c>
      <c r="F76" s="1868">
        <v>15.930149999999999</v>
      </c>
      <c r="G76" s="1868">
        <v>16.23311</v>
      </c>
      <c r="H76" s="1868">
        <v>15.75808</v>
      </c>
      <c r="I76" s="1868">
        <v>15.851900000000001</v>
      </c>
      <c r="J76" s="1868">
        <v>16.34055</v>
      </c>
      <c r="K76" s="1868">
        <v>17.380570000000002</v>
      </c>
      <c r="L76" s="1868">
        <v>18.291599999999999</v>
      </c>
      <c r="M76" s="1868">
        <v>18.469290000000001</v>
      </c>
      <c r="N76" s="1868">
        <v>18.912570000000002</v>
      </c>
      <c r="O76" s="1868">
        <v>20.10838</v>
      </c>
      <c r="P76" s="1868">
        <v>17.401299999999999</v>
      </c>
      <c r="Q76" s="1868">
        <v>17.70637</v>
      </c>
      <c r="R76" s="1868">
        <v>17.87124</v>
      </c>
      <c r="S76" s="1868">
        <v>18.985050000000001</v>
      </c>
      <c r="T76" s="1868">
        <v>18.296579999999999</v>
      </c>
      <c r="U76" s="1868">
        <v>19.17576</v>
      </c>
      <c r="V76" s="1868">
        <v>18.842020000000002</v>
      </c>
      <c r="W76" s="1868">
        <v>18.682189999999999</v>
      </c>
      <c r="X76" s="1868">
        <v>18.370820000000002</v>
      </c>
      <c r="Y76" s="1868">
        <v>19.025870000000001</v>
      </c>
      <c r="Z76" s="1868">
        <v>18.18038</v>
      </c>
      <c r="AA76" s="1868">
        <v>19.203379999999999</v>
      </c>
      <c r="AB76" s="1868">
        <v>18.691739999999999</v>
      </c>
      <c r="AC76" s="1868">
        <v>17.835439999999998</v>
      </c>
      <c r="AD76" s="1868">
        <v>17.935410000000001</v>
      </c>
      <c r="AE76" s="1868">
        <v>17.942250000000001</v>
      </c>
      <c r="AF76" s="1868">
        <v>18.022099999999998</v>
      </c>
      <c r="AG76" s="1868">
        <v>18.49831</v>
      </c>
      <c r="AH76" s="1868">
        <v>18.43282</v>
      </c>
      <c r="AI76" s="1868">
        <v>18.25507</v>
      </c>
      <c r="AJ76" s="1868">
        <v>17.99502</v>
      </c>
      <c r="AK76" s="1868">
        <v>18.495850000000001</v>
      </c>
      <c r="AL76" s="1868">
        <v>18.385539999999999</v>
      </c>
      <c r="AM76" s="1868">
        <v>19.20121</v>
      </c>
      <c r="AN76" s="1868">
        <v>20.03285</v>
      </c>
      <c r="AO76" s="1868">
        <v>18.328670000000002</v>
      </c>
      <c r="AP76" s="1868">
        <v>19.279209999999999</v>
      </c>
      <c r="AQ76" s="1868">
        <v>18.391560000000002</v>
      </c>
      <c r="AR76" s="1868">
        <v>19.108460000000001</v>
      </c>
      <c r="AS76" s="1868">
        <v>19.58821</v>
      </c>
      <c r="AT76" s="1868">
        <v>20.440709999999999</v>
      </c>
      <c r="AU76" s="1868">
        <v>20.539439999999999</v>
      </c>
      <c r="AV76" s="1868">
        <v>20.556950000000001</v>
      </c>
      <c r="AW76" s="1868">
        <v>21.254059999999999</v>
      </c>
      <c r="AX76" s="1868">
        <v>20.768149999999999</v>
      </c>
      <c r="AY76" s="1868">
        <v>21.280460000000001</v>
      </c>
      <c r="AZ76" s="1868">
        <v>21.99006</v>
      </c>
      <c r="BA76" s="1868">
        <v>22.466629999999999</v>
      </c>
    </row>
    <row r="77" spans="1:53">
      <c r="A77" s="1865" t="str">
        <f t="shared" si="1"/>
        <v>AmericasBarley</v>
      </c>
      <c r="B77" s="1866" t="s">
        <v>1411</v>
      </c>
      <c r="C77" s="1866" t="s">
        <v>1363</v>
      </c>
      <c r="D77" s="1868">
        <v>1.4018299999999999</v>
      </c>
      <c r="E77" s="1868">
        <v>1.70438</v>
      </c>
      <c r="F77" s="1868">
        <v>1.7668400000000002</v>
      </c>
      <c r="G77" s="1868">
        <v>1.76145</v>
      </c>
      <c r="H77" s="1868">
        <v>1.96197</v>
      </c>
      <c r="I77" s="1868">
        <v>1.9368900000000002</v>
      </c>
      <c r="J77" s="1868">
        <v>1.7955700000000001</v>
      </c>
      <c r="K77" s="1868">
        <v>1.9962900000000001</v>
      </c>
      <c r="L77" s="1868">
        <v>2.0969900000000004</v>
      </c>
      <c r="M77" s="1868">
        <v>2.1029299999999997</v>
      </c>
      <c r="N77" s="1868">
        <v>2.2258400000000003</v>
      </c>
      <c r="O77" s="1868">
        <v>2.1455799999999998</v>
      </c>
      <c r="P77" s="1868">
        <v>2.03477</v>
      </c>
      <c r="Q77" s="1868">
        <v>1.8295400000000002</v>
      </c>
      <c r="R77" s="1868">
        <v>2.0930200000000001</v>
      </c>
      <c r="S77" s="1868">
        <v>2.2608099999999998</v>
      </c>
      <c r="T77" s="1868">
        <v>2.2867599999999997</v>
      </c>
      <c r="U77" s="1868">
        <v>2.3908999999999998</v>
      </c>
      <c r="V77" s="1868">
        <v>2.3268599999999999</v>
      </c>
      <c r="W77" s="1868">
        <v>2.4002300000000001</v>
      </c>
      <c r="X77" s="1868">
        <v>2.5281599999999997</v>
      </c>
      <c r="Y77" s="1868">
        <v>2.7276599999999998</v>
      </c>
      <c r="Z77" s="1868">
        <v>2.4727299999999999</v>
      </c>
      <c r="AA77" s="1868">
        <v>2.4902799999999998</v>
      </c>
      <c r="AB77" s="1868">
        <v>2.5794099999999998</v>
      </c>
      <c r="AC77" s="1868">
        <v>2.77258</v>
      </c>
      <c r="AD77" s="1868">
        <v>2.7056299999999998</v>
      </c>
      <c r="AE77" s="1868">
        <v>2.20295</v>
      </c>
      <c r="AF77" s="1868">
        <v>2.4553500000000001</v>
      </c>
      <c r="AG77" s="1868">
        <v>2.8475299999999999</v>
      </c>
      <c r="AH77" s="1868">
        <v>2.7172800000000001</v>
      </c>
      <c r="AI77" s="1868">
        <v>2.94895</v>
      </c>
      <c r="AJ77" s="1868">
        <v>2.9838299999999998</v>
      </c>
      <c r="AK77" s="1868">
        <v>2.82342</v>
      </c>
      <c r="AL77" s="1868">
        <v>2.8637599999999996</v>
      </c>
      <c r="AM77" s="1868">
        <v>3.01065</v>
      </c>
      <c r="AN77" s="1868">
        <v>2.8326899999999999</v>
      </c>
      <c r="AO77" s="1868">
        <v>2.89873</v>
      </c>
      <c r="AP77" s="1868">
        <v>3.0377800000000001</v>
      </c>
      <c r="AQ77" s="1868">
        <v>2.9255</v>
      </c>
      <c r="AR77" s="1868">
        <v>2.6086200000000002</v>
      </c>
      <c r="AS77" s="1868">
        <v>2.3798599999999999</v>
      </c>
      <c r="AT77" s="1868">
        <v>2.8292000000000002</v>
      </c>
      <c r="AU77" s="1868">
        <v>3.2578400000000003</v>
      </c>
      <c r="AV77" s="1868">
        <v>3.1035400000000002</v>
      </c>
      <c r="AW77" s="1868">
        <v>2.9856599999999998</v>
      </c>
      <c r="AX77" s="1868">
        <v>2.7934799999999997</v>
      </c>
      <c r="AY77" s="1868">
        <v>3.19069</v>
      </c>
      <c r="AZ77" s="1868">
        <v>3.1910699999999999</v>
      </c>
      <c r="BA77" s="1868">
        <v>3.30931</v>
      </c>
    </row>
    <row r="78" spans="1:53">
      <c r="A78" s="1865" t="str">
        <f t="shared" si="1"/>
        <v>AmericasBeans, dry</v>
      </c>
      <c r="B78" s="1866" t="s">
        <v>1411</v>
      </c>
      <c r="C78" s="1866" t="s">
        <v>1364</v>
      </c>
      <c r="D78" s="1868">
        <v>0.69333999999999996</v>
      </c>
      <c r="E78" s="1868">
        <v>0.64019999999999999</v>
      </c>
      <c r="F78" s="1868">
        <v>0.66678999999999999</v>
      </c>
      <c r="G78" s="1868">
        <v>0.62903999999999993</v>
      </c>
      <c r="H78" s="1868">
        <v>0.65138999999999991</v>
      </c>
      <c r="I78" s="1868">
        <v>0.65891</v>
      </c>
      <c r="J78" s="1868">
        <v>0.69238</v>
      </c>
      <c r="K78" s="1868">
        <v>0.66581000000000001</v>
      </c>
      <c r="L78" s="1868">
        <v>0.65610000000000002</v>
      </c>
      <c r="M78" s="1868">
        <v>0.67090000000000005</v>
      </c>
      <c r="N78" s="1868">
        <v>0.67358999999999991</v>
      </c>
      <c r="O78" s="1868">
        <v>0.69868999999999992</v>
      </c>
      <c r="P78" s="1868">
        <v>0.64911000000000008</v>
      </c>
      <c r="Q78" s="1868">
        <v>0.65506000000000009</v>
      </c>
      <c r="R78" s="1868">
        <v>0.64158000000000004</v>
      </c>
      <c r="S78" s="1868">
        <v>0.59476000000000007</v>
      </c>
      <c r="T78" s="1868">
        <v>0.58779999999999999</v>
      </c>
      <c r="U78" s="1868">
        <v>0.61482999999999999</v>
      </c>
      <c r="V78" s="1868">
        <v>0.67532000000000003</v>
      </c>
      <c r="W78" s="1868">
        <v>0.61187000000000002</v>
      </c>
      <c r="X78" s="1868">
        <v>0.67403999999999997</v>
      </c>
      <c r="Y78" s="1868">
        <v>0.64566000000000001</v>
      </c>
      <c r="Z78" s="1868">
        <v>0.58643999999999996</v>
      </c>
      <c r="AA78" s="1868">
        <v>0.62258000000000002</v>
      </c>
      <c r="AB78" s="1868">
        <v>0.60904999999999998</v>
      </c>
      <c r="AC78" s="1868">
        <v>0.57796000000000003</v>
      </c>
      <c r="AD78" s="1868">
        <v>0.57668999999999992</v>
      </c>
      <c r="AE78" s="1868">
        <v>0.58546000000000009</v>
      </c>
      <c r="AF78" s="1868">
        <v>0.58884999999999998</v>
      </c>
      <c r="AG78" s="1868">
        <v>0.68468999999999991</v>
      </c>
      <c r="AH78" s="1868">
        <v>0.71491000000000005</v>
      </c>
      <c r="AI78" s="1868">
        <v>0.67701999999999996</v>
      </c>
      <c r="AJ78" s="1868">
        <v>0.75490000000000002</v>
      </c>
      <c r="AK78" s="1868">
        <v>0.74528000000000005</v>
      </c>
      <c r="AL78" s="1868">
        <v>0.74387000000000003</v>
      </c>
      <c r="AM78" s="1868">
        <v>0.73524</v>
      </c>
      <c r="AN78" s="1868">
        <v>0.77922999999999998</v>
      </c>
      <c r="AO78" s="1868">
        <v>0.79659999999999997</v>
      </c>
      <c r="AP78" s="1868">
        <v>0.83392000000000011</v>
      </c>
      <c r="AQ78" s="1868">
        <v>0.82002999999999993</v>
      </c>
      <c r="AR78" s="1868">
        <v>0.82038999999999995</v>
      </c>
      <c r="AS78" s="1868">
        <v>0.89312000000000002</v>
      </c>
      <c r="AT78" s="1868">
        <v>0.90738999999999992</v>
      </c>
      <c r="AU78" s="1868">
        <v>0.83586000000000005</v>
      </c>
      <c r="AV78" s="1868">
        <v>0.91664000000000001</v>
      </c>
      <c r="AW78" s="1868">
        <v>0.95552000000000004</v>
      </c>
      <c r="AX78" s="1868">
        <v>0.93162999999999996</v>
      </c>
      <c r="AY78" s="1868">
        <v>0.98832999999999993</v>
      </c>
      <c r="AZ78" s="1868">
        <v>0.96250000000000002</v>
      </c>
      <c r="BA78" s="1868">
        <v>0.97807000000000011</v>
      </c>
    </row>
    <row r="79" spans="1:53">
      <c r="A79" s="1865" t="str">
        <f t="shared" si="1"/>
        <v>AmericasBeans, green</v>
      </c>
      <c r="B79" s="1866" t="s">
        <v>1411</v>
      </c>
      <c r="C79" s="1866" t="s">
        <v>1365</v>
      </c>
      <c r="D79" s="1868">
        <v>4.0211600000000001</v>
      </c>
      <c r="E79" s="1868">
        <v>4.0413100000000002</v>
      </c>
      <c r="F79" s="1868">
        <v>3.8438699999999999</v>
      </c>
      <c r="G79" s="1868">
        <v>3.5000599999999999</v>
      </c>
      <c r="H79" s="1868">
        <v>3.9212699999999998</v>
      </c>
      <c r="I79" s="1868">
        <v>3.98211</v>
      </c>
      <c r="J79" s="1868">
        <v>4.1459099999999998</v>
      </c>
      <c r="K79" s="1868">
        <v>4.1005099999999999</v>
      </c>
      <c r="L79" s="1868">
        <v>4.0796000000000001</v>
      </c>
      <c r="M79" s="1868">
        <v>3.8816800000000002</v>
      </c>
      <c r="N79" s="1868">
        <v>4.0038800000000005</v>
      </c>
      <c r="O79" s="1868">
        <v>4.0522900000000002</v>
      </c>
      <c r="P79" s="1868">
        <v>4.1996000000000002</v>
      </c>
      <c r="Q79" s="1868">
        <v>4.1211199999999995</v>
      </c>
      <c r="R79" s="1868">
        <v>4.3853900000000001</v>
      </c>
      <c r="S79" s="1868">
        <v>3.9588999999999999</v>
      </c>
      <c r="T79" s="1868">
        <v>4.1870400000000005</v>
      </c>
      <c r="U79" s="1868">
        <v>4.3473100000000002</v>
      </c>
      <c r="V79" s="1868">
        <v>4.8769599999999995</v>
      </c>
      <c r="W79" s="1868">
        <v>4.6778599999999999</v>
      </c>
      <c r="X79" s="1868">
        <v>4.5015999999999998</v>
      </c>
      <c r="Y79" s="1868">
        <v>4.4771400000000003</v>
      </c>
      <c r="Z79" s="1868">
        <v>4.3251099999999996</v>
      </c>
      <c r="AA79" s="1868">
        <v>4.2974199999999998</v>
      </c>
      <c r="AB79" s="1868">
        <v>4.1436699999999993</v>
      </c>
      <c r="AC79" s="1868">
        <v>4.29861</v>
      </c>
      <c r="AD79" s="1868">
        <v>4.6089099999999998</v>
      </c>
      <c r="AE79" s="1868">
        <v>4.6780599999999994</v>
      </c>
      <c r="AF79" s="1868">
        <v>4.6073699999999995</v>
      </c>
      <c r="AG79" s="1868">
        <v>4.8009500000000003</v>
      </c>
      <c r="AH79" s="1868">
        <v>4.8785400000000001</v>
      </c>
      <c r="AI79" s="1868">
        <v>4.6159300000000005</v>
      </c>
      <c r="AJ79" s="1868">
        <v>4.4638800000000005</v>
      </c>
      <c r="AK79" s="1868">
        <v>4.7321499999999999</v>
      </c>
      <c r="AL79" s="1868">
        <v>4.6982400000000002</v>
      </c>
      <c r="AM79" s="1868">
        <v>5.1314199999999994</v>
      </c>
      <c r="AN79" s="1868">
        <v>4.9960300000000002</v>
      </c>
      <c r="AO79" s="1868">
        <v>5.1056999999999997</v>
      </c>
      <c r="AP79" s="1868">
        <v>5.3217600000000003</v>
      </c>
      <c r="AQ79" s="1868">
        <v>4.8212000000000002</v>
      </c>
      <c r="AR79" s="1868">
        <v>4.99085</v>
      </c>
      <c r="AS79" s="1868">
        <v>4.9227699999999999</v>
      </c>
      <c r="AT79" s="1868">
        <v>4.1357300000000006</v>
      </c>
      <c r="AU79" s="1868">
        <v>4.5876299999999999</v>
      </c>
      <c r="AV79" s="1868">
        <v>4.4168400000000005</v>
      </c>
      <c r="AW79" s="1868">
        <v>5.03376</v>
      </c>
      <c r="AX79" s="1868">
        <v>4.2892099999999997</v>
      </c>
      <c r="AY79" s="1868">
        <v>4.6531099999999999</v>
      </c>
      <c r="AZ79" s="1868">
        <v>3.7097099999999998</v>
      </c>
      <c r="BA79" s="1868">
        <v>4.2029899999999998</v>
      </c>
    </row>
    <row r="80" spans="1:53">
      <c r="A80" s="1865" t="str">
        <f t="shared" si="1"/>
        <v>AmericasCarrots and turnips</v>
      </c>
      <c r="B80" s="1866" t="s">
        <v>1411</v>
      </c>
      <c r="C80" s="1866" t="s">
        <v>1366</v>
      </c>
      <c r="D80" s="1868">
        <v>21.782420000000002</v>
      </c>
      <c r="E80" s="1868">
        <v>21.36544</v>
      </c>
      <c r="F80" s="1868">
        <v>21.105740000000001</v>
      </c>
      <c r="G80" s="1868">
        <v>20.826989999999999</v>
      </c>
      <c r="H80" s="1868">
        <v>21.549710000000001</v>
      </c>
      <c r="I80" s="1868">
        <v>21.973610000000001</v>
      </c>
      <c r="J80" s="1868">
        <v>21.683770000000003</v>
      </c>
      <c r="K80" s="1868">
        <v>24.221610000000002</v>
      </c>
      <c r="L80" s="1868">
        <v>22.584229999999998</v>
      </c>
      <c r="M80" s="1868">
        <v>22.505939999999999</v>
      </c>
      <c r="N80" s="1868">
        <v>23.641839999999998</v>
      </c>
      <c r="O80" s="1868">
        <v>22.988770000000002</v>
      </c>
      <c r="P80" s="1868">
        <v>23.80057</v>
      </c>
      <c r="Q80" s="1868">
        <v>25.54701</v>
      </c>
      <c r="R80" s="1868">
        <v>24.376200000000001</v>
      </c>
      <c r="S80" s="1868">
        <v>23.550079999999998</v>
      </c>
      <c r="T80" s="1868">
        <v>23.614740000000001</v>
      </c>
      <c r="U80" s="1868">
        <v>23.55545</v>
      </c>
      <c r="V80" s="1868">
        <v>25.707470000000001</v>
      </c>
      <c r="W80" s="1868">
        <v>23.312239999999999</v>
      </c>
      <c r="X80" s="1868">
        <v>24.475279999999998</v>
      </c>
      <c r="Y80" s="1868">
        <v>25.875309999999999</v>
      </c>
      <c r="Z80" s="1868">
        <v>24.462589999999999</v>
      </c>
      <c r="AA80" s="1868">
        <v>24.123439999999999</v>
      </c>
      <c r="AB80" s="1868">
        <v>23.5304</v>
      </c>
      <c r="AC80" s="1868">
        <v>23.33755</v>
      </c>
      <c r="AD80" s="1868">
        <v>25.459879999999998</v>
      </c>
      <c r="AE80" s="1868">
        <v>24.19314</v>
      </c>
      <c r="AF80" s="1868">
        <v>24.927600000000002</v>
      </c>
      <c r="AG80" s="1868">
        <v>27.057779999999998</v>
      </c>
      <c r="AH80" s="1868">
        <v>25.729220000000002</v>
      </c>
      <c r="AI80" s="1868">
        <v>27.09835</v>
      </c>
      <c r="AJ80" s="1868">
        <v>28.191970000000001</v>
      </c>
      <c r="AK80" s="1868">
        <v>30.078609999999998</v>
      </c>
      <c r="AL80" s="1868">
        <v>28.925440000000002</v>
      </c>
      <c r="AM80" s="1868">
        <v>28.784120000000001</v>
      </c>
      <c r="AN80" s="1868">
        <v>31.307259999999999</v>
      </c>
      <c r="AO80" s="1868">
        <v>30.066870000000002</v>
      </c>
      <c r="AP80" s="1868">
        <v>29.251190000000001</v>
      </c>
      <c r="AQ80" s="1868">
        <v>28.441190000000002</v>
      </c>
      <c r="AR80" s="1868">
        <v>29.437899999999999</v>
      </c>
      <c r="AS80" s="1868">
        <v>28.508700000000001</v>
      </c>
      <c r="AT80" s="1868">
        <v>29.074759999999998</v>
      </c>
      <c r="AU80" s="1868">
        <v>28.829629999999998</v>
      </c>
      <c r="AV80" s="1868">
        <v>29.568309999999997</v>
      </c>
      <c r="AW80" s="1868">
        <v>28.306100000000001</v>
      </c>
      <c r="AX80" s="1868">
        <v>28.602450000000001</v>
      </c>
      <c r="AY80" s="1868">
        <v>29.380159999999997</v>
      </c>
      <c r="AZ80" s="1868">
        <v>27.607700000000001</v>
      </c>
      <c r="BA80" s="1868">
        <v>29.245059999999999</v>
      </c>
    </row>
    <row r="81" spans="1:53">
      <c r="A81" s="1865" t="str">
        <f t="shared" si="1"/>
        <v>AmericasCashew nuts, with shell</v>
      </c>
      <c r="B81" s="1866" t="s">
        <v>1411</v>
      </c>
      <c r="C81" s="1866" t="s">
        <v>1367</v>
      </c>
      <c r="D81" s="1868">
        <v>6.8257100000000008</v>
      </c>
      <c r="E81" s="1868">
        <v>8.1285699999999999</v>
      </c>
      <c r="F81" s="1868">
        <v>8.86</v>
      </c>
      <c r="G81" s="1868">
        <v>6.6538899999999996</v>
      </c>
      <c r="H81" s="1868">
        <v>8.7448700000000006</v>
      </c>
      <c r="I81" s="1868">
        <v>8.7048699999999997</v>
      </c>
      <c r="J81" s="1868">
        <v>14.027370000000001</v>
      </c>
      <c r="K81" s="1868">
        <v>13.409739999999999</v>
      </c>
      <c r="L81" s="1868">
        <v>12.9765</v>
      </c>
      <c r="M81" s="1868">
        <v>11.12829</v>
      </c>
      <c r="N81" s="1868">
        <v>14.833329999999998</v>
      </c>
      <c r="O81" s="1868">
        <v>17.46884</v>
      </c>
      <c r="P81" s="1868">
        <v>17.971820000000001</v>
      </c>
      <c r="Q81" s="1868">
        <v>16.696000000000002</v>
      </c>
      <c r="R81" s="1868">
        <v>11.22781</v>
      </c>
      <c r="S81" s="1868">
        <v>19.183900000000001</v>
      </c>
      <c r="T81" s="1868">
        <v>29.78905</v>
      </c>
      <c r="U81" s="1868">
        <v>30.848259999999996</v>
      </c>
      <c r="V81" s="1868">
        <v>24.311789999999998</v>
      </c>
      <c r="W81" s="1868">
        <v>25.478059999999999</v>
      </c>
      <c r="X81" s="1868">
        <v>25.156320000000001</v>
      </c>
      <c r="Y81" s="1868">
        <v>29.682140000000004</v>
      </c>
      <c r="Z81" s="1868">
        <v>32.666429999999998</v>
      </c>
      <c r="AA81" s="1868">
        <v>27.538930000000001</v>
      </c>
      <c r="AB81" s="1868">
        <v>14.54379</v>
      </c>
      <c r="AC81" s="1868">
        <v>14.083479999999998</v>
      </c>
      <c r="AD81" s="1868">
        <v>8.8805899999999998</v>
      </c>
      <c r="AE81" s="1868">
        <v>14.252050000000001</v>
      </c>
      <c r="AF81" s="1868">
        <v>14.661350000000001</v>
      </c>
      <c r="AG81" s="1868">
        <v>0.19400999999999999</v>
      </c>
      <c r="AH81" s="1868">
        <v>0.29536999999999997</v>
      </c>
      <c r="AI81" s="1868">
        <v>0.16289000000000001</v>
      </c>
      <c r="AJ81" s="1868">
        <v>0.1144</v>
      </c>
      <c r="AK81" s="1868">
        <v>0.22808</v>
      </c>
      <c r="AL81" s="1868">
        <v>0.27051999999999998</v>
      </c>
      <c r="AM81" s="1868">
        <v>0.31340999999999997</v>
      </c>
      <c r="AN81" s="1868">
        <v>0.22233000000000003</v>
      </c>
      <c r="AO81" s="1868">
        <v>9.7360000000000002E-2</v>
      </c>
      <c r="AP81" s="1868">
        <v>0.2492</v>
      </c>
      <c r="AQ81" s="1868">
        <v>0.22345999999999999</v>
      </c>
      <c r="AR81" s="1868">
        <v>0.20544999999999999</v>
      </c>
      <c r="AS81" s="1868">
        <v>0.26401999999999998</v>
      </c>
      <c r="AT81" s="1868">
        <v>0.27948000000000001</v>
      </c>
      <c r="AU81" s="1868">
        <v>0.28506999999999999</v>
      </c>
      <c r="AV81" s="1868">
        <v>0.23265999999999998</v>
      </c>
      <c r="AW81" s="1868">
        <v>0.35641</v>
      </c>
      <c r="AX81" s="1868">
        <v>0.20481999999999997</v>
      </c>
      <c r="AY81" s="1868">
        <v>0.33739000000000002</v>
      </c>
      <c r="AZ81" s="1868">
        <v>0.30227999999999999</v>
      </c>
      <c r="BA81" s="1868">
        <v>0.14943000000000001</v>
      </c>
    </row>
    <row r="82" spans="1:53">
      <c r="A82" s="1865" t="str">
        <f t="shared" si="1"/>
        <v>AmericasCassava</v>
      </c>
      <c r="B82" s="1866" t="s">
        <v>1411</v>
      </c>
      <c r="C82" s="1866" t="s">
        <v>1368</v>
      </c>
      <c r="D82" s="1868">
        <v>11.90095</v>
      </c>
      <c r="E82" s="1868">
        <v>12.18404</v>
      </c>
      <c r="F82" s="1868">
        <v>12.48831</v>
      </c>
      <c r="G82" s="1868">
        <v>12.86942</v>
      </c>
      <c r="H82" s="1868">
        <v>12.93365</v>
      </c>
      <c r="I82" s="1868">
        <v>12.688310000000001</v>
      </c>
      <c r="J82" s="1868">
        <v>13.03112</v>
      </c>
      <c r="K82" s="1868">
        <v>13.249639999999999</v>
      </c>
      <c r="L82" s="1868">
        <v>13.469200000000001</v>
      </c>
      <c r="M82" s="1868">
        <v>13.387320000000001</v>
      </c>
      <c r="N82" s="1868">
        <v>13.131</v>
      </c>
      <c r="O82" s="1868">
        <v>13.03058</v>
      </c>
      <c r="P82" s="1868">
        <v>11.6165</v>
      </c>
      <c r="Q82" s="1868">
        <v>11.47092</v>
      </c>
      <c r="R82" s="1868">
        <v>11.769739999999999</v>
      </c>
      <c r="S82" s="1868">
        <v>11.32184</v>
      </c>
      <c r="T82" s="1868">
        <v>11.2257</v>
      </c>
      <c r="U82" s="1868">
        <v>11.227130000000001</v>
      </c>
      <c r="V82" s="1868">
        <v>11.18918</v>
      </c>
      <c r="W82" s="1868">
        <v>11.2279</v>
      </c>
      <c r="X82" s="1868">
        <v>11.177350000000001</v>
      </c>
      <c r="Y82" s="1868">
        <v>10.945269999999999</v>
      </c>
      <c r="Z82" s="1868">
        <v>10.35455</v>
      </c>
      <c r="AA82" s="1868">
        <v>11.3081</v>
      </c>
      <c r="AB82" s="1868">
        <v>11.72781</v>
      </c>
      <c r="AC82" s="1868">
        <v>11.75243</v>
      </c>
      <c r="AD82" s="1868">
        <v>11.61617</v>
      </c>
      <c r="AE82" s="1868">
        <v>11.74422</v>
      </c>
      <c r="AF82" s="1868">
        <v>11.906939999999999</v>
      </c>
      <c r="AG82" s="1868">
        <v>11.72513</v>
      </c>
      <c r="AH82" s="1868">
        <v>11.81622</v>
      </c>
      <c r="AI82" s="1868">
        <v>11.278080000000001</v>
      </c>
      <c r="AJ82" s="1868">
        <v>11.31456</v>
      </c>
      <c r="AK82" s="1868">
        <v>12.137319999999999</v>
      </c>
      <c r="AL82" s="1868">
        <v>12.06119</v>
      </c>
      <c r="AM82" s="1868">
        <v>10.980880000000001</v>
      </c>
      <c r="AN82" s="1868">
        <v>11.668010000000001</v>
      </c>
      <c r="AO82" s="1868">
        <v>11.415510000000001</v>
      </c>
      <c r="AP82" s="1868">
        <v>12.254049999999999</v>
      </c>
      <c r="AQ82" s="1868">
        <v>12.329939999999999</v>
      </c>
      <c r="AR82" s="1868">
        <v>12.48837</v>
      </c>
      <c r="AS82" s="1868">
        <v>13.018649999999999</v>
      </c>
      <c r="AT82" s="1868">
        <v>12.73807</v>
      </c>
      <c r="AU82" s="1868">
        <v>12.279450000000001</v>
      </c>
      <c r="AV82" s="1868">
        <v>12.731</v>
      </c>
      <c r="AW82" s="1868">
        <v>13.22223</v>
      </c>
      <c r="AX82" s="1868">
        <v>13.124979999999999</v>
      </c>
      <c r="AY82" s="1868">
        <v>12.93798</v>
      </c>
      <c r="AZ82" s="1868">
        <v>12.78139</v>
      </c>
      <c r="BA82" s="1868">
        <v>12.395239999999999</v>
      </c>
    </row>
    <row r="83" spans="1:53">
      <c r="A83" s="1865" t="str">
        <f t="shared" si="1"/>
        <v>AmericasCauliflowers and broccoli</v>
      </c>
      <c r="B83" s="1866" t="s">
        <v>1411</v>
      </c>
      <c r="C83" s="1866" t="s">
        <v>1369</v>
      </c>
      <c r="D83" s="1868">
        <v>11.62485</v>
      </c>
      <c r="E83" s="1868">
        <v>12.36143</v>
      </c>
      <c r="F83" s="1868">
        <v>11.786539999999999</v>
      </c>
      <c r="G83" s="1868">
        <v>11.95434</v>
      </c>
      <c r="H83" s="1868">
        <v>12.639330000000001</v>
      </c>
      <c r="I83" s="1868">
        <v>13.06396</v>
      </c>
      <c r="J83" s="1868">
        <v>12.60815</v>
      </c>
      <c r="K83" s="1868">
        <v>12.51427</v>
      </c>
      <c r="L83" s="1868">
        <v>12.266489999999999</v>
      </c>
      <c r="M83" s="1868">
        <v>12.609019999999999</v>
      </c>
      <c r="N83" s="1868">
        <v>12.760660000000001</v>
      </c>
      <c r="O83" s="1868">
        <v>13.099919999999999</v>
      </c>
      <c r="P83" s="1868">
        <v>12.009839999999999</v>
      </c>
      <c r="Q83" s="1868">
        <v>12.37133</v>
      </c>
      <c r="R83" s="1868">
        <v>11.726889999999999</v>
      </c>
      <c r="S83" s="1868">
        <v>11.526249999999999</v>
      </c>
      <c r="T83" s="1868">
        <v>11.68098</v>
      </c>
      <c r="U83" s="1868">
        <v>11.50404</v>
      </c>
      <c r="V83" s="1868">
        <v>12.023110000000001</v>
      </c>
      <c r="W83" s="1868">
        <v>12.037660000000001</v>
      </c>
      <c r="X83" s="1868">
        <v>12.67956</v>
      </c>
      <c r="Y83" s="1868">
        <v>12.301730000000001</v>
      </c>
      <c r="Z83" s="1868">
        <v>11.73043</v>
      </c>
      <c r="AA83" s="1868">
        <v>12.53651</v>
      </c>
      <c r="AB83" s="1868">
        <v>12.207410000000001</v>
      </c>
      <c r="AC83" s="1868">
        <v>12.540419999999999</v>
      </c>
      <c r="AD83" s="1868">
        <v>12.077539999999999</v>
      </c>
      <c r="AE83" s="1868">
        <v>13.173789999999999</v>
      </c>
      <c r="AF83" s="1868">
        <v>12.862360000000001</v>
      </c>
      <c r="AG83" s="1868">
        <v>12.68383</v>
      </c>
      <c r="AH83" s="1868">
        <v>12.471019999999999</v>
      </c>
      <c r="AI83" s="1868">
        <v>12.095969999999999</v>
      </c>
      <c r="AJ83" s="1868">
        <v>12.352919999999999</v>
      </c>
      <c r="AK83" s="1868">
        <v>13.0457</v>
      </c>
      <c r="AL83" s="1868">
        <v>12.523060000000001</v>
      </c>
      <c r="AM83" s="1868">
        <v>13.2659</v>
      </c>
      <c r="AN83" s="1868">
        <v>13.7545</v>
      </c>
      <c r="AO83" s="1868">
        <v>14.424799999999999</v>
      </c>
      <c r="AP83" s="1868">
        <v>15.06199</v>
      </c>
      <c r="AQ83" s="1868">
        <v>13.196199999999999</v>
      </c>
      <c r="AR83" s="1868">
        <v>14.494389999999999</v>
      </c>
      <c r="AS83" s="1868">
        <v>12.938239999999999</v>
      </c>
      <c r="AT83" s="1868">
        <v>13.50525</v>
      </c>
      <c r="AU83" s="1868">
        <v>7.6794799999999999</v>
      </c>
      <c r="AV83" s="1868">
        <v>7.9279000000000002</v>
      </c>
      <c r="AW83" s="1868">
        <v>6.6872499999999997</v>
      </c>
      <c r="AX83" s="1868">
        <v>6.2726199999999999</v>
      </c>
      <c r="AY83" s="1868">
        <v>6.5047600000000001</v>
      </c>
      <c r="AZ83" s="1868">
        <v>6.6993399999999994</v>
      </c>
      <c r="BA83" s="1868">
        <v>5.19848</v>
      </c>
    </row>
    <row r="84" spans="1:53">
      <c r="A84" s="1865" t="str">
        <f t="shared" si="1"/>
        <v>AmericasCereals, nes</v>
      </c>
      <c r="B84" s="1866" t="s">
        <v>1411</v>
      </c>
      <c r="C84" s="1866" t="s">
        <v>1370</v>
      </c>
      <c r="D84" s="1868">
        <v>0.82652999999999988</v>
      </c>
      <c r="E84" s="1868">
        <v>0.72448999999999997</v>
      </c>
      <c r="F84" s="1868">
        <v>0.77551000000000003</v>
      </c>
      <c r="G84" s="1868">
        <v>0.79630000000000001</v>
      </c>
      <c r="H84" s="1868">
        <v>0.78905999999999998</v>
      </c>
      <c r="I84" s="1868">
        <v>0.68400000000000005</v>
      </c>
      <c r="J84" s="1868">
        <v>0.91143999999999992</v>
      </c>
      <c r="K84" s="1868">
        <v>0.71631</v>
      </c>
      <c r="L84" s="1868">
        <v>0.9</v>
      </c>
      <c r="M84" s="1868">
        <v>0.99265000000000003</v>
      </c>
      <c r="N84" s="1868">
        <v>1.0145999999999999</v>
      </c>
      <c r="O84" s="1868">
        <v>1.01058</v>
      </c>
      <c r="P84" s="1868">
        <v>1.0084299999999999</v>
      </c>
      <c r="Q84" s="1868">
        <v>1.05891</v>
      </c>
      <c r="R84" s="1868">
        <v>0.92532999999999987</v>
      </c>
      <c r="S84" s="1868">
        <v>1.0730500000000001</v>
      </c>
      <c r="T84" s="1868">
        <v>1.02332</v>
      </c>
      <c r="U84" s="1868">
        <v>1.03685</v>
      </c>
      <c r="V84" s="1868">
        <v>1.0295700000000001</v>
      </c>
      <c r="W84" s="1868">
        <v>0.84862000000000004</v>
      </c>
      <c r="X84" s="1868">
        <v>0.79269000000000001</v>
      </c>
      <c r="Y84" s="1868">
        <v>0.84893999999999992</v>
      </c>
      <c r="Z84" s="1868">
        <v>0.81908999999999998</v>
      </c>
      <c r="AA84" s="1868">
        <v>0.68501000000000001</v>
      </c>
      <c r="AB84" s="1868">
        <v>0.88567999999999991</v>
      </c>
      <c r="AC84" s="1868">
        <v>1</v>
      </c>
      <c r="AD84" s="1868">
        <v>0.85468999999999995</v>
      </c>
      <c r="AE84" s="1868">
        <v>0.75421000000000005</v>
      </c>
      <c r="AF84" s="1868">
        <v>0.58062999999999998</v>
      </c>
      <c r="AG84" s="1868">
        <v>0.61258000000000001</v>
      </c>
      <c r="AH84" s="1868">
        <v>0.60036</v>
      </c>
      <c r="AI84" s="1868">
        <v>0.65646000000000004</v>
      </c>
      <c r="AJ84" s="1868">
        <v>0.64958000000000005</v>
      </c>
      <c r="AK84" s="1868">
        <v>0.64354</v>
      </c>
      <c r="AL84" s="1868">
        <v>0.66373000000000004</v>
      </c>
      <c r="AM84" s="1868">
        <v>0.69999</v>
      </c>
      <c r="AN84" s="1868">
        <v>0.81784000000000001</v>
      </c>
      <c r="AO84" s="1868">
        <v>0.84188999999999992</v>
      </c>
      <c r="AP84" s="1868">
        <v>0.67886000000000002</v>
      </c>
      <c r="AQ84" s="1868">
        <v>0.72604000000000002</v>
      </c>
      <c r="AR84" s="1868">
        <v>0.68562000000000001</v>
      </c>
      <c r="AS84" s="1868">
        <v>0.71199999999999997</v>
      </c>
      <c r="AT84" s="1868">
        <v>0.78506999999999993</v>
      </c>
      <c r="AU84" s="1868">
        <v>0.78281000000000001</v>
      </c>
      <c r="AV84" s="1868">
        <v>0.86481000000000008</v>
      </c>
      <c r="AW84" s="1868">
        <v>0.72724999999999995</v>
      </c>
      <c r="AX84" s="1868">
        <v>0.72968</v>
      </c>
      <c r="AY84" s="1868">
        <v>0.70273999999999992</v>
      </c>
      <c r="AZ84" s="1868">
        <v>0.73508999999999991</v>
      </c>
      <c r="BA84" s="1868">
        <v>0.66984999999999995</v>
      </c>
    </row>
    <row r="85" spans="1:53">
      <c r="A85" s="1865" t="str">
        <f t="shared" si="1"/>
        <v>AmericasChestnuts</v>
      </c>
      <c r="B85" s="1866" t="s">
        <v>1411</v>
      </c>
      <c r="C85" s="1866" t="s">
        <v>1371</v>
      </c>
      <c r="AB85" s="1868">
        <v>1.43222</v>
      </c>
      <c r="AC85" s="1868">
        <v>1.4823299999999999</v>
      </c>
      <c r="AD85" s="1868">
        <v>1.5357799999999999</v>
      </c>
      <c r="AE85" s="1868">
        <v>1.5881100000000001</v>
      </c>
      <c r="AF85" s="1868">
        <v>1.46549</v>
      </c>
      <c r="AG85" s="1868">
        <v>0.94463999999999992</v>
      </c>
      <c r="AH85" s="1868">
        <v>0.71253</v>
      </c>
      <c r="AI85" s="1868">
        <v>1.1243700000000001</v>
      </c>
      <c r="AJ85" s="1868">
        <v>0.94102999999999992</v>
      </c>
      <c r="AK85" s="1868">
        <v>0.97360000000000002</v>
      </c>
      <c r="AL85" s="1868">
        <v>1.3377600000000001</v>
      </c>
      <c r="AM85" s="1868">
        <v>1.35168</v>
      </c>
      <c r="AN85" s="1868">
        <v>1.2967500000000001</v>
      </c>
      <c r="AO85" s="1868">
        <v>0.92236000000000007</v>
      </c>
      <c r="AP85" s="1868">
        <v>1.3862399999999999</v>
      </c>
      <c r="AQ85" s="1868">
        <v>1.4222600000000001</v>
      </c>
      <c r="AR85" s="1868">
        <v>1.34304</v>
      </c>
      <c r="AS85" s="1868">
        <v>1.4065700000000001</v>
      </c>
      <c r="AT85" s="1868">
        <v>1.4028799999999999</v>
      </c>
      <c r="AU85" s="1868">
        <v>1.40194</v>
      </c>
      <c r="AV85" s="1868">
        <v>1.36758</v>
      </c>
      <c r="AW85" s="1868">
        <v>1.3884100000000001</v>
      </c>
      <c r="AX85" s="1868">
        <v>1.0482</v>
      </c>
      <c r="AY85" s="1868">
        <v>1.4065000000000001</v>
      </c>
      <c r="AZ85" s="1868">
        <v>1.26728</v>
      </c>
      <c r="BA85" s="1868">
        <v>1.26346</v>
      </c>
    </row>
    <row r="86" spans="1:53">
      <c r="A86" s="1865" t="str">
        <f t="shared" si="1"/>
        <v>AmericasCitrus fruit, nes</v>
      </c>
      <c r="B86" s="1866" t="s">
        <v>1411</v>
      </c>
      <c r="C86" s="1866" t="s">
        <v>1372</v>
      </c>
      <c r="D86" s="1868">
        <v>9.5932399999999998</v>
      </c>
      <c r="E86" s="1868">
        <v>11.30226</v>
      </c>
      <c r="F86" s="1868">
        <v>10.62885</v>
      </c>
      <c r="G86" s="1868">
        <v>10.32189</v>
      </c>
      <c r="H86" s="1868">
        <v>9.6917899999999992</v>
      </c>
      <c r="I86" s="1868">
        <v>9.7723399999999998</v>
      </c>
      <c r="J86" s="1868">
        <v>9.1354199999999999</v>
      </c>
      <c r="K86" s="1868">
        <v>8.9393600000000006</v>
      </c>
      <c r="L86" s="1868">
        <v>7.8699899999999996</v>
      </c>
      <c r="M86" s="1868">
        <v>7.4263199999999996</v>
      </c>
      <c r="N86" s="1868">
        <v>7.8505600000000006</v>
      </c>
      <c r="O86" s="1868">
        <v>7.1559499999999998</v>
      </c>
      <c r="P86" s="1868">
        <v>7.0011700000000001</v>
      </c>
      <c r="Q86" s="1868">
        <v>5.9661400000000002</v>
      </c>
      <c r="R86" s="1868">
        <v>5.9378400000000005</v>
      </c>
      <c r="S86" s="1868">
        <v>6.5304900000000004</v>
      </c>
      <c r="T86" s="1868">
        <v>6.1300600000000003</v>
      </c>
      <c r="U86" s="1868">
        <v>6.44754</v>
      </c>
      <c r="V86" s="1868">
        <v>6.4069699999999994</v>
      </c>
      <c r="W86" s="1868">
        <v>9.7743899999999986</v>
      </c>
      <c r="X86" s="1868">
        <v>9.1325300000000009</v>
      </c>
      <c r="Y86" s="1868">
        <v>8.3640500000000007</v>
      </c>
      <c r="Z86" s="1868">
        <v>8.1778399999999998</v>
      </c>
      <c r="AA86" s="1868">
        <v>7.7021699999999997</v>
      </c>
      <c r="AB86" s="1868">
        <v>7.6116600000000005</v>
      </c>
      <c r="AC86" s="1868">
        <v>9.0094799999999999</v>
      </c>
      <c r="AD86" s="1868">
        <v>11.105449999999999</v>
      </c>
      <c r="AE86" s="1868">
        <v>13.067460000000001</v>
      </c>
      <c r="AF86" s="1868">
        <v>9.0699100000000001</v>
      </c>
      <c r="AG86" s="1868">
        <v>10.10623</v>
      </c>
      <c r="AH86" s="1868">
        <v>7.9032600000000004</v>
      </c>
      <c r="AI86" s="1868">
        <v>5.8603699999999996</v>
      </c>
      <c r="AJ86" s="1868">
        <v>5.6168699999999996</v>
      </c>
      <c r="AK86" s="1868">
        <v>6.28545</v>
      </c>
      <c r="AL86" s="1868">
        <v>6.2778099999999997</v>
      </c>
      <c r="AM86" s="1868">
        <v>6.3077800000000002</v>
      </c>
      <c r="AN86" s="1868">
        <v>6.6778699999999995</v>
      </c>
      <c r="AO86" s="1868">
        <v>7.09335</v>
      </c>
      <c r="AP86" s="1868">
        <v>14.369400000000001</v>
      </c>
      <c r="AQ86" s="1868">
        <v>13.06873</v>
      </c>
      <c r="AR86" s="1868">
        <v>13.35247</v>
      </c>
      <c r="AS86" s="1868">
        <v>12.45843</v>
      </c>
      <c r="AT86" s="1868">
        <v>12.673299999999999</v>
      </c>
      <c r="AU86" s="1868">
        <v>12.900589999999999</v>
      </c>
      <c r="AV86" s="1868">
        <v>12.304680000000001</v>
      </c>
      <c r="AW86" s="1868">
        <v>12.87603</v>
      </c>
      <c r="AX86" s="1868">
        <v>11.68197</v>
      </c>
      <c r="AY86" s="1868">
        <v>11.943389999999999</v>
      </c>
      <c r="AZ86" s="1868">
        <v>11.68238</v>
      </c>
      <c r="BA86" s="1868">
        <v>11.7234</v>
      </c>
    </row>
    <row r="87" spans="1:53">
      <c r="A87" s="1865" t="str">
        <f t="shared" si="1"/>
        <v>AmericasCoffee, green</v>
      </c>
      <c r="B87" s="1866" t="s">
        <v>1411</v>
      </c>
      <c r="C87" s="1866" t="s">
        <v>1373</v>
      </c>
      <c r="D87" s="1868">
        <v>0.47865000000000002</v>
      </c>
      <c r="E87" s="1868">
        <v>0.47515000000000002</v>
      </c>
      <c r="F87" s="1868">
        <v>0.40534000000000003</v>
      </c>
      <c r="G87" s="1868">
        <v>0.35625999999999997</v>
      </c>
      <c r="H87" s="1868">
        <v>0.56545000000000001</v>
      </c>
      <c r="I87" s="1868">
        <v>0.42583000000000004</v>
      </c>
      <c r="J87" s="1868">
        <v>0.50441000000000003</v>
      </c>
      <c r="K87" s="1868">
        <v>0.44021000000000005</v>
      </c>
      <c r="L87" s="1868">
        <v>0.49218999999999996</v>
      </c>
      <c r="M87" s="1868">
        <v>0.41803999999999997</v>
      </c>
      <c r="N87" s="1868">
        <v>0.56208000000000002</v>
      </c>
      <c r="O87" s="1868">
        <v>0.55748999999999993</v>
      </c>
      <c r="P87" s="1868">
        <v>0.48007</v>
      </c>
      <c r="Q87" s="1868">
        <v>0.60938000000000003</v>
      </c>
      <c r="R87" s="1868">
        <v>0.54643999999999993</v>
      </c>
      <c r="S87" s="1868">
        <v>0.45556999999999997</v>
      </c>
      <c r="T87" s="1868">
        <v>0.52295000000000003</v>
      </c>
      <c r="U87" s="1868">
        <v>0.56452000000000002</v>
      </c>
      <c r="V87" s="1868">
        <v>0.56733999999999996</v>
      </c>
      <c r="W87" s="1868">
        <v>0.50431000000000004</v>
      </c>
      <c r="X87" s="1868">
        <v>0.66659999999999997</v>
      </c>
      <c r="Y87" s="1868">
        <v>0.55064999999999997</v>
      </c>
      <c r="Z87" s="1868">
        <v>0.64107000000000003</v>
      </c>
      <c r="AA87" s="1868">
        <v>0.59440999999999999</v>
      </c>
      <c r="AB87" s="1868">
        <v>0.64102000000000003</v>
      </c>
      <c r="AC87" s="1868">
        <v>0.51934999999999998</v>
      </c>
      <c r="AD87" s="1868">
        <v>0.66393999999999997</v>
      </c>
      <c r="AE87" s="1868">
        <v>0.54474999999999996</v>
      </c>
      <c r="AF87" s="1868">
        <v>0.54636000000000007</v>
      </c>
      <c r="AG87" s="1868">
        <v>0.59893000000000007</v>
      </c>
      <c r="AH87" s="1868">
        <v>0.61287999999999998</v>
      </c>
      <c r="AI87" s="1868">
        <v>0.63266999999999995</v>
      </c>
      <c r="AJ87" s="1868">
        <v>0.59311000000000003</v>
      </c>
      <c r="AK87" s="1868">
        <v>0.59743999999999997</v>
      </c>
      <c r="AL87" s="1868">
        <v>0.59899999999999998</v>
      </c>
      <c r="AM87" s="1868">
        <v>0.67291000000000001</v>
      </c>
      <c r="AN87" s="1868">
        <v>0.62912999999999997</v>
      </c>
      <c r="AO87" s="1868">
        <v>0.70796999999999999</v>
      </c>
      <c r="AP87" s="1868">
        <v>0.67013999999999996</v>
      </c>
      <c r="AQ87" s="1868">
        <v>0.76386999999999994</v>
      </c>
      <c r="AR87" s="1868">
        <v>0.71858999999999995</v>
      </c>
      <c r="AS87" s="1868">
        <v>0.84806000000000004</v>
      </c>
      <c r="AT87" s="1868">
        <v>0.72721999999999998</v>
      </c>
      <c r="AU87" s="1868">
        <v>0.80352999999999997</v>
      </c>
      <c r="AV87" s="1868">
        <v>0.74370999999999998</v>
      </c>
      <c r="AW87" s="1868">
        <v>0.83804999999999996</v>
      </c>
      <c r="AX87" s="1868">
        <v>0.79064999999999996</v>
      </c>
      <c r="AY87" s="1868">
        <v>0.89683999999999997</v>
      </c>
      <c r="AZ87" s="1868">
        <v>0.86753999999999998</v>
      </c>
      <c r="BA87" s="1868">
        <v>0.87942000000000009</v>
      </c>
    </row>
    <row r="88" spans="1:53">
      <c r="A88" s="1865" t="str">
        <f t="shared" si="1"/>
        <v>AmericasCow peas, dry</v>
      </c>
      <c r="B88" s="1866" t="s">
        <v>1411</v>
      </c>
      <c r="C88" s="1866" t="s">
        <v>1355</v>
      </c>
      <c r="D88" s="1868">
        <v>0.53149000000000002</v>
      </c>
      <c r="E88" s="1868">
        <v>0.48485</v>
      </c>
      <c r="F88" s="1868">
        <v>0.53243999999999991</v>
      </c>
      <c r="G88" s="1868">
        <v>0.48648000000000002</v>
      </c>
      <c r="H88" s="1868">
        <v>0.48868999999999996</v>
      </c>
      <c r="I88" s="1868">
        <v>0.50301000000000007</v>
      </c>
      <c r="J88" s="1868">
        <v>0.48518999999999995</v>
      </c>
      <c r="K88" s="1868">
        <v>0.45528999999999997</v>
      </c>
      <c r="L88" s="1868">
        <v>0.47928999999999994</v>
      </c>
      <c r="M88" s="1868">
        <v>0.49326000000000003</v>
      </c>
      <c r="N88" s="1868">
        <v>0.49263999999999997</v>
      </c>
      <c r="O88" s="1868">
        <v>0.50463999999999998</v>
      </c>
      <c r="P88" s="1868">
        <v>0.49238000000000004</v>
      </c>
      <c r="Q88" s="1868">
        <v>0.49396999999999996</v>
      </c>
      <c r="R88" s="1868">
        <v>0.55349999999999999</v>
      </c>
      <c r="S88" s="1868">
        <v>0.57547000000000004</v>
      </c>
      <c r="T88" s="1868">
        <v>0.42721999999999999</v>
      </c>
      <c r="U88" s="1868">
        <v>0.46173999999999998</v>
      </c>
      <c r="V88" s="1868">
        <v>0.39743000000000001</v>
      </c>
      <c r="W88" s="1868">
        <v>0.39526</v>
      </c>
      <c r="X88" s="1868">
        <v>0.45306999999999997</v>
      </c>
      <c r="Y88" s="1868">
        <v>0.49193999999999999</v>
      </c>
      <c r="Z88" s="1868">
        <v>0.44811000000000006</v>
      </c>
      <c r="AA88" s="1868">
        <v>0.50217000000000001</v>
      </c>
      <c r="AB88" s="1868">
        <v>0.53738999999999992</v>
      </c>
      <c r="AC88" s="1868">
        <v>0.56920000000000004</v>
      </c>
      <c r="AD88" s="1868">
        <v>0.57278999999999991</v>
      </c>
      <c r="AE88" s="1868">
        <v>0.59086000000000005</v>
      </c>
      <c r="AF88" s="1868">
        <v>0.61280000000000001</v>
      </c>
      <c r="AG88" s="1868">
        <v>0.66364000000000001</v>
      </c>
      <c r="AH88" s="1868">
        <v>0.67698000000000003</v>
      </c>
      <c r="AI88" s="1868">
        <v>0.73136999999999996</v>
      </c>
      <c r="AJ88" s="1868">
        <v>0.73028999999999999</v>
      </c>
      <c r="AK88" s="1868">
        <v>0.73070000000000002</v>
      </c>
      <c r="AL88" s="1868">
        <v>0.71808000000000005</v>
      </c>
      <c r="AM88" s="1868">
        <v>0.72167999999999999</v>
      </c>
      <c r="AN88" s="1868">
        <v>0.71911000000000003</v>
      </c>
      <c r="AO88" s="1868">
        <v>0.72594999999999998</v>
      </c>
      <c r="AP88" s="1868">
        <v>0.72518000000000005</v>
      </c>
      <c r="AQ88" s="1868">
        <v>0.84682999999999997</v>
      </c>
      <c r="AR88" s="1868">
        <v>0.83242999999999989</v>
      </c>
      <c r="AS88" s="1868">
        <v>0.97583999999999993</v>
      </c>
      <c r="AT88" s="1868">
        <v>0.87487000000000004</v>
      </c>
      <c r="AU88" s="1868">
        <v>0.91116000000000008</v>
      </c>
      <c r="AV88" s="1868">
        <v>0.90159</v>
      </c>
      <c r="AW88" s="1868">
        <v>0.99067000000000005</v>
      </c>
      <c r="AX88" s="1868">
        <v>0.91372000000000009</v>
      </c>
      <c r="AY88" s="1868">
        <v>1.01536</v>
      </c>
      <c r="AZ88" s="1868">
        <v>1.82145</v>
      </c>
      <c r="BA88" s="1868">
        <v>1.6946400000000001</v>
      </c>
    </row>
    <row r="89" spans="1:53">
      <c r="A89" s="1865" t="str">
        <f t="shared" si="1"/>
        <v>AmericasDates</v>
      </c>
      <c r="B89" s="1866" t="s">
        <v>1411</v>
      </c>
      <c r="C89" s="1866" t="s">
        <v>1374</v>
      </c>
      <c r="D89" s="1868">
        <v>9.9690999999999992</v>
      </c>
      <c r="E89" s="1868">
        <v>10.94317</v>
      </c>
      <c r="F89" s="1868">
        <v>10.82198</v>
      </c>
      <c r="G89" s="1868">
        <v>11.5374</v>
      </c>
      <c r="H89" s="1868">
        <v>10.796860000000001</v>
      </c>
      <c r="I89" s="1868">
        <v>10.953200000000001</v>
      </c>
      <c r="J89" s="1868">
        <v>10.51056</v>
      </c>
      <c r="K89" s="1868">
        <v>11.13974</v>
      </c>
      <c r="L89" s="1868">
        <v>8.0622500000000006</v>
      </c>
      <c r="M89" s="1868">
        <v>9.420160000000001</v>
      </c>
      <c r="N89" s="1868">
        <v>9.6339299999999994</v>
      </c>
      <c r="O89" s="1868">
        <v>7.7312399999999997</v>
      </c>
      <c r="P89" s="1868">
        <v>10.48709</v>
      </c>
      <c r="Q89" s="1868">
        <v>10.403269999999999</v>
      </c>
      <c r="R89" s="1868">
        <v>10.967919999999999</v>
      </c>
      <c r="S89" s="1868">
        <v>10.15588</v>
      </c>
      <c r="T89" s="1868">
        <v>11.747060000000001</v>
      </c>
      <c r="U89" s="1868">
        <v>9.4666999999999994</v>
      </c>
      <c r="V89" s="1868">
        <v>9.6678999999999995</v>
      </c>
      <c r="W89" s="1868">
        <v>9.8130800000000011</v>
      </c>
      <c r="X89" s="1868">
        <v>9.7455400000000001</v>
      </c>
      <c r="Y89" s="1868">
        <v>10.87717</v>
      </c>
      <c r="Z89" s="1868">
        <v>7.1673800000000005</v>
      </c>
      <c r="AA89" s="1868">
        <v>9.2201500000000003</v>
      </c>
      <c r="AB89" s="1868">
        <v>11.51437</v>
      </c>
      <c r="AC89" s="1868">
        <v>7.1599399999999997</v>
      </c>
      <c r="AD89" s="1868">
        <v>6.8489699999999996</v>
      </c>
      <c r="AE89" s="1868">
        <v>7.38605</v>
      </c>
      <c r="AF89" s="1868">
        <v>7.47445</v>
      </c>
      <c r="AG89" s="1868">
        <v>8.1519499999999994</v>
      </c>
      <c r="AH89" s="1868">
        <v>7.387389999999999</v>
      </c>
      <c r="AI89" s="1868">
        <v>7.0240399999999994</v>
      </c>
      <c r="AJ89" s="1868">
        <v>9.1800100000000011</v>
      </c>
      <c r="AK89" s="1868">
        <v>7.8942600000000009</v>
      </c>
      <c r="AL89" s="1868">
        <v>8.2894100000000002</v>
      </c>
      <c r="AM89" s="1868">
        <v>8.8591699999999989</v>
      </c>
      <c r="AN89" s="1868">
        <v>9.1560000000000006</v>
      </c>
      <c r="AO89" s="1868">
        <v>8.7988499999999998</v>
      </c>
      <c r="AP89" s="1868">
        <v>8.62683</v>
      </c>
      <c r="AQ89" s="1868">
        <v>6.8471000000000002</v>
      </c>
      <c r="AR89" s="1868">
        <v>7.48332</v>
      </c>
      <c r="AS89" s="1868">
        <v>9.0956700000000001</v>
      </c>
      <c r="AT89" s="1868">
        <v>6.7687600000000003</v>
      </c>
      <c r="AU89" s="1868">
        <v>6.2084599999999996</v>
      </c>
      <c r="AV89" s="1868">
        <v>6.32029</v>
      </c>
      <c r="AW89" s="1868">
        <v>6.3903800000000004</v>
      </c>
      <c r="AX89" s="1868">
        <v>6.2771499999999998</v>
      </c>
      <c r="AY89" s="1868">
        <v>7.4961500000000001</v>
      </c>
      <c r="AZ89" s="1868">
        <v>7.3229699999999998</v>
      </c>
      <c r="BA89" s="1868">
        <v>7.4753499999999997</v>
      </c>
    </row>
    <row r="90" spans="1:53">
      <c r="A90" s="1865" t="str">
        <f t="shared" si="1"/>
        <v>AmericasEggplants (aubergines)</v>
      </c>
      <c r="B90" s="1866" t="s">
        <v>1411</v>
      </c>
      <c r="C90" s="1866" t="s">
        <v>1375</v>
      </c>
      <c r="D90" s="1868">
        <v>11.95355</v>
      </c>
      <c r="E90" s="1868">
        <v>13.470499999999999</v>
      </c>
      <c r="F90" s="1868">
        <v>11.72926</v>
      </c>
      <c r="G90" s="1868">
        <v>12.10732</v>
      </c>
      <c r="H90" s="1868">
        <v>12.72658</v>
      </c>
      <c r="I90" s="1868">
        <v>12.545819999999999</v>
      </c>
      <c r="J90" s="1868">
        <v>13.01282</v>
      </c>
      <c r="K90" s="1868">
        <v>11.985439999999999</v>
      </c>
      <c r="L90" s="1868">
        <v>13.898060000000001</v>
      </c>
      <c r="M90" s="1868">
        <v>14.698720000000002</v>
      </c>
      <c r="N90" s="1868">
        <v>15.47132</v>
      </c>
      <c r="O90" s="1868">
        <v>16.300599999999999</v>
      </c>
      <c r="P90" s="1868">
        <v>17.000260000000001</v>
      </c>
      <c r="Q90" s="1868">
        <v>17.457689999999999</v>
      </c>
      <c r="R90" s="1868">
        <v>18.397839999999999</v>
      </c>
      <c r="S90" s="1868">
        <v>17.149979999999999</v>
      </c>
      <c r="T90" s="1868">
        <v>16.746920000000003</v>
      </c>
      <c r="U90" s="1868">
        <v>17.78276</v>
      </c>
      <c r="V90" s="1868">
        <v>18.070930000000001</v>
      </c>
      <c r="W90" s="1868">
        <v>21.1873</v>
      </c>
      <c r="X90" s="1868">
        <v>19.664020000000001</v>
      </c>
      <c r="Y90" s="1868">
        <v>19.647400000000001</v>
      </c>
      <c r="Z90" s="1868">
        <v>19.724920000000001</v>
      </c>
      <c r="AA90" s="1868">
        <v>18.978379999999998</v>
      </c>
      <c r="AB90" s="1868">
        <v>18.829420000000002</v>
      </c>
      <c r="AC90" s="1868">
        <v>17.593489999999999</v>
      </c>
      <c r="AD90" s="1868">
        <v>17.32001</v>
      </c>
      <c r="AE90" s="1868">
        <v>15.898620000000001</v>
      </c>
      <c r="AF90" s="1868">
        <v>16.334070000000001</v>
      </c>
      <c r="AG90" s="1868">
        <v>18.97091</v>
      </c>
      <c r="AH90" s="1868">
        <v>17.858779999999999</v>
      </c>
      <c r="AI90" s="1868">
        <v>17.515929999999997</v>
      </c>
      <c r="AJ90" s="1868">
        <v>18.093209999999999</v>
      </c>
      <c r="AK90" s="1868">
        <v>17.13185</v>
      </c>
      <c r="AL90" s="1868">
        <v>16.88841</v>
      </c>
      <c r="AM90" s="1868">
        <v>17.891349999999999</v>
      </c>
      <c r="AN90" s="1868">
        <v>17.846920000000001</v>
      </c>
      <c r="AO90" s="1868">
        <v>18.635279999999998</v>
      </c>
      <c r="AP90" s="1868">
        <v>17.35061</v>
      </c>
      <c r="AQ90" s="1868">
        <v>21.472049999999999</v>
      </c>
      <c r="AR90" s="1868">
        <v>18.846829999999997</v>
      </c>
      <c r="AS90" s="1868">
        <v>17.969639999999998</v>
      </c>
      <c r="AT90" s="1868">
        <v>19.441579999999998</v>
      </c>
      <c r="AU90" s="1868">
        <v>16.249870000000001</v>
      </c>
      <c r="AV90" s="1868">
        <v>17.851890000000001</v>
      </c>
      <c r="AW90" s="1868">
        <v>17.624979999999997</v>
      </c>
      <c r="AX90" s="1868">
        <v>20.62229</v>
      </c>
      <c r="AY90" s="1868">
        <v>19.233820000000001</v>
      </c>
      <c r="AZ90" s="1868">
        <v>19.624589999999998</v>
      </c>
      <c r="BA90" s="1868">
        <v>23.198799999999999</v>
      </c>
    </row>
    <row r="91" spans="1:53">
      <c r="A91" s="1865" t="str">
        <f t="shared" si="1"/>
        <v>AmericasFibre Crops Nes</v>
      </c>
      <c r="B91" s="1866" t="s">
        <v>1411</v>
      </c>
      <c r="C91" s="1866" t="s">
        <v>1376</v>
      </c>
      <c r="D91" s="1868">
        <v>8.6560000000000006</v>
      </c>
      <c r="E91" s="1868">
        <v>7.5253199999999998</v>
      </c>
      <c r="F91" s="1868">
        <v>7.6172300000000002</v>
      </c>
      <c r="G91" s="1868">
        <v>14.93568</v>
      </c>
      <c r="H91" s="1868">
        <v>18.71</v>
      </c>
      <c r="I91" s="1868">
        <v>7.6840399999999995</v>
      </c>
      <c r="J91" s="1868">
        <v>22.217120000000001</v>
      </c>
      <c r="K91" s="1868">
        <v>7.1836800000000007</v>
      </c>
      <c r="L91" s="1868">
        <v>9.4003800000000002</v>
      </c>
      <c r="M91" s="1868">
        <v>4.90991</v>
      </c>
      <c r="N91" s="1868">
        <v>5.3047399999999998</v>
      </c>
      <c r="O91" s="1868">
        <v>5.6621800000000002</v>
      </c>
      <c r="P91" s="1868">
        <v>4.9272599999999995</v>
      </c>
      <c r="Q91" s="1868">
        <v>4.5425599999999999</v>
      </c>
      <c r="R91" s="1868">
        <v>4.2346000000000004</v>
      </c>
      <c r="S91" s="1868">
        <v>4.1242700000000001</v>
      </c>
      <c r="T91" s="1868">
        <v>3.7980400000000003</v>
      </c>
      <c r="U91" s="1868">
        <v>3.1510199999999999</v>
      </c>
      <c r="V91" s="1868">
        <v>3.61124</v>
      </c>
      <c r="W91" s="1868">
        <v>2.9319099999999998</v>
      </c>
      <c r="X91" s="1868">
        <v>3.0313400000000001</v>
      </c>
      <c r="Y91" s="1868">
        <v>2.8207499999999999</v>
      </c>
      <c r="Z91" s="1868">
        <v>2.7249099999999999</v>
      </c>
      <c r="AA91" s="1868">
        <v>3.2741500000000001</v>
      </c>
      <c r="AB91" s="1868">
        <v>2.63916</v>
      </c>
      <c r="AC91" s="1868">
        <v>2.4263300000000001</v>
      </c>
      <c r="AD91" s="1868">
        <v>2.4545699999999999</v>
      </c>
      <c r="AE91" s="1868">
        <v>2.6561599999999999</v>
      </c>
      <c r="AF91" s="1868">
        <v>3.23508</v>
      </c>
      <c r="AG91" s="1868">
        <v>2.6810499999999999</v>
      </c>
      <c r="AH91" s="1868">
        <v>3.25678</v>
      </c>
      <c r="AI91" s="1868">
        <v>3.8032900000000001</v>
      </c>
      <c r="AJ91" s="1868">
        <v>3.8553500000000001</v>
      </c>
      <c r="AK91" s="1868">
        <v>3.7620199999999997</v>
      </c>
      <c r="AL91" s="1868">
        <v>3.1532900000000001</v>
      </c>
      <c r="AM91" s="1868">
        <v>2.77833</v>
      </c>
      <c r="AN91" s="1868">
        <v>2.8464900000000002</v>
      </c>
      <c r="AO91" s="1868">
        <v>2.81982</v>
      </c>
      <c r="AP91" s="1868">
        <v>2.9264999999999999</v>
      </c>
      <c r="AQ91" s="1868">
        <v>3.2757999999999998</v>
      </c>
      <c r="AR91" s="1868">
        <v>3.16459</v>
      </c>
      <c r="AS91" s="1868">
        <v>4.4038199999999996</v>
      </c>
      <c r="AT91" s="1868">
        <v>4.53599</v>
      </c>
      <c r="AU91" s="1868">
        <v>4.7557099999999997</v>
      </c>
      <c r="AV91" s="1868">
        <v>3.9299599999999999</v>
      </c>
      <c r="AW91" s="1868">
        <v>2.75488</v>
      </c>
      <c r="AX91" s="1868">
        <v>4.5755699999999999</v>
      </c>
      <c r="AY91" s="1868">
        <v>5.7176800000000005</v>
      </c>
      <c r="AZ91" s="1868">
        <v>4.6539900000000003</v>
      </c>
      <c r="BA91" s="1868">
        <v>4.1464300000000005</v>
      </c>
    </row>
    <row r="92" spans="1:53">
      <c r="A92" s="1865" t="str">
        <f t="shared" si="1"/>
        <v>AmericasGrapefruit (inc. pomelos)</v>
      </c>
      <c r="B92" s="1866" t="s">
        <v>1411</v>
      </c>
      <c r="C92" s="1866" t="s">
        <v>1377</v>
      </c>
      <c r="D92" s="1868">
        <v>28.507249999999999</v>
      </c>
      <c r="E92" s="1868">
        <v>26.934000000000001</v>
      </c>
      <c r="F92" s="1868">
        <v>24.59825</v>
      </c>
      <c r="G92" s="1868">
        <v>24.484360000000002</v>
      </c>
      <c r="H92" s="1868">
        <v>29.077470000000002</v>
      </c>
      <c r="I92" s="1868">
        <v>31.626309999999997</v>
      </c>
      <c r="J92" s="1868">
        <v>35.907809999999998</v>
      </c>
      <c r="K92" s="1868">
        <v>28.391890000000004</v>
      </c>
      <c r="L92" s="1868">
        <v>35.255340000000004</v>
      </c>
      <c r="M92" s="1868">
        <v>33.763779999999997</v>
      </c>
      <c r="N92" s="1868">
        <v>35.72034</v>
      </c>
      <c r="O92" s="1868">
        <v>36.208009999999994</v>
      </c>
      <c r="P92" s="1868">
        <v>34.870740000000005</v>
      </c>
      <c r="Q92" s="1868">
        <v>34.906179999999999</v>
      </c>
      <c r="R92" s="1868">
        <v>32.613640000000004</v>
      </c>
      <c r="S92" s="1868">
        <v>36.187159999999999</v>
      </c>
      <c r="T92" s="1868">
        <v>37.146790000000003</v>
      </c>
      <c r="U92" s="1868">
        <v>37.598770000000002</v>
      </c>
      <c r="V92" s="1868">
        <v>33.811859999999996</v>
      </c>
      <c r="W92" s="1868">
        <v>29.574870000000001</v>
      </c>
      <c r="X92" s="1868">
        <v>28.513780000000001</v>
      </c>
      <c r="Y92" s="1868">
        <v>29.853640000000002</v>
      </c>
      <c r="Z92" s="1868">
        <v>26.984440000000003</v>
      </c>
      <c r="AA92" s="1868">
        <v>25.898629999999997</v>
      </c>
      <c r="AB92" s="1868">
        <v>22.718429999999998</v>
      </c>
      <c r="AC92" s="1868">
        <v>24.939640000000001</v>
      </c>
      <c r="AD92" s="1868">
        <v>26.216659999999997</v>
      </c>
      <c r="AE92" s="1868">
        <v>28.128799999999998</v>
      </c>
      <c r="AF92" s="1868">
        <v>27.641470000000002</v>
      </c>
      <c r="AG92" s="1868">
        <v>21.223860000000002</v>
      </c>
      <c r="AH92" s="1868">
        <v>22.817529999999998</v>
      </c>
      <c r="AI92" s="1868">
        <v>22.399810000000002</v>
      </c>
      <c r="AJ92" s="1868">
        <v>24.581720000000001</v>
      </c>
      <c r="AK92" s="1868">
        <v>23.9267</v>
      </c>
      <c r="AL92" s="1868">
        <v>25.173089999999998</v>
      </c>
      <c r="AM92" s="1868">
        <v>25.047779999999999</v>
      </c>
      <c r="AN92" s="1868">
        <v>25.6541</v>
      </c>
      <c r="AO92" s="1868">
        <v>25.032020000000003</v>
      </c>
      <c r="AP92" s="1868">
        <v>24.514620000000001</v>
      </c>
      <c r="AQ92" s="1868">
        <v>28.036540000000002</v>
      </c>
      <c r="AR92" s="1868">
        <v>25.90269</v>
      </c>
      <c r="AS92" s="1868">
        <v>24.226459999999999</v>
      </c>
      <c r="AT92" s="1868">
        <v>24.164439999999999</v>
      </c>
      <c r="AU92" s="1868">
        <v>26.821300000000001</v>
      </c>
      <c r="AV92" s="1868">
        <v>17.608529999999998</v>
      </c>
      <c r="AW92" s="1868">
        <v>22.046520000000001</v>
      </c>
      <c r="AX92" s="1868">
        <v>25.21171</v>
      </c>
      <c r="AY92" s="1868">
        <v>26.673999999999999</v>
      </c>
      <c r="AZ92" s="1868">
        <v>24.36975</v>
      </c>
      <c r="BA92" s="1868">
        <v>23.61008</v>
      </c>
    </row>
    <row r="93" spans="1:53">
      <c r="A93" s="1865" t="str">
        <f t="shared" si="1"/>
        <v>AmericasGrapes</v>
      </c>
      <c r="B93" s="1866" t="s">
        <v>1411</v>
      </c>
      <c r="C93" s="1866" t="s">
        <v>1378</v>
      </c>
      <c r="D93" s="1868">
        <v>10.150119999999999</v>
      </c>
      <c r="E93" s="1868">
        <v>10.3575</v>
      </c>
      <c r="F93" s="1868">
        <v>11.13664</v>
      </c>
      <c r="G93" s="1868">
        <v>10.292310000000001</v>
      </c>
      <c r="H93" s="1868">
        <v>10.907299999999999</v>
      </c>
      <c r="I93" s="1868">
        <v>10.78138</v>
      </c>
      <c r="J93" s="1868">
        <v>11.19234</v>
      </c>
      <c r="K93" s="1868">
        <v>10.138999999999999</v>
      </c>
      <c r="L93" s="1868">
        <v>10.11543</v>
      </c>
      <c r="M93" s="1868">
        <v>9.5986200000000004</v>
      </c>
      <c r="N93" s="1868">
        <v>11.04767</v>
      </c>
      <c r="O93" s="1868">
        <v>9.1984100000000009</v>
      </c>
      <c r="P93" s="1868">
        <v>11.055260000000001</v>
      </c>
      <c r="Q93" s="1868">
        <v>11.85812</v>
      </c>
      <c r="R93" s="1868">
        <v>10.92906</v>
      </c>
      <c r="S93" s="1868">
        <v>11.28931</v>
      </c>
      <c r="T93" s="1868">
        <v>10.88345</v>
      </c>
      <c r="U93" s="1868">
        <v>10.615500000000001</v>
      </c>
      <c r="V93" s="1868">
        <v>12.19961</v>
      </c>
      <c r="W93" s="1868">
        <v>12.067839999999999</v>
      </c>
      <c r="X93" s="1868">
        <v>10.798769999999999</v>
      </c>
      <c r="Y93" s="1868">
        <v>13.524339999999999</v>
      </c>
      <c r="Z93" s="1868">
        <v>12.148619999999999</v>
      </c>
      <c r="AA93" s="1868">
        <v>10.80997</v>
      </c>
      <c r="AB93" s="1868">
        <v>11.26765</v>
      </c>
      <c r="AC93" s="1868">
        <v>11.162000000000001</v>
      </c>
      <c r="AD93" s="1868">
        <v>12.75093</v>
      </c>
      <c r="AE93" s="1868">
        <v>13.37795</v>
      </c>
      <c r="AF93" s="1868">
        <v>13.11304</v>
      </c>
      <c r="AG93" s="1868">
        <v>13.157450000000001</v>
      </c>
      <c r="AH93" s="1868">
        <v>12.83365</v>
      </c>
      <c r="AI93" s="1868">
        <v>13.488879999999998</v>
      </c>
      <c r="AJ93" s="1868">
        <v>13.505329999999999</v>
      </c>
      <c r="AK93" s="1868">
        <v>14.181779999999998</v>
      </c>
      <c r="AL93" s="1868">
        <v>14.67961</v>
      </c>
      <c r="AM93" s="1868">
        <v>12.965719999999999</v>
      </c>
      <c r="AN93" s="1868">
        <v>15.617239999999999</v>
      </c>
      <c r="AO93" s="1868">
        <v>12.89517</v>
      </c>
      <c r="AP93" s="1868">
        <v>13.69004</v>
      </c>
      <c r="AQ93" s="1868">
        <v>15.174610000000001</v>
      </c>
      <c r="AR93" s="1868">
        <v>13.67525</v>
      </c>
      <c r="AS93" s="1868">
        <v>14.00041</v>
      </c>
      <c r="AT93" s="1868">
        <v>13.344679999999999</v>
      </c>
      <c r="AU93" s="1868">
        <v>13.590489999999999</v>
      </c>
      <c r="AV93" s="1868">
        <v>15.5846</v>
      </c>
      <c r="AW93" s="1868">
        <v>14.035079999999999</v>
      </c>
      <c r="AX93" s="1868">
        <v>15.137920000000001</v>
      </c>
      <c r="AY93" s="1868">
        <v>14.8948</v>
      </c>
      <c r="AZ93" s="1868">
        <v>14.145670000000001</v>
      </c>
      <c r="BA93" s="1868">
        <v>14.542710000000001</v>
      </c>
    </row>
    <row r="94" spans="1:53">
      <c r="A94" s="1865" t="str">
        <f t="shared" si="1"/>
        <v>AmericasGroundnuts, with shell</v>
      </c>
      <c r="B94" s="1866" t="s">
        <v>1411</v>
      </c>
      <c r="C94" s="1866" t="s">
        <v>1379</v>
      </c>
      <c r="D94" s="1868">
        <v>1.32029</v>
      </c>
      <c r="E94" s="1868">
        <v>1.36713</v>
      </c>
      <c r="F94" s="1868">
        <v>1.3833200000000001</v>
      </c>
      <c r="G94" s="1868">
        <v>1.31168</v>
      </c>
      <c r="H94" s="1868">
        <v>1.4556</v>
      </c>
      <c r="I94" s="1868">
        <v>1.5032099999999999</v>
      </c>
      <c r="J94" s="1868">
        <v>1.36503</v>
      </c>
      <c r="K94" s="1868">
        <v>1.43659</v>
      </c>
      <c r="L94" s="1868">
        <v>1.4204000000000001</v>
      </c>
      <c r="M94" s="1868">
        <v>1.6405799999999999</v>
      </c>
      <c r="N94" s="1868">
        <v>1.59436</v>
      </c>
      <c r="O94" s="1868">
        <v>1.5681700000000001</v>
      </c>
      <c r="P94" s="1868">
        <v>1.67255</v>
      </c>
      <c r="Q94" s="1868">
        <v>1.7139900000000001</v>
      </c>
      <c r="R94" s="1868">
        <v>1.8247200000000001</v>
      </c>
      <c r="S94" s="1868">
        <v>1.82283</v>
      </c>
      <c r="T94" s="1868">
        <v>1.9935400000000001</v>
      </c>
      <c r="U94" s="1868">
        <v>1.8010099999999998</v>
      </c>
      <c r="V94" s="1868">
        <v>2.0800200000000002</v>
      </c>
      <c r="W94" s="1868">
        <v>1.48837</v>
      </c>
      <c r="X94" s="1868">
        <v>2.0681599999999998</v>
      </c>
      <c r="Y94" s="1868">
        <v>2.08846</v>
      </c>
      <c r="Z94" s="1868">
        <v>2.0595699999999999</v>
      </c>
      <c r="AA94" s="1868">
        <v>2.43424</v>
      </c>
      <c r="AB94" s="1868">
        <v>2.3682500000000002</v>
      </c>
      <c r="AC94" s="1868">
        <v>2.0849700000000002</v>
      </c>
      <c r="AD94" s="1868">
        <v>2.0600999999999998</v>
      </c>
      <c r="AE94" s="1868">
        <v>2.1852200000000002</v>
      </c>
      <c r="AF94" s="1868">
        <v>2.1796000000000002</v>
      </c>
      <c r="AG94" s="1868">
        <v>1.8567799999999999</v>
      </c>
      <c r="AH94" s="1868">
        <v>2.2400199999999999</v>
      </c>
      <c r="AI94" s="1868">
        <v>2.2591600000000001</v>
      </c>
      <c r="AJ94" s="1868">
        <v>2.00197</v>
      </c>
      <c r="AK94" s="1868">
        <v>2.3569</v>
      </c>
      <c r="AL94" s="1868">
        <v>2.0848499999999999</v>
      </c>
      <c r="AM94" s="1868">
        <v>2.32498</v>
      </c>
      <c r="AN94" s="1868">
        <v>1.9615900000000002</v>
      </c>
      <c r="AO94" s="1868">
        <v>2.2157200000000001</v>
      </c>
      <c r="AP94" s="1868">
        <v>2.0799099999999999</v>
      </c>
      <c r="AQ94" s="1868">
        <v>2.2258100000000001</v>
      </c>
      <c r="AR94" s="1868">
        <v>2.5210699999999999</v>
      </c>
      <c r="AS94" s="1868">
        <v>2.2423299999999999</v>
      </c>
      <c r="AT94" s="1868">
        <v>2.7112700000000003</v>
      </c>
      <c r="AU94" s="1868">
        <v>2.7060200000000001</v>
      </c>
      <c r="AV94" s="1868">
        <v>2.7447900000000001</v>
      </c>
      <c r="AW94" s="1868">
        <v>2.61456</v>
      </c>
      <c r="AX94" s="1868">
        <v>2.8712800000000001</v>
      </c>
      <c r="AY94" s="1868">
        <v>3.1685599999999998</v>
      </c>
      <c r="AZ94" s="1868">
        <v>2.9558599999999999</v>
      </c>
      <c r="BA94" s="1868">
        <v>3.0849599999999997</v>
      </c>
    </row>
    <row r="95" spans="1:53">
      <c r="A95" s="1865" t="str">
        <f t="shared" si="1"/>
        <v>AmericasLeguminous vegetables, nes</v>
      </c>
      <c r="B95" s="1866" t="s">
        <v>1411</v>
      </c>
      <c r="C95" s="1866" t="s">
        <v>1380</v>
      </c>
      <c r="D95" s="1868">
        <v>2.7810200000000003</v>
      </c>
      <c r="E95" s="1868">
        <v>2.8295699999999999</v>
      </c>
      <c r="F95" s="1868">
        <v>2.8653499999999998</v>
      </c>
      <c r="G95" s="1868">
        <v>2.9460599999999997</v>
      </c>
      <c r="H95" s="1868">
        <v>2.9233500000000001</v>
      </c>
      <c r="I95" s="1868">
        <v>2.9014000000000002</v>
      </c>
      <c r="J95" s="1868">
        <v>3.0012300000000001</v>
      </c>
      <c r="K95" s="1868">
        <v>2.9448300000000001</v>
      </c>
      <c r="L95" s="1868">
        <v>3.1466400000000001</v>
      </c>
      <c r="M95" s="1868">
        <v>2.9815400000000003</v>
      </c>
      <c r="N95" s="1868">
        <v>2.9877500000000001</v>
      </c>
      <c r="O95" s="1868">
        <v>3.0243099999999998</v>
      </c>
      <c r="P95" s="1868">
        <v>3.0278700000000001</v>
      </c>
      <c r="Q95" s="1868">
        <v>3.2100299999999997</v>
      </c>
      <c r="R95" s="1868">
        <v>3.3057800000000004</v>
      </c>
      <c r="S95" s="1868">
        <v>2.7810000000000001</v>
      </c>
      <c r="T95" s="1868">
        <v>2.90787</v>
      </c>
      <c r="U95" s="1868">
        <v>2.89581</v>
      </c>
      <c r="V95" s="1868">
        <v>2.73515</v>
      </c>
      <c r="W95" s="1868">
        <v>2.6822300000000001</v>
      </c>
      <c r="X95" s="1868">
        <v>2.85215</v>
      </c>
      <c r="Y95" s="1868">
        <v>2.9106099999999997</v>
      </c>
      <c r="Z95" s="1868">
        <v>2.6233</v>
      </c>
      <c r="AA95" s="1868">
        <v>2.3093699999999999</v>
      </c>
      <c r="AB95" s="1868">
        <v>2.0489199999999999</v>
      </c>
      <c r="AC95" s="1868">
        <v>2.54312</v>
      </c>
      <c r="AD95" s="1868">
        <v>2.1930800000000001</v>
      </c>
      <c r="AE95" s="1868">
        <v>2.49281</v>
      </c>
      <c r="AF95" s="1868">
        <v>2.3187900000000004</v>
      </c>
      <c r="AG95" s="1868">
        <v>2.43018</v>
      </c>
      <c r="AH95" s="1868">
        <v>2.5904700000000003</v>
      </c>
      <c r="AI95" s="1868">
        <v>2.50284</v>
      </c>
      <c r="AJ95" s="1868">
        <v>2.5348599999999997</v>
      </c>
      <c r="AK95" s="1868">
        <v>2.5445799999999998</v>
      </c>
      <c r="AL95" s="1868">
        <v>2.9212199999999999</v>
      </c>
      <c r="AM95" s="1868">
        <v>2.90564</v>
      </c>
      <c r="AN95" s="1868">
        <v>2.6636000000000002</v>
      </c>
      <c r="AO95" s="1868">
        <v>2.79359</v>
      </c>
      <c r="AP95" s="1868">
        <v>3.7190400000000001</v>
      </c>
      <c r="AQ95" s="1868">
        <v>3.5696800000000004</v>
      </c>
      <c r="AR95" s="1868">
        <v>3.5987900000000002</v>
      </c>
      <c r="AS95" s="1868">
        <v>3.64019</v>
      </c>
      <c r="AT95" s="1868">
        <v>3.5109800000000004</v>
      </c>
      <c r="AU95" s="1868">
        <v>3.7913199999999998</v>
      </c>
      <c r="AV95" s="1868">
        <v>3.39134</v>
      </c>
      <c r="AW95" s="1868">
        <v>3.1325099999999999</v>
      </c>
      <c r="AX95" s="1868">
        <v>3.1435400000000002</v>
      </c>
      <c r="AY95" s="1868">
        <v>3.1345299999999998</v>
      </c>
      <c r="AZ95" s="1868">
        <v>3.0156299999999998</v>
      </c>
      <c r="BA95" s="1868">
        <v>2.94842</v>
      </c>
    </row>
    <row r="96" spans="1:53">
      <c r="A96" s="1865" t="str">
        <f t="shared" si="1"/>
        <v>AmericasLinseed</v>
      </c>
      <c r="B96" s="1866" t="s">
        <v>1411</v>
      </c>
      <c r="C96" s="1866" t="s">
        <v>1381</v>
      </c>
      <c r="D96" s="1868">
        <v>0.57220000000000004</v>
      </c>
      <c r="E96" s="1868">
        <v>0.70688000000000006</v>
      </c>
      <c r="F96" s="1868">
        <v>0.64990000000000003</v>
      </c>
      <c r="G96" s="1868">
        <v>0.60333000000000003</v>
      </c>
      <c r="H96" s="1868">
        <v>0.77300000000000002</v>
      </c>
      <c r="I96" s="1868">
        <v>0.61187999999999998</v>
      </c>
      <c r="J96" s="1868">
        <v>0.65778000000000003</v>
      </c>
      <c r="K96" s="1868">
        <v>0.83860000000000001</v>
      </c>
      <c r="L96" s="1868">
        <v>0.74939999999999996</v>
      </c>
      <c r="M96" s="1868">
        <v>0.83072999999999997</v>
      </c>
      <c r="N96" s="1868">
        <v>0.83187999999999995</v>
      </c>
      <c r="O96" s="1868">
        <v>0.76068999999999998</v>
      </c>
      <c r="P96" s="1868">
        <v>0.72460000000000002</v>
      </c>
      <c r="Q96" s="1868">
        <v>0.61309999999999998</v>
      </c>
      <c r="R96" s="1868">
        <v>0.72909999999999997</v>
      </c>
      <c r="S96" s="1868">
        <v>0.72961999999999994</v>
      </c>
      <c r="T96" s="1868">
        <v>0.95462999999999998</v>
      </c>
      <c r="U96" s="1868">
        <v>0.98837999999999993</v>
      </c>
      <c r="V96" s="1868">
        <v>0.80713000000000001</v>
      </c>
      <c r="W96" s="1868">
        <v>0.76376999999999995</v>
      </c>
      <c r="X96" s="1868">
        <v>0.86185</v>
      </c>
      <c r="Y96" s="1868">
        <v>0.91771000000000003</v>
      </c>
      <c r="Z96" s="1868">
        <v>0.88041000000000003</v>
      </c>
      <c r="AA96" s="1868">
        <v>0.87283999999999995</v>
      </c>
      <c r="AB96" s="1868">
        <v>1.0114700000000001</v>
      </c>
      <c r="AC96" s="1868">
        <v>1.02816</v>
      </c>
      <c r="AD96" s="1868">
        <v>1.0067999999999999</v>
      </c>
      <c r="AE96" s="1868">
        <v>0.75788999999999995</v>
      </c>
      <c r="AF96" s="1868">
        <v>0.76885999999999999</v>
      </c>
      <c r="AG96" s="1868">
        <v>1.09148</v>
      </c>
      <c r="AH96" s="1868">
        <v>1.0229200000000001</v>
      </c>
      <c r="AI96" s="1868">
        <v>1.02156</v>
      </c>
      <c r="AJ96" s="1868">
        <v>1.12015</v>
      </c>
      <c r="AK96" s="1868">
        <v>1.2210000000000001</v>
      </c>
      <c r="AL96" s="1868">
        <v>1.2179500000000001</v>
      </c>
      <c r="AM96" s="1868">
        <v>1.28678</v>
      </c>
      <c r="AN96" s="1868">
        <v>1.1555299999999999</v>
      </c>
      <c r="AO96" s="1868">
        <v>1.2029399999999999</v>
      </c>
      <c r="AP96" s="1868">
        <v>1.2658799999999999</v>
      </c>
      <c r="AQ96" s="1868">
        <v>1.1652899999999999</v>
      </c>
      <c r="AR96" s="1868">
        <v>1.11113</v>
      </c>
      <c r="AS96" s="1868">
        <v>1.06169</v>
      </c>
      <c r="AT96" s="1868">
        <v>1.0528999999999999</v>
      </c>
      <c r="AU96" s="1868">
        <v>1.0696000000000001</v>
      </c>
      <c r="AV96" s="1868">
        <v>1.3073299999999999</v>
      </c>
      <c r="AW96" s="1868">
        <v>1.1470899999999999</v>
      </c>
      <c r="AX96" s="1868">
        <v>1.1654200000000001</v>
      </c>
      <c r="AY96" s="1868">
        <v>1.30131</v>
      </c>
      <c r="AZ96" s="1868">
        <v>1.4590100000000001</v>
      </c>
      <c r="BA96" s="1868">
        <v>1.50021</v>
      </c>
    </row>
    <row r="97" spans="1:53">
      <c r="A97" s="1865" t="str">
        <f t="shared" si="1"/>
        <v>AmericasMaize</v>
      </c>
      <c r="B97" s="1866" t="s">
        <v>1411</v>
      </c>
      <c r="C97" s="1866" t="s">
        <v>1382</v>
      </c>
      <c r="D97" s="1868">
        <v>2.6788699999999999</v>
      </c>
      <c r="E97" s="1868">
        <v>2.7198700000000002</v>
      </c>
      <c r="F97" s="1868">
        <v>2.8135300000000001</v>
      </c>
      <c r="G97" s="1868">
        <v>2.5828099999999998</v>
      </c>
      <c r="H97" s="1868">
        <v>2.9232800000000001</v>
      </c>
      <c r="I97" s="1868">
        <v>2.9124699999999999</v>
      </c>
      <c r="J97" s="1868">
        <v>3.2078099999999998</v>
      </c>
      <c r="K97" s="1868">
        <v>3.0796399999999999</v>
      </c>
      <c r="L97" s="1868">
        <v>3.2541199999999999</v>
      </c>
      <c r="M97" s="1868">
        <v>2.9502999999999999</v>
      </c>
      <c r="N97" s="1868">
        <v>3.4796300000000002</v>
      </c>
      <c r="O97" s="1868">
        <v>3.6480000000000001</v>
      </c>
      <c r="P97" s="1868">
        <v>3.63266</v>
      </c>
      <c r="Q97" s="1868">
        <v>3.1015200000000003</v>
      </c>
      <c r="R97" s="1868">
        <v>3.6017300000000003</v>
      </c>
      <c r="S97" s="1868">
        <v>3.6757499999999999</v>
      </c>
      <c r="T97" s="1868">
        <v>3.8035400000000004</v>
      </c>
      <c r="U97" s="1868">
        <v>4.1377100000000002</v>
      </c>
      <c r="V97" s="1868">
        <v>4.5513599999999999</v>
      </c>
      <c r="W97" s="1868">
        <v>3.9573</v>
      </c>
      <c r="X97" s="1868">
        <v>4.59999</v>
      </c>
      <c r="Y97" s="1868">
        <v>4.7040199999999999</v>
      </c>
      <c r="Z97" s="1868">
        <v>3.3912900000000001</v>
      </c>
      <c r="AA97" s="1868">
        <v>4.4736199999999995</v>
      </c>
      <c r="AB97" s="1868">
        <v>4.9132600000000002</v>
      </c>
      <c r="AC97" s="1868">
        <v>4.78911</v>
      </c>
      <c r="AD97" s="1868">
        <v>4.5805199999999999</v>
      </c>
      <c r="AE97" s="1868">
        <v>3.5583</v>
      </c>
      <c r="AF97" s="1868">
        <v>4.6900900000000005</v>
      </c>
      <c r="AG97" s="1868">
        <v>4.8706300000000002</v>
      </c>
      <c r="AH97" s="1868">
        <v>4.5076300000000007</v>
      </c>
      <c r="AI97" s="1868">
        <v>5.4037499999999996</v>
      </c>
      <c r="AJ97" s="1868">
        <v>4.4336800000000007</v>
      </c>
      <c r="AK97" s="1868">
        <v>5.5883500000000002</v>
      </c>
      <c r="AL97" s="1868">
        <v>4.77372</v>
      </c>
      <c r="AM97" s="1868">
        <v>5.39011</v>
      </c>
      <c r="AN97" s="1868">
        <v>5.3890900000000004</v>
      </c>
      <c r="AO97" s="1868">
        <v>5.8733000000000004</v>
      </c>
      <c r="AP97" s="1868">
        <v>5.7785800000000007</v>
      </c>
      <c r="AQ97" s="1868">
        <v>5.8698399999999999</v>
      </c>
      <c r="AR97" s="1868">
        <v>5.9255900000000006</v>
      </c>
      <c r="AS97" s="1868">
        <v>5.7254699999999996</v>
      </c>
      <c r="AT97" s="1868">
        <v>6.2689199999999996</v>
      </c>
      <c r="AU97" s="1868">
        <v>6.8377600000000003</v>
      </c>
      <c r="AV97" s="1868">
        <v>6.5699500000000004</v>
      </c>
      <c r="AW97" s="1868">
        <v>6.4059800000000005</v>
      </c>
      <c r="AX97" s="1868">
        <v>6.8824800000000002</v>
      </c>
      <c r="AY97" s="1868">
        <v>6.8611199999999997</v>
      </c>
      <c r="AZ97" s="1868">
        <v>7.1876300000000004</v>
      </c>
      <c r="BA97" s="1868">
        <v>7.0987300000000007</v>
      </c>
    </row>
    <row r="98" spans="1:53">
      <c r="A98" s="1865" t="str">
        <f t="shared" si="1"/>
        <v>AmericasMaize, green</v>
      </c>
      <c r="B98" s="1866" t="s">
        <v>1411</v>
      </c>
      <c r="C98" s="1866" t="s">
        <v>1383</v>
      </c>
      <c r="D98" s="1868">
        <v>7.6235499999999998</v>
      </c>
      <c r="E98" s="1868">
        <v>7.8389699999999998</v>
      </c>
      <c r="F98" s="1868">
        <v>7.9439399999999996</v>
      </c>
      <c r="G98" s="1868">
        <v>7.7118000000000002</v>
      </c>
      <c r="H98" s="1868">
        <v>7.91282</v>
      </c>
      <c r="I98" s="1868">
        <v>7.85365</v>
      </c>
      <c r="J98" s="1868">
        <v>8.1098999999999997</v>
      </c>
      <c r="K98" s="1868">
        <v>8.6145700000000005</v>
      </c>
      <c r="L98" s="1868">
        <v>8.5685300000000009</v>
      </c>
      <c r="M98" s="1868">
        <v>8.385860000000001</v>
      </c>
      <c r="N98" s="1868">
        <v>8.8235200000000003</v>
      </c>
      <c r="O98" s="1868">
        <v>8.87026</v>
      </c>
      <c r="P98" s="1868">
        <v>8.9966699999999999</v>
      </c>
      <c r="Q98" s="1868">
        <v>8.6422299999999996</v>
      </c>
      <c r="R98" s="1868">
        <v>9.0620999999999992</v>
      </c>
      <c r="S98" s="1868">
        <v>9.2423899999999986</v>
      </c>
      <c r="T98" s="1868">
        <v>9.8320799999999995</v>
      </c>
      <c r="U98" s="1868">
        <v>10.365680000000001</v>
      </c>
      <c r="V98" s="1868">
        <v>10.744289999999999</v>
      </c>
      <c r="W98" s="1868">
        <v>10.509069999999999</v>
      </c>
      <c r="X98" s="1868">
        <v>10.93975</v>
      </c>
      <c r="Y98" s="1868">
        <v>11.164639999999999</v>
      </c>
      <c r="Z98" s="1868">
        <v>10.361520000000001</v>
      </c>
      <c r="AA98" s="1868">
        <v>10.775119999999999</v>
      </c>
      <c r="AB98" s="1868">
        <v>10.89282</v>
      </c>
      <c r="AC98" s="1868">
        <v>10.902810000000001</v>
      </c>
      <c r="AD98" s="1868">
        <v>11.45562</v>
      </c>
      <c r="AE98" s="1868">
        <v>10.007960000000001</v>
      </c>
      <c r="AF98" s="1868">
        <v>11.684419999999999</v>
      </c>
      <c r="AG98" s="1868">
        <v>11.75357</v>
      </c>
      <c r="AH98" s="1868">
        <v>11.621700000000001</v>
      </c>
      <c r="AI98" s="1868">
        <v>11.95576</v>
      </c>
      <c r="AJ98" s="1868">
        <v>10.999779999999999</v>
      </c>
      <c r="AK98" s="1868">
        <v>12.84468</v>
      </c>
      <c r="AL98" s="1868">
        <v>12.325010000000001</v>
      </c>
      <c r="AM98" s="1868">
        <v>12.607489999999999</v>
      </c>
      <c r="AN98" s="1868">
        <v>12.60586</v>
      </c>
      <c r="AO98" s="1868">
        <v>12.671469999999999</v>
      </c>
      <c r="AP98" s="1868">
        <v>12.78604</v>
      </c>
      <c r="AQ98" s="1868">
        <v>13.17637</v>
      </c>
      <c r="AR98" s="1868">
        <v>13.4839</v>
      </c>
      <c r="AS98" s="1868">
        <v>13.71316</v>
      </c>
      <c r="AT98" s="1868">
        <v>14.43886</v>
      </c>
      <c r="AU98" s="1868">
        <v>13.65455</v>
      </c>
      <c r="AV98" s="1868">
        <v>13.914720000000001</v>
      </c>
      <c r="AW98" s="1868">
        <v>14.216570000000001</v>
      </c>
      <c r="AX98" s="1868">
        <v>14.44239</v>
      </c>
      <c r="AY98" s="1868">
        <v>13.68699</v>
      </c>
      <c r="AZ98" s="1868">
        <v>14.380800000000001</v>
      </c>
      <c r="BA98" s="1868">
        <v>13.61134</v>
      </c>
    </row>
    <row r="99" spans="1:53">
      <c r="A99" s="1865" t="str">
        <f t="shared" si="1"/>
        <v>AmericasMangoes, mangosteens, guavas</v>
      </c>
      <c r="B99" s="1866" t="s">
        <v>1411</v>
      </c>
      <c r="C99" s="1866" t="s">
        <v>1384</v>
      </c>
      <c r="D99" s="1868">
        <v>23.66405</v>
      </c>
      <c r="E99" s="1868">
        <v>24.143409999999999</v>
      </c>
      <c r="F99" s="1868">
        <v>24.230729999999998</v>
      </c>
      <c r="G99" s="1868">
        <v>24.753550000000001</v>
      </c>
      <c r="H99" s="1868">
        <v>25.27589</v>
      </c>
      <c r="I99" s="1868">
        <v>24.101579999999998</v>
      </c>
      <c r="J99" s="1868">
        <v>24.978300000000001</v>
      </c>
      <c r="K99" s="1868">
        <v>25.566489999999998</v>
      </c>
      <c r="L99" s="1868">
        <v>24.84179</v>
      </c>
      <c r="M99" s="1868">
        <v>23.479839999999999</v>
      </c>
      <c r="N99" s="1868">
        <v>21.973389999999998</v>
      </c>
      <c r="O99" s="1868">
        <v>23.39939</v>
      </c>
      <c r="P99" s="1868">
        <v>21.05105</v>
      </c>
      <c r="Q99" s="1868">
        <v>21.93928</v>
      </c>
      <c r="R99" s="1868">
        <v>19.48827</v>
      </c>
      <c r="S99" s="1868">
        <v>19.16225</v>
      </c>
      <c r="T99" s="1868">
        <v>18.455749999999998</v>
      </c>
      <c r="U99" s="1868">
        <v>18.710329999999999</v>
      </c>
      <c r="V99" s="1868">
        <v>17.870010000000001</v>
      </c>
      <c r="W99" s="1868">
        <v>17.594639999999998</v>
      </c>
      <c r="X99" s="1868">
        <v>21.562170000000002</v>
      </c>
      <c r="Y99" s="1868">
        <v>17.43741</v>
      </c>
      <c r="Z99" s="1868">
        <v>16.662379999999999</v>
      </c>
      <c r="AA99" s="1868">
        <v>17.014960000000002</v>
      </c>
      <c r="AB99" s="1868">
        <v>10.30397</v>
      </c>
      <c r="AC99" s="1868">
        <v>10.446899999999999</v>
      </c>
      <c r="AD99" s="1868">
        <v>10.335739999999999</v>
      </c>
      <c r="AE99" s="1868">
        <v>10.154999999999999</v>
      </c>
      <c r="AF99" s="1868">
        <v>9.1413899999999995</v>
      </c>
      <c r="AG99" s="1868">
        <v>9.1640899999999998</v>
      </c>
      <c r="AH99" s="1868">
        <v>9.1971500000000006</v>
      </c>
      <c r="AI99" s="1868">
        <v>8.3692200000000003</v>
      </c>
      <c r="AJ99" s="1868">
        <v>8.4746399999999991</v>
      </c>
      <c r="AK99" s="1868">
        <v>8.7666899999999988</v>
      </c>
      <c r="AL99" s="1868">
        <v>8.9820499999999992</v>
      </c>
      <c r="AM99" s="1868">
        <v>8.0673499999999994</v>
      </c>
      <c r="AN99" s="1868">
        <v>8.5071200000000005</v>
      </c>
      <c r="AO99" s="1868">
        <v>8.2310100000000013</v>
      </c>
      <c r="AP99" s="1868">
        <v>9.3404000000000007</v>
      </c>
      <c r="AQ99" s="1868">
        <v>9.0054499999999997</v>
      </c>
      <c r="AR99" s="1868">
        <v>9.28993</v>
      </c>
      <c r="AS99" s="1868">
        <v>9.3647100000000005</v>
      </c>
      <c r="AT99" s="1868">
        <v>8.9094100000000012</v>
      </c>
      <c r="AU99" s="1868">
        <v>10.17642</v>
      </c>
      <c r="AV99" s="1868">
        <v>10.08347</v>
      </c>
      <c r="AW99" s="1868">
        <v>10.81892</v>
      </c>
      <c r="AX99" s="1868">
        <v>10.443669999999999</v>
      </c>
      <c r="AY99" s="1868">
        <v>10.55035</v>
      </c>
      <c r="AZ99" s="1868">
        <v>9.5510900000000003</v>
      </c>
      <c r="BA99" s="1868">
        <v>10.343400000000001</v>
      </c>
    </row>
    <row r="100" spans="1:53">
      <c r="A100" s="1865" t="str">
        <f t="shared" si="1"/>
        <v>AmericasMaté</v>
      </c>
      <c r="B100" s="1866" t="s">
        <v>1411</v>
      </c>
      <c r="C100" s="2825" t="s">
        <v>2315</v>
      </c>
      <c r="D100" s="1868">
        <v>52.575090000000003</v>
      </c>
      <c r="E100" s="1868">
        <v>55.287930000000003</v>
      </c>
      <c r="F100" s="1868">
        <v>39.858359999999998</v>
      </c>
      <c r="G100" s="1868">
        <v>38.324659999999994</v>
      </c>
      <c r="H100" s="1868">
        <v>32.087350000000001</v>
      </c>
      <c r="I100" s="1868">
        <v>30.210809999999999</v>
      </c>
      <c r="J100" s="1868">
        <v>39.24333</v>
      </c>
      <c r="K100" s="1868">
        <v>37.408250000000002</v>
      </c>
      <c r="L100" s="1868">
        <v>32.975369999999998</v>
      </c>
      <c r="M100" s="1868">
        <v>37.829229999999995</v>
      </c>
      <c r="N100" s="1868">
        <v>45.127890000000001</v>
      </c>
      <c r="O100" s="1868">
        <v>40.977209999999999</v>
      </c>
      <c r="P100" s="1868">
        <v>45.178730000000002</v>
      </c>
      <c r="Q100" s="1868">
        <v>36.645809999999997</v>
      </c>
      <c r="R100" s="1868">
        <v>38.357419999999998</v>
      </c>
      <c r="S100" s="1868">
        <v>38.063679999999998</v>
      </c>
      <c r="T100" s="1868">
        <v>35.321469999999998</v>
      </c>
      <c r="U100" s="1868">
        <v>29.702070000000003</v>
      </c>
      <c r="V100" s="1868">
        <v>29.424540000000004</v>
      </c>
      <c r="W100" s="1868">
        <v>3.0199799999999999</v>
      </c>
      <c r="X100" s="1868">
        <v>2.62995</v>
      </c>
      <c r="Y100" s="1868">
        <v>2.7746400000000002</v>
      </c>
      <c r="Z100" s="1868">
        <v>2.9590700000000001</v>
      </c>
      <c r="AA100" s="1868">
        <v>3.1652200000000001</v>
      </c>
      <c r="AB100" s="1868">
        <v>3.0896300000000001</v>
      </c>
      <c r="AC100" s="1868">
        <v>2.9477599999999997</v>
      </c>
      <c r="AD100" s="1868">
        <v>3.04758</v>
      </c>
      <c r="AE100" s="1868">
        <v>3.2079599999999999</v>
      </c>
      <c r="AF100" s="1868">
        <v>3.28424</v>
      </c>
      <c r="AG100" s="1868">
        <v>2.89323</v>
      </c>
      <c r="AH100" s="1868">
        <v>2.85548</v>
      </c>
      <c r="AI100" s="1868">
        <v>2.71191</v>
      </c>
      <c r="AJ100" s="1868">
        <v>2.5819400000000003</v>
      </c>
      <c r="AK100" s="1868">
        <v>2.7469999999999999</v>
      </c>
      <c r="AL100" s="1868">
        <v>2.8422099999999997</v>
      </c>
      <c r="AM100" s="1868">
        <v>2.43885</v>
      </c>
      <c r="AN100" s="1868">
        <v>3.0705100000000001</v>
      </c>
      <c r="AO100" s="1868">
        <v>3.2227299999999999</v>
      </c>
      <c r="AP100" s="1868">
        <v>3.4370599999999998</v>
      </c>
      <c r="AQ100" s="1868">
        <v>3.1071200000000001</v>
      </c>
      <c r="AR100" s="1868">
        <v>3.49464</v>
      </c>
      <c r="AS100" s="1868">
        <v>3.2309000000000001</v>
      </c>
      <c r="AT100" s="1868">
        <v>3.2243200000000001</v>
      </c>
      <c r="AU100" s="1868">
        <v>2.77501</v>
      </c>
      <c r="AV100" s="1868">
        <v>2.85256</v>
      </c>
      <c r="AW100" s="1868">
        <v>2.8529100000000001</v>
      </c>
      <c r="AX100" s="1868">
        <v>2.8779499999999998</v>
      </c>
      <c r="AY100" s="1868">
        <v>2.59599</v>
      </c>
      <c r="AZ100" s="1868">
        <v>2.5659700000000001</v>
      </c>
      <c r="BA100" s="1868">
        <v>2.6282400000000004</v>
      </c>
    </row>
    <row r="101" spans="1:53">
      <c r="A101" s="1865" t="str">
        <f t="shared" si="1"/>
        <v>AmericasMillet</v>
      </c>
      <c r="B101" s="1866" t="s">
        <v>1411</v>
      </c>
      <c r="C101" s="1866" t="s">
        <v>1385</v>
      </c>
      <c r="D101" s="1868">
        <v>1.2486600000000001</v>
      </c>
      <c r="E101" s="1868">
        <v>1.2819499999999999</v>
      </c>
      <c r="F101" s="1868">
        <v>1.13703</v>
      </c>
      <c r="G101" s="1868">
        <v>1.17289</v>
      </c>
      <c r="H101" s="1868">
        <v>1.1178700000000001</v>
      </c>
      <c r="I101" s="1868">
        <v>1.1923700000000002</v>
      </c>
      <c r="J101" s="1868">
        <v>1.2289000000000001</v>
      </c>
      <c r="K101" s="1868">
        <v>1.1784600000000001</v>
      </c>
      <c r="L101" s="1868">
        <v>1.11589</v>
      </c>
      <c r="M101" s="1868">
        <v>1.1251899999999999</v>
      </c>
      <c r="N101" s="1868">
        <v>1.25275</v>
      </c>
      <c r="O101" s="1868">
        <v>1.09659</v>
      </c>
      <c r="P101" s="1868">
        <v>1.1784700000000001</v>
      </c>
      <c r="Q101" s="1868">
        <v>1.1323700000000001</v>
      </c>
      <c r="R101" s="1868">
        <v>1.0809799999999998</v>
      </c>
      <c r="S101" s="1868">
        <v>1.2598100000000001</v>
      </c>
      <c r="T101" s="1868">
        <v>1.30887</v>
      </c>
      <c r="U101" s="1868">
        <v>1.3260000000000001</v>
      </c>
      <c r="V101" s="1868">
        <v>1.2770700000000001</v>
      </c>
      <c r="W101" s="1868">
        <v>1.14201</v>
      </c>
      <c r="X101" s="1868">
        <v>1.2972999999999999</v>
      </c>
      <c r="Y101" s="1868">
        <v>1.2385700000000002</v>
      </c>
      <c r="Z101" s="1868">
        <v>1.2045299999999999</v>
      </c>
      <c r="AA101" s="1868">
        <v>1.29145</v>
      </c>
      <c r="AB101" s="1868">
        <v>1.3162100000000001</v>
      </c>
      <c r="AC101" s="1868">
        <v>1.3009500000000001</v>
      </c>
      <c r="AD101" s="1868">
        <v>1.41449</v>
      </c>
      <c r="AE101" s="1868">
        <v>1.4500600000000001</v>
      </c>
      <c r="AF101" s="1868">
        <v>1.44042</v>
      </c>
      <c r="AG101" s="1868">
        <v>1.448</v>
      </c>
      <c r="AH101" s="1868">
        <v>1.46187</v>
      </c>
      <c r="AI101" s="1868">
        <v>1.6619999999999999</v>
      </c>
      <c r="AJ101" s="1868">
        <v>1.4313799999999999</v>
      </c>
      <c r="AK101" s="1868">
        <v>1.6872499999999999</v>
      </c>
      <c r="AL101" s="1868">
        <v>1.46285</v>
      </c>
      <c r="AM101" s="1868">
        <v>1.52102</v>
      </c>
      <c r="AN101" s="1868">
        <v>1.5406500000000001</v>
      </c>
      <c r="AO101" s="1868">
        <v>1.4500999999999999</v>
      </c>
      <c r="AP101" s="1868">
        <v>1.8016400000000001</v>
      </c>
      <c r="AQ101" s="1868">
        <v>1.17171</v>
      </c>
      <c r="AR101" s="1868">
        <v>1.8374900000000001</v>
      </c>
      <c r="AS101" s="1868">
        <v>0.87734999999999996</v>
      </c>
      <c r="AT101" s="1868">
        <v>1.06271</v>
      </c>
      <c r="AU101" s="1868">
        <v>1.40947</v>
      </c>
      <c r="AV101" s="1868">
        <v>1.48495</v>
      </c>
      <c r="AW101" s="1868">
        <v>1.2111799999999999</v>
      </c>
      <c r="AX101" s="1868">
        <v>1.7833599999999998</v>
      </c>
      <c r="AY101" s="1868">
        <v>1.7687900000000001</v>
      </c>
      <c r="AZ101" s="1868">
        <v>1.8577900000000001</v>
      </c>
      <c r="BA101" s="1868">
        <v>1.75285</v>
      </c>
    </row>
    <row r="102" spans="1:53">
      <c r="A102" s="1865" t="str">
        <f t="shared" si="1"/>
        <v>AmericasOats</v>
      </c>
      <c r="B102" s="1866" t="s">
        <v>1411</v>
      </c>
      <c r="C102" s="1866" t="s">
        <v>1349</v>
      </c>
      <c r="D102" s="1868">
        <v>1.4275599999999999</v>
      </c>
      <c r="E102" s="1868">
        <v>1.6405099999999999</v>
      </c>
      <c r="F102" s="1868">
        <v>1.6467499999999999</v>
      </c>
      <c r="G102" s="1868">
        <v>1.5573399999999999</v>
      </c>
      <c r="H102" s="1868">
        <v>1.7579</v>
      </c>
      <c r="I102" s="1868">
        <v>1.6397900000000001</v>
      </c>
      <c r="J102" s="1868">
        <v>1.6696</v>
      </c>
      <c r="K102" s="1868">
        <v>1.8451400000000002</v>
      </c>
      <c r="L102" s="1868">
        <v>1.8661799999999999</v>
      </c>
      <c r="M102" s="1868">
        <v>1.7824099999999998</v>
      </c>
      <c r="N102" s="1868">
        <v>1.96095</v>
      </c>
      <c r="O102" s="1868">
        <v>1.8129999999999999</v>
      </c>
      <c r="P102" s="1868">
        <v>1.7280099999999998</v>
      </c>
      <c r="Q102" s="1868">
        <v>1.64028</v>
      </c>
      <c r="R102" s="1868">
        <v>1.74512</v>
      </c>
      <c r="S102" s="1868">
        <v>1.7174499999999999</v>
      </c>
      <c r="T102" s="1868">
        <v>1.94754</v>
      </c>
      <c r="U102" s="1868">
        <v>1.8356299999999999</v>
      </c>
      <c r="V102" s="1868">
        <v>1.86998</v>
      </c>
      <c r="W102" s="1868">
        <v>1.86389</v>
      </c>
      <c r="X102" s="1868">
        <v>1.8958999999999999</v>
      </c>
      <c r="Y102" s="1868">
        <v>2.0404200000000001</v>
      </c>
      <c r="Z102" s="1868">
        <v>1.8370799999999998</v>
      </c>
      <c r="AA102" s="1868">
        <v>1.9575599999999997</v>
      </c>
      <c r="AB102" s="1868">
        <v>2.1185</v>
      </c>
      <c r="AC102" s="1868">
        <v>2.0737400000000004</v>
      </c>
      <c r="AD102" s="1868">
        <v>1.9705999999999999</v>
      </c>
      <c r="AE102" s="1868">
        <v>1.6528700000000001</v>
      </c>
      <c r="AF102" s="1868">
        <v>1.89968</v>
      </c>
      <c r="AG102" s="1868">
        <v>2.0668500000000001</v>
      </c>
      <c r="AH102" s="1868">
        <v>1.7638099999999999</v>
      </c>
      <c r="AI102" s="1868">
        <v>2.1368499999999999</v>
      </c>
      <c r="AJ102" s="1868">
        <v>2.0804099999999996</v>
      </c>
      <c r="AK102" s="1868">
        <v>2.0703</v>
      </c>
      <c r="AL102" s="1868">
        <v>2.0342599999999997</v>
      </c>
      <c r="AM102" s="1868">
        <v>2.2250900000000002</v>
      </c>
      <c r="AN102" s="1868">
        <v>2.1362799999999997</v>
      </c>
      <c r="AO102" s="1868">
        <v>2.2048299999999998</v>
      </c>
      <c r="AP102" s="1868">
        <v>2.2178900000000001</v>
      </c>
      <c r="AQ102" s="1868">
        <v>2.2971400000000002</v>
      </c>
      <c r="AR102" s="1868">
        <v>2.08209</v>
      </c>
      <c r="AS102" s="1868">
        <v>2.01572</v>
      </c>
      <c r="AT102" s="1868">
        <v>2.27176</v>
      </c>
      <c r="AU102" s="1868">
        <v>2.41798</v>
      </c>
      <c r="AV102" s="1868">
        <v>2.2932000000000001</v>
      </c>
      <c r="AW102" s="1868">
        <v>2.2866200000000001</v>
      </c>
      <c r="AX102" s="1868">
        <v>2.4297</v>
      </c>
      <c r="AY102" s="1868">
        <v>2.5863999999999998</v>
      </c>
      <c r="AZ102" s="1868">
        <v>2.5198</v>
      </c>
      <c r="BA102" s="1868">
        <v>2.56108</v>
      </c>
    </row>
    <row r="103" spans="1:53">
      <c r="A103" s="1865" t="str">
        <f t="shared" si="1"/>
        <v>AmericasOil palm fruit</v>
      </c>
      <c r="B103" s="1866" t="s">
        <v>1411</v>
      </c>
      <c r="C103" s="1866" t="s">
        <v>1386</v>
      </c>
      <c r="D103" s="1868">
        <v>9.0346200000000003</v>
      </c>
      <c r="E103" s="1868">
        <v>9.3107399999999991</v>
      </c>
      <c r="F103" s="1868">
        <v>8.9397800000000007</v>
      </c>
      <c r="G103" s="1868">
        <v>9.0130600000000012</v>
      </c>
      <c r="H103" s="1868">
        <v>8.8581500000000002</v>
      </c>
      <c r="I103" s="1868">
        <v>9.0187100000000004</v>
      </c>
      <c r="J103" s="1868">
        <v>8.9390499999999999</v>
      </c>
      <c r="K103" s="1868">
        <v>8.9585799999999995</v>
      </c>
      <c r="L103" s="1868">
        <v>9.2366899999999994</v>
      </c>
      <c r="M103" s="1868">
        <v>9.5374400000000001</v>
      </c>
      <c r="N103" s="1868">
        <v>9.3407800000000005</v>
      </c>
      <c r="O103" s="1868">
        <v>9.0582600000000006</v>
      </c>
      <c r="P103" s="1868">
        <v>9.5756700000000006</v>
      </c>
      <c r="Q103" s="1868">
        <v>10.326599999999999</v>
      </c>
      <c r="R103" s="1868">
        <v>10.458830000000001</v>
      </c>
      <c r="S103" s="1868">
        <v>9.9962900000000001</v>
      </c>
      <c r="T103" s="1868">
        <v>10.68153</v>
      </c>
      <c r="U103" s="1868">
        <v>9.9024999999999999</v>
      </c>
      <c r="V103" s="1868">
        <v>10.491530000000001</v>
      </c>
      <c r="W103" s="1868">
        <v>10.649989999999999</v>
      </c>
      <c r="X103" s="1868">
        <v>11.3338</v>
      </c>
      <c r="Y103" s="1868">
        <v>11.65236</v>
      </c>
      <c r="Z103" s="1868">
        <v>12.515280000000001</v>
      </c>
      <c r="AA103" s="1868">
        <v>13.03346</v>
      </c>
      <c r="AB103" s="1868">
        <v>13.081289999999999</v>
      </c>
      <c r="AC103" s="1868">
        <v>13.09728</v>
      </c>
      <c r="AD103" s="1868">
        <v>13.718679999999999</v>
      </c>
      <c r="AE103" s="1868">
        <v>14.478589999999999</v>
      </c>
      <c r="AF103" s="1868">
        <v>14.32606</v>
      </c>
      <c r="AG103" s="1868">
        <v>13.681460000000001</v>
      </c>
      <c r="AH103" s="1868">
        <v>13.566270000000001</v>
      </c>
      <c r="AI103" s="1868">
        <v>13.694610000000001</v>
      </c>
      <c r="AJ103" s="1868">
        <v>14.23574</v>
      </c>
      <c r="AK103" s="1868">
        <v>13.647570000000002</v>
      </c>
      <c r="AL103" s="1868">
        <v>13.73584</v>
      </c>
      <c r="AM103" s="1868">
        <v>13.615360000000001</v>
      </c>
      <c r="AN103" s="1868">
        <v>15.039070000000001</v>
      </c>
      <c r="AO103" s="1868">
        <v>15.574949999999999</v>
      </c>
      <c r="AP103" s="1868">
        <v>14.90925</v>
      </c>
      <c r="AQ103" s="1868">
        <v>15.095800000000001</v>
      </c>
      <c r="AR103" s="1868">
        <v>14.68416</v>
      </c>
      <c r="AS103" s="1868">
        <v>14.320110000000001</v>
      </c>
      <c r="AT103" s="1868">
        <v>13.982879999999998</v>
      </c>
      <c r="AU103" s="1868">
        <v>15.831579999999999</v>
      </c>
      <c r="AV103" s="1868">
        <v>15.58076</v>
      </c>
      <c r="AW103" s="1868">
        <v>16.91498</v>
      </c>
      <c r="AX103" s="1868">
        <v>16.445209999999999</v>
      </c>
      <c r="AY103" s="1868">
        <v>16.744289999999999</v>
      </c>
      <c r="AZ103" s="1868">
        <v>16.446529999999999</v>
      </c>
      <c r="BA103" s="1868">
        <v>16.432170000000003</v>
      </c>
    </row>
    <row r="104" spans="1:53">
      <c r="A104" s="1865" t="str">
        <f t="shared" si="1"/>
        <v>AmericasOlives</v>
      </c>
      <c r="B104" s="1866" t="s">
        <v>1411</v>
      </c>
      <c r="C104" s="1866" t="s">
        <v>1387</v>
      </c>
      <c r="D104" s="1868">
        <v>5.9787699999999999</v>
      </c>
      <c r="E104" s="1868">
        <v>6.5073099999999995</v>
      </c>
      <c r="F104" s="1868">
        <v>7.1292300000000006</v>
      </c>
      <c r="G104" s="1868">
        <v>7.4957199999999995</v>
      </c>
      <c r="H104" s="1868">
        <v>7.9304800000000002</v>
      </c>
      <c r="I104" s="1868">
        <v>7.7844199999999999</v>
      </c>
      <c r="J104" s="1868">
        <v>6.9173200000000001</v>
      </c>
      <c r="K104" s="1868">
        <v>8.6550799999999999</v>
      </c>
      <c r="L104" s="1868">
        <v>9.0314600000000009</v>
      </c>
      <c r="M104" s="1868">
        <v>6.5892800000000005</v>
      </c>
      <c r="N104" s="1868">
        <v>8.6306799999999999</v>
      </c>
      <c r="O104" s="1868">
        <v>5.5257800000000001</v>
      </c>
      <c r="P104" s="1868">
        <v>9.9409500000000008</v>
      </c>
      <c r="Q104" s="1868">
        <v>7.5191699999999999</v>
      </c>
      <c r="R104" s="1868">
        <v>7.5366899999999992</v>
      </c>
      <c r="S104" s="1868">
        <v>7.2631500000000004</v>
      </c>
      <c r="T104" s="1868">
        <v>6.4188499999999999</v>
      </c>
      <c r="U104" s="1868">
        <v>8.1556899999999999</v>
      </c>
      <c r="V104" s="1868">
        <v>6.9254300000000004</v>
      </c>
      <c r="W104" s="1868">
        <v>7.7527699999999999</v>
      </c>
      <c r="X104" s="1868">
        <v>6.6422999999999996</v>
      </c>
      <c r="Y104" s="1868">
        <v>9.4835899999999995</v>
      </c>
      <c r="Z104" s="1868">
        <v>6.8868800000000006</v>
      </c>
      <c r="AA104" s="1868">
        <v>6.7671100000000006</v>
      </c>
      <c r="AB104" s="1868">
        <v>3.68289</v>
      </c>
      <c r="AC104" s="1868">
        <v>3.6945600000000001</v>
      </c>
      <c r="AD104" s="1868">
        <v>3.1778900000000001</v>
      </c>
      <c r="AE104" s="1868">
        <v>3.2090700000000001</v>
      </c>
      <c r="AF104" s="1868">
        <v>4.4059200000000001</v>
      </c>
      <c r="AG104" s="1868">
        <v>4.0524100000000001</v>
      </c>
      <c r="AH104" s="1868">
        <v>3.2942300000000002</v>
      </c>
      <c r="AI104" s="1868">
        <v>4.8989699999999994</v>
      </c>
      <c r="AJ104" s="1868">
        <v>4.0898199999999996</v>
      </c>
      <c r="AK104" s="1868">
        <v>3.3802099999999999</v>
      </c>
      <c r="AL104" s="1868">
        <v>3.6564000000000001</v>
      </c>
      <c r="AM104" s="1868">
        <v>5.08467</v>
      </c>
      <c r="AN104" s="1868">
        <v>3.9124599999999998</v>
      </c>
      <c r="AO104" s="1868">
        <v>3.8803800000000002</v>
      </c>
      <c r="AP104" s="1868">
        <v>4.0689699999999993</v>
      </c>
      <c r="AQ104" s="1868">
        <v>3.4883300000000004</v>
      </c>
      <c r="AR104" s="1868">
        <v>4.4024900000000002</v>
      </c>
      <c r="AS104" s="1868">
        <v>3.8836900000000001</v>
      </c>
      <c r="AT104" s="1868">
        <v>4.05748</v>
      </c>
      <c r="AU104" s="1868">
        <v>4.1392100000000003</v>
      </c>
      <c r="AV104" s="1868">
        <v>4.5276300000000003</v>
      </c>
      <c r="AW104" s="1868">
        <v>3.2406799999999998</v>
      </c>
      <c r="AX104" s="1868">
        <v>4.3491</v>
      </c>
      <c r="AY104" s="1868">
        <v>3.5329599999999997</v>
      </c>
      <c r="AZ104" s="1868">
        <v>3.3110699999999995</v>
      </c>
      <c r="BA104" s="1868">
        <v>4.8868499999999999</v>
      </c>
    </row>
    <row r="105" spans="1:53">
      <c r="A105" s="1865" t="str">
        <f t="shared" si="1"/>
        <v>AmericasOnions, dry</v>
      </c>
      <c r="B105" s="1866" t="s">
        <v>1411</v>
      </c>
      <c r="C105" s="1866" t="s">
        <v>1388</v>
      </c>
      <c r="D105" s="1868">
        <v>13.934729999999998</v>
      </c>
      <c r="E105" s="1868">
        <v>14.49424</v>
      </c>
      <c r="F105" s="1868">
        <v>15.00751</v>
      </c>
      <c r="G105" s="1868">
        <v>14.282070000000001</v>
      </c>
      <c r="H105" s="1868">
        <v>15.37646</v>
      </c>
      <c r="I105" s="1868">
        <v>14.063620000000002</v>
      </c>
      <c r="J105" s="1868">
        <v>15.171889999999999</v>
      </c>
      <c r="K105" s="1868">
        <v>14.943389999999999</v>
      </c>
      <c r="L105" s="1868">
        <v>15.15714</v>
      </c>
      <c r="M105" s="1868">
        <v>16.023859999999999</v>
      </c>
      <c r="N105" s="1868">
        <v>16.137309999999999</v>
      </c>
      <c r="O105" s="1868">
        <v>15.565420000000001</v>
      </c>
      <c r="P105" s="1868">
        <v>16.17079</v>
      </c>
      <c r="Q105" s="1868">
        <v>16.92521</v>
      </c>
      <c r="R105" s="1868">
        <v>17.583490000000001</v>
      </c>
      <c r="S105" s="1868">
        <v>18.278510000000001</v>
      </c>
      <c r="T105" s="1868">
        <v>17.980329999999999</v>
      </c>
      <c r="U105" s="1868">
        <v>18.49437</v>
      </c>
      <c r="V105" s="1868">
        <v>18.682279999999999</v>
      </c>
      <c r="W105" s="1868">
        <v>18.194510000000001</v>
      </c>
      <c r="X105" s="1868">
        <v>18.496170000000003</v>
      </c>
      <c r="Y105" s="1868">
        <v>20.473949999999999</v>
      </c>
      <c r="Z105" s="1868">
        <v>19.61063</v>
      </c>
      <c r="AA105" s="1868">
        <v>20.052949999999999</v>
      </c>
      <c r="AB105" s="1868">
        <v>21.375830000000001</v>
      </c>
      <c r="AC105" s="1868">
        <v>20.422239999999999</v>
      </c>
      <c r="AD105" s="1868">
        <v>20.39255</v>
      </c>
      <c r="AE105" s="1868">
        <v>20.070329999999998</v>
      </c>
      <c r="AF105" s="1868">
        <v>20.267529999999997</v>
      </c>
      <c r="AG105" s="1868">
        <v>21.407050000000002</v>
      </c>
      <c r="AH105" s="1868">
        <v>21.767749999999999</v>
      </c>
      <c r="AI105" s="1868">
        <v>21.81814</v>
      </c>
      <c r="AJ105" s="1868">
        <v>23.096440000000001</v>
      </c>
      <c r="AK105" s="1868">
        <v>23.589200000000002</v>
      </c>
      <c r="AL105" s="1868">
        <v>25.058399999999999</v>
      </c>
      <c r="AM105" s="1868">
        <v>26.13176</v>
      </c>
      <c r="AN105" s="1868">
        <v>26.837620000000001</v>
      </c>
      <c r="AO105" s="1868">
        <v>26.235509999999998</v>
      </c>
      <c r="AP105" s="1868">
        <v>26.916650000000001</v>
      </c>
      <c r="AQ105" s="1868">
        <v>27.994340000000001</v>
      </c>
      <c r="AR105" s="1868">
        <v>26.712609999999998</v>
      </c>
      <c r="AS105" s="1868">
        <v>27.213940000000001</v>
      </c>
      <c r="AT105" s="1868">
        <v>28.551890000000004</v>
      </c>
      <c r="AU105" s="1868">
        <v>30.758409999999998</v>
      </c>
      <c r="AV105" s="1868">
        <v>29.22</v>
      </c>
      <c r="AW105" s="1868">
        <v>29.592449999999999</v>
      </c>
      <c r="AX105" s="1868">
        <v>31.225090000000002</v>
      </c>
      <c r="AY105" s="1868">
        <v>30.973059999999997</v>
      </c>
      <c r="AZ105" s="1868">
        <v>31.13</v>
      </c>
      <c r="BA105" s="1868">
        <v>30.870809999999999</v>
      </c>
    </row>
    <row r="106" spans="1:53">
      <c r="A106" s="1865" t="str">
        <f t="shared" si="1"/>
        <v>AmericasOranges</v>
      </c>
      <c r="B106" s="1866" t="s">
        <v>1411</v>
      </c>
      <c r="C106" s="1866" t="s">
        <v>1389</v>
      </c>
      <c r="D106" s="1868">
        <v>17.641359999999999</v>
      </c>
      <c r="E106" s="1868">
        <v>18.880800000000001</v>
      </c>
      <c r="F106" s="1868">
        <v>16.75047</v>
      </c>
      <c r="G106" s="1868">
        <v>15.41685</v>
      </c>
      <c r="H106" s="1868">
        <v>17.586670000000002</v>
      </c>
      <c r="I106" s="1868">
        <v>18.06945</v>
      </c>
      <c r="J106" s="1868">
        <v>19.628540000000001</v>
      </c>
      <c r="K106" s="1868">
        <v>15.904310000000001</v>
      </c>
      <c r="L106" s="1868">
        <v>18.4664</v>
      </c>
      <c r="M106" s="1868">
        <v>17.270389999999999</v>
      </c>
      <c r="N106" s="1868">
        <v>17.672810000000002</v>
      </c>
      <c r="O106" s="1868">
        <v>17.70018</v>
      </c>
      <c r="P106" s="1868">
        <v>16.64517</v>
      </c>
      <c r="Q106" s="1868">
        <v>18.788740000000001</v>
      </c>
      <c r="R106" s="1868">
        <v>19.027460000000001</v>
      </c>
      <c r="S106" s="1868">
        <v>20.046489999999999</v>
      </c>
      <c r="T106" s="1868">
        <v>20.330100000000002</v>
      </c>
      <c r="U106" s="1868">
        <v>19.63044</v>
      </c>
      <c r="V106" s="1868">
        <v>19.562760000000001</v>
      </c>
      <c r="W106" s="1868">
        <v>20.904229999999998</v>
      </c>
      <c r="X106" s="1868">
        <v>20.286100000000001</v>
      </c>
      <c r="Y106" s="1868">
        <v>18.489000000000001</v>
      </c>
      <c r="Z106" s="1868">
        <v>19.345379999999999</v>
      </c>
      <c r="AA106" s="1868">
        <v>19.003970000000002</v>
      </c>
      <c r="AB106" s="1868">
        <v>18.853670000000001</v>
      </c>
      <c r="AC106" s="1868">
        <v>18.537220000000001</v>
      </c>
      <c r="AD106" s="1868">
        <v>18.8886</v>
      </c>
      <c r="AE106" s="1868">
        <v>18.929960000000001</v>
      </c>
      <c r="AF106" s="1868">
        <v>19.827970000000001</v>
      </c>
      <c r="AG106" s="1868">
        <v>18.356279999999998</v>
      </c>
      <c r="AH106" s="1868">
        <v>18.301690000000001</v>
      </c>
      <c r="AI106" s="1868">
        <v>18.69361</v>
      </c>
      <c r="AJ106" s="1868">
        <v>21.16423</v>
      </c>
      <c r="AK106" s="1868">
        <v>18.87331</v>
      </c>
      <c r="AL106" s="1868">
        <v>21.044139999999999</v>
      </c>
      <c r="AM106" s="1868">
        <v>20.087139999999998</v>
      </c>
      <c r="AN106" s="1868">
        <v>21.637339999999998</v>
      </c>
      <c r="AO106" s="1868">
        <v>20.292079999999999</v>
      </c>
      <c r="AP106" s="1868">
        <v>19.2562</v>
      </c>
      <c r="AQ106" s="1868">
        <v>21.904220000000002</v>
      </c>
      <c r="AR106" s="1868">
        <v>19.8017</v>
      </c>
      <c r="AS106" s="1868">
        <v>20.59198</v>
      </c>
      <c r="AT106" s="1868">
        <v>19.11852</v>
      </c>
      <c r="AU106" s="1868">
        <v>21.137260000000001</v>
      </c>
      <c r="AV106" s="1868">
        <v>19.57368</v>
      </c>
      <c r="AW106" s="1868">
        <v>20.323160000000001</v>
      </c>
      <c r="AX106" s="1868">
        <v>19.07095</v>
      </c>
      <c r="AY106" s="1868">
        <v>20.28237</v>
      </c>
      <c r="AZ106" s="1868">
        <v>19.774370000000001</v>
      </c>
      <c r="BA106" s="1868">
        <v>19.563749999999999</v>
      </c>
    </row>
    <row r="107" spans="1:53">
      <c r="A107" s="1865" t="str">
        <f t="shared" si="1"/>
        <v>AmericasPeaches and nectarines</v>
      </c>
      <c r="B107" s="1866" t="s">
        <v>1411</v>
      </c>
      <c r="C107" s="1866" t="s">
        <v>1390</v>
      </c>
      <c r="D107" s="1868">
        <v>12.35026</v>
      </c>
      <c r="E107" s="1868">
        <v>12.233360000000001</v>
      </c>
      <c r="F107" s="1868">
        <v>12.54086</v>
      </c>
      <c r="G107" s="1868">
        <v>12.48226</v>
      </c>
      <c r="H107" s="1868">
        <v>13.489679999999998</v>
      </c>
      <c r="I107" s="1868">
        <v>12.564739999999999</v>
      </c>
      <c r="J107" s="1868">
        <v>11.675510000000001</v>
      </c>
      <c r="K107" s="1868">
        <v>14.01188</v>
      </c>
      <c r="L107" s="1868">
        <v>15.112299999999999</v>
      </c>
      <c r="M107" s="1868">
        <v>13.63134</v>
      </c>
      <c r="N107" s="1868">
        <v>13.375860000000001</v>
      </c>
      <c r="O107" s="1868">
        <v>12.14307</v>
      </c>
      <c r="P107" s="1868">
        <v>11.458780000000001</v>
      </c>
      <c r="Q107" s="1868">
        <v>13.923789999999999</v>
      </c>
      <c r="R107" s="1868">
        <v>13.419020000000002</v>
      </c>
      <c r="S107" s="1868">
        <v>14.235560000000001</v>
      </c>
      <c r="T107" s="1868">
        <v>14.172879999999999</v>
      </c>
      <c r="U107" s="1868">
        <v>13.234670000000001</v>
      </c>
      <c r="V107" s="1868">
        <v>14.352679999999999</v>
      </c>
      <c r="W107" s="1868">
        <v>11.75389</v>
      </c>
      <c r="X107" s="1868">
        <v>10.576319999999999</v>
      </c>
      <c r="Y107" s="1868">
        <v>9.1724199999999989</v>
      </c>
      <c r="Z107" s="1868">
        <v>8.4783100000000005</v>
      </c>
      <c r="AA107" s="1868">
        <v>10.207980000000001</v>
      </c>
      <c r="AB107" s="1868">
        <v>9.2891600000000007</v>
      </c>
      <c r="AC107" s="1868">
        <v>9.2009000000000007</v>
      </c>
      <c r="AD107" s="1868">
        <v>9.1935599999999997</v>
      </c>
      <c r="AE107" s="1868">
        <v>10.801739999999999</v>
      </c>
      <c r="AF107" s="1868">
        <v>10.149179999999999</v>
      </c>
      <c r="AG107" s="1868">
        <v>9.9013799999999996</v>
      </c>
      <c r="AH107" s="1868">
        <v>10.566560000000001</v>
      </c>
      <c r="AI107" s="1868">
        <v>10.686669999999999</v>
      </c>
      <c r="AJ107" s="1868">
        <v>10.766389999999999</v>
      </c>
      <c r="AK107" s="1868">
        <v>10.78595</v>
      </c>
      <c r="AL107" s="1868">
        <v>9.7922999999999991</v>
      </c>
      <c r="AM107" s="1868">
        <v>10.058339999999999</v>
      </c>
      <c r="AN107" s="1868">
        <v>11.55269</v>
      </c>
      <c r="AO107" s="1868">
        <v>10.55963</v>
      </c>
      <c r="AP107" s="1868">
        <v>11.5389</v>
      </c>
      <c r="AQ107" s="1868">
        <v>11.70844</v>
      </c>
      <c r="AR107" s="1868">
        <v>12.224600000000001</v>
      </c>
      <c r="AS107" s="1868">
        <v>12.47617</v>
      </c>
      <c r="AT107" s="1868">
        <v>12.113939999999999</v>
      </c>
      <c r="AU107" s="1868">
        <v>13.21527</v>
      </c>
      <c r="AV107" s="1868">
        <v>12.554069999999999</v>
      </c>
      <c r="AW107" s="1868">
        <v>11.784930000000001</v>
      </c>
      <c r="AX107" s="1868">
        <v>12.858599999999999</v>
      </c>
      <c r="AY107" s="1868">
        <v>13.80378</v>
      </c>
      <c r="AZ107" s="1868">
        <v>13.209610000000001</v>
      </c>
      <c r="BA107" s="1868">
        <v>12.676910000000001</v>
      </c>
    </row>
    <row r="108" spans="1:53">
      <c r="A108" s="1865" t="str">
        <f t="shared" si="1"/>
        <v>AmericasPeas, dry</v>
      </c>
      <c r="B108" s="1866" t="s">
        <v>1411</v>
      </c>
      <c r="C108" s="1866" t="s">
        <v>1391</v>
      </c>
      <c r="D108" s="1868">
        <v>1.00034</v>
      </c>
      <c r="E108" s="1868">
        <v>1.26132</v>
      </c>
      <c r="F108" s="1868">
        <v>1.24648</v>
      </c>
      <c r="G108" s="1868">
        <v>1.30122</v>
      </c>
      <c r="H108" s="1868">
        <v>1.31565</v>
      </c>
      <c r="I108" s="1868">
        <v>1.14975</v>
      </c>
      <c r="J108" s="1868">
        <v>1.14489</v>
      </c>
      <c r="K108" s="1868">
        <v>1.04803</v>
      </c>
      <c r="L108" s="1868">
        <v>1.20374</v>
      </c>
      <c r="M108" s="1868">
        <v>1.0528600000000001</v>
      </c>
      <c r="N108" s="1868">
        <v>1.3434700000000002</v>
      </c>
      <c r="O108" s="1868">
        <v>1.15706</v>
      </c>
      <c r="P108" s="1868">
        <v>1.0449700000000002</v>
      </c>
      <c r="Q108" s="1868">
        <v>1.18011</v>
      </c>
      <c r="R108" s="1868">
        <v>1.17228</v>
      </c>
      <c r="S108" s="1868">
        <v>1.2317400000000001</v>
      </c>
      <c r="T108" s="1868">
        <v>0.83802999999999994</v>
      </c>
      <c r="U108" s="1868">
        <v>1.31087</v>
      </c>
      <c r="V108" s="1868">
        <v>1.2326900000000001</v>
      </c>
      <c r="W108" s="1868">
        <v>1.3575200000000001</v>
      </c>
      <c r="X108" s="1868">
        <v>1.33419</v>
      </c>
      <c r="Y108" s="1868">
        <v>1.33579</v>
      </c>
      <c r="Z108" s="1868">
        <v>1.4019600000000001</v>
      </c>
      <c r="AA108" s="1868">
        <v>1.2478499999999999</v>
      </c>
      <c r="AB108" s="1868">
        <v>1.4621899999999999</v>
      </c>
      <c r="AC108" s="1868">
        <v>1.6195299999999999</v>
      </c>
      <c r="AD108" s="1868">
        <v>1.70207</v>
      </c>
      <c r="AE108" s="1868">
        <v>1.4138700000000002</v>
      </c>
      <c r="AF108" s="1868">
        <v>1.65198</v>
      </c>
      <c r="AG108" s="1868">
        <v>1.49888</v>
      </c>
      <c r="AH108" s="1868">
        <v>1.8166900000000001</v>
      </c>
      <c r="AI108" s="1868">
        <v>1.6924099999999997</v>
      </c>
      <c r="AJ108" s="1868">
        <v>1.9716400000000001</v>
      </c>
      <c r="AK108" s="1868">
        <v>2.0164499999999999</v>
      </c>
      <c r="AL108" s="1868">
        <v>1.9020900000000001</v>
      </c>
      <c r="AM108" s="1868">
        <v>2.0270099999999998</v>
      </c>
      <c r="AN108" s="1868">
        <v>2.0311499999999998</v>
      </c>
      <c r="AO108" s="1868">
        <v>2.1038999999999999</v>
      </c>
      <c r="AP108" s="1868">
        <v>2.4965299999999999</v>
      </c>
      <c r="AQ108" s="1868">
        <v>2.2447599999999999</v>
      </c>
      <c r="AR108" s="1868">
        <v>1.59311</v>
      </c>
      <c r="AS108" s="1868">
        <v>1.35294</v>
      </c>
      <c r="AT108" s="1868">
        <v>1.6561400000000002</v>
      </c>
      <c r="AU108" s="1868">
        <v>2.4014900000000003</v>
      </c>
      <c r="AV108" s="1868">
        <v>2.2204099999999998</v>
      </c>
      <c r="AW108" s="1868">
        <v>1.8998599999999999</v>
      </c>
      <c r="AX108" s="1868">
        <v>2.01145</v>
      </c>
      <c r="AY108" s="1868">
        <v>2.0837699999999999</v>
      </c>
      <c r="AZ108" s="1868">
        <v>2.1932200000000002</v>
      </c>
      <c r="BA108" s="1868">
        <v>2.0798999999999999</v>
      </c>
    </row>
    <row r="109" spans="1:53">
      <c r="A109" s="1865" t="str">
        <f t="shared" si="1"/>
        <v>AmericasPeas, green</v>
      </c>
      <c r="B109" s="1866" t="s">
        <v>1411</v>
      </c>
      <c r="C109" s="1866" t="s">
        <v>1392</v>
      </c>
      <c r="D109" s="1868">
        <v>5.6849999999999996</v>
      </c>
      <c r="E109" s="1868">
        <v>5.8385800000000003</v>
      </c>
      <c r="F109" s="1868">
        <v>5.59781</v>
      </c>
      <c r="G109" s="1868">
        <v>5.2467699999999997</v>
      </c>
      <c r="H109" s="1868">
        <v>6.1051299999999999</v>
      </c>
      <c r="I109" s="1868">
        <v>5.2743199999999995</v>
      </c>
      <c r="J109" s="1868">
        <v>5.8010800000000007</v>
      </c>
      <c r="K109" s="1868">
        <v>5.9113699999999998</v>
      </c>
      <c r="L109" s="1868">
        <v>5.7199499999999999</v>
      </c>
      <c r="M109" s="1868">
        <v>5.5870199999999999</v>
      </c>
      <c r="N109" s="1868">
        <v>5.9622400000000004</v>
      </c>
      <c r="O109" s="1868">
        <v>5.8807800000000006</v>
      </c>
      <c r="P109" s="1868">
        <v>5.3309699999999998</v>
      </c>
      <c r="Q109" s="1868">
        <v>5.8753900000000003</v>
      </c>
      <c r="R109" s="1868">
        <v>5.7680099999999994</v>
      </c>
      <c r="S109" s="1868">
        <v>5.6484300000000003</v>
      </c>
      <c r="T109" s="1868">
        <v>5.8835499999999996</v>
      </c>
      <c r="U109" s="1868">
        <v>5.7053599999999998</v>
      </c>
      <c r="V109" s="1868">
        <v>6.9626600000000005</v>
      </c>
      <c r="W109" s="1868">
        <v>6.44435</v>
      </c>
      <c r="X109" s="1868">
        <v>6.4220300000000003</v>
      </c>
      <c r="Y109" s="1868">
        <v>6.7379399999999992</v>
      </c>
      <c r="Z109" s="1868">
        <v>5.9158499999999998</v>
      </c>
      <c r="AA109" s="1868">
        <v>6.2972900000000003</v>
      </c>
      <c r="AB109" s="1868">
        <v>6.8667199999999999</v>
      </c>
      <c r="AC109" s="1868">
        <v>6.29833</v>
      </c>
      <c r="AD109" s="1868">
        <v>6.27447</v>
      </c>
      <c r="AE109" s="1868">
        <v>4.5557300000000005</v>
      </c>
      <c r="AF109" s="1868">
        <v>6.4396699999999996</v>
      </c>
      <c r="AG109" s="1868">
        <v>6.4268999999999998</v>
      </c>
      <c r="AH109" s="1868">
        <v>6.1656399999999998</v>
      </c>
      <c r="AI109" s="1868">
        <v>7.0104300000000004</v>
      </c>
      <c r="AJ109" s="1868">
        <v>6.0561300000000005</v>
      </c>
      <c r="AK109" s="1868">
        <v>6.1880300000000004</v>
      </c>
      <c r="AL109" s="1868">
        <v>6.0711000000000004</v>
      </c>
      <c r="AM109" s="1868">
        <v>5.86517</v>
      </c>
      <c r="AN109" s="1868">
        <v>6.0465599999999995</v>
      </c>
      <c r="AO109" s="1868">
        <v>6.31</v>
      </c>
      <c r="AP109" s="1868">
        <v>5.9812599999999998</v>
      </c>
      <c r="AQ109" s="1868">
        <v>6.6130699999999996</v>
      </c>
      <c r="AR109" s="1868">
        <v>5.8846400000000001</v>
      </c>
      <c r="AS109" s="1868">
        <v>5.4219499999999998</v>
      </c>
      <c r="AT109" s="1868">
        <v>6.4850300000000001</v>
      </c>
      <c r="AU109" s="1868">
        <v>6.1026499999999997</v>
      </c>
      <c r="AV109" s="1868">
        <v>5.8152800000000004</v>
      </c>
      <c r="AW109" s="1868">
        <v>6.3160499999999997</v>
      </c>
      <c r="AX109" s="1868">
        <v>6.4901200000000001</v>
      </c>
      <c r="AY109" s="1868">
        <v>3.57111</v>
      </c>
      <c r="AZ109" s="1868">
        <v>3.6991099999999997</v>
      </c>
      <c r="BA109" s="1868">
        <v>3.5228300000000004</v>
      </c>
    </row>
    <row r="110" spans="1:53">
      <c r="A110" s="1865" t="str">
        <f t="shared" si="1"/>
        <v>AmericasPineapples</v>
      </c>
      <c r="B110" s="1866" t="s">
        <v>1411</v>
      </c>
      <c r="C110" s="1866" t="s">
        <v>1351</v>
      </c>
      <c r="D110" s="1868">
        <v>19.915839999999999</v>
      </c>
      <c r="E110" s="1868">
        <v>20.210999999999999</v>
      </c>
      <c r="F110" s="1868">
        <v>20.382159999999999</v>
      </c>
      <c r="G110" s="1868">
        <v>20.051860000000001</v>
      </c>
      <c r="H110" s="1868">
        <v>21.71922</v>
      </c>
      <c r="I110" s="1868">
        <v>22.40765</v>
      </c>
      <c r="J110" s="1868">
        <v>22.26989</v>
      </c>
      <c r="K110" s="1868">
        <v>21.953220000000002</v>
      </c>
      <c r="L110" s="1868">
        <v>21.763349999999999</v>
      </c>
      <c r="M110" s="1868">
        <v>22.107800000000001</v>
      </c>
      <c r="N110" s="1868">
        <v>23.542820000000003</v>
      </c>
      <c r="O110" s="1868">
        <v>24.27985</v>
      </c>
      <c r="P110" s="1868">
        <v>22.462679999999999</v>
      </c>
      <c r="Q110" s="1868">
        <v>23.390229999999999</v>
      </c>
      <c r="R110" s="1868">
        <v>24.75535</v>
      </c>
      <c r="S110" s="1868">
        <v>24.935739999999999</v>
      </c>
      <c r="T110" s="1868">
        <v>25.683579999999999</v>
      </c>
      <c r="U110" s="1868">
        <v>26.463609999999999</v>
      </c>
      <c r="V110" s="1868">
        <v>26.51362</v>
      </c>
      <c r="W110" s="1868">
        <v>27.115549999999999</v>
      </c>
      <c r="X110" s="1868">
        <v>26.533329999999999</v>
      </c>
      <c r="Y110" s="1868">
        <v>28.076270000000001</v>
      </c>
      <c r="Z110" s="1868">
        <v>29.516629999999999</v>
      </c>
      <c r="AA110" s="1868">
        <v>29.509040000000002</v>
      </c>
      <c r="AB110" s="1868">
        <v>28.834020000000002</v>
      </c>
      <c r="AC110" s="1868">
        <v>29.008279999999999</v>
      </c>
      <c r="AD110" s="1868">
        <v>29.980059999999998</v>
      </c>
      <c r="AE110" s="1868">
        <v>30.689140000000002</v>
      </c>
      <c r="AF110" s="1868">
        <v>34.194479999999999</v>
      </c>
      <c r="AG110" s="1868">
        <v>33.993290000000002</v>
      </c>
      <c r="AH110" s="1868">
        <v>33.9101</v>
      </c>
      <c r="AI110" s="1868">
        <v>33.495930000000001</v>
      </c>
      <c r="AJ110" s="1868">
        <v>30.044350000000001</v>
      </c>
      <c r="AK110" s="1868">
        <v>32.101170000000003</v>
      </c>
      <c r="AL110" s="1868">
        <v>30.926820000000003</v>
      </c>
      <c r="AM110" s="1868">
        <v>28.255759999999999</v>
      </c>
      <c r="AN110" s="1868">
        <v>30.501109999999997</v>
      </c>
      <c r="AO110" s="1868">
        <v>28.957159999999998</v>
      </c>
      <c r="AP110" s="1868">
        <v>32.154959999999996</v>
      </c>
      <c r="AQ110" s="1868">
        <v>31.132509999999996</v>
      </c>
      <c r="AR110" s="1868">
        <v>32.021549999999998</v>
      </c>
      <c r="AS110" s="1868">
        <v>32.771409999999996</v>
      </c>
      <c r="AT110" s="1868">
        <v>32.881640000000004</v>
      </c>
      <c r="AU110" s="1868">
        <v>33.744070000000001</v>
      </c>
      <c r="AV110" s="1868">
        <v>33.725459999999998</v>
      </c>
      <c r="AW110" s="1868">
        <v>34.470559999999999</v>
      </c>
      <c r="AX110" s="1868">
        <v>32.829099999999997</v>
      </c>
      <c r="AY110" s="1868">
        <v>33.114150000000002</v>
      </c>
      <c r="AZ110" s="1868">
        <v>31.872059999999998</v>
      </c>
      <c r="BA110" s="1868">
        <v>31.54702</v>
      </c>
    </row>
    <row r="111" spans="1:53">
      <c r="A111" s="1865" t="str">
        <f t="shared" si="1"/>
        <v>AmericasPlantains</v>
      </c>
      <c r="B111" s="1866" t="s">
        <v>1411</v>
      </c>
      <c r="C111" s="1866" t="s">
        <v>1393</v>
      </c>
      <c r="D111" s="1868">
        <v>7.6341800000000006</v>
      </c>
      <c r="E111" s="1868">
        <v>8.2381499999999992</v>
      </c>
      <c r="F111" s="1868">
        <v>8.3582300000000007</v>
      </c>
      <c r="G111" s="1868">
        <v>8.0129699999999993</v>
      </c>
      <c r="H111" s="1868">
        <v>8.9428099999999997</v>
      </c>
      <c r="I111" s="1868">
        <v>8.4804300000000001</v>
      </c>
      <c r="J111" s="1868">
        <v>8.2168899999999994</v>
      </c>
      <c r="K111" s="1868">
        <v>8.5299800000000001</v>
      </c>
      <c r="L111" s="1868">
        <v>8.6524800000000006</v>
      </c>
      <c r="M111" s="1868">
        <v>8.4580600000000015</v>
      </c>
      <c r="N111" s="1868">
        <v>7.2559399999999998</v>
      </c>
      <c r="O111" s="1868">
        <v>7.2451300000000005</v>
      </c>
      <c r="P111" s="1868">
        <v>7.3871500000000001</v>
      </c>
      <c r="Q111" s="1868">
        <v>7.137010000000001</v>
      </c>
      <c r="R111" s="1868">
        <v>6.8478399999999997</v>
      </c>
      <c r="S111" s="1868">
        <v>7.0728800000000005</v>
      </c>
      <c r="T111" s="1868">
        <v>6.9195100000000007</v>
      </c>
      <c r="U111" s="1868">
        <v>7.5494300000000001</v>
      </c>
      <c r="V111" s="1868">
        <v>7.2980499999999999</v>
      </c>
      <c r="W111" s="1868">
        <v>7.3442100000000003</v>
      </c>
      <c r="X111" s="1868">
        <v>7.4127199999999993</v>
      </c>
      <c r="Y111" s="1868">
        <v>7.4837800000000003</v>
      </c>
      <c r="Z111" s="1868">
        <v>7.6133100000000002</v>
      </c>
      <c r="AA111" s="1868">
        <v>7.7247699999999995</v>
      </c>
      <c r="AB111" s="1868">
        <v>7.9432</v>
      </c>
      <c r="AC111" s="1868">
        <v>7.9505699999999999</v>
      </c>
      <c r="AD111" s="1868">
        <v>8.1803699999999999</v>
      </c>
      <c r="AE111" s="1868">
        <v>8.1631699999999991</v>
      </c>
      <c r="AF111" s="1868">
        <v>8.2987300000000008</v>
      </c>
      <c r="AG111" s="1868">
        <v>8.82789</v>
      </c>
      <c r="AH111" s="1868">
        <v>8.7049699999999994</v>
      </c>
      <c r="AI111" s="1868">
        <v>8.3874300000000002</v>
      </c>
      <c r="AJ111" s="1868">
        <v>8.1018399999999993</v>
      </c>
      <c r="AK111" s="1868">
        <v>8.1903800000000011</v>
      </c>
      <c r="AL111" s="1868">
        <v>8.271939999999999</v>
      </c>
      <c r="AM111" s="1868">
        <v>8.4417299999999997</v>
      </c>
      <c r="AN111" s="1868">
        <v>8.4323899999999998</v>
      </c>
      <c r="AO111" s="1868">
        <v>8.2210999999999999</v>
      </c>
      <c r="AP111" s="1868">
        <v>8.2570700000000006</v>
      </c>
      <c r="AQ111" s="1868">
        <v>8.444469999999999</v>
      </c>
      <c r="AR111" s="1868">
        <v>9.2629800000000007</v>
      </c>
      <c r="AS111" s="1868">
        <v>8.4673800000000004</v>
      </c>
      <c r="AT111" s="1868">
        <v>8.6281800000000004</v>
      </c>
      <c r="AU111" s="1868">
        <v>8.797089999999999</v>
      </c>
      <c r="AV111" s="1868">
        <v>8.7023499999999991</v>
      </c>
      <c r="AW111" s="1868">
        <v>8.8995800000000003</v>
      </c>
      <c r="AX111" s="1868">
        <v>9.0278399999999994</v>
      </c>
      <c r="AY111" s="1868">
        <v>8.865689999999999</v>
      </c>
      <c r="AZ111" s="1868">
        <v>8.7277899999999988</v>
      </c>
      <c r="BA111" s="1868">
        <v>8.8001699999999996</v>
      </c>
    </row>
    <row r="112" spans="1:53">
      <c r="A112" s="1865" t="str">
        <f t="shared" si="1"/>
        <v>AmericasPotatoes</v>
      </c>
      <c r="B112" s="1866" t="s">
        <v>1411</v>
      </c>
      <c r="C112" s="1866" t="s">
        <v>1394</v>
      </c>
      <c r="D112" s="1868">
        <v>13.01971</v>
      </c>
      <c r="E112" s="1868">
        <v>12.743080000000001</v>
      </c>
      <c r="F112" s="1868">
        <v>12.823130000000001</v>
      </c>
      <c r="G112" s="1868">
        <v>12.23296</v>
      </c>
      <c r="H112" s="1868">
        <v>13.530439999999999</v>
      </c>
      <c r="I112" s="1868">
        <v>13.685449999999999</v>
      </c>
      <c r="J112" s="1868">
        <v>13.647429999999998</v>
      </c>
      <c r="K112" s="1868">
        <v>13.907070000000001</v>
      </c>
      <c r="L112" s="1868">
        <v>14.09145</v>
      </c>
      <c r="M112" s="1868">
        <v>14.601229999999999</v>
      </c>
      <c r="N112" s="1868">
        <v>14.78875</v>
      </c>
      <c r="O112" s="1868">
        <v>14.264829999999998</v>
      </c>
      <c r="P112" s="1868">
        <v>14.68338</v>
      </c>
      <c r="Q112" s="1868">
        <v>16.11138</v>
      </c>
      <c r="R112" s="1868">
        <v>15.81231</v>
      </c>
      <c r="S112" s="1868">
        <v>16.492570000000001</v>
      </c>
      <c r="T112" s="1868">
        <v>16.666520000000002</v>
      </c>
      <c r="U112" s="1868">
        <v>16.649709999999999</v>
      </c>
      <c r="V112" s="1868">
        <v>16.640139999999999</v>
      </c>
      <c r="W112" s="1868">
        <v>16.117060000000002</v>
      </c>
      <c r="X112" s="1868">
        <v>17.414159999999999</v>
      </c>
      <c r="Y112" s="1868">
        <v>17.851110000000002</v>
      </c>
      <c r="Z112" s="1868">
        <v>17.713529999999999</v>
      </c>
      <c r="AA112" s="1868">
        <v>18.656270000000003</v>
      </c>
      <c r="AB112" s="1868">
        <v>19.920950000000001</v>
      </c>
      <c r="AC112" s="1868">
        <v>18.953529999999997</v>
      </c>
      <c r="AD112" s="1868">
        <v>19.481549999999999</v>
      </c>
      <c r="AE112" s="1868">
        <v>19.098479999999999</v>
      </c>
      <c r="AF112" s="1868">
        <v>19.717489999999998</v>
      </c>
      <c r="AG112" s="1868">
        <v>20.482860000000002</v>
      </c>
      <c r="AH112" s="1868">
        <v>20.388829999999999</v>
      </c>
      <c r="AI112" s="1868">
        <v>21.673079999999999</v>
      </c>
      <c r="AJ112" s="1868">
        <v>21.340050000000002</v>
      </c>
      <c r="AK112" s="1868">
        <v>22.423179999999999</v>
      </c>
      <c r="AL112" s="1868">
        <v>21.917820000000003</v>
      </c>
      <c r="AM112" s="1868">
        <v>23.104570000000002</v>
      </c>
      <c r="AN112" s="1868">
        <v>22.89537</v>
      </c>
      <c r="AO112" s="1868">
        <v>22.870509999999999</v>
      </c>
      <c r="AP112" s="1868">
        <v>23.44698</v>
      </c>
      <c r="AQ112" s="1868">
        <v>24.95439</v>
      </c>
      <c r="AR112" s="1868">
        <v>24.09038</v>
      </c>
      <c r="AS112" s="1868">
        <v>24.42821</v>
      </c>
      <c r="AT112" s="1868">
        <v>24.989129999999999</v>
      </c>
      <c r="AU112" s="1868">
        <v>25.616589999999999</v>
      </c>
      <c r="AV112" s="1868">
        <v>25.069749999999999</v>
      </c>
      <c r="AW112" s="1868">
        <v>25.67266</v>
      </c>
      <c r="AX112" s="1868">
        <v>25.493029999999997</v>
      </c>
      <c r="AY112" s="1868">
        <v>25.639399999999998</v>
      </c>
      <c r="AZ112" s="1868">
        <v>26.359459999999999</v>
      </c>
      <c r="BA112" s="1868">
        <v>25.18938</v>
      </c>
    </row>
    <row r="113" spans="1:53">
      <c r="A113" s="1865" t="str">
        <f t="shared" si="1"/>
        <v>AmericasPulses, nes</v>
      </c>
      <c r="B113" s="1866" t="s">
        <v>1411</v>
      </c>
      <c r="C113" s="1866" t="s">
        <v>1395</v>
      </c>
      <c r="D113" s="1868">
        <v>0.88971</v>
      </c>
      <c r="E113" s="1868">
        <v>0.88780999999999999</v>
      </c>
      <c r="F113" s="1868">
        <v>0.89842999999999995</v>
      </c>
      <c r="G113" s="1868">
        <v>0.89537000000000011</v>
      </c>
      <c r="H113" s="1868">
        <v>0.92166000000000003</v>
      </c>
      <c r="I113" s="1868">
        <v>1.0359100000000001</v>
      </c>
      <c r="J113" s="1868">
        <v>1.1556</v>
      </c>
      <c r="K113" s="1868">
        <v>1.2519</v>
      </c>
      <c r="L113" s="1868">
        <v>0.84151000000000009</v>
      </c>
      <c r="M113" s="1868">
        <v>0.88475999999999999</v>
      </c>
      <c r="N113" s="1868">
        <v>0.74963000000000002</v>
      </c>
      <c r="O113" s="1868">
        <v>0.77331000000000005</v>
      </c>
      <c r="P113" s="1868">
        <v>0.78846000000000005</v>
      </c>
      <c r="Q113" s="1868">
        <v>0.82230999999999999</v>
      </c>
      <c r="R113" s="1868">
        <v>0.85589999999999999</v>
      </c>
      <c r="S113" s="1868">
        <v>0.85453999999999997</v>
      </c>
      <c r="T113" s="1868">
        <v>0.82652000000000003</v>
      </c>
      <c r="U113" s="1868">
        <v>0.79056999999999999</v>
      </c>
      <c r="V113" s="1868">
        <v>0.79127000000000003</v>
      </c>
      <c r="W113" s="1868">
        <v>0.80453999999999992</v>
      </c>
      <c r="X113" s="1868">
        <v>0.79853000000000007</v>
      </c>
      <c r="Y113" s="1868">
        <v>0.8364299999999999</v>
      </c>
      <c r="Z113" s="1868">
        <v>0.92236000000000007</v>
      </c>
      <c r="AA113" s="1868">
        <v>0.94767999999999997</v>
      </c>
      <c r="AB113" s="1868">
        <v>1.01884</v>
      </c>
      <c r="AC113" s="1868">
        <v>1.0989100000000001</v>
      </c>
      <c r="AD113" s="1868">
        <v>2.6734200000000001</v>
      </c>
      <c r="AE113" s="1868">
        <v>2.7248200000000002</v>
      </c>
      <c r="AF113" s="1868">
        <v>1.6212899999999999</v>
      </c>
      <c r="AG113" s="1868">
        <v>1.5404100000000001</v>
      </c>
      <c r="AH113" s="1868">
        <v>1.79105</v>
      </c>
      <c r="AI113" s="1868">
        <v>1.6366000000000001</v>
      </c>
      <c r="AJ113" s="1868">
        <v>1.6759099999999998</v>
      </c>
      <c r="AK113" s="1868">
        <v>1.9458200000000001</v>
      </c>
      <c r="AL113" s="1868">
        <v>2.10317</v>
      </c>
      <c r="AM113" s="1868">
        <v>2.0671599999999999</v>
      </c>
      <c r="AN113" s="1868">
        <v>2.1033499999999998</v>
      </c>
      <c r="AO113" s="1868">
        <v>2.3881799999999997</v>
      </c>
      <c r="AP113" s="1868">
        <v>2.7268699999999999</v>
      </c>
      <c r="AQ113" s="1868">
        <v>2.4141300000000001</v>
      </c>
      <c r="AR113" s="1868">
        <v>2.2726299999999999</v>
      </c>
      <c r="AS113" s="1868">
        <v>1.57375</v>
      </c>
      <c r="AT113" s="1868">
        <v>1.73563</v>
      </c>
      <c r="AU113" s="1868">
        <v>2.1091900000000003</v>
      </c>
      <c r="AV113" s="1868">
        <v>2.1189100000000001</v>
      </c>
      <c r="AW113" s="1868">
        <v>2.1148199999999999</v>
      </c>
      <c r="AX113" s="1868">
        <v>2.2392099999999999</v>
      </c>
      <c r="AY113" s="1868">
        <v>2.2026400000000002</v>
      </c>
      <c r="AZ113" s="1868">
        <v>2.1991700000000001</v>
      </c>
      <c r="BA113" s="1868">
        <v>2.2260900000000001</v>
      </c>
    </row>
    <row r="114" spans="1:53">
      <c r="A114" s="1865" t="str">
        <f t="shared" si="1"/>
        <v>AmericasQuinoa</v>
      </c>
      <c r="B114" s="1866" t="s">
        <v>1411</v>
      </c>
      <c r="C114" s="1866" t="s">
        <v>1412</v>
      </c>
      <c r="D114" s="1868">
        <v>0.61716000000000004</v>
      </c>
      <c r="E114" s="1868">
        <v>0.67069999999999996</v>
      </c>
      <c r="F114" s="1868">
        <v>0.74439</v>
      </c>
      <c r="G114" s="1868">
        <v>0.70736999999999994</v>
      </c>
      <c r="H114" s="1868">
        <v>0.69589999999999996</v>
      </c>
      <c r="I114" s="1868">
        <v>0.61238999999999999</v>
      </c>
      <c r="J114" s="1868">
        <v>0.71048</v>
      </c>
      <c r="K114" s="1868">
        <v>0.62006000000000006</v>
      </c>
      <c r="L114" s="1868">
        <v>0.55763999999999991</v>
      </c>
      <c r="M114" s="1868">
        <v>0.60016999999999998</v>
      </c>
      <c r="N114" s="1868">
        <v>0.56855</v>
      </c>
      <c r="O114" s="1868">
        <v>0.61136999999999997</v>
      </c>
      <c r="P114" s="1868">
        <v>0.65554000000000001</v>
      </c>
      <c r="Q114" s="1868">
        <v>0.66338999999999992</v>
      </c>
      <c r="R114" s="1868">
        <v>0.71909999999999996</v>
      </c>
      <c r="S114" s="1868">
        <v>0.66383000000000003</v>
      </c>
      <c r="T114" s="1868">
        <v>0.46988999999999997</v>
      </c>
      <c r="U114" s="1868">
        <v>0.48153999999999997</v>
      </c>
      <c r="V114" s="1868">
        <v>0.53596999999999995</v>
      </c>
      <c r="W114" s="1868">
        <v>0.72409999999999997</v>
      </c>
      <c r="X114" s="1868">
        <v>0.62963999999999998</v>
      </c>
      <c r="Y114" s="1868">
        <v>0.70423999999999998</v>
      </c>
      <c r="Z114" s="1868">
        <v>0.35419</v>
      </c>
      <c r="AA114" s="1868">
        <v>0.59567000000000003</v>
      </c>
      <c r="AB114" s="1868">
        <v>0.48756000000000005</v>
      </c>
      <c r="AC114" s="1868">
        <v>0.54356000000000004</v>
      </c>
      <c r="AD114" s="1868">
        <v>0.56126999999999994</v>
      </c>
      <c r="AE114" s="1868">
        <v>0.56581000000000004</v>
      </c>
      <c r="AF114" s="1868">
        <v>0.58643999999999996</v>
      </c>
      <c r="AG114" s="1868">
        <v>0.48359999999999997</v>
      </c>
      <c r="AH114" s="1868">
        <v>0.63033000000000006</v>
      </c>
      <c r="AI114" s="1868">
        <v>0.46951000000000004</v>
      </c>
      <c r="AJ114" s="1868">
        <v>0.64153000000000004</v>
      </c>
      <c r="AK114" s="1868">
        <v>0.61178999999999994</v>
      </c>
      <c r="AL114" s="1868">
        <v>0.58586000000000005</v>
      </c>
      <c r="AM114" s="1868">
        <v>0.70025999999999999</v>
      </c>
      <c r="AN114" s="1868">
        <v>0.75939999999999996</v>
      </c>
      <c r="AO114" s="1868">
        <v>0.70335999999999999</v>
      </c>
      <c r="AP114" s="1868">
        <v>0.77381999999999995</v>
      </c>
      <c r="AQ114" s="1868">
        <v>0.78503999999999996</v>
      </c>
      <c r="AR114" s="1868">
        <v>0.72291000000000005</v>
      </c>
      <c r="AS114" s="1868">
        <v>0.82763999999999993</v>
      </c>
      <c r="AT114" s="1868">
        <v>0.82142000000000004</v>
      </c>
      <c r="AU114" s="1868">
        <v>0.77816000000000007</v>
      </c>
      <c r="AV114" s="1868">
        <v>0.84868999999999994</v>
      </c>
      <c r="AW114" s="1868">
        <v>0.79044999999999999</v>
      </c>
      <c r="AX114" s="1868">
        <v>0.76958000000000004</v>
      </c>
      <c r="AY114" s="1868">
        <v>0.73646</v>
      </c>
      <c r="AZ114" s="1868">
        <v>0.82342999999999988</v>
      </c>
      <c r="BA114" s="1868">
        <v>0.82753999999999994</v>
      </c>
    </row>
    <row r="115" spans="1:53">
      <c r="A115" s="1865" t="str">
        <f t="shared" si="1"/>
        <v>AmericasRice, paddy</v>
      </c>
      <c r="B115" s="1866" t="s">
        <v>1411</v>
      </c>
      <c r="C115" s="1866" t="s">
        <v>1396</v>
      </c>
      <c r="D115" s="1868">
        <v>2.0529500000000001</v>
      </c>
      <c r="E115" s="1868">
        <v>2.0907499999999999</v>
      </c>
      <c r="F115" s="1868">
        <v>2.0285900000000003</v>
      </c>
      <c r="G115" s="1868">
        <v>2.0038900000000002</v>
      </c>
      <c r="H115" s="1868">
        <v>2.0947499999999999</v>
      </c>
      <c r="I115" s="1868">
        <v>2.05457</v>
      </c>
      <c r="J115" s="1868">
        <v>2.1778299999999997</v>
      </c>
      <c r="K115" s="1868">
        <v>2.1493900000000004</v>
      </c>
      <c r="L115" s="1868">
        <v>2.0522299999999998</v>
      </c>
      <c r="M115" s="1868">
        <v>2.1328999999999998</v>
      </c>
      <c r="N115" s="1868">
        <v>2.0834700000000002</v>
      </c>
      <c r="O115" s="1868">
        <v>2.1877</v>
      </c>
      <c r="P115" s="1868">
        <v>2.1881499999999998</v>
      </c>
      <c r="Q115" s="1868">
        <v>2.3075700000000001</v>
      </c>
      <c r="R115" s="1868">
        <v>2.3384099999999997</v>
      </c>
      <c r="S115" s="1868">
        <v>2.1602700000000001</v>
      </c>
      <c r="T115" s="1868">
        <v>2.22166</v>
      </c>
      <c r="U115" s="1868">
        <v>2.2423799999999998</v>
      </c>
      <c r="V115" s="1868">
        <v>2.3492000000000002</v>
      </c>
      <c r="W115" s="1868">
        <v>2.4166500000000002</v>
      </c>
      <c r="X115" s="1868">
        <v>2.4615499999999999</v>
      </c>
      <c r="Y115" s="1868">
        <v>2.5633400000000002</v>
      </c>
      <c r="Z115" s="1868">
        <v>2.4246699999999999</v>
      </c>
      <c r="AA115" s="1868">
        <v>2.6800700000000002</v>
      </c>
      <c r="AB115" s="1868">
        <v>2.8914499999999999</v>
      </c>
      <c r="AC115" s="1868">
        <v>2.7502200000000001</v>
      </c>
      <c r="AD115" s="1868">
        <v>2.6780599999999999</v>
      </c>
      <c r="AE115" s="1868">
        <v>2.91195</v>
      </c>
      <c r="AF115" s="1868">
        <v>3.0969700000000002</v>
      </c>
      <c r="AG115" s="1868">
        <v>3.0958700000000001</v>
      </c>
      <c r="AH115" s="1868">
        <v>3.3227800000000003</v>
      </c>
      <c r="AI115" s="1868">
        <v>3.2376499999999999</v>
      </c>
      <c r="AJ115" s="1868">
        <v>3.2909000000000002</v>
      </c>
      <c r="AK115" s="1868">
        <v>3.5316900000000002</v>
      </c>
      <c r="AL115" s="1868">
        <v>3.5682199999999997</v>
      </c>
      <c r="AM115" s="1868">
        <v>3.8331</v>
      </c>
      <c r="AN115" s="1868">
        <v>4.0085199999999999</v>
      </c>
      <c r="AO115" s="1868">
        <v>3.8002199999999995</v>
      </c>
      <c r="AP115" s="1868">
        <v>4.1676099999999998</v>
      </c>
      <c r="AQ115" s="1868">
        <v>4.2107900000000003</v>
      </c>
      <c r="AR115" s="1868">
        <v>4.5011999999999999</v>
      </c>
      <c r="AS115" s="1868">
        <v>4.5468900000000003</v>
      </c>
      <c r="AT115" s="1868">
        <v>4.5037000000000003</v>
      </c>
      <c r="AU115" s="1868">
        <v>4.6968399999999999</v>
      </c>
      <c r="AV115" s="1868">
        <v>4.5217700000000001</v>
      </c>
      <c r="AW115" s="1868">
        <v>4.9632899999999998</v>
      </c>
      <c r="AX115" s="1868">
        <v>5.0050499999999998</v>
      </c>
      <c r="AY115" s="1868">
        <v>5.2237900000000002</v>
      </c>
      <c r="AZ115" s="1868">
        <v>5.2043400000000002</v>
      </c>
      <c r="BA115" s="1868">
        <v>5.0858300000000005</v>
      </c>
    </row>
    <row r="116" spans="1:53">
      <c r="A116" s="1865" t="str">
        <f t="shared" si="1"/>
        <v>AmericasRoots and Tubers, nes</v>
      </c>
      <c r="B116" s="1866" t="s">
        <v>1411</v>
      </c>
      <c r="C116" s="1866" t="s">
        <v>1356</v>
      </c>
      <c r="D116" s="1868">
        <v>4.4490600000000002</v>
      </c>
      <c r="E116" s="1868">
        <v>4.5408200000000001</v>
      </c>
      <c r="F116" s="1868">
        <v>4.4965999999999999</v>
      </c>
      <c r="G116" s="1868">
        <v>4.4512999999999998</v>
      </c>
      <c r="H116" s="1868">
        <v>4.3468499999999999</v>
      </c>
      <c r="I116" s="1868">
        <v>4.0925699999999994</v>
      </c>
      <c r="J116" s="1868">
        <v>4.0873599999999994</v>
      </c>
      <c r="K116" s="1868">
        <v>4.0628400000000005</v>
      </c>
      <c r="L116" s="1868">
        <v>4.1777100000000003</v>
      </c>
      <c r="M116" s="1868">
        <v>4.31264</v>
      </c>
      <c r="N116" s="1868">
        <v>4.31264</v>
      </c>
      <c r="O116" s="1868">
        <v>4.51762</v>
      </c>
      <c r="P116" s="1868">
        <v>4.2258300000000002</v>
      </c>
      <c r="Q116" s="1868">
        <v>4.4582699999999997</v>
      </c>
      <c r="R116" s="1868">
        <v>4.3103699999999998</v>
      </c>
      <c r="S116" s="1868">
        <v>4.5224900000000003</v>
      </c>
      <c r="T116" s="1868">
        <v>4.5556800000000006</v>
      </c>
      <c r="U116" s="1868">
        <v>4.8403800000000006</v>
      </c>
      <c r="V116" s="1868">
        <v>4.2153300000000007</v>
      </c>
      <c r="W116" s="1868">
        <v>4.3586499999999999</v>
      </c>
      <c r="X116" s="1868">
        <v>4.5164999999999997</v>
      </c>
      <c r="Y116" s="1868">
        <v>4.6890499999999999</v>
      </c>
      <c r="Z116" s="1868">
        <v>4.8078500000000002</v>
      </c>
      <c r="AA116" s="1868">
        <v>4.9844900000000001</v>
      </c>
      <c r="AB116" s="1868">
        <v>4.9005199999999993</v>
      </c>
      <c r="AC116" s="1868">
        <v>5.1741900000000003</v>
      </c>
      <c r="AD116" s="1868">
        <v>4.8695000000000004</v>
      </c>
      <c r="AE116" s="1868">
        <v>5.0598800000000006</v>
      </c>
      <c r="AF116" s="1868">
        <v>5.1197999999999997</v>
      </c>
      <c r="AG116" s="1868">
        <v>5.2925800000000001</v>
      </c>
      <c r="AH116" s="1868">
        <v>5.1670099999999994</v>
      </c>
      <c r="AI116" s="1868">
        <v>4.99892</v>
      </c>
      <c r="AJ116" s="1868">
        <v>5.4127099999999997</v>
      </c>
      <c r="AK116" s="1868">
        <v>5.4177</v>
      </c>
      <c r="AL116" s="1868">
        <v>5.63192</v>
      </c>
      <c r="AM116" s="1868">
        <v>5.7664300000000006</v>
      </c>
      <c r="AN116" s="1868">
        <v>5.7889300000000006</v>
      </c>
      <c r="AO116" s="1868">
        <v>5.6262699999999999</v>
      </c>
      <c r="AP116" s="1868">
        <v>5.5541499999999999</v>
      </c>
      <c r="AQ116" s="1868">
        <v>5.5957699999999999</v>
      </c>
      <c r="AR116" s="1868">
        <v>5.6158299999999999</v>
      </c>
      <c r="AS116" s="1868">
        <v>5.6138900000000005</v>
      </c>
      <c r="AT116" s="1868">
        <v>6.6881000000000004</v>
      </c>
      <c r="AU116" s="1868">
        <v>6.4344900000000003</v>
      </c>
      <c r="AV116" s="1868">
        <v>6.7336499999999999</v>
      </c>
      <c r="AW116" s="1868">
        <v>6.6954000000000002</v>
      </c>
      <c r="AX116" s="1868">
        <v>6.3154900000000005</v>
      </c>
      <c r="AY116" s="1868">
        <v>6.5483699999999994</v>
      </c>
      <c r="AZ116" s="1868">
        <v>6.6853899999999991</v>
      </c>
      <c r="BA116" s="1868">
        <v>6.8894800000000007</v>
      </c>
    </row>
    <row r="117" spans="1:53">
      <c r="A117" s="1865" t="str">
        <f t="shared" si="1"/>
        <v>AmericasRye</v>
      </c>
      <c r="B117" s="1866" t="s">
        <v>1411</v>
      </c>
      <c r="C117" s="1866" t="s">
        <v>1353</v>
      </c>
      <c r="D117" s="1868">
        <v>0.88214999999999999</v>
      </c>
      <c r="E117" s="1868">
        <v>1.1100299999999999</v>
      </c>
      <c r="F117" s="1868">
        <v>1.0239400000000001</v>
      </c>
      <c r="G117" s="1868">
        <v>1.02529</v>
      </c>
      <c r="H117" s="1868">
        <v>1.2246299999999999</v>
      </c>
      <c r="I117" s="1868">
        <v>1.14209</v>
      </c>
      <c r="J117" s="1868">
        <v>0.99024999999999996</v>
      </c>
      <c r="K117" s="1868">
        <v>0.99078999999999995</v>
      </c>
      <c r="L117" s="1868">
        <v>1.0908200000000001</v>
      </c>
      <c r="M117" s="1868">
        <v>1.24159</v>
      </c>
      <c r="N117" s="1868">
        <v>1.33816</v>
      </c>
      <c r="O117" s="1868">
        <v>1.21699</v>
      </c>
      <c r="P117" s="1868">
        <v>1.2251399999999999</v>
      </c>
      <c r="Q117" s="1868">
        <v>1.2024299999999999</v>
      </c>
      <c r="R117" s="1868">
        <v>1.3123799999999999</v>
      </c>
      <c r="S117" s="1868">
        <v>1.29179</v>
      </c>
      <c r="T117" s="1868">
        <v>1.29834</v>
      </c>
      <c r="U117" s="1868">
        <v>1.4826299999999999</v>
      </c>
      <c r="V117" s="1868">
        <v>1.4177</v>
      </c>
      <c r="W117" s="1868">
        <v>1.28146</v>
      </c>
      <c r="X117" s="1868">
        <v>1.7101999999999999</v>
      </c>
      <c r="Y117" s="1868">
        <v>1.7282400000000002</v>
      </c>
      <c r="Z117" s="1868">
        <v>1.7196099999999999</v>
      </c>
      <c r="AA117" s="1868">
        <v>1.7640499999999999</v>
      </c>
      <c r="AB117" s="1868">
        <v>1.60886</v>
      </c>
      <c r="AC117" s="1868">
        <v>1.7721499999999999</v>
      </c>
      <c r="AD117" s="1868">
        <v>1.5769600000000001</v>
      </c>
      <c r="AE117" s="1868">
        <v>1.23149</v>
      </c>
      <c r="AF117" s="1868">
        <v>1.66028</v>
      </c>
      <c r="AG117" s="1868">
        <v>1.623</v>
      </c>
      <c r="AH117" s="1868">
        <v>1.6139700000000001</v>
      </c>
      <c r="AI117" s="1868">
        <v>1.71871</v>
      </c>
      <c r="AJ117" s="1868">
        <v>1.6431</v>
      </c>
      <c r="AK117" s="1868">
        <v>1.8067799999999998</v>
      </c>
      <c r="AL117" s="1868">
        <v>1.6326399999999999</v>
      </c>
      <c r="AM117" s="1868">
        <v>1.6588400000000001</v>
      </c>
      <c r="AN117" s="1868">
        <v>1.6512799999999999</v>
      </c>
      <c r="AO117" s="1868">
        <v>1.7709099999999998</v>
      </c>
      <c r="AP117" s="1868">
        <v>1.8776900000000001</v>
      </c>
      <c r="AQ117" s="1868">
        <v>1.8444900000000002</v>
      </c>
      <c r="AR117" s="1868">
        <v>1.6910700000000001</v>
      </c>
      <c r="AS117" s="1868">
        <v>1.5644100000000001</v>
      </c>
      <c r="AT117" s="1868">
        <v>1.8455299999999999</v>
      </c>
      <c r="AU117" s="1868">
        <v>2.0423200000000001</v>
      </c>
      <c r="AV117" s="1868">
        <v>1.9883099999999998</v>
      </c>
      <c r="AW117" s="1868">
        <v>2.0011999999999999</v>
      </c>
      <c r="AX117" s="1868">
        <v>1.9105099999999999</v>
      </c>
      <c r="AY117" s="1868">
        <v>2.01227</v>
      </c>
      <c r="AZ117" s="1868">
        <v>1.98275</v>
      </c>
      <c r="BA117" s="1868">
        <v>2.0371099999999998</v>
      </c>
    </row>
    <row r="118" spans="1:53">
      <c r="A118" s="1865" t="str">
        <f t="shared" si="1"/>
        <v>AmericasSeed cotton</v>
      </c>
      <c r="B118" s="1866" t="s">
        <v>1411</v>
      </c>
      <c r="C118" s="1866" t="s">
        <v>1397</v>
      </c>
      <c r="D118" s="1868">
        <v>1.1947099999999999</v>
      </c>
      <c r="E118" s="1868">
        <v>1.2403299999999999</v>
      </c>
      <c r="F118" s="1868">
        <v>1.3330600000000001</v>
      </c>
      <c r="G118" s="1868">
        <v>1.3399000000000001</v>
      </c>
      <c r="H118" s="1868">
        <v>1.3521100000000001</v>
      </c>
      <c r="I118" s="1868">
        <v>1.2920700000000001</v>
      </c>
      <c r="J118" s="1868">
        <v>1.0383100000000001</v>
      </c>
      <c r="K118" s="1868">
        <v>1.2001600000000001</v>
      </c>
      <c r="L118" s="1868">
        <v>1.03352</v>
      </c>
      <c r="M118" s="1868">
        <v>1.0024999999999999</v>
      </c>
      <c r="N118" s="1868">
        <v>1.0170399999999999</v>
      </c>
      <c r="O118" s="1868">
        <v>1.1360399999999999</v>
      </c>
      <c r="P118" s="1868">
        <v>1.1554500000000001</v>
      </c>
      <c r="Q118" s="1868">
        <v>1.13723</v>
      </c>
      <c r="R118" s="1868">
        <v>1.01952</v>
      </c>
      <c r="S118" s="1868">
        <v>1.0576700000000001</v>
      </c>
      <c r="T118" s="1868">
        <v>1.1842200000000001</v>
      </c>
      <c r="U118" s="1868">
        <v>1.03714</v>
      </c>
      <c r="V118" s="1868">
        <v>1.2362899999999999</v>
      </c>
      <c r="W118" s="1868">
        <v>1.0434099999999999</v>
      </c>
      <c r="X118" s="1868">
        <v>1.3058100000000001</v>
      </c>
      <c r="Y118" s="1868">
        <v>1.24949</v>
      </c>
      <c r="Z118" s="1868">
        <v>1.15072</v>
      </c>
      <c r="AA118" s="1868">
        <v>1.40791</v>
      </c>
      <c r="AB118" s="1868">
        <v>1.4216899999999999</v>
      </c>
      <c r="AC118" s="1868">
        <v>1.25234</v>
      </c>
      <c r="AD118" s="1868">
        <v>1.6851499999999999</v>
      </c>
      <c r="AE118" s="1868">
        <v>1.59497</v>
      </c>
      <c r="AF118" s="1868">
        <v>1.4915700000000001</v>
      </c>
      <c r="AG118" s="1868">
        <v>1.61927</v>
      </c>
      <c r="AH118" s="1868">
        <v>1.70553</v>
      </c>
      <c r="AI118" s="1868">
        <v>1.6416299999999999</v>
      </c>
      <c r="AJ118" s="1868">
        <v>1.6584900000000002</v>
      </c>
      <c r="AK118" s="1868">
        <v>1.8331599999999999</v>
      </c>
      <c r="AL118" s="1868">
        <v>1.5404</v>
      </c>
      <c r="AM118" s="1868">
        <v>1.8685799999999999</v>
      </c>
      <c r="AN118" s="1868">
        <v>1.7797599999999998</v>
      </c>
      <c r="AO118" s="1868">
        <v>1.6853900000000002</v>
      </c>
      <c r="AP118" s="1868">
        <v>1.7134400000000001</v>
      </c>
      <c r="AQ118" s="1868">
        <v>1.8472500000000001</v>
      </c>
      <c r="AR118" s="1868">
        <v>2.0415799999999997</v>
      </c>
      <c r="AS118" s="1868">
        <v>1.9276599999999999</v>
      </c>
      <c r="AT118" s="1868">
        <v>2.1291599999999997</v>
      </c>
      <c r="AU118" s="1868">
        <v>2.4182299999999999</v>
      </c>
      <c r="AV118" s="1868">
        <v>2.2926500000000001</v>
      </c>
      <c r="AW118" s="1868">
        <v>2.2925599999999999</v>
      </c>
      <c r="AX118" s="1868">
        <v>2.5177200000000002</v>
      </c>
      <c r="AY118" s="1868">
        <v>2.4739400000000002</v>
      </c>
      <c r="AZ118" s="1868">
        <v>2.30023</v>
      </c>
      <c r="BA118" s="1868">
        <v>2.3304499999999999</v>
      </c>
    </row>
    <row r="119" spans="1:53">
      <c r="A119" s="1865" t="str">
        <f t="shared" si="1"/>
        <v>AmericasSesame seed</v>
      </c>
      <c r="B119" s="1866" t="s">
        <v>1411</v>
      </c>
      <c r="C119" s="1866" t="s">
        <v>1345</v>
      </c>
      <c r="D119" s="1868">
        <v>0.63380000000000003</v>
      </c>
      <c r="E119" s="1868">
        <v>0.61508999999999991</v>
      </c>
      <c r="F119" s="1868">
        <v>0.63048999999999999</v>
      </c>
      <c r="G119" s="1868">
        <v>0.64966000000000002</v>
      </c>
      <c r="H119" s="1868">
        <v>0.59504999999999997</v>
      </c>
      <c r="I119" s="1868">
        <v>0.65181999999999995</v>
      </c>
      <c r="J119" s="1868">
        <v>0.58843000000000001</v>
      </c>
      <c r="K119" s="1868">
        <v>0.60086000000000006</v>
      </c>
      <c r="L119" s="1868">
        <v>0.62665999999999999</v>
      </c>
      <c r="M119" s="1868">
        <v>0.67953999999999992</v>
      </c>
      <c r="N119" s="1868">
        <v>0.61799999999999999</v>
      </c>
      <c r="O119" s="1868">
        <v>0.59468999999999994</v>
      </c>
      <c r="P119" s="1868">
        <v>0.63344999999999996</v>
      </c>
      <c r="Q119" s="1868">
        <v>0.56716999999999995</v>
      </c>
      <c r="R119" s="1868">
        <v>0.51466999999999996</v>
      </c>
      <c r="S119" s="1868">
        <v>0.47915000000000002</v>
      </c>
      <c r="T119" s="1868">
        <v>0.57755000000000001</v>
      </c>
      <c r="U119" s="1868">
        <v>0.53288000000000002</v>
      </c>
      <c r="V119" s="1868">
        <v>0.59584999999999999</v>
      </c>
      <c r="W119" s="1868">
        <v>0.55618999999999996</v>
      </c>
      <c r="X119" s="1868">
        <v>0.56489</v>
      </c>
      <c r="Y119" s="1868">
        <v>0.52881</v>
      </c>
      <c r="Z119" s="1868">
        <v>0.55149999999999999</v>
      </c>
      <c r="AA119" s="1868">
        <v>0.54405999999999999</v>
      </c>
      <c r="AB119" s="1868">
        <v>0.56042999999999998</v>
      </c>
      <c r="AC119" s="1868">
        <v>0.56159999999999999</v>
      </c>
      <c r="AD119" s="1868">
        <v>0.49471000000000004</v>
      </c>
      <c r="AE119" s="1868">
        <v>0.49031999999999998</v>
      </c>
      <c r="AF119" s="1868">
        <v>0.54581000000000002</v>
      </c>
      <c r="AG119" s="1868">
        <v>0.54308999999999996</v>
      </c>
      <c r="AH119" s="1868">
        <v>0.48826999999999998</v>
      </c>
      <c r="AI119" s="1868">
        <v>0.57552000000000003</v>
      </c>
      <c r="AJ119" s="1868">
        <v>0.59628999999999999</v>
      </c>
      <c r="AK119" s="1868">
        <v>0.59087000000000001</v>
      </c>
      <c r="AL119" s="1868">
        <v>0.60660000000000003</v>
      </c>
      <c r="AM119" s="1868">
        <v>0.61401000000000006</v>
      </c>
      <c r="AN119" s="1868">
        <v>0.53826000000000007</v>
      </c>
      <c r="AO119" s="1868">
        <v>0.56084999999999996</v>
      </c>
      <c r="AP119" s="1868">
        <v>0.62807999999999997</v>
      </c>
      <c r="AQ119" s="1868">
        <v>0.55484</v>
      </c>
      <c r="AR119" s="1868">
        <v>0.61770999999999998</v>
      </c>
      <c r="AS119" s="1868">
        <v>0.66769999999999996</v>
      </c>
      <c r="AT119" s="1868">
        <v>0.63813999999999993</v>
      </c>
      <c r="AU119" s="1868">
        <v>0.64832000000000001</v>
      </c>
      <c r="AV119" s="1868">
        <v>0.62202999999999997</v>
      </c>
      <c r="AW119" s="1868">
        <v>0.66486000000000001</v>
      </c>
      <c r="AX119" s="1868">
        <v>0.65349000000000002</v>
      </c>
      <c r="AY119" s="1868">
        <v>0.60477000000000003</v>
      </c>
      <c r="AZ119" s="1868">
        <v>0.59746999999999995</v>
      </c>
      <c r="BA119" s="1868">
        <v>0.56578000000000006</v>
      </c>
    </row>
    <row r="120" spans="1:53">
      <c r="A120" s="1865" t="str">
        <f t="shared" si="1"/>
        <v>AmericasSisal</v>
      </c>
      <c r="B120" s="1866" t="s">
        <v>1411</v>
      </c>
      <c r="C120" s="1866" t="s">
        <v>1398</v>
      </c>
      <c r="D120" s="1868">
        <v>0.81686999999999999</v>
      </c>
      <c r="E120" s="1868">
        <v>0.81379000000000001</v>
      </c>
      <c r="F120" s="1868">
        <v>0.78426000000000007</v>
      </c>
      <c r="G120" s="1868">
        <v>0.72866999999999993</v>
      </c>
      <c r="H120" s="1868">
        <v>0.65656000000000003</v>
      </c>
      <c r="I120" s="1868">
        <v>0.63795000000000002</v>
      </c>
      <c r="J120" s="1868">
        <v>0.64637</v>
      </c>
      <c r="K120" s="1868">
        <v>0.64407000000000003</v>
      </c>
      <c r="L120" s="1868">
        <v>0.68645</v>
      </c>
      <c r="M120" s="1868">
        <v>0.71882000000000001</v>
      </c>
      <c r="N120" s="1868">
        <v>0.9075700000000001</v>
      </c>
      <c r="O120" s="1868">
        <v>0.88044999999999995</v>
      </c>
      <c r="P120" s="1868">
        <v>0.89616000000000007</v>
      </c>
      <c r="Q120" s="1868">
        <v>0.94567000000000012</v>
      </c>
      <c r="R120" s="1868">
        <v>0.87586000000000008</v>
      </c>
      <c r="S120" s="1868">
        <v>0.64849999999999997</v>
      </c>
      <c r="T120" s="1868">
        <v>0.69430999999999998</v>
      </c>
      <c r="U120" s="1868">
        <v>0.69448999999999994</v>
      </c>
      <c r="V120" s="1868">
        <v>0.72655000000000003</v>
      </c>
      <c r="W120" s="1868">
        <v>0.74451999999999996</v>
      </c>
      <c r="X120" s="1868">
        <v>0.72409000000000001</v>
      </c>
      <c r="Y120" s="1868">
        <v>0.68706</v>
      </c>
      <c r="Z120" s="1868">
        <v>0.60202</v>
      </c>
      <c r="AA120" s="1868">
        <v>0.66946000000000006</v>
      </c>
      <c r="AB120" s="1868">
        <v>0.77546000000000004</v>
      </c>
      <c r="AC120" s="1868">
        <v>0.71936999999999995</v>
      </c>
      <c r="AD120" s="1868">
        <v>0.61251999999999995</v>
      </c>
      <c r="AE120" s="1868">
        <v>0.72443000000000002</v>
      </c>
      <c r="AF120" s="1868">
        <v>0.77842</v>
      </c>
      <c r="AG120" s="1868">
        <v>0.73780000000000001</v>
      </c>
      <c r="AH120" s="1868">
        <v>0.76623999999999992</v>
      </c>
      <c r="AI120" s="1868">
        <v>0.74691000000000007</v>
      </c>
      <c r="AJ120" s="1868">
        <v>0.69016999999999995</v>
      </c>
      <c r="AK120" s="1868">
        <v>0.71633000000000002</v>
      </c>
      <c r="AL120" s="1868">
        <v>0.74976999999999994</v>
      </c>
      <c r="AM120" s="1868">
        <v>0.82482000000000011</v>
      </c>
      <c r="AN120" s="1868">
        <v>0.90881000000000001</v>
      </c>
      <c r="AO120" s="1868">
        <v>0.74561999999999995</v>
      </c>
      <c r="AP120" s="1868">
        <v>0.93467000000000011</v>
      </c>
      <c r="AQ120" s="1868">
        <v>1.1383399999999999</v>
      </c>
      <c r="AR120" s="1868">
        <v>0.81957000000000002</v>
      </c>
      <c r="AS120" s="1868">
        <v>0.81431000000000009</v>
      </c>
      <c r="AT120" s="1868">
        <v>0.82197999999999993</v>
      </c>
      <c r="AU120" s="1868">
        <v>0.82155</v>
      </c>
      <c r="AV120" s="1868">
        <v>0.84457000000000004</v>
      </c>
      <c r="AW120" s="1868">
        <v>0.84794999999999998</v>
      </c>
      <c r="AX120" s="1868">
        <v>0.85177000000000003</v>
      </c>
      <c r="AY120" s="1868">
        <v>0.83489999999999998</v>
      </c>
      <c r="AZ120" s="1868">
        <v>0.96067999999999998</v>
      </c>
      <c r="BA120" s="1868">
        <v>0.87686000000000008</v>
      </c>
    </row>
    <row r="121" spans="1:53">
      <c r="A121" s="1865" t="str">
        <f t="shared" si="1"/>
        <v>AmericasSorghum</v>
      </c>
      <c r="B121" s="1866" t="s">
        <v>1411</v>
      </c>
      <c r="C121" s="1866" t="s">
        <v>1399</v>
      </c>
      <c r="D121" s="1868">
        <v>2.4813499999999999</v>
      </c>
      <c r="E121" s="1868">
        <v>2.49987</v>
      </c>
      <c r="F121" s="1868">
        <v>2.45662</v>
      </c>
      <c r="G121" s="1868">
        <v>2.3040799999999999</v>
      </c>
      <c r="H121" s="1868">
        <v>2.80063</v>
      </c>
      <c r="I121" s="1868">
        <v>3.03199</v>
      </c>
      <c r="J121" s="1868">
        <v>2.77664</v>
      </c>
      <c r="K121" s="1868">
        <v>2.82457</v>
      </c>
      <c r="L121" s="1868">
        <v>2.9092199999999999</v>
      </c>
      <c r="M121" s="1868">
        <v>2.7150300000000001</v>
      </c>
      <c r="N121" s="1868">
        <v>2.8795999999999999</v>
      </c>
      <c r="O121" s="1868">
        <v>3.0345400000000002</v>
      </c>
      <c r="P121" s="1868">
        <v>3.11171</v>
      </c>
      <c r="Q121" s="1868">
        <v>2.6364700000000001</v>
      </c>
      <c r="R121" s="1868">
        <v>2.8160799999999999</v>
      </c>
      <c r="S121" s="1868">
        <v>2.9075099999999998</v>
      </c>
      <c r="T121" s="1868">
        <v>3.0964299999999998</v>
      </c>
      <c r="U121" s="1868">
        <v>3.1067900000000002</v>
      </c>
      <c r="V121" s="1868">
        <v>3.3828099999999997</v>
      </c>
      <c r="W121" s="1868">
        <v>2.6952400000000001</v>
      </c>
      <c r="X121" s="1868">
        <v>3.6233900000000001</v>
      </c>
      <c r="Y121" s="1868">
        <v>3.3563900000000002</v>
      </c>
      <c r="Z121" s="1868">
        <v>2.9504799999999998</v>
      </c>
      <c r="AA121" s="1868">
        <v>3.15774</v>
      </c>
      <c r="AB121" s="1868">
        <v>3.6714300000000004</v>
      </c>
      <c r="AC121" s="1868">
        <v>3.5955599999999999</v>
      </c>
      <c r="AD121" s="1868">
        <v>3.57809</v>
      </c>
      <c r="AE121" s="1868">
        <v>3.3621199999999996</v>
      </c>
      <c r="AF121" s="1868">
        <v>3.0535099999999997</v>
      </c>
      <c r="AG121" s="1868">
        <v>3.3835999999999999</v>
      </c>
      <c r="AH121" s="1868">
        <v>3.2655099999999999</v>
      </c>
      <c r="AI121" s="1868">
        <v>3.9849600000000001</v>
      </c>
      <c r="AJ121" s="1868">
        <v>3.3564300000000005</v>
      </c>
      <c r="AK121" s="1868">
        <v>3.7043699999999995</v>
      </c>
      <c r="AL121" s="1868">
        <v>3.12344</v>
      </c>
      <c r="AM121" s="1868">
        <v>3.6441599999999998</v>
      </c>
      <c r="AN121" s="1868">
        <v>3.5924400000000003</v>
      </c>
      <c r="AO121" s="1868">
        <v>3.65835</v>
      </c>
      <c r="AP121" s="1868">
        <v>3.5980199999999996</v>
      </c>
      <c r="AQ121" s="1868">
        <v>3.2808699999999997</v>
      </c>
      <c r="AR121" s="1868">
        <v>3.3969300000000002</v>
      </c>
      <c r="AS121" s="1868">
        <v>3.0683500000000001</v>
      </c>
      <c r="AT121" s="1868">
        <v>3.1701299999999999</v>
      </c>
      <c r="AU121" s="1868">
        <v>3.6646800000000002</v>
      </c>
      <c r="AV121" s="1868">
        <v>3.5819400000000003</v>
      </c>
      <c r="AW121" s="1868">
        <v>3.2359</v>
      </c>
      <c r="AX121" s="1868">
        <v>3.7787099999999998</v>
      </c>
      <c r="AY121" s="1868">
        <v>3.60521</v>
      </c>
      <c r="AZ121" s="1868">
        <v>3.5511400000000002</v>
      </c>
      <c r="BA121" s="1868">
        <v>3.7926199999999999</v>
      </c>
    </row>
    <row r="122" spans="1:53">
      <c r="A122" s="1865" t="str">
        <f t="shared" si="1"/>
        <v>AmericasSoybeans</v>
      </c>
      <c r="B122" s="1866" t="s">
        <v>1411</v>
      </c>
      <c r="C122" s="1866" t="s">
        <v>1359</v>
      </c>
      <c r="D122" s="1868">
        <v>1.6808599999999998</v>
      </c>
      <c r="E122" s="1868">
        <v>1.61897</v>
      </c>
      <c r="F122" s="1868">
        <v>1.6221700000000001</v>
      </c>
      <c r="G122" s="1868">
        <v>1.51698</v>
      </c>
      <c r="H122" s="1868">
        <v>1.6409900000000002</v>
      </c>
      <c r="I122" s="1868">
        <v>1.6951900000000002</v>
      </c>
      <c r="J122" s="1868">
        <v>1.63425</v>
      </c>
      <c r="K122" s="1868">
        <v>1.7666099999999998</v>
      </c>
      <c r="L122" s="1868">
        <v>1.8069099999999998</v>
      </c>
      <c r="M122" s="1868">
        <v>1.7503200000000001</v>
      </c>
      <c r="N122" s="1868">
        <v>1.7945799999999998</v>
      </c>
      <c r="O122" s="1868">
        <v>1.8263900000000002</v>
      </c>
      <c r="P122" s="1868">
        <v>1.8041099999999999</v>
      </c>
      <c r="Q122" s="1868">
        <v>1.58077</v>
      </c>
      <c r="R122" s="1868">
        <v>1.88201</v>
      </c>
      <c r="S122" s="1868">
        <v>1.7489400000000002</v>
      </c>
      <c r="T122" s="1868">
        <v>1.9891900000000002</v>
      </c>
      <c r="U122" s="1868">
        <v>1.8060900000000002</v>
      </c>
      <c r="V122" s="1868">
        <v>1.9646700000000001</v>
      </c>
      <c r="W122" s="1868">
        <v>1.7646299999999999</v>
      </c>
      <c r="X122" s="1868">
        <v>1.97027</v>
      </c>
      <c r="Y122" s="1868">
        <v>1.9937599999999998</v>
      </c>
      <c r="Z122" s="1868">
        <v>1.7643599999999999</v>
      </c>
      <c r="AA122" s="1868">
        <v>1.8691900000000001</v>
      </c>
      <c r="AB122" s="1868">
        <v>2.12622</v>
      </c>
      <c r="AC122" s="1868">
        <v>2.0264599999999997</v>
      </c>
      <c r="AD122" s="1868">
        <v>2.1324999999999998</v>
      </c>
      <c r="AE122" s="1868">
        <v>1.8422900000000002</v>
      </c>
      <c r="AF122" s="1868">
        <v>2.0598000000000001</v>
      </c>
      <c r="AG122" s="1868">
        <v>2.1111800000000001</v>
      </c>
      <c r="AH122" s="1868">
        <v>2.1187499999999999</v>
      </c>
      <c r="AI122" s="1868">
        <v>2.3670599999999999</v>
      </c>
      <c r="AJ122" s="1868">
        <v>2.18709</v>
      </c>
      <c r="AK122" s="1868">
        <v>2.50664</v>
      </c>
      <c r="AL122" s="1868">
        <v>2.2950300000000001</v>
      </c>
      <c r="AM122" s="1868">
        <v>2.4020799999999998</v>
      </c>
      <c r="AN122" s="1868">
        <v>2.4151599999999998</v>
      </c>
      <c r="AO122" s="1868">
        <v>2.5518900000000002</v>
      </c>
      <c r="AP122" s="1868">
        <v>2.4347799999999999</v>
      </c>
      <c r="AQ122" s="1868">
        <v>2.4740500000000001</v>
      </c>
      <c r="AR122" s="1868">
        <v>2.6480399999999999</v>
      </c>
      <c r="AS122" s="1868">
        <v>2.56671</v>
      </c>
      <c r="AT122" s="1868">
        <v>2.5435300000000001</v>
      </c>
      <c r="AU122" s="1868">
        <v>2.4981900000000001</v>
      </c>
      <c r="AV122" s="1868">
        <v>2.5968100000000001</v>
      </c>
      <c r="AW122" s="1868">
        <v>2.6300400000000002</v>
      </c>
      <c r="AX122" s="1868">
        <v>2.8056999999999999</v>
      </c>
      <c r="AY122" s="1868">
        <v>2.7259599999999997</v>
      </c>
      <c r="AZ122" s="1868">
        <v>2.5291399999999999</v>
      </c>
      <c r="BA122" s="1868">
        <v>2.8863699999999999</v>
      </c>
    </row>
    <row r="123" spans="1:53">
      <c r="A123" s="1865" t="str">
        <f t="shared" si="1"/>
        <v>AmericasStrawberries</v>
      </c>
      <c r="B123" s="1866" t="s">
        <v>1411</v>
      </c>
      <c r="C123" s="1866" t="s">
        <v>1400</v>
      </c>
      <c r="D123" s="1868">
        <v>5.84992</v>
      </c>
      <c r="E123" s="1868">
        <v>6.0260800000000003</v>
      </c>
      <c r="F123" s="1868">
        <v>6.3725899999999998</v>
      </c>
      <c r="G123" s="1868">
        <v>8.1217600000000001</v>
      </c>
      <c r="H123" s="1868">
        <v>6.9832100000000006</v>
      </c>
      <c r="I123" s="1868">
        <v>7.7968399999999995</v>
      </c>
      <c r="J123" s="1868">
        <v>8.4378700000000002</v>
      </c>
      <c r="K123" s="1868">
        <v>9.3582199999999993</v>
      </c>
      <c r="L123" s="1868">
        <v>9.51173</v>
      </c>
      <c r="M123" s="1868">
        <v>10.406219999999999</v>
      </c>
      <c r="N123" s="1868">
        <v>11.551960000000001</v>
      </c>
      <c r="O123" s="1868">
        <v>11.84742</v>
      </c>
      <c r="P123" s="1868">
        <v>12.80691</v>
      </c>
      <c r="Q123" s="1868">
        <v>14.437900000000001</v>
      </c>
      <c r="R123" s="1868">
        <v>13.253729999999999</v>
      </c>
      <c r="S123" s="1868">
        <v>15.614020000000002</v>
      </c>
      <c r="T123" s="1868">
        <v>16.92653</v>
      </c>
      <c r="U123" s="1868">
        <v>15.326370000000001</v>
      </c>
      <c r="V123" s="1868">
        <v>15.053050000000001</v>
      </c>
      <c r="W123" s="1868">
        <v>15.478629999999999</v>
      </c>
      <c r="X123" s="1868">
        <v>15.647170000000001</v>
      </c>
      <c r="Y123" s="1868">
        <v>16.503879999999999</v>
      </c>
      <c r="Z123" s="1868">
        <v>16.217379999999999</v>
      </c>
      <c r="AA123" s="1868">
        <v>16.545970000000001</v>
      </c>
      <c r="AB123" s="1868">
        <v>15.26834</v>
      </c>
      <c r="AC123" s="1868">
        <v>19.334329999999998</v>
      </c>
      <c r="AD123" s="1868">
        <v>20.303070000000002</v>
      </c>
      <c r="AE123" s="1868">
        <v>20.193010000000001</v>
      </c>
      <c r="AF123" s="1868">
        <v>20.891870000000001</v>
      </c>
      <c r="AG123" s="1868">
        <v>22.616859999999999</v>
      </c>
      <c r="AH123" s="1868">
        <v>21.611820000000002</v>
      </c>
      <c r="AI123" s="1868">
        <v>21.433239999999998</v>
      </c>
      <c r="AJ123" s="1868">
        <v>22.69997</v>
      </c>
      <c r="AK123" s="1868">
        <v>26.223409999999998</v>
      </c>
      <c r="AL123" s="1868">
        <v>25.267120000000002</v>
      </c>
      <c r="AM123" s="1868">
        <v>25.25132</v>
      </c>
      <c r="AN123" s="1868">
        <v>26.93497</v>
      </c>
      <c r="AO123" s="1868">
        <v>26.980340000000002</v>
      </c>
      <c r="AP123" s="1868">
        <v>29.314429999999998</v>
      </c>
      <c r="AQ123" s="1868">
        <v>30.975659999999998</v>
      </c>
      <c r="AR123" s="1868">
        <v>29.52637</v>
      </c>
      <c r="AS123" s="1868">
        <v>31.1495</v>
      </c>
      <c r="AT123" s="1868">
        <v>33.968400000000003</v>
      </c>
      <c r="AU123" s="1868">
        <v>33.893240000000006</v>
      </c>
      <c r="AV123" s="1868">
        <v>35.53725</v>
      </c>
      <c r="AW123" s="1868">
        <v>36.489600000000003</v>
      </c>
      <c r="AX123" s="1868">
        <v>36.93938</v>
      </c>
      <c r="AY123" s="1868">
        <v>37.474879999999999</v>
      </c>
      <c r="AZ123" s="1868">
        <v>40.06183</v>
      </c>
      <c r="BA123" s="1868">
        <v>41.194249999999997</v>
      </c>
    </row>
    <row r="124" spans="1:53">
      <c r="A124" s="1865" t="str">
        <f t="shared" si="1"/>
        <v>AmericasSugar beet</v>
      </c>
      <c r="B124" s="1866" t="s">
        <v>1411</v>
      </c>
      <c r="C124" s="1866" t="s">
        <v>1358</v>
      </c>
      <c r="D124" s="1868">
        <v>35.923639999999999</v>
      </c>
      <c r="E124" s="1868">
        <v>36.040399999999998</v>
      </c>
      <c r="F124" s="1868">
        <v>41.030290000000001</v>
      </c>
      <c r="G124" s="1868">
        <v>36.825509999999994</v>
      </c>
      <c r="H124" s="1868">
        <v>36.263770000000001</v>
      </c>
      <c r="I124" s="1868">
        <v>38.881430000000002</v>
      </c>
      <c r="J124" s="1868">
        <v>37.611779999999996</v>
      </c>
      <c r="K124" s="1868">
        <v>38.725850000000001</v>
      </c>
      <c r="L124" s="1868">
        <v>38.855259999999994</v>
      </c>
      <c r="M124" s="1868">
        <v>40.660249999999998</v>
      </c>
      <c r="N124" s="1868">
        <v>43.690379999999998</v>
      </c>
      <c r="O124" s="1868">
        <v>45.957560000000001</v>
      </c>
      <c r="P124" s="1868">
        <v>43.698549999999997</v>
      </c>
      <c r="Q124" s="1868">
        <v>39.8005</v>
      </c>
      <c r="R124" s="1868">
        <v>42.31429</v>
      </c>
      <c r="S124" s="1868">
        <v>42.760480000000001</v>
      </c>
      <c r="T124" s="1868">
        <v>44.599229999999999</v>
      </c>
      <c r="U124" s="1868">
        <v>44.204749999999997</v>
      </c>
      <c r="V124" s="1868">
        <v>42.894950000000001</v>
      </c>
      <c r="W124" s="1868">
        <v>43.458379999999998</v>
      </c>
      <c r="X124" s="1868">
        <v>48.830350000000003</v>
      </c>
      <c r="Y124" s="1868">
        <v>44.689509999999999</v>
      </c>
      <c r="Z124" s="1868">
        <v>43.892099999999999</v>
      </c>
      <c r="AA124" s="1868">
        <v>44.360570000000003</v>
      </c>
      <c r="AB124" s="1868">
        <v>45.348269999999999</v>
      </c>
      <c r="AC124" s="1868">
        <v>47.130659999999999</v>
      </c>
      <c r="AD124" s="1868">
        <v>49.558489999999999</v>
      </c>
      <c r="AE124" s="1868">
        <v>43.117519999999999</v>
      </c>
      <c r="AF124" s="1868">
        <v>44.132339999999999</v>
      </c>
      <c r="AG124" s="1868">
        <v>45.211840000000002</v>
      </c>
      <c r="AH124" s="1868">
        <v>46.134120000000003</v>
      </c>
      <c r="AI124" s="1868">
        <v>47.527369999999998</v>
      </c>
      <c r="AJ124" s="1868">
        <v>43.358609999999999</v>
      </c>
      <c r="AK124" s="1868">
        <v>50.551120000000004</v>
      </c>
      <c r="AL124" s="1868">
        <v>46.259039999999999</v>
      </c>
      <c r="AM124" s="1868">
        <v>46.485620000000004</v>
      </c>
      <c r="AN124" s="1868">
        <v>47.90325</v>
      </c>
      <c r="AO124" s="1868">
        <v>50.796349999999997</v>
      </c>
      <c r="AP124" s="1868">
        <v>49.674309999999998</v>
      </c>
      <c r="AQ124" s="1868">
        <v>58.581499999999998</v>
      </c>
      <c r="AR124" s="1868">
        <v>52.469730000000006</v>
      </c>
      <c r="AS124" s="1868">
        <v>51.797229999999999</v>
      </c>
      <c r="AT124" s="1868">
        <v>57.226300000000002</v>
      </c>
      <c r="AU124" s="1868">
        <v>57.564149999999998</v>
      </c>
      <c r="AV124" s="1868">
        <v>55.752680000000005</v>
      </c>
      <c r="AW124" s="1868">
        <v>64.906109999999998</v>
      </c>
      <c r="AX124" s="1868">
        <v>63.364159999999998</v>
      </c>
      <c r="AY124" s="1868">
        <v>60.27131</v>
      </c>
      <c r="AZ124" s="1868">
        <v>58.550309999999996</v>
      </c>
      <c r="BA124" s="1868">
        <v>62.08014</v>
      </c>
    </row>
    <row r="125" spans="1:53">
      <c r="A125" s="1865" t="str">
        <f t="shared" si="1"/>
        <v>AmericasSugar cane</v>
      </c>
      <c r="B125" s="1866" t="s">
        <v>1411</v>
      </c>
      <c r="C125" s="1866" t="s">
        <v>1401</v>
      </c>
      <c r="D125" s="1868">
        <v>51.383559999999996</v>
      </c>
      <c r="E125" s="1868">
        <v>48.519150000000003</v>
      </c>
      <c r="F125" s="1868">
        <v>49.410640000000001</v>
      </c>
      <c r="G125" s="1868">
        <v>51.482950000000002</v>
      </c>
      <c r="H125" s="1868">
        <v>54.068459999999995</v>
      </c>
      <c r="I125" s="1868">
        <v>53.778410000000001</v>
      </c>
      <c r="J125" s="1868">
        <v>55.606859999999998</v>
      </c>
      <c r="K125" s="1868">
        <v>53.377549999999999</v>
      </c>
      <c r="L125" s="1868">
        <v>54.212609999999998</v>
      </c>
      <c r="M125" s="1868">
        <v>56.559940000000005</v>
      </c>
      <c r="N125" s="1868">
        <v>52.734310000000001</v>
      </c>
      <c r="O125" s="1868">
        <v>52.982240000000004</v>
      </c>
      <c r="P125" s="1868">
        <v>53.891240000000003</v>
      </c>
      <c r="Q125" s="1868">
        <v>54.110190000000003</v>
      </c>
      <c r="R125" s="1868">
        <v>55.536080000000005</v>
      </c>
      <c r="S125" s="1868">
        <v>55.450630000000004</v>
      </c>
      <c r="T125" s="1868">
        <v>58.248519999999992</v>
      </c>
      <c r="U125" s="1868">
        <v>59.190219999999997</v>
      </c>
      <c r="V125" s="1868">
        <v>59.403449999999999</v>
      </c>
      <c r="W125" s="1868">
        <v>57.82311</v>
      </c>
      <c r="X125" s="1868">
        <v>57.988409999999995</v>
      </c>
      <c r="Y125" s="1868">
        <v>62.083849999999998</v>
      </c>
      <c r="Z125" s="1868">
        <v>63.187399999999997</v>
      </c>
      <c r="AA125" s="1868">
        <v>61.840630000000004</v>
      </c>
      <c r="AB125" s="1868">
        <v>61.639340000000004</v>
      </c>
      <c r="AC125" s="1868">
        <v>61.220969999999994</v>
      </c>
      <c r="AD125" s="1868">
        <v>61.852550000000001</v>
      </c>
      <c r="AE125" s="1868">
        <v>62.941899999999997</v>
      </c>
      <c r="AF125" s="1868">
        <v>63.543030000000002</v>
      </c>
      <c r="AG125" s="1868">
        <v>62.799069999999993</v>
      </c>
      <c r="AH125" s="1868">
        <v>62.661130000000007</v>
      </c>
      <c r="AI125" s="1868">
        <v>62.609180000000002</v>
      </c>
      <c r="AJ125" s="1868">
        <v>60.771149999999999</v>
      </c>
      <c r="AK125" s="1868">
        <v>62.468409999999999</v>
      </c>
      <c r="AL125" s="1868">
        <v>62.310609999999997</v>
      </c>
      <c r="AM125" s="1868">
        <v>62.809199999999997</v>
      </c>
      <c r="AN125" s="1868">
        <v>64.796430000000001</v>
      </c>
      <c r="AO125" s="1868">
        <v>65.745999999999995</v>
      </c>
      <c r="AP125" s="1868">
        <v>65.646740000000008</v>
      </c>
      <c r="AQ125" s="1868">
        <v>65.612780000000001</v>
      </c>
      <c r="AR125" s="1868">
        <v>67.041569999999993</v>
      </c>
      <c r="AS125" s="1868">
        <v>68.303240000000002</v>
      </c>
      <c r="AT125" s="1868">
        <v>72.249420000000001</v>
      </c>
      <c r="AU125" s="1868">
        <v>72.148119999999992</v>
      </c>
      <c r="AV125" s="1868">
        <v>71.603390000000005</v>
      </c>
      <c r="AW125" s="1868">
        <v>73.953100000000006</v>
      </c>
      <c r="AX125" s="1868">
        <v>76.520380000000003</v>
      </c>
      <c r="AY125" s="1868">
        <v>77.748559999999998</v>
      </c>
      <c r="AZ125" s="1868">
        <v>76.87966999999999</v>
      </c>
      <c r="BA125" s="1868">
        <v>76.560749999999999</v>
      </c>
    </row>
    <row r="126" spans="1:53">
      <c r="A126" s="1865" t="str">
        <f t="shared" si="1"/>
        <v>AmericasSunflower seed</v>
      </c>
      <c r="B126" s="1866" t="s">
        <v>1411</v>
      </c>
      <c r="C126" s="1866" t="s">
        <v>1402</v>
      </c>
      <c r="D126" s="1868">
        <v>0.63693999999999995</v>
      </c>
      <c r="E126" s="1868">
        <v>0.71733000000000002</v>
      </c>
      <c r="F126" s="1868">
        <v>0.75686000000000009</v>
      </c>
      <c r="G126" s="1868">
        <v>0.73738999999999999</v>
      </c>
      <c r="H126" s="1868">
        <v>0.72531999999999996</v>
      </c>
      <c r="I126" s="1868">
        <v>0.8616299999999999</v>
      </c>
      <c r="J126" s="1868">
        <v>0.8783700000000001</v>
      </c>
      <c r="K126" s="1868">
        <v>0.93696000000000002</v>
      </c>
      <c r="L126" s="1868">
        <v>0.75812000000000002</v>
      </c>
      <c r="M126" s="1868">
        <v>0.82994999999999997</v>
      </c>
      <c r="N126" s="1868">
        <v>0.75068999999999997</v>
      </c>
      <c r="O126" s="1868">
        <v>0.80818999999999996</v>
      </c>
      <c r="P126" s="1868">
        <v>0.78263000000000005</v>
      </c>
      <c r="Q126" s="1868">
        <v>0.85106000000000004</v>
      </c>
      <c r="R126" s="1868">
        <v>0.85072000000000003</v>
      </c>
      <c r="S126" s="1868">
        <v>0.90522999999999998</v>
      </c>
      <c r="T126" s="1868">
        <v>1.0417399999999999</v>
      </c>
      <c r="U126" s="1868">
        <v>1.07989</v>
      </c>
      <c r="V126" s="1868">
        <v>1.2533799999999999</v>
      </c>
      <c r="W126" s="1868">
        <v>0.99129999999999996</v>
      </c>
      <c r="X126" s="1868">
        <v>1.14934</v>
      </c>
      <c r="Y126" s="1868">
        <v>1.2071399999999999</v>
      </c>
      <c r="Z126" s="1868">
        <v>1.20882</v>
      </c>
      <c r="AA126" s="1868">
        <v>1.10487</v>
      </c>
      <c r="AB126" s="1868">
        <v>1.3622799999999999</v>
      </c>
      <c r="AC126" s="1868">
        <v>1.3731799999999998</v>
      </c>
      <c r="AD126" s="1868">
        <v>1.3612299999999999</v>
      </c>
      <c r="AE126" s="1868">
        <v>1.30063</v>
      </c>
      <c r="AF126" s="1868">
        <v>1.3270500000000001</v>
      </c>
      <c r="AG126" s="1868">
        <v>1.40788</v>
      </c>
      <c r="AH126" s="1868">
        <v>1.65455</v>
      </c>
      <c r="AI126" s="1868">
        <v>1.39771</v>
      </c>
      <c r="AJ126" s="1868">
        <v>1.3291600000000001</v>
      </c>
      <c r="AK126" s="1868">
        <v>1.7438200000000001</v>
      </c>
      <c r="AL126" s="1868">
        <v>1.7321599999999999</v>
      </c>
      <c r="AM126" s="1868">
        <v>1.6561599999999999</v>
      </c>
      <c r="AN126" s="1868">
        <v>1.6753900000000002</v>
      </c>
      <c r="AO126" s="1868">
        <v>1.6402299999999999</v>
      </c>
      <c r="AP126" s="1868">
        <v>1.6366799999999999</v>
      </c>
      <c r="AQ126" s="1868">
        <v>1.6475500000000001</v>
      </c>
      <c r="AR126" s="1868">
        <v>1.5743400000000001</v>
      </c>
      <c r="AS126" s="1868">
        <v>1.6536500000000001</v>
      </c>
      <c r="AT126" s="1868">
        <v>1.5045500000000001</v>
      </c>
      <c r="AU126" s="1868">
        <v>1.5749799999999998</v>
      </c>
      <c r="AV126" s="1868">
        <v>1.7634099999999999</v>
      </c>
      <c r="AW126" s="1868">
        <v>1.61894</v>
      </c>
      <c r="AX126" s="1868">
        <v>1.5192399999999999</v>
      </c>
      <c r="AY126" s="1868">
        <v>1.7284900000000001</v>
      </c>
      <c r="AZ126" s="1868">
        <v>1.42875</v>
      </c>
      <c r="BA126" s="1868">
        <v>1.4935700000000001</v>
      </c>
    </row>
    <row r="127" spans="1:53">
      <c r="A127" s="1865" t="str">
        <f t="shared" si="1"/>
        <v>AmericasSweet potatoes</v>
      </c>
      <c r="B127" s="1866" t="s">
        <v>1411</v>
      </c>
      <c r="C127" s="1866" t="s">
        <v>1403</v>
      </c>
      <c r="D127" s="1868">
        <v>8.2549499999999991</v>
      </c>
      <c r="E127" s="1868">
        <v>8.2998499999999993</v>
      </c>
      <c r="F127" s="1868">
        <v>8.2634899999999991</v>
      </c>
      <c r="G127" s="1868">
        <v>8.2535100000000003</v>
      </c>
      <c r="H127" s="1868">
        <v>8.3523800000000001</v>
      </c>
      <c r="I127" s="1868">
        <v>8.7055799999999994</v>
      </c>
      <c r="J127" s="1868">
        <v>9.4026999999999994</v>
      </c>
      <c r="K127" s="1868">
        <v>9.0553299999999997</v>
      </c>
      <c r="L127" s="1868">
        <v>9.38462</v>
      </c>
      <c r="M127" s="1868">
        <v>9.283339999999999</v>
      </c>
      <c r="N127" s="1868">
        <v>9.36355</v>
      </c>
      <c r="O127" s="1868">
        <v>9.6282800000000002</v>
      </c>
      <c r="P127" s="1868">
        <v>9.0526999999999997</v>
      </c>
      <c r="Q127" s="1868">
        <v>8.5607600000000001</v>
      </c>
      <c r="R127" s="1868">
        <v>8.5391700000000004</v>
      </c>
      <c r="S127" s="1868">
        <v>8.1704799999999995</v>
      </c>
      <c r="T127" s="1868">
        <v>7.6956499999999997</v>
      </c>
      <c r="U127" s="1868">
        <v>7.6486399999999994</v>
      </c>
      <c r="V127" s="1868">
        <v>7.5225399999999993</v>
      </c>
      <c r="W127" s="1868">
        <v>7.3722600000000007</v>
      </c>
      <c r="X127" s="1868">
        <v>7.808889999999999</v>
      </c>
      <c r="Y127" s="1868">
        <v>8.08</v>
      </c>
      <c r="Z127" s="1868">
        <v>7.8490699999999993</v>
      </c>
      <c r="AA127" s="1868">
        <v>8.3574199999999994</v>
      </c>
      <c r="AB127" s="1868">
        <v>7.88565</v>
      </c>
      <c r="AC127" s="1868">
        <v>8.1868499999999997</v>
      </c>
      <c r="AD127" s="1868">
        <v>8.2272999999999996</v>
      </c>
      <c r="AE127" s="1868">
        <v>8.0112899999999989</v>
      </c>
      <c r="AF127" s="1868">
        <v>7.9165700000000001</v>
      </c>
      <c r="AG127" s="1868">
        <v>8.2831499999999991</v>
      </c>
      <c r="AH127" s="1868">
        <v>7.6895499999999997</v>
      </c>
      <c r="AI127" s="1868">
        <v>7.6870699999999994</v>
      </c>
      <c r="AJ127" s="1868">
        <v>7.7956899999999996</v>
      </c>
      <c r="AK127" s="1868">
        <v>8.4260999999999999</v>
      </c>
      <c r="AL127" s="1868">
        <v>8.3674499999999998</v>
      </c>
      <c r="AM127" s="1868">
        <v>8.0498499999999993</v>
      </c>
      <c r="AN127" s="1868">
        <v>8.5183499999999999</v>
      </c>
      <c r="AO127" s="1868">
        <v>8.1363800000000008</v>
      </c>
      <c r="AP127" s="1868">
        <v>8.8328600000000002</v>
      </c>
      <c r="AQ127" s="1868">
        <v>9.0103299999999997</v>
      </c>
      <c r="AR127" s="1868">
        <v>9.3258600000000005</v>
      </c>
      <c r="AS127" s="1868">
        <v>8.9111399999999996</v>
      </c>
      <c r="AT127" s="1868">
        <v>9.4036000000000008</v>
      </c>
      <c r="AU127" s="1868">
        <v>9.5862100000000012</v>
      </c>
      <c r="AV127" s="1868">
        <v>9.3203600000000009</v>
      </c>
      <c r="AW127" s="1868">
        <v>10.741530000000001</v>
      </c>
      <c r="AX127" s="1868">
        <v>9.5684000000000005</v>
      </c>
      <c r="AY127" s="1868">
        <v>9.7383699999999997</v>
      </c>
      <c r="AZ127" s="1868">
        <v>8.8281399999999994</v>
      </c>
      <c r="BA127" s="1868">
        <v>8.9183899999999987</v>
      </c>
    </row>
    <row r="128" spans="1:53">
      <c r="A128" s="1865" t="str">
        <f t="shared" si="1"/>
        <v>AmericasTangerines, mandarins, clem.</v>
      </c>
      <c r="B128" s="1866" t="s">
        <v>1411</v>
      </c>
      <c r="C128" s="1866" t="s">
        <v>1404</v>
      </c>
      <c r="D128" s="1868">
        <v>17.606470000000002</v>
      </c>
      <c r="E128" s="1868">
        <v>17.20843</v>
      </c>
      <c r="F128" s="1868">
        <v>16.424910000000001</v>
      </c>
      <c r="G128" s="1868">
        <v>17.808399999999999</v>
      </c>
      <c r="H128" s="1868">
        <v>15.870560000000001</v>
      </c>
      <c r="I128" s="1868">
        <v>19.798460000000002</v>
      </c>
      <c r="J128" s="1868">
        <v>18.58689</v>
      </c>
      <c r="K128" s="1868">
        <v>17.549970000000002</v>
      </c>
      <c r="L128" s="1868">
        <v>18.7363</v>
      </c>
      <c r="M128" s="1868">
        <v>18.936220000000002</v>
      </c>
      <c r="N128" s="1868">
        <v>19.46865</v>
      </c>
      <c r="O128" s="1868">
        <v>19.747949999999999</v>
      </c>
      <c r="P128" s="1868">
        <v>19.184089999999998</v>
      </c>
      <c r="Q128" s="1868">
        <v>18.237300000000001</v>
      </c>
      <c r="R128" s="1868">
        <v>18.146840000000001</v>
      </c>
      <c r="S128" s="1868">
        <v>20.168089999999999</v>
      </c>
      <c r="T128" s="1868">
        <v>19.308229999999998</v>
      </c>
      <c r="U128" s="1868">
        <v>19.454940000000001</v>
      </c>
      <c r="V128" s="1868">
        <v>20.349499999999999</v>
      </c>
      <c r="W128" s="1868">
        <v>16.78059</v>
      </c>
      <c r="X128" s="1868">
        <v>15.33206</v>
      </c>
      <c r="Y128" s="1868">
        <v>16.113320000000002</v>
      </c>
      <c r="Z128" s="1868">
        <v>15.872879999999999</v>
      </c>
      <c r="AA128" s="1868">
        <v>15.209949999999999</v>
      </c>
      <c r="AB128" s="1868">
        <v>13.989770000000002</v>
      </c>
      <c r="AC128" s="1868">
        <v>13.69459</v>
      </c>
      <c r="AD128" s="1868">
        <v>14.778920000000001</v>
      </c>
      <c r="AE128" s="1868">
        <v>15.0787</v>
      </c>
      <c r="AF128" s="1868">
        <v>15.58395</v>
      </c>
      <c r="AG128" s="1868">
        <v>13.931649999999999</v>
      </c>
      <c r="AH128" s="1868">
        <v>14.624179999999999</v>
      </c>
      <c r="AI128" s="1868">
        <v>14.664479999999999</v>
      </c>
      <c r="AJ128" s="1868">
        <v>14.182570000000002</v>
      </c>
      <c r="AK128" s="1868">
        <v>15.100770000000001</v>
      </c>
      <c r="AL128" s="1868">
        <v>15.130710000000001</v>
      </c>
      <c r="AM128" s="1868">
        <v>14.585000000000001</v>
      </c>
      <c r="AN128" s="1868">
        <v>16.385149999999999</v>
      </c>
      <c r="AO128" s="1868">
        <v>14.452870000000001</v>
      </c>
      <c r="AP128" s="1868">
        <v>14.2417</v>
      </c>
      <c r="AQ128" s="1868">
        <v>16.051960000000001</v>
      </c>
      <c r="AR128" s="1868">
        <v>16.835460000000001</v>
      </c>
      <c r="AS128" s="1868">
        <v>17.271539999999998</v>
      </c>
      <c r="AT128" s="1868">
        <v>16.847290000000001</v>
      </c>
      <c r="AU128" s="1868">
        <v>16.236179999999997</v>
      </c>
      <c r="AV128" s="1868">
        <v>15.692460000000001</v>
      </c>
      <c r="AW128" s="1868">
        <v>16.537970000000001</v>
      </c>
      <c r="AX128" s="1868">
        <v>15.840199999999999</v>
      </c>
      <c r="AY128" s="1868">
        <v>16.64547</v>
      </c>
      <c r="AZ128" s="1868">
        <v>15.727279999999999</v>
      </c>
      <c r="BA128" s="1868">
        <v>15.991420000000002</v>
      </c>
    </row>
    <row r="129" spans="1:53">
      <c r="A129" s="1865" t="str">
        <f t="shared" si="1"/>
        <v>AmericasTea</v>
      </c>
      <c r="B129" s="1866" t="s">
        <v>1411</v>
      </c>
      <c r="C129" s="1866" t="s">
        <v>1405</v>
      </c>
      <c r="D129" s="1868">
        <v>0.65998000000000001</v>
      </c>
      <c r="E129" s="1868">
        <v>0.62591000000000008</v>
      </c>
      <c r="F129" s="1868">
        <v>0.81633999999999995</v>
      </c>
      <c r="G129" s="1868">
        <v>0.80520000000000003</v>
      </c>
      <c r="H129" s="1868">
        <v>0.82927999999999991</v>
      </c>
      <c r="I129" s="1868">
        <v>0.77516000000000007</v>
      </c>
      <c r="J129" s="1868">
        <v>0.81033999999999995</v>
      </c>
      <c r="K129" s="1868">
        <v>0.68811999999999995</v>
      </c>
      <c r="L129" s="1868">
        <v>0.79181000000000001</v>
      </c>
      <c r="M129" s="1868">
        <v>0.86204999999999998</v>
      </c>
      <c r="N129" s="1868">
        <v>0.96967999999999988</v>
      </c>
      <c r="O129" s="1868">
        <v>1.06098</v>
      </c>
      <c r="P129" s="1868">
        <v>1.0491200000000001</v>
      </c>
      <c r="Q129" s="1868">
        <v>0.97283999999999993</v>
      </c>
      <c r="R129" s="1868">
        <v>1.0503100000000001</v>
      </c>
      <c r="S129" s="1868">
        <v>0.93977000000000011</v>
      </c>
      <c r="T129" s="1868">
        <v>1.0074799999999999</v>
      </c>
      <c r="U129" s="1868">
        <v>0.73568</v>
      </c>
      <c r="V129" s="1868">
        <v>0.87475000000000003</v>
      </c>
      <c r="W129" s="1868">
        <v>0.99796000000000007</v>
      </c>
      <c r="X129" s="1868">
        <v>0.91654999999999998</v>
      </c>
      <c r="Y129" s="1868">
        <v>1.0676700000000001</v>
      </c>
      <c r="Z129" s="1868">
        <v>1.1006200000000002</v>
      </c>
      <c r="AA129" s="1868">
        <v>1.0969599999999999</v>
      </c>
      <c r="AB129" s="1868">
        <v>1.16449</v>
      </c>
      <c r="AC129" s="1868">
        <v>1.2146600000000001</v>
      </c>
      <c r="AD129" s="1868">
        <v>1.3108299999999999</v>
      </c>
      <c r="AE129" s="1868">
        <v>1.0085200000000001</v>
      </c>
      <c r="AF129" s="1868">
        <v>1.3314900000000001</v>
      </c>
      <c r="AG129" s="1868">
        <v>1.35205</v>
      </c>
      <c r="AH129" s="1868">
        <v>1.3063499999999999</v>
      </c>
      <c r="AI129" s="1868">
        <v>1.2665999999999999</v>
      </c>
      <c r="AJ129" s="1868">
        <v>1.45241</v>
      </c>
      <c r="AK129" s="1868">
        <v>1.52572</v>
      </c>
      <c r="AL129" s="1868">
        <v>1.4963200000000001</v>
      </c>
      <c r="AM129" s="1868">
        <v>1.46248</v>
      </c>
      <c r="AN129" s="1868">
        <v>1.65188</v>
      </c>
      <c r="AO129" s="1868">
        <v>1.6086499999999999</v>
      </c>
      <c r="AP129" s="1868">
        <v>1.5171299999999999</v>
      </c>
      <c r="AQ129" s="1868">
        <v>1.9497599999999999</v>
      </c>
      <c r="AR129" s="1868">
        <v>1.9538200000000001</v>
      </c>
      <c r="AS129" s="1868">
        <v>1.9703400000000002</v>
      </c>
      <c r="AT129" s="1868">
        <v>1.9250799999999999</v>
      </c>
      <c r="AU129" s="1868">
        <v>1.85188</v>
      </c>
      <c r="AV129" s="1868">
        <v>1.8595299999999999</v>
      </c>
      <c r="AW129" s="1868">
        <v>1.89113</v>
      </c>
      <c r="AX129" s="1868">
        <v>1.89578</v>
      </c>
      <c r="AY129" s="1868">
        <v>2.3598599999999998</v>
      </c>
      <c r="AZ129" s="1868">
        <v>2.1592899999999999</v>
      </c>
      <c r="BA129" s="1868">
        <v>2.3565200000000002</v>
      </c>
    </row>
    <row r="130" spans="1:53">
      <c r="A130" s="1865" t="str">
        <f t="shared" si="1"/>
        <v>AmericasTobacco, unmanufactured</v>
      </c>
      <c r="B130" s="1866" t="s">
        <v>1411</v>
      </c>
      <c r="C130" s="1866" t="s">
        <v>1347</v>
      </c>
      <c r="D130" s="1868">
        <v>1.4882500000000001</v>
      </c>
      <c r="E130" s="1868">
        <v>1.5587799999999998</v>
      </c>
      <c r="F130" s="1868">
        <v>1.6087</v>
      </c>
      <c r="G130" s="1868">
        <v>1.62737</v>
      </c>
      <c r="H130" s="1868">
        <v>1.51603</v>
      </c>
      <c r="I130" s="1868">
        <v>1.54243</v>
      </c>
      <c r="J130" s="1868">
        <v>1.5945400000000001</v>
      </c>
      <c r="K130" s="1868">
        <v>1.5181100000000001</v>
      </c>
      <c r="L130" s="1868">
        <v>1.5886100000000001</v>
      </c>
      <c r="M130" s="1868">
        <v>1.6577099999999998</v>
      </c>
      <c r="N130" s="1868">
        <v>1.61155</v>
      </c>
      <c r="O130" s="1868">
        <v>1.5673900000000001</v>
      </c>
      <c r="P130" s="1868">
        <v>1.56847</v>
      </c>
      <c r="Q130" s="1868">
        <v>1.7042099999999998</v>
      </c>
      <c r="R130" s="1868">
        <v>1.6846700000000001</v>
      </c>
      <c r="S130" s="1868">
        <v>1.6686299999999998</v>
      </c>
      <c r="T130" s="1868">
        <v>1.6167200000000002</v>
      </c>
      <c r="U130" s="1868">
        <v>1.6957599999999999</v>
      </c>
      <c r="V130" s="1868">
        <v>1.5569</v>
      </c>
      <c r="W130" s="1868">
        <v>1.6529700000000001</v>
      </c>
      <c r="X130" s="1868">
        <v>1.7334000000000001</v>
      </c>
      <c r="Y130" s="1868">
        <v>1.7321099999999998</v>
      </c>
      <c r="Z130" s="1868">
        <v>1.54172</v>
      </c>
      <c r="AA130" s="1868">
        <v>1.7801099999999999</v>
      </c>
      <c r="AB130" s="1868">
        <v>1.7782900000000001</v>
      </c>
      <c r="AC130" s="1868">
        <v>1.6202099999999999</v>
      </c>
      <c r="AD130" s="1868">
        <v>1.62934</v>
      </c>
      <c r="AE130" s="1868">
        <v>1.7800499999999999</v>
      </c>
      <c r="AF130" s="1868">
        <v>1.7854299999999999</v>
      </c>
      <c r="AG130" s="1868">
        <v>1.8851099999999998</v>
      </c>
      <c r="AH130" s="1868">
        <v>1.8363499999999999</v>
      </c>
      <c r="AI130" s="1868">
        <v>1.8896599999999999</v>
      </c>
      <c r="AJ130" s="1868">
        <v>1.9310099999999999</v>
      </c>
      <c r="AK130" s="1868">
        <v>1.97525</v>
      </c>
      <c r="AL130" s="1868">
        <v>1.7507200000000001</v>
      </c>
      <c r="AM130" s="1868">
        <v>1.8389400000000002</v>
      </c>
      <c r="AN130" s="1868">
        <v>1.9754400000000001</v>
      </c>
      <c r="AO130" s="1868">
        <v>1.7376900000000002</v>
      </c>
      <c r="AP130" s="1868">
        <v>1.9014799999999998</v>
      </c>
      <c r="AQ130" s="1868">
        <v>1.9573</v>
      </c>
      <c r="AR130" s="1868">
        <v>1.9755599999999998</v>
      </c>
      <c r="AS130" s="1868">
        <v>2.0091600000000001</v>
      </c>
      <c r="AT130" s="1868">
        <v>1.8302700000000001</v>
      </c>
      <c r="AU130" s="1868">
        <v>2.05776</v>
      </c>
      <c r="AV130" s="1868">
        <v>1.9236799999999998</v>
      </c>
      <c r="AW130" s="1868">
        <v>1.9162400000000002</v>
      </c>
      <c r="AX130" s="1868">
        <v>2.0338700000000003</v>
      </c>
      <c r="AY130" s="1868">
        <v>2.0464500000000001</v>
      </c>
      <c r="AZ130" s="1868">
        <v>2.0397799999999999</v>
      </c>
      <c r="BA130" s="1868">
        <v>1.8562400000000001</v>
      </c>
    </row>
    <row r="131" spans="1:53">
      <c r="A131" s="1865" t="str">
        <f t="shared" si="1"/>
        <v>AmericasTomatoes</v>
      </c>
      <c r="B131" s="1866" t="s">
        <v>1411</v>
      </c>
      <c r="C131" s="1866" t="s">
        <v>1406</v>
      </c>
      <c r="D131" s="1868">
        <v>18.99061</v>
      </c>
      <c r="E131" s="1868">
        <v>21.42212</v>
      </c>
      <c r="F131" s="1868">
        <v>19.558920000000001</v>
      </c>
      <c r="G131" s="1868">
        <v>20.49579</v>
      </c>
      <c r="H131" s="1868">
        <v>22.03293</v>
      </c>
      <c r="I131" s="1868">
        <v>21.34526</v>
      </c>
      <c r="J131" s="1868">
        <v>21.999829999999999</v>
      </c>
      <c r="K131" s="1868">
        <v>24.566240000000001</v>
      </c>
      <c r="L131" s="1868">
        <v>22.13768</v>
      </c>
      <c r="M131" s="1868">
        <v>23.05415</v>
      </c>
      <c r="N131" s="1868">
        <v>23.92531</v>
      </c>
      <c r="O131" s="1868">
        <v>24.257660000000001</v>
      </c>
      <c r="P131" s="1868">
        <v>24.144839999999999</v>
      </c>
      <c r="Q131" s="1868">
        <v>26.820420000000002</v>
      </c>
      <c r="R131" s="1868">
        <v>28.543640000000003</v>
      </c>
      <c r="S131" s="1868">
        <v>26.391359999999999</v>
      </c>
      <c r="T131" s="1868">
        <v>27.213729999999998</v>
      </c>
      <c r="U131" s="1868">
        <v>26.784509999999997</v>
      </c>
      <c r="V131" s="1868">
        <v>27.955850000000002</v>
      </c>
      <c r="W131" s="1868">
        <v>27.653140000000004</v>
      </c>
      <c r="X131" s="1868">
        <v>27.991640000000004</v>
      </c>
      <c r="Y131" s="1868">
        <v>30.524899999999999</v>
      </c>
      <c r="Z131" s="1868">
        <v>29.862509999999997</v>
      </c>
      <c r="AA131" s="1868">
        <v>31.859300000000001</v>
      </c>
      <c r="AB131" s="1868">
        <v>32.010220000000004</v>
      </c>
      <c r="AC131" s="1868">
        <v>33.709429999999998</v>
      </c>
      <c r="AD131" s="1868">
        <v>34.02693</v>
      </c>
      <c r="AE131" s="1868">
        <v>33.246990000000004</v>
      </c>
      <c r="AF131" s="1868">
        <v>35.022090000000006</v>
      </c>
      <c r="AG131" s="1868">
        <v>35.749829999999996</v>
      </c>
      <c r="AH131" s="1868">
        <v>36.805679999999995</v>
      </c>
      <c r="AI131" s="1868">
        <v>34.777720000000002</v>
      </c>
      <c r="AJ131" s="1868">
        <v>36.451679999999996</v>
      </c>
      <c r="AK131" s="1868">
        <v>41.293799999999997</v>
      </c>
      <c r="AL131" s="1868">
        <v>40.953520000000005</v>
      </c>
      <c r="AM131" s="1868">
        <v>40.789529999999999</v>
      </c>
      <c r="AN131" s="1868">
        <v>40.71313</v>
      </c>
      <c r="AO131" s="1868">
        <v>39.26764</v>
      </c>
      <c r="AP131" s="1868">
        <v>43.779690000000002</v>
      </c>
      <c r="AQ131" s="1868">
        <v>44.452829999999999</v>
      </c>
      <c r="AR131" s="1868">
        <v>42.62677</v>
      </c>
      <c r="AS131" s="1868">
        <v>48.264720000000004</v>
      </c>
      <c r="AT131" s="1868">
        <v>44.976599999999998</v>
      </c>
      <c r="AU131" s="1868">
        <v>48.742609999999999</v>
      </c>
      <c r="AV131" s="1868">
        <v>45.271120000000003</v>
      </c>
      <c r="AW131" s="1868">
        <v>45.501159999999999</v>
      </c>
      <c r="AX131" s="1868">
        <v>50.076570000000004</v>
      </c>
      <c r="AY131" s="1868">
        <v>49.02158</v>
      </c>
      <c r="AZ131" s="1868">
        <v>49.509590000000003</v>
      </c>
      <c r="BA131" s="1868">
        <v>50.860140000000001</v>
      </c>
    </row>
    <row r="132" spans="1:53">
      <c r="A132" s="1865" t="str">
        <f t="shared" ref="A132:A195" si="2">CONCATENATE(B132,C132)</f>
        <v>AmericasTriticale</v>
      </c>
      <c r="B132" s="1866" t="s">
        <v>1411</v>
      </c>
      <c r="C132" s="1866" t="s">
        <v>1361</v>
      </c>
      <c r="W132" s="1868">
        <v>2.5</v>
      </c>
      <c r="X132" s="1868">
        <v>1.375</v>
      </c>
      <c r="Y132" s="1868">
        <v>1.5</v>
      </c>
      <c r="Z132" s="1868">
        <v>3.9117699999999997</v>
      </c>
      <c r="AA132" s="1868">
        <v>1.6403900000000002</v>
      </c>
      <c r="AB132" s="1868">
        <v>2.1569799999999999</v>
      </c>
      <c r="AC132" s="1868">
        <v>1.8451400000000002</v>
      </c>
      <c r="AD132" s="1868">
        <v>1.6978500000000001</v>
      </c>
      <c r="AE132" s="1868">
        <v>3.1670099999999999</v>
      </c>
      <c r="AF132" s="1868">
        <v>2.2630300000000001</v>
      </c>
      <c r="AG132" s="1868">
        <v>2.6763499999999998</v>
      </c>
      <c r="AH132" s="1868">
        <v>2.2845900000000001</v>
      </c>
      <c r="AI132" s="1868">
        <v>2.5728900000000001</v>
      </c>
      <c r="AJ132" s="1868">
        <v>2.3923099999999997</v>
      </c>
      <c r="AK132" s="1868">
        <v>2.2991299999999999</v>
      </c>
      <c r="AL132" s="1868">
        <v>2.41818</v>
      </c>
      <c r="AM132" s="1868">
        <v>2.1202799999999997</v>
      </c>
      <c r="AN132" s="1868">
        <v>2.0804099999999996</v>
      </c>
      <c r="AO132" s="1868">
        <v>2.3986900000000002</v>
      </c>
      <c r="AP132" s="1868">
        <v>3.0232900000000003</v>
      </c>
      <c r="AQ132" s="1868">
        <v>2.4593700000000003</v>
      </c>
      <c r="AR132" s="1868">
        <v>2.4042300000000001</v>
      </c>
      <c r="AS132" s="1868">
        <v>1.9903900000000001</v>
      </c>
      <c r="AT132" s="1868">
        <v>1.9261200000000001</v>
      </c>
      <c r="AU132" s="1868">
        <v>3.3866699999999996</v>
      </c>
      <c r="AV132" s="1868">
        <v>2.3231099999999998</v>
      </c>
      <c r="AW132" s="1868">
        <v>2.3388599999999999</v>
      </c>
      <c r="AX132" s="1868">
        <v>2.7262400000000002</v>
      </c>
      <c r="AY132" s="1868">
        <v>2.8470299999999997</v>
      </c>
      <c r="AZ132" s="1868">
        <v>2.4429400000000001</v>
      </c>
      <c r="BA132" s="1868">
        <v>3.46854</v>
      </c>
    </row>
    <row r="133" spans="1:53">
      <c r="A133" s="1865" t="str">
        <f t="shared" si="2"/>
        <v>AmericasVegetables fresh nes</v>
      </c>
      <c r="B133" s="1866" t="s">
        <v>1411</v>
      </c>
      <c r="C133" s="1866" t="s">
        <v>1407</v>
      </c>
      <c r="D133" s="1868">
        <v>7.8594899999999992</v>
      </c>
      <c r="E133" s="1868">
        <v>7.8645899999999997</v>
      </c>
      <c r="F133" s="1868">
        <v>7.9541699999999995</v>
      </c>
      <c r="G133" s="1868">
        <v>8.20045</v>
      </c>
      <c r="H133" s="1868">
        <v>8.2650399999999991</v>
      </c>
      <c r="I133" s="1868">
        <v>8.3803900000000002</v>
      </c>
      <c r="J133" s="1868">
        <v>8.5614399999999993</v>
      </c>
      <c r="K133" s="1868">
        <v>9.0163499999999992</v>
      </c>
      <c r="L133" s="1868">
        <v>9.369489999999999</v>
      </c>
      <c r="M133" s="1868">
        <v>9.5289399999999986</v>
      </c>
      <c r="N133" s="1868">
        <v>10.970560000000001</v>
      </c>
      <c r="O133" s="1868">
        <v>11.067110000000001</v>
      </c>
      <c r="P133" s="1868">
        <v>10.386699999999999</v>
      </c>
      <c r="Q133" s="1868">
        <v>10.81362</v>
      </c>
      <c r="R133" s="1868">
        <v>10.57366</v>
      </c>
      <c r="S133" s="1868">
        <v>11.854850000000001</v>
      </c>
      <c r="T133" s="1868">
        <v>12.20472</v>
      </c>
      <c r="U133" s="1868">
        <v>12.75962</v>
      </c>
      <c r="V133" s="1868">
        <v>12.867610000000001</v>
      </c>
      <c r="W133" s="1868">
        <v>12.748250000000001</v>
      </c>
      <c r="X133" s="1868">
        <v>13.139029999999998</v>
      </c>
      <c r="Y133" s="1868">
        <v>13.37195</v>
      </c>
      <c r="Z133" s="1868">
        <v>13.48427</v>
      </c>
      <c r="AA133" s="1868">
        <v>13.733020000000002</v>
      </c>
      <c r="AB133" s="1868">
        <v>13.98709</v>
      </c>
      <c r="AC133" s="1868">
        <v>13.722129999999998</v>
      </c>
      <c r="AD133" s="1868">
        <v>13.850949999999999</v>
      </c>
      <c r="AE133" s="1868">
        <v>14.165470000000001</v>
      </c>
      <c r="AF133" s="1868">
        <v>13.13463</v>
      </c>
      <c r="AG133" s="1868">
        <v>13.02652</v>
      </c>
      <c r="AH133" s="1868">
        <v>12.51792</v>
      </c>
      <c r="AI133" s="1868">
        <v>11.67104</v>
      </c>
      <c r="AJ133" s="1868">
        <v>12.342599999999999</v>
      </c>
      <c r="AK133" s="1868">
        <v>12.44617</v>
      </c>
      <c r="AL133" s="1868">
        <v>13.26709</v>
      </c>
      <c r="AM133" s="1868">
        <v>12.184189999999999</v>
      </c>
      <c r="AN133" s="1868">
        <v>13.14146</v>
      </c>
      <c r="AO133" s="1868">
        <v>12.42065</v>
      </c>
      <c r="AP133" s="1868">
        <v>14.266579999999999</v>
      </c>
      <c r="AQ133" s="1868">
        <v>13.9139</v>
      </c>
      <c r="AR133" s="1868">
        <v>14.42765</v>
      </c>
      <c r="AS133" s="1868">
        <v>13.918979999999999</v>
      </c>
      <c r="AT133" s="1868">
        <v>14.389250000000001</v>
      </c>
      <c r="AU133" s="1868">
        <v>14.148639999999999</v>
      </c>
      <c r="AV133" s="1868">
        <v>13.893000000000001</v>
      </c>
      <c r="AW133" s="1868">
        <v>13.116250000000001</v>
      </c>
      <c r="AX133" s="1868">
        <v>13.06873</v>
      </c>
      <c r="AY133" s="1868">
        <v>12.387420000000001</v>
      </c>
      <c r="AZ133" s="1868">
        <v>12.16259</v>
      </c>
      <c r="BA133" s="1868">
        <v>12.15728</v>
      </c>
    </row>
    <row r="134" spans="1:53">
      <c r="A134" s="1865" t="str">
        <f t="shared" si="2"/>
        <v>AmericasVetches</v>
      </c>
      <c r="B134" s="1866" t="s">
        <v>1411</v>
      </c>
      <c r="C134" s="1866" t="s">
        <v>1408</v>
      </c>
      <c r="W134" s="1868">
        <v>15.0968</v>
      </c>
      <c r="X134" s="1868">
        <v>15.312250000000001</v>
      </c>
      <c r="Y134" s="1868">
        <v>17.02777</v>
      </c>
      <c r="Z134" s="1868">
        <v>14.017339999999999</v>
      </c>
      <c r="AB134" s="1868">
        <v>11.275600000000001</v>
      </c>
      <c r="AC134" s="1868">
        <v>13.94581</v>
      </c>
      <c r="AD134" s="1868">
        <v>12.155510000000001</v>
      </c>
      <c r="AE134" s="1868">
        <v>16.81813</v>
      </c>
      <c r="AF134" s="1868">
        <v>13.076080000000001</v>
      </c>
      <c r="AG134" s="1868">
        <v>17.64838</v>
      </c>
      <c r="AH134" s="1868">
        <v>13.672189999999999</v>
      </c>
      <c r="AI134" s="1868">
        <v>12.655250000000001</v>
      </c>
      <c r="AJ134" s="1868">
        <v>13.301170000000001</v>
      </c>
      <c r="AK134" s="1868">
        <v>14.659460000000001</v>
      </c>
      <c r="AL134" s="1868">
        <v>13.581679999999999</v>
      </c>
      <c r="AM134" s="1868">
        <v>14.790229999999999</v>
      </c>
      <c r="AN134" s="1868">
        <v>12.953279999999999</v>
      </c>
      <c r="AO134" s="1868">
        <v>11.350660000000001</v>
      </c>
      <c r="AP134" s="1868">
        <v>12.933019999999999</v>
      </c>
      <c r="AQ134" s="1868">
        <v>12.139669999999999</v>
      </c>
      <c r="AR134" s="1868">
        <v>12.42689</v>
      </c>
      <c r="AS134" s="1868">
        <v>12.80457</v>
      </c>
      <c r="AT134" s="1868">
        <v>11.497630000000001</v>
      </c>
      <c r="AU134" s="1868">
        <v>12.11107</v>
      </c>
      <c r="AV134" s="1868">
        <v>13.538449999999999</v>
      </c>
      <c r="AW134" s="1868">
        <v>12.44833</v>
      </c>
      <c r="AX134" s="1868">
        <v>13.60271</v>
      </c>
      <c r="AY134" s="1868">
        <v>10.667680000000001</v>
      </c>
      <c r="AZ134" s="1868">
        <v>10.975610000000001</v>
      </c>
      <c r="BA134" s="1868">
        <v>9.0275199999999991</v>
      </c>
    </row>
    <row r="135" spans="1:53">
      <c r="A135" s="1865" t="str">
        <f t="shared" si="2"/>
        <v>AmericasWheat</v>
      </c>
      <c r="B135" s="1866" t="s">
        <v>1411</v>
      </c>
      <c r="C135" s="1866" t="s">
        <v>1409</v>
      </c>
      <c r="D135" s="1868">
        <v>1.2981200000000002</v>
      </c>
      <c r="E135" s="1868">
        <v>1.5470600000000001</v>
      </c>
      <c r="F135" s="1868">
        <v>1.6567799999999999</v>
      </c>
      <c r="G135" s="1868">
        <v>1.62416</v>
      </c>
      <c r="H135" s="1868">
        <v>1.6333799999999998</v>
      </c>
      <c r="I135" s="1868">
        <v>1.7002900000000001</v>
      </c>
      <c r="J135" s="1868">
        <v>1.5474600000000001</v>
      </c>
      <c r="K135" s="1868">
        <v>1.6341700000000001</v>
      </c>
      <c r="L135" s="1868">
        <v>1.83802</v>
      </c>
      <c r="M135" s="1868">
        <v>1.87063</v>
      </c>
      <c r="N135" s="1868">
        <v>1.9496900000000001</v>
      </c>
      <c r="O135" s="1868">
        <v>1.86385</v>
      </c>
      <c r="P135" s="1868">
        <v>1.91337</v>
      </c>
      <c r="Q135" s="1868">
        <v>1.7007700000000001</v>
      </c>
      <c r="R135" s="1868">
        <v>1.86972</v>
      </c>
      <c r="S135" s="1868">
        <v>1.93245</v>
      </c>
      <c r="T135" s="1868">
        <v>1.8834099999999998</v>
      </c>
      <c r="U135" s="1868">
        <v>1.97157</v>
      </c>
      <c r="V135" s="1868">
        <v>1.9548599999999998</v>
      </c>
      <c r="W135" s="1868">
        <v>1.9809700000000001</v>
      </c>
      <c r="X135" s="1868">
        <v>2.1094599999999999</v>
      </c>
      <c r="Y135" s="1868">
        <v>2.21671</v>
      </c>
      <c r="Z135" s="1868">
        <v>2.2804799999999998</v>
      </c>
      <c r="AA135" s="1868">
        <v>2.2738900000000002</v>
      </c>
      <c r="AB135" s="1868">
        <v>2.19408</v>
      </c>
      <c r="AC135" s="1868">
        <v>2.19692</v>
      </c>
      <c r="AD135" s="1868">
        <v>2.2665299999999999</v>
      </c>
      <c r="AE135" s="1868">
        <v>1.9225400000000001</v>
      </c>
      <c r="AF135" s="1868">
        <v>2.0673699999999999</v>
      </c>
      <c r="AG135" s="1868">
        <v>2.4112200000000001</v>
      </c>
      <c r="AH135" s="1868">
        <v>2.27563</v>
      </c>
      <c r="AI135" s="1868">
        <v>2.4442699999999999</v>
      </c>
      <c r="AJ135" s="1868">
        <v>2.3992299999999998</v>
      </c>
      <c r="AK135" s="1868">
        <v>2.3900399999999999</v>
      </c>
      <c r="AL135" s="1868">
        <v>2.3230400000000002</v>
      </c>
      <c r="AM135" s="1868">
        <v>2.41005</v>
      </c>
      <c r="AN135" s="1868">
        <v>2.5125599999999997</v>
      </c>
      <c r="AO135" s="1868">
        <v>2.6373099999999998</v>
      </c>
      <c r="AP135" s="1868">
        <v>2.7269400000000004</v>
      </c>
      <c r="AQ135" s="1868">
        <v>2.66656</v>
      </c>
      <c r="AR135" s="1868">
        <v>2.4223300000000001</v>
      </c>
      <c r="AS135" s="1868">
        <v>2.1818499999999998</v>
      </c>
      <c r="AT135" s="1868">
        <v>2.7191900000000002</v>
      </c>
      <c r="AU135" s="1868">
        <v>2.76376</v>
      </c>
      <c r="AV135" s="1868">
        <v>2.7446299999999999</v>
      </c>
      <c r="AW135" s="1868">
        <v>2.6119500000000002</v>
      </c>
      <c r="AX135" s="1868">
        <v>2.65368</v>
      </c>
      <c r="AY135" s="1868">
        <v>2.8654700000000002</v>
      </c>
      <c r="AZ135" s="1868">
        <v>2.8799600000000001</v>
      </c>
      <c r="BA135" s="1868">
        <v>3.0973000000000002</v>
      </c>
    </row>
    <row r="136" spans="1:53">
      <c r="A136" s="1865" t="str">
        <f t="shared" si="2"/>
        <v>AmericasCereals (Rice Milled Eqv</v>
      </c>
      <c r="B136" s="1866" t="s">
        <v>1411</v>
      </c>
      <c r="C136" s="1866" t="s">
        <v>1410</v>
      </c>
      <c r="D136" s="1868">
        <v>1.8825900000000002</v>
      </c>
      <c r="E136" s="1868">
        <v>2.0523099999999999</v>
      </c>
      <c r="F136" s="1868">
        <v>2.12344</v>
      </c>
      <c r="G136" s="1868">
        <v>1.99637</v>
      </c>
      <c r="H136" s="1868">
        <v>2.2146699999999999</v>
      </c>
      <c r="I136" s="1868">
        <v>2.2393900000000002</v>
      </c>
      <c r="J136" s="1868">
        <v>2.27949</v>
      </c>
      <c r="K136" s="1868">
        <v>2.2791799999999998</v>
      </c>
      <c r="L136" s="1868">
        <v>2.4404699999999999</v>
      </c>
      <c r="M136" s="1868">
        <v>2.35981</v>
      </c>
      <c r="N136" s="1868">
        <v>2.6391</v>
      </c>
      <c r="O136" s="1868">
        <v>2.65042</v>
      </c>
      <c r="P136" s="1868">
        <v>2.64968</v>
      </c>
      <c r="Q136" s="1868">
        <v>2.3110599999999999</v>
      </c>
      <c r="R136" s="1868">
        <v>2.58114</v>
      </c>
      <c r="S136" s="1868">
        <v>2.6244000000000001</v>
      </c>
      <c r="T136" s="1868">
        <v>2.7357499999999999</v>
      </c>
      <c r="U136" s="1868">
        <v>2.9277900000000003</v>
      </c>
      <c r="V136" s="1868">
        <v>3.0884099999999997</v>
      </c>
      <c r="W136" s="1868">
        <v>2.8000799999999999</v>
      </c>
      <c r="X136" s="1868">
        <v>3.1557599999999999</v>
      </c>
      <c r="Y136" s="1868">
        <v>3.2103299999999999</v>
      </c>
      <c r="Z136" s="1868">
        <v>2.67008</v>
      </c>
      <c r="AA136" s="1868">
        <v>3.1729099999999999</v>
      </c>
      <c r="AB136" s="1868">
        <v>3.4094300000000004</v>
      </c>
      <c r="AC136" s="1868">
        <v>3.33141</v>
      </c>
      <c r="AD136" s="1868">
        <v>3.2511799999999997</v>
      </c>
      <c r="AE136" s="1868">
        <v>2.6740900000000001</v>
      </c>
      <c r="AF136" s="1868">
        <v>3.1660499999999998</v>
      </c>
      <c r="AG136" s="1868">
        <v>3.4216300000000004</v>
      </c>
      <c r="AH136" s="1868">
        <v>3.2901899999999999</v>
      </c>
      <c r="AI136" s="1868">
        <v>3.8053400000000002</v>
      </c>
      <c r="AJ136" s="1868">
        <v>3.31209</v>
      </c>
      <c r="AK136" s="1868">
        <v>3.9105699999999999</v>
      </c>
      <c r="AL136" s="1868">
        <v>3.4813199999999997</v>
      </c>
      <c r="AM136" s="1868">
        <v>3.7955000000000001</v>
      </c>
      <c r="AN136" s="1868">
        <v>3.8639199999999998</v>
      </c>
      <c r="AO136" s="1868">
        <v>4.1336699999999995</v>
      </c>
      <c r="AP136" s="1868">
        <v>4.1484399999999999</v>
      </c>
      <c r="AQ136" s="1868">
        <v>4.1699900000000003</v>
      </c>
      <c r="AR136" s="1868">
        <v>4.13124</v>
      </c>
      <c r="AS136" s="1868">
        <v>3.9718699999999996</v>
      </c>
      <c r="AT136" s="1868">
        <v>4.3745599999999998</v>
      </c>
      <c r="AU136" s="1868">
        <v>4.7600800000000003</v>
      </c>
      <c r="AV136" s="1868">
        <v>4.6335800000000003</v>
      </c>
      <c r="AW136" s="1868">
        <v>4.5491800000000007</v>
      </c>
      <c r="AX136" s="1868">
        <v>4.9093599999999995</v>
      </c>
      <c r="AY136" s="1868">
        <v>4.91432</v>
      </c>
      <c r="AZ136" s="1868">
        <v>5.1307499999999999</v>
      </c>
      <c r="BA136" s="1868">
        <v>5.2339099999999998</v>
      </c>
    </row>
    <row r="137" spans="1:53">
      <c r="A137" s="1865" t="str">
        <f t="shared" si="2"/>
        <v>AsiaBananas</v>
      </c>
      <c r="B137" s="1866" t="s">
        <v>433</v>
      </c>
      <c r="C137" s="1866" t="s">
        <v>1362</v>
      </c>
      <c r="D137" s="1868">
        <v>8.4910100000000011</v>
      </c>
      <c r="E137" s="1868">
        <v>8.5815600000000014</v>
      </c>
      <c r="F137" s="1868">
        <v>8.85792</v>
      </c>
      <c r="G137" s="1868">
        <v>8.8078099999999999</v>
      </c>
      <c r="H137" s="1868">
        <v>9.4510500000000004</v>
      </c>
      <c r="I137" s="1868">
        <v>9.6817299999999999</v>
      </c>
      <c r="J137" s="1868">
        <v>9.4903899999999997</v>
      </c>
      <c r="K137" s="1868">
        <v>9.2870799999999996</v>
      </c>
      <c r="L137" s="1868">
        <v>8.9261400000000002</v>
      </c>
      <c r="M137" s="1868">
        <v>9.2184899999999992</v>
      </c>
      <c r="N137" s="1868">
        <v>9.7505299999999995</v>
      </c>
      <c r="O137" s="1868">
        <v>8.5758799999999997</v>
      </c>
      <c r="P137" s="1868">
        <v>8.6155399999999993</v>
      </c>
      <c r="Q137" s="1868">
        <v>9.3841099999999997</v>
      </c>
      <c r="R137" s="1868">
        <v>10.071120000000001</v>
      </c>
      <c r="S137" s="1868">
        <v>10.628489999999999</v>
      </c>
      <c r="T137" s="1868">
        <v>12.06523</v>
      </c>
      <c r="U137" s="1868">
        <v>12.54861</v>
      </c>
      <c r="V137" s="1868">
        <v>12.802210000000001</v>
      </c>
      <c r="W137" s="1868">
        <v>13.487970000000001</v>
      </c>
      <c r="X137" s="1868">
        <v>13.48076</v>
      </c>
      <c r="Y137" s="1868">
        <v>12.934850000000001</v>
      </c>
      <c r="Z137" s="1868">
        <v>13.00737</v>
      </c>
      <c r="AA137" s="1868">
        <v>13.63124</v>
      </c>
      <c r="AB137" s="1868">
        <v>13.870479999999999</v>
      </c>
      <c r="AC137" s="1868">
        <v>15.596439999999999</v>
      </c>
      <c r="AD137" s="1868">
        <v>14.767899999999999</v>
      </c>
      <c r="AE137" s="1868">
        <v>12.7339</v>
      </c>
      <c r="AF137" s="1868">
        <v>14.70074</v>
      </c>
      <c r="AG137" s="1868">
        <v>15.329000000000001</v>
      </c>
      <c r="AH137" s="1868">
        <v>15.766179999999999</v>
      </c>
      <c r="AI137" s="1868">
        <v>15.087279999999998</v>
      </c>
      <c r="AJ137" s="1868">
        <v>15.517920000000002</v>
      </c>
      <c r="AK137" s="1868">
        <v>16.414549999999998</v>
      </c>
      <c r="AL137" s="1868">
        <v>16.511960000000002</v>
      </c>
      <c r="AM137" s="1868">
        <v>15.985049999999999</v>
      </c>
      <c r="AN137" s="1868">
        <v>17.81908</v>
      </c>
      <c r="AO137" s="1868">
        <v>19.21659</v>
      </c>
      <c r="AP137" s="1868">
        <v>19.814420000000002</v>
      </c>
      <c r="AQ137" s="1868">
        <v>19.018470000000001</v>
      </c>
      <c r="AR137" s="1868">
        <v>18.986720000000002</v>
      </c>
      <c r="AS137" s="1868">
        <v>18.775690000000001</v>
      </c>
      <c r="AT137" s="1868">
        <v>18.413220000000003</v>
      </c>
      <c r="AU137" s="1868">
        <v>19.134820000000001</v>
      </c>
      <c r="AV137" s="1868">
        <v>20.969539999999999</v>
      </c>
      <c r="AW137" s="1868">
        <v>22.078859999999999</v>
      </c>
      <c r="AX137" s="1868">
        <v>23.319520000000001</v>
      </c>
      <c r="AY137" s="1868">
        <v>27.221440000000001</v>
      </c>
      <c r="AZ137" s="1868">
        <v>26.933759999999996</v>
      </c>
      <c r="BA137" s="1868">
        <v>28.036759999999997</v>
      </c>
    </row>
    <row r="138" spans="1:53">
      <c r="A138" s="1865" t="str">
        <f t="shared" si="2"/>
        <v>AsiaBarley</v>
      </c>
      <c r="B138" s="1866" t="s">
        <v>433</v>
      </c>
      <c r="C138" s="1866" t="s">
        <v>1363</v>
      </c>
      <c r="D138" s="1868">
        <v>1.1040000000000001</v>
      </c>
      <c r="E138" s="1868">
        <v>1.1894400000000001</v>
      </c>
      <c r="F138" s="1868">
        <v>1.1463299999999998</v>
      </c>
      <c r="G138" s="1868">
        <v>1.13192</v>
      </c>
      <c r="H138" s="1868">
        <v>1.25132</v>
      </c>
      <c r="I138" s="1868">
        <v>1.18048</v>
      </c>
      <c r="J138" s="1868">
        <v>1.2268299999999999</v>
      </c>
      <c r="K138" s="1868">
        <v>1.21096</v>
      </c>
      <c r="L138" s="1868">
        <v>1.21502</v>
      </c>
      <c r="M138" s="1868">
        <v>1.1158600000000001</v>
      </c>
      <c r="N138" s="1868">
        <v>1.2915399999999999</v>
      </c>
      <c r="O138" s="1868">
        <v>1.3021100000000001</v>
      </c>
      <c r="P138" s="1868">
        <v>1.0734900000000001</v>
      </c>
      <c r="Q138" s="1868">
        <v>1.21018</v>
      </c>
      <c r="R138" s="1868">
        <v>1.38829</v>
      </c>
      <c r="S138" s="1868">
        <v>1.5271299999999999</v>
      </c>
      <c r="T138" s="1868">
        <v>1.3367</v>
      </c>
      <c r="U138" s="1868">
        <v>1.52841</v>
      </c>
      <c r="V138" s="1868">
        <v>1.5597700000000001</v>
      </c>
      <c r="W138" s="1868">
        <v>1.4562899999999999</v>
      </c>
      <c r="X138" s="1868">
        <v>1.4962600000000001</v>
      </c>
      <c r="Y138" s="1868">
        <v>1.47173</v>
      </c>
      <c r="Z138" s="1868">
        <v>1.4295200000000001</v>
      </c>
      <c r="AA138" s="1868">
        <v>1.5435700000000001</v>
      </c>
      <c r="AB138" s="1868">
        <v>1.4837100000000001</v>
      </c>
      <c r="AC138" s="1868">
        <v>1.5241799999999999</v>
      </c>
      <c r="AD138" s="1868">
        <v>1.53443</v>
      </c>
      <c r="AE138" s="1868">
        <v>1.8154299999999999</v>
      </c>
      <c r="AF138" s="1868">
        <v>1.1689200000000002</v>
      </c>
      <c r="AG138" s="1868">
        <v>1.48034</v>
      </c>
      <c r="AH138" s="1868">
        <v>1.56749</v>
      </c>
      <c r="AI138" s="1868">
        <v>1.5381100000000001</v>
      </c>
      <c r="AJ138" s="1868">
        <v>1.44604</v>
      </c>
      <c r="AK138" s="1868">
        <v>1.5126600000000001</v>
      </c>
      <c r="AL138" s="1868">
        <v>1.4293499999999999</v>
      </c>
      <c r="AM138" s="1868">
        <v>1.5815900000000001</v>
      </c>
      <c r="AN138" s="1868">
        <v>1.58097</v>
      </c>
      <c r="AO138" s="1868">
        <v>1.6203700000000001</v>
      </c>
      <c r="AP138" s="1868">
        <v>1.5613299999999999</v>
      </c>
      <c r="AQ138" s="1868">
        <v>1.5055100000000001</v>
      </c>
      <c r="AR138" s="1868">
        <v>1.76637</v>
      </c>
      <c r="AS138" s="1868">
        <v>1.83185</v>
      </c>
      <c r="AT138" s="1868">
        <v>1.80453</v>
      </c>
      <c r="AU138" s="1868">
        <v>1.8073400000000002</v>
      </c>
      <c r="AV138" s="1868">
        <v>1.8824900000000002</v>
      </c>
      <c r="AW138" s="1868">
        <v>1.9470400000000001</v>
      </c>
      <c r="AX138" s="1868">
        <v>1.7425200000000001</v>
      </c>
      <c r="AY138" s="1868">
        <v>1.4656200000000001</v>
      </c>
      <c r="AZ138" s="1868">
        <v>1.9128000000000001</v>
      </c>
      <c r="BA138" s="1868">
        <v>1.7786999999999999</v>
      </c>
    </row>
    <row r="139" spans="1:53">
      <c r="A139" s="1865" t="str">
        <f t="shared" si="2"/>
        <v>AsiaBeans, dry</v>
      </c>
      <c r="B139" s="1866" t="s">
        <v>433</v>
      </c>
      <c r="C139" s="1866" t="s">
        <v>1364</v>
      </c>
      <c r="D139" s="1868">
        <v>0.45679999999999998</v>
      </c>
      <c r="E139" s="1868">
        <v>0.50575000000000003</v>
      </c>
      <c r="F139" s="1868">
        <v>0.46948999999999996</v>
      </c>
      <c r="G139" s="1868">
        <v>0.47883000000000003</v>
      </c>
      <c r="H139" s="1868">
        <v>0.46868999999999994</v>
      </c>
      <c r="I139" s="1868">
        <v>0.42123999999999995</v>
      </c>
      <c r="J139" s="1868">
        <v>0.44251000000000001</v>
      </c>
      <c r="K139" s="1868">
        <v>0.42256000000000005</v>
      </c>
      <c r="L139" s="1868">
        <v>0.43676999999999999</v>
      </c>
      <c r="M139" s="1868">
        <v>0.48378000000000004</v>
      </c>
      <c r="N139" s="1868">
        <v>0.4597</v>
      </c>
      <c r="O139" s="1868">
        <v>0.44417000000000001</v>
      </c>
      <c r="P139" s="1868">
        <v>0.48318</v>
      </c>
      <c r="Q139" s="1868">
        <v>0.46100000000000002</v>
      </c>
      <c r="R139" s="1868">
        <v>0.48491000000000006</v>
      </c>
      <c r="S139" s="1868">
        <v>0.47212999999999999</v>
      </c>
      <c r="T139" s="1868">
        <v>0.49308999999999997</v>
      </c>
      <c r="U139" s="1868">
        <v>0.49320000000000003</v>
      </c>
      <c r="V139" s="1868">
        <v>0.45265</v>
      </c>
      <c r="W139" s="1868">
        <v>0.47628999999999999</v>
      </c>
      <c r="X139" s="1868">
        <v>0.49264999999999998</v>
      </c>
      <c r="Y139" s="1868">
        <v>0.51744000000000001</v>
      </c>
      <c r="Z139" s="1868">
        <v>0.56751000000000007</v>
      </c>
      <c r="AA139" s="1868">
        <v>0.55764999999999998</v>
      </c>
      <c r="AB139" s="1868">
        <v>0.52523999999999993</v>
      </c>
      <c r="AC139" s="1868">
        <v>0.51807000000000003</v>
      </c>
      <c r="AD139" s="1868">
        <v>0.55364999999999998</v>
      </c>
      <c r="AE139" s="1868">
        <v>0.60856999999999994</v>
      </c>
      <c r="AF139" s="1868">
        <v>0.55349999999999999</v>
      </c>
      <c r="AG139" s="1868">
        <v>0.61055999999999999</v>
      </c>
      <c r="AH139" s="1868">
        <v>0.51306000000000007</v>
      </c>
      <c r="AI139" s="1868">
        <v>0.58531999999999995</v>
      </c>
      <c r="AJ139" s="1868">
        <v>0.57136999999999993</v>
      </c>
      <c r="AK139" s="1868">
        <v>0.57723000000000002</v>
      </c>
      <c r="AL139" s="1868">
        <v>0.61491000000000007</v>
      </c>
      <c r="AM139" s="1868">
        <v>0.60028000000000004</v>
      </c>
      <c r="AN139" s="1868">
        <v>0.53788000000000002</v>
      </c>
      <c r="AO139" s="1868">
        <v>0.58704999999999996</v>
      </c>
      <c r="AP139" s="1868">
        <v>0.70340000000000003</v>
      </c>
      <c r="AQ139" s="1868">
        <v>0.70062999999999998</v>
      </c>
      <c r="AR139" s="1868">
        <v>0.74478999999999995</v>
      </c>
      <c r="AS139" s="1868">
        <v>0.61365999999999998</v>
      </c>
      <c r="AT139" s="1868">
        <v>0.68733999999999995</v>
      </c>
      <c r="AU139" s="1868">
        <v>0.60371000000000008</v>
      </c>
      <c r="AV139" s="1868">
        <v>0.63307999999999998</v>
      </c>
      <c r="AW139" s="1868">
        <v>0.66588999999999998</v>
      </c>
      <c r="AX139" s="1868">
        <v>0.65948999999999991</v>
      </c>
      <c r="AY139" s="1868">
        <v>0.72321999999999997</v>
      </c>
      <c r="AZ139" s="1868">
        <v>0.76083000000000001</v>
      </c>
      <c r="BA139" s="1868">
        <v>0.69957999999999998</v>
      </c>
    </row>
    <row r="140" spans="1:53">
      <c r="A140" s="1865" t="str">
        <f t="shared" si="2"/>
        <v>AsiaBeans, green</v>
      </c>
      <c r="B140" s="1866" t="s">
        <v>433</v>
      </c>
      <c r="C140" s="1866" t="s">
        <v>1365</v>
      </c>
      <c r="D140" s="1868">
        <v>5.3528500000000001</v>
      </c>
      <c r="E140" s="1868">
        <v>5.2466699999999999</v>
      </c>
      <c r="F140" s="1868">
        <v>5.1919500000000003</v>
      </c>
      <c r="G140" s="1868">
        <v>5.15801</v>
      </c>
      <c r="H140" s="1868">
        <v>5.12812</v>
      </c>
      <c r="I140" s="1868">
        <v>5.0007599999999996</v>
      </c>
      <c r="J140" s="1868">
        <v>5.0889300000000004</v>
      </c>
      <c r="K140" s="1868">
        <v>5.0204399999999998</v>
      </c>
      <c r="L140" s="1868">
        <v>5.0999300000000005</v>
      </c>
      <c r="M140" s="1868">
        <v>5.1246499999999999</v>
      </c>
      <c r="N140" s="1868">
        <v>5.0160900000000002</v>
      </c>
      <c r="O140" s="1868">
        <v>5.2110500000000002</v>
      </c>
      <c r="P140" s="1868">
        <v>5.2846400000000004</v>
      </c>
      <c r="Q140" s="1868">
        <v>5.3508599999999999</v>
      </c>
      <c r="R140" s="1868">
        <v>5.3636699999999999</v>
      </c>
      <c r="S140" s="1868">
        <v>5.4112800000000005</v>
      </c>
      <c r="T140" s="1868">
        <v>5.4119099999999998</v>
      </c>
      <c r="U140" s="1868">
        <v>5.6000800000000002</v>
      </c>
      <c r="V140" s="1868">
        <v>5.8415900000000001</v>
      </c>
      <c r="W140" s="1868">
        <v>6.3233199999999998</v>
      </c>
      <c r="X140" s="1868">
        <v>5.8803999999999998</v>
      </c>
      <c r="Y140" s="1868">
        <v>6.0925400000000005</v>
      </c>
      <c r="Z140" s="1868">
        <v>6.2627800000000002</v>
      </c>
      <c r="AA140" s="1868">
        <v>6.6043500000000002</v>
      </c>
      <c r="AB140" s="1868">
        <v>6.7943800000000003</v>
      </c>
      <c r="AC140" s="1868">
        <v>6.3149199999999999</v>
      </c>
      <c r="AD140" s="1868">
        <v>6.0654699999999995</v>
      </c>
      <c r="AE140" s="1868">
        <v>6.1405000000000003</v>
      </c>
      <c r="AF140" s="1868">
        <v>6.2832800000000004</v>
      </c>
      <c r="AG140" s="1868">
        <v>6.2976700000000001</v>
      </c>
      <c r="AH140" s="1868">
        <v>6.34368</v>
      </c>
      <c r="AI140" s="1868">
        <v>6.5443300000000004</v>
      </c>
      <c r="AJ140" s="1868">
        <v>7.2581800000000003</v>
      </c>
      <c r="AK140" s="1868">
        <v>7.0259300000000007</v>
      </c>
      <c r="AL140" s="1868">
        <v>6.7380800000000001</v>
      </c>
      <c r="AM140" s="1868">
        <v>7.0648399999999993</v>
      </c>
      <c r="AN140" s="1868">
        <v>7.0454899999999991</v>
      </c>
      <c r="AO140" s="1868">
        <v>7.2270899999999996</v>
      </c>
      <c r="AP140" s="1868">
        <v>7.4863200000000001</v>
      </c>
      <c r="AQ140" s="1868">
        <v>7.4242600000000003</v>
      </c>
      <c r="AR140" s="1868">
        <v>7.8819699999999999</v>
      </c>
      <c r="AS140" s="1868">
        <v>8.3890999999999991</v>
      </c>
      <c r="AT140" s="1868">
        <v>9.19984</v>
      </c>
      <c r="AU140" s="1868">
        <v>10.39142</v>
      </c>
      <c r="AV140" s="1868">
        <v>11.78116</v>
      </c>
      <c r="AW140" s="1868">
        <v>12.83649</v>
      </c>
      <c r="AX140" s="1868">
        <v>13.61605</v>
      </c>
      <c r="AY140" s="1868">
        <v>14.158799999999999</v>
      </c>
      <c r="AZ140" s="1868">
        <v>14.484210000000001</v>
      </c>
      <c r="BA140" s="1868">
        <v>13.234829999999999</v>
      </c>
    </row>
    <row r="141" spans="1:53">
      <c r="A141" s="1865" t="str">
        <f t="shared" si="2"/>
        <v>AsiaCarrots and turnips</v>
      </c>
      <c r="B141" s="1866" t="s">
        <v>433</v>
      </c>
      <c r="C141" s="1866" t="s">
        <v>1366</v>
      </c>
      <c r="D141" s="1868">
        <v>12.18909</v>
      </c>
      <c r="E141" s="1868">
        <v>12.764469999999999</v>
      </c>
      <c r="F141" s="1868">
        <v>13.226129999999999</v>
      </c>
      <c r="G141" s="1868">
        <v>12.736080000000001</v>
      </c>
      <c r="H141" s="1868">
        <v>12.77735</v>
      </c>
      <c r="I141" s="1868">
        <v>13.578329999999999</v>
      </c>
      <c r="J141" s="1868">
        <v>13.675329999999999</v>
      </c>
      <c r="K141" s="1868">
        <v>14.265329999999999</v>
      </c>
      <c r="L141" s="1868">
        <v>14.53609</v>
      </c>
      <c r="M141" s="1868">
        <v>14.9322</v>
      </c>
      <c r="N141" s="1868">
        <v>15.144399999999999</v>
      </c>
      <c r="O141" s="1868">
        <v>15.360610000000001</v>
      </c>
      <c r="P141" s="1868">
        <v>15.387929999999999</v>
      </c>
      <c r="Q141" s="1868">
        <v>15.968920000000001</v>
      </c>
      <c r="R141" s="1868">
        <v>15.966460000000001</v>
      </c>
      <c r="S141" s="1868">
        <v>16.933679999999999</v>
      </c>
      <c r="T141" s="1868">
        <v>17.278839999999999</v>
      </c>
      <c r="U141" s="1868">
        <v>17.513279999999998</v>
      </c>
      <c r="V141" s="1868">
        <v>18.05818</v>
      </c>
      <c r="W141" s="1868">
        <v>18.14799</v>
      </c>
      <c r="X141" s="1868">
        <v>17.95232</v>
      </c>
      <c r="Y141" s="1868">
        <v>18.67614</v>
      </c>
      <c r="Z141" s="1868">
        <v>18.92454</v>
      </c>
      <c r="AA141" s="1868">
        <v>19.684139999999999</v>
      </c>
      <c r="AB141" s="1868">
        <v>20.29542</v>
      </c>
      <c r="AC141" s="1868">
        <v>20.603999999999999</v>
      </c>
      <c r="AD141" s="1868">
        <v>20.599429999999998</v>
      </c>
      <c r="AE141" s="1868">
        <v>20.679539999999999</v>
      </c>
      <c r="AF141" s="1868">
        <v>21.010379999999998</v>
      </c>
      <c r="AG141" s="1868">
        <v>20.880029999999998</v>
      </c>
      <c r="AH141" s="1868">
        <v>20.97824</v>
      </c>
      <c r="AI141" s="1868">
        <v>20.90343</v>
      </c>
      <c r="AJ141" s="1868">
        <v>20.847160000000002</v>
      </c>
      <c r="AK141" s="1868">
        <v>20.82817</v>
      </c>
      <c r="AL141" s="1868">
        <v>21.12378</v>
      </c>
      <c r="AM141" s="1868">
        <v>21.599699999999999</v>
      </c>
      <c r="AN141" s="1868">
        <v>19.7883</v>
      </c>
      <c r="AO141" s="1868">
        <v>18.00648</v>
      </c>
      <c r="AP141" s="1868">
        <v>18.061050000000002</v>
      </c>
      <c r="AQ141" s="1868">
        <v>18.733499999999999</v>
      </c>
      <c r="AR141" s="1868">
        <v>18.746229999999997</v>
      </c>
      <c r="AS141" s="1868">
        <v>19.57488</v>
      </c>
      <c r="AT141" s="1868">
        <v>20.436150000000001</v>
      </c>
      <c r="AU141" s="1868">
        <v>19.895</v>
      </c>
      <c r="AV141" s="1868">
        <v>22.004709999999999</v>
      </c>
      <c r="AW141" s="1868">
        <v>24.102889999999999</v>
      </c>
      <c r="AX141" s="1868">
        <v>26.01943</v>
      </c>
      <c r="AY141" s="1868">
        <v>30.96452</v>
      </c>
      <c r="AZ141" s="1868">
        <v>31.398340000000001</v>
      </c>
      <c r="BA141" s="1868">
        <v>30.978459999999998</v>
      </c>
    </row>
    <row r="142" spans="1:53">
      <c r="A142" s="1865" t="str">
        <f t="shared" si="2"/>
        <v>AsiaCashew nuts, with shell</v>
      </c>
      <c r="B142" s="1866" t="s">
        <v>433</v>
      </c>
      <c r="C142" s="1866" t="s">
        <v>1367</v>
      </c>
      <c r="D142" s="1868">
        <v>0.50880000000000003</v>
      </c>
      <c r="E142" s="1868">
        <v>0.50966999999999996</v>
      </c>
      <c r="F142" s="1868">
        <v>0.47911000000000004</v>
      </c>
      <c r="G142" s="1868">
        <v>0.49801999999999996</v>
      </c>
      <c r="H142" s="1868">
        <v>0.51251999999999998</v>
      </c>
      <c r="I142" s="1868">
        <v>0.49718999999999997</v>
      </c>
      <c r="J142" s="1868">
        <v>0.52059</v>
      </c>
      <c r="K142" s="1868">
        <v>0.52183000000000002</v>
      </c>
      <c r="L142" s="1868">
        <v>0.50149999999999995</v>
      </c>
      <c r="M142" s="1868">
        <v>0.49048999999999998</v>
      </c>
      <c r="N142" s="1868">
        <v>0.46991000000000005</v>
      </c>
      <c r="O142" s="1868">
        <v>0.45341000000000004</v>
      </c>
      <c r="P142" s="1868">
        <v>0.44651000000000002</v>
      </c>
      <c r="Q142" s="1868">
        <v>0.44732</v>
      </c>
      <c r="R142" s="1868">
        <v>0.41920000000000002</v>
      </c>
      <c r="S142" s="1868">
        <v>0.43543999999999994</v>
      </c>
      <c r="T142" s="1868">
        <v>0.43513000000000002</v>
      </c>
      <c r="U142" s="1868">
        <v>0.42866000000000004</v>
      </c>
      <c r="V142" s="1868">
        <v>0.40753</v>
      </c>
      <c r="W142" s="1868">
        <v>0.36525000000000002</v>
      </c>
      <c r="X142" s="1868">
        <v>0.35325000000000001</v>
      </c>
      <c r="Y142" s="1868">
        <v>0.34540999999999999</v>
      </c>
      <c r="Z142" s="1868">
        <v>0.35315999999999997</v>
      </c>
      <c r="AA142" s="1868">
        <v>0.38203999999999999</v>
      </c>
      <c r="AB142" s="1868">
        <v>0.44863999999999998</v>
      </c>
      <c r="AC142" s="1868">
        <v>0.47299999999999998</v>
      </c>
      <c r="AD142" s="1868">
        <v>0.50588</v>
      </c>
      <c r="AE142" s="1868">
        <v>0.50483</v>
      </c>
      <c r="AF142" s="1868">
        <v>0.54137999999999997</v>
      </c>
      <c r="AG142" s="1868">
        <v>0.57857999999999998</v>
      </c>
      <c r="AH142" s="1868">
        <v>0.60877000000000003</v>
      </c>
      <c r="AI142" s="1868">
        <v>0.64254999999999995</v>
      </c>
      <c r="AJ142" s="1868">
        <v>0.76081999999999994</v>
      </c>
      <c r="AK142" s="1868">
        <v>0.74558000000000002</v>
      </c>
      <c r="AL142" s="1868">
        <v>0.69513000000000003</v>
      </c>
      <c r="AM142" s="1868">
        <v>0.74133000000000004</v>
      </c>
      <c r="AN142" s="1868">
        <v>0.60498000000000007</v>
      </c>
      <c r="AO142" s="1868">
        <v>0.50065999999999999</v>
      </c>
      <c r="AP142" s="1868">
        <v>0.51361000000000001</v>
      </c>
      <c r="AQ142" s="1868">
        <v>0.63423000000000007</v>
      </c>
      <c r="AR142" s="1868">
        <v>0.60688999999999993</v>
      </c>
      <c r="AS142" s="1868">
        <v>0.74343999999999999</v>
      </c>
      <c r="AT142" s="1868">
        <v>0.84392000000000011</v>
      </c>
      <c r="AU142" s="1868">
        <v>1.02427</v>
      </c>
      <c r="AV142" s="1868">
        <v>1.0786100000000001</v>
      </c>
      <c r="AW142" s="1868">
        <v>1.12226</v>
      </c>
      <c r="AX142" s="1868">
        <v>1.4151100000000001</v>
      </c>
      <c r="AY142" s="1868">
        <v>1.40984</v>
      </c>
      <c r="AZ142" s="1868">
        <v>1.2086700000000001</v>
      </c>
      <c r="BA142" s="1868">
        <v>1.29088</v>
      </c>
    </row>
    <row r="143" spans="1:53">
      <c r="A143" s="1865" t="str">
        <f t="shared" si="2"/>
        <v>AsiaCassava</v>
      </c>
      <c r="B143" s="1866" t="s">
        <v>433</v>
      </c>
      <c r="C143" s="1866" t="s">
        <v>1368</v>
      </c>
      <c r="D143" s="1868">
        <v>8.0796799999999998</v>
      </c>
      <c r="E143" s="1868">
        <v>8.3184000000000005</v>
      </c>
      <c r="F143" s="1868">
        <v>7.8781800000000004</v>
      </c>
      <c r="G143" s="1868">
        <v>8.5624699999999994</v>
      </c>
      <c r="H143" s="1868">
        <v>8.2377800000000008</v>
      </c>
      <c r="I143" s="1868">
        <v>8.6197400000000002</v>
      </c>
      <c r="J143" s="1868">
        <v>8.447280000000001</v>
      </c>
      <c r="K143" s="1868">
        <v>9.0538000000000007</v>
      </c>
      <c r="L143" s="1868">
        <v>9.0546000000000006</v>
      </c>
      <c r="M143" s="1868">
        <v>9.4334399999999992</v>
      </c>
      <c r="N143" s="1868">
        <v>9.3719000000000001</v>
      </c>
      <c r="O143" s="1868">
        <v>9.3377199999999991</v>
      </c>
      <c r="P143" s="1868">
        <v>10.01937</v>
      </c>
      <c r="Q143" s="1868">
        <v>10.247339999999999</v>
      </c>
      <c r="R143" s="1868">
        <v>10.708500000000001</v>
      </c>
      <c r="S143" s="1868">
        <v>11.26803</v>
      </c>
      <c r="T143" s="1868">
        <v>11.175380000000001</v>
      </c>
      <c r="U143" s="1868">
        <v>11.78355</v>
      </c>
      <c r="V143" s="1868">
        <v>11.315469999999999</v>
      </c>
      <c r="W143" s="1868">
        <v>11.8184</v>
      </c>
      <c r="X143" s="1868">
        <v>11.89142</v>
      </c>
      <c r="Y143" s="1868">
        <v>12.36148</v>
      </c>
      <c r="Z143" s="1868">
        <v>13.34552</v>
      </c>
      <c r="AA143" s="1868">
        <v>12.706719999999999</v>
      </c>
      <c r="AB143" s="1868">
        <v>12.50211</v>
      </c>
      <c r="AC143" s="1868">
        <v>12.11581</v>
      </c>
      <c r="AD143" s="1868">
        <v>12.83704</v>
      </c>
      <c r="AE143" s="1868">
        <v>13.06615</v>
      </c>
      <c r="AF143" s="1868">
        <v>13.456729999999999</v>
      </c>
      <c r="AG143" s="1868">
        <v>12.929930000000001</v>
      </c>
      <c r="AH143" s="1868">
        <v>12.974839999999999</v>
      </c>
      <c r="AI143" s="1868">
        <v>13.23766</v>
      </c>
      <c r="AJ143" s="1868">
        <v>13.200620000000001</v>
      </c>
      <c r="AK143" s="1868">
        <v>12.922080000000001</v>
      </c>
      <c r="AL143" s="1868">
        <v>12.67343</v>
      </c>
      <c r="AM143" s="1868">
        <v>12.961839999999999</v>
      </c>
      <c r="AN143" s="1868">
        <v>13.439450000000001</v>
      </c>
      <c r="AO143" s="1868">
        <v>13.598989999999999</v>
      </c>
      <c r="AP143" s="1868">
        <v>13.72226</v>
      </c>
      <c r="AQ143" s="1868">
        <v>14.4847</v>
      </c>
      <c r="AR143" s="1868">
        <v>15.029320000000002</v>
      </c>
      <c r="AS143" s="1868">
        <v>15.1013</v>
      </c>
      <c r="AT143" s="1868">
        <v>16.310199999999998</v>
      </c>
      <c r="AU143" s="1868">
        <v>16.992989999999999</v>
      </c>
      <c r="AV143" s="1868">
        <v>16.634049999999998</v>
      </c>
      <c r="AW143" s="1868">
        <v>18.2896</v>
      </c>
      <c r="AX143" s="1868">
        <v>19.12932</v>
      </c>
      <c r="AY143" s="1868">
        <v>19.228939999999998</v>
      </c>
      <c r="AZ143" s="1868">
        <v>20.119250000000001</v>
      </c>
      <c r="BA143" s="1868">
        <v>19.215979999999998</v>
      </c>
    </row>
    <row r="144" spans="1:53">
      <c r="A144" s="1865" t="str">
        <f t="shared" si="2"/>
        <v>AsiaCauliflowers and broccoli</v>
      </c>
      <c r="B144" s="1866" t="s">
        <v>433</v>
      </c>
      <c r="C144" s="1866" t="s">
        <v>1369</v>
      </c>
      <c r="D144" s="1868">
        <v>10.20477</v>
      </c>
      <c r="E144" s="1868">
        <v>10.372299999999999</v>
      </c>
      <c r="F144" s="1868">
        <v>9.9457699999999996</v>
      </c>
      <c r="G144" s="1868">
        <v>9.9778099999999998</v>
      </c>
      <c r="H144" s="1868">
        <v>10.363860000000001</v>
      </c>
      <c r="I144" s="1868">
        <v>10.08085</v>
      </c>
      <c r="J144" s="1868">
        <v>10.51385</v>
      </c>
      <c r="K144" s="1868">
        <v>10.553610000000001</v>
      </c>
      <c r="L144" s="1868">
        <v>10.91709</v>
      </c>
      <c r="M144" s="1868">
        <v>10.62003</v>
      </c>
      <c r="N144" s="1868">
        <v>10.890830000000001</v>
      </c>
      <c r="O144" s="1868">
        <v>11.0684</v>
      </c>
      <c r="P144" s="1868">
        <v>11.022069999999999</v>
      </c>
      <c r="Q144" s="1868">
        <v>11.7094</v>
      </c>
      <c r="R144" s="1868">
        <v>11.86786</v>
      </c>
      <c r="S144" s="1868">
        <v>11.837669999999999</v>
      </c>
      <c r="T144" s="1868">
        <v>11.768460000000001</v>
      </c>
      <c r="U144" s="1868">
        <v>12.00751</v>
      </c>
      <c r="V144" s="1868">
        <v>12.414429999999999</v>
      </c>
      <c r="W144" s="1868">
        <v>12.676060000000001</v>
      </c>
      <c r="X144" s="1868">
        <v>13.01022</v>
      </c>
      <c r="Y144" s="1868">
        <v>13.618779999999999</v>
      </c>
      <c r="Z144" s="1868">
        <v>13.707739999999999</v>
      </c>
      <c r="AA144" s="1868">
        <v>14.23901</v>
      </c>
      <c r="AB144" s="1868">
        <v>14.268610000000001</v>
      </c>
      <c r="AC144" s="1868">
        <v>14.850389999999999</v>
      </c>
      <c r="AD144" s="1868">
        <v>15.175420000000001</v>
      </c>
      <c r="AE144" s="1868">
        <v>15.43648</v>
      </c>
      <c r="AF144" s="1868">
        <v>15.438000000000001</v>
      </c>
      <c r="AG144" s="1868">
        <v>16.01634</v>
      </c>
      <c r="AH144" s="1868">
        <v>16.836020000000001</v>
      </c>
      <c r="AI144" s="1868">
        <v>19.76681</v>
      </c>
      <c r="AJ144" s="1868">
        <v>18.3155</v>
      </c>
      <c r="AK144" s="1868">
        <v>19.050460000000001</v>
      </c>
      <c r="AL144" s="1868">
        <v>19.483689999999999</v>
      </c>
      <c r="AM144" s="1868">
        <v>18.784510000000001</v>
      </c>
      <c r="AN144" s="1868">
        <v>19.058859999999999</v>
      </c>
      <c r="AO144" s="1868">
        <v>19.415929999999999</v>
      </c>
      <c r="AP144" s="1868">
        <v>19.507249999999999</v>
      </c>
      <c r="AQ144" s="1868">
        <v>20.360399999999998</v>
      </c>
      <c r="AR144" s="1868">
        <v>20.011420000000001</v>
      </c>
      <c r="AS144" s="1868">
        <v>19.513939999999998</v>
      </c>
      <c r="AT144" s="1868">
        <v>19.51577</v>
      </c>
      <c r="AU144" s="1868">
        <v>19.342679999999998</v>
      </c>
      <c r="AV144" s="1868">
        <v>19.279879999999999</v>
      </c>
      <c r="AW144" s="1868">
        <v>19.074189999999998</v>
      </c>
      <c r="AX144" s="1868">
        <v>18.943939999999998</v>
      </c>
      <c r="AY144" s="1868">
        <v>19.913720000000001</v>
      </c>
      <c r="AZ144" s="1868">
        <v>19.08925</v>
      </c>
      <c r="BA144" s="1868">
        <v>18.84948</v>
      </c>
    </row>
    <row r="145" spans="1:53">
      <c r="A145" s="1865" t="str">
        <f t="shared" si="2"/>
        <v>AsiaCereals, nes</v>
      </c>
      <c r="B145" s="1866" t="s">
        <v>433</v>
      </c>
      <c r="C145" s="1866" t="s">
        <v>1370</v>
      </c>
      <c r="D145" s="1868">
        <v>0.29073000000000004</v>
      </c>
      <c r="E145" s="1868">
        <v>0.29820000000000002</v>
      </c>
      <c r="F145" s="1868">
        <v>0.25333</v>
      </c>
      <c r="G145" s="1868">
        <v>0.25223000000000001</v>
      </c>
      <c r="H145" s="1868">
        <v>0.31298999999999999</v>
      </c>
      <c r="I145" s="1868">
        <v>0.26029000000000002</v>
      </c>
      <c r="J145" s="1868">
        <v>0.33626</v>
      </c>
      <c r="K145" s="1868">
        <v>0.35725000000000001</v>
      </c>
      <c r="L145" s="1868">
        <v>0.4516</v>
      </c>
      <c r="M145" s="1868">
        <v>0.46338999999999997</v>
      </c>
      <c r="N145" s="1868">
        <v>0.53138999999999992</v>
      </c>
      <c r="O145" s="1868">
        <v>0.52817000000000003</v>
      </c>
      <c r="P145" s="1868">
        <v>0.50988999999999995</v>
      </c>
      <c r="Q145" s="1868">
        <v>0.44603000000000004</v>
      </c>
      <c r="R145" s="1868">
        <v>0.47149999999999997</v>
      </c>
      <c r="S145" s="1868">
        <v>0.42408000000000001</v>
      </c>
      <c r="T145" s="1868">
        <v>0.55742000000000003</v>
      </c>
      <c r="U145" s="1868">
        <v>0.42811000000000005</v>
      </c>
      <c r="V145" s="1868">
        <v>0.43221000000000004</v>
      </c>
      <c r="W145" s="1868">
        <v>0.56440000000000001</v>
      </c>
      <c r="X145" s="1868">
        <v>0.50368000000000002</v>
      </c>
      <c r="Y145" s="1868">
        <v>0.58767999999999998</v>
      </c>
      <c r="Z145" s="1868">
        <v>0.69113000000000002</v>
      </c>
      <c r="AA145" s="1868">
        <v>0.67298999999999998</v>
      </c>
      <c r="AB145" s="1868">
        <v>0.75878000000000001</v>
      </c>
      <c r="AC145" s="1868">
        <v>0.75071999999999994</v>
      </c>
      <c r="AD145" s="1868">
        <v>0.78686</v>
      </c>
      <c r="AE145" s="1868">
        <v>0.83392000000000011</v>
      </c>
      <c r="AF145" s="1868">
        <v>0.65953000000000006</v>
      </c>
      <c r="AG145" s="1868">
        <v>0.69289000000000001</v>
      </c>
      <c r="AH145" s="1868">
        <v>0.70135999999999998</v>
      </c>
      <c r="AI145" s="1868">
        <v>0.94330000000000003</v>
      </c>
      <c r="AJ145" s="1868">
        <v>0.77864</v>
      </c>
      <c r="AK145" s="1868">
        <v>0.91535</v>
      </c>
      <c r="AL145" s="1868">
        <v>0.65766000000000002</v>
      </c>
      <c r="AM145" s="1868">
        <v>0.86332000000000009</v>
      </c>
      <c r="AN145" s="1868">
        <v>1.02841</v>
      </c>
      <c r="AO145" s="1868">
        <v>0.92382000000000009</v>
      </c>
      <c r="AP145" s="1868">
        <v>1.2360100000000001</v>
      </c>
      <c r="AQ145" s="1868">
        <v>1.2200899999999999</v>
      </c>
      <c r="AR145" s="1868">
        <v>1.3772599999999999</v>
      </c>
      <c r="AS145" s="1868">
        <v>1.2085999999999999</v>
      </c>
      <c r="AT145" s="1868">
        <v>1.2248600000000001</v>
      </c>
      <c r="AU145" s="1868">
        <v>1.2778399999999999</v>
      </c>
      <c r="AV145" s="1868">
        <v>1.26346</v>
      </c>
      <c r="AW145" s="1868">
        <v>1.01261</v>
      </c>
      <c r="AX145" s="1868">
        <v>1.2124600000000001</v>
      </c>
      <c r="AY145" s="1868">
        <v>1.05131</v>
      </c>
      <c r="AZ145" s="1868">
        <v>0.84776000000000007</v>
      </c>
      <c r="BA145" s="1868">
        <v>1.02274</v>
      </c>
    </row>
    <row r="146" spans="1:53">
      <c r="A146" s="1865" t="str">
        <f t="shared" si="2"/>
        <v>AsiaChestnuts</v>
      </c>
      <c r="B146" s="1866" t="s">
        <v>433</v>
      </c>
      <c r="C146" s="1866" t="s">
        <v>1371</v>
      </c>
      <c r="D146" s="1868">
        <v>3.1986400000000001</v>
      </c>
      <c r="E146" s="1868">
        <v>3.1053599999999997</v>
      </c>
      <c r="F146" s="1868">
        <v>2.8321000000000001</v>
      </c>
      <c r="G146" s="1868">
        <v>2.6630700000000003</v>
      </c>
      <c r="H146" s="1868">
        <v>2.4887200000000003</v>
      </c>
      <c r="I146" s="1868">
        <v>2.56575</v>
      </c>
      <c r="J146" s="1868">
        <v>2.5817000000000001</v>
      </c>
      <c r="K146" s="1868">
        <v>3.0739400000000003</v>
      </c>
      <c r="L146" s="1868">
        <v>3.07911</v>
      </c>
      <c r="M146" s="1868">
        <v>3.0059800000000001</v>
      </c>
      <c r="N146" s="1868">
        <v>2.9799099999999998</v>
      </c>
      <c r="O146" s="1868">
        <v>3.0058099999999999</v>
      </c>
      <c r="P146" s="1868">
        <v>3.1019299999999999</v>
      </c>
      <c r="Q146" s="1868">
        <v>2.9142299999999999</v>
      </c>
      <c r="R146" s="1868">
        <v>2.7687900000000001</v>
      </c>
      <c r="S146" s="1868">
        <v>2.69421</v>
      </c>
      <c r="T146" s="1868">
        <v>2.6222099999999999</v>
      </c>
      <c r="U146" s="1868">
        <v>2.6116599999999996</v>
      </c>
      <c r="V146" s="1868">
        <v>2.5634399999999999</v>
      </c>
      <c r="W146" s="1868">
        <v>2.6535900000000003</v>
      </c>
      <c r="X146" s="1868">
        <v>2.7166099999999997</v>
      </c>
      <c r="Y146" s="1868">
        <v>2.5682299999999998</v>
      </c>
      <c r="Z146" s="1868">
        <v>2.5180500000000001</v>
      </c>
      <c r="AA146" s="1868">
        <v>2.3940799999999998</v>
      </c>
      <c r="AB146" s="1868">
        <v>1.8317299999999999</v>
      </c>
      <c r="AC146" s="1868">
        <v>1.8727599999999998</v>
      </c>
      <c r="AD146" s="1868">
        <v>2.0214699999999999</v>
      </c>
      <c r="AE146" s="1868">
        <v>2.0546000000000002</v>
      </c>
      <c r="AF146" s="1868">
        <v>1.8914</v>
      </c>
      <c r="AG146" s="1868">
        <v>2.0484100000000001</v>
      </c>
      <c r="AH146" s="1868">
        <v>2.63429</v>
      </c>
      <c r="AI146" s="1868">
        <v>2.8005599999999999</v>
      </c>
      <c r="AJ146" s="1868">
        <v>2.7299000000000002</v>
      </c>
      <c r="AK146" s="1868">
        <v>2.8827400000000001</v>
      </c>
      <c r="AL146" s="1868">
        <v>3.0041000000000002</v>
      </c>
      <c r="AM146" s="1868">
        <v>2.66404</v>
      </c>
      <c r="AN146" s="1868">
        <v>3.0344799999999998</v>
      </c>
      <c r="AO146" s="1868">
        <v>3.18045</v>
      </c>
      <c r="AP146" s="1868">
        <v>3.3719900000000003</v>
      </c>
      <c r="AQ146" s="1868">
        <v>3.60751</v>
      </c>
      <c r="AR146" s="1868">
        <v>4.2058800000000005</v>
      </c>
      <c r="AS146" s="1868">
        <v>3.6991999999999998</v>
      </c>
      <c r="AT146" s="1868">
        <v>3.8083900000000002</v>
      </c>
      <c r="AU146" s="1868">
        <v>3.9238699999999995</v>
      </c>
      <c r="AV146" s="1868">
        <v>4.14961</v>
      </c>
      <c r="AW146" s="1868">
        <v>4.0111699999999999</v>
      </c>
      <c r="AX146" s="1868">
        <v>4.1474199999999994</v>
      </c>
      <c r="AY146" s="1868">
        <v>4.42523</v>
      </c>
      <c r="AZ146" s="1868">
        <v>4.4638800000000005</v>
      </c>
      <c r="BA146" s="1868">
        <v>4.5215100000000001</v>
      </c>
    </row>
    <row r="147" spans="1:53">
      <c r="A147" s="1865" t="str">
        <f t="shared" si="2"/>
        <v>AsiaCitrus fruit, nes</v>
      </c>
      <c r="B147" s="1866" t="s">
        <v>433</v>
      </c>
      <c r="C147" s="1866" t="s">
        <v>1372</v>
      </c>
      <c r="D147" s="1868">
        <v>6.6241199999999996</v>
      </c>
      <c r="E147" s="1868">
        <v>6.0522900000000002</v>
      </c>
      <c r="F147" s="1868">
        <v>5.8592399999999998</v>
      </c>
      <c r="G147" s="1868">
        <v>6.1484699999999997</v>
      </c>
      <c r="H147" s="1868">
        <v>6.2673199999999998</v>
      </c>
      <c r="I147" s="1868">
        <v>5.3160300000000005</v>
      </c>
      <c r="J147" s="1868">
        <v>6.94557</v>
      </c>
      <c r="K147" s="1868">
        <v>8.6080500000000004</v>
      </c>
      <c r="L147" s="1868">
        <v>7.7487100000000009</v>
      </c>
      <c r="M147" s="1868">
        <v>8.2890100000000011</v>
      </c>
      <c r="N147" s="1868">
        <v>8.6114800000000002</v>
      </c>
      <c r="O147" s="1868">
        <v>9.2755700000000001</v>
      </c>
      <c r="P147" s="1868">
        <v>9.7868700000000004</v>
      </c>
      <c r="Q147" s="1868">
        <v>10.32978</v>
      </c>
      <c r="R147" s="1868">
        <v>10.28692</v>
      </c>
      <c r="S147" s="1868">
        <v>10.10638</v>
      </c>
      <c r="T147" s="1868">
        <v>10.277989999999999</v>
      </c>
      <c r="U147" s="1868">
        <v>10.612910000000001</v>
      </c>
      <c r="V147" s="1868">
        <v>10.793510000000001</v>
      </c>
      <c r="W147" s="1868">
        <v>10.09362</v>
      </c>
      <c r="X147" s="1868">
        <v>9.3206199999999999</v>
      </c>
      <c r="Y147" s="1868">
        <v>10.61632</v>
      </c>
      <c r="Z147" s="1868">
        <v>9.9564800000000009</v>
      </c>
      <c r="AA147" s="1868">
        <v>8.8949499999999997</v>
      </c>
      <c r="AB147" s="1868">
        <v>8.1388300000000005</v>
      </c>
      <c r="AC147" s="1868">
        <v>9.1334300000000006</v>
      </c>
      <c r="AD147" s="1868">
        <v>9.4708000000000006</v>
      </c>
      <c r="AE147" s="1868">
        <v>9.4833800000000004</v>
      </c>
      <c r="AF147" s="1868">
        <v>8.1180500000000002</v>
      </c>
      <c r="AG147" s="1868">
        <v>9.2810199999999998</v>
      </c>
      <c r="AH147" s="1868">
        <v>9.9245300000000007</v>
      </c>
      <c r="AI147" s="1868">
        <v>8.6202500000000004</v>
      </c>
      <c r="AJ147" s="1868">
        <v>9.1786600000000007</v>
      </c>
      <c r="AK147" s="1868">
        <v>10.603060000000001</v>
      </c>
      <c r="AL147" s="1868">
        <v>10.534180000000001</v>
      </c>
      <c r="AM147" s="1868">
        <v>10.797700000000001</v>
      </c>
      <c r="AN147" s="1868">
        <v>11.41611</v>
      </c>
      <c r="AO147" s="1868">
        <v>12.79265</v>
      </c>
      <c r="AP147" s="1868">
        <v>14.620420000000001</v>
      </c>
      <c r="AQ147" s="1868">
        <v>13.418989999999999</v>
      </c>
      <c r="AR147" s="1868">
        <v>14.652810000000001</v>
      </c>
      <c r="AS147" s="1868">
        <v>14.06775</v>
      </c>
      <c r="AT147" s="1868">
        <v>13.149220000000001</v>
      </c>
      <c r="AU147" s="1868">
        <v>14.048079999999999</v>
      </c>
      <c r="AV147" s="1868">
        <v>13.917529999999999</v>
      </c>
      <c r="AW147" s="1868">
        <v>13.193270000000002</v>
      </c>
      <c r="AX147" s="1868">
        <v>17.598929999999999</v>
      </c>
      <c r="AY147" s="1868">
        <v>18.864160000000002</v>
      </c>
      <c r="AZ147" s="1868">
        <v>20.525639999999999</v>
      </c>
      <c r="BA147" s="1868">
        <v>21.837129999999998</v>
      </c>
    </row>
    <row r="148" spans="1:53">
      <c r="A148" s="1865" t="str">
        <f t="shared" si="2"/>
        <v>AsiaCoffee, green</v>
      </c>
      <c r="B148" s="1866" t="s">
        <v>433</v>
      </c>
      <c r="C148" s="1866" t="s">
        <v>1373</v>
      </c>
      <c r="D148" s="1868">
        <v>0.53642000000000001</v>
      </c>
      <c r="E148" s="1868">
        <v>0.52700000000000002</v>
      </c>
      <c r="F148" s="1868">
        <v>0.54352</v>
      </c>
      <c r="G148" s="1868">
        <v>0.58914999999999995</v>
      </c>
      <c r="H148" s="1868">
        <v>0.57809999999999995</v>
      </c>
      <c r="I148" s="1868">
        <v>0.57473999999999992</v>
      </c>
      <c r="J148" s="1868">
        <v>0.59450999999999998</v>
      </c>
      <c r="K148" s="1868">
        <v>0.56658999999999993</v>
      </c>
      <c r="L148" s="1868">
        <v>0.64049</v>
      </c>
      <c r="M148" s="1868">
        <v>0.59808000000000006</v>
      </c>
      <c r="N148" s="1868">
        <v>0.65600999999999998</v>
      </c>
      <c r="O148" s="1868">
        <v>0.58648999999999996</v>
      </c>
      <c r="P148" s="1868">
        <v>0.62953000000000003</v>
      </c>
      <c r="Q148" s="1868">
        <v>0.62561</v>
      </c>
      <c r="R148" s="1868">
        <v>0.67022999999999999</v>
      </c>
      <c r="S148" s="1868">
        <v>0.62387999999999999</v>
      </c>
      <c r="T148" s="1868">
        <v>0.64859999999999995</v>
      </c>
      <c r="U148" s="1868">
        <v>0.71018999999999999</v>
      </c>
      <c r="V148" s="1868">
        <v>0.67925000000000002</v>
      </c>
      <c r="W148" s="1868">
        <v>0.71430000000000005</v>
      </c>
      <c r="X148" s="1868">
        <v>0.68095000000000006</v>
      </c>
      <c r="Y148" s="1868">
        <v>0.70293000000000005</v>
      </c>
      <c r="Z148" s="1868">
        <v>0.65822999999999998</v>
      </c>
      <c r="AA148" s="1868">
        <v>0.59397</v>
      </c>
      <c r="AB148" s="1868">
        <v>0.64633000000000007</v>
      </c>
      <c r="AC148" s="1868">
        <v>0.61265999999999998</v>
      </c>
      <c r="AD148" s="1868">
        <v>0.68452000000000002</v>
      </c>
      <c r="AE148" s="1868">
        <v>0.60929999999999995</v>
      </c>
      <c r="AF148" s="1868">
        <v>0.69525999999999999</v>
      </c>
      <c r="AG148" s="1868">
        <v>0.63671999999999995</v>
      </c>
      <c r="AH148" s="1868">
        <v>0.65818999999999994</v>
      </c>
      <c r="AI148" s="1868">
        <v>0.68274000000000001</v>
      </c>
      <c r="AJ148" s="1868">
        <v>0.66861000000000004</v>
      </c>
      <c r="AK148" s="1868">
        <v>0.76493999999999995</v>
      </c>
      <c r="AL148" s="1868">
        <v>0.72828999999999999</v>
      </c>
      <c r="AM148" s="1868">
        <v>0.76173000000000002</v>
      </c>
      <c r="AN148" s="1868">
        <v>0.80989999999999995</v>
      </c>
      <c r="AO148" s="1868">
        <v>0.82146000000000008</v>
      </c>
      <c r="AP148" s="1868">
        <v>0.85394999999999999</v>
      </c>
      <c r="AQ148" s="1868">
        <v>0.79344999999999999</v>
      </c>
      <c r="AR148" s="1868">
        <v>0.80526000000000009</v>
      </c>
      <c r="AS148" s="1868">
        <v>0.75497999999999998</v>
      </c>
      <c r="AT148" s="1868">
        <v>0.77583999999999997</v>
      </c>
      <c r="AU148" s="1868">
        <v>0.80832999999999999</v>
      </c>
      <c r="AV148" s="1868">
        <v>0.76743000000000006</v>
      </c>
      <c r="AW148" s="1868">
        <v>0.99762000000000006</v>
      </c>
      <c r="AX148" s="1868">
        <v>1.1291799999999999</v>
      </c>
      <c r="AY148" s="1868">
        <v>1.024</v>
      </c>
      <c r="AZ148" s="1868">
        <v>0.98526000000000002</v>
      </c>
      <c r="BA148" s="1868">
        <v>1.01559</v>
      </c>
    </row>
    <row r="149" spans="1:53">
      <c r="A149" s="1865" t="str">
        <f t="shared" si="2"/>
        <v>AsiaCow peas, dry</v>
      </c>
      <c r="B149" s="1866" t="s">
        <v>433</v>
      </c>
      <c r="C149" s="1866" t="s">
        <v>1355</v>
      </c>
      <c r="D149" s="1868">
        <v>0.76544999999999996</v>
      </c>
      <c r="E149" s="1868">
        <v>0.7429</v>
      </c>
      <c r="F149" s="1868">
        <v>0.72111999999999998</v>
      </c>
      <c r="G149" s="1868">
        <v>0.81603000000000003</v>
      </c>
      <c r="H149" s="1868">
        <v>0.77158000000000004</v>
      </c>
      <c r="I149" s="1868">
        <v>0.76461999999999997</v>
      </c>
      <c r="J149" s="1868">
        <v>0.72971000000000008</v>
      </c>
      <c r="K149" s="1868">
        <v>0.79381999999999997</v>
      </c>
      <c r="L149" s="1868">
        <v>0.73456999999999995</v>
      </c>
      <c r="M149" s="1868">
        <v>0.77486999999999995</v>
      </c>
      <c r="N149" s="1868">
        <v>0.64344999999999997</v>
      </c>
      <c r="O149" s="1868">
        <v>0.68498000000000003</v>
      </c>
      <c r="P149" s="1868">
        <v>0.69079000000000002</v>
      </c>
      <c r="Q149" s="1868">
        <v>0.63307000000000002</v>
      </c>
      <c r="R149" s="1868">
        <v>0.68125000000000002</v>
      </c>
      <c r="S149" s="1868">
        <v>0.60943999999999998</v>
      </c>
      <c r="T149" s="1868">
        <v>0.66236000000000006</v>
      </c>
      <c r="U149" s="1868">
        <v>0.70963999999999994</v>
      </c>
      <c r="V149" s="1868">
        <v>0.58045000000000002</v>
      </c>
      <c r="W149" s="1868">
        <v>0.71199000000000001</v>
      </c>
      <c r="X149" s="1868">
        <v>0.79353000000000007</v>
      </c>
      <c r="Y149" s="1868">
        <v>0.75234000000000001</v>
      </c>
      <c r="Z149" s="1868">
        <v>0.56147999999999998</v>
      </c>
      <c r="AA149" s="1868">
        <v>0.63278999999999996</v>
      </c>
      <c r="AB149" s="1868">
        <v>0.71872000000000003</v>
      </c>
      <c r="AC149" s="1868">
        <v>0.75185000000000002</v>
      </c>
      <c r="AD149" s="1868">
        <v>0.72494999999999998</v>
      </c>
      <c r="AE149" s="1868">
        <v>0.74746999999999997</v>
      </c>
      <c r="AF149" s="1868">
        <v>0.58653999999999995</v>
      </c>
      <c r="AG149" s="1868">
        <v>0.68196000000000001</v>
      </c>
      <c r="AH149" s="1868">
        <v>0.68037000000000003</v>
      </c>
      <c r="AI149" s="1868">
        <v>0.69352000000000003</v>
      </c>
      <c r="AJ149" s="1868">
        <v>0.67274999999999996</v>
      </c>
      <c r="AK149" s="1868">
        <v>0.69843999999999995</v>
      </c>
      <c r="AL149" s="1868">
        <v>0.70121</v>
      </c>
      <c r="AM149" s="1868">
        <v>0.70167999999999997</v>
      </c>
      <c r="AN149" s="1868">
        <v>0.74431000000000003</v>
      </c>
      <c r="AO149" s="1868">
        <v>0.79479</v>
      </c>
      <c r="AP149" s="1868">
        <v>0.65727000000000002</v>
      </c>
      <c r="AQ149" s="1868">
        <v>0.76188</v>
      </c>
      <c r="AR149" s="1868">
        <v>0.79925000000000002</v>
      </c>
      <c r="AS149" s="1868">
        <v>0.81789000000000001</v>
      </c>
      <c r="AT149" s="1868">
        <v>0.95487999999999995</v>
      </c>
      <c r="AU149" s="1868">
        <v>0.92701</v>
      </c>
      <c r="AV149" s="1868">
        <v>0.93266000000000004</v>
      </c>
      <c r="AW149" s="1868">
        <v>0.99329999999999996</v>
      </c>
      <c r="AX149" s="1868">
        <v>1.0346600000000001</v>
      </c>
      <c r="AY149" s="1868">
        <v>1.11154</v>
      </c>
      <c r="AZ149" s="1868">
        <v>1.12853</v>
      </c>
      <c r="BA149" s="1868">
        <v>1.32962</v>
      </c>
    </row>
    <row r="150" spans="1:53">
      <c r="A150" s="1865" t="str">
        <f t="shared" si="2"/>
        <v>AsiaDates</v>
      </c>
      <c r="B150" s="1866" t="s">
        <v>433</v>
      </c>
      <c r="C150" s="1866" t="s">
        <v>1374</v>
      </c>
      <c r="D150" s="1868">
        <v>7.2642600000000002</v>
      </c>
      <c r="E150" s="1868">
        <v>7.7530800000000006</v>
      </c>
      <c r="F150" s="1868">
        <v>7.1398199999999994</v>
      </c>
      <c r="G150" s="1868">
        <v>6.8637100000000002</v>
      </c>
      <c r="H150" s="1868">
        <v>6.8641100000000002</v>
      </c>
      <c r="I150" s="1868">
        <v>7.3968999999999996</v>
      </c>
      <c r="J150" s="1868">
        <v>6.9689899999999998</v>
      </c>
      <c r="K150" s="1868">
        <v>6.4477599999999997</v>
      </c>
      <c r="L150" s="1868">
        <v>7.9764300000000006</v>
      </c>
      <c r="M150" s="1868">
        <v>7.0972800000000005</v>
      </c>
      <c r="N150" s="1868">
        <v>7.6210699999999996</v>
      </c>
      <c r="O150" s="1868">
        <v>6.7779800000000003</v>
      </c>
      <c r="P150" s="1868">
        <v>7.5029100000000009</v>
      </c>
      <c r="Q150" s="1868">
        <v>6.7657999999999996</v>
      </c>
      <c r="R150" s="1868">
        <v>7.4674300000000002</v>
      </c>
      <c r="S150" s="1868">
        <v>6.3233699999999997</v>
      </c>
      <c r="T150" s="1868">
        <v>8.2119300000000006</v>
      </c>
      <c r="U150" s="1868">
        <v>7.1139399999999995</v>
      </c>
      <c r="V150" s="1868">
        <v>7.6404899999999998</v>
      </c>
      <c r="W150" s="1868">
        <v>7.4440600000000003</v>
      </c>
      <c r="X150" s="1868">
        <v>6.2731900000000005</v>
      </c>
      <c r="Y150" s="1868">
        <v>5.9039299999999999</v>
      </c>
      <c r="Z150" s="1868">
        <v>6.8448199999999995</v>
      </c>
      <c r="AA150" s="1868">
        <v>6.5723399999999996</v>
      </c>
      <c r="AB150" s="1868">
        <v>4.8269000000000002</v>
      </c>
      <c r="AC150" s="1868">
        <v>4.7731000000000003</v>
      </c>
      <c r="AD150" s="1868">
        <v>4.8675199999999998</v>
      </c>
      <c r="AE150" s="1868">
        <v>5.0498400000000006</v>
      </c>
      <c r="AF150" s="1868">
        <v>5.1363300000000001</v>
      </c>
      <c r="AG150" s="1868">
        <v>5.1573400000000005</v>
      </c>
      <c r="AH150" s="1868">
        <v>5.3659300000000005</v>
      </c>
      <c r="AI150" s="1868">
        <v>5.1204499999999999</v>
      </c>
      <c r="AJ150" s="1868">
        <v>5.7594900000000004</v>
      </c>
      <c r="AK150" s="1868">
        <v>5.5480199999999993</v>
      </c>
      <c r="AL150" s="1868">
        <v>5.7646100000000002</v>
      </c>
      <c r="AM150" s="1868">
        <v>5.5121799999999999</v>
      </c>
      <c r="AN150" s="1868">
        <v>5.4000699999999995</v>
      </c>
      <c r="AO150" s="1868">
        <v>5.80382</v>
      </c>
      <c r="AP150" s="1868">
        <v>5.4730400000000001</v>
      </c>
      <c r="AQ150" s="1868">
        <v>5.6749599999999996</v>
      </c>
      <c r="AR150" s="1868">
        <v>5.9060499999999996</v>
      </c>
      <c r="AS150" s="1868">
        <v>5.7935400000000001</v>
      </c>
      <c r="AT150" s="1868">
        <v>5.52501</v>
      </c>
      <c r="AU150" s="1868">
        <v>5.2404800000000007</v>
      </c>
      <c r="AV150" s="1868">
        <v>5.34084</v>
      </c>
      <c r="AW150" s="1868">
        <v>4.9545599999999999</v>
      </c>
      <c r="AX150" s="1868">
        <v>5.2942200000000001</v>
      </c>
      <c r="AY150" s="1868">
        <v>5.8592599999999999</v>
      </c>
      <c r="AZ150" s="1868">
        <v>6.00718</v>
      </c>
      <c r="BA150" s="1868">
        <v>7.0151000000000003</v>
      </c>
    </row>
    <row r="151" spans="1:53">
      <c r="A151" s="1865" t="str">
        <f t="shared" si="2"/>
        <v>AsiaEggplants (aubergines)</v>
      </c>
      <c r="B151" s="1866" t="s">
        <v>433</v>
      </c>
      <c r="C151" s="1866" t="s">
        <v>1375</v>
      </c>
      <c r="D151" s="1868">
        <v>8.4614799999999999</v>
      </c>
      <c r="E151" s="1868">
        <v>8.9051399999999994</v>
      </c>
      <c r="F151" s="1868">
        <v>9.1981899999999985</v>
      </c>
      <c r="G151" s="1868">
        <v>9.2298600000000004</v>
      </c>
      <c r="H151" s="1868">
        <v>9.4838699999999996</v>
      </c>
      <c r="I151" s="1868">
        <v>9.6883600000000012</v>
      </c>
      <c r="J151" s="1868">
        <v>9.9369399999999999</v>
      </c>
      <c r="K151" s="1868">
        <v>10.287839999999999</v>
      </c>
      <c r="L151" s="1868">
        <v>10.403589999999999</v>
      </c>
      <c r="M151" s="1868">
        <v>10.54135</v>
      </c>
      <c r="N151" s="1868">
        <v>10.82823</v>
      </c>
      <c r="O151" s="1868">
        <v>10.4185</v>
      </c>
      <c r="P151" s="1868">
        <v>10.998439999999999</v>
      </c>
      <c r="Q151" s="1868">
        <v>11.17939</v>
      </c>
      <c r="R151" s="1868">
        <v>11.08719</v>
      </c>
      <c r="S151" s="1868">
        <v>10.67109</v>
      </c>
      <c r="T151" s="1868">
        <v>10.864469999999999</v>
      </c>
      <c r="U151" s="1868">
        <v>10.709149999999999</v>
      </c>
      <c r="V151" s="1868">
        <v>10.976929999999999</v>
      </c>
      <c r="W151" s="1868">
        <v>10.788639999999999</v>
      </c>
      <c r="X151" s="1868">
        <v>11.34651</v>
      </c>
      <c r="Y151" s="1868">
        <v>11.09628</v>
      </c>
      <c r="Z151" s="1868">
        <v>11.45665</v>
      </c>
      <c r="AA151" s="1868">
        <v>11.31338</v>
      </c>
      <c r="AB151" s="1868">
        <v>11.36035</v>
      </c>
      <c r="AC151" s="1868">
        <v>11.60361</v>
      </c>
      <c r="AD151" s="1868">
        <v>11.595139999999999</v>
      </c>
      <c r="AE151" s="1868">
        <v>11.95828</v>
      </c>
      <c r="AF151" s="1868">
        <v>11.55301</v>
      </c>
      <c r="AG151" s="1868">
        <v>12.97587</v>
      </c>
      <c r="AH151" s="1868">
        <v>13.456629999999999</v>
      </c>
      <c r="AI151" s="1868">
        <v>15.560929999999999</v>
      </c>
      <c r="AJ151" s="1868">
        <v>17.536300000000001</v>
      </c>
      <c r="AK151" s="1868">
        <v>16.277850000000001</v>
      </c>
      <c r="AL151" s="1868">
        <v>16.100349999999999</v>
      </c>
      <c r="AM151" s="1868">
        <v>16.171379999999999</v>
      </c>
      <c r="AN151" s="1868">
        <v>15.972579999999999</v>
      </c>
      <c r="AO151" s="1868">
        <v>16.872429999999998</v>
      </c>
      <c r="AP151" s="1868">
        <v>18.61326</v>
      </c>
      <c r="AQ151" s="1868">
        <v>17.741120000000002</v>
      </c>
      <c r="AR151" s="1868">
        <v>17.213550000000001</v>
      </c>
      <c r="AS151" s="1868">
        <v>17.857429999999997</v>
      </c>
      <c r="AT151" s="1868">
        <v>17.496479999999998</v>
      </c>
      <c r="AU151" s="1868">
        <v>17.49699</v>
      </c>
      <c r="AV151" s="1868">
        <v>17.392789999999998</v>
      </c>
      <c r="AW151" s="1868">
        <v>17.32667</v>
      </c>
      <c r="AX151" s="1868">
        <v>22.917289999999998</v>
      </c>
      <c r="AY151" s="1868">
        <v>25.252279999999999</v>
      </c>
      <c r="AZ151" s="1868">
        <v>25.944990000000001</v>
      </c>
      <c r="BA151" s="1868">
        <v>25.126839999999998</v>
      </c>
    </row>
    <row r="152" spans="1:53">
      <c r="A152" s="1865" t="str">
        <f t="shared" si="2"/>
        <v>AsiaFibre Crops Nes</v>
      </c>
      <c r="B152" s="1866" t="s">
        <v>433</v>
      </c>
      <c r="C152" s="1866" t="s">
        <v>1376</v>
      </c>
      <c r="D152" s="1868">
        <v>3.8644699999999998</v>
      </c>
      <c r="E152" s="1868">
        <v>4.1531699999999994</v>
      </c>
      <c r="F152" s="1868">
        <v>4.1237199999999996</v>
      </c>
      <c r="G152" s="1868">
        <v>4.0384599999999997</v>
      </c>
      <c r="H152" s="1868">
        <v>4.0154500000000004</v>
      </c>
      <c r="I152" s="1868">
        <v>4.1808199999999998</v>
      </c>
      <c r="J152" s="1868">
        <v>4.3553499999999996</v>
      </c>
      <c r="K152" s="1868">
        <v>4.6421400000000004</v>
      </c>
      <c r="L152" s="1868">
        <v>4.3035399999999999</v>
      </c>
      <c r="M152" s="1868">
        <v>4.3603699999999996</v>
      </c>
      <c r="N152" s="1868">
        <v>4.4830199999999998</v>
      </c>
      <c r="O152" s="1868">
        <v>4.6019300000000003</v>
      </c>
      <c r="P152" s="1868">
        <v>4.4424800000000007</v>
      </c>
      <c r="Q152" s="1868">
        <v>4.6646300000000007</v>
      </c>
      <c r="R152" s="1868">
        <v>4.6656699999999995</v>
      </c>
      <c r="S152" s="1868">
        <v>5.0364500000000003</v>
      </c>
      <c r="T152" s="1868">
        <v>4.8691900000000006</v>
      </c>
      <c r="U152" s="1868">
        <v>4.9634599999999995</v>
      </c>
      <c r="V152" s="1868">
        <v>5.1471900000000002</v>
      </c>
      <c r="W152" s="1868">
        <v>4.9995099999999999</v>
      </c>
      <c r="X152" s="1868">
        <v>4.8463199999999995</v>
      </c>
      <c r="Y152" s="1868">
        <v>4.9603400000000004</v>
      </c>
      <c r="Z152" s="1868">
        <v>4.8990900000000002</v>
      </c>
      <c r="AA152" s="1868">
        <v>5.1206699999999996</v>
      </c>
      <c r="AB152" s="1868">
        <v>5.3610100000000003</v>
      </c>
      <c r="AC152" s="1868">
        <v>5.2189899999999998</v>
      </c>
      <c r="AD152" s="1868">
        <v>5.4294799999999999</v>
      </c>
      <c r="AE152" s="1868">
        <v>4.2604699999999998</v>
      </c>
      <c r="AF152" s="1868">
        <v>4.7471500000000004</v>
      </c>
      <c r="AG152" s="1868">
        <v>4.5066300000000004</v>
      </c>
      <c r="AH152" s="1868">
        <v>4.5707000000000004</v>
      </c>
      <c r="AI152" s="1868">
        <v>5.6678699999999997</v>
      </c>
      <c r="AJ152" s="1868">
        <v>5.3968499999999997</v>
      </c>
      <c r="AK152" s="1868">
        <v>4.9912000000000001</v>
      </c>
      <c r="AL152" s="1868">
        <v>5.57151</v>
      </c>
      <c r="AM152" s="1868">
        <v>4.5447600000000001</v>
      </c>
      <c r="AN152" s="1868">
        <v>5.6676000000000002</v>
      </c>
      <c r="AO152" s="1868">
        <v>5.3924799999999999</v>
      </c>
      <c r="AP152" s="1868">
        <v>5.2554600000000002</v>
      </c>
      <c r="AQ152" s="1868">
        <v>4.9258100000000002</v>
      </c>
      <c r="AR152" s="1868">
        <v>4.9778500000000001</v>
      </c>
      <c r="AS152" s="1868">
        <v>5.63673</v>
      </c>
      <c r="AT152" s="1868">
        <v>5.57247</v>
      </c>
      <c r="AU152" s="1868">
        <v>5.7135800000000003</v>
      </c>
      <c r="AV152" s="1868">
        <v>5.2101800000000003</v>
      </c>
      <c r="AW152" s="1868">
        <v>5.8869199999999999</v>
      </c>
      <c r="AX152" s="1868">
        <v>5.8177300000000001</v>
      </c>
      <c r="AY152" s="1868">
        <v>5.8133499999999998</v>
      </c>
      <c r="AZ152" s="1868">
        <v>5.8019400000000001</v>
      </c>
      <c r="BA152" s="1868">
        <v>6.0247299999999999</v>
      </c>
    </row>
    <row r="153" spans="1:53">
      <c r="A153" s="1865" t="str">
        <f t="shared" si="2"/>
        <v>AsiaGrapefruit (inc. pomelos)</v>
      </c>
      <c r="B153" s="1866" t="s">
        <v>433</v>
      </c>
      <c r="C153" s="1866" t="s">
        <v>1377</v>
      </c>
      <c r="D153" s="1868">
        <v>7.1037100000000004</v>
      </c>
      <c r="E153" s="1868">
        <v>7.7278699999999994</v>
      </c>
      <c r="F153" s="1868">
        <v>8.8319700000000001</v>
      </c>
      <c r="G153" s="1868">
        <v>10.145630000000001</v>
      </c>
      <c r="H153" s="1868">
        <v>10.378789999999999</v>
      </c>
      <c r="I153" s="1868">
        <v>10.6404</v>
      </c>
      <c r="J153" s="1868">
        <v>12.814069999999999</v>
      </c>
      <c r="K153" s="1868">
        <v>14.10258</v>
      </c>
      <c r="L153" s="1868">
        <v>13.757970000000002</v>
      </c>
      <c r="M153" s="1868">
        <v>14.914729999999999</v>
      </c>
      <c r="N153" s="1868">
        <v>17.368040000000001</v>
      </c>
      <c r="O153" s="1868">
        <v>16.524889999999999</v>
      </c>
      <c r="P153" s="1868">
        <v>17.272120000000001</v>
      </c>
      <c r="Q153" s="1868">
        <v>16.95149</v>
      </c>
      <c r="R153" s="1868">
        <v>17.491420000000002</v>
      </c>
      <c r="S153" s="1868">
        <v>18.29</v>
      </c>
      <c r="T153" s="1868">
        <v>20.218679999999999</v>
      </c>
      <c r="U153" s="1868">
        <v>18.878120000000003</v>
      </c>
      <c r="V153" s="1868">
        <v>20.053339999999999</v>
      </c>
      <c r="W153" s="1868">
        <v>20.05162</v>
      </c>
      <c r="X153" s="1868">
        <v>18.57085</v>
      </c>
      <c r="Y153" s="1868">
        <v>19.650120000000001</v>
      </c>
      <c r="Z153" s="1868">
        <v>17.656470000000002</v>
      </c>
      <c r="AA153" s="1868">
        <v>17.149450000000002</v>
      </c>
      <c r="AB153" s="1868">
        <v>15.195929999999999</v>
      </c>
      <c r="AC153" s="1868">
        <v>14.80308</v>
      </c>
      <c r="AD153" s="1868">
        <v>14.46119</v>
      </c>
      <c r="AE153" s="1868">
        <v>13.369979999999998</v>
      </c>
      <c r="AF153" s="1868">
        <v>12.946300000000001</v>
      </c>
      <c r="AG153" s="1868">
        <v>13.42235</v>
      </c>
      <c r="AH153" s="1868">
        <v>14.301920000000001</v>
      </c>
      <c r="AI153" s="1868">
        <v>12.40179</v>
      </c>
      <c r="AJ153" s="1868">
        <v>13.713900000000001</v>
      </c>
      <c r="AK153" s="1868">
        <v>13.00644</v>
      </c>
      <c r="AL153" s="1868">
        <v>14.346670000000001</v>
      </c>
      <c r="AM153" s="1868">
        <v>13.49559</v>
      </c>
      <c r="AN153" s="1868">
        <v>13.410079999999999</v>
      </c>
      <c r="AO153" s="1868">
        <v>13.2399</v>
      </c>
      <c r="AP153" s="1868">
        <v>14.36253</v>
      </c>
      <c r="AQ153" s="1868">
        <v>11.66907</v>
      </c>
      <c r="AR153" s="1868">
        <v>12.670999999999999</v>
      </c>
      <c r="AS153" s="1868">
        <v>12.02924</v>
      </c>
      <c r="AT153" s="1868">
        <v>12.743119999999999</v>
      </c>
      <c r="AU153" s="1868">
        <v>12.62313</v>
      </c>
      <c r="AV153" s="1868">
        <v>12.33098</v>
      </c>
      <c r="AW153" s="1868">
        <v>13.10342</v>
      </c>
      <c r="AX153" s="1868">
        <v>26.823149999999998</v>
      </c>
      <c r="AY153" s="1868">
        <v>28.749459999999999</v>
      </c>
      <c r="AZ153" s="1868">
        <v>29.538320000000002</v>
      </c>
      <c r="BA153" s="1868">
        <v>30.200329999999997</v>
      </c>
    </row>
    <row r="154" spans="1:53">
      <c r="A154" s="1865" t="str">
        <f t="shared" si="2"/>
        <v>AsiaGrapes</v>
      </c>
      <c r="B154" s="1866" t="s">
        <v>433</v>
      </c>
      <c r="C154" s="1866" t="s">
        <v>1378</v>
      </c>
      <c r="D154" s="1868">
        <v>4.2571099999999999</v>
      </c>
      <c r="E154" s="1868">
        <v>4.3621999999999996</v>
      </c>
      <c r="F154" s="1868">
        <v>3.6325099999999999</v>
      </c>
      <c r="G154" s="1868">
        <v>3.9090400000000001</v>
      </c>
      <c r="H154" s="1868">
        <v>4.4225000000000003</v>
      </c>
      <c r="I154" s="1868">
        <v>4.1365400000000001</v>
      </c>
      <c r="J154" s="1868">
        <v>4.5480700000000001</v>
      </c>
      <c r="K154" s="1868">
        <v>4.6980599999999999</v>
      </c>
      <c r="L154" s="1868">
        <v>4.7101899999999999</v>
      </c>
      <c r="M154" s="1868">
        <v>4.78376</v>
      </c>
      <c r="N154" s="1868">
        <v>4.7440600000000002</v>
      </c>
      <c r="O154" s="1868">
        <v>4.5553400000000002</v>
      </c>
      <c r="P154" s="1868">
        <v>4.5027300000000006</v>
      </c>
      <c r="Q154" s="1868">
        <v>4.68499</v>
      </c>
      <c r="R154" s="1868">
        <v>4.7097199999999999</v>
      </c>
      <c r="S154" s="1868">
        <v>4.7482699999999998</v>
      </c>
      <c r="T154" s="1868">
        <v>4.8768000000000002</v>
      </c>
      <c r="U154" s="1868">
        <v>5.1904699999999995</v>
      </c>
      <c r="V154" s="1868">
        <v>4.9081000000000001</v>
      </c>
      <c r="W154" s="1868">
        <v>5.15801</v>
      </c>
      <c r="X154" s="1868">
        <v>5.6256500000000003</v>
      </c>
      <c r="Y154" s="1868">
        <v>6.3619699999999995</v>
      </c>
      <c r="Z154" s="1868">
        <v>6.1084100000000001</v>
      </c>
      <c r="AA154" s="1868">
        <v>6.3024100000000001</v>
      </c>
      <c r="AB154" s="1868">
        <v>6.4046099999999999</v>
      </c>
      <c r="AC154" s="1868">
        <v>6.1831899999999997</v>
      </c>
      <c r="AD154" s="1868">
        <v>6.4164099999999999</v>
      </c>
      <c r="AE154" s="1868">
        <v>6.8508500000000003</v>
      </c>
      <c r="AF154" s="1868">
        <v>6.6003999999999996</v>
      </c>
      <c r="AG154" s="1868">
        <v>6.870610000000001</v>
      </c>
      <c r="AH154" s="1868">
        <v>7.1845399999999993</v>
      </c>
      <c r="AI154" s="1868">
        <v>6.5068099999999998</v>
      </c>
      <c r="AJ154" s="1868">
        <v>7.1555899999999992</v>
      </c>
      <c r="AK154" s="1868">
        <v>6.9659500000000003</v>
      </c>
      <c r="AL154" s="1868">
        <v>7.6113399999999993</v>
      </c>
      <c r="AM154" s="1868">
        <v>7.7262699999999995</v>
      </c>
      <c r="AN154" s="1868">
        <v>7.8799899999999994</v>
      </c>
      <c r="AO154" s="1868">
        <v>8.2217300000000009</v>
      </c>
      <c r="AP154" s="1868">
        <v>8.1167699999999989</v>
      </c>
      <c r="AQ154" s="1868">
        <v>8.75671</v>
      </c>
      <c r="AR154" s="1868">
        <v>8.4248600000000007</v>
      </c>
      <c r="AS154" s="1868">
        <v>9.0646599999999999</v>
      </c>
      <c r="AT154" s="1868">
        <v>9.1903899999999989</v>
      </c>
      <c r="AU154" s="1868">
        <v>9.5141500000000008</v>
      </c>
      <c r="AV154" s="1868">
        <v>10.115550000000001</v>
      </c>
      <c r="AW154" s="1868">
        <v>10.35552</v>
      </c>
      <c r="AX154" s="1868">
        <v>10.296569999999999</v>
      </c>
      <c r="AY154" s="1868">
        <v>11.136430000000001</v>
      </c>
      <c r="AZ154" s="1868">
        <v>10.323119999999999</v>
      </c>
      <c r="BA154" s="1868">
        <v>11.09023</v>
      </c>
    </row>
    <row r="155" spans="1:53">
      <c r="A155" s="1865" t="str">
        <f t="shared" si="2"/>
        <v>AsiaGroundnuts, with shell</v>
      </c>
      <c r="B155" s="1866" t="s">
        <v>433</v>
      </c>
      <c r="C155" s="1866" t="s">
        <v>1379</v>
      </c>
      <c r="D155" s="1868">
        <v>0.78903999999999996</v>
      </c>
      <c r="E155" s="1868">
        <v>0.76117999999999997</v>
      </c>
      <c r="F155" s="1868">
        <v>0.83248999999999995</v>
      </c>
      <c r="G155" s="1868">
        <v>0.86346000000000001</v>
      </c>
      <c r="H155" s="1868">
        <v>0.69479000000000002</v>
      </c>
      <c r="I155" s="1868">
        <v>0.76751000000000003</v>
      </c>
      <c r="J155" s="1868">
        <v>0.86263999999999996</v>
      </c>
      <c r="K155" s="1868">
        <v>0.79011000000000009</v>
      </c>
      <c r="L155" s="1868">
        <v>0.82130999999999998</v>
      </c>
      <c r="M155" s="1868">
        <v>0.93810000000000004</v>
      </c>
      <c r="N155" s="1868">
        <v>0.92837999999999987</v>
      </c>
      <c r="O155" s="1868">
        <v>0.75407000000000002</v>
      </c>
      <c r="P155" s="1868">
        <v>0.93272999999999995</v>
      </c>
      <c r="Q155" s="1868">
        <v>0.85742999999999991</v>
      </c>
      <c r="R155" s="1868">
        <v>1.00518</v>
      </c>
      <c r="S155" s="1868">
        <v>0.84178999999999993</v>
      </c>
      <c r="T155" s="1868">
        <v>0.9539200000000001</v>
      </c>
      <c r="U155" s="1868">
        <v>0.96919999999999995</v>
      </c>
      <c r="V155" s="1868">
        <v>0.96632000000000007</v>
      </c>
      <c r="W155" s="1868">
        <v>0.98250999999999999</v>
      </c>
      <c r="X155" s="1868">
        <v>1.1384399999999999</v>
      </c>
      <c r="Y155" s="1868">
        <v>1.00207</v>
      </c>
      <c r="Z155" s="1868">
        <v>1.1539700000000002</v>
      </c>
      <c r="AA155" s="1868">
        <v>1.19852</v>
      </c>
      <c r="AB155" s="1868">
        <v>1.16231</v>
      </c>
      <c r="AC155" s="1868">
        <v>1.1839999999999999</v>
      </c>
      <c r="AD155" s="1868">
        <v>1.23613</v>
      </c>
      <c r="AE155" s="1868">
        <v>1.33602</v>
      </c>
      <c r="AF155" s="1868">
        <v>1.1752100000000001</v>
      </c>
      <c r="AG155" s="1868">
        <v>1.25244</v>
      </c>
      <c r="AH155" s="1868">
        <v>1.1884600000000001</v>
      </c>
      <c r="AI155" s="1868">
        <v>1.3125</v>
      </c>
      <c r="AJ155" s="1868">
        <v>1.3891799999999999</v>
      </c>
      <c r="AK155" s="1868">
        <v>1.5057100000000001</v>
      </c>
      <c r="AL155" s="1868">
        <v>1.53701</v>
      </c>
      <c r="AM155" s="1868">
        <v>1.6556299999999999</v>
      </c>
      <c r="AN155" s="1868">
        <v>1.57094</v>
      </c>
      <c r="AO155" s="1868">
        <v>1.7900799999999999</v>
      </c>
      <c r="AP155" s="1868">
        <v>1.5947899999999999</v>
      </c>
      <c r="AQ155" s="1868">
        <v>1.7934599999999998</v>
      </c>
      <c r="AR155" s="1868">
        <v>1.8611400000000002</v>
      </c>
      <c r="AS155" s="1868">
        <v>1.73197</v>
      </c>
      <c r="AT155" s="1868">
        <v>1.9110099999999999</v>
      </c>
      <c r="AU155" s="1868">
        <v>1.8347200000000001</v>
      </c>
      <c r="AV155" s="1868">
        <v>1.9295400000000003</v>
      </c>
      <c r="AW155" s="1868">
        <v>1.8287200000000001</v>
      </c>
      <c r="AX155" s="1868">
        <v>2.1144599999999998</v>
      </c>
      <c r="AY155" s="1868">
        <v>1.97793</v>
      </c>
      <c r="AZ155" s="1868">
        <v>1.9708000000000001</v>
      </c>
      <c r="BA155" s="1868">
        <v>2.11511</v>
      </c>
    </row>
    <row r="156" spans="1:53">
      <c r="A156" s="1865" t="str">
        <f t="shared" si="2"/>
        <v>AsiaLeguminous vegetables, nes</v>
      </c>
      <c r="B156" s="1866" t="s">
        <v>433</v>
      </c>
      <c r="C156" s="1866" t="s">
        <v>1380</v>
      </c>
      <c r="D156" s="1868">
        <v>5.77888</v>
      </c>
      <c r="E156" s="1868">
        <v>5.2190000000000003</v>
      </c>
      <c r="F156" s="1868">
        <v>4.6647300000000005</v>
      </c>
      <c r="G156" s="1868">
        <v>4.6581900000000003</v>
      </c>
      <c r="H156" s="1868">
        <v>4.8637600000000001</v>
      </c>
      <c r="I156" s="1868">
        <v>5.31508</v>
      </c>
      <c r="J156" s="1868">
        <v>4.9673099999999994</v>
      </c>
      <c r="K156" s="1868">
        <v>5.3658700000000001</v>
      </c>
      <c r="L156" s="1868">
        <v>4.9515500000000001</v>
      </c>
      <c r="M156" s="1868">
        <v>4.9270699999999996</v>
      </c>
      <c r="N156" s="1868">
        <v>5.64872</v>
      </c>
      <c r="O156" s="1868">
        <v>4.9815199999999997</v>
      </c>
      <c r="P156" s="1868">
        <v>4.7174100000000001</v>
      </c>
      <c r="Q156" s="1868">
        <v>5.3984699999999997</v>
      </c>
      <c r="R156" s="1868">
        <v>6.2778199999999993</v>
      </c>
      <c r="S156" s="1868">
        <v>5.7206199999999994</v>
      </c>
      <c r="T156" s="1868">
        <v>5.7929500000000003</v>
      </c>
      <c r="U156" s="1868">
        <v>5.7896099999999997</v>
      </c>
      <c r="V156" s="1868">
        <v>6.5558699999999996</v>
      </c>
      <c r="W156" s="1868">
        <v>6.7899799999999999</v>
      </c>
      <c r="X156" s="1868">
        <v>6.3701999999999996</v>
      </c>
      <c r="Y156" s="1868">
        <v>6.8274999999999997</v>
      </c>
      <c r="Z156" s="1868">
        <v>6.5540699999999994</v>
      </c>
      <c r="AA156" s="1868">
        <v>5.9299400000000002</v>
      </c>
      <c r="AB156" s="1868">
        <v>5.5564300000000006</v>
      </c>
      <c r="AC156" s="1868">
        <v>6.4902499999999996</v>
      </c>
      <c r="AD156" s="1868">
        <v>6.6477600000000008</v>
      </c>
      <c r="AE156" s="1868">
        <v>6.846989999999999</v>
      </c>
      <c r="AF156" s="1868">
        <v>6.1343500000000004</v>
      </c>
      <c r="AG156" s="1868">
        <v>6.9872100000000001</v>
      </c>
      <c r="AH156" s="1868">
        <v>6.7428399999999993</v>
      </c>
      <c r="AI156" s="1868">
        <v>6.8677100000000006</v>
      </c>
      <c r="AJ156" s="1868">
        <v>6.9736000000000002</v>
      </c>
      <c r="AK156" s="1868">
        <v>7.2424999999999997</v>
      </c>
      <c r="AL156" s="1868">
        <v>7.3368699999999993</v>
      </c>
      <c r="AM156" s="1868">
        <v>7.4205800000000002</v>
      </c>
      <c r="AN156" s="1868">
        <v>7.3141999999999996</v>
      </c>
      <c r="AO156" s="1868">
        <v>6.9452199999999999</v>
      </c>
      <c r="AP156" s="1868">
        <v>6.5266800000000007</v>
      </c>
      <c r="AQ156" s="1868">
        <v>6.7220300000000002</v>
      </c>
      <c r="AR156" s="1868">
        <v>6.3203899999999997</v>
      </c>
      <c r="AS156" s="1868">
        <v>7.5733800000000002</v>
      </c>
      <c r="AT156" s="1868">
        <v>7.8827300000000005</v>
      </c>
      <c r="AU156" s="1868">
        <v>7.6761800000000004</v>
      </c>
      <c r="AV156" s="1868">
        <v>7.5107200000000001</v>
      </c>
      <c r="AW156" s="1868">
        <v>8.4315300000000004</v>
      </c>
      <c r="AX156" s="1868">
        <v>8.3768399999999996</v>
      </c>
      <c r="AY156" s="1868">
        <v>8.4656699999999994</v>
      </c>
      <c r="AZ156" s="1868">
        <v>9.0117999999999991</v>
      </c>
      <c r="BA156" s="1868">
        <v>9.2342600000000008</v>
      </c>
    </row>
    <row r="157" spans="1:53">
      <c r="A157" s="1865" t="str">
        <f t="shared" si="2"/>
        <v>AsiaLinseed</v>
      </c>
      <c r="B157" s="1866" t="s">
        <v>433</v>
      </c>
      <c r="C157" s="1866" t="s">
        <v>1381</v>
      </c>
      <c r="D157" s="1868">
        <v>0.24709</v>
      </c>
      <c r="E157" s="1868">
        <v>0.25774999999999998</v>
      </c>
      <c r="F157" s="1868">
        <v>0.25176999999999999</v>
      </c>
      <c r="G157" s="1868">
        <v>0.21625999999999998</v>
      </c>
      <c r="H157" s="1868">
        <v>0.26580999999999999</v>
      </c>
      <c r="I157" s="1868">
        <v>0.22454000000000002</v>
      </c>
      <c r="J157" s="1868">
        <v>0.21339</v>
      </c>
      <c r="K157" s="1868">
        <v>0.27490999999999999</v>
      </c>
      <c r="L157" s="1868">
        <v>0.22955999999999999</v>
      </c>
      <c r="M157" s="1868">
        <v>0.28804999999999997</v>
      </c>
      <c r="N157" s="1868">
        <v>0.27311999999999997</v>
      </c>
      <c r="O157" s="1868">
        <v>0.27906999999999998</v>
      </c>
      <c r="P157" s="1868">
        <v>0.27700000000000002</v>
      </c>
      <c r="Q157" s="1868">
        <v>0.27344000000000002</v>
      </c>
      <c r="R157" s="1868">
        <v>0.29630000000000001</v>
      </c>
      <c r="S157" s="1868">
        <v>0.30515999999999999</v>
      </c>
      <c r="T157" s="1868">
        <v>0.25266</v>
      </c>
      <c r="U157" s="1868">
        <v>0.29204000000000002</v>
      </c>
      <c r="V157" s="1868">
        <v>0.29304999999999998</v>
      </c>
      <c r="W157" s="1868">
        <v>0.22689999999999999</v>
      </c>
      <c r="X157" s="1868">
        <v>0.29927999999999999</v>
      </c>
      <c r="Y157" s="1868">
        <v>0.30930000000000002</v>
      </c>
      <c r="Z157" s="1868">
        <v>0.32344000000000001</v>
      </c>
      <c r="AA157" s="1868">
        <v>0.34933000000000003</v>
      </c>
      <c r="AB157" s="1868">
        <v>0.34123000000000003</v>
      </c>
      <c r="AC157" s="1868">
        <v>0.34021000000000001</v>
      </c>
      <c r="AD157" s="1868">
        <v>0.46555000000000002</v>
      </c>
      <c r="AE157" s="1868">
        <v>0.52578000000000003</v>
      </c>
      <c r="AF157" s="1868">
        <v>0.46806000000000003</v>
      </c>
      <c r="AG157" s="1868">
        <v>0.502</v>
      </c>
      <c r="AH157" s="1868">
        <v>0.50939000000000001</v>
      </c>
      <c r="AI157" s="1868">
        <v>0.54301999999999995</v>
      </c>
      <c r="AJ157" s="1868">
        <v>0.48254999999999998</v>
      </c>
      <c r="AK157" s="1868">
        <v>0.51841999999999999</v>
      </c>
      <c r="AL157" s="1868">
        <v>0.44433</v>
      </c>
      <c r="AM157" s="1868">
        <v>0.56411999999999995</v>
      </c>
      <c r="AN157" s="1868">
        <v>0.49776999999999999</v>
      </c>
      <c r="AO157" s="1868">
        <v>0.54952000000000001</v>
      </c>
      <c r="AP157" s="1868">
        <v>0.52061999999999997</v>
      </c>
      <c r="AQ157" s="1868">
        <v>0.53428999999999993</v>
      </c>
      <c r="AR157" s="1868">
        <v>0.46636000000000005</v>
      </c>
      <c r="AS157" s="1868">
        <v>0.61985000000000001</v>
      </c>
      <c r="AT157" s="1868">
        <v>0.68906000000000001</v>
      </c>
      <c r="AU157" s="1868">
        <v>0.66748000000000007</v>
      </c>
      <c r="AV157" s="1868">
        <v>0.68047999999999997</v>
      </c>
      <c r="AW157" s="1868">
        <v>0.70243</v>
      </c>
      <c r="AX157" s="1868">
        <v>0.57181999999999999</v>
      </c>
      <c r="AY157" s="1868">
        <v>0.58146000000000009</v>
      </c>
      <c r="AZ157" s="1868">
        <v>0.61523000000000005</v>
      </c>
      <c r="BA157" s="1868">
        <v>0.57551000000000008</v>
      </c>
    </row>
    <row r="158" spans="1:53">
      <c r="A158" s="1865" t="str">
        <f t="shared" si="2"/>
        <v>AsiaMaize</v>
      </c>
      <c r="B158" s="1866" t="s">
        <v>433</v>
      </c>
      <c r="C158" s="1866" t="s">
        <v>1382</v>
      </c>
      <c r="D158" s="1868">
        <v>1.13689</v>
      </c>
      <c r="E158" s="1868">
        <v>1.1827299999999998</v>
      </c>
      <c r="F158" s="1868">
        <v>1.24187</v>
      </c>
      <c r="G158" s="1868">
        <v>1.31968</v>
      </c>
      <c r="H158" s="1868">
        <v>1.3219799999999999</v>
      </c>
      <c r="I158" s="1868">
        <v>1.4278600000000001</v>
      </c>
      <c r="J158" s="1868">
        <v>1.5737099999999999</v>
      </c>
      <c r="K158" s="1868">
        <v>1.4843299999999999</v>
      </c>
      <c r="L158" s="1868">
        <v>1.4837</v>
      </c>
      <c r="M158" s="1868">
        <v>1.6968799999999999</v>
      </c>
      <c r="N158" s="1868">
        <v>1.6808099999999999</v>
      </c>
      <c r="O158" s="1868">
        <v>1.5794299999999999</v>
      </c>
      <c r="P158" s="1868">
        <v>1.7679900000000002</v>
      </c>
      <c r="Q158" s="1868">
        <v>1.8759299999999999</v>
      </c>
      <c r="R158" s="1868">
        <v>1.9824900000000001</v>
      </c>
      <c r="S158" s="1868">
        <v>1.9669900000000002</v>
      </c>
      <c r="T158" s="1868">
        <v>1.9570700000000001</v>
      </c>
      <c r="U158" s="1868">
        <v>2.1369599999999997</v>
      </c>
      <c r="V158" s="1868">
        <v>2.2381900000000003</v>
      </c>
      <c r="W158" s="1868">
        <v>2.3235099999999997</v>
      </c>
      <c r="X158" s="1868">
        <v>2.2992499999999998</v>
      </c>
      <c r="Y158" s="1868">
        <v>2.4358200000000001</v>
      </c>
      <c r="Z158" s="1868">
        <v>2.6478299999999999</v>
      </c>
      <c r="AA158" s="1868">
        <v>2.8476900000000001</v>
      </c>
      <c r="AB158" s="1868">
        <v>2.6314599999999997</v>
      </c>
      <c r="AC158" s="1868">
        <v>2.7360700000000002</v>
      </c>
      <c r="AD158" s="1868">
        <v>2.8631799999999998</v>
      </c>
      <c r="AE158" s="1868">
        <v>2.8887900000000002</v>
      </c>
      <c r="AF158" s="1868">
        <v>2.94916</v>
      </c>
      <c r="AG158" s="1868">
        <v>3.30979</v>
      </c>
      <c r="AH158" s="1868">
        <v>3.3715999999999999</v>
      </c>
      <c r="AI158" s="1868">
        <v>3.3590499999999999</v>
      </c>
      <c r="AJ158" s="1868">
        <v>3.6202199999999998</v>
      </c>
      <c r="AK158" s="1868">
        <v>3.4684300000000001</v>
      </c>
      <c r="AL158" s="1868">
        <v>3.6023900000000002</v>
      </c>
      <c r="AM158" s="1868">
        <v>3.8544099999999997</v>
      </c>
      <c r="AN158" s="1868">
        <v>3.39635</v>
      </c>
      <c r="AO158" s="1868">
        <v>3.9849699999999997</v>
      </c>
      <c r="AP158" s="1868">
        <v>3.8106</v>
      </c>
      <c r="AQ158" s="1868">
        <v>3.5638699999999996</v>
      </c>
      <c r="AR158" s="1868">
        <v>3.7142800000000005</v>
      </c>
      <c r="AS158" s="1868">
        <v>3.8439800000000002</v>
      </c>
      <c r="AT158" s="1868">
        <v>3.8256999999999999</v>
      </c>
      <c r="AU158" s="1868">
        <v>4.04711</v>
      </c>
      <c r="AV158" s="1868">
        <v>4.1858599999999999</v>
      </c>
      <c r="AW158" s="1868">
        <v>4.2821499999999997</v>
      </c>
      <c r="AX158" s="1868">
        <v>4.2939800000000004</v>
      </c>
      <c r="AY158" s="1868">
        <v>4.5465499999999999</v>
      </c>
      <c r="AZ158" s="1868">
        <v>4.3798599999999999</v>
      </c>
      <c r="BA158" s="1868">
        <v>4.58277</v>
      </c>
    </row>
    <row r="159" spans="1:53">
      <c r="A159" s="1865" t="str">
        <f t="shared" si="2"/>
        <v>AsiaMaize, green</v>
      </c>
      <c r="B159" s="1866" t="s">
        <v>433</v>
      </c>
      <c r="C159" s="1866" t="s">
        <v>1383</v>
      </c>
      <c r="D159" s="1868">
        <v>5.3426400000000003</v>
      </c>
      <c r="E159" s="1868">
        <v>5.2146099999999995</v>
      </c>
      <c r="F159" s="1868">
        <v>5.2772600000000001</v>
      </c>
      <c r="G159" s="1868">
        <v>5.11822</v>
      </c>
      <c r="H159" s="1868">
        <v>5.0597300000000001</v>
      </c>
      <c r="I159" s="1868">
        <v>5.0695600000000001</v>
      </c>
      <c r="J159" s="1868">
        <v>5.1768000000000001</v>
      </c>
      <c r="K159" s="1868">
        <v>5.0792699999999993</v>
      </c>
      <c r="L159" s="1868">
        <v>5.0298800000000004</v>
      </c>
      <c r="M159" s="1868">
        <v>5.1011100000000003</v>
      </c>
      <c r="N159" s="1868">
        <v>4.9986199999999998</v>
      </c>
      <c r="O159" s="1868">
        <v>5.0674000000000001</v>
      </c>
      <c r="P159" s="1868">
        <v>5.0053199999999993</v>
      </c>
      <c r="Q159" s="1868">
        <v>5.0155799999999999</v>
      </c>
      <c r="R159" s="1868">
        <v>5.0199400000000001</v>
      </c>
      <c r="S159" s="1868">
        <v>5.8141099999999994</v>
      </c>
      <c r="T159" s="1868">
        <v>5.7152400000000005</v>
      </c>
      <c r="U159" s="1868">
        <v>6.2818899999999998</v>
      </c>
      <c r="V159" s="1868">
        <v>5.7819400000000005</v>
      </c>
      <c r="W159" s="1868">
        <v>5.8942699999999997</v>
      </c>
      <c r="X159" s="1868">
        <v>5.9081299999999999</v>
      </c>
      <c r="Y159" s="1868">
        <v>6.1149399999999998</v>
      </c>
      <c r="Z159" s="1868">
        <v>5.8311800000000007</v>
      </c>
      <c r="AA159" s="1868">
        <v>6.9357499999999996</v>
      </c>
      <c r="AB159" s="1868">
        <v>6.5713100000000004</v>
      </c>
      <c r="AC159" s="1868">
        <v>6.8945699999999999</v>
      </c>
      <c r="AD159" s="1868">
        <v>6.6114100000000002</v>
      </c>
      <c r="AE159" s="1868">
        <v>6.2994699999999995</v>
      </c>
      <c r="AF159" s="1868">
        <v>6.4123099999999997</v>
      </c>
      <c r="AG159" s="1868">
        <v>8.2107799999999997</v>
      </c>
      <c r="AH159" s="1868">
        <v>7.5489100000000002</v>
      </c>
      <c r="AI159" s="1868">
        <v>7.1659800000000002</v>
      </c>
      <c r="AJ159" s="1868">
        <v>5.8860299999999999</v>
      </c>
      <c r="AK159" s="1868">
        <v>5.5708500000000001</v>
      </c>
      <c r="AL159" s="1868">
        <v>5.1525699999999999</v>
      </c>
      <c r="AM159" s="1868">
        <v>4.7563900000000006</v>
      </c>
      <c r="AN159" s="1868">
        <v>5.2515400000000003</v>
      </c>
      <c r="AO159" s="1868">
        <v>4.8721199999999998</v>
      </c>
      <c r="AP159" s="1868">
        <v>5.0501199999999997</v>
      </c>
      <c r="AQ159" s="1868">
        <v>5.2083399999999997</v>
      </c>
      <c r="AR159" s="1868">
        <v>5.5676300000000003</v>
      </c>
      <c r="AS159" s="1868">
        <v>5.5728900000000001</v>
      </c>
      <c r="AT159" s="1868">
        <v>5.5458499999999997</v>
      </c>
      <c r="AU159" s="1868">
        <v>5.8688699999999994</v>
      </c>
      <c r="AV159" s="1868">
        <v>5.5301999999999998</v>
      </c>
      <c r="AW159" s="1868">
        <v>5.7193899999999998</v>
      </c>
      <c r="AX159" s="1868">
        <v>5.9069900000000004</v>
      </c>
      <c r="AY159" s="1868">
        <v>5.8963199999999993</v>
      </c>
      <c r="AZ159" s="1868">
        <v>5.7667999999999999</v>
      </c>
      <c r="BA159" s="1868">
        <v>5.1814599999999995</v>
      </c>
    </row>
    <row r="160" spans="1:53">
      <c r="A160" s="1865" t="str">
        <f t="shared" si="2"/>
        <v>AsiaMangoes, mangosteens, guavas</v>
      </c>
      <c r="B160" s="1866" t="s">
        <v>433</v>
      </c>
      <c r="C160" s="1866" t="s">
        <v>1384</v>
      </c>
      <c r="D160" s="1868">
        <v>7.8062199999999997</v>
      </c>
      <c r="E160" s="1868">
        <v>7.9659399999999998</v>
      </c>
      <c r="F160" s="1868">
        <v>7.7525300000000001</v>
      </c>
      <c r="G160" s="1868">
        <v>7.80077</v>
      </c>
      <c r="H160" s="1868">
        <v>7.7593699999999997</v>
      </c>
      <c r="I160" s="1868">
        <v>7.7420200000000001</v>
      </c>
      <c r="J160" s="1868">
        <v>7.9249300000000007</v>
      </c>
      <c r="K160" s="1868">
        <v>7.8789800000000003</v>
      </c>
      <c r="L160" s="1868">
        <v>7.6731800000000003</v>
      </c>
      <c r="M160" s="1868">
        <v>7.7393899999999993</v>
      </c>
      <c r="N160" s="1868">
        <v>7.8557699999999997</v>
      </c>
      <c r="O160" s="1868">
        <v>7.8630699999999996</v>
      </c>
      <c r="P160" s="1868">
        <v>7.9120800000000004</v>
      </c>
      <c r="Q160" s="1868">
        <v>7.8362499999999997</v>
      </c>
      <c r="R160" s="1868">
        <v>7.7305999999999999</v>
      </c>
      <c r="S160" s="1868">
        <v>7.5975899999999994</v>
      </c>
      <c r="T160" s="1868">
        <v>7.7900300000000007</v>
      </c>
      <c r="U160" s="1868">
        <v>7.7240699999999993</v>
      </c>
      <c r="V160" s="1868">
        <v>8.0817999999999994</v>
      </c>
      <c r="W160" s="1868">
        <v>7.9423100000000009</v>
      </c>
      <c r="X160" s="1868">
        <v>7.9150100000000005</v>
      </c>
      <c r="Y160" s="1868">
        <v>7.6995199999999997</v>
      </c>
      <c r="Z160" s="1868">
        <v>7.7980999999999998</v>
      </c>
      <c r="AA160" s="1868">
        <v>7.8088399999999991</v>
      </c>
      <c r="AB160" s="1868">
        <v>9.4656399999999987</v>
      </c>
      <c r="AC160" s="1868">
        <v>9.7403600000000008</v>
      </c>
      <c r="AD160" s="1868">
        <v>9.6008300000000002</v>
      </c>
      <c r="AE160" s="1868">
        <v>7.9833600000000002</v>
      </c>
      <c r="AF160" s="1868">
        <v>8.214319999999999</v>
      </c>
      <c r="AG160" s="1868">
        <v>8.6905600000000014</v>
      </c>
      <c r="AH160" s="1868">
        <v>7.3807399999999994</v>
      </c>
      <c r="AI160" s="1868">
        <v>7.2307800000000002</v>
      </c>
      <c r="AJ160" s="1868">
        <v>7.4220399999999991</v>
      </c>
      <c r="AK160" s="1868">
        <v>8.1401800000000009</v>
      </c>
      <c r="AL160" s="1868">
        <v>7.6543899999999994</v>
      </c>
      <c r="AM160" s="1868">
        <v>8.1021000000000001</v>
      </c>
      <c r="AN160" s="1868">
        <v>8.298919999999999</v>
      </c>
      <c r="AO160" s="1868">
        <v>6.7862999999999998</v>
      </c>
      <c r="AP160" s="1868">
        <v>6.8573500000000003</v>
      </c>
      <c r="AQ160" s="1868">
        <v>6.7907199999999994</v>
      </c>
      <c r="AR160" s="1868">
        <v>6.8348500000000003</v>
      </c>
      <c r="AS160" s="1868">
        <v>7.0272800000000002</v>
      </c>
      <c r="AT160" s="1868">
        <v>7.9157699999999993</v>
      </c>
      <c r="AU160" s="1868">
        <v>6.5393600000000003</v>
      </c>
      <c r="AV160" s="1868">
        <v>6.6369100000000003</v>
      </c>
      <c r="AW160" s="1868">
        <v>6.8863199999999996</v>
      </c>
      <c r="AX160" s="1868">
        <v>6.8696000000000002</v>
      </c>
      <c r="AY160" s="1868">
        <v>7.1714600000000006</v>
      </c>
      <c r="AZ160" s="1868">
        <v>6.7723000000000004</v>
      </c>
      <c r="BA160" s="1868">
        <v>7.0807899999999995</v>
      </c>
    </row>
    <row r="161" spans="1:53">
      <c r="A161" s="1865" t="str">
        <f t="shared" si="2"/>
        <v>AsiaMillet</v>
      </c>
      <c r="B161" s="1866" t="s">
        <v>433</v>
      </c>
      <c r="C161" s="1866" t="s">
        <v>1385</v>
      </c>
      <c r="D161" s="1868">
        <v>0.57574999999999998</v>
      </c>
      <c r="E161" s="1868">
        <v>0.54085000000000005</v>
      </c>
      <c r="F161" s="1868">
        <v>0.57072000000000001</v>
      </c>
      <c r="G161" s="1868">
        <v>0.59889999999999999</v>
      </c>
      <c r="H161" s="1868">
        <v>0.50668999999999997</v>
      </c>
      <c r="I161" s="1868">
        <v>0.63460000000000005</v>
      </c>
      <c r="J161" s="1868">
        <v>0.66436000000000006</v>
      </c>
      <c r="K161" s="1868">
        <v>0.61263000000000001</v>
      </c>
      <c r="L161" s="1868">
        <v>0.66003000000000001</v>
      </c>
      <c r="M161" s="1868">
        <v>0.80243999999999993</v>
      </c>
      <c r="N161" s="1868">
        <v>0.72585</v>
      </c>
      <c r="O161" s="1868">
        <v>0.58279999999999998</v>
      </c>
      <c r="P161" s="1868">
        <v>0.68816999999999995</v>
      </c>
      <c r="Q161" s="1868">
        <v>0.60251999999999994</v>
      </c>
      <c r="R161" s="1868">
        <v>0.69918000000000002</v>
      </c>
      <c r="S161" s="1868">
        <v>0.67621999999999993</v>
      </c>
      <c r="T161" s="1868">
        <v>0.69268000000000007</v>
      </c>
      <c r="U161" s="1868">
        <v>0.74995000000000001</v>
      </c>
      <c r="V161" s="1868">
        <v>0.66549999999999998</v>
      </c>
      <c r="W161" s="1868">
        <v>0.67222999999999999</v>
      </c>
      <c r="X161" s="1868">
        <v>0.71748000000000001</v>
      </c>
      <c r="Y161" s="1868">
        <v>0.72550000000000003</v>
      </c>
      <c r="Z161" s="1868">
        <v>0.88693999999999995</v>
      </c>
      <c r="AA161" s="1868">
        <v>0.82911000000000001</v>
      </c>
      <c r="AB161" s="1868">
        <v>0.68626999999999994</v>
      </c>
      <c r="AC161" s="1868">
        <v>0.66336000000000006</v>
      </c>
      <c r="AD161" s="1868">
        <v>0.69225999999999999</v>
      </c>
      <c r="AE161" s="1868">
        <v>0.79538999999999993</v>
      </c>
      <c r="AF161" s="1868">
        <v>0.78136000000000005</v>
      </c>
      <c r="AG161" s="1868">
        <v>0.85001000000000004</v>
      </c>
      <c r="AH161" s="1868">
        <v>0.70681000000000005</v>
      </c>
      <c r="AI161" s="1868">
        <v>0.91669999999999996</v>
      </c>
      <c r="AJ161" s="1868">
        <v>0.81286000000000003</v>
      </c>
      <c r="AK161" s="1868">
        <v>0.88188999999999995</v>
      </c>
      <c r="AL161" s="1868">
        <v>0.80353999999999992</v>
      </c>
      <c r="AM161" s="1868">
        <v>0.95512000000000008</v>
      </c>
      <c r="AN161" s="1868">
        <v>0.87065000000000003</v>
      </c>
      <c r="AO161" s="1868">
        <v>0.93279000000000001</v>
      </c>
      <c r="AP161" s="1868">
        <v>0.82242000000000004</v>
      </c>
      <c r="AQ161" s="1868">
        <v>0.84447000000000005</v>
      </c>
      <c r="AR161" s="1868">
        <v>0.95077999999999996</v>
      </c>
      <c r="AS161" s="1868">
        <v>0.75773000000000001</v>
      </c>
      <c r="AT161" s="1868">
        <v>1.1145100000000001</v>
      </c>
      <c r="AU161" s="1868">
        <v>0.97557999999999989</v>
      </c>
      <c r="AV161" s="1868">
        <v>0.93118999999999996</v>
      </c>
      <c r="AW161" s="1868">
        <v>0.94972999999999996</v>
      </c>
      <c r="AX161" s="1868">
        <v>1.1052</v>
      </c>
      <c r="AY161" s="1868">
        <v>0.97761000000000009</v>
      </c>
      <c r="AZ161" s="1868">
        <v>0.88549</v>
      </c>
      <c r="BA161" s="1868">
        <v>0.98487000000000002</v>
      </c>
    </row>
    <row r="162" spans="1:53">
      <c r="A162" s="1865" t="str">
        <f t="shared" si="2"/>
        <v>AsiaOats</v>
      </c>
      <c r="B162" s="1866" t="s">
        <v>433</v>
      </c>
      <c r="C162" s="1866" t="s">
        <v>1349</v>
      </c>
      <c r="D162" s="1868">
        <v>1.0163200000000001</v>
      </c>
      <c r="E162" s="1868">
        <v>0.83717000000000008</v>
      </c>
      <c r="F162" s="1868">
        <v>1.0567600000000001</v>
      </c>
      <c r="G162" s="1868">
        <v>1.1286700000000001</v>
      </c>
      <c r="H162" s="1868">
        <v>1.13306</v>
      </c>
      <c r="I162" s="1868">
        <v>1.04949</v>
      </c>
      <c r="J162" s="1868">
        <v>1.12761</v>
      </c>
      <c r="K162" s="1868">
        <v>1.1086799999999999</v>
      </c>
      <c r="L162" s="1868">
        <v>0.96921000000000002</v>
      </c>
      <c r="M162" s="1868">
        <v>1.0618100000000001</v>
      </c>
      <c r="N162" s="1868">
        <v>1.06104</v>
      </c>
      <c r="O162" s="1868">
        <v>0.95343999999999995</v>
      </c>
      <c r="P162" s="1868">
        <v>0.97391000000000005</v>
      </c>
      <c r="Q162" s="1868">
        <v>1.1915500000000001</v>
      </c>
      <c r="R162" s="1868">
        <v>1.3466499999999999</v>
      </c>
      <c r="S162" s="1868">
        <v>1.5311900000000001</v>
      </c>
      <c r="T162" s="1868">
        <v>1.3053600000000001</v>
      </c>
      <c r="U162" s="1868">
        <v>1.41283</v>
      </c>
      <c r="V162" s="1868">
        <v>1.59456</v>
      </c>
      <c r="W162" s="1868">
        <v>1.5525100000000001</v>
      </c>
      <c r="X162" s="1868">
        <v>1.6154999999999999</v>
      </c>
      <c r="Y162" s="1868">
        <v>1.65605</v>
      </c>
      <c r="Z162" s="1868">
        <v>1.6728400000000001</v>
      </c>
      <c r="AA162" s="1868">
        <v>1.7846900000000001</v>
      </c>
      <c r="AB162" s="1868">
        <v>1.7810900000000001</v>
      </c>
      <c r="AC162" s="1868">
        <v>1.5091299999999999</v>
      </c>
      <c r="AD162" s="1868">
        <v>1.41736</v>
      </c>
      <c r="AE162" s="1868">
        <v>1.44086</v>
      </c>
      <c r="AF162" s="1868">
        <v>1.4371399999999999</v>
      </c>
      <c r="AG162" s="1868">
        <v>1.8063099999999999</v>
      </c>
      <c r="AH162" s="1868">
        <v>1.5061500000000001</v>
      </c>
      <c r="AI162" s="1868">
        <v>1.7767400000000002</v>
      </c>
      <c r="AJ162" s="1868">
        <v>1.63106</v>
      </c>
      <c r="AK162" s="1868">
        <v>1.78529</v>
      </c>
      <c r="AL162" s="1868">
        <v>1.4127700000000001</v>
      </c>
      <c r="AM162" s="1868">
        <v>1.6529099999999999</v>
      </c>
      <c r="AN162" s="1868">
        <v>1.8217599999999998</v>
      </c>
      <c r="AO162" s="1868">
        <v>1.9177999999999999</v>
      </c>
      <c r="AP162" s="1868">
        <v>2.05158</v>
      </c>
      <c r="AQ162" s="1868">
        <v>1.8118799999999999</v>
      </c>
      <c r="AR162" s="1868">
        <v>1.85103</v>
      </c>
      <c r="AS162" s="1868">
        <v>1.6686799999999999</v>
      </c>
      <c r="AT162" s="1868">
        <v>1.96974</v>
      </c>
      <c r="AU162" s="1868">
        <v>1.7057900000000001</v>
      </c>
      <c r="AV162" s="1868">
        <v>2.27847</v>
      </c>
      <c r="AW162" s="1868">
        <v>1.5696099999999999</v>
      </c>
      <c r="AX162" s="1868">
        <v>1.9558799999999998</v>
      </c>
      <c r="AY162" s="1868">
        <v>1.9692499999999999</v>
      </c>
      <c r="AZ162" s="1868">
        <v>2.2213400000000001</v>
      </c>
      <c r="BA162" s="1868">
        <v>2.05749</v>
      </c>
    </row>
    <row r="163" spans="1:53">
      <c r="A163" s="1865" t="str">
        <f t="shared" si="2"/>
        <v>AsiaOil palm fruit</v>
      </c>
      <c r="B163" s="1866" t="s">
        <v>433</v>
      </c>
      <c r="C163" s="1866" t="s">
        <v>1386</v>
      </c>
      <c r="D163" s="1868">
        <v>13.649239999999999</v>
      </c>
      <c r="E163" s="1868">
        <v>13.570670000000002</v>
      </c>
      <c r="F163" s="1868">
        <v>13.449389999999999</v>
      </c>
      <c r="G163" s="1868">
        <v>12.72761</v>
      </c>
      <c r="H163" s="1868">
        <v>12.944330000000001</v>
      </c>
      <c r="I163" s="1868">
        <v>13.605600000000001</v>
      </c>
      <c r="J163" s="1868">
        <v>13.872529999999999</v>
      </c>
      <c r="K163" s="1868">
        <v>14.113479999999999</v>
      </c>
      <c r="L163" s="1868">
        <v>15.0749</v>
      </c>
      <c r="M163" s="1868">
        <v>15.099029999999999</v>
      </c>
      <c r="N163" s="1868">
        <v>17.064510000000002</v>
      </c>
      <c r="O163" s="1868">
        <v>16.208120000000001</v>
      </c>
      <c r="P163" s="1868">
        <v>15.920570000000001</v>
      </c>
      <c r="Q163" s="1868">
        <v>16.80471</v>
      </c>
      <c r="R163" s="1868">
        <v>16.857489999999999</v>
      </c>
      <c r="S163" s="1868">
        <v>15.79125</v>
      </c>
      <c r="T163" s="1868">
        <v>15.594729999999998</v>
      </c>
      <c r="U163" s="1868">
        <v>16.36899</v>
      </c>
      <c r="V163" s="1868">
        <v>16.558489999999999</v>
      </c>
      <c r="W163" s="1868">
        <v>16.852650000000001</v>
      </c>
      <c r="X163" s="1868">
        <v>17.176130000000001</v>
      </c>
      <c r="Y163" s="1868">
        <v>19.77534</v>
      </c>
      <c r="Z163" s="1868">
        <v>15.948120000000001</v>
      </c>
      <c r="AA163" s="1868">
        <v>18.759710000000002</v>
      </c>
      <c r="AB163" s="1868">
        <v>17.547799999999999</v>
      </c>
      <c r="AC163" s="1868">
        <v>17.36279</v>
      </c>
      <c r="AD163" s="1868">
        <v>17.20552</v>
      </c>
      <c r="AE163" s="1868">
        <v>17.070870000000003</v>
      </c>
      <c r="AF163" s="1868">
        <v>17.699579999999997</v>
      </c>
      <c r="AG163" s="1868">
        <v>17.126860000000001</v>
      </c>
      <c r="AH163" s="1868">
        <v>16.582639999999998</v>
      </c>
      <c r="AI163" s="1868">
        <v>16.584150000000001</v>
      </c>
      <c r="AJ163" s="1868">
        <v>18.983029999999999</v>
      </c>
      <c r="AK163" s="1868">
        <v>18.19455</v>
      </c>
      <c r="AL163" s="1868">
        <v>18.646940000000001</v>
      </c>
      <c r="AM163" s="1868">
        <v>17.99587</v>
      </c>
      <c r="AN163" s="1868">
        <v>18.120439999999999</v>
      </c>
      <c r="AO163" s="1868">
        <v>16.590020000000003</v>
      </c>
      <c r="AP163" s="1868">
        <v>18.878160000000001</v>
      </c>
      <c r="AQ163" s="1868">
        <v>18.068210000000001</v>
      </c>
      <c r="AR163" s="1868">
        <v>18.042850000000001</v>
      </c>
      <c r="AS163" s="1868">
        <v>17.143229999999999</v>
      </c>
      <c r="AT163" s="1868">
        <v>18.826350000000001</v>
      </c>
      <c r="AU163" s="1868">
        <v>19.227029999999999</v>
      </c>
      <c r="AV163" s="1868">
        <v>20.269560000000002</v>
      </c>
      <c r="AW163" s="1868">
        <v>20.3035</v>
      </c>
      <c r="AX163" s="1868">
        <v>18.71819</v>
      </c>
      <c r="AY163" s="1868">
        <v>18.882470000000001</v>
      </c>
      <c r="AZ163" s="1868">
        <v>18.76314</v>
      </c>
      <c r="BA163" s="1868">
        <v>18.65606</v>
      </c>
    </row>
    <row r="164" spans="1:53">
      <c r="A164" s="1865" t="str">
        <f t="shared" si="2"/>
        <v>AsiaOlives</v>
      </c>
      <c r="B164" s="1866" t="s">
        <v>433</v>
      </c>
      <c r="C164" s="1866" t="s">
        <v>1387</v>
      </c>
      <c r="D164" s="1868">
        <v>1.7140799999999998</v>
      </c>
      <c r="E164" s="1868">
        <v>0.8208700000000001</v>
      </c>
      <c r="F164" s="1868">
        <v>1.3826799999999999</v>
      </c>
      <c r="G164" s="1868">
        <v>1.51976</v>
      </c>
      <c r="H164" s="1868">
        <v>0.90893999999999997</v>
      </c>
      <c r="I164" s="1868">
        <v>1.5512999999999999</v>
      </c>
      <c r="J164" s="1868">
        <v>1.2033499999999999</v>
      </c>
      <c r="K164" s="1868">
        <v>1.56778</v>
      </c>
      <c r="L164" s="1868">
        <v>0.84817999999999993</v>
      </c>
      <c r="M164" s="1868">
        <v>1.3222700000000001</v>
      </c>
      <c r="N164" s="1868">
        <v>0.83146000000000009</v>
      </c>
      <c r="O164" s="1868">
        <v>1.8790200000000001</v>
      </c>
      <c r="P164" s="1868">
        <v>0.64195000000000002</v>
      </c>
      <c r="Q164" s="1868">
        <v>1.6759299999999999</v>
      </c>
      <c r="R164" s="1868">
        <v>1.07335</v>
      </c>
      <c r="S164" s="1868">
        <v>1.8425</v>
      </c>
      <c r="T164" s="1868">
        <v>0.81303999999999998</v>
      </c>
      <c r="U164" s="1868">
        <v>1.9874499999999999</v>
      </c>
      <c r="V164" s="1868">
        <v>0.83794000000000002</v>
      </c>
      <c r="W164" s="1868">
        <v>2.3651</v>
      </c>
      <c r="X164" s="1868">
        <v>0.81101999999999996</v>
      </c>
      <c r="Y164" s="1868">
        <v>2.3293300000000001</v>
      </c>
      <c r="Z164" s="1868">
        <v>0.75736999999999999</v>
      </c>
      <c r="AA164" s="1868">
        <v>1.4498799999999998</v>
      </c>
      <c r="AB164" s="1868">
        <v>1.0145200000000001</v>
      </c>
      <c r="AC164" s="1868">
        <v>1.7237900000000002</v>
      </c>
      <c r="AD164" s="1868">
        <v>1.0048700000000002</v>
      </c>
      <c r="AE164" s="1868">
        <v>1.8228200000000001</v>
      </c>
      <c r="AF164" s="1868">
        <v>0.75039999999999996</v>
      </c>
      <c r="AG164" s="1868">
        <v>1.7043400000000002</v>
      </c>
      <c r="AH164" s="1868">
        <v>0.94216</v>
      </c>
      <c r="AI164" s="1868">
        <v>1.45086</v>
      </c>
      <c r="AJ164" s="1868">
        <v>0.96032999999999991</v>
      </c>
      <c r="AK164" s="1868">
        <v>2.0022000000000002</v>
      </c>
      <c r="AL164" s="1868">
        <v>1.0376299999999998</v>
      </c>
      <c r="AM164" s="1868">
        <v>2.2699199999999999</v>
      </c>
      <c r="AN164" s="1868">
        <v>0.98540000000000005</v>
      </c>
      <c r="AO164" s="1868">
        <v>2.1974800000000001</v>
      </c>
      <c r="AP164" s="1868">
        <v>1.0327</v>
      </c>
      <c r="AQ164" s="1868">
        <v>2.3787700000000003</v>
      </c>
      <c r="AR164" s="1868">
        <v>1.10263</v>
      </c>
      <c r="AS164" s="1868">
        <v>2.41797</v>
      </c>
      <c r="AT164" s="1868">
        <v>1.3057399999999999</v>
      </c>
      <c r="AU164" s="1868">
        <v>2.2013400000000001</v>
      </c>
      <c r="AV164" s="1868">
        <v>1.53512</v>
      </c>
      <c r="AW164" s="1868">
        <v>2.3151200000000003</v>
      </c>
      <c r="AX164" s="1868">
        <v>1.25021</v>
      </c>
      <c r="AY164" s="1868">
        <v>1.67547</v>
      </c>
      <c r="AZ164" s="1868">
        <v>1.5795299999999999</v>
      </c>
      <c r="BA164" s="1868">
        <v>1.6307700000000001</v>
      </c>
    </row>
    <row r="165" spans="1:53">
      <c r="A165" s="1865" t="str">
        <f t="shared" si="2"/>
        <v>AsiaOnions, dry</v>
      </c>
      <c r="B165" s="1866" t="s">
        <v>433</v>
      </c>
      <c r="C165" s="1866" t="s">
        <v>1388</v>
      </c>
      <c r="D165" s="1868">
        <v>10.89242</v>
      </c>
      <c r="E165" s="1868">
        <v>11.026869999999999</v>
      </c>
      <c r="F165" s="1868">
        <v>10.75201</v>
      </c>
      <c r="G165" s="1868">
        <v>11.09468</v>
      </c>
      <c r="H165" s="1868">
        <v>10.98606</v>
      </c>
      <c r="I165" s="1868">
        <v>11.51713</v>
      </c>
      <c r="J165" s="1868">
        <v>11.51337</v>
      </c>
      <c r="K165" s="1868">
        <v>12.39068</v>
      </c>
      <c r="L165" s="1868">
        <v>12.68465</v>
      </c>
      <c r="M165" s="1868">
        <v>12.048760000000001</v>
      </c>
      <c r="N165" s="1868">
        <v>12.16057</v>
      </c>
      <c r="O165" s="1868">
        <v>11.83094</v>
      </c>
      <c r="P165" s="1868">
        <v>11.91647</v>
      </c>
      <c r="Q165" s="1868">
        <v>12.26633</v>
      </c>
      <c r="R165" s="1868">
        <v>12.207800000000001</v>
      </c>
      <c r="S165" s="1868">
        <v>12.857760000000001</v>
      </c>
      <c r="T165" s="1868">
        <v>13.02863</v>
      </c>
      <c r="U165" s="1868">
        <v>12.68927</v>
      </c>
      <c r="V165" s="1868">
        <v>13.049189999999999</v>
      </c>
      <c r="W165" s="1868">
        <v>12.426080000000001</v>
      </c>
      <c r="X165" s="1868">
        <v>12.93285</v>
      </c>
      <c r="Y165" s="1868">
        <v>13.561299999999999</v>
      </c>
      <c r="Z165" s="1868">
        <v>13.22444</v>
      </c>
      <c r="AA165" s="1868">
        <v>13.360300000000001</v>
      </c>
      <c r="AB165" s="1868">
        <v>13.779310000000001</v>
      </c>
      <c r="AC165" s="1868">
        <v>13.993179999999999</v>
      </c>
      <c r="AD165" s="1868">
        <v>14.364679999999998</v>
      </c>
      <c r="AE165" s="1868">
        <v>14.416429999999998</v>
      </c>
      <c r="AF165" s="1868">
        <v>14.362550000000001</v>
      </c>
      <c r="AG165" s="1868">
        <v>14.646929999999999</v>
      </c>
      <c r="AH165" s="1868">
        <v>14.969670000000001</v>
      </c>
      <c r="AI165" s="1868">
        <v>15.509839999999999</v>
      </c>
      <c r="AJ165" s="1868">
        <v>15.137079999999999</v>
      </c>
      <c r="AK165" s="1868">
        <v>15.44271</v>
      </c>
      <c r="AL165" s="1868">
        <v>16.111529999999998</v>
      </c>
      <c r="AM165" s="1868">
        <v>15.90185</v>
      </c>
      <c r="AN165" s="1868">
        <v>15.392189999999999</v>
      </c>
      <c r="AO165" s="1868">
        <v>16.071760000000001</v>
      </c>
      <c r="AP165" s="1868">
        <v>15.875770000000001</v>
      </c>
      <c r="AQ165" s="1868">
        <v>16.601739999999999</v>
      </c>
      <c r="AR165" s="1868">
        <v>16.631489999999999</v>
      </c>
      <c r="AS165" s="1868">
        <v>16.94849</v>
      </c>
      <c r="AT165" s="1868">
        <v>16.9635</v>
      </c>
      <c r="AU165" s="1868">
        <v>17.30817</v>
      </c>
      <c r="AV165" s="1868">
        <v>17.31006</v>
      </c>
      <c r="AW165" s="1868">
        <v>17.145800000000001</v>
      </c>
      <c r="AX165" s="1868">
        <v>18.104570000000002</v>
      </c>
      <c r="AY165" s="1868">
        <v>18.514979999999998</v>
      </c>
      <c r="AZ165" s="1868">
        <v>18.561410000000002</v>
      </c>
      <c r="BA165" s="1868">
        <v>18.540749999999999</v>
      </c>
    </row>
    <row r="166" spans="1:53">
      <c r="A166" s="1865" t="str">
        <f t="shared" si="2"/>
        <v>AsiaOranges</v>
      </c>
      <c r="B166" s="1866" t="s">
        <v>433</v>
      </c>
      <c r="C166" s="1866" t="s">
        <v>1389</v>
      </c>
      <c r="D166" s="1868">
        <v>5.66343</v>
      </c>
      <c r="E166" s="1868">
        <v>4.8271800000000002</v>
      </c>
      <c r="F166" s="1868">
        <v>4.9174899999999999</v>
      </c>
      <c r="G166" s="1868">
        <v>5.46366</v>
      </c>
      <c r="H166" s="1868">
        <v>5.6674600000000002</v>
      </c>
      <c r="I166" s="1868">
        <v>10.999130000000001</v>
      </c>
      <c r="J166" s="1868">
        <v>11.46733</v>
      </c>
      <c r="K166" s="1868">
        <v>12.03092</v>
      </c>
      <c r="L166" s="1868">
        <v>11.75639</v>
      </c>
      <c r="M166" s="1868">
        <v>11.75558</v>
      </c>
      <c r="N166" s="1868">
        <v>12.51595</v>
      </c>
      <c r="O166" s="1868">
        <v>12.93388</v>
      </c>
      <c r="P166" s="1868">
        <v>12.94918</v>
      </c>
      <c r="Q166" s="1868">
        <v>12.951269999999999</v>
      </c>
      <c r="R166" s="1868">
        <v>12.19229</v>
      </c>
      <c r="S166" s="1868">
        <v>12.39775</v>
      </c>
      <c r="T166" s="1868">
        <v>11.90493</v>
      </c>
      <c r="U166" s="1868">
        <v>12.6518</v>
      </c>
      <c r="V166" s="1868">
        <v>12.543049999999999</v>
      </c>
      <c r="W166" s="1868">
        <v>12.2074</v>
      </c>
      <c r="X166" s="1868">
        <v>11.5524</v>
      </c>
      <c r="Y166" s="1868">
        <v>12.288119999999999</v>
      </c>
      <c r="Z166" s="1868">
        <v>11.72678</v>
      </c>
      <c r="AA166" s="1868">
        <v>11.92923</v>
      </c>
      <c r="AB166" s="1868">
        <v>10.47626</v>
      </c>
      <c r="AC166" s="1868">
        <v>10.3544</v>
      </c>
      <c r="AD166" s="1868">
        <v>10.293200000000001</v>
      </c>
      <c r="AE166" s="1868">
        <v>9.3599800000000002</v>
      </c>
      <c r="AF166" s="1868">
        <v>10.21679</v>
      </c>
      <c r="AG166" s="1868">
        <v>10.62134</v>
      </c>
      <c r="AH166" s="1868">
        <v>10.55514</v>
      </c>
      <c r="AI166" s="1868">
        <v>10.240399999999999</v>
      </c>
      <c r="AJ166" s="1868">
        <v>10.47301</v>
      </c>
      <c r="AK166" s="1868">
        <v>9.8869399999999992</v>
      </c>
      <c r="AL166" s="1868">
        <v>10.006410000000001</v>
      </c>
      <c r="AM166" s="1868">
        <v>9.9918499999999995</v>
      </c>
      <c r="AN166" s="1868">
        <v>9.93126</v>
      </c>
      <c r="AO166" s="1868">
        <v>10.53364</v>
      </c>
      <c r="AP166" s="1868">
        <v>10.912100000000001</v>
      </c>
      <c r="AQ166" s="1868">
        <v>10.474080000000001</v>
      </c>
      <c r="AR166" s="1868">
        <v>11.21716</v>
      </c>
      <c r="AS166" s="1868">
        <v>10.658189999999999</v>
      </c>
      <c r="AT166" s="1868">
        <v>10.864510000000001</v>
      </c>
      <c r="AU166" s="1868">
        <v>11.45687</v>
      </c>
      <c r="AV166" s="1868">
        <v>12.17937</v>
      </c>
      <c r="AW166" s="1868">
        <v>12.34347</v>
      </c>
      <c r="AX166" s="1868">
        <v>12.396280000000001</v>
      </c>
      <c r="AY166" s="1868">
        <v>13.10491</v>
      </c>
      <c r="AZ166" s="1868">
        <v>12.966569999999999</v>
      </c>
      <c r="BA166" s="1868">
        <v>13.313800000000001</v>
      </c>
    </row>
    <row r="167" spans="1:53">
      <c r="A167" s="1865" t="str">
        <f t="shared" si="2"/>
        <v>AsiaPeaches and nectarines</v>
      </c>
      <c r="B167" s="1866" t="s">
        <v>433</v>
      </c>
      <c r="C167" s="1866" t="s">
        <v>1390</v>
      </c>
      <c r="D167" s="1868">
        <v>7.0397699999999999</v>
      </c>
      <c r="E167" s="1868">
        <v>6.4293399999999998</v>
      </c>
      <c r="F167" s="1868">
        <v>6.57843</v>
      </c>
      <c r="G167" s="1868">
        <v>6.6418499999999998</v>
      </c>
      <c r="H167" s="1868">
        <v>6.3852800000000007</v>
      </c>
      <c r="I167" s="1868">
        <v>5.4345800000000004</v>
      </c>
      <c r="J167" s="1868">
        <v>5.81576</v>
      </c>
      <c r="K167" s="1868">
        <v>5.3855300000000002</v>
      </c>
      <c r="L167" s="1868">
        <v>5.5931300000000004</v>
      </c>
      <c r="M167" s="1868">
        <v>5.6855799999999999</v>
      </c>
      <c r="N167" s="1868">
        <v>5.2663599999999997</v>
      </c>
      <c r="O167" s="1868">
        <v>6.619489999999999</v>
      </c>
      <c r="P167" s="1868">
        <v>7.2653800000000004</v>
      </c>
      <c r="Q167" s="1868">
        <v>6.4238099999999996</v>
      </c>
      <c r="R167" s="1868">
        <v>6.5428300000000004</v>
      </c>
      <c r="S167" s="1868">
        <v>6.35053</v>
      </c>
      <c r="T167" s="1868">
        <v>5.6017199999999994</v>
      </c>
      <c r="U167" s="1868">
        <v>6.5341699999999996</v>
      </c>
      <c r="V167" s="1868">
        <v>7.6316300000000004</v>
      </c>
      <c r="W167" s="1868">
        <v>7.2016200000000001</v>
      </c>
      <c r="X167" s="1868">
        <v>7.54772</v>
      </c>
      <c r="Y167" s="1868">
        <v>6.7328999999999999</v>
      </c>
      <c r="Z167" s="1868">
        <v>7.0924500000000004</v>
      </c>
      <c r="AA167" s="1868">
        <v>6.4921300000000004</v>
      </c>
      <c r="AB167" s="1868">
        <v>4.3003300000000007</v>
      </c>
      <c r="AC167" s="1868">
        <v>3.9973000000000001</v>
      </c>
      <c r="AD167" s="1868">
        <v>3.8330699999999998</v>
      </c>
      <c r="AE167" s="1868">
        <v>3.1387299999999998</v>
      </c>
      <c r="AF167" s="1868">
        <v>2.67204</v>
      </c>
      <c r="AG167" s="1868">
        <v>3.8450199999999999</v>
      </c>
      <c r="AH167" s="1868">
        <v>4.1513200000000001</v>
      </c>
      <c r="AI167" s="1868">
        <v>4.2010300000000003</v>
      </c>
      <c r="AJ167" s="1868">
        <v>4.7598900000000004</v>
      </c>
      <c r="AK167" s="1868">
        <v>5.1443300000000001</v>
      </c>
      <c r="AL167" s="1868">
        <v>5.8034600000000003</v>
      </c>
      <c r="AM167" s="1868">
        <v>6.4892799999999999</v>
      </c>
      <c r="AN167" s="1868">
        <v>7.6111500000000003</v>
      </c>
      <c r="AO167" s="1868">
        <v>8.0807099999999998</v>
      </c>
      <c r="AP167" s="1868">
        <v>8.6316600000000001</v>
      </c>
      <c r="AQ167" s="1868">
        <v>8.72865</v>
      </c>
      <c r="AR167" s="1868">
        <v>10.212060000000001</v>
      </c>
      <c r="AS167" s="1868">
        <v>9.7726399999999991</v>
      </c>
      <c r="AT167" s="1868">
        <v>10.128030000000001</v>
      </c>
      <c r="AU167" s="1868">
        <v>10.382989999999999</v>
      </c>
      <c r="AV167" s="1868">
        <v>11.103400000000001</v>
      </c>
      <c r="AW167" s="1868">
        <v>11.84168</v>
      </c>
      <c r="AX167" s="1868">
        <v>12.40896</v>
      </c>
      <c r="AY167" s="1868">
        <v>12.906739999999999</v>
      </c>
      <c r="AZ167" s="1868">
        <v>13.420920000000001</v>
      </c>
      <c r="BA167" s="1868">
        <v>13.358239999999999</v>
      </c>
    </row>
    <row r="168" spans="1:53">
      <c r="A168" s="1865" t="str">
        <f t="shared" si="2"/>
        <v>AsiaPeas, dry</v>
      </c>
      <c r="B168" s="1866" t="s">
        <v>433</v>
      </c>
      <c r="C168" s="1866" t="s">
        <v>1391</v>
      </c>
      <c r="D168" s="1868">
        <v>0.93292999999999993</v>
      </c>
      <c r="E168" s="1868">
        <v>1.0625500000000001</v>
      </c>
      <c r="F168" s="1868">
        <v>0.96922000000000008</v>
      </c>
      <c r="G168" s="1868">
        <v>0.96956000000000009</v>
      </c>
      <c r="H168" s="1868">
        <v>1.0781799999999999</v>
      </c>
      <c r="I168" s="1868">
        <v>0.88198999999999994</v>
      </c>
      <c r="J168" s="1868">
        <v>0.8454299999999999</v>
      </c>
      <c r="K168" s="1868">
        <v>0.88356000000000001</v>
      </c>
      <c r="L168" s="1868">
        <v>0.88136000000000003</v>
      </c>
      <c r="M168" s="1868">
        <v>0.92603999999999997</v>
      </c>
      <c r="N168" s="1868">
        <v>1.0105999999999999</v>
      </c>
      <c r="O168" s="1868">
        <v>0.91479999999999995</v>
      </c>
      <c r="P168" s="1868">
        <v>0.90492000000000006</v>
      </c>
      <c r="Q168" s="1868">
        <v>0.91612000000000005</v>
      </c>
      <c r="R168" s="1868">
        <v>0.98675000000000002</v>
      </c>
      <c r="S168" s="1868">
        <v>1.0363599999999999</v>
      </c>
      <c r="T168" s="1868">
        <v>0.92954999999999999</v>
      </c>
      <c r="U168" s="1868">
        <v>1.1753799999999999</v>
      </c>
      <c r="V168" s="1868">
        <v>1.1719600000000001</v>
      </c>
      <c r="W168" s="1868">
        <v>1.2559100000000001</v>
      </c>
      <c r="X168" s="1868">
        <v>1.26509</v>
      </c>
      <c r="Y168" s="1868">
        <v>1.1680900000000001</v>
      </c>
      <c r="Z168" s="1868">
        <v>1.16858</v>
      </c>
      <c r="AA168" s="1868">
        <v>1.25634</v>
      </c>
      <c r="AB168" s="1868">
        <v>1.09826</v>
      </c>
      <c r="AC168" s="1868">
        <v>1.11842</v>
      </c>
      <c r="AD168" s="1868">
        <v>1.1116999999999999</v>
      </c>
      <c r="AE168" s="1868">
        <v>1.2100799999999998</v>
      </c>
      <c r="AF168" s="1868">
        <v>0.99992999999999987</v>
      </c>
      <c r="AG168" s="1868">
        <v>1.24902</v>
      </c>
      <c r="AH168" s="1868">
        <v>1.12609</v>
      </c>
      <c r="AI168" s="1868">
        <v>1.00471</v>
      </c>
      <c r="AJ168" s="1868">
        <v>1.1247</v>
      </c>
      <c r="AK168" s="1868">
        <v>1.16872</v>
      </c>
      <c r="AL168" s="1868">
        <v>1.0949799999999998</v>
      </c>
      <c r="AM168" s="1868">
        <v>1.1322000000000001</v>
      </c>
      <c r="AN168" s="1868">
        <v>1.13646</v>
      </c>
      <c r="AO168" s="1868">
        <v>1.1697200000000001</v>
      </c>
      <c r="AP168" s="1868">
        <v>1.01007</v>
      </c>
      <c r="AQ168" s="1868">
        <v>1.0745499999999999</v>
      </c>
      <c r="AR168" s="1868">
        <v>1.0223599999999999</v>
      </c>
      <c r="AS168" s="1868">
        <v>1.2472700000000001</v>
      </c>
      <c r="AT168" s="1868">
        <v>1.2025399999999999</v>
      </c>
      <c r="AU168" s="1868">
        <v>1.09317</v>
      </c>
      <c r="AV168" s="1868">
        <v>1.0671899999999999</v>
      </c>
      <c r="AW168" s="1868">
        <v>1.0204600000000001</v>
      </c>
      <c r="AX168" s="1868">
        <v>1.06131</v>
      </c>
      <c r="AY168" s="1868">
        <v>1.12303</v>
      </c>
      <c r="AZ168" s="1868">
        <v>1.0829299999999999</v>
      </c>
      <c r="BA168" s="1868">
        <v>1.07853</v>
      </c>
    </row>
    <row r="169" spans="1:53">
      <c r="A169" s="1865" t="str">
        <f t="shared" si="2"/>
        <v>AsiaPeas, green</v>
      </c>
      <c r="B169" s="1866" t="s">
        <v>433</v>
      </c>
      <c r="C169" s="1866" t="s">
        <v>1392</v>
      </c>
      <c r="D169" s="1868">
        <v>7.3338000000000001</v>
      </c>
      <c r="E169" s="1868">
        <v>7.1498800000000005</v>
      </c>
      <c r="F169" s="1868">
        <v>6.8702699999999997</v>
      </c>
      <c r="G169" s="1868">
        <v>7.2334199999999997</v>
      </c>
      <c r="H169" s="1868">
        <v>7.2579600000000006</v>
      </c>
      <c r="I169" s="1868">
        <v>7.30342</v>
      </c>
      <c r="J169" s="1868">
        <v>7.5687699999999998</v>
      </c>
      <c r="K169" s="1868">
        <v>7.6279199999999996</v>
      </c>
      <c r="L169" s="1868">
        <v>7.6674800000000003</v>
      </c>
      <c r="M169" s="1868">
        <v>7.7429300000000003</v>
      </c>
      <c r="N169" s="1868">
        <v>7.9426600000000009</v>
      </c>
      <c r="O169" s="1868">
        <v>7.9843100000000007</v>
      </c>
      <c r="P169" s="1868">
        <v>8.0541</v>
      </c>
      <c r="Q169" s="1868">
        <v>8.1571800000000003</v>
      </c>
      <c r="R169" s="1868">
        <v>8.1181300000000007</v>
      </c>
      <c r="S169" s="1868">
        <v>8.0590799999999998</v>
      </c>
      <c r="T169" s="1868">
        <v>7.9596899999999993</v>
      </c>
      <c r="U169" s="1868">
        <v>8.0513300000000001</v>
      </c>
      <c r="V169" s="1868">
        <v>8.1692800000000005</v>
      </c>
      <c r="W169" s="1868">
        <v>8.1956100000000003</v>
      </c>
      <c r="X169" s="1868">
        <v>8.38931</v>
      </c>
      <c r="Y169" s="1868">
        <v>8.74831</v>
      </c>
      <c r="Z169" s="1868">
        <v>8.55945</v>
      </c>
      <c r="AA169" s="1868">
        <v>8.54026</v>
      </c>
      <c r="AB169" s="1868">
        <v>9.0141100000000005</v>
      </c>
      <c r="AC169" s="1868">
        <v>9.1108600000000006</v>
      </c>
      <c r="AD169" s="1868">
        <v>9.71889</v>
      </c>
      <c r="AE169" s="1868">
        <v>10.15361</v>
      </c>
      <c r="AF169" s="1868">
        <v>9.9093800000000005</v>
      </c>
      <c r="AG169" s="1868">
        <v>9.8510399999999994</v>
      </c>
      <c r="AH169" s="1868">
        <v>10.07489</v>
      </c>
      <c r="AI169" s="1868">
        <v>9.8102600000000013</v>
      </c>
      <c r="AJ169" s="1868">
        <v>9.7348199999999991</v>
      </c>
      <c r="AK169" s="1868">
        <v>9.4763500000000001</v>
      </c>
      <c r="AL169" s="1868">
        <v>8.7986000000000004</v>
      </c>
      <c r="AM169" s="1868">
        <v>8.4220199999999998</v>
      </c>
      <c r="AN169" s="1868">
        <v>8.3769500000000008</v>
      </c>
      <c r="AO169" s="1868">
        <v>8.1390399999999996</v>
      </c>
      <c r="AP169" s="1868">
        <v>8.2627800000000011</v>
      </c>
      <c r="AQ169" s="1868">
        <v>8.2876399999999997</v>
      </c>
      <c r="AR169" s="1868">
        <v>8.2500400000000003</v>
      </c>
      <c r="AS169" s="1868">
        <v>7.54948</v>
      </c>
      <c r="AT169" s="1868">
        <v>7.4069600000000007</v>
      </c>
      <c r="AU169" s="1868">
        <v>7.5834699999999993</v>
      </c>
      <c r="AV169" s="1868">
        <v>7.4486499999999998</v>
      </c>
      <c r="AW169" s="1868">
        <v>7.9473899999999995</v>
      </c>
      <c r="AX169" s="1868">
        <v>7.774560000000001</v>
      </c>
      <c r="AY169" s="1868">
        <v>7.9396800000000001</v>
      </c>
      <c r="AZ169" s="1868">
        <v>8.035169999999999</v>
      </c>
      <c r="BA169" s="1868">
        <v>8.0243800000000007</v>
      </c>
    </row>
    <row r="170" spans="1:53">
      <c r="A170" s="1865" t="str">
        <f t="shared" si="2"/>
        <v>AsiaPineapples</v>
      </c>
      <c r="B170" s="1866" t="s">
        <v>433</v>
      </c>
      <c r="C170" s="1866" t="s">
        <v>1351</v>
      </c>
      <c r="D170" s="1868">
        <v>7.6096199999999996</v>
      </c>
      <c r="E170" s="1868">
        <v>8.2112300000000005</v>
      </c>
      <c r="F170" s="1868">
        <v>8.2466100000000004</v>
      </c>
      <c r="G170" s="1868">
        <v>8.9623299999999997</v>
      </c>
      <c r="H170" s="1868">
        <v>8.8881999999999994</v>
      </c>
      <c r="I170" s="1868">
        <v>9.2124399999999991</v>
      </c>
      <c r="J170" s="1868">
        <v>9.8978800000000007</v>
      </c>
      <c r="K170" s="1868">
        <v>10.049060000000001</v>
      </c>
      <c r="L170" s="1868">
        <v>9.9786600000000014</v>
      </c>
      <c r="M170" s="1868">
        <v>10.008800000000001</v>
      </c>
      <c r="N170" s="1868">
        <v>9.2307100000000002</v>
      </c>
      <c r="O170" s="1868">
        <v>9.6837100000000014</v>
      </c>
      <c r="P170" s="1868">
        <v>8.8305399999999992</v>
      </c>
      <c r="Q170" s="1868">
        <v>9.0886399999999998</v>
      </c>
      <c r="R170" s="1868">
        <v>14.333779999999999</v>
      </c>
      <c r="S170" s="1868">
        <v>17.01211</v>
      </c>
      <c r="T170" s="1868">
        <v>15.94145</v>
      </c>
      <c r="U170" s="1868">
        <v>15.74865</v>
      </c>
      <c r="V170" s="1868">
        <v>16.80057</v>
      </c>
      <c r="W170" s="1868">
        <v>19.23967</v>
      </c>
      <c r="X170" s="1868">
        <v>16.144210000000001</v>
      </c>
      <c r="Y170" s="1868">
        <v>13.14921</v>
      </c>
      <c r="Z170" s="1868">
        <v>12.634510000000001</v>
      </c>
      <c r="AA170" s="1868">
        <v>14.826939999999999</v>
      </c>
      <c r="AB170" s="1868">
        <v>15.84746</v>
      </c>
      <c r="AC170" s="1868">
        <v>16.05339</v>
      </c>
      <c r="AD170" s="1868">
        <v>16.89978</v>
      </c>
      <c r="AE170" s="1868">
        <v>17.516300000000001</v>
      </c>
      <c r="AF170" s="1868">
        <v>17.861470000000001</v>
      </c>
      <c r="AG170" s="1868">
        <v>17.722110000000001</v>
      </c>
      <c r="AH170" s="1868">
        <v>17.120999999999999</v>
      </c>
      <c r="AI170" s="1868">
        <v>18.62246</v>
      </c>
      <c r="AJ170" s="1868">
        <v>20.459289999999999</v>
      </c>
      <c r="AK170" s="1868">
        <v>18.81832</v>
      </c>
      <c r="AL170" s="1868">
        <v>17.99268</v>
      </c>
      <c r="AM170" s="1868">
        <v>20.474610000000002</v>
      </c>
      <c r="AN170" s="1868">
        <v>22.256250000000001</v>
      </c>
      <c r="AO170" s="1868">
        <v>21.35791</v>
      </c>
      <c r="AP170" s="1868">
        <v>21.580500000000001</v>
      </c>
      <c r="AQ170" s="1868">
        <v>21.36102</v>
      </c>
      <c r="AR170" s="1868">
        <v>20.648710000000001</v>
      </c>
      <c r="AS170" s="1868">
        <v>20.617810000000002</v>
      </c>
      <c r="AT170" s="1868">
        <v>21.94369</v>
      </c>
      <c r="AU170" s="1868">
        <v>22.397120000000001</v>
      </c>
      <c r="AV170" s="1868">
        <v>22.796889999999998</v>
      </c>
      <c r="AW170" s="1868">
        <v>24.819610000000001</v>
      </c>
      <c r="AX170" s="1868">
        <v>25.566140000000001</v>
      </c>
      <c r="AY170" s="1868">
        <v>24.656199999999998</v>
      </c>
      <c r="AZ170" s="1868">
        <v>24.202470000000002</v>
      </c>
      <c r="BA170" s="1868">
        <v>24.181049999999999</v>
      </c>
    </row>
    <row r="171" spans="1:53">
      <c r="A171" s="1865" t="str">
        <f t="shared" si="2"/>
        <v>AsiaPlantains</v>
      </c>
      <c r="B171" s="1866" t="s">
        <v>433</v>
      </c>
      <c r="C171" s="1866" t="s">
        <v>1393</v>
      </c>
      <c r="D171" s="1868">
        <v>6.6788999999999996</v>
      </c>
      <c r="E171" s="1868">
        <v>6.4252699999999994</v>
      </c>
      <c r="F171" s="1868">
        <v>6.6905100000000006</v>
      </c>
      <c r="G171" s="1868">
        <v>6.8945899999999991</v>
      </c>
      <c r="H171" s="1868">
        <v>7.2219499999999996</v>
      </c>
      <c r="I171" s="1868">
        <v>10.86162</v>
      </c>
      <c r="J171" s="1868">
        <v>11.666960000000001</v>
      </c>
      <c r="K171" s="1868">
        <v>6.29535</v>
      </c>
      <c r="L171" s="1868">
        <v>6.7647300000000001</v>
      </c>
      <c r="M171" s="1868">
        <v>6.5548299999999999</v>
      </c>
      <c r="N171" s="1868">
        <v>7.0380199999999995</v>
      </c>
      <c r="O171" s="1868">
        <v>6.5432499999999996</v>
      </c>
      <c r="P171" s="1868">
        <v>9.5892199999999992</v>
      </c>
      <c r="Q171" s="1868">
        <v>10.29922</v>
      </c>
      <c r="R171" s="1868">
        <v>14.01596</v>
      </c>
      <c r="S171" s="1868">
        <v>13.667129999999998</v>
      </c>
      <c r="T171" s="1868">
        <v>14.250960000000001</v>
      </c>
      <c r="U171" s="1868">
        <v>13.396870000000002</v>
      </c>
      <c r="V171" s="1868">
        <v>23.92145</v>
      </c>
      <c r="W171" s="1868">
        <v>27.988609999999998</v>
      </c>
      <c r="X171" s="1868">
        <v>20.243410000000001</v>
      </c>
      <c r="Y171" s="1868">
        <v>16.24643</v>
      </c>
      <c r="Z171" s="1868">
        <v>16.67473</v>
      </c>
      <c r="AA171" s="1868">
        <v>13.24066</v>
      </c>
      <c r="AB171" s="1868">
        <v>10.04856</v>
      </c>
      <c r="AC171" s="1868">
        <v>10.5969</v>
      </c>
      <c r="AD171" s="1868">
        <v>10.12022</v>
      </c>
      <c r="AE171" s="1868">
        <v>10.11881</v>
      </c>
      <c r="AF171" s="1868">
        <v>10.69572</v>
      </c>
      <c r="AG171" s="1868">
        <v>9.3684999999999992</v>
      </c>
      <c r="AH171" s="1868">
        <v>8.9585699999999999</v>
      </c>
      <c r="AI171" s="1868">
        <v>9.0862499999999997</v>
      </c>
      <c r="AJ171" s="1868">
        <v>9.5420499999999997</v>
      </c>
      <c r="AK171" s="1868">
        <v>10.385260000000001</v>
      </c>
      <c r="AL171" s="1868">
        <v>10.250689999999999</v>
      </c>
      <c r="AM171" s="1868">
        <v>9.7325100000000013</v>
      </c>
      <c r="AN171" s="1868">
        <v>9.2118599999999997</v>
      </c>
      <c r="AO171" s="1868">
        <v>10.68252</v>
      </c>
      <c r="AP171" s="1868">
        <v>10.704660000000001</v>
      </c>
      <c r="AQ171" s="1868">
        <v>10.23884</v>
      </c>
      <c r="AR171" s="1868">
        <v>11.40733</v>
      </c>
      <c r="AS171" s="1868">
        <v>10.67398</v>
      </c>
      <c r="AT171" s="1868">
        <v>10.86529</v>
      </c>
      <c r="AU171" s="1868">
        <v>10.43919</v>
      </c>
      <c r="AV171" s="1868">
        <v>9.8760999999999992</v>
      </c>
      <c r="AW171" s="1868">
        <v>10.71457</v>
      </c>
      <c r="AX171" s="1868">
        <v>11.34437</v>
      </c>
      <c r="AY171" s="1868">
        <v>11.602039999999999</v>
      </c>
      <c r="AZ171" s="1868">
        <v>11.323960000000001</v>
      </c>
      <c r="BA171" s="1868">
        <v>11.11082</v>
      </c>
    </row>
    <row r="172" spans="1:53">
      <c r="A172" s="1865" t="str">
        <f t="shared" si="2"/>
        <v>AsiaPotatoes</v>
      </c>
      <c r="B172" s="1866" t="s">
        <v>433</v>
      </c>
      <c r="C172" s="1866" t="s">
        <v>1394</v>
      </c>
      <c r="D172" s="1868">
        <v>9.9460899999999999</v>
      </c>
      <c r="E172" s="1868">
        <v>9.4371299999999998</v>
      </c>
      <c r="F172" s="1868">
        <v>8.8992100000000001</v>
      </c>
      <c r="G172" s="1868">
        <v>9.2832799999999995</v>
      </c>
      <c r="H172" s="1868">
        <v>10.038260000000001</v>
      </c>
      <c r="I172" s="1868">
        <v>9.5770800000000005</v>
      </c>
      <c r="J172" s="1868">
        <v>9.5394899999999989</v>
      </c>
      <c r="K172" s="1868">
        <v>9.8073199999999989</v>
      </c>
      <c r="L172" s="1868">
        <v>10.59065</v>
      </c>
      <c r="M172" s="1868">
        <v>10.901619999999999</v>
      </c>
      <c r="N172" s="1868">
        <v>10.95265</v>
      </c>
      <c r="O172" s="1868">
        <v>10.83493</v>
      </c>
      <c r="P172" s="1868">
        <v>12.725239999999999</v>
      </c>
      <c r="Q172" s="1868">
        <v>12.22592</v>
      </c>
      <c r="R172" s="1868">
        <v>11.81851</v>
      </c>
      <c r="S172" s="1868">
        <v>12.08615</v>
      </c>
      <c r="T172" s="1868">
        <v>13.194610000000001</v>
      </c>
      <c r="U172" s="1868">
        <v>12.91281</v>
      </c>
      <c r="V172" s="1868">
        <v>12.044639999999999</v>
      </c>
      <c r="W172" s="1868">
        <v>12.17464</v>
      </c>
      <c r="X172" s="1868">
        <v>11.722380000000001</v>
      </c>
      <c r="Y172" s="1868">
        <v>12.326369999999999</v>
      </c>
      <c r="Z172" s="1868">
        <v>12.60026</v>
      </c>
      <c r="AA172" s="1868">
        <v>13.24305</v>
      </c>
      <c r="AB172" s="1868">
        <v>12.825100000000001</v>
      </c>
      <c r="AC172" s="1868">
        <v>12.021850000000001</v>
      </c>
      <c r="AD172" s="1868">
        <v>12.723510000000001</v>
      </c>
      <c r="AE172" s="1868">
        <v>13.341939999999999</v>
      </c>
      <c r="AF172" s="1868">
        <v>13.182770000000001</v>
      </c>
      <c r="AG172" s="1868">
        <v>13.338629999999998</v>
      </c>
      <c r="AH172" s="1868">
        <v>13.0756</v>
      </c>
      <c r="AI172" s="1868">
        <v>14.03149</v>
      </c>
      <c r="AJ172" s="1868">
        <v>15.143179999999999</v>
      </c>
      <c r="AK172" s="1868">
        <v>14.71636</v>
      </c>
      <c r="AL172" s="1868">
        <v>14.588050000000001</v>
      </c>
      <c r="AM172" s="1868">
        <v>15.148860000000001</v>
      </c>
      <c r="AN172" s="1868">
        <v>15.965420000000002</v>
      </c>
      <c r="AO172" s="1868">
        <v>15.64171</v>
      </c>
      <c r="AP172" s="1868">
        <v>14.346060000000001</v>
      </c>
      <c r="AQ172" s="1868">
        <v>15.226289999999999</v>
      </c>
      <c r="AR172" s="1868">
        <v>15.04466</v>
      </c>
      <c r="AS172" s="1868">
        <v>16.18796</v>
      </c>
      <c r="AT172" s="1868">
        <v>15.974039999999999</v>
      </c>
      <c r="AU172" s="1868">
        <v>16.701599999999999</v>
      </c>
      <c r="AV172" s="1868">
        <v>16.062329999999999</v>
      </c>
      <c r="AW172" s="1868">
        <v>15.1927</v>
      </c>
      <c r="AX172" s="1868">
        <v>15.871789999999999</v>
      </c>
      <c r="AY172" s="1868">
        <v>16.688279999999999</v>
      </c>
      <c r="AZ172" s="1868">
        <v>16.155079999999998</v>
      </c>
      <c r="BA172" s="1868">
        <v>16.764670000000002</v>
      </c>
    </row>
    <row r="173" spans="1:53">
      <c r="A173" s="1865" t="str">
        <f t="shared" si="2"/>
        <v>AsiaPulses, nes</v>
      </c>
      <c r="B173" s="1866" t="s">
        <v>433</v>
      </c>
      <c r="C173" s="1866" t="s">
        <v>1395</v>
      </c>
      <c r="D173" s="1868">
        <v>0.42958000000000002</v>
      </c>
      <c r="E173" s="1868">
        <v>0.43837999999999999</v>
      </c>
      <c r="F173" s="1868">
        <v>0.42851999999999996</v>
      </c>
      <c r="G173" s="1868">
        <v>0.48006000000000004</v>
      </c>
      <c r="H173" s="1868">
        <v>0.47993000000000002</v>
      </c>
      <c r="I173" s="1868">
        <v>0.43561000000000005</v>
      </c>
      <c r="J173" s="1868">
        <v>0.44188</v>
      </c>
      <c r="K173" s="1868">
        <v>0.50097000000000003</v>
      </c>
      <c r="L173" s="1868">
        <v>0.49946000000000002</v>
      </c>
      <c r="M173" s="1868">
        <v>0.52893999999999997</v>
      </c>
      <c r="N173" s="1868">
        <v>0.5181</v>
      </c>
      <c r="O173" s="1868">
        <v>0.51093999999999995</v>
      </c>
      <c r="P173" s="1868">
        <v>0.44479999999999997</v>
      </c>
      <c r="Q173" s="1868">
        <v>0.47001999999999999</v>
      </c>
      <c r="R173" s="1868">
        <v>0.52033999999999991</v>
      </c>
      <c r="S173" s="1868">
        <v>0.5202</v>
      </c>
      <c r="T173" s="1868">
        <v>0.44498000000000004</v>
      </c>
      <c r="U173" s="1868">
        <v>0.45443</v>
      </c>
      <c r="V173" s="1868">
        <v>0.45058999999999999</v>
      </c>
      <c r="W173" s="1868">
        <v>0.41408</v>
      </c>
      <c r="X173" s="1868">
        <v>0.46473000000000003</v>
      </c>
      <c r="Y173" s="1868">
        <v>0.45128999999999997</v>
      </c>
      <c r="Z173" s="1868">
        <v>0.46748999999999996</v>
      </c>
      <c r="AA173" s="1868">
        <v>0.52451999999999999</v>
      </c>
      <c r="AB173" s="1868">
        <v>0.52085999999999999</v>
      </c>
      <c r="AC173" s="1868">
        <v>0.52664999999999995</v>
      </c>
      <c r="AD173" s="1868">
        <v>0.53486</v>
      </c>
      <c r="AE173" s="1868">
        <v>0.50455000000000005</v>
      </c>
      <c r="AF173" s="1868">
        <v>0.55576000000000003</v>
      </c>
      <c r="AG173" s="1868">
        <v>0.49101000000000006</v>
      </c>
      <c r="AH173" s="1868">
        <v>0.73514999999999997</v>
      </c>
      <c r="AI173" s="1868">
        <v>0.35060999999999998</v>
      </c>
      <c r="AJ173" s="1868">
        <v>0.61263999999999996</v>
      </c>
      <c r="AK173" s="1868">
        <v>0.68196000000000001</v>
      </c>
      <c r="AL173" s="1868">
        <v>0.72901000000000005</v>
      </c>
      <c r="AM173" s="1868">
        <v>0.68325000000000002</v>
      </c>
      <c r="AN173" s="1868">
        <v>0.74775000000000003</v>
      </c>
      <c r="AO173" s="1868">
        <v>0.67261000000000004</v>
      </c>
      <c r="AP173" s="1868">
        <v>0.73066999999999993</v>
      </c>
      <c r="AQ173" s="1868">
        <v>0.74687999999999999</v>
      </c>
      <c r="AR173" s="1868">
        <v>0.84752999999999989</v>
      </c>
      <c r="AS173" s="1868">
        <v>0.69891000000000003</v>
      </c>
      <c r="AT173" s="1868">
        <v>0.66126000000000007</v>
      </c>
      <c r="AU173" s="1868">
        <v>0.70748999999999995</v>
      </c>
      <c r="AV173" s="1868">
        <v>0.62109999999999999</v>
      </c>
      <c r="AW173" s="1868">
        <v>0.64666000000000001</v>
      </c>
      <c r="AX173" s="1868">
        <v>0.63928999999999991</v>
      </c>
      <c r="AY173" s="1868">
        <v>0.61416000000000004</v>
      </c>
      <c r="AZ173" s="1868">
        <v>0.64</v>
      </c>
      <c r="BA173" s="1868">
        <v>0.62551999999999996</v>
      </c>
    </row>
    <row r="174" spans="1:53">
      <c r="A174" s="1865" t="str">
        <f t="shared" si="2"/>
        <v>AsiaRice, paddy</v>
      </c>
      <c r="B174" s="1866" t="s">
        <v>433</v>
      </c>
      <c r="C174" s="1866" t="s">
        <v>1396</v>
      </c>
      <c r="D174" s="1868">
        <v>1.8584700000000001</v>
      </c>
      <c r="E174" s="1868">
        <v>1.87893</v>
      </c>
      <c r="F174" s="1868">
        <v>2.0533000000000001</v>
      </c>
      <c r="G174" s="1868">
        <v>2.1067</v>
      </c>
      <c r="H174" s="1868">
        <v>2.0320200000000002</v>
      </c>
      <c r="I174" s="1868">
        <v>2.0800999999999998</v>
      </c>
      <c r="J174" s="1868">
        <v>2.1731199999999999</v>
      </c>
      <c r="K174" s="1868">
        <v>2.2382400000000002</v>
      </c>
      <c r="L174" s="1868">
        <v>2.2627700000000002</v>
      </c>
      <c r="M174" s="1868">
        <v>2.3991400000000001</v>
      </c>
      <c r="N174" s="1868">
        <v>2.3811</v>
      </c>
      <c r="O174" s="1868">
        <v>2.3344900000000002</v>
      </c>
      <c r="P174" s="1868">
        <v>2.47376</v>
      </c>
      <c r="Q174" s="1868">
        <v>2.4355700000000002</v>
      </c>
      <c r="R174" s="1868">
        <v>2.5375799999999997</v>
      </c>
      <c r="S174" s="1868">
        <v>2.4824200000000003</v>
      </c>
      <c r="T174" s="1868">
        <v>2.6124499999999999</v>
      </c>
      <c r="U174" s="1868">
        <v>2.7341700000000002</v>
      </c>
      <c r="V174" s="1868">
        <v>2.6974099999999996</v>
      </c>
      <c r="W174" s="1868">
        <v>2.7916099999999999</v>
      </c>
      <c r="X174" s="1868">
        <v>2.87988</v>
      </c>
      <c r="Y174" s="1868">
        <v>3.0447299999999999</v>
      </c>
      <c r="Z174" s="1868">
        <v>3.21766</v>
      </c>
      <c r="AA174" s="1868">
        <v>3.3035800000000002</v>
      </c>
      <c r="AB174" s="1868">
        <v>3.3179400000000001</v>
      </c>
      <c r="AC174" s="1868">
        <v>3.3154699999999999</v>
      </c>
      <c r="AD174" s="1868">
        <v>3.3494000000000002</v>
      </c>
      <c r="AE174" s="1868">
        <v>3.40869</v>
      </c>
      <c r="AF174" s="1868">
        <v>3.5396000000000001</v>
      </c>
      <c r="AG174" s="1868">
        <v>3.6072300000000004</v>
      </c>
      <c r="AH174" s="1868">
        <v>3.6113800000000005</v>
      </c>
      <c r="AI174" s="1868">
        <v>3.67455</v>
      </c>
      <c r="AJ174" s="1868">
        <v>3.7102199999999996</v>
      </c>
      <c r="AK174" s="1868">
        <v>3.74241</v>
      </c>
      <c r="AL174" s="1868">
        <v>3.7346599999999999</v>
      </c>
      <c r="AM174" s="1868">
        <v>3.85345</v>
      </c>
      <c r="AN174" s="1868">
        <v>3.8852699999999998</v>
      </c>
      <c r="AO174" s="1868">
        <v>3.9012899999999999</v>
      </c>
      <c r="AP174" s="1868">
        <v>3.9528599999999998</v>
      </c>
      <c r="AQ174" s="1868">
        <v>3.94909</v>
      </c>
      <c r="AR174" s="1868">
        <v>4.0015999999999998</v>
      </c>
      <c r="AS174" s="1868">
        <v>3.9176900000000003</v>
      </c>
      <c r="AT174" s="1868">
        <v>4.0133300000000007</v>
      </c>
      <c r="AU174" s="1868">
        <v>4.0981800000000002</v>
      </c>
      <c r="AV174" s="1868">
        <v>4.1726800000000006</v>
      </c>
      <c r="AW174" s="1868">
        <v>4.1912000000000003</v>
      </c>
      <c r="AX174" s="1868">
        <v>4.3021199999999995</v>
      </c>
      <c r="AY174" s="1868">
        <v>4.4297599999999999</v>
      </c>
      <c r="AZ174" s="1868">
        <v>4.3910599999999995</v>
      </c>
      <c r="BA174" s="1868">
        <v>4.4476500000000003</v>
      </c>
    </row>
    <row r="175" spans="1:53">
      <c r="A175" s="1865" t="str">
        <f t="shared" si="2"/>
        <v>AsiaRoots and Tubers, nes</v>
      </c>
      <c r="B175" s="1866" t="s">
        <v>433</v>
      </c>
      <c r="C175" s="1866" t="s">
        <v>1356</v>
      </c>
      <c r="D175" s="1868">
        <v>5.3120099999999999</v>
      </c>
      <c r="E175" s="1868">
        <v>5.3333900000000005</v>
      </c>
      <c r="F175" s="1868">
        <v>5.3826700000000001</v>
      </c>
      <c r="G175" s="1868">
        <v>5.4129300000000002</v>
      </c>
      <c r="H175" s="1868">
        <v>5.37242</v>
      </c>
      <c r="I175" s="1868">
        <v>5.3600099999999999</v>
      </c>
      <c r="J175" s="1868">
        <v>5.3644300000000005</v>
      </c>
      <c r="K175" s="1868">
        <v>5.2876199999999995</v>
      </c>
      <c r="L175" s="1868">
        <v>5.28498</v>
      </c>
      <c r="M175" s="1868">
        <v>5.3693</v>
      </c>
      <c r="N175" s="1868">
        <v>5.2956000000000003</v>
      </c>
      <c r="O175" s="1868">
        <v>5.3515199999999998</v>
      </c>
      <c r="P175" s="1868">
        <v>5.3399900000000002</v>
      </c>
      <c r="Q175" s="1868">
        <v>5.3173399999999997</v>
      </c>
      <c r="R175" s="1868">
        <v>5.7346500000000002</v>
      </c>
      <c r="S175" s="1868">
        <v>6.085</v>
      </c>
      <c r="T175" s="1868">
        <v>6.0075400000000005</v>
      </c>
      <c r="U175" s="1868">
        <v>6.2079800000000001</v>
      </c>
      <c r="V175" s="1868">
        <v>6.02597</v>
      </c>
      <c r="W175" s="1868">
        <v>6.3360099999999999</v>
      </c>
      <c r="X175" s="1868">
        <v>6.9324500000000002</v>
      </c>
      <c r="Y175" s="1868">
        <v>6.8942100000000002</v>
      </c>
      <c r="Z175" s="1868">
        <v>7.1405000000000003</v>
      </c>
      <c r="AA175" s="1868">
        <v>6.7697199999999995</v>
      </c>
      <c r="AB175" s="1868">
        <v>6.7644199999999994</v>
      </c>
      <c r="AC175" s="1868">
        <v>6.6622500000000002</v>
      </c>
      <c r="AD175" s="1868">
        <v>7.0293000000000001</v>
      </c>
      <c r="AE175" s="1868">
        <v>7.0883199999999995</v>
      </c>
      <c r="AF175" s="1868">
        <v>7.0399600000000007</v>
      </c>
      <c r="AG175" s="1868">
        <v>7.1925399999999993</v>
      </c>
      <c r="AH175" s="1868">
        <v>7.1575499999999996</v>
      </c>
      <c r="AI175" s="1868">
        <v>7.2269100000000002</v>
      </c>
      <c r="AJ175" s="1868">
        <v>7.2428499999999998</v>
      </c>
      <c r="AK175" s="1868">
        <v>7.5688699999999995</v>
      </c>
      <c r="AL175" s="1868">
        <v>7.8702600000000009</v>
      </c>
      <c r="AM175" s="1868">
        <v>8.1030899999999999</v>
      </c>
      <c r="AN175" s="1868">
        <v>8.1890000000000001</v>
      </c>
      <c r="AO175" s="1868">
        <v>8.4912200000000002</v>
      </c>
      <c r="AP175" s="1868">
        <v>8.3631700000000002</v>
      </c>
      <c r="AQ175" s="1868">
        <v>8.6288600000000013</v>
      </c>
      <c r="AR175" s="1868">
        <v>8.7168799999999997</v>
      </c>
      <c r="AS175" s="1868">
        <v>8.6473300000000002</v>
      </c>
      <c r="AT175" s="1868">
        <v>8.588989999999999</v>
      </c>
      <c r="AU175" s="1868">
        <v>9.1006</v>
      </c>
      <c r="AV175" s="1868">
        <v>8.9421199999999992</v>
      </c>
      <c r="AW175" s="1868">
        <v>9.0573100000000011</v>
      </c>
      <c r="AX175" s="1868">
        <v>9.4265100000000004</v>
      </c>
      <c r="AY175" s="1868">
        <v>8.8178800000000006</v>
      </c>
      <c r="AZ175" s="1868">
        <v>8.243030000000001</v>
      </c>
      <c r="BA175" s="1868">
        <v>8.15367</v>
      </c>
    </row>
    <row r="176" spans="1:53">
      <c r="A176" s="1865" t="str">
        <f t="shared" si="2"/>
        <v>AsiaRye</v>
      </c>
      <c r="B176" s="1866" t="s">
        <v>433</v>
      </c>
      <c r="C176" s="1866" t="s">
        <v>1353</v>
      </c>
      <c r="D176" s="1868">
        <v>0.96045000000000003</v>
      </c>
      <c r="E176" s="1868">
        <v>0.88832999999999995</v>
      </c>
      <c r="F176" s="1868">
        <v>1.00318</v>
      </c>
      <c r="G176" s="1868">
        <v>1.0189999999999999</v>
      </c>
      <c r="H176" s="1868">
        <v>1.1209</v>
      </c>
      <c r="I176" s="1868">
        <v>1.0123200000000001</v>
      </c>
      <c r="J176" s="1868">
        <v>1.0829200000000001</v>
      </c>
      <c r="K176" s="1868">
        <v>1.0746200000000001</v>
      </c>
      <c r="L176" s="1868">
        <v>1.0706500000000001</v>
      </c>
      <c r="M176" s="1868">
        <v>1.0174000000000001</v>
      </c>
      <c r="N176" s="1868">
        <v>1.1416899999999999</v>
      </c>
      <c r="O176" s="1868">
        <v>1.0803100000000001</v>
      </c>
      <c r="P176" s="1868">
        <v>1.12822</v>
      </c>
      <c r="Q176" s="1868">
        <v>1.0894200000000001</v>
      </c>
      <c r="R176" s="1868">
        <v>1.3520700000000001</v>
      </c>
      <c r="S176" s="1868">
        <v>1.4360700000000002</v>
      </c>
      <c r="T176" s="1868">
        <v>1.1665700000000001</v>
      </c>
      <c r="U176" s="1868">
        <v>1.35955</v>
      </c>
      <c r="V176" s="1868">
        <v>1.6469400000000001</v>
      </c>
      <c r="W176" s="1868">
        <v>1.4390100000000001</v>
      </c>
      <c r="X176" s="1868">
        <v>1.47845</v>
      </c>
      <c r="Y176" s="1868">
        <v>1.6455099999999998</v>
      </c>
      <c r="Z176" s="1868">
        <v>1.7950400000000002</v>
      </c>
      <c r="AA176" s="1868">
        <v>2.0592599999999996</v>
      </c>
      <c r="AB176" s="1868">
        <v>1.7623900000000001</v>
      </c>
      <c r="AC176" s="1868">
        <v>1.56785</v>
      </c>
      <c r="AD176" s="1868">
        <v>1.6703599999999998</v>
      </c>
      <c r="AE176" s="1868">
        <v>1.58847</v>
      </c>
      <c r="AF176" s="1868">
        <v>1.4211400000000001</v>
      </c>
      <c r="AG176" s="1868">
        <v>1.4704200000000001</v>
      </c>
      <c r="AH176" s="1868">
        <v>1.5066299999999999</v>
      </c>
      <c r="AI176" s="1868">
        <v>1.38008</v>
      </c>
      <c r="AJ176" s="1868">
        <v>1.5165799999999998</v>
      </c>
      <c r="AK176" s="1868">
        <v>1.4964200000000001</v>
      </c>
      <c r="AL176" s="1868">
        <v>1.43357</v>
      </c>
      <c r="AM176" s="1868">
        <v>1.85572</v>
      </c>
      <c r="AN176" s="1868">
        <v>1.8143200000000002</v>
      </c>
      <c r="AO176" s="1868">
        <v>1.59914</v>
      </c>
      <c r="AP176" s="1868">
        <v>1.6957500000000001</v>
      </c>
      <c r="AQ176" s="1868">
        <v>1.5689600000000001</v>
      </c>
      <c r="AR176" s="1868">
        <v>1.3550599999999999</v>
      </c>
      <c r="AS176" s="1868">
        <v>1.48445</v>
      </c>
      <c r="AT176" s="1868">
        <v>1.9004700000000001</v>
      </c>
      <c r="AU176" s="1868">
        <v>1.89527</v>
      </c>
      <c r="AV176" s="1868">
        <v>1.8482900000000002</v>
      </c>
      <c r="AW176" s="1868">
        <v>1.4392799999999999</v>
      </c>
      <c r="AX176" s="1868">
        <v>2.0539000000000001</v>
      </c>
      <c r="AY176" s="1868">
        <v>2.2915799999999997</v>
      </c>
      <c r="AZ176" s="1868">
        <v>2.6074200000000003</v>
      </c>
      <c r="BA176" s="1868">
        <v>2.7393099999999997</v>
      </c>
    </row>
    <row r="177" spans="1:53">
      <c r="A177" s="1865" t="str">
        <f t="shared" si="2"/>
        <v>AsiaSeed cotton</v>
      </c>
      <c r="B177" s="1866" t="s">
        <v>433</v>
      </c>
      <c r="C177" s="1866" t="s">
        <v>1397</v>
      </c>
      <c r="D177" s="1868">
        <v>0.52426000000000006</v>
      </c>
      <c r="E177" s="1868">
        <v>0.57541999999999993</v>
      </c>
      <c r="F177" s="1868">
        <v>0.64481999999999995</v>
      </c>
      <c r="G177" s="1868">
        <v>0.69236999999999993</v>
      </c>
      <c r="H177" s="1868">
        <v>0.78295999999999999</v>
      </c>
      <c r="I177" s="1868">
        <v>0.84292000000000011</v>
      </c>
      <c r="J177" s="1868">
        <v>0.85316000000000003</v>
      </c>
      <c r="K177" s="1868">
        <v>0.89261000000000001</v>
      </c>
      <c r="L177" s="1868">
        <v>0.83886000000000005</v>
      </c>
      <c r="M177" s="1868">
        <v>0.86819000000000002</v>
      </c>
      <c r="N177" s="1868">
        <v>0.91512000000000004</v>
      </c>
      <c r="O177" s="1868">
        <v>0.88157999999999992</v>
      </c>
      <c r="P177" s="1868">
        <v>1.0086700000000002</v>
      </c>
      <c r="Q177" s="1868">
        <v>0.99582000000000004</v>
      </c>
      <c r="R177" s="1868">
        <v>0.93846000000000007</v>
      </c>
      <c r="S177" s="1868">
        <v>0.88522000000000012</v>
      </c>
      <c r="T177" s="1868">
        <v>0.89906000000000008</v>
      </c>
      <c r="U177" s="1868">
        <v>0.89593999999999996</v>
      </c>
      <c r="V177" s="1868">
        <v>0.95261000000000007</v>
      </c>
      <c r="W177" s="1868">
        <v>1.02844</v>
      </c>
      <c r="X177" s="1868">
        <v>1.0499000000000001</v>
      </c>
      <c r="Y177" s="1868">
        <v>1.1415299999999999</v>
      </c>
      <c r="Z177" s="1868">
        <v>1.23224</v>
      </c>
      <c r="AA177" s="1868">
        <v>1.6032899999999999</v>
      </c>
      <c r="AB177" s="1868">
        <v>1.4153200000000001</v>
      </c>
      <c r="AC177" s="1868">
        <v>1.3764700000000001</v>
      </c>
      <c r="AD177" s="1868">
        <v>1.5187600000000001</v>
      </c>
      <c r="AE177" s="1868">
        <v>1.43424</v>
      </c>
      <c r="AF177" s="1868">
        <v>1.44855</v>
      </c>
      <c r="AG177" s="1868">
        <v>1.5633700000000001</v>
      </c>
      <c r="AH177" s="1868">
        <v>1.7175799999999999</v>
      </c>
      <c r="AI177" s="1868">
        <v>1.56589</v>
      </c>
      <c r="AJ177" s="1868">
        <v>1.58314</v>
      </c>
      <c r="AK177" s="1868">
        <v>1.6427799999999999</v>
      </c>
      <c r="AL177" s="1868">
        <v>1.6750099999999999</v>
      </c>
      <c r="AM177" s="1868">
        <v>1.56853</v>
      </c>
      <c r="AN177" s="1868">
        <v>1.61408</v>
      </c>
      <c r="AO177" s="1868">
        <v>1.5817000000000001</v>
      </c>
      <c r="AP177" s="1868">
        <v>1.6704299999999999</v>
      </c>
      <c r="AQ177" s="1868">
        <v>1.6687700000000001</v>
      </c>
      <c r="AR177" s="1868">
        <v>1.7151099999999999</v>
      </c>
      <c r="AS177" s="1868">
        <v>1.7990900000000001</v>
      </c>
      <c r="AT177" s="1868">
        <v>1.81856</v>
      </c>
      <c r="AU177" s="1868">
        <v>2.0723700000000003</v>
      </c>
      <c r="AV177" s="1868">
        <v>2.0814599999999999</v>
      </c>
      <c r="AW177" s="1868">
        <v>2.1713400000000003</v>
      </c>
      <c r="AX177" s="1868">
        <v>2.3168900000000003</v>
      </c>
      <c r="AY177" s="1868">
        <v>2.2482099999999998</v>
      </c>
      <c r="AZ177" s="1868">
        <v>2.1126299999999998</v>
      </c>
      <c r="BA177" s="1868">
        <v>2.22567</v>
      </c>
    </row>
    <row r="178" spans="1:53">
      <c r="A178" s="1865" t="str">
        <f t="shared" si="2"/>
        <v>AsiaSesame seed</v>
      </c>
      <c r="B178" s="1866" t="s">
        <v>433</v>
      </c>
      <c r="C178" s="1866" t="s">
        <v>1345</v>
      </c>
      <c r="D178" s="1868">
        <v>0.21764</v>
      </c>
      <c r="E178" s="1868">
        <v>0.24741999999999997</v>
      </c>
      <c r="F178" s="1868">
        <v>0.23956999999999998</v>
      </c>
      <c r="G178" s="1868">
        <v>0.25398999999999999</v>
      </c>
      <c r="H178" s="1868">
        <v>0.22585</v>
      </c>
      <c r="I178" s="1868">
        <v>0.21948000000000001</v>
      </c>
      <c r="J178" s="1868">
        <v>0.24024000000000001</v>
      </c>
      <c r="K178" s="1868">
        <v>0.24243000000000001</v>
      </c>
      <c r="L178" s="1868">
        <v>0.25808000000000003</v>
      </c>
      <c r="M178" s="1868">
        <v>0.28058</v>
      </c>
      <c r="N178" s="1868">
        <v>0.25661</v>
      </c>
      <c r="O178" s="1868">
        <v>0.23730000000000001</v>
      </c>
      <c r="P178" s="1868">
        <v>0.25992999999999999</v>
      </c>
      <c r="Q178" s="1868">
        <v>0.24734</v>
      </c>
      <c r="R178" s="1868">
        <v>0.26316999999999996</v>
      </c>
      <c r="S178" s="1868">
        <v>0.25539000000000001</v>
      </c>
      <c r="T178" s="1868">
        <v>0.26995999999999998</v>
      </c>
      <c r="U178" s="1868">
        <v>0.29069</v>
      </c>
      <c r="V178" s="1868">
        <v>0.25775999999999999</v>
      </c>
      <c r="W178" s="1868">
        <v>0.23896999999999999</v>
      </c>
      <c r="X178" s="1868">
        <v>0.32577</v>
      </c>
      <c r="Y178" s="1868">
        <v>0.29628000000000004</v>
      </c>
      <c r="Z178" s="1868">
        <v>0.30806</v>
      </c>
      <c r="AA178" s="1868">
        <v>0.34389000000000003</v>
      </c>
      <c r="AB178" s="1868">
        <v>0.35820000000000002</v>
      </c>
      <c r="AC178" s="1868">
        <v>0.33881999999999995</v>
      </c>
      <c r="AD178" s="1868">
        <v>0.36143999999999998</v>
      </c>
      <c r="AE178" s="1868">
        <v>0.35733999999999999</v>
      </c>
      <c r="AF178" s="1868">
        <v>0.35236000000000001</v>
      </c>
      <c r="AG178" s="1868">
        <v>0.38685999999999998</v>
      </c>
      <c r="AH178" s="1868">
        <v>0.33883000000000002</v>
      </c>
      <c r="AI178" s="1868">
        <v>0.41316999999999998</v>
      </c>
      <c r="AJ178" s="1868">
        <v>0.36919000000000002</v>
      </c>
      <c r="AK178" s="1868">
        <v>0.40044999999999997</v>
      </c>
      <c r="AL178" s="1868">
        <v>0.41558</v>
      </c>
      <c r="AM178" s="1868">
        <v>0.44133999999999995</v>
      </c>
      <c r="AN178" s="1868">
        <v>0.46816000000000002</v>
      </c>
      <c r="AO178" s="1868">
        <v>0.50012000000000001</v>
      </c>
      <c r="AP178" s="1868">
        <v>0.49588000000000004</v>
      </c>
      <c r="AQ178" s="1868">
        <v>0.48406000000000005</v>
      </c>
      <c r="AR178" s="1868">
        <v>0.52098999999999995</v>
      </c>
      <c r="AS178" s="1868">
        <v>0.51995000000000002</v>
      </c>
      <c r="AT178" s="1868">
        <v>0.52112999999999998</v>
      </c>
      <c r="AU178" s="1868">
        <v>0.52583999999999997</v>
      </c>
      <c r="AV178" s="1868">
        <v>0.50729999999999997</v>
      </c>
      <c r="AW178" s="1868">
        <v>0.58674999999999999</v>
      </c>
      <c r="AX178" s="1868">
        <v>0.57965</v>
      </c>
      <c r="AY178" s="1868">
        <v>0.59026999999999996</v>
      </c>
      <c r="AZ178" s="1868">
        <v>0.56173000000000006</v>
      </c>
      <c r="BA178" s="1868">
        <v>0.52076</v>
      </c>
    </row>
    <row r="179" spans="1:53">
      <c r="A179" s="1865" t="str">
        <f t="shared" si="2"/>
        <v>AsiaSisal</v>
      </c>
      <c r="B179" s="1866" t="s">
        <v>433</v>
      </c>
      <c r="C179" s="1866" t="s">
        <v>1398</v>
      </c>
      <c r="D179" s="1868">
        <v>1.5826499999999999</v>
      </c>
      <c r="E179" s="1868">
        <v>1.1838500000000001</v>
      </c>
      <c r="F179" s="1868">
        <v>1.03932</v>
      </c>
      <c r="G179" s="1868">
        <v>1.1060099999999999</v>
      </c>
      <c r="H179" s="1868">
        <v>1.1005799999999999</v>
      </c>
      <c r="I179" s="1868">
        <v>1.2285999999999999</v>
      </c>
      <c r="J179" s="1868">
        <v>1.25668</v>
      </c>
      <c r="K179" s="1868">
        <v>1.35145</v>
      </c>
      <c r="L179" s="1868">
        <v>1.36415</v>
      </c>
      <c r="M179" s="1868">
        <v>1.3608200000000001</v>
      </c>
      <c r="N179" s="1868">
        <v>1.22916</v>
      </c>
      <c r="O179" s="1868">
        <v>1.1891100000000001</v>
      </c>
      <c r="P179" s="1868">
        <v>1.151</v>
      </c>
      <c r="Q179" s="1868">
        <v>1.2621500000000001</v>
      </c>
      <c r="R179" s="1868">
        <v>1.15899</v>
      </c>
      <c r="S179" s="1868">
        <v>1.2018</v>
      </c>
      <c r="T179" s="1868">
        <v>1.16309</v>
      </c>
      <c r="U179" s="1868">
        <v>1.2729600000000001</v>
      </c>
      <c r="V179" s="1868">
        <v>1.34582</v>
      </c>
      <c r="W179" s="1868">
        <v>1.3466400000000001</v>
      </c>
      <c r="X179" s="1868">
        <v>1.3560700000000001</v>
      </c>
      <c r="Y179" s="1868">
        <v>1.26145</v>
      </c>
      <c r="Z179" s="1868">
        <v>1.2929200000000001</v>
      </c>
      <c r="AA179" s="1868">
        <v>1.3483499999999999</v>
      </c>
      <c r="AB179" s="1868">
        <v>1.24116</v>
      </c>
      <c r="AC179" s="1868">
        <v>1.26732</v>
      </c>
      <c r="AD179" s="1868">
        <v>1.32667</v>
      </c>
      <c r="AE179" s="1868">
        <v>1.2906500000000001</v>
      </c>
      <c r="AF179" s="1868">
        <v>1.3992100000000001</v>
      </c>
      <c r="AG179" s="1868">
        <v>2.2367699999999999</v>
      </c>
      <c r="AH179" s="1868">
        <v>2.13531</v>
      </c>
      <c r="AI179" s="1868">
        <v>2.17835</v>
      </c>
      <c r="AJ179" s="1868">
        <v>2.3927900000000002</v>
      </c>
      <c r="AK179" s="1868">
        <v>2.6913800000000001</v>
      </c>
      <c r="AL179" s="1868">
        <v>3.4294199999999999</v>
      </c>
      <c r="AM179" s="1868">
        <v>2.3869199999999999</v>
      </c>
      <c r="AN179" s="1868">
        <v>2.6665099999999997</v>
      </c>
      <c r="AO179" s="1868">
        <v>2.97</v>
      </c>
      <c r="AP179" s="1868">
        <v>3.19068</v>
      </c>
      <c r="AQ179" s="1868">
        <v>3.6951400000000003</v>
      </c>
      <c r="AR179" s="1868">
        <v>3.0593699999999999</v>
      </c>
      <c r="AS179" s="1868">
        <v>3.9541699999999995</v>
      </c>
      <c r="AT179" s="1868">
        <v>5.1509199999999993</v>
      </c>
      <c r="AU179" s="1868">
        <v>5.9454000000000002</v>
      </c>
      <c r="AV179" s="1868">
        <v>3.7959199999999997</v>
      </c>
      <c r="AW179" s="1868">
        <v>3.8096800000000002</v>
      </c>
      <c r="AX179" s="1868">
        <v>3.9922699999999995</v>
      </c>
      <c r="AY179" s="1868">
        <v>4.4527400000000004</v>
      </c>
      <c r="AZ179" s="1868">
        <v>4.4771800000000006</v>
      </c>
      <c r="BA179" s="1868">
        <v>5.0189900000000005</v>
      </c>
    </row>
    <row r="180" spans="1:53">
      <c r="A180" s="1865" t="str">
        <f t="shared" si="2"/>
        <v>AsiaSorghum</v>
      </c>
      <c r="B180" s="1866" t="s">
        <v>433</v>
      </c>
      <c r="C180" s="1866" t="s">
        <v>1399</v>
      </c>
      <c r="D180" s="1868">
        <v>0.58076000000000005</v>
      </c>
      <c r="E180" s="1868">
        <v>0.63744000000000001</v>
      </c>
      <c r="F180" s="1868">
        <v>0.65649999999999997</v>
      </c>
      <c r="G180" s="1868">
        <v>0.71514999999999995</v>
      </c>
      <c r="H180" s="1868">
        <v>0.62490000000000001</v>
      </c>
      <c r="I180" s="1868">
        <v>0.74291000000000007</v>
      </c>
      <c r="J180" s="1868">
        <v>0.76213999999999993</v>
      </c>
      <c r="K180" s="1868">
        <v>0.7409</v>
      </c>
      <c r="L180" s="1868">
        <v>0.72786000000000006</v>
      </c>
      <c r="M180" s="1868">
        <v>0.74726000000000004</v>
      </c>
      <c r="N180" s="1868">
        <v>0.76028999999999991</v>
      </c>
      <c r="O180" s="1868">
        <v>0.73011999999999999</v>
      </c>
      <c r="P180" s="1868">
        <v>0.82576000000000005</v>
      </c>
      <c r="Q180" s="1868">
        <v>0.88685999999999998</v>
      </c>
      <c r="R180" s="1868">
        <v>0.87052999999999991</v>
      </c>
      <c r="S180" s="1868">
        <v>0.93458999999999992</v>
      </c>
      <c r="T180" s="1868">
        <v>0.96178999999999992</v>
      </c>
      <c r="U180" s="1868">
        <v>0.97885</v>
      </c>
      <c r="V180" s="1868">
        <v>0.95952999999999988</v>
      </c>
      <c r="W180" s="1868">
        <v>0.91598999999999997</v>
      </c>
      <c r="X180" s="1868">
        <v>0.96797999999999995</v>
      </c>
      <c r="Y180" s="1868">
        <v>0.91982000000000008</v>
      </c>
      <c r="Z180" s="1868">
        <v>1.0354399999999999</v>
      </c>
      <c r="AA180" s="1868">
        <v>1.0168200000000001</v>
      </c>
      <c r="AB180" s="1868">
        <v>0.86922999999999995</v>
      </c>
      <c r="AC180" s="1868">
        <v>0.81941000000000008</v>
      </c>
      <c r="AD180" s="1868">
        <v>0.98281000000000007</v>
      </c>
      <c r="AE180" s="1868">
        <v>0.96078999999999992</v>
      </c>
      <c r="AF180" s="1868">
        <v>1.0490299999999999</v>
      </c>
      <c r="AG180" s="1868">
        <v>1.0795999999999999</v>
      </c>
      <c r="AH180" s="1868">
        <v>0.94233999999999996</v>
      </c>
      <c r="AI180" s="1868">
        <v>1.20509</v>
      </c>
      <c r="AJ180" s="1868">
        <v>1.19204</v>
      </c>
      <c r="AK180" s="1868">
        <v>1.17031</v>
      </c>
      <c r="AL180" s="1868">
        <v>1.11426</v>
      </c>
      <c r="AM180" s="1868">
        <v>1.2807200000000001</v>
      </c>
      <c r="AN180" s="1868">
        <v>0.93231000000000008</v>
      </c>
      <c r="AO180" s="1868">
        <v>1.1446000000000001</v>
      </c>
      <c r="AP180" s="1868">
        <v>1.0615000000000001</v>
      </c>
      <c r="AQ180" s="1868">
        <v>0.95012999999999992</v>
      </c>
      <c r="AR180" s="1868">
        <v>0.97638999999999998</v>
      </c>
      <c r="AS180" s="1868">
        <v>1.0228700000000002</v>
      </c>
      <c r="AT180" s="1868">
        <v>0.98380000000000001</v>
      </c>
      <c r="AU180" s="1868">
        <v>0.91442000000000012</v>
      </c>
      <c r="AV180" s="1868">
        <v>1.00281</v>
      </c>
      <c r="AW180" s="1868">
        <v>1.1020299999999998</v>
      </c>
      <c r="AX180" s="1868">
        <v>1.01539</v>
      </c>
      <c r="AY180" s="1868">
        <v>1.1725299999999999</v>
      </c>
      <c r="AZ180" s="1868">
        <v>1.1070500000000001</v>
      </c>
      <c r="BA180" s="1868">
        <v>1.0806799999999999</v>
      </c>
    </row>
    <row r="181" spans="1:53">
      <c r="A181" s="1865" t="str">
        <f t="shared" si="2"/>
        <v>AsiaSoybeans</v>
      </c>
      <c r="B181" s="1866" t="s">
        <v>433</v>
      </c>
      <c r="C181" s="1866" t="s">
        <v>1359</v>
      </c>
      <c r="D181" s="1868">
        <v>0.64439000000000002</v>
      </c>
      <c r="E181" s="1868">
        <v>0.69311</v>
      </c>
      <c r="F181" s="1868">
        <v>0.72045999999999999</v>
      </c>
      <c r="G181" s="1868">
        <v>0.77706000000000008</v>
      </c>
      <c r="H181" s="1868">
        <v>0.71676000000000006</v>
      </c>
      <c r="I181" s="1868">
        <v>0.94817999999999991</v>
      </c>
      <c r="J181" s="1868">
        <v>0.94722000000000006</v>
      </c>
      <c r="K181" s="1868">
        <v>0.93487999999999993</v>
      </c>
      <c r="L181" s="1868">
        <v>0.90259999999999996</v>
      </c>
      <c r="M181" s="1868">
        <v>1.0474600000000001</v>
      </c>
      <c r="N181" s="1868">
        <v>1.06464</v>
      </c>
      <c r="O181" s="1868">
        <v>0.85238999999999998</v>
      </c>
      <c r="P181" s="1868">
        <v>1.0730600000000001</v>
      </c>
      <c r="Q181" s="1868">
        <v>1.00966</v>
      </c>
      <c r="R181" s="1868">
        <v>1.0188600000000001</v>
      </c>
      <c r="S181" s="1868">
        <v>0.99411000000000005</v>
      </c>
      <c r="T181" s="1868">
        <v>1.0456299999999998</v>
      </c>
      <c r="U181" s="1868">
        <v>1.05125</v>
      </c>
      <c r="V181" s="1868">
        <v>1.0059200000000001</v>
      </c>
      <c r="W181" s="1868">
        <v>1.0595000000000001</v>
      </c>
      <c r="X181" s="1868">
        <v>1.1202299999999998</v>
      </c>
      <c r="Y181" s="1868">
        <v>1.0427200000000001</v>
      </c>
      <c r="Z181" s="1868">
        <v>1.2110000000000001</v>
      </c>
      <c r="AA181" s="1868">
        <v>1.22926</v>
      </c>
      <c r="AB181" s="1868">
        <v>1.2561</v>
      </c>
      <c r="AC181" s="1868">
        <v>1.2527200000000001</v>
      </c>
      <c r="AD181" s="1868">
        <v>1.2907</v>
      </c>
      <c r="AE181" s="1868">
        <v>1.3206799999999999</v>
      </c>
      <c r="AF181" s="1868">
        <v>1.1841899999999999</v>
      </c>
      <c r="AG181" s="1868">
        <v>1.3214999999999999</v>
      </c>
      <c r="AH181" s="1868">
        <v>1.2037100000000001</v>
      </c>
      <c r="AI181" s="1868">
        <v>1.2420200000000001</v>
      </c>
      <c r="AJ181" s="1868">
        <v>1.4134500000000001</v>
      </c>
      <c r="AK181" s="1868">
        <v>1.4301600000000001</v>
      </c>
      <c r="AL181" s="1868">
        <v>1.3848100000000001</v>
      </c>
      <c r="AM181" s="1868">
        <v>1.4343900000000001</v>
      </c>
      <c r="AN181" s="1868">
        <v>1.4524600000000001</v>
      </c>
      <c r="AO181" s="1868">
        <v>1.45557</v>
      </c>
      <c r="AP181" s="1868">
        <v>1.4667700000000001</v>
      </c>
      <c r="AQ181" s="1868">
        <v>1.3121100000000001</v>
      </c>
      <c r="AR181" s="1868">
        <v>1.34619</v>
      </c>
      <c r="AS181" s="1868">
        <v>1.42147</v>
      </c>
      <c r="AT181" s="1868">
        <v>1.4532200000000002</v>
      </c>
      <c r="AU181" s="1868">
        <v>1.4093100000000001</v>
      </c>
      <c r="AV181" s="1868">
        <v>1.42459</v>
      </c>
      <c r="AW181" s="1868">
        <v>1.3844000000000001</v>
      </c>
      <c r="AX181" s="1868">
        <v>1.3509799999999998</v>
      </c>
      <c r="AY181" s="1868">
        <v>1.3726499999999999</v>
      </c>
      <c r="AZ181" s="1868">
        <v>1.3332899999999999</v>
      </c>
      <c r="BA181" s="1868">
        <v>1.4099600000000001</v>
      </c>
    </row>
    <row r="182" spans="1:53">
      <c r="A182" s="1865" t="str">
        <f t="shared" si="2"/>
        <v>AsiaStrawberries</v>
      </c>
      <c r="B182" s="1866" t="s">
        <v>433</v>
      </c>
      <c r="C182" s="1866" t="s">
        <v>1400</v>
      </c>
      <c r="D182" s="1868">
        <v>6.7850399999999995</v>
      </c>
      <c r="E182" s="1868">
        <v>6.7936199999999998</v>
      </c>
      <c r="F182" s="1868">
        <v>6.7713399999999995</v>
      </c>
      <c r="G182" s="1868">
        <v>7.6181899999999994</v>
      </c>
      <c r="H182" s="1868">
        <v>7.4523399999999995</v>
      </c>
      <c r="I182" s="1868">
        <v>8.6968499999999995</v>
      </c>
      <c r="J182" s="1868">
        <v>8.4294100000000007</v>
      </c>
      <c r="K182" s="1868">
        <v>9.0535899999999998</v>
      </c>
      <c r="L182" s="1868">
        <v>9.4260800000000007</v>
      </c>
      <c r="M182" s="1868">
        <v>9.61022</v>
      </c>
      <c r="N182" s="1868">
        <v>10.467939999999999</v>
      </c>
      <c r="O182" s="1868">
        <v>11.177989999999999</v>
      </c>
      <c r="P182" s="1868">
        <v>11.94669</v>
      </c>
      <c r="Q182" s="1868">
        <v>11.09079</v>
      </c>
      <c r="R182" s="1868">
        <v>11.3851</v>
      </c>
      <c r="S182" s="1868">
        <v>11.669499999999999</v>
      </c>
      <c r="T182" s="1868">
        <v>12.400600000000001</v>
      </c>
      <c r="U182" s="1868">
        <v>12.99602</v>
      </c>
      <c r="V182" s="1868">
        <v>12.555630000000001</v>
      </c>
      <c r="W182" s="1868">
        <v>12.045680000000001</v>
      </c>
      <c r="X182" s="1868">
        <v>12.09051</v>
      </c>
      <c r="Y182" s="1868">
        <v>12.999460000000001</v>
      </c>
      <c r="Z182" s="1868">
        <v>12.91855</v>
      </c>
      <c r="AA182" s="1868">
        <v>13.15559</v>
      </c>
      <c r="AB182" s="1868">
        <v>13.7064</v>
      </c>
      <c r="AC182" s="1868">
        <v>14.099270000000001</v>
      </c>
      <c r="AD182" s="1868">
        <v>14.74859</v>
      </c>
      <c r="AE182" s="1868">
        <v>15.83794</v>
      </c>
      <c r="AF182" s="1868">
        <v>16.15972</v>
      </c>
      <c r="AG182" s="1868">
        <v>16.382639999999999</v>
      </c>
      <c r="AH182" s="1868">
        <v>16.285510000000002</v>
      </c>
      <c r="AI182" s="1868">
        <v>14.81732</v>
      </c>
      <c r="AJ182" s="1868">
        <v>15.496889999999999</v>
      </c>
      <c r="AK182" s="1868">
        <v>15.880879999999999</v>
      </c>
      <c r="AL182" s="1868">
        <v>16.855979999999999</v>
      </c>
      <c r="AM182" s="1868">
        <v>17.685739999999999</v>
      </c>
      <c r="AN182" s="1868">
        <v>17.066879999999998</v>
      </c>
      <c r="AO182" s="1868">
        <v>17.161049999999999</v>
      </c>
      <c r="AP182" s="1868">
        <v>17.837689999999998</v>
      </c>
      <c r="AQ182" s="1868">
        <v>18.023260000000001</v>
      </c>
      <c r="AR182" s="1868">
        <v>18.22146</v>
      </c>
      <c r="AS182" s="1868">
        <v>19.33127</v>
      </c>
      <c r="AT182" s="1868">
        <v>18.768270000000001</v>
      </c>
      <c r="AU182" s="1868">
        <v>19.33539</v>
      </c>
      <c r="AV182" s="1868">
        <v>20.089939999999999</v>
      </c>
      <c r="AW182" s="1868">
        <v>21.600300000000001</v>
      </c>
      <c r="AX182" s="1868">
        <v>22.213200000000001</v>
      </c>
      <c r="AY182" s="1868">
        <v>23.602629999999998</v>
      </c>
      <c r="AZ182" s="1868">
        <v>24.00686</v>
      </c>
      <c r="BA182" s="1868">
        <v>25.264579999999999</v>
      </c>
    </row>
    <row r="183" spans="1:53">
      <c r="A183" s="1865" t="str">
        <f t="shared" si="2"/>
        <v>AsiaSugar beet</v>
      </c>
      <c r="B183" s="1866" t="s">
        <v>433</v>
      </c>
      <c r="C183" s="1866" t="s">
        <v>1358</v>
      </c>
      <c r="D183" s="1868">
        <v>13.374020000000002</v>
      </c>
      <c r="E183" s="1868">
        <v>17.651670000000003</v>
      </c>
      <c r="F183" s="1868">
        <v>19.96555</v>
      </c>
      <c r="G183" s="1868">
        <v>19.68732</v>
      </c>
      <c r="H183" s="1868">
        <v>19.337320000000002</v>
      </c>
      <c r="I183" s="1868">
        <v>21.727699999999999</v>
      </c>
      <c r="J183" s="1868">
        <v>24.28669</v>
      </c>
      <c r="K183" s="1868">
        <v>24.931190000000001</v>
      </c>
      <c r="L183" s="1868">
        <v>22.717110000000002</v>
      </c>
      <c r="M183" s="1868">
        <v>22.37378</v>
      </c>
      <c r="N183" s="1868">
        <v>24.21311</v>
      </c>
      <c r="O183" s="1868">
        <v>23.754899999999999</v>
      </c>
      <c r="P183" s="1868">
        <v>22.309360000000002</v>
      </c>
      <c r="Q183" s="1868">
        <v>20.76558</v>
      </c>
      <c r="R183" s="1868">
        <v>21.175370000000001</v>
      </c>
      <c r="S183" s="1868">
        <v>23.613889999999998</v>
      </c>
      <c r="T183" s="1868">
        <v>22.416529999999998</v>
      </c>
      <c r="U183" s="1868">
        <v>22.20674</v>
      </c>
      <c r="V183" s="1868">
        <v>23.938289999999999</v>
      </c>
      <c r="W183" s="1868">
        <v>22.012229999999999</v>
      </c>
      <c r="X183" s="1868">
        <v>23.757929999999998</v>
      </c>
      <c r="Y183" s="1868">
        <v>25.790800000000001</v>
      </c>
      <c r="Z183" s="1868">
        <v>25.67897</v>
      </c>
      <c r="AA183" s="1868">
        <v>25.626279999999998</v>
      </c>
      <c r="AB183" s="1868">
        <v>24.321020000000001</v>
      </c>
      <c r="AC183" s="1868">
        <v>25.08296</v>
      </c>
      <c r="AD183" s="1868">
        <v>25.994759999999999</v>
      </c>
      <c r="AE183" s="1868">
        <v>25.131870000000003</v>
      </c>
      <c r="AF183" s="1868">
        <v>24.243660000000002</v>
      </c>
      <c r="AG183" s="1868">
        <v>28.382059999999999</v>
      </c>
      <c r="AH183" s="1868">
        <v>28.676590000000001</v>
      </c>
      <c r="AI183" s="1868">
        <v>29.279949999999999</v>
      </c>
      <c r="AJ183" s="1868">
        <v>28.225159999999999</v>
      </c>
      <c r="AK183" s="1868">
        <v>24.73807</v>
      </c>
      <c r="AL183" s="1868">
        <v>26.748659999999997</v>
      </c>
      <c r="AM183" s="1868">
        <v>28.983109999999996</v>
      </c>
      <c r="AN183" s="1868">
        <v>32.139470000000003</v>
      </c>
      <c r="AO183" s="1868">
        <v>35.660990000000005</v>
      </c>
      <c r="AP183" s="1868">
        <v>33.288670000000003</v>
      </c>
      <c r="AQ183" s="1868">
        <v>34.486540000000005</v>
      </c>
      <c r="AR183" s="1868">
        <v>31.014700000000001</v>
      </c>
      <c r="AS183" s="1868">
        <v>36.70241</v>
      </c>
      <c r="AT183" s="1868">
        <v>33.552240000000005</v>
      </c>
      <c r="AU183" s="1868">
        <v>38.061279999999996</v>
      </c>
      <c r="AV183" s="1868">
        <v>40.396520000000002</v>
      </c>
      <c r="AW183" s="1868">
        <v>40.827490000000004</v>
      </c>
      <c r="AX183" s="1868">
        <v>40.443680000000001</v>
      </c>
      <c r="AY183" s="1868">
        <v>43.599229999999999</v>
      </c>
      <c r="AZ183" s="1868">
        <v>45.213590000000003</v>
      </c>
      <c r="BA183" s="1868">
        <v>46.089919999999999</v>
      </c>
    </row>
    <row r="184" spans="1:53">
      <c r="A184" s="1865" t="str">
        <f t="shared" si="2"/>
        <v>AsiaSugar cane</v>
      </c>
      <c r="B184" s="1866" t="s">
        <v>433</v>
      </c>
      <c r="C184" s="1866" t="s">
        <v>1401</v>
      </c>
      <c r="D184" s="1868">
        <v>46.737639999999999</v>
      </c>
      <c r="E184" s="1868">
        <v>44.727709999999995</v>
      </c>
      <c r="F184" s="1868">
        <v>44.779649999999997</v>
      </c>
      <c r="G184" s="1868">
        <v>48.620600000000003</v>
      </c>
      <c r="H184" s="1868">
        <v>48.468679999999999</v>
      </c>
      <c r="I184" s="1868">
        <v>45.644399999999997</v>
      </c>
      <c r="J184" s="1868">
        <v>44.29119</v>
      </c>
      <c r="K184" s="1868">
        <v>48.148309999999995</v>
      </c>
      <c r="L184" s="1868">
        <v>49.647059999999996</v>
      </c>
      <c r="M184" s="1868">
        <v>50.177590000000002</v>
      </c>
      <c r="N184" s="1868">
        <v>48.634630000000001</v>
      </c>
      <c r="O184" s="1868">
        <v>47.304870000000001</v>
      </c>
      <c r="P184" s="1868">
        <v>49.934950000000001</v>
      </c>
      <c r="Q184" s="1868">
        <v>51.500340000000001</v>
      </c>
      <c r="R184" s="1868">
        <v>49.003820000000005</v>
      </c>
      <c r="S184" s="1868">
        <v>50.57067</v>
      </c>
      <c r="T184" s="1868">
        <v>51.961469999999998</v>
      </c>
      <c r="U184" s="1868">
        <v>51.540240000000004</v>
      </c>
      <c r="V184" s="1868">
        <v>49.938220000000001</v>
      </c>
      <c r="W184" s="1868">
        <v>49.655790000000003</v>
      </c>
      <c r="X184" s="1868">
        <v>56.432269999999995</v>
      </c>
      <c r="Y184" s="1868">
        <v>56.775669999999998</v>
      </c>
      <c r="Z184" s="1868">
        <v>53.458649999999999</v>
      </c>
      <c r="AA184" s="1868">
        <v>55.254399999999997</v>
      </c>
      <c r="AB184" s="1868">
        <v>53.971519999999998</v>
      </c>
      <c r="AC184" s="1868">
        <v>55.30791</v>
      </c>
      <c r="AD184" s="1868">
        <v>58.564900000000002</v>
      </c>
      <c r="AE184" s="1868">
        <v>56.739240000000002</v>
      </c>
      <c r="AF184" s="1868">
        <v>58.070719999999994</v>
      </c>
      <c r="AG184" s="1868">
        <v>59.933530000000005</v>
      </c>
      <c r="AH184" s="1868">
        <v>59.478299999999997</v>
      </c>
      <c r="AI184" s="1868">
        <v>61.013390000000001</v>
      </c>
      <c r="AJ184" s="1868">
        <v>58.115009999999998</v>
      </c>
      <c r="AK184" s="1868">
        <v>60.386880000000005</v>
      </c>
      <c r="AL184" s="1868">
        <v>62.693580000000004</v>
      </c>
      <c r="AM184" s="1868">
        <v>61.531780000000005</v>
      </c>
      <c r="AN184" s="1868">
        <v>63.19265</v>
      </c>
      <c r="AO184" s="1868">
        <v>64.789199999999994</v>
      </c>
      <c r="AP184" s="1868">
        <v>66.827469999999991</v>
      </c>
      <c r="AQ184" s="1868">
        <v>62.647550000000003</v>
      </c>
      <c r="AR184" s="1868">
        <v>62.197669999999995</v>
      </c>
      <c r="AS184" s="1868">
        <v>63.071940000000005</v>
      </c>
      <c r="AT184" s="1868">
        <v>62.233150000000002</v>
      </c>
      <c r="AU184" s="1868">
        <v>60.363140000000001</v>
      </c>
      <c r="AV184" s="1868">
        <v>61.282389999999999</v>
      </c>
      <c r="AW184" s="1868">
        <v>63.145069999999997</v>
      </c>
      <c r="AX184" s="1868">
        <v>66.607659999999996</v>
      </c>
      <c r="AY184" s="1868">
        <v>66.73881999999999</v>
      </c>
      <c r="AZ184" s="1868">
        <v>63.706219999999995</v>
      </c>
      <c r="BA184" s="1868">
        <v>65.148380000000003</v>
      </c>
    </row>
    <row r="185" spans="1:53">
      <c r="A185" s="1865" t="str">
        <f t="shared" si="2"/>
        <v>AsiaSunflower seed</v>
      </c>
      <c r="B185" s="1866" t="s">
        <v>433</v>
      </c>
      <c r="C185" s="1866" t="s">
        <v>1402</v>
      </c>
      <c r="D185" s="1868">
        <v>0.96430000000000005</v>
      </c>
      <c r="E185" s="1868">
        <v>0.96872999999999998</v>
      </c>
      <c r="F185" s="1868">
        <v>1.05786</v>
      </c>
      <c r="G185" s="1868">
        <v>1.0914900000000001</v>
      </c>
      <c r="H185" s="1868">
        <v>1.0700700000000001</v>
      </c>
      <c r="I185" s="1868">
        <v>0.92322000000000004</v>
      </c>
      <c r="J185" s="1868">
        <v>1.02624</v>
      </c>
      <c r="K185" s="1868">
        <v>0.95087999999999995</v>
      </c>
      <c r="L185" s="1868">
        <v>1.01352</v>
      </c>
      <c r="M185" s="1868">
        <v>0.92456000000000005</v>
      </c>
      <c r="N185" s="1868">
        <v>1.00583</v>
      </c>
      <c r="O185" s="1868">
        <v>0.99901000000000006</v>
      </c>
      <c r="P185" s="1868">
        <v>0.97304999999999997</v>
      </c>
      <c r="Q185" s="1868">
        <v>0.84584999999999999</v>
      </c>
      <c r="R185" s="1868">
        <v>0.92153999999999991</v>
      </c>
      <c r="S185" s="1868">
        <v>0.93874000000000002</v>
      </c>
      <c r="T185" s="1868">
        <v>0.92461000000000004</v>
      </c>
      <c r="U185" s="1868">
        <v>0.91946000000000006</v>
      </c>
      <c r="V185" s="1868">
        <v>1.0432700000000001</v>
      </c>
      <c r="W185" s="1868">
        <v>1.10944</v>
      </c>
      <c r="X185" s="1868">
        <v>1.1116900000000001</v>
      </c>
      <c r="Y185" s="1868">
        <v>1.12747</v>
      </c>
      <c r="Z185" s="1868">
        <v>1.16361</v>
      </c>
      <c r="AA185" s="1868">
        <v>1.1617600000000001</v>
      </c>
      <c r="AB185" s="1868">
        <v>0.98532000000000008</v>
      </c>
      <c r="AC185" s="1868">
        <v>1.03274</v>
      </c>
      <c r="AD185" s="1868">
        <v>0.91611000000000009</v>
      </c>
      <c r="AE185" s="1868">
        <v>1.0029399999999999</v>
      </c>
      <c r="AF185" s="1868">
        <v>1.07789</v>
      </c>
      <c r="AG185" s="1868">
        <v>0.98841000000000001</v>
      </c>
      <c r="AH185" s="1868">
        <v>0.97087999999999997</v>
      </c>
      <c r="AI185" s="1868">
        <v>0.97992999999999997</v>
      </c>
      <c r="AJ185" s="1868">
        <v>0.83975</v>
      </c>
      <c r="AK185" s="1868">
        <v>0.9247200000000001</v>
      </c>
      <c r="AL185" s="1868">
        <v>0.90192000000000005</v>
      </c>
      <c r="AM185" s="1868">
        <v>0.99224000000000001</v>
      </c>
      <c r="AN185" s="1868">
        <v>0.94330999999999998</v>
      </c>
      <c r="AO185" s="1868">
        <v>0.95921000000000001</v>
      </c>
      <c r="AP185" s="1868">
        <v>1.0326600000000001</v>
      </c>
      <c r="AQ185" s="1868">
        <v>1.02854</v>
      </c>
      <c r="AR185" s="1868">
        <v>0.94964999999999999</v>
      </c>
      <c r="AS185" s="1868">
        <v>1.0116499999999999</v>
      </c>
      <c r="AT185" s="1868">
        <v>0.87467000000000006</v>
      </c>
      <c r="AU185" s="1868">
        <v>0.9483299999999999</v>
      </c>
      <c r="AV185" s="1868">
        <v>1.0360499999999999</v>
      </c>
      <c r="AW185" s="1868">
        <v>1.0294000000000001</v>
      </c>
      <c r="AX185" s="1868">
        <v>1.03857</v>
      </c>
      <c r="AY185" s="1868">
        <v>1.06436</v>
      </c>
      <c r="AZ185" s="1868">
        <v>1.1202799999999999</v>
      </c>
      <c r="BA185" s="1868">
        <v>1.1032200000000001</v>
      </c>
    </row>
    <row r="186" spans="1:53">
      <c r="A186" s="1865" t="str">
        <f t="shared" si="2"/>
        <v>AsiaSweet potatoes</v>
      </c>
      <c r="B186" s="1866" t="s">
        <v>433</v>
      </c>
      <c r="C186" s="1866" t="s">
        <v>1403</v>
      </c>
      <c r="D186" s="1868">
        <v>7.4370399999999997</v>
      </c>
      <c r="E186" s="1868">
        <v>7.8560499999999998</v>
      </c>
      <c r="F186" s="1868">
        <v>8.39175</v>
      </c>
      <c r="G186" s="1868">
        <v>7.4377500000000003</v>
      </c>
      <c r="H186" s="1868">
        <v>9.4318299999999997</v>
      </c>
      <c r="I186" s="1868">
        <v>9.9020499999999991</v>
      </c>
      <c r="J186" s="1868">
        <v>10.65948</v>
      </c>
      <c r="K186" s="1868">
        <v>11.013919999999999</v>
      </c>
      <c r="L186" s="1868">
        <v>11.566839999999999</v>
      </c>
      <c r="M186" s="1868">
        <v>12.39777</v>
      </c>
      <c r="N186" s="1868">
        <v>12.07269</v>
      </c>
      <c r="O186" s="1868">
        <v>10.756169999999999</v>
      </c>
      <c r="P186" s="1868">
        <v>13.407539999999999</v>
      </c>
      <c r="Q186" s="1868">
        <v>12.21466</v>
      </c>
      <c r="R186" s="1868">
        <v>12.807510000000001</v>
      </c>
      <c r="S186" s="1868">
        <v>12.605369999999999</v>
      </c>
      <c r="T186" s="1868">
        <v>12.53084</v>
      </c>
      <c r="U186" s="1868">
        <v>12.921049999999999</v>
      </c>
      <c r="V186" s="1868">
        <v>12.7676</v>
      </c>
      <c r="W186" s="1868">
        <v>13.881229999999999</v>
      </c>
      <c r="X186" s="1868">
        <v>13.582239999999999</v>
      </c>
      <c r="Y186" s="1868">
        <v>14.488829999999998</v>
      </c>
      <c r="Z186" s="1868">
        <v>15.696</v>
      </c>
      <c r="AA186" s="1868">
        <v>15.968500000000001</v>
      </c>
      <c r="AB186" s="1868">
        <v>15.658729999999998</v>
      </c>
      <c r="AC186" s="1868">
        <v>15.22625</v>
      </c>
      <c r="AD186" s="1868">
        <v>16.809609999999999</v>
      </c>
      <c r="AE186" s="1868">
        <v>15.160310000000001</v>
      </c>
      <c r="AF186" s="1868">
        <v>15.597920000000002</v>
      </c>
      <c r="AG186" s="1868">
        <v>15.499839999999999</v>
      </c>
      <c r="AH186" s="1868">
        <v>15.74469</v>
      </c>
      <c r="AI186" s="1868">
        <v>15.4734</v>
      </c>
      <c r="AJ186" s="1868">
        <v>16.70853</v>
      </c>
      <c r="AK186" s="1868">
        <v>16.347999999999999</v>
      </c>
      <c r="AL186" s="1868">
        <v>17.703310000000002</v>
      </c>
      <c r="AM186" s="1868">
        <v>18.8248</v>
      </c>
      <c r="AN186" s="1868">
        <v>16.016349999999999</v>
      </c>
      <c r="AO186" s="1868">
        <v>18.010839999999998</v>
      </c>
      <c r="AP186" s="1868">
        <v>19.563400000000001</v>
      </c>
      <c r="AQ186" s="1868">
        <v>18.792010000000001</v>
      </c>
      <c r="AR186" s="1868">
        <v>19.098459999999999</v>
      </c>
      <c r="AS186" s="1868">
        <v>19.92869</v>
      </c>
      <c r="AT186" s="1868">
        <v>19.10839</v>
      </c>
      <c r="AU186" s="1868">
        <v>19.968820000000001</v>
      </c>
      <c r="AV186" s="1868">
        <v>20.336879999999997</v>
      </c>
      <c r="AW186" s="1868">
        <v>19.96199</v>
      </c>
      <c r="AX186" s="1868">
        <v>18.81372</v>
      </c>
      <c r="AY186" s="1868">
        <v>19.009829999999997</v>
      </c>
      <c r="AZ186" s="1868">
        <v>19.585129999999999</v>
      </c>
      <c r="BA186" s="1868">
        <v>20.040879999999998</v>
      </c>
    </row>
    <row r="187" spans="1:53">
      <c r="A187" s="1865" t="str">
        <f t="shared" si="2"/>
        <v>AsiaTangerines, mandarins, clem.</v>
      </c>
      <c r="B187" s="1866" t="s">
        <v>433</v>
      </c>
      <c r="C187" s="1866" t="s">
        <v>1404</v>
      </c>
      <c r="D187" s="1868">
        <v>6.0135899999999998</v>
      </c>
      <c r="E187" s="1868">
        <v>5.3659300000000005</v>
      </c>
      <c r="F187" s="1868">
        <v>5.4385599999999998</v>
      </c>
      <c r="G187" s="1868">
        <v>6.42584</v>
      </c>
      <c r="H187" s="1868">
        <v>6.44069</v>
      </c>
      <c r="I187" s="1868">
        <v>9.8366000000000007</v>
      </c>
      <c r="J187" s="1868">
        <v>8.800889999999999</v>
      </c>
      <c r="K187" s="1868">
        <v>10.89504</v>
      </c>
      <c r="L187" s="1868">
        <v>9.6554500000000001</v>
      </c>
      <c r="M187" s="1868">
        <v>10.902380000000001</v>
      </c>
      <c r="N187" s="1868">
        <v>10.61544</v>
      </c>
      <c r="O187" s="1868">
        <v>13.758339999999999</v>
      </c>
      <c r="P187" s="1868">
        <v>13.063980000000001</v>
      </c>
      <c r="Q187" s="1868">
        <v>13.027760000000001</v>
      </c>
      <c r="R187" s="1868">
        <v>13.921710000000001</v>
      </c>
      <c r="S187" s="1868">
        <v>12.34014</v>
      </c>
      <c r="T187" s="1868">
        <v>13.908200000000001</v>
      </c>
      <c r="U187" s="1868">
        <v>12.77299</v>
      </c>
      <c r="V187" s="1868">
        <v>13.34235</v>
      </c>
      <c r="W187" s="1868">
        <v>11.441280000000001</v>
      </c>
      <c r="X187" s="1868">
        <v>11.45917</v>
      </c>
      <c r="Y187" s="1868">
        <v>11.51365</v>
      </c>
      <c r="Z187" s="1868">
        <v>11.832750000000001</v>
      </c>
      <c r="AA187" s="1868">
        <v>9.4459699999999991</v>
      </c>
      <c r="AB187" s="1868">
        <v>9.5379899999999989</v>
      </c>
      <c r="AC187" s="1868">
        <v>8.4443300000000008</v>
      </c>
      <c r="AD187" s="1868">
        <v>8.2908000000000008</v>
      </c>
      <c r="AE187" s="1868">
        <v>6.8301699999999999</v>
      </c>
      <c r="AF187" s="1868">
        <v>8.5105500000000003</v>
      </c>
      <c r="AG187" s="1868">
        <v>7.9130199999999995</v>
      </c>
      <c r="AH187" s="1868">
        <v>8.2790499999999998</v>
      </c>
      <c r="AI187" s="1868">
        <v>8.4331399999999999</v>
      </c>
      <c r="AJ187" s="1868">
        <v>8.5981000000000005</v>
      </c>
      <c r="AK187" s="1868">
        <v>8.5720100000000006</v>
      </c>
      <c r="AL187" s="1868">
        <v>9.0992699999999989</v>
      </c>
      <c r="AM187" s="1868">
        <v>8.5331200000000003</v>
      </c>
      <c r="AN187" s="1868">
        <v>10.34642</v>
      </c>
      <c r="AO187" s="1868">
        <v>9.1096699999999995</v>
      </c>
      <c r="AP187" s="1868">
        <v>11.016220000000001</v>
      </c>
      <c r="AQ187" s="1868">
        <v>9.2978000000000005</v>
      </c>
      <c r="AR187" s="1868">
        <v>10.97444</v>
      </c>
      <c r="AS187" s="1868">
        <v>10.428369999999999</v>
      </c>
      <c r="AT187" s="1868">
        <v>10.572039999999999</v>
      </c>
      <c r="AU187" s="1868">
        <v>10.894919999999999</v>
      </c>
      <c r="AV187" s="1868">
        <v>10.8706</v>
      </c>
      <c r="AW187" s="1868">
        <v>11.514569999999999</v>
      </c>
      <c r="AX187" s="1868">
        <v>7.6756600000000006</v>
      </c>
      <c r="AY187" s="1868">
        <v>7.8488600000000002</v>
      </c>
      <c r="AZ187" s="1868">
        <v>8.7403899999999997</v>
      </c>
      <c r="BA187" s="1868">
        <v>8.9553399999999996</v>
      </c>
    </row>
    <row r="188" spans="1:53">
      <c r="A188" s="1865" t="str">
        <f t="shared" si="2"/>
        <v>AsiaTea</v>
      </c>
      <c r="B188" s="1866" t="s">
        <v>433</v>
      </c>
      <c r="C188" s="1866" t="s">
        <v>1405</v>
      </c>
      <c r="D188" s="1868">
        <v>0.71861000000000008</v>
      </c>
      <c r="E188" s="1868">
        <v>0.71233000000000002</v>
      </c>
      <c r="F188" s="1868">
        <v>0.72477999999999998</v>
      </c>
      <c r="G188" s="1868">
        <v>0.74703999999999993</v>
      </c>
      <c r="H188" s="1868">
        <v>0.75163999999999997</v>
      </c>
      <c r="I188" s="1868">
        <v>0.76728999999999992</v>
      </c>
      <c r="J188" s="1868">
        <v>0.75783</v>
      </c>
      <c r="K188" s="1868">
        <v>0.76771999999999996</v>
      </c>
      <c r="L188" s="1868">
        <v>0.74950000000000006</v>
      </c>
      <c r="M188" s="1868">
        <v>0.73971999999999993</v>
      </c>
      <c r="N188" s="1868">
        <v>0.72238000000000002</v>
      </c>
      <c r="O188" s="1868">
        <v>0.73401000000000005</v>
      </c>
      <c r="P188" s="1868">
        <v>0.70950000000000002</v>
      </c>
      <c r="Q188" s="1868">
        <v>0.67901999999999996</v>
      </c>
      <c r="R188" s="1868">
        <v>0.66328999999999994</v>
      </c>
      <c r="S188" s="1868">
        <v>0.66293000000000002</v>
      </c>
      <c r="T188" s="1868">
        <v>0.70262999999999998</v>
      </c>
      <c r="U188" s="1868">
        <v>0.70446999999999993</v>
      </c>
      <c r="V188" s="1868">
        <v>0.70706999999999998</v>
      </c>
      <c r="W188" s="1868">
        <v>0.72806999999999999</v>
      </c>
      <c r="X188" s="1868">
        <v>0.71876000000000007</v>
      </c>
      <c r="Y188" s="1868">
        <v>0.72043000000000001</v>
      </c>
      <c r="Z188" s="1868">
        <v>0.75014999999999998</v>
      </c>
      <c r="AA188" s="1868">
        <v>0.83323999999999998</v>
      </c>
      <c r="AB188" s="1868">
        <v>0.98545000000000005</v>
      </c>
      <c r="AC188" s="1868">
        <v>0.96418999999999999</v>
      </c>
      <c r="AD188" s="1868">
        <v>0.98414999999999997</v>
      </c>
      <c r="AE188" s="1868">
        <v>1.0422799999999999</v>
      </c>
      <c r="AF188" s="1868">
        <v>1.0237399999999999</v>
      </c>
      <c r="AG188" s="1868">
        <v>1.0381200000000002</v>
      </c>
      <c r="AH188" s="1868">
        <v>1.0552700000000002</v>
      </c>
      <c r="AI188" s="1868">
        <v>1.0465200000000001</v>
      </c>
      <c r="AJ188" s="1868">
        <v>1.07742</v>
      </c>
      <c r="AK188" s="1868">
        <v>1.0993299999999999</v>
      </c>
      <c r="AL188" s="1868">
        <v>1.0861700000000001</v>
      </c>
      <c r="AM188" s="1868">
        <v>1.11042</v>
      </c>
      <c r="AN188" s="1868">
        <v>1.1631799999999999</v>
      </c>
      <c r="AO188" s="1868">
        <v>1.2342</v>
      </c>
      <c r="AP188" s="1868">
        <v>1.24563</v>
      </c>
      <c r="AQ188" s="1868">
        <v>1.1837299999999999</v>
      </c>
      <c r="AR188" s="1868">
        <v>1.19475</v>
      </c>
      <c r="AS188" s="1868">
        <v>1.21977</v>
      </c>
      <c r="AT188" s="1868">
        <v>1.2154200000000002</v>
      </c>
      <c r="AU188" s="1868">
        <v>1.2475700000000001</v>
      </c>
      <c r="AV188" s="1868">
        <v>1.2768299999999999</v>
      </c>
      <c r="AW188" s="1868">
        <v>1.28172</v>
      </c>
      <c r="AX188" s="1868">
        <v>1.2742100000000001</v>
      </c>
      <c r="AY188" s="1868">
        <v>1.3439299999999998</v>
      </c>
      <c r="AZ188" s="1868">
        <v>1.3536999999999999</v>
      </c>
      <c r="BA188" s="1868">
        <v>1.3614999999999999</v>
      </c>
    </row>
    <row r="189" spans="1:53">
      <c r="A189" s="1865" t="str">
        <f t="shared" si="2"/>
        <v>AsiaTobacco, unmanufactured</v>
      </c>
      <c r="B189" s="1866" t="s">
        <v>433</v>
      </c>
      <c r="C189" s="1866" t="s">
        <v>1347</v>
      </c>
      <c r="D189" s="1868">
        <v>0.89052000000000009</v>
      </c>
      <c r="E189" s="1868">
        <v>0.92335</v>
      </c>
      <c r="F189" s="1868">
        <v>0.87522000000000011</v>
      </c>
      <c r="G189" s="1868">
        <v>0.99339999999999995</v>
      </c>
      <c r="H189" s="1868">
        <v>1.0138400000000001</v>
      </c>
      <c r="I189" s="1868">
        <v>1.08009</v>
      </c>
      <c r="J189" s="1868">
        <v>1.1372599999999999</v>
      </c>
      <c r="K189" s="1868">
        <v>1.1914100000000001</v>
      </c>
      <c r="L189" s="1868">
        <v>1.0693299999999999</v>
      </c>
      <c r="M189" s="1868">
        <v>1.08094</v>
      </c>
      <c r="N189" s="1868">
        <v>1.09196</v>
      </c>
      <c r="O189" s="1868">
        <v>1.1314899999999999</v>
      </c>
      <c r="P189" s="1868">
        <v>1.13279</v>
      </c>
      <c r="Q189" s="1868">
        <v>1.24668</v>
      </c>
      <c r="R189" s="1868">
        <v>1.1425399999999999</v>
      </c>
      <c r="S189" s="1868">
        <v>1.12324</v>
      </c>
      <c r="T189" s="1868">
        <v>1.1159700000000001</v>
      </c>
      <c r="U189" s="1868">
        <v>1.1846000000000001</v>
      </c>
      <c r="V189" s="1868">
        <v>1.1993799999999999</v>
      </c>
      <c r="W189" s="1868">
        <v>1.25691</v>
      </c>
      <c r="X189" s="1868">
        <v>1.3774999999999999</v>
      </c>
      <c r="Y189" s="1868">
        <v>1.48414</v>
      </c>
      <c r="Z189" s="1868">
        <v>1.3601700000000001</v>
      </c>
      <c r="AA189" s="1868">
        <v>1.48722</v>
      </c>
      <c r="AB189" s="1868">
        <v>1.43279</v>
      </c>
      <c r="AC189" s="1868">
        <v>1.29616</v>
      </c>
      <c r="AD189" s="1868">
        <v>1.3854899999999999</v>
      </c>
      <c r="AE189" s="1868">
        <v>1.4631100000000001</v>
      </c>
      <c r="AF189" s="1868">
        <v>1.3915</v>
      </c>
      <c r="AG189" s="1868">
        <v>1.4189200000000002</v>
      </c>
      <c r="AH189" s="1868">
        <v>1.4616799999999999</v>
      </c>
      <c r="AI189" s="1868">
        <v>1.5027999999999999</v>
      </c>
      <c r="AJ189" s="1868">
        <v>1.5142799999999998</v>
      </c>
      <c r="AK189" s="1868">
        <v>1.4014</v>
      </c>
      <c r="AL189" s="1868">
        <v>1.4331799999999999</v>
      </c>
      <c r="AM189" s="1868">
        <v>1.5279100000000001</v>
      </c>
      <c r="AN189" s="1868">
        <v>1.6050899999999999</v>
      </c>
      <c r="AO189" s="1868">
        <v>1.48115</v>
      </c>
      <c r="AP189" s="1868">
        <v>1.5593399999999999</v>
      </c>
      <c r="AQ189" s="1868">
        <v>1.5377700000000001</v>
      </c>
      <c r="AR189" s="1868">
        <v>1.5182200000000001</v>
      </c>
      <c r="AS189" s="1868">
        <v>1.5976600000000001</v>
      </c>
      <c r="AT189" s="1868">
        <v>1.5350299999999999</v>
      </c>
      <c r="AU189" s="1868">
        <v>1.6380600000000001</v>
      </c>
      <c r="AV189" s="1868">
        <v>1.6932900000000002</v>
      </c>
      <c r="AW189" s="1868">
        <v>1.7495599999999998</v>
      </c>
      <c r="AX189" s="1868">
        <v>1.68808</v>
      </c>
      <c r="AY189" s="1868">
        <v>1.7876900000000002</v>
      </c>
      <c r="AZ189" s="1868">
        <v>1.8362900000000002</v>
      </c>
      <c r="BA189" s="1868">
        <v>1.8627799999999999</v>
      </c>
    </row>
    <row r="190" spans="1:53">
      <c r="A190" s="1865" t="str">
        <f t="shared" si="2"/>
        <v>AsiaTomatoes</v>
      </c>
      <c r="B190" s="1866" t="s">
        <v>433</v>
      </c>
      <c r="C190" s="1866" t="s">
        <v>1406</v>
      </c>
      <c r="D190" s="1868">
        <v>14.188229999999999</v>
      </c>
      <c r="E190" s="1868">
        <v>14.069939999999999</v>
      </c>
      <c r="F190" s="1868">
        <v>14.465729999999999</v>
      </c>
      <c r="G190" s="1868">
        <v>14.682970000000001</v>
      </c>
      <c r="H190" s="1868">
        <v>15.146699999999999</v>
      </c>
      <c r="I190" s="1868">
        <v>15.813479999999998</v>
      </c>
      <c r="J190" s="1868">
        <v>15.974870000000001</v>
      </c>
      <c r="K190" s="1868">
        <v>16.672079999999998</v>
      </c>
      <c r="L190" s="1868">
        <v>17.483420000000002</v>
      </c>
      <c r="M190" s="1868">
        <v>17.750800000000002</v>
      </c>
      <c r="N190" s="1868">
        <v>18.249289999999998</v>
      </c>
      <c r="O190" s="1868">
        <v>17.629449999999999</v>
      </c>
      <c r="P190" s="1868">
        <v>17.422070000000001</v>
      </c>
      <c r="Q190" s="1868">
        <v>17.338070000000002</v>
      </c>
      <c r="R190" s="1868">
        <v>17.85642</v>
      </c>
      <c r="S190" s="1868">
        <v>18.114989999999999</v>
      </c>
      <c r="T190" s="1868">
        <v>18.186039999999998</v>
      </c>
      <c r="U190" s="1868">
        <v>19.66911</v>
      </c>
      <c r="V190" s="1868">
        <v>18.66282</v>
      </c>
      <c r="W190" s="1868">
        <v>18.77422</v>
      </c>
      <c r="X190" s="1868">
        <v>18.754620000000003</v>
      </c>
      <c r="Y190" s="1868">
        <v>18.99652</v>
      </c>
      <c r="Z190" s="1868">
        <v>19.653960000000001</v>
      </c>
      <c r="AA190" s="1868">
        <v>19.15119</v>
      </c>
      <c r="AB190" s="1868">
        <v>18.894660000000002</v>
      </c>
      <c r="AC190" s="1868">
        <v>19.17109</v>
      </c>
      <c r="AD190" s="1868">
        <v>18.353179999999998</v>
      </c>
      <c r="AE190" s="1868">
        <v>20.289000000000001</v>
      </c>
      <c r="AF190" s="1868">
        <v>20.005979999999997</v>
      </c>
      <c r="AG190" s="1868">
        <v>22.3856</v>
      </c>
      <c r="AH190" s="1868">
        <v>22.79645</v>
      </c>
      <c r="AI190" s="1868">
        <v>23.255229999999997</v>
      </c>
      <c r="AJ190" s="1868">
        <v>23.00816</v>
      </c>
      <c r="AK190" s="1868">
        <v>22.744720000000001</v>
      </c>
      <c r="AL190" s="1868">
        <v>23.87734</v>
      </c>
      <c r="AM190" s="1868">
        <v>24.31146</v>
      </c>
      <c r="AN190" s="1868">
        <v>24.004579999999997</v>
      </c>
      <c r="AO190" s="1868">
        <v>23.197870000000002</v>
      </c>
      <c r="AP190" s="1868">
        <v>23.919610000000002</v>
      </c>
      <c r="AQ190" s="1868">
        <v>24.400210000000001</v>
      </c>
      <c r="AR190" s="1868">
        <v>23.994720000000001</v>
      </c>
      <c r="AS190" s="1868">
        <v>25.077829999999999</v>
      </c>
      <c r="AT190" s="1868">
        <v>25.489279999999997</v>
      </c>
      <c r="AU190" s="1868">
        <v>23.812560000000001</v>
      </c>
      <c r="AV190" s="1868">
        <v>24.44201</v>
      </c>
      <c r="AW190" s="1868">
        <v>24.336860000000001</v>
      </c>
      <c r="AX190" s="1868">
        <v>30.98535</v>
      </c>
      <c r="AY190" s="1868">
        <v>33.39725</v>
      </c>
      <c r="AZ190" s="1868">
        <v>34.339290000000005</v>
      </c>
      <c r="BA190" s="1868">
        <v>33.577809999999999</v>
      </c>
    </row>
    <row r="191" spans="1:53">
      <c r="A191" s="1865" t="str">
        <f t="shared" si="2"/>
        <v>AsiaTriticale</v>
      </c>
      <c r="B191" s="1866" t="s">
        <v>433</v>
      </c>
      <c r="C191" s="1866" t="s">
        <v>1361</v>
      </c>
      <c r="R191" s="1868">
        <v>2.5695900000000003</v>
      </c>
      <c r="S191" s="1868">
        <v>3.1500699999999999</v>
      </c>
      <c r="T191" s="1868">
        <v>3.0900099999999999</v>
      </c>
      <c r="U191" s="1868">
        <v>2.63503</v>
      </c>
      <c r="V191" s="1868">
        <v>3.02</v>
      </c>
      <c r="W191" s="1868">
        <v>2.3114300000000001</v>
      </c>
      <c r="X191" s="1868">
        <v>3.4</v>
      </c>
      <c r="Y191" s="1868">
        <v>1.65</v>
      </c>
      <c r="Z191" s="1868">
        <v>2.0499999999999998</v>
      </c>
      <c r="AA191" s="1868">
        <v>2.2494400000000003</v>
      </c>
      <c r="AB191" s="1868">
        <v>2.3394900000000001</v>
      </c>
      <c r="AC191" s="1868">
        <v>3</v>
      </c>
      <c r="AD191" s="1868">
        <v>3.25</v>
      </c>
      <c r="AE191" s="1868">
        <v>2.82</v>
      </c>
      <c r="AF191" s="1868">
        <v>3.3353900000000003</v>
      </c>
      <c r="AG191" s="1868">
        <v>3.2574200000000002</v>
      </c>
      <c r="AH191" s="1868">
        <v>3.0799699999999999</v>
      </c>
      <c r="AI191" s="1868">
        <v>3.15</v>
      </c>
      <c r="AJ191" s="1868">
        <v>3.26</v>
      </c>
      <c r="AK191" s="1868">
        <v>3.0599699999999999</v>
      </c>
      <c r="AL191" s="1868">
        <v>3.19</v>
      </c>
      <c r="AM191" s="1868">
        <v>2.98</v>
      </c>
      <c r="AN191" s="1868">
        <v>3.19747</v>
      </c>
      <c r="AO191" s="1868">
        <v>3.2599900000000002</v>
      </c>
      <c r="AP191" s="1868">
        <v>3.2</v>
      </c>
      <c r="AQ191" s="1868">
        <v>3.38</v>
      </c>
      <c r="AR191" s="1868">
        <v>3.19</v>
      </c>
      <c r="AS191" s="1868">
        <v>3.2303500000000001</v>
      </c>
      <c r="AT191" s="1868">
        <v>3.42014</v>
      </c>
      <c r="AU191" s="1868">
        <v>2.7985000000000002</v>
      </c>
      <c r="AV191" s="1868">
        <v>1.9821799999999998</v>
      </c>
      <c r="AW191" s="1868">
        <v>1.2128299999999999</v>
      </c>
      <c r="AX191" s="1868">
        <v>2.1080099999999997</v>
      </c>
      <c r="AY191" s="1868">
        <v>1.7469400000000002</v>
      </c>
      <c r="AZ191" s="1868">
        <v>1.9145400000000001</v>
      </c>
      <c r="BA191" s="1868">
        <v>1.60141</v>
      </c>
    </row>
    <row r="192" spans="1:53">
      <c r="A192" s="1865" t="str">
        <f t="shared" si="2"/>
        <v>AsiaVegetables fresh nes</v>
      </c>
      <c r="B192" s="1866" t="s">
        <v>433</v>
      </c>
      <c r="C192" s="1866" t="s">
        <v>1407</v>
      </c>
      <c r="D192" s="1868">
        <v>8.2085299999999997</v>
      </c>
      <c r="E192" s="1868">
        <v>7.9778899999999995</v>
      </c>
      <c r="F192" s="1868">
        <v>8.2897999999999996</v>
      </c>
      <c r="G192" s="1868">
        <v>8.1307500000000008</v>
      </c>
      <c r="H192" s="1868">
        <v>8.3249600000000008</v>
      </c>
      <c r="I192" s="1868">
        <v>8.4765199999999989</v>
      </c>
      <c r="J192" s="1868">
        <v>8.6240600000000001</v>
      </c>
      <c r="K192" s="1868">
        <v>8.9660700000000002</v>
      </c>
      <c r="L192" s="1868">
        <v>9.0964299999999998</v>
      </c>
      <c r="M192" s="1868">
        <v>9.1643299999999996</v>
      </c>
      <c r="N192" s="1868">
        <v>9.4322800000000004</v>
      </c>
      <c r="O192" s="1868">
        <v>9.34361</v>
      </c>
      <c r="P192" s="1868">
        <v>9.5248100000000004</v>
      </c>
      <c r="Q192" s="1868">
        <v>9.6018500000000007</v>
      </c>
      <c r="R192" s="1868">
        <v>9.8630899999999997</v>
      </c>
      <c r="S192" s="1868">
        <v>9.9381000000000004</v>
      </c>
      <c r="T192" s="1868">
        <v>10.146410000000001</v>
      </c>
      <c r="U192" s="1868">
        <v>10.306789999999999</v>
      </c>
      <c r="V192" s="1868">
        <v>10.53303</v>
      </c>
      <c r="W192" s="1868">
        <v>10.53664</v>
      </c>
      <c r="X192" s="1868">
        <v>11.14813</v>
      </c>
      <c r="Y192" s="1868">
        <v>11.188839999999999</v>
      </c>
      <c r="Z192" s="1868">
        <v>12.08488</v>
      </c>
      <c r="AA192" s="1868">
        <v>13.088339999999999</v>
      </c>
      <c r="AB192" s="1868">
        <v>12.25956</v>
      </c>
      <c r="AC192" s="1868">
        <v>13.5282</v>
      </c>
      <c r="AD192" s="1868">
        <v>13.507179999999998</v>
      </c>
      <c r="AE192" s="1868">
        <v>14.072660000000001</v>
      </c>
      <c r="AF192" s="1868">
        <v>14.185229999999999</v>
      </c>
      <c r="AG192" s="1868">
        <v>14.586270000000001</v>
      </c>
      <c r="AH192" s="1868">
        <v>14.000860000000001</v>
      </c>
      <c r="AI192" s="1868">
        <v>15.314870000000001</v>
      </c>
      <c r="AJ192" s="1868">
        <v>15.156939999999999</v>
      </c>
      <c r="AK192" s="1868">
        <v>15.760129999999998</v>
      </c>
      <c r="AL192" s="1868">
        <v>14.472189999999999</v>
      </c>
      <c r="AM192" s="1868">
        <v>15.438989999999999</v>
      </c>
      <c r="AN192" s="1868">
        <v>14.96834</v>
      </c>
      <c r="AO192" s="1868">
        <v>15.128020000000001</v>
      </c>
      <c r="AP192" s="1868">
        <v>14.96543</v>
      </c>
      <c r="AQ192" s="1868">
        <v>16.05565</v>
      </c>
      <c r="AR192" s="1868">
        <v>16.095679999999998</v>
      </c>
      <c r="AS192" s="1868">
        <v>15.907789999999999</v>
      </c>
      <c r="AT192" s="1868">
        <v>15.065300000000001</v>
      </c>
      <c r="AU192" s="1868">
        <v>15.424920000000002</v>
      </c>
      <c r="AV192" s="1868">
        <v>15.25521</v>
      </c>
      <c r="AW192" s="1868">
        <v>15.447420000000001</v>
      </c>
      <c r="AX192" s="1868">
        <v>15.43145</v>
      </c>
      <c r="AY192" s="1868">
        <v>15.380429999999999</v>
      </c>
      <c r="AZ192" s="1868">
        <v>15.015599999999999</v>
      </c>
      <c r="BA192" s="1868">
        <v>14.553020000000002</v>
      </c>
    </row>
    <row r="193" spans="1:53">
      <c r="A193" s="1865" t="str">
        <f t="shared" si="2"/>
        <v>AsiaVetches</v>
      </c>
      <c r="B193" s="1866" t="s">
        <v>433</v>
      </c>
      <c r="C193" s="1866" t="s">
        <v>1408</v>
      </c>
      <c r="D193" s="1868">
        <v>0.86576000000000009</v>
      </c>
      <c r="E193" s="1868">
        <v>0.85009000000000001</v>
      </c>
      <c r="F193" s="1868">
        <v>0.87222999999999995</v>
      </c>
      <c r="G193" s="1868">
        <v>0.94722999999999991</v>
      </c>
      <c r="H193" s="1868">
        <v>0.92757999999999996</v>
      </c>
      <c r="I193" s="1868">
        <v>0.83643999999999996</v>
      </c>
      <c r="J193" s="1868">
        <v>1.0097799999999999</v>
      </c>
      <c r="K193" s="1868">
        <v>0.91146000000000005</v>
      </c>
      <c r="L193" s="1868">
        <v>0.94691000000000003</v>
      </c>
      <c r="M193" s="1868">
        <v>0.79810999999999999</v>
      </c>
      <c r="N193" s="1868">
        <v>0.94143999999999994</v>
      </c>
      <c r="O193" s="1868">
        <v>0.91269</v>
      </c>
      <c r="P193" s="1868">
        <v>0.62602000000000002</v>
      </c>
      <c r="Q193" s="1868">
        <v>0.79906999999999995</v>
      </c>
      <c r="R193" s="1868">
        <v>0.81656000000000006</v>
      </c>
      <c r="S193" s="1868">
        <v>0.86297000000000013</v>
      </c>
      <c r="T193" s="1868">
        <v>0.81299999999999994</v>
      </c>
      <c r="U193" s="1868">
        <v>0.73991000000000007</v>
      </c>
      <c r="V193" s="1868">
        <v>0.74766999999999995</v>
      </c>
      <c r="W193" s="1868">
        <v>0.81440000000000001</v>
      </c>
      <c r="X193" s="1868">
        <v>0.82676000000000005</v>
      </c>
      <c r="Y193" s="1868">
        <v>0.82167999999999997</v>
      </c>
      <c r="Z193" s="1868">
        <v>0.80221999999999993</v>
      </c>
      <c r="AA193" s="1868">
        <v>0.74334999999999996</v>
      </c>
      <c r="AB193" s="1868">
        <v>0.77815000000000001</v>
      </c>
      <c r="AC193" s="1868">
        <v>0.78561000000000003</v>
      </c>
      <c r="AD193" s="1868">
        <v>0.77171999999999996</v>
      </c>
      <c r="AE193" s="1868">
        <v>0.76841000000000004</v>
      </c>
      <c r="AF193" s="1868">
        <v>0.67303000000000002</v>
      </c>
      <c r="AG193" s="1868">
        <v>0.66081999999999996</v>
      </c>
      <c r="AH193" s="1868">
        <v>0.68467</v>
      </c>
      <c r="AI193" s="1868">
        <v>0.67321999999999993</v>
      </c>
      <c r="AJ193" s="1868">
        <v>0.70933000000000002</v>
      </c>
      <c r="AK193" s="1868">
        <v>0.628</v>
      </c>
      <c r="AL193" s="1868">
        <v>0.62606000000000006</v>
      </c>
      <c r="AM193" s="1868">
        <v>0.63244</v>
      </c>
      <c r="AN193" s="1868">
        <v>0.65283000000000002</v>
      </c>
      <c r="AO193" s="1868">
        <v>0.63778000000000001</v>
      </c>
      <c r="AP193" s="1868">
        <v>0.56108999999999998</v>
      </c>
      <c r="AQ193" s="1868">
        <v>0.60624999999999996</v>
      </c>
      <c r="AR193" s="1868">
        <v>0.58311999999999997</v>
      </c>
      <c r="AS193" s="1868">
        <v>0.60019999999999996</v>
      </c>
      <c r="AT193" s="1868">
        <v>0.53837999999999997</v>
      </c>
      <c r="AU193" s="1868">
        <v>1.16283</v>
      </c>
      <c r="AV193" s="1868">
        <v>1.1576600000000001</v>
      </c>
      <c r="AW193" s="1868">
        <v>1.2253499999999999</v>
      </c>
      <c r="AX193" s="1868">
        <v>1.1694100000000001</v>
      </c>
      <c r="AY193" s="1868">
        <v>0.89223999999999992</v>
      </c>
      <c r="AZ193" s="1868">
        <v>1.21505</v>
      </c>
      <c r="BA193" s="1868">
        <v>1.1675500000000001</v>
      </c>
    </row>
    <row r="194" spans="1:53">
      <c r="A194" s="1865" t="str">
        <f t="shared" si="2"/>
        <v>AsiaWheat</v>
      </c>
      <c r="B194" s="1866" t="s">
        <v>433</v>
      </c>
      <c r="C194" s="1866" t="s">
        <v>1409</v>
      </c>
      <c r="D194" s="1868">
        <v>0.74861</v>
      </c>
      <c r="E194" s="1868">
        <v>0.84476000000000007</v>
      </c>
      <c r="F194" s="1868">
        <v>0.85317000000000009</v>
      </c>
      <c r="G194" s="1868">
        <v>0.84306000000000003</v>
      </c>
      <c r="H194" s="1868">
        <v>0.97553999999999996</v>
      </c>
      <c r="I194" s="1868">
        <v>0.96609</v>
      </c>
      <c r="J194" s="1868">
        <v>1.0341799999999999</v>
      </c>
      <c r="K194" s="1868">
        <v>1.08447</v>
      </c>
      <c r="L194" s="1868">
        <v>1.0993700000000002</v>
      </c>
      <c r="M194" s="1868">
        <v>1.11294</v>
      </c>
      <c r="N194" s="1868">
        <v>1.2256899999999999</v>
      </c>
      <c r="O194" s="1868">
        <v>1.2961799999999999</v>
      </c>
      <c r="P194" s="1868">
        <v>1.2162200000000001</v>
      </c>
      <c r="Q194" s="1868">
        <v>1.2759100000000001</v>
      </c>
      <c r="R194" s="1868">
        <v>1.4194799999999999</v>
      </c>
      <c r="S194" s="1868">
        <v>1.53851</v>
      </c>
      <c r="T194" s="1868">
        <v>1.4120200000000001</v>
      </c>
      <c r="U194" s="1868">
        <v>1.5712200000000001</v>
      </c>
      <c r="V194" s="1868">
        <v>1.7383299999999999</v>
      </c>
      <c r="W194" s="1868">
        <v>1.6121799999999999</v>
      </c>
      <c r="X194" s="1868">
        <v>1.7416200000000002</v>
      </c>
      <c r="Y194" s="1868">
        <v>1.8973900000000001</v>
      </c>
      <c r="Z194" s="1868">
        <v>2.0533700000000001</v>
      </c>
      <c r="AA194" s="1868">
        <v>2.1447099999999999</v>
      </c>
      <c r="AB194" s="1868">
        <v>2.1317400000000002</v>
      </c>
      <c r="AC194" s="1868">
        <v>2.2902800000000001</v>
      </c>
      <c r="AD194" s="1868">
        <v>2.1888299999999998</v>
      </c>
      <c r="AE194" s="1868">
        <v>2.24885</v>
      </c>
      <c r="AF194" s="1868">
        <v>2.2974999999999999</v>
      </c>
      <c r="AG194" s="1868">
        <v>2.3841900000000003</v>
      </c>
      <c r="AH194" s="1868">
        <v>2.3826800000000001</v>
      </c>
      <c r="AI194" s="1868">
        <v>2.3413599999999999</v>
      </c>
      <c r="AJ194" s="1868">
        <v>2.32951</v>
      </c>
      <c r="AK194" s="1868">
        <v>2.2578299999999998</v>
      </c>
      <c r="AL194" s="1868">
        <v>2.3740099999999997</v>
      </c>
      <c r="AM194" s="1868">
        <v>2.41736</v>
      </c>
      <c r="AN194" s="1868">
        <v>2.61063</v>
      </c>
      <c r="AO194" s="1868">
        <v>2.5133400000000004</v>
      </c>
      <c r="AP194" s="1868">
        <v>2.6459200000000003</v>
      </c>
      <c r="AQ194" s="1868">
        <v>2.5906199999999999</v>
      </c>
      <c r="AR194" s="1868">
        <v>2.5940500000000002</v>
      </c>
      <c r="AS194" s="1868">
        <v>2.6197900000000001</v>
      </c>
      <c r="AT194" s="1868">
        <v>2.5909599999999999</v>
      </c>
      <c r="AU194" s="1868">
        <v>2.6782900000000001</v>
      </c>
      <c r="AV194" s="1868">
        <v>2.6844299999999999</v>
      </c>
      <c r="AW194" s="1868">
        <v>2.8502400000000003</v>
      </c>
      <c r="AX194" s="1868">
        <v>2.8771299999999997</v>
      </c>
      <c r="AY194" s="1868">
        <v>2.8151000000000002</v>
      </c>
      <c r="AZ194" s="1868">
        <v>2.95885</v>
      </c>
      <c r="BA194" s="1868">
        <v>2.8767299999999998</v>
      </c>
    </row>
    <row r="195" spans="1:53">
      <c r="A195" s="1865" t="str">
        <f t="shared" si="2"/>
        <v>AsiaCereals (Rice Milled Eqv</v>
      </c>
      <c r="B195" s="1866" t="s">
        <v>433</v>
      </c>
      <c r="C195" s="1866" t="s">
        <v>1410</v>
      </c>
      <c r="D195" s="1868">
        <v>0.96856000000000009</v>
      </c>
      <c r="E195" s="1868">
        <v>1.0080799999999999</v>
      </c>
      <c r="F195" s="1868">
        <v>1.0692299999999999</v>
      </c>
      <c r="G195" s="1868">
        <v>1.1010500000000001</v>
      </c>
      <c r="H195" s="1868">
        <v>1.10114</v>
      </c>
      <c r="I195" s="1868">
        <v>1.1435299999999999</v>
      </c>
      <c r="J195" s="1868">
        <v>1.2058599999999999</v>
      </c>
      <c r="K195" s="1868">
        <v>1.2212000000000001</v>
      </c>
      <c r="L195" s="1868">
        <v>1.2331000000000001</v>
      </c>
      <c r="M195" s="1868">
        <v>1.3113999999999999</v>
      </c>
      <c r="N195" s="1868">
        <v>1.34114</v>
      </c>
      <c r="O195" s="1868">
        <v>1.3204899999999999</v>
      </c>
      <c r="P195" s="1868">
        <v>1.3679299999999999</v>
      </c>
      <c r="Q195" s="1868">
        <v>1.3966700000000001</v>
      </c>
      <c r="R195" s="1868">
        <v>1.49594</v>
      </c>
      <c r="S195" s="1868">
        <v>1.5228700000000002</v>
      </c>
      <c r="T195" s="1868">
        <v>1.52145</v>
      </c>
      <c r="U195" s="1868">
        <v>1.6352500000000001</v>
      </c>
      <c r="V195" s="1868">
        <v>1.68042</v>
      </c>
      <c r="W195" s="1868">
        <v>1.67997</v>
      </c>
      <c r="X195" s="1868">
        <v>1.7413299999999998</v>
      </c>
      <c r="Y195" s="1868">
        <v>1.8422000000000001</v>
      </c>
      <c r="Z195" s="1868">
        <v>1.9759099999999998</v>
      </c>
      <c r="AA195" s="1868">
        <v>2.0607700000000002</v>
      </c>
      <c r="AB195" s="1868">
        <v>2.0126499999999998</v>
      </c>
      <c r="AC195" s="1868">
        <v>2.0676099999999997</v>
      </c>
      <c r="AD195" s="1868">
        <v>2.09328</v>
      </c>
      <c r="AE195" s="1868">
        <v>2.1387800000000001</v>
      </c>
      <c r="AF195" s="1868">
        <v>2.1800099999999998</v>
      </c>
      <c r="AG195" s="1868">
        <v>2.2981400000000001</v>
      </c>
      <c r="AH195" s="1868">
        <v>2.31087</v>
      </c>
      <c r="AI195" s="1868">
        <v>2.3104100000000001</v>
      </c>
      <c r="AJ195" s="1868">
        <v>2.34009</v>
      </c>
      <c r="AK195" s="1868">
        <v>2.3285800000000001</v>
      </c>
      <c r="AL195" s="1868">
        <v>2.38971</v>
      </c>
      <c r="AM195" s="1868">
        <v>2.50264</v>
      </c>
      <c r="AN195" s="1868">
        <v>2.5004299999999997</v>
      </c>
      <c r="AO195" s="1868">
        <v>2.58114</v>
      </c>
      <c r="AP195" s="1868">
        <v>2.6119500000000002</v>
      </c>
      <c r="AQ195" s="1868">
        <v>2.5434700000000001</v>
      </c>
      <c r="AR195" s="1868">
        <v>2.59999</v>
      </c>
      <c r="AS195" s="1868">
        <v>2.61334</v>
      </c>
      <c r="AT195" s="1868">
        <v>2.6337599999999997</v>
      </c>
      <c r="AU195" s="1868">
        <v>2.7226699999999999</v>
      </c>
      <c r="AV195" s="1868">
        <v>2.7745299999999999</v>
      </c>
      <c r="AW195" s="1868">
        <v>2.8597799999999998</v>
      </c>
      <c r="AX195" s="1868">
        <v>2.91018</v>
      </c>
      <c r="AY195" s="1868">
        <v>2.9716200000000002</v>
      </c>
      <c r="AZ195" s="1868">
        <v>3.00284</v>
      </c>
      <c r="BA195" s="1868">
        <v>3.0180700000000003</v>
      </c>
    </row>
    <row r="196" spans="1:53">
      <c r="A196" s="1865" t="str">
        <f t="shared" ref="A196:A259" si="3">CONCATENATE(B196,C196)</f>
        <v>EuropeBananas</v>
      </c>
      <c r="B196" s="1866" t="s">
        <v>1413</v>
      </c>
      <c r="C196" s="1866" t="s">
        <v>1362</v>
      </c>
      <c r="D196" s="1868">
        <v>30.611969999999999</v>
      </c>
      <c r="E196" s="1868">
        <v>27.337770000000003</v>
      </c>
      <c r="F196" s="1868">
        <v>30.10763</v>
      </c>
      <c r="G196" s="1868">
        <v>31.866399999999999</v>
      </c>
      <c r="H196" s="1868">
        <v>32.784750000000003</v>
      </c>
      <c r="I196" s="1868">
        <v>33.467579999999998</v>
      </c>
      <c r="J196" s="1868">
        <v>31.495590000000004</v>
      </c>
      <c r="K196" s="1868">
        <v>32.145590000000006</v>
      </c>
      <c r="L196" s="1868">
        <v>35.903269999999999</v>
      </c>
      <c r="M196" s="1868">
        <v>32.280709999999999</v>
      </c>
      <c r="N196" s="1868">
        <v>27.612490000000001</v>
      </c>
      <c r="O196" s="1868">
        <v>25.3567</v>
      </c>
      <c r="P196" s="1868">
        <v>29.815590000000004</v>
      </c>
      <c r="Q196" s="1868">
        <v>26.658000000000001</v>
      </c>
      <c r="R196" s="1868">
        <v>24.69013</v>
      </c>
      <c r="S196" s="1868">
        <v>22.945320000000002</v>
      </c>
      <c r="T196" s="1868">
        <v>24.9787</v>
      </c>
      <c r="U196" s="1868">
        <v>23.92022</v>
      </c>
      <c r="V196" s="1868">
        <v>23.199149999999999</v>
      </c>
      <c r="W196" s="1868">
        <v>31.432120000000001</v>
      </c>
      <c r="X196" s="1868">
        <v>30.533309999999997</v>
      </c>
      <c r="Y196" s="1868">
        <v>27.872979999999998</v>
      </c>
      <c r="Z196" s="1868">
        <v>28.393240000000002</v>
      </c>
      <c r="AA196" s="1868">
        <v>27.958729999999999</v>
      </c>
      <c r="AB196" s="1868">
        <v>32.43627</v>
      </c>
      <c r="AC196" s="1868">
        <v>38.681789999999999</v>
      </c>
      <c r="AD196" s="1868">
        <v>39.63588</v>
      </c>
      <c r="AE196" s="1868">
        <v>37.784939999999999</v>
      </c>
      <c r="AF196" s="1868">
        <v>40.827680000000001</v>
      </c>
      <c r="AG196" s="1868">
        <v>43.142609999999998</v>
      </c>
      <c r="AH196" s="1868">
        <v>39.163779999999996</v>
      </c>
      <c r="AI196" s="1868">
        <v>39.795459999999999</v>
      </c>
      <c r="AJ196" s="1868">
        <v>38.702680000000001</v>
      </c>
      <c r="AK196" s="1868">
        <v>38.338079999999998</v>
      </c>
      <c r="AL196" s="1868">
        <v>41.351030000000002</v>
      </c>
      <c r="AM196" s="1868">
        <v>38.399590000000003</v>
      </c>
      <c r="AN196" s="1868">
        <v>45.297350000000002</v>
      </c>
      <c r="AO196" s="1868">
        <v>41.947620000000001</v>
      </c>
      <c r="AP196" s="1868">
        <v>39.437480000000001</v>
      </c>
      <c r="AQ196" s="1868">
        <v>42.620519999999999</v>
      </c>
      <c r="AR196" s="1868">
        <v>43.482709999999997</v>
      </c>
      <c r="AS196" s="1868">
        <v>42.823729999999998</v>
      </c>
      <c r="AT196" s="1868">
        <v>40.07302</v>
      </c>
      <c r="AU196" s="1868">
        <v>41.560099999999998</v>
      </c>
      <c r="AV196" s="1868">
        <v>35.356879999999997</v>
      </c>
      <c r="AW196" s="1868">
        <v>34.719920000000002</v>
      </c>
      <c r="AX196" s="1868">
        <v>35.771500000000003</v>
      </c>
      <c r="AY196" s="1868">
        <v>38.503990000000002</v>
      </c>
      <c r="AZ196" s="1868">
        <v>34.59055</v>
      </c>
      <c r="BA196" s="1868">
        <v>36.751440000000002</v>
      </c>
    </row>
    <row r="197" spans="1:53">
      <c r="A197" s="1865" t="str">
        <f t="shared" si="3"/>
        <v>EuropeBarley</v>
      </c>
      <c r="B197" s="1866" t="s">
        <v>1413</v>
      </c>
      <c r="C197" s="1866" t="s">
        <v>1363</v>
      </c>
      <c r="D197" s="1868">
        <v>1.58596</v>
      </c>
      <c r="E197" s="1868">
        <v>1.7668200000000001</v>
      </c>
      <c r="F197" s="1868">
        <v>1.5644499999999999</v>
      </c>
      <c r="G197" s="1868">
        <v>1.7754900000000002</v>
      </c>
      <c r="H197" s="1868">
        <v>1.68947</v>
      </c>
      <c r="I197" s="1868">
        <v>1.9131</v>
      </c>
      <c r="J197" s="1868">
        <v>2.0030799999999997</v>
      </c>
      <c r="K197" s="1868">
        <v>2.0817000000000001</v>
      </c>
      <c r="L197" s="1868">
        <v>2.0259400000000003</v>
      </c>
      <c r="M197" s="1868">
        <v>2.1084099999999997</v>
      </c>
      <c r="N197" s="1868">
        <v>2.2056200000000001</v>
      </c>
      <c r="O197" s="1868">
        <v>2.0127200000000003</v>
      </c>
      <c r="P197" s="1868">
        <v>2.2795099999999997</v>
      </c>
      <c r="Q197" s="1868">
        <v>2.2623599999999997</v>
      </c>
      <c r="R197" s="1868">
        <v>1.7826500000000001</v>
      </c>
      <c r="S197" s="1868">
        <v>2.26485</v>
      </c>
      <c r="T197" s="1868">
        <v>2.1026700000000003</v>
      </c>
      <c r="U197" s="1868">
        <v>2.4285700000000001</v>
      </c>
      <c r="V197" s="1868">
        <v>1.9448700000000001</v>
      </c>
      <c r="W197" s="1868">
        <v>2.17984</v>
      </c>
      <c r="X197" s="1868">
        <v>1.9086599999999998</v>
      </c>
      <c r="Y197" s="1868">
        <v>2.2394400000000001</v>
      </c>
      <c r="Z197" s="1868">
        <v>2.2039800000000001</v>
      </c>
      <c r="AA197" s="1868">
        <v>2.40327</v>
      </c>
      <c r="AB197" s="1868">
        <v>2.4398200000000001</v>
      </c>
      <c r="AC197" s="1868">
        <v>2.4437000000000002</v>
      </c>
      <c r="AD197" s="1868">
        <v>2.5074999999999998</v>
      </c>
      <c r="AE197" s="1868">
        <v>2.3738000000000001</v>
      </c>
      <c r="AF197" s="1868">
        <v>2.6598700000000002</v>
      </c>
      <c r="AG197" s="1868">
        <v>2.8493499999999998</v>
      </c>
      <c r="AH197" s="1868">
        <v>2.4625499999999998</v>
      </c>
      <c r="AI197" s="1868">
        <v>2.7320799999999998</v>
      </c>
      <c r="AJ197" s="1868">
        <v>2.8218799999999997</v>
      </c>
      <c r="AK197" s="1868">
        <v>2.6400999999999999</v>
      </c>
      <c r="AL197" s="1868">
        <v>2.3626</v>
      </c>
      <c r="AM197" s="1868">
        <v>2.7835200000000002</v>
      </c>
      <c r="AN197" s="1868">
        <v>2.95553</v>
      </c>
      <c r="AO197" s="1868">
        <v>3.0134300000000001</v>
      </c>
      <c r="AP197" s="1868">
        <v>2.9409900000000002</v>
      </c>
      <c r="AQ197" s="1868">
        <v>3.04623</v>
      </c>
      <c r="AR197" s="1868">
        <v>3.1594700000000002</v>
      </c>
      <c r="AS197" s="1868">
        <v>3.1340499999999998</v>
      </c>
      <c r="AT197" s="1868">
        <v>2.8754900000000001</v>
      </c>
      <c r="AU197" s="1868">
        <v>3.3391900000000003</v>
      </c>
      <c r="AV197" s="1868">
        <v>2.9682200000000001</v>
      </c>
      <c r="AW197" s="1868">
        <v>2.9876099999999997</v>
      </c>
      <c r="AX197" s="1868">
        <v>3.0322400000000003</v>
      </c>
      <c r="AY197" s="1868">
        <v>3.6068300000000004</v>
      </c>
      <c r="AZ197" s="1868">
        <v>3.4469599999999998</v>
      </c>
      <c r="BA197" s="1868">
        <v>3.2010200000000002</v>
      </c>
    </row>
    <row r="198" spans="1:53">
      <c r="A198" s="1865" t="str">
        <f t="shared" si="3"/>
        <v>EuropeBeans, dry</v>
      </c>
      <c r="B198" s="1866" t="s">
        <v>1413</v>
      </c>
      <c r="C198" s="1866" t="s">
        <v>1364</v>
      </c>
      <c r="D198" s="1868">
        <v>0.27457999999999999</v>
      </c>
      <c r="E198" s="1868">
        <v>0.23416999999999999</v>
      </c>
      <c r="F198" s="1868">
        <v>0.24593000000000001</v>
      </c>
      <c r="G198" s="1868">
        <v>0.24903000000000003</v>
      </c>
      <c r="H198" s="1868">
        <v>0.23265</v>
      </c>
      <c r="I198" s="1868">
        <v>0.34573999999999999</v>
      </c>
      <c r="J198" s="1868">
        <v>0.34654000000000001</v>
      </c>
      <c r="K198" s="1868">
        <v>0.31999</v>
      </c>
      <c r="L198" s="1868">
        <v>0.38170999999999999</v>
      </c>
      <c r="M198" s="1868">
        <v>0.38228000000000001</v>
      </c>
      <c r="N198" s="1868">
        <v>0.42071000000000003</v>
      </c>
      <c r="O198" s="1868">
        <v>0.37564000000000003</v>
      </c>
      <c r="P198" s="1868">
        <v>0.47371999999999997</v>
      </c>
      <c r="Q198" s="1868">
        <v>0.42283999999999994</v>
      </c>
      <c r="R198" s="1868">
        <v>0.42946000000000006</v>
      </c>
      <c r="S198" s="1868">
        <v>0.41116999999999998</v>
      </c>
      <c r="T198" s="1868">
        <v>0.51017999999999997</v>
      </c>
      <c r="U198" s="1868">
        <v>0.54243999999999992</v>
      </c>
      <c r="V198" s="1868">
        <v>0.62214999999999998</v>
      </c>
      <c r="W198" s="1868">
        <v>0.52931000000000006</v>
      </c>
      <c r="X198" s="1868">
        <v>0.61055999999999999</v>
      </c>
      <c r="Y198" s="1868">
        <v>0.68852999999999998</v>
      </c>
      <c r="Z198" s="1868">
        <v>0.64446999999999999</v>
      </c>
      <c r="AA198" s="1868">
        <v>0.65908</v>
      </c>
      <c r="AB198" s="1868">
        <v>0.98675000000000002</v>
      </c>
      <c r="AC198" s="1868">
        <v>1.00074</v>
      </c>
      <c r="AD198" s="1868">
        <v>0.87957999999999992</v>
      </c>
      <c r="AE198" s="1868">
        <v>0.90390999999999999</v>
      </c>
      <c r="AF198" s="1868">
        <v>0.98150000000000004</v>
      </c>
      <c r="AG198" s="1868">
        <v>0.92171000000000003</v>
      </c>
      <c r="AH198" s="1868">
        <v>1.06338</v>
      </c>
      <c r="AI198" s="1868">
        <v>1.2335799999999999</v>
      </c>
      <c r="AJ198" s="1868">
        <v>1.34206</v>
      </c>
      <c r="AK198" s="1868">
        <v>1.21852</v>
      </c>
      <c r="AL198" s="1868">
        <v>1.3847499999999999</v>
      </c>
      <c r="AM198" s="1868">
        <v>1.2783799999999998</v>
      </c>
      <c r="AN198" s="1868">
        <v>1.5399200000000002</v>
      </c>
      <c r="AO198" s="1868">
        <v>1.3351899999999999</v>
      </c>
      <c r="AP198" s="1868">
        <v>1.3434299999999999</v>
      </c>
      <c r="AQ198" s="1868">
        <v>1.2517799999999999</v>
      </c>
      <c r="AR198" s="1868">
        <v>1.62612</v>
      </c>
      <c r="AS198" s="1868">
        <v>1.6361299999999999</v>
      </c>
      <c r="AT198" s="1868">
        <v>1.55342</v>
      </c>
      <c r="AU198" s="1868">
        <v>1.7427700000000002</v>
      </c>
      <c r="AV198" s="1868">
        <v>1.6566099999999999</v>
      </c>
      <c r="AW198" s="1868">
        <v>1.4205000000000001</v>
      </c>
      <c r="AX198" s="1868">
        <v>1.39638</v>
      </c>
      <c r="AY198" s="1868">
        <v>1.7476200000000002</v>
      </c>
      <c r="AZ198" s="1868">
        <v>1.87957</v>
      </c>
      <c r="BA198" s="1868">
        <v>1.69947</v>
      </c>
    </row>
    <row r="199" spans="1:53">
      <c r="A199" s="1865" t="str">
        <f t="shared" si="3"/>
        <v>EuropeBeans, green</v>
      </c>
      <c r="B199" s="1866" t="s">
        <v>1413</v>
      </c>
      <c r="C199" s="1866" t="s">
        <v>1365</v>
      </c>
      <c r="D199" s="1868">
        <v>5.8251200000000001</v>
      </c>
      <c r="E199" s="1868">
        <v>5.8538500000000004</v>
      </c>
      <c r="F199" s="1868">
        <v>6.1236800000000002</v>
      </c>
      <c r="G199" s="1868">
        <v>6.60968</v>
      </c>
      <c r="H199" s="1868">
        <v>5.9246499999999997</v>
      </c>
      <c r="I199" s="1868">
        <v>6.3467599999999997</v>
      </c>
      <c r="J199" s="1868">
        <v>6.6659199999999998</v>
      </c>
      <c r="K199" s="1868">
        <v>6.2762500000000001</v>
      </c>
      <c r="L199" s="1868">
        <v>6.7728100000000007</v>
      </c>
      <c r="M199" s="1868">
        <v>6.9359500000000001</v>
      </c>
      <c r="N199" s="1868">
        <v>7.1040300000000007</v>
      </c>
      <c r="O199" s="1868">
        <v>6.8958500000000003</v>
      </c>
      <c r="P199" s="1868">
        <v>6.9581</v>
      </c>
      <c r="Q199" s="1868">
        <v>7.1832699999999994</v>
      </c>
      <c r="R199" s="1868">
        <v>6.7045699999999995</v>
      </c>
      <c r="S199" s="1868">
        <v>6.5030800000000006</v>
      </c>
      <c r="T199" s="1868">
        <v>7.3463500000000002</v>
      </c>
      <c r="U199" s="1868">
        <v>7.1604299999999999</v>
      </c>
      <c r="V199" s="1868">
        <v>7.3220899999999993</v>
      </c>
      <c r="W199" s="1868">
        <v>6.8716800000000005</v>
      </c>
      <c r="X199" s="1868">
        <v>7.3672800000000001</v>
      </c>
      <c r="Y199" s="1868">
        <v>7.8187800000000003</v>
      </c>
      <c r="Z199" s="1868">
        <v>7.5408300000000006</v>
      </c>
      <c r="AA199" s="1868">
        <v>7.6158700000000001</v>
      </c>
      <c r="AB199" s="1868">
        <v>7.8920500000000002</v>
      </c>
      <c r="AC199" s="1868">
        <v>7.7514199999999995</v>
      </c>
      <c r="AD199" s="1868">
        <v>7.3173500000000002</v>
      </c>
      <c r="AE199" s="1868">
        <v>7.4587399999999997</v>
      </c>
      <c r="AF199" s="1868">
        <v>7.7801999999999998</v>
      </c>
      <c r="AG199" s="1868">
        <v>7.7165300000000006</v>
      </c>
      <c r="AH199" s="1868">
        <v>8.493030000000001</v>
      </c>
      <c r="AI199" s="1868">
        <v>7.2612199999999998</v>
      </c>
      <c r="AJ199" s="1868">
        <v>7.41967</v>
      </c>
      <c r="AK199" s="1868">
        <v>7.1737500000000001</v>
      </c>
      <c r="AL199" s="1868">
        <v>6.8490100000000007</v>
      </c>
      <c r="AM199" s="1868">
        <v>7.3709100000000003</v>
      </c>
      <c r="AN199" s="1868">
        <v>7.1272500000000001</v>
      </c>
      <c r="AO199" s="1868">
        <v>6.9764899999999992</v>
      </c>
      <c r="AP199" s="1868">
        <v>7.3571999999999997</v>
      </c>
      <c r="AQ199" s="1868">
        <v>7.1008399999999998</v>
      </c>
      <c r="AR199" s="1868">
        <v>7.5736399999999993</v>
      </c>
      <c r="AS199" s="1868">
        <v>7.8108199999999997</v>
      </c>
      <c r="AT199" s="1868">
        <v>7.1164500000000004</v>
      </c>
      <c r="AU199" s="1868">
        <v>7.68703</v>
      </c>
      <c r="AV199" s="1868">
        <v>7.414839999999999</v>
      </c>
      <c r="AW199" s="1868">
        <v>7.4352499999999999</v>
      </c>
      <c r="AX199" s="1868">
        <v>7.2877399999999994</v>
      </c>
      <c r="AY199" s="1868">
        <v>7.5834199999999994</v>
      </c>
      <c r="AZ199" s="1868">
        <v>7.7103999999999999</v>
      </c>
      <c r="BA199" s="1868">
        <v>7.3344300000000002</v>
      </c>
    </row>
    <row r="200" spans="1:53">
      <c r="A200" s="1865" t="str">
        <f t="shared" si="3"/>
        <v>EuropeCarrots and turnips</v>
      </c>
      <c r="B200" s="1866" t="s">
        <v>1413</v>
      </c>
      <c r="C200" s="1866" t="s">
        <v>1366</v>
      </c>
      <c r="D200" s="1868">
        <v>17.449679999999997</v>
      </c>
      <c r="E200" s="1868">
        <v>16.957840000000001</v>
      </c>
      <c r="F200" s="1868">
        <v>18.682839999999999</v>
      </c>
      <c r="G200" s="1868">
        <v>19.35547</v>
      </c>
      <c r="H200" s="1868">
        <v>19.189510000000002</v>
      </c>
      <c r="I200" s="1868">
        <v>20.474779999999999</v>
      </c>
      <c r="J200" s="1868">
        <v>21.38964</v>
      </c>
      <c r="K200" s="1868">
        <v>20.656979999999997</v>
      </c>
      <c r="L200" s="1868">
        <v>20.935879999999997</v>
      </c>
      <c r="M200" s="1868">
        <v>20.307510000000001</v>
      </c>
      <c r="N200" s="1868">
        <v>20.641100000000002</v>
      </c>
      <c r="O200" s="1868">
        <v>20.367539999999998</v>
      </c>
      <c r="P200" s="1868">
        <v>21.571100000000001</v>
      </c>
      <c r="Q200" s="1868">
        <v>20.21266</v>
      </c>
      <c r="R200" s="1868">
        <v>19.357510000000001</v>
      </c>
      <c r="S200" s="1868">
        <v>18.831160000000001</v>
      </c>
      <c r="T200" s="1868">
        <v>22.581659999999999</v>
      </c>
      <c r="U200" s="1868">
        <v>22.59599</v>
      </c>
      <c r="V200" s="1868">
        <v>20.46705</v>
      </c>
      <c r="W200" s="1868">
        <v>21.320970000000003</v>
      </c>
      <c r="X200" s="1868">
        <v>20.57066</v>
      </c>
      <c r="Y200" s="1868">
        <v>21.84646</v>
      </c>
      <c r="Z200" s="1868">
        <v>21.505389999999998</v>
      </c>
      <c r="AA200" s="1868">
        <v>24.691329999999997</v>
      </c>
      <c r="AB200" s="1868">
        <v>23.531420000000001</v>
      </c>
      <c r="AC200" s="1868">
        <v>23.56523</v>
      </c>
      <c r="AD200" s="1868">
        <v>23.456320000000002</v>
      </c>
      <c r="AE200" s="1868">
        <v>23.01887</v>
      </c>
      <c r="AF200" s="1868">
        <v>22.17381</v>
      </c>
      <c r="AG200" s="1868">
        <v>23.23929</v>
      </c>
      <c r="AH200" s="1868">
        <v>21.810960000000001</v>
      </c>
      <c r="AI200" s="1868">
        <v>24.651350000000001</v>
      </c>
      <c r="AJ200" s="1868">
        <v>26.269549999999999</v>
      </c>
      <c r="AK200" s="1868">
        <v>22.600899999999999</v>
      </c>
      <c r="AL200" s="1868">
        <v>22.864249999999998</v>
      </c>
      <c r="AM200" s="1868">
        <v>24.270900000000001</v>
      </c>
      <c r="AN200" s="1868">
        <v>25.423159999999999</v>
      </c>
      <c r="AO200" s="1868">
        <v>25.170339999999999</v>
      </c>
      <c r="AP200" s="1868">
        <v>25.490829999999999</v>
      </c>
      <c r="AQ200" s="1868">
        <v>25.98329</v>
      </c>
      <c r="AR200" s="1868">
        <v>26.513720000000003</v>
      </c>
      <c r="AS200" s="1868">
        <v>26.015070000000001</v>
      </c>
      <c r="AT200" s="1868">
        <v>25.932389999999998</v>
      </c>
      <c r="AU200" s="1868">
        <v>27.839440000000003</v>
      </c>
      <c r="AV200" s="1868">
        <v>27.90888</v>
      </c>
      <c r="AW200" s="1868">
        <v>26.923870000000001</v>
      </c>
      <c r="AX200" s="1868">
        <v>28.608979999999999</v>
      </c>
      <c r="AY200" s="1868">
        <v>29.031129999999997</v>
      </c>
      <c r="AZ200" s="1868">
        <v>29.606870000000001</v>
      </c>
      <c r="BA200" s="1868">
        <v>28.324609999999996</v>
      </c>
    </row>
    <row r="201" spans="1:53">
      <c r="A201" s="1865" t="str">
        <f t="shared" si="3"/>
        <v>EuropeCauliflowers and broccoli</v>
      </c>
      <c r="B201" s="1866" t="s">
        <v>1413</v>
      </c>
      <c r="C201" s="1866" t="s">
        <v>1369</v>
      </c>
      <c r="D201" s="1868">
        <v>17.373650000000001</v>
      </c>
      <c r="E201" s="1868">
        <v>14.708770000000001</v>
      </c>
      <c r="F201" s="1868">
        <v>16.615679999999998</v>
      </c>
      <c r="G201" s="1868">
        <v>16.818300000000001</v>
      </c>
      <c r="H201" s="1868">
        <v>17.47662</v>
      </c>
      <c r="I201" s="1868">
        <v>17.464590000000001</v>
      </c>
      <c r="J201" s="1868">
        <v>17.514150000000001</v>
      </c>
      <c r="K201" s="1868">
        <v>17.011099999999999</v>
      </c>
      <c r="L201" s="1868">
        <v>16.9068</v>
      </c>
      <c r="M201" s="1868">
        <v>16.916740000000001</v>
      </c>
      <c r="N201" s="1868">
        <v>17.1844</v>
      </c>
      <c r="O201" s="1868">
        <v>18.177120000000002</v>
      </c>
      <c r="P201" s="1868">
        <v>17.50639</v>
      </c>
      <c r="Q201" s="1868">
        <v>17.787240000000001</v>
      </c>
      <c r="R201" s="1868">
        <v>16.784589999999998</v>
      </c>
      <c r="S201" s="1868">
        <v>16.811770000000003</v>
      </c>
      <c r="T201" s="1868">
        <v>17.05247</v>
      </c>
      <c r="U201" s="1868">
        <v>17.099970000000003</v>
      </c>
      <c r="V201" s="1868">
        <v>15.664820000000001</v>
      </c>
      <c r="W201" s="1868">
        <v>16.774000000000001</v>
      </c>
      <c r="X201" s="1868">
        <v>16.84384</v>
      </c>
      <c r="Y201" s="1868">
        <v>16.438270000000003</v>
      </c>
      <c r="Z201" s="1868">
        <v>16.291650000000001</v>
      </c>
      <c r="AA201" s="1868">
        <v>15.24854</v>
      </c>
      <c r="AB201" s="1868">
        <v>16.01587</v>
      </c>
      <c r="AC201" s="1868">
        <v>15.348420000000001</v>
      </c>
      <c r="AD201" s="1868">
        <v>15.261529999999999</v>
      </c>
      <c r="AE201" s="1868">
        <v>16.862029999999997</v>
      </c>
      <c r="AF201" s="1868">
        <v>16.344860000000001</v>
      </c>
      <c r="AG201" s="1868">
        <v>14.82124</v>
      </c>
      <c r="AH201" s="1868">
        <v>15.558479999999999</v>
      </c>
      <c r="AI201" s="1868">
        <v>15.427970000000002</v>
      </c>
      <c r="AJ201" s="1868">
        <v>16.00686</v>
      </c>
      <c r="AK201" s="1868">
        <v>15.376389999999999</v>
      </c>
      <c r="AL201" s="1868">
        <v>15.83911</v>
      </c>
      <c r="AM201" s="1868">
        <v>16.211129999999997</v>
      </c>
      <c r="AN201" s="1868">
        <v>16.547689999999999</v>
      </c>
      <c r="AO201" s="1868">
        <v>16.720960000000002</v>
      </c>
      <c r="AP201" s="1868">
        <v>16.529610000000002</v>
      </c>
      <c r="AQ201" s="1868">
        <v>16.792100000000001</v>
      </c>
      <c r="AR201" s="1868">
        <v>16.286339999999999</v>
      </c>
      <c r="AS201" s="1868">
        <v>16.176070000000003</v>
      </c>
      <c r="AT201" s="1868">
        <v>16.614879999999999</v>
      </c>
      <c r="AU201" s="1868">
        <v>17.495470000000001</v>
      </c>
      <c r="AV201" s="1868">
        <v>16.71996</v>
      </c>
      <c r="AW201" s="1868">
        <v>15.918510000000001</v>
      </c>
      <c r="AX201" s="1868">
        <v>16.61956</v>
      </c>
      <c r="AY201" s="1868">
        <v>16.66348</v>
      </c>
      <c r="AZ201" s="1868">
        <v>17.186</v>
      </c>
      <c r="BA201" s="1868">
        <v>16.654309999999999</v>
      </c>
    </row>
    <row r="202" spans="1:53">
      <c r="A202" s="1865" t="str">
        <f t="shared" si="3"/>
        <v>EuropeCereals, nes</v>
      </c>
      <c r="B202" s="1866" t="s">
        <v>1413</v>
      </c>
      <c r="C202" s="1866" t="s">
        <v>1370</v>
      </c>
      <c r="D202" s="1868">
        <v>1.0597299999999998</v>
      </c>
      <c r="E202" s="1868">
        <v>1.0301899999999999</v>
      </c>
      <c r="F202" s="1868">
        <v>1.0125600000000001</v>
      </c>
      <c r="G202" s="1868">
        <v>1.0773200000000001</v>
      </c>
      <c r="H202" s="1868">
        <v>1.1404100000000001</v>
      </c>
      <c r="I202" s="1868">
        <v>1.27834</v>
      </c>
      <c r="J202" s="1868">
        <v>1.45373</v>
      </c>
      <c r="K202" s="1868">
        <v>1.46763</v>
      </c>
      <c r="L202" s="1868">
        <v>1.4623999999999999</v>
      </c>
      <c r="M202" s="1868">
        <v>1.68798</v>
      </c>
      <c r="N202" s="1868">
        <v>1.59324</v>
      </c>
      <c r="O202" s="1868">
        <v>1.6064200000000002</v>
      </c>
      <c r="P202" s="1868">
        <v>1.55911</v>
      </c>
      <c r="Q202" s="1868">
        <v>1.7890700000000002</v>
      </c>
      <c r="R202" s="1868">
        <v>1.7129299999999998</v>
      </c>
      <c r="S202" s="1868">
        <v>1.9562400000000002</v>
      </c>
      <c r="T202" s="1868">
        <v>2.2120799999999998</v>
      </c>
      <c r="U202" s="1868">
        <v>2.7263000000000002</v>
      </c>
      <c r="V202" s="1868">
        <v>1.63222</v>
      </c>
      <c r="W202" s="1868">
        <v>2.5870099999999998</v>
      </c>
      <c r="X202" s="1868">
        <v>2.0649599999999997</v>
      </c>
      <c r="Y202" s="1868">
        <v>2.2009599999999998</v>
      </c>
      <c r="Z202" s="1868">
        <v>1.9283700000000001</v>
      </c>
      <c r="AA202" s="1868">
        <v>2.2840199999999999</v>
      </c>
      <c r="AB202" s="1868">
        <v>1.9369099999999999</v>
      </c>
      <c r="AC202" s="1868">
        <v>2.0713499999999998</v>
      </c>
      <c r="AD202" s="1868">
        <v>1.99847</v>
      </c>
      <c r="AE202" s="1868">
        <v>2.1621099999999998</v>
      </c>
      <c r="AF202" s="1868">
        <v>2.97776</v>
      </c>
      <c r="AG202" s="1868">
        <v>3.1118700000000001</v>
      </c>
      <c r="AH202" s="1868">
        <v>2.81257</v>
      </c>
      <c r="AI202" s="1868">
        <v>1.7591900000000003</v>
      </c>
      <c r="AJ202" s="1868">
        <v>1.37799</v>
      </c>
      <c r="AK202" s="1868">
        <v>2.82769</v>
      </c>
      <c r="AL202" s="1868">
        <v>1.7917799999999999</v>
      </c>
      <c r="AM202" s="1868">
        <v>1.4244399999999999</v>
      </c>
      <c r="AN202" s="1868">
        <v>1.6339600000000001</v>
      </c>
      <c r="AO202" s="1868">
        <v>1.6633</v>
      </c>
      <c r="AP202" s="1868">
        <v>1.4740899999999999</v>
      </c>
      <c r="AQ202" s="1868">
        <v>1.18692</v>
      </c>
      <c r="AR202" s="1868">
        <v>1.1652400000000001</v>
      </c>
      <c r="AS202" s="1868">
        <v>1.36819</v>
      </c>
      <c r="AT202" s="1868">
        <v>2.9713099999999999</v>
      </c>
      <c r="AU202" s="1868">
        <v>4.0057499999999999</v>
      </c>
      <c r="AV202" s="1868">
        <v>4.1222599999999998</v>
      </c>
      <c r="AW202" s="1868">
        <v>3.9052699999999998</v>
      </c>
      <c r="AX202" s="1868">
        <v>4.0136000000000003</v>
      </c>
      <c r="AY202" s="1868">
        <v>4.1950900000000004</v>
      </c>
      <c r="AZ202" s="1868">
        <v>3.8431900000000003</v>
      </c>
      <c r="BA202" s="1868">
        <v>3.9677899999999999</v>
      </c>
    </row>
    <row r="203" spans="1:53">
      <c r="A203" s="1865" t="str">
        <f t="shared" si="3"/>
        <v>EuropeChestnuts</v>
      </c>
      <c r="B203" s="1866" t="s">
        <v>1413</v>
      </c>
      <c r="C203" s="1866" t="s">
        <v>1371</v>
      </c>
      <c r="D203" s="1868">
        <v>9.6658299999999997</v>
      </c>
      <c r="E203" s="1868">
        <v>8.0588100000000011</v>
      </c>
      <c r="F203" s="1868">
        <v>11.240030000000001</v>
      </c>
      <c r="G203" s="1868">
        <v>9.3899000000000008</v>
      </c>
      <c r="H203" s="1868">
        <v>7.5057499999999999</v>
      </c>
      <c r="I203" s="1868">
        <v>7.3490399999999996</v>
      </c>
      <c r="J203" s="1868">
        <v>6.5071199999999996</v>
      </c>
      <c r="K203" s="1868">
        <v>5.8101500000000001</v>
      </c>
      <c r="L203" s="1868">
        <v>6.0445000000000002</v>
      </c>
      <c r="M203" s="1868">
        <v>5.8800400000000002</v>
      </c>
      <c r="N203" s="1868">
        <v>7.8896699999999997</v>
      </c>
      <c r="O203" s="1868">
        <v>8.0760300000000012</v>
      </c>
      <c r="P203" s="1868">
        <v>8.7249300000000005</v>
      </c>
      <c r="Q203" s="1868">
        <v>8.41587</v>
      </c>
      <c r="R203" s="1868">
        <v>8.30396</v>
      </c>
      <c r="S203" s="1868">
        <v>9.1451700000000002</v>
      </c>
      <c r="T203" s="1868">
        <v>7.6834800000000003</v>
      </c>
      <c r="U203" s="1868">
        <v>7.8981300000000001</v>
      </c>
      <c r="V203" s="1868">
        <v>13.00019</v>
      </c>
      <c r="W203" s="1868">
        <v>10.002689999999999</v>
      </c>
      <c r="X203" s="1868">
        <v>10.77927</v>
      </c>
      <c r="Y203" s="1868">
        <v>11.185269999999999</v>
      </c>
      <c r="Z203" s="1868">
        <v>11.30353</v>
      </c>
      <c r="AA203" s="1868">
        <v>9.2270000000000003</v>
      </c>
      <c r="AB203" s="1868">
        <v>1.7901400000000001</v>
      </c>
      <c r="AC203" s="1868">
        <v>1.9569000000000001</v>
      </c>
      <c r="AD203" s="1868">
        <v>2.0918200000000002</v>
      </c>
      <c r="AE203" s="1868">
        <v>2.0611200000000003</v>
      </c>
      <c r="AF203" s="1868">
        <v>2.0506199999999999</v>
      </c>
      <c r="AG203" s="1868">
        <v>1.9428400000000001</v>
      </c>
      <c r="AH203" s="1868">
        <v>2.1028899999999999</v>
      </c>
      <c r="AI203" s="1868">
        <v>2.1520599999999996</v>
      </c>
      <c r="AJ203" s="1868">
        <v>2.0332400000000002</v>
      </c>
      <c r="AK203" s="1868">
        <v>2.1093000000000002</v>
      </c>
      <c r="AL203" s="1868">
        <v>1.9852700000000001</v>
      </c>
      <c r="AM203" s="1868">
        <v>2.0404900000000001</v>
      </c>
      <c r="AN203" s="1868">
        <v>2.0949400000000002</v>
      </c>
      <c r="AO203" s="1868">
        <v>2.1833</v>
      </c>
      <c r="AP203" s="1868">
        <v>1.7846500000000001</v>
      </c>
      <c r="AQ203" s="1868">
        <v>1.76762</v>
      </c>
      <c r="AR203" s="1868">
        <v>1.70547</v>
      </c>
      <c r="AS203" s="1868">
        <v>1.73593</v>
      </c>
      <c r="AT203" s="1868">
        <v>1.5942700000000001</v>
      </c>
      <c r="AU203" s="1868">
        <v>1.5865499999999999</v>
      </c>
      <c r="AV203" s="1868">
        <v>1.47065</v>
      </c>
      <c r="AW203" s="1868">
        <v>1.6103499999999999</v>
      </c>
      <c r="AX203" s="1868">
        <v>1.4068499999999999</v>
      </c>
      <c r="AY203" s="1868">
        <v>1.27626</v>
      </c>
      <c r="AZ203" s="1868">
        <v>1.2902200000000001</v>
      </c>
      <c r="BA203" s="1868">
        <v>1.26251</v>
      </c>
    </row>
    <row r="204" spans="1:53">
      <c r="A204" s="1865" t="str">
        <f t="shared" si="3"/>
        <v>EuropeCitrus fruit, nes</v>
      </c>
      <c r="B204" s="1866" t="s">
        <v>1413</v>
      </c>
      <c r="C204" s="1866" t="s">
        <v>1372</v>
      </c>
      <c r="D204" s="1868">
        <v>13.22925</v>
      </c>
      <c r="E204" s="1868">
        <v>12.14575</v>
      </c>
      <c r="F204" s="1868">
        <v>15.356249999999999</v>
      </c>
      <c r="G204" s="1868">
        <v>14.801839999999999</v>
      </c>
      <c r="H204" s="1868">
        <v>10.609730000000001</v>
      </c>
      <c r="I204" s="1868">
        <v>13.552879999999998</v>
      </c>
      <c r="J204" s="1868">
        <v>12.248660000000001</v>
      </c>
      <c r="K204" s="1868">
        <v>11.515139999999999</v>
      </c>
      <c r="L204" s="1868">
        <v>10.594889999999999</v>
      </c>
      <c r="M204" s="1868">
        <v>11.69271</v>
      </c>
      <c r="N204" s="1868">
        <v>8.6932799999999997</v>
      </c>
      <c r="O204" s="1868">
        <v>8.603019999999999</v>
      </c>
      <c r="P204" s="1868">
        <v>10.367039999999999</v>
      </c>
      <c r="Q204" s="1868">
        <v>11.126339999999999</v>
      </c>
      <c r="R204" s="1868">
        <v>12.03098</v>
      </c>
      <c r="S204" s="1868">
        <v>9.8431899999999999</v>
      </c>
      <c r="T204" s="1868">
        <v>11.912510000000001</v>
      </c>
      <c r="U204" s="1868">
        <v>12.587580000000001</v>
      </c>
      <c r="V204" s="1868">
        <v>12.855080000000001</v>
      </c>
      <c r="W204" s="1868">
        <v>12.12735</v>
      </c>
      <c r="X204" s="1868">
        <v>11.51362</v>
      </c>
      <c r="Y204" s="1868">
        <v>10.328950000000001</v>
      </c>
      <c r="Z204" s="1868">
        <v>12.59473</v>
      </c>
      <c r="AA204" s="1868">
        <v>8.13002</v>
      </c>
      <c r="AB204" s="1868">
        <v>12.715160000000001</v>
      </c>
      <c r="AC204" s="1868">
        <v>13.77266</v>
      </c>
      <c r="AD204" s="1868">
        <v>14.429270000000001</v>
      </c>
      <c r="AE204" s="1868">
        <v>7.5631000000000004</v>
      </c>
      <c r="AF204" s="1868">
        <v>14.213470000000001</v>
      </c>
      <c r="AG204" s="1868">
        <v>9.8915199999999999</v>
      </c>
      <c r="AH204" s="1868">
        <v>13.984439999999999</v>
      </c>
      <c r="AI204" s="1868">
        <v>15.51177</v>
      </c>
      <c r="AJ204" s="1868">
        <v>14.989739999999999</v>
      </c>
      <c r="AK204" s="1868">
        <v>10.4457</v>
      </c>
      <c r="AL204" s="1868">
        <v>11.535630000000001</v>
      </c>
      <c r="AM204" s="1868">
        <v>10.55447</v>
      </c>
      <c r="AN204" s="1868">
        <v>13.47301</v>
      </c>
      <c r="AO204" s="1868">
        <v>8.1102899999999991</v>
      </c>
      <c r="AP204" s="1868">
        <v>19.228059999999999</v>
      </c>
      <c r="AQ204" s="1868">
        <v>14.79025</v>
      </c>
      <c r="AR204" s="1868">
        <v>17.262350000000001</v>
      </c>
      <c r="AS204" s="1868">
        <v>16.731549999999999</v>
      </c>
      <c r="AT204" s="1868">
        <v>16.06352</v>
      </c>
      <c r="AU204" s="1868">
        <v>10.15602</v>
      </c>
      <c r="AV204" s="1868">
        <v>8.2421600000000002</v>
      </c>
      <c r="AW204" s="1868">
        <v>9.2859999999999996</v>
      </c>
      <c r="AX204" s="1868">
        <v>5.4714199999999993</v>
      </c>
      <c r="AY204" s="1868">
        <v>8.6033500000000007</v>
      </c>
      <c r="AZ204" s="1868">
        <v>7.3293499999999998</v>
      </c>
      <c r="BA204" s="1868">
        <v>7.6188399999999996</v>
      </c>
    </row>
    <row r="205" spans="1:53">
      <c r="A205" s="1865" t="str">
        <f t="shared" si="3"/>
        <v>EuropeCow peas, dry</v>
      </c>
      <c r="B205" s="1866" t="s">
        <v>1413</v>
      </c>
      <c r="C205" s="1866" t="s">
        <v>1355</v>
      </c>
      <c r="D205" s="1868">
        <v>3.0305299999999997</v>
      </c>
      <c r="E205" s="1868">
        <v>4.2763200000000001</v>
      </c>
      <c r="F205" s="1868">
        <v>3.56989</v>
      </c>
      <c r="G205" s="1868">
        <v>4.1428599999999998</v>
      </c>
      <c r="H205" s="1868">
        <v>3.4705900000000001</v>
      </c>
      <c r="I205" s="1868">
        <v>4.0865400000000003</v>
      </c>
      <c r="J205" s="1868">
        <v>3.1377599999999997</v>
      </c>
      <c r="K205" s="1868">
        <v>3.0637300000000001</v>
      </c>
      <c r="L205" s="1868">
        <v>3.0778300000000001</v>
      </c>
      <c r="M205" s="1868">
        <v>2.5295099999999997</v>
      </c>
      <c r="N205" s="1868">
        <v>2.9898599999999997</v>
      </c>
      <c r="O205" s="1868">
        <v>3.0656500000000002</v>
      </c>
      <c r="P205" s="1868">
        <v>2.7751700000000001</v>
      </c>
      <c r="Q205" s="1868">
        <v>3.5568699999999995</v>
      </c>
      <c r="R205" s="1868">
        <v>3.5485500000000001</v>
      </c>
      <c r="S205" s="1868">
        <v>3.5747</v>
      </c>
      <c r="T205" s="1868">
        <v>6.4589699999999999</v>
      </c>
      <c r="U205" s="1868">
        <v>3.7493300000000005</v>
      </c>
      <c r="V205" s="1868">
        <v>2.8184299999999998</v>
      </c>
      <c r="W205" s="1868">
        <v>3.2017099999999998</v>
      </c>
      <c r="X205" s="1868">
        <v>3.5633300000000001</v>
      </c>
      <c r="Y205" s="1868">
        <v>2.4344099999999997</v>
      </c>
      <c r="Z205" s="1868">
        <v>3.9039099999999998</v>
      </c>
      <c r="AA205" s="1868">
        <v>3.8214099999999998</v>
      </c>
      <c r="AB205" s="1868">
        <v>3.1432099999999998</v>
      </c>
      <c r="AC205" s="1868">
        <v>3.72526</v>
      </c>
      <c r="AD205" s="1868">
        <v>3.4558599999999999</v>
      </c>
      <c r="AE205" s="1868">
        <v>3.3486199999999999</v>
      </c>
      <c r="AF205" s="1868">
        <v>3.3953599999999997</v>
      </c>
      <c r="AG205" s="1868">
        <v>2.6462500000000002</v>
      </c>
      <c r="AH205" s="1868">
        <v>4.5250000000000004</v>
      </c>
      <c r="AI205" s="1868">
        <v>3.1059099999999997</v>
      </c>
      <c r="AJ205" s="1868">
        <v>3.1451700000000002</v>
      </c>
      <c r="AK205" s="1868">
        <v>2.7649400000000002</v>
      </c>
      <c r="AL205" s="1868">
        <v>2.8517999999999999</v>
      </c>
      <c r="AM205" s="1868">
        <v>2.6960999999999999</v>
      </c>
      <c r="AN205" s="1868">
        <v>3.0230799999999998</v>
      </c>
      <c r="AO205" s="1868">
        <v>2.98292</v>
      </c>
      <c r="AP205" s="1868">
        <v>3.0828500000000001</v>
      </c>
      <c r="AQ205" s="1868">
        <v>2.58785</v>
      </c>
      <c r="AR205" s="1868">
        <v>3.1141400000000004</v>
      </c>
      <c r="AS205" s="1868">
        <v>2.93973</v>
      </c>
      <c r="AT205" s="1868">
        <v>2.8393000000000002</v>
      </c>
      <c r="AU205" s="1868">
        <v>3.2759</v>
      </c>
      <c r="AV205" s="1868">
        <v>3.4322699999999995</v>
      </c>
      <c r="AW205" s="1868">
        <v>3.20316</v>
      </c>
      <c r="AX205" s="1868">
        <v>2.7983199999999999</v>
      </c>
      <c r="AY205" s="1868">
        <v>3.0643400000000001</v>
      </c>
      <c r="AZ205" s="1868">
        <v>3.2440599999999997</v>
      </c>
      <c r="BA205" s="1868">
        <v>3.45526</v>
      </c>
    </row>
    <row r="206" spans="1:53">
      <c r="A206" s="1865" t="str">
        <f t="shared" si="3"/>
        <v>EuropeDates</v>
      </c>
      <c r="B206" s="1866" t="s">
        <v>1413</v>
      </c>
      <c r="C206" s="1866" t="s">
        <v>1374</v>
      </c>
      <c r="D206" s="1868">
        <v>29.629629999999999</v>
      </c>
      <c r="E206" s="1868">
        <v>29.925190000000001</v>
      </c>
      <c r="F206" s="1868">
        <v>29.925190000000001</v>
      </c>
      <c r="G206" s="1868">
        <v>28.248590000000004</v>
      </c>
      <c r="H206" s="1868">
        <v>27.3752</v>
      </c>
      <c r="I206" s="1868">
        <v>25.367739999999998</v>
      </c>
      <c r="J206" s="1868">
        <v>24.101610000000001</v>
      </c>
      <c r="K206" s="1868">
        <v>26.135479999999998</v>
      </c>
      <c r="L206" s="1868">
        <v>25.545159999999999</v>
      </c>
      <c r="M206" s="1868">
        <v>20.952110000000001</v>
      </c>
      <c r="N206" s="1868">
        <v>22.456340000000001</v>
      </c>
      <c r="O206" s="1868">
        <v>21.223800000000001</v>
      </c>
      <c r="P206" s="1868">
        <v>21.527010000000001</v>
      </c>
      <c r="Q206" s="1868">
        <v>21.10239</v>
      </c>
      <c r="R206" s="1868">
        <v>20.8735</v>
      </c>
      <c r="S206" s="1868">
        <v>20.93478</v>
      </c>
      <c r="T206" s="1868">
        <v>21.544989999999999</v>
      </c>
      <c r="U206" s="1868">
        <v>21.451450000000001</v>
      </c>
      <c r="V206" s="1868">
        <v>21.580570000000002</v>
      </c>
      <c r="W206" s="1868">
        <v>21.236079999999998</v>
      </c>
      <c r="X206" s="1868">
        <v>20.71161</v>
      </c>
      <c r="Y206" s="1868">
        <v>21.047969999999999</v>
      </c>
      <c r="Z206" s="1868">
        <v>19.594260000000002</v>
      </c>
      <c r="AA206" s="1868">
        <v>19.105740000000001</v>
      </c>
      <c r="AB206" s="1868">
        <v>19.390910000000002</v>
      </c>
      <c r="AC206" s="1868">
        <v>18.704320000000003</v>
      </c>
      <c r="AD206" s="1868">
        <v>18.610139999999998</v>
      </c>
      <c r="AE206" s="1868">
        <v>18.668610000000001</v>
      </c>
      <c r="AF206" s="1868">
        <v>18.96705</v>
      </c>
      <c r="AG206" s="1868">
        <v>18.57546</v>
      </c>
      <c r="AH206" s="1868">
        <v>18.00468</v>
      </c>
      <c r="AI206" s="1868">
        <v>17.628959999999999</v>
      </c>
      <c r="AJ206" s="1868">
        <v>18.995190000000001</v>
      </c>
      <c r="AK206" s="1868">
        <v>17.653510000000001</v>
      </c>
      <c r="AL206" s="1868">
        <v>17.284479999999999</v>
      </c>
      <c r="AM206" s="1868">
        <v>16.406879999999997</v>
      </c>
      <c r="AN206" s="1868">
        <v>13.670070000000001</v>
      </c>
      <c r="AO206" s="1868">
        <v>12.827349999999999</v>
      </c>
      <c r="AP206" s="1868">
        <v>14.409520000000001</v>
      </c>
      <c r="AQ206" s="1868">
        <v>4.92971</v>
      </c>
      <c r="AR206" s="1868">
        <v>4.3598099999999995</v>
      </c>
      <c r="AS206" s="1868">
        <v>4.5170199999999996</v>
      </c>
      <c r="AT206" s="1868">
        <v>4.6858599999999999</v>
      </c>
      <c r="AU206" s="1868">
        <v>3.1816200000000001</v>
      </c>
      <c r="AV206" s="1868">
        <v>3.22723</v>
      </c>
      <c r="AW206" s="1868">
        <v>3.2398500000000001</v>
      </c>
      <c r="AX206" s="1868">
        <v>3.13253</v>
      </c>
      <c r="AY206" s="1868">
        <v>3.3082199999999995</v>
      </c>
      <c r="AZ206" s="1868">
        <v>3.4425500000000002</v>
      </c>
      <c r="BA206" s="1868">
        <v>3.8021199999999995</v>
      </c>
    </row>
    <row r="207" spans="1:53">
      <c r="A207" s="1865" t="str">
        <f t="shared" si="3"/>
        <v>EuropeEggplants (aubergines)</v>
      </c>
      <c r="B207" s="1866" t="s">
        <v>1413</v>
      </c>
      <c r="C207" s="1866" t="s">
        <v>1375</v>
      </c>
      <c r="D207" s="1868">
        <v>19.71396</v>
      </c>
      <c r="E207" s="1868">
        <v>20.23882</v>
      </c>
      <c r="F207" s="1868">
        <v>20.228490000000001</v>
      </c>
      <c r="G207" s="1868">
        <v>20.662579999999998</v>
      </c>
      <c r="H207" s="1868">
        <v>21.418839999999999</v>
      </c>
      <c r="I207" s="1868">
        <v>21.712299999999999</v>
      </c>
      <c r="J207" s="1868">
        <v>22.45506</v>
      </c>
      <c r="K207" s="1868">
        <v>22.72514</v>
      </c>
      <c r="L207" s="1868">
        <v>23.310479999999998</v>
      </c>
      <c r="M207" s="1868">
        <v>23.388449999999999</v>
      </c>
      <c r="N207" s="1868">
        <v>23.902629999999998</v>
      </c>
      <c r="O207" s="1868">
        <v>24.0929</v>
      </c>
      <c r="P207" s="1868">
        <v>24.336470000000002</v>
      </c>
      <c r="Q207" s="1868">
        <v>24.64696</v>
      </c>
      <c r="R207" s="1868">
        <v>24.401070000000001</v>
      </c>
      <c r="S207" s="1868">
        <v>24.513070000000003</v>
      </c>
      <c r="T207" s="1868">
        <v>23.914549999999998</v>
      </c>
      <c r="U207" s="1868">
        <v>23.894939999999998</v>
      </c>
      <c r="V207" s="1868">
        <v>24.321079999999998</v>
      </c>
      <c r="W207" s="1868">
        <v>24.23115</v>
      </c>
      <c r="X207" s="1868">
        <v>24.62031</v>
      </c>
      <c r="Y207" s="1868">
        <v>24.606120000000001</v>
      </c>
      <c r="Z207" s="1868">
        <v>25.396989999999999</v>
      </c>
      <c r="AA207" s="1868">
        <v>25.448039999999999</v>
      </c>
      <c r="AB207" s="1868">
        <v>25.822789999999998</v>
      </c>
      <c r="AC207" s="1868">
        <v>25.852870000000003</v>
      </c>
      <c r="AD207" s="1868">
        <v>26.885619999999999</v>
      </c>
      <c r="AE207" s="1868">
        <v>26.594859999999997</v>
      </c>
      <c r="AF207" s="1868">
        <v>29.172999999999998</v>
      </c>
      <c r="AG207" s="1868">
        <v>24.25563</v>
      </c>
      <c r="AH207" s="1868">
        <v>24.75338</v>
      </c>
      <c r="AI207" s="1868">
        <v>25.528700000000001</v>
      </c>
      <c r="AJ207" s="1868">
        <v>24.827070000000003</v>
      </c>
      <c r="AK207" s="1868">
        <v>25.616859999999999</v>
      </c>
      <c r="AL207" s="1868">
        <v>25.319570000000002</v>
      </c>
      <c r="AM207" s="1868">
        <v>23.93261</v>
      </c>
      <c r="AN207" s="1868">
        <v>24.402160000000002</v>
      </c>
      <c r="AO207" s="1868">
        <v>23.892229999999998</v>
      </c>
      <c r="AP207" s="1868">
        <v>23.036460000000002</v>
      </c>
      <c r="AQ207" s="1868">
        <v>24.2807</v>
      </c>
      <c r="AR207" s="1868">
        <v>24.689499999999999</v>
      </c>
      <c r="AS207" s="1868">
        <v>24.04806</v>
      </c>
      <c r="AT207" s="1868">
        <v>23.228120000000001</v>
      </c>
      <c r="AU207" s="1868">
        <v>23.80781</v>
      </c>
      <c r="AV207" s="1868">
        <v>22.337499999999999</v>
      </c>
      <c r="AW207" s="1868">
        <v>22.66431</v>
      </c>
      <c r="AX207" s="1868">
        <v>21.827200000000001</v>
      </c>
      <c r="AY207" s="1868">
        <v>25.23714</v>
      </c>
      <c r="AZ207" s="1868">
        <v>26.316749999999999</v>
      </c>
      <c r="BA207" s="1868">
        <v>24.216989999999999</v>
      </c>
    </row>
    <row r="208" spans="1:53">
      <c r="A208" s="1865" t="str">
        <f t="shared" si="3"/>
        <v>EuropeGrapefruit (inc. pomelos)</v>
      </c>
      <c r="B208" s="1866" t="s">
        <v>1413</v>
      </c>
      <c r="C208" s="1866" t="s">
        <v>1377</v>
      </c>
      <c r="D208" s="1868">
        <v>10.393939999999999</v>
      </c>
      <c r="E208" s="1868">
        <v>10.581200000000001</v>
      </c>
      <c r="F208" s="1868">
        <v>12.06387</v>
      </c>
      <c r="G208" s="1868">
        <v>10.55556</v>
      </c>
      <c r="H208" s="1868">
        <v>11.812610000000001</v>
      </c>
      <c r="I208" s="1868">
        <v>12.206719999999999</v>
      </c>
      <c r="J208" s="1868">
        <v>10.6517</v>
      </c>
      <c r="K208" s="1868">
        <v>12.797789999999999</v>
      </c>
      <c r="L208" s="1868">
        <v>13.227620000000002</v>
      </c>
      <c r="M208" s="1868">
        <v>10.2807</v>
      </c>
      <c r="N208" s="1868">
        <v>10.126110000000001</v>
      </c>
      <c r="O208" s="1868">
        <v>9.8011999999999997</v>
      </c>
      <c r="P208" s="1868">
        <v>10.21527</v>
      </c>
      <c r="Q208" s="1868">
        <v>9.9394200000000001</v>
      </c>
      <c r="R208" s="1868">
        <v>10.849780000000001</v>
      </c>
      <c r="S208" s="1868">
        <v>10.993969999999999</v>
      </c>
      <c r="T208" s="1868">
        <v>14.180400000000001</v>
      </c>
      <c r="U208" s="1868">
        <v>13.03253</v>
      </c>
      <c r="V208" s="1868">
        <v>14.962629999999999</v>
      </c>
      <c r="W208" s="1868">
        <v>10.19755</v>
      </c>
      <c r="X208" s="1868">
        <v>9.8124199999999995</v>
      </c>
      <c r="Y208" s="1868">
        <v>12.014060000000001</v>
      </c>
      <c r="Z208" s="1868">
        <v>12.463230000000001</v>
      </c>
      <c r="AA208" s="1868">
        <v>10.60331</v>
      </c>
      <c r="AB208" s="1868">
        <v>11.766780000000001</v>
      </c>
      <c r="AC208" s="1868">
        <v>13.536679999999999</v>
      </c>
      <c r="AD208" s="1868">
        <v>10.698460000000001</v>
      </c>
      <c r="AE208" s="1868">
        <v>13.421670000000001</v>
      </c>
      <c r="AF208" s="1868">
        <v>11.80058</v>
      </c>
      <c r="AG208" s="1868">
        <v>11.724730000000001</v>
      </c>
      <c r="AH208" s="1868">
        <v>14.398489999999999</v>
      </c>
      <c r="AI208" s="1868">
        <v>17.621500000000001</v>
      </c>
      <c r="AJ208" s="1868">
        <v>15.033220000000002</v>
      </c>
      <c r="AK208" s="1868">
        <v>15.978199999999999</v>
      </c>
      <c r="AL208" s="1868">
        <v>16.67897</v>
      </c>
      <c r="AM208" s="1868">
        <v>14.9962</v>
      </c>
      <c r="AN208" s="1868">
        <v>17.443049999999999</v>
      </c>
      <c r="AO208" s="1868">
        <v>18.812820000000002</v>
      </c>
      <c r="AP208" s="1868">
        <v>17.34449</v>
      </c>
      <c r="AQ208" s="1868">
        <v>19.52608</v>
      </c>
      <c r="AR208" s="1868">
        <v>21.62566</v>
      </c>
      <c r="AS208" s="1868">
        <v>22.403600000000001</v>
      </c>
      <c r="AT208" s="1868">
        <v>20.694879999999998</v>
      </c>
      <c r="AU208" s="1868">
        <v>24.824820000000003</v>
      </c>
      <c r="AV208" s="1868">
        <v>24.593170000000001</v>
      </c>
      <c r="AW208" s="1868">
        <v>28.17623</v>
      </c>
      <c r="AX208" s="1868">
        <v>27.17915</v>
      </c>
      <c r="AY208" s="1868">
        <v>24.616060000000001</v>
      </c>
      <c r="AZ208" s="1868">
        <v>23.943729999999999</v>
      </c>
      <c r="BA208" s="1868">
        <v>25.410729999999997</v>
      </c>
    </row>
    <row r="209" spans="1:53">
      <c r="A209" s="1865" t="str">
        <f t="shared" si="3"/>
        <v>EuropeGrapes</v>
      </c>
      <c r="B209" s="1866" t="s">
        <v>1413</v>
      </c>
      <c r="C209" s="1866" t="s">
        <v>1378</v>
      </c>
      <c r="D209" s="1868">
        <v>4.0085499999999996</v>
      </c>
      <c r="E209" s="1868">
        <v>5.4384399999999999</v>
      </c>
      <c r="F209" s="1868">
        <v>4.6198699999999997</v>
      </c>
      <c r="G209" s="1868">
        <v>5.1963099999999995</v>
      </c>
      <c r="H209" s="1868">
        <v>5.3412699999999997</v>
      </c>
      <c r="I209" s="1868">
        <v>5.1835699999999996</v>
      </c>
      <c r="J209" s="1868">
        <v>5.2732900000000003</v>
      </c>
      <c r="K209" s="1868">
        <v>5.6227300000000007</v>
      </c>
      <c r="L209" s="1868">
        <v>5.5175999999999998</v>
      </c>
      <c r="M209" s="1868">
        <v>6.0760100000000001</v>
      </c>
      <c r="N209" s="1868">
        <v>5.6708800000000004</v>
      </c>
      <c r="O209" s="1868">
        <v>5.27996</v>
      </c>
      <c r="P209" s="1868">
        <v>7.1175800000000002</v>
      </c>
      <c r="Q209" s="1868">
        <v>6.6096600000000008</v>
      </c>
      <c r="R209" s="1868">
        <v>6.1814900000000002</v>
      </c>
      <c r="S209" s="1868">
        <v>6.1937699999999998</v>
      </c>
      <c r="T209" s="1868">
        <v>5.2816800000000006</v>
      </c>
      <c r="U209" s="1868">
        <v>5.8877100000000002</v>
      </c>
      <c r="V209" s="1868">
        <v>7.6094999999999997</v>
      </c>
      <c r="W209" s="1868">
        <v>7.0806300000000002</v>
      </c>
      <c r="X209" s="1868">
        <v>6.3759199999999998</v>
      </c>
      <c r="Y209" s="1868">
        <v>7.6262399999999992</v>
      </c>
      <c r="Z209" s="1868">
        <v>7.2915399999999995</v>
      </c>
      <c r="AA209" s="1868">
        <v>7.1132100000000005</v>
      </c>
      <c r="AB209" s="1868">
        <v>6.1786900000000005</v>
      </c>
      <c r="AC209" s="1868">
        <v>7.2847600000000003</v>
      </c>
      <c r="AD209" s="1868">
        <v>7.155660000000001</v>
      </c>
      <c r="AE209" s="1868">
        <v>6.0589399999999998</v>
      </c>
      <c r="AF209" s="1868">
        <v>6.3393699999999997</v>
      </c>
      <c r="AG209" s="1868">
        <v>6.7357699999999996</v>
      </c>
      <c r="AH209" s="1868">
        <v>6.19435</v>
      </c>
      <c r="AI209" s="1868">
        <v>7.0780000000000003</v>
      </c>
      <c r="AJ209" s="1868">
        <v>6.3541400000000001</v>
      </c>
      <c r="AK209" s="1868">
        <v>6.0987499999999999</v>
      </c>
      <c r="AL209" s="1868">
        <v>6.2450199999999993</v>
      </c>
      <c r="AM209" s="1868">
        <v>7.1441300000000005</v>
      </c>
      <c r="AN209" s="1868">
        <v>6.5584100000000003</v>
      </c>
      <c r="AO209" s="1868">
        <v>6.65822</v>
      </c>
      <c r="AP209" s="1868">
        <v>7.2663800000000007</v>
      </c>
      <c r="AQ209" s="1868">
        <v>7.4449300000000003</v>
      </c>
      <c r="AR209" s="1868">
        <v>6.9632300000000003</v>
      </c>
      <c r="AS209" s="1868">
        <v>6.6207500000000001</v>
      </c>
      <c r="AT209" s="1868">
        <v>6.9880199999999997</v>
      </c>
      <c r="AU209" s="1868">
        <v>7.6891100000000003</v>
      </c>
      <c r="AV209" s="1868">
        <v>6.9865000000000004</v>
      </c>
      <c r="AW209" s="1868">
        <v>7.1384600000000002</v>
      </c>
      <c r="AX209" s="1868">
        <v>6.792860000000001</v>
      </c>
      <c r="AY209" s="1868">
        <v>6.9939399999999994</v>
      </c>
      <c r="AZ209" s="1868">
        <v>6.9914800000000001</v>
      </c>
      <c r="BA209" s="1868">
        <v>7.1445499999999997</v>
      </c>
    </row>
    <row r="210" spans="1:53">
      <c r="A210" s="1865" t="str">
        <f t="shared" si="3"/>
        <v>EuropeGroundnuts, with shell</v>
      </c>
      <c r="B210" s="1866" t="s">
        <v>1413</v>
      </c>
      <c r="C210" s="1866" t="s">
        <v>1379</v>
      </c>
      <c r="D210" s="1868">
        <v>1.64673</v>
      </c>
      <c r="E210" s="1868">
        <v>1.6711099999999999</v>
      </c>
      <c r="F210" s="1868">
        <v>1.8521400000000001</v>
      </c>
      <c r="G210" s="1868">
        <v>2.0034400000000003</v>
      </c>
      <c r="H210" s="1868">
        <v>1.9434499999999999</v>
      </c>
      <c r="I210" s="1868">
        <v>1.8762299999999998</v>
      </c>
      <c r="J210" s="1868">
        <v>1.92347</v>
      </c>
      <c r="K210" s="1868">
        <v>1.7290900000000002</v>
      </c>
      <c r="L210" s="1868">
        <v>1.78312</v>
      </c>
      <c r="M210" s="1868">
        <v>1.8577400000000002</v>
      </c>
      <c r="N210" s="1868">
        <v>1.8340700000000001</v>
      </c>
      <c r="O210" s="1868">
        <v>1.8669799999999999</v>
      </c>
      <c r="P210" s="1868">
        <v>2.1255199999999999</v>
      </c>
      <c r="Q210" s="1868">
        <v>2.16981</v>
      </c>
      <c r="R210" s="1868">
        <v>2.54359</v>
      </c>
      <c r="S210" s="1868">
        <v>2.05105</v>
      </c>
      <c r="T210" s="1868">
        <v>2.2313800000000001</v>
      </c>
      <c r="U210" s="1868">
        <v>1.8130200000000001</v>
      </c>
      <c r="V210" s="1868">
        <v>2.1475900000000001</v>
      </c>
      <c r="W210" s="1868">
        <v>2.08657</v>
      </c>
      <c r="X210" s="1868">
        <v>2.0695799999999998</v>
      </c>
      <c r="Y210" s="1868">
        <v>2.0909900000000001</v>
      </c>
      <c r="Z210" s="1868">
        <v>2.1578599999999999</v>
      </c>
      <c r="AA210" s="1868">
        <v>2.1323599999999998</v>
      </c>
      <c r="AB210" s="1868">
        <v>2.0863499999999999</v>
      </c>
      <c r="AC210" s="1868">
        <v>2.2063099999999998</v>
      </c>
      <c r="AD210" s="1868">
        <v>1.9248099999999999</v>
      </c>
      <c r="AE210" s="1868">
        <v>1.6436900000000001</v>
      </c>
      <c r="AF210" s="1868">
        <v>1.64612</v>
      </c>
      <c r="AG210" s="1868">
        <v>1.3151700000000002</v>
      </c>
      <c r="AH210" s="1868">
        <v>1.5068999999999999</v>
      </c>
      <c r="AI210" s="1868">
        <v>1.5747100000000001</v>
      </c>
      <c r="AJ210" s="1868">
        <v>1.10378</v>
      </c>
      <c r="AK210" s="1868">
        <v>0.98612000000000011</v>
      </c>
      <c r="AL210" s="1868">
        <v>1.2025600000000001</v>
      </c>
      <c r="AM210" s="1868">
        <v>1.05393</v>
      </c>
      <c r="AN210" s="1868">
        <v>1.1778</v>
      </c>
      <c r="AO210" s="1868">
        <v>1.1129200000000001</v>
      </c>
      <c r="AP210" s="1868">
        <v>1.06534</v>
      </c>
      <c r="AQ210" s="1868">
        <v>1.05009</v>
      </c>
      <c r="AR210" s="1868">
        <v>0.77501000000000009</v>
      </c>
      <c r="AS210" s="1868">
        <v>0.77073000000000003</v>
      </c>
      <c r="AT210" s="1868">
        <v>0.76978999999999997</v>
      </c>
      <c r="AU210" s="1868">
        <v>0.93097999999999992</v>
      </c>
      <c r="AV210" s="1868">
        <v>0.84188999999999992</v>
      </c>
      <c r="AW210" s="1868">
        <v>0.83402000000000009</v>
      </c>
      <c r="AX210" s="1868">
        <v>0.82078999999999991</v>
      </c>
      <c r="AY210" s="1868">
        <v>0.78348000000000007</v>
      </c>
      <c r="AZ210" s="1868">
        <v>0.85381000000000007</v>
      </c>
      <c r="BA210" s="1868">
        <v>0.76515</v>
      </c>
    </row>
    <row r="211" spans="1:53">
      <c r="A211" s="1865" t="str">
        <f t="shared" si="3"/>
        <v>EuropeLeguminous vegetables, nes</v>
      </c>
      <c r="B211" s="1866" t="s">
        <v>1413</v>
      </c>
      <c r="C211" s="1866" t="s">
        <v>1380</v>
      </c>
      <c r="D211" s="1868">
        <v>6.9578699999999998</v>
      </c>
      <c r="E211" s="1868">
        <v>6.8335699999999999</v>
      </c>
      <c r="F211" s="1868">
        <v>6.6088899999999997</v>
      </c>
      <c r="G211" s="1868">
        <v>6.0454300000000005</v>
      </c>
      <c r="H211" s="1868">
        <v>6.5856899999999996</v>
      </c>
      <c r="I211" s="1868">
        <v>6.4511900000000004</v>
      </c>
      <c r="J211" s="1868">
        <v>6.9551600000000002</v>
      </c>
      <c r="K211" s="1868">
        <v>6.4321900000000003</v>
      </c>
      <c r="L211" s="1868">
        <v>6.6987600000000009</v>
      </c>
      <c r="M211" s="1868">
        <v>6.8533999999999997</v>
      </c>
      <c r="N211" s="1868">
        <v>7.3883800000000006</v>
      </c>
      <c r="O211" s="1868">
        <v>7.3913699999999993</v>
      </c>
      <c r="P211" s="1868">
        <v>7.519239999999999</v>
      </c>
      <c r="Q211" s="1868">
        <v>7.9535</v>
      </c>
      <c r="R211" s="1868">
        <v>7.8516300000000001</v>
      </c>
      <c r="S211" s="1868">
        <v>7.6875499999999999</v>
      </c>
      <c r="T211" s="1868">
        <v>7.6601699999999999</v>
      </c>
      <c r="U211" s="1868">
        <v>7.7910199999999996</v>
      </c>
      <c r="V211" s="1868">
        <v>8.0209100000000007</v>
      </c>
      <c r="W211" s="1868">
        <v>8.1963699999999999</v>
      </c>
      <c r="X211" s="1868">
        <v>8.0794300000000003</v>
      </c>
      <c r="Y211" s="1868">
        <v>8.2247899999999987</v>
      </c>
      <c r="Z211" s="1868">
        <v>7.7652100000000006</v>
      </c>
      <c r="AA211" s="1868">
        <v>8.0109499999999993</v>
      </c>
      <c r="AB211" s="1868">
        <v>8.0350199999999994</v>
      </c>
      <c r="AC211" s="1868">
        <v>8.2152100000000008</v>
      </c>
      <c r="AD211" s="1868">
        <v>7.91242</v>
      </c>
      <c r="AE211" s="1868">
        <v>7.3702300000000003</v>
      </c>
      <c r="AF211" s="1868">
        <v>6.7869999999999999</v>
      </c>
      <c r="AG211" s="1868">
        <v>6.6945699999999997</v>
      </c>
      <c r="AH211" s="1868">
        <v>7.0648100000000005</v>
      </c>
      <c r="AI211" s="1868">
        <v>7.0123499999999996</v>
      </c>
      <c r="AJ211" s="1868">
        <v>6.7178399999999998</v>
      </c>
      <c r="AK211" s="1868">
        <v>7.1899100000000002</v>
      </c>
      <c r="AL211" s="1868">
        <v>6.7343899999999994</v>
      </c>
      <c r="AM211" s="1868">
        <v>7.1366899999999998</v>
      </c>
      <c r="AN211" s="1868">
        <v>7.1104000000000003</v>
      </c>
      <c r="AO211" s="1868">
        <v>6.7034000000000002</v>
      </c>
      <c r="AP211" s="1868">
        <v>6.7428899999999992</v>
      </c>
      <c r="AQ211" s="1868">
        <v>6.5884399999999994</v>
      </c>
      <c r="AR211" s="1868">
        <v>6.3218899999999998</v>
      </c>
      <c r="AS211" s="1868">
        <v>6.5715300000000001</v>
      </c>
      <c r="AT211" s="1868">
        <v>6.5960700000000001</v>
      </c>
      <c r="AU211" s="1868">
        <v>6.7941399999999996</v>
      </c>
      <c r="AV211" s="1868">
        <v>6.21488</v>
      </c>
      <c r="AW211" s="1868">
        <v>6.0394600000000001</v>
      </c>
      <c r="AX211" s="1868">
        <v>6.1436199999999994</v>
      </c>
      <c r="AY211" s="1868">
        <v>6.4478599999999995</v>
      </c>
      <c r="AZ211" s="1868">
        <v>6.4541699999999995</v>
      </c>
      <c r="BA211" s="1868">
        <v>5.9993800000000004</v>
      </c>
    </row>
    <row r="212" spans="1:53">
      <c r="A212" s="1865" t="str">
        <f t="shared" si="3"/>
        <v>EuropeLinseed</v>
      </c>
      <c r="B212" s="1866" t="s">
        <v>1413</v>
      </c>
      <c r="C212" s="1866" t="s">
        <v>1381</v>
      </c>
      <c r="D212" s="1868">
        <v>0.28836000000000001</v>
      </c>
      <c r="E212" s="1868">
        <v>0.29011999999999999</v>
      </c>
      <c r="F212" s="1868">
        <v>0.29499999999999998</v>
      </c>
      <c r="G212" s="1868">
        <v>0.27555000000000002</v>
      </c>
      <c r="H212" s="1868">
        <v>0.31048000000000003</v>
      </c>
      <c r="I212" s="1868">
        <v>0.40825</v>
      </c>
      <c r="J212" s="1868">
        <v>0.36336999999999997</v>
      </c>
      <c r="K212" s="1868">
        <v>0.34118000000000004</v>
      </c>
      <c r="L212" s="1868">
        <v>0.34179999999999999</v>
      </c>
      <c r="M212" s="1868">
        <v>0.37535000000000002</v>
      </c>
      <c r="N212" s="1868">
        <v>0.38730999999999999</v>
      </c>
      <c r="O212" s="1868">
        <v>0.33473999999999998</v>
      </c>
      <c r="P212" s="1868">
        <v>0.32680999999999999</v>
      </c>
      <c r="Q212" s="1868">
        <v>0.26921</v>
      </c>
      <c r="R212" s="1868">
        <v>0.30530000000000002</v>
      </c>
      <c r="S212" s="1868">
        <v>0.3095</v>
      </c>
      <c r="T212" s="1868">
        <v>0.27950000000000003</v>
      </c>
      <c r="U212" s="1868">
        <v>0.27395999999999998</v>
      </c>
      <c r="V212" s="1868">
        <v>0.27018000000000003</v>
      </c>
      <c r="W212" s="1868">
        <v>0.21729000000000001</v>
      </c>
      <c r="X212" s="1868">
        <v>0.24249000000000001</v>
      </c>
      <c r="Y212" s="1868">
        <v>0.28715999999999997</v>
      </c>
      <c r="Z212" s="1868">
        <v>0.25501999999999997</v>
      </c>
      <c r="AA212" s="1868">
        <v>0.27032</v>
      </c>
      <c r="AB212" s="1868">
        <v>0.22918000000000002</v>
      </c>
      <c r="AC212" s="1868">
        <v>0.25723000000000001</v>
      </c>
      <c r="AD212" s="1868">
        <v>0.29199000000000003</v>
      </c>
      <c r="AE212" s="1868">
        <v>0.30309000000000003</v>
      </c>
      <c r="AF212" s="1868">
        <v>0.32788</v>
      </c>
      <c r="AG212" s="1868">
        <v>0.36112</v>
      </c>
      <c r="AH212" s="1868">
        <v>0.44473000000000001</v>
      </c>
      <c r="AI212" s="1868">
        <v>0.50073999999999996</v>
      </c>
      <c r="AJ212" s="1868">
        <v>0.51806000000000008</v>
      </c>
      <c r="AK212" s="1868">
        <v>0.56811</v>
      </c>
      <c r="AL212" s="1868">
        <v>0.55427999999999999</v>
      </c>
      <c r="AM212" s="1868">
        <v>0.61460999999999999</v>
      </c>
      <c r="AN212" s="1868">
        <v>0.71182999999999996</v>
      </c>
      <c r="AO212" s="1868">
        <v>0.92202000000000006</v>
      </c>
      <c r="AP212" s="1868">
        <v>0.85824999999999996</v>
      </c>
      <c r="AQ212" s="1868">
        <v>0.60229999999999995</v>
      </c>
      <c r="AR212" s="1868">
        <v>0.54823999999999995</v>
      </c>
      <c r="AS212" s="1868">
        <v>0.55805000000000005</v>
      </c>
      <c r="AT212" s="1868">
        <v>0.72141999999999995</v>
      </c>
      <c r="AU212" s="1868">
        <v>0.80851000000000006</v>
      </c>
      <c r="AV212" s="1868">
        <v>0.93028999999999995</v>
      </c>
      <c r="AW212" s="1868">
        <v>0.81577</v>
      </c>
      <c r="AX212" s="1868">
        <v>0.68796000000000002</v>
      </c>
      <c r="AY212" s="1868">
        <v>0.78171000000000002</v>
      </c>
      <c r="AZ212" s="1868">
        <v>0.88444999999999996</v>
      </c>
      <c r="BA212" s="1868">
        <v>0.79684999999999995</v>
      </c>
    </row>
    <row r="213" spans="1:53">
      <c r="A213" s="1865" t="str">
        <f t="shared" si="3"/>
        <v>EuropeMaize</v>
      </c>
      <c r="B213" s="1866" t="s">
        <v>1413</v>
      </c>
      <c r="C213" s="1866" t="s">
        <v>1382</v>
      </c>
      <c r="D213" s="1868">
        <v>2.16947</v>
      </c>
      <c r="E213" s="1868">
        <v>2.12033</v>
      </c>
      <c r="F213" s="1868">
        <v>2.0866500000000001</v>
      </c>
      <c r="G213" s="1868">
        <v>2.5922700000000001</v>
      </c>
      <c r="H213" s="1868">
        <v>2.40422</v>
      </c>
      <c r="I213" s="1868">
        <v>2.9091999999999998</v>
      </c>
      <c r="J213" s="1868">
        <v>2.7650299999999999</v>
      </c>
      <c r="K213" s="1868">
        <v>2.86355</v>
      </c>
      <c r="L213" s="1868">
        <v>3.19679</v>
      </c>
      <c r="M213" s="1868">
        <v>3.1540499999999998</v>
      </c>
      <c r="N213" s="1868">
        <v>3.3122800000000003</v>
      </c>
      <c r="O213" s="1868">
        <v>3.37799</v>
      </c>
      <c r="P213" s="1868">
        <v>3.6816400000000002</v>
      </c>
      <c r="Q213" s="1868">
        <v>3.5105300000000002</v>
      </c>
      <c r="R213" s="1868">
        <v>3.72235</v>
      </c>
      <c r="S213" s="1868">
        <v>3.6869099999999997</v>
      </c>
      <c r="T213" s="1868">
        <v>4.0002599999999999</v>
      </c>
      <c r="U213" s="1868">
        <v>4.0612500000000002</v>
      </c>
      <c r="V213" s="1868">
        <v>4.3574000000000002</v>
      </c>
      <c r="W213" s="1868">
        <v>4.2114500000000001</v>
      </c>
      <c r="X213" s="1868">
        <v>4.1249599999999997</v>
      </c>
      <c r="Y213" s="1868">
        <v>4.84701</v>
      </c>
      <c r="Z213" s="1868">
        <v>4.59049</v>
      </c>
      <c r="AA213" s="1868">
        <v>4.6175100000000002</v>
      </c>
      <c r="AB213" s="1868">
        <v>4.5982000000000003</v>
      </c>
      <c r="AC213" s="1868">
        <v>4.78132</v>
      </c>
      <c r="AD213" s="1868">
        <v>4.4845499999999996</v>
      </c>
      <c r="AE213" s="1868">
        <v>4.5779199999999998</v>
      </c>
      <c r="AF213" s="1868">
        <v>4.6930399999999999</v>
      </c>
      <c r="AG213" s="1868">
        <v>4.2016499999999999</v>
      </c>
      <c r="AH213" s="1868">
        <v>5.2882899999999999</v>
      </c>
      <c r="AI213" s="1868">
        <v>4.2040800000000003</v>
      </c>
      <c r="AJ213" s="1868">
        <v>4.4700499999999996</v>
      </c>
      <c r="AK213" s="1868">
        <v>4.6130000000000004</v>
      </c>
      <c r="AL213" s="1868">
        <v>4.9117199999999999</v>
      </c>
      <c r="AM213" s="1868">
        <v>5.0866499999999997</v>
      </c>
      <c r="AN213" s="1868">
        <v>5.8299699999999994</v>
      </c>
      <c r="AO213" s="1868">
        <v>5.1800499999999996</v>
      </c>
      <c r="AP213" s="1868">
        <v>5.7883500000000003</v>
      </c>
      <c r="AQ213" s="1868">
        <v>4.6331300000000004</v>
      </c>
      <c r="AR213" s="1868">
        <v>5.6268000000000002</v>
      </c>
      <c r="AS213" s="1868">
        <v>5.7390999999999996</v>
      </c>
      <c r="AT213" s="1868">
        <v>4.68424</v>
      </c>
      <c r="AU213" s="1868">
        <v>6.1345999999999998</v>
      </c>
      <c r="AV213" s="1868">
        <v>6.23597</v>
      </c>
      <c r="AW213" s="1868">
        <v>5.6924900000000003</v>
      </c>
      <c r="AX213" s="1868">
        <v>4.98142</v>
      </c>
      <c r="AY213" s="1868">
        <v>6.05063</v>
      </c>
      <c r="AZ213" s="1868">
        <v>6.0675800000000004</v>
      </c>
      <c r="BA213" s="1868">
        <v>6.0642199999999997</v>
      </c>
    </row>
    <row r="214" spans="1:53">
      <c r="A214" s="1865" t="str">
        <f t="shared" si="3"/>
        <v>EuropeMaize, green</v>
      </c>
      <c r="B214" s="1866" t="s">
        <v>1413</v>
      </c>
      <c r="C214" s="1866" t="s">
        <v>1383</v>
      </c>
      <c r="Y214" s="1868">
        <v>7.2454100000000006</v>
      </c>
      <c r="Z214" s="1868">
        <v>5.5365099999999998</v>
      </c>
      <c r="AA214" s="1868">
        <v>5.9136300000000004</v>
      </c>
      <c r="AB214" s="1868">
        <v>6.25</v>
      </c>
      <c r="AC214" s="1868">
        <v>6.4212099999999994</v>
      </c>
      <c r="AD214" s="1868">
        <v>6.7437300000000002</v>
      </c>
      <c r="AE214" s="1868">
        <v>14.68643</v>
      </c>
      <c r="AF214" s="1868">
        <v>13.6</v>
      </c>
      <c r="AG214" s="1868">
        <v>13.29945</v>
      </c>
      <c r="AH214" s="1868">
        <v>12.367289999999999</v>
      </c>
      <c r="AI214" s="1868">
        <v>12.00508</v>
      </c>
      <c r="AJ214" s="1868">
        <v>13.564970000000001</v>
      </c>
      <c r="AK214" s="1868">
        <v>14.055479999999999</v>
      </c>
      <c r="AL214" s="1868">
        <v>14.117270000000001</v>
      </c>
      <c r="AM214" s="1868">
        <v>15.860329999999999</v>
      </c>
      <c r="AN214" s="1868">
        <v>14.686779999999999</v>
      </c>
      <c r="AO214" s="1868">
        <v>16.149829999999998</v>
      </c>
      <c r="AP214" s="1868">
        <v>15.356639999999999</v>
      </c>
      <c r="AQ214" s="1868">
        <v>15.553270000000001</v>
      </c>
      <c r="AR214" s="1868">
        <v>16.57142</v>
      </c>
      <c r="AS214" s="1868">
        <v>15.13395</v>
      </c>
      <c r="AT214" s="1868">
        <v>14.83245</v>
      </c>
      <c r="AU214" s="1868">
        <v>16.802</v>
      </c>
      <c r="AV214" s="1868">
        <v>15.728729999999999</v>
      </c>
      <c r="AW214" s="1868">
        <v>16.44454</v>
      </c>
      <c r="AX214" s="1868">
        <v>17.08625</v>
      </c>
      <c r="AY214" s="1868">
        <v>17.45927</v>
      </c>
      <c r="AZ214" s="1868">
        <v>16.489160000000002</v>
      </c>
      <c r="BA214" s="1868">
        <v>14.88236</v>
      </c>
    </row>
    <row r="215" spans="1:53">
      <c r="A215" s="1865" t="str">
        <f t="shared" si="3"/>
        <v>EuropeMillet</v>
      </c>
      <c r="B215" s="1866" t="s">
        <v>1413</v>
      </c>
      <c r="C215" s="1866" t="s">
        <v>1385</v>
      </c>
      <c r="D215" s="1868">
        <v>0.70746000000000009</v>
      </c>
      <c r="E215" s="1868">
        <v>0.60177000000000003</v>
      </c>
      <c r="F215" s="1868">
        <v>0.43880000000000002</v>
      </c>
      <c r="G215" s="1868">
        <v>0.90598999999999996</v>
      </c>
      <c r="H215" s="1868">
        <v>0.63216000000000006</v>
      </c>
      <c r="I215" s="1868">
        <v>0.88219999999999998</v>
      </c>
      <c r="J215" s="1868">
        <v>0.78569999999999995</v>
      </c>
      <c r="K215" s="1868">
        <v>0.81171000000000004</v>
      </c>
      <c r="L215" s="1868">
        <v>0.90177000000000007</v>
      </c>
      <c r="M215" s="1868">
        <v>0.72588999999999992</v>
      </c>
      <c r="N215" s="1868">
        <v>0.79298999999999997</v>
      </c>
      <c r="O215" s="1868">
        <v>0.72353000000000001</v>
      </c>
      <c r="P215" s="1868">
        <v>1.42852</v>
      </c>
      <c r="Q215" s="1868">
        <v>0.90382000000000007</v>
      </c>
      <c r="R215" s="1868">
        <v>0.38024999999999998</v>
      </c>
      <c r="S215" s="1868">
        <v>0.98258999999999996</v>
      </c>
      <c r="T215" s="1868">
        <v>0.60960000000000003</v>
      </c>
      <c r="U215" s="1868">
        <v>0.69733999999999996</v>
      </c>
      <c r="V215" s="1868">
        <v>0.51781999999999995</v>
      </c>
      <c r="W215" s="1868">
        <v>0.60056999999999994</v>
      </c>
      <c r="X215" s="1868">
        <v>0.6452</v>
      </c>
      <c r="Y215" s="1868">
        <v>0.83525000000000005</v>
      </c>
      <c r="Z215" s="1868">
        <v>0.80368000000000006</v>
      </c>
      <c r="AA215" s="1868">
        <v>0.66822000000000004</v>
      </c>
      <c r="AB215" s="1868">
        <v>0.96440999999999999</v>
      </c>
      <c r="AC215" s="1868">
        <v>0.8918299999999999</v>
      </c>
      <c r="AD215" s="1868">
        <v>1.3124899999999999</v>
      </c>
      <c r="AE215" s="1868">
        <v>1.11297</v>
      </c>
      <c r="AF215" s="1868">
        <v>1.3544700000000001</v>
      </c>
      <c r="AG215" s="1868">
        <v>1.1092</v>
      </c>
      <c r="AH215" s="1868">
        <v>0.53953999999999991</v>
      </c>
      <c r="AI215" s="1868">
        <v>0.87296000000000007</v>
      </c>
      <c r="AJ215" s="1868">
        <v>0.87816000000000005</v>
      </c>
      <c r="AK215" s="1868">
        <v>0.78493999999999997</v>
      </c>
      <c r="AL215" s="1868">
        <v>0.89262000000000008</v>
      </c>
      <c r="AM215" s="1868">
        <v>0.45578999999999997</v>
      </c>
      <c r="AN215" s="1868">
        <v>1.30745</v>
      </c>
      <c r="AO215" s="1868">
        <v>0.89762999999999993</v>
      </c>
      <c r="AP215" s="1868">
        <v>0.94074999999999998</v>
      </c>
      <c r="AQ215" s="1868">
        <v>0.89527000000000012</v>
      </c>
      <c r="AR215" s="1868">
        <v>0.87677000000000005</v>
      </c>
      <c r="AS215" s="1868">
        <v>0.94967999999999997</v>
      </c>
      <c r="AT215" s="1868">
        <v>1.3913500000000001</v>
      </c>
      <c r="AU215" s="1868">
        <v>1.2213799999999999</v>
      </c>
      <c r="AV215" s="1868">
        <v>1.1881899999999999</v>
      </c>
      <c r="AW215" s="1868">
        <v>1.0877399999999999</v>
      </c>
      <c r="AX215" s="1868">
        <v>1.1336200000000001</v>
      </c>
      <c r="AY215" s="1868">
        <v>1.46845</v>
      </c>
      <c r="AZ215" s="1868">
        <v>1.19442</v>
      </c>
      <c r="BA215" s="1868">
        <v>1.1126</v>
      </c>
    </row>
    <row r="216" spans="1:53">
      <c r="A216" s="1865" t="str">
        <f t="shared" si="3"/>
        <v>EuropeOats</v>
      </c>
      <c r="B216" s="1866" t="s">
        <v>1413</v>
      </c>
      <c r="C216" s="1866" t="s">
        <v>1349</v>
      </c>
      <c r="D216" s="1868">
        <v>1.26613</v>
      </c>
      <c r="E216" s="1868">
        <v>1.44953</v>
      </c>
      <c r="F216" s="1868">
        <v>1.46506</v>
      </c>
      <c r="G216" s="1868">
        <v>1.51756</v>
      </c>
      <c r="H216" s="1868">
        <v>1.5133799999999999</v>
      </c>
      <c r="I216" s="1868">
        <v>1.6568700000000001</v>
      </c>
      <c r="J216" s="1868">
        <v>1.7523400000000002</v>
      </c>
      <c r="K216" s="1868">
        <v>1.7200099999999998</v>
      </c>
      <c r="L216" s="1868">
        <v>1.7675000000000001</v>
      </c>
      <c r="M216" s="1868">
        <v>1.78833</v>
      </c>
      <c r="N216" s="1868">
        <v>1.9413799999999999</v>
      </c>
      <c r="O216" s="1868">
        <v>1.6708599999999998</v>
      </c>
      <c r="P216" s="1868">
        <v>1.7578099999999999</v>
      </c>
      <c r="Q216" s="1868">
        <v>1.77765</v>
      </c>
      <c r="R216" s="1868">
        <v>1.50499</v>
      </c>
      <c r="S216" s="1868">
        <v>1.7608900000000001</v>
      </c>
      <c r="T216" s="1868">
        <v>1.65262</v>
      </c>
      <c r="U216" s="1868">
        <v>1.83622</v>
      </c>
      <c r="V216" s="1868">
        <v>1.58212</v>
      </c>
      <c r="W216" s="1868">
        <v>1.6766299999999998</v>
      </c>
      <c r="X216" s="1868">
        <v>1.4432100000000001</v>
      </c>
      <c r="Y216" s="1868">
        <v>1.8084499999999999</v>
      </c>
      <c r="Z216" s="1868">
        <v>1.70377</v>
      </c>
      <c r="AA216" s="1868">
        <v>1.8549799999999999</v>
      </c>
      <c r="AB216" s="1868">
        <v>1.9150799999999999</v>
      </c>
      <c r="AC216" s="1868">
        <v>1.8087500000000001</v>
      </c>
      <c r="AD216" s="1868">
        <v>1.7653900000000002</v>
      </c>
      <c r="AE216" s="1868">
        <v>1.6672799999999999</v>
      </c>
      <c r="AF216" s="1868">
        <v>1.81037</v>
      </c>
      <c r="AG216" s="1868">
        <v>1.9409400000000001</v>
      </c>
      <c r="AH216" s="1868">
        <v>1.6768700000000001</v>
      </c>
      <c r="AI216" s="1868">
        <v>1.6873599999999997</v>
      </c>
      <c r="AJ216" s="1868">
        <v>1.9003000000000001</v>
      </c>
      <c r="AK216" s="1868">
        <v>1.7479099999999999</v>
      </c>
      <c r="AL216" s="1868">
        <v>1.6020399999999999</v>
      </c>
      <c r="AM216" s="1868">
        <v>1.8104799999999999</v>
      </c>
      <c r="AN216" s="1868">
        <v>2.1141799999999997</v>
      </c>
      <c r="AO216" s="1868">
        <v>1.9245400000000001</v>
      </c>
      <c r="AP216" s="1868">
        <v>1.8119099999999999</v>
      </c>
      <c r="AQ216" s="1868">
        <v>2.05064</v>
      </c>
      <c r="AR216" s="1868">
        <v>2.1447599999999998</v>
      </c>
      <c r="AS216" s="1868">
        <v>2.2126399999999999</v>
      </c>
      <c r="AT216" s="1868">
        <v>2.24322</v>
      </c>
      <c r="AU216" s="1868">
        <v>2.32355</v>
      </c>
      <c r="AV216" s="1868">
        <v>2.0807099999999998</v>
      </c>
      <c r="AW216" s="1868">
        <v>2.02081</v>
      </c>
      <c r="AX216" s="1868">
        <v>2.24186</v>
      </c>
      <c r="AY216" s="1868">
        <v>2.3487</v>
      </c>
      <c r="AZ216" s="1868">
        <v>2.3510400000000002</v>
      </c>
      <c r="BA216" s="1868">
        <v>2.1414499999999999</v>
      </c>
    </row>
    <row r="217" spans="1:53">
      <c r="A217" s="1865" t="str">
        <f t="shared" si="3"/>
        <v>EuropeOlives</v>
      </c>
      <c r="B217" s="1866" t="s">
        <v>1413</v>
      </c>
      <c r="C217" s="1866" t="s">
        <v>1387</v>
      </c>
      <c r="D217" s="1868">
        <v>5.0543100000000001</v>
      </c>
      <c r="E217" s="1868">
        <v>3.26423</v>
      </c>
      <c r="F217" s="1868">
        <v>6.3166799999999999</v>
      </c>
      <c r="G217" s="1868">
        <v>2.7381799999999998</v>
      </c>
      <c r="H217" s="1868">
        <v>4.2119300000000006</v>
      </c>
      <c r="I217" s="1868">
        <v>3.9538699999999998</v>
      </c>
      <c r="J217" s="1868">
        <v>4.3937800000000005</v>
      </c>
      <c r="K217" s="1868">
        <v>4.10825</v>
      </c>
      <c r="L217" s="1868">
        <v>4.0746699999999993</v>
      </c>
      <c r="M217" s="1868">
        <v>4.15055</v>
      </c>
      <c r="N217" s="1868">
        <v>4.2808699999999993</v>
      </c>
      <c r="O217" s="1868">
        <v>4.09863</v>
      </c>
      <c r="P217" s="1868">
        <v>4.5058699999999998</v>
      </c>
      <c r="Q217" s="1868">
        <v>3.7849800000000005</v>
      </c>
      <c r="R217" s="1868">
        <v>5.0661699999999996</v>
      </c>
      <c r="S217" s="1868">
        <v>3.6046499999999999</v>
      </c>
      <c r="T217" s="1868">
        <v>4.7985300000000004</v>
      </c>
      <c r="U217" s="1868">
        <v>4.63748</v>
      </c>
      <c r="V217" s="1868">
        <v>4.79922</v>
      </c>
      <c r="W217" s="1868">
        <v>3.1467900000000002</v>
      </c>
      <c r="X217" s="1868">
        <v>1.8605099999999999</v>
      </c>
      <c r="Y217" s="1868">
        <v>2.3319799999999997</v>
      </c>
      <c r="Z217" s="1868">
        <v>2.1251500000000001</v>
      </c>
      <c r="AA217" s="1868">
        <v>2.1307700000000001</v>
      </c>
      <c r="AB217" s="1868">
        <v>1.7258500000000001</v>
      </c>
      <c r="AC217" s="1868">
        <v>1.39961</v>
      </c>
      <c r="AD217" s="1868">
        <v>2.0830700000000002</v>
      </c>
      <c r="AE217" s="1868">
        <v>1.4539600000000001</v>
      </c>
      <c r="AF217" s="1868">
        <v>1.8683299999999998</v>
      </c>
      <c r="AG217" s="1868">
        <v>1.2766299999999999</v>
      </c>
      <c r="AH217" s="1868">
        <v>2.2007400000000001</v>
      </c>
      <c r="AI217" s="1868">
        <v>1.7657799999999999</v>
      </c>
      <c r="AJ217" s="1868">
        <v>1.78918</v>
      </c>
      <c r="AK217" s="1868">
        <v>1.7760099999999999</v>
      </c>
      <c r="AL217" s="1868">
        <v>1.7486099999999998</v>
      </c>
      <c r="AM217" s="1868">
        <v>2.0964400000000003</v>
      </c>
      <c r="AN217" s="1868">
        <v>2.6585999999999999</v>
      </c>
      <c r="AO217" s="1868">
        <v>2.0741900000000002</v>
      </c>
      <c r="AP217" s="1868">
        <v>2.21713</v>
      </c>
      <c r="AQ217" s="1868">
        <v>2.2663099999999998</v>
      </c>
      <c r="AR217" s="1868">
        <v>2.62846</v>
      </c>
      <c r="AS217" s="1868">
        <v>2.2027999999999999</v>
      </c>
      <c r="AT217" s="1868">
        <v>2.80077</v>
      </c>
      <c r="AU217" s="1868">
        <v>2.5380500000000001</v>
      </c>
      <c r="AV217" s="1868">
        <v>2.1969699999999999</v>
      </c>
      <c r="AW217" s="1868">
        <v>2.4463499999999998</v>
      </c>
      <c r="AX217" s="1868">
        <v>2.46658</v>
      </c>
      <c r="AY217" s="1868">
        <v>2.4683900000000003</v>
      </c>
      <c r="AZ217" s="1868">
        <v>2.8557399999999999</v>
      </c>
      <c r="BA217" s="1868">
        <v>3.0060199999999999</v>
      </c>
    </row>
    <row r="218" spans="1:53">
      <c r="A218" s="1865" t="str">
        <f t="shared" si="3"/>
        <v>EuropeOnions, dry</v>
      </c>
      <c r="B218" s="1866" t="s">
        <v>1413</v>
      </c>
      <c r="C218" s="1866" t="s">
        <v>1388</v>
      </c>
      <c r="D218" s="1868">
        <v>12.045819999999999</v>
      </c>
      <c r="E218" s="1868">
        <v>10.780250000000001</v>
      </c>
      <c r="F218" s="1868">
        <v>11.4984</v>
      </c>
      <c r="G218" s="1868">
        <v>11.6342</v>
      </c>
      <c r="H218" s="1868">
        <v>10.98667</v>
      </c>
      <c r="I218" s="1868">
        <v>12.353120000000001</v>
      </c>
      <c r="J218" s="1868">
        <v>12.581149999999999</v>
      </c>
      <c r="K218" s="1868">
        <v>11.985049999999999</v>
      </c>
      <c r="L218" s="1868">
        <v>11.84507</v>
      </c>
      <c r="M218" s="1868">
        <v>12.17629</v>
      </c>
      <c r="N218" s="1868">
        <v>12.64523</v>
      </c>
      <c r="O218" s="1868">
        <v>12.585089999999999</v>
      </c>
      <c r="P218" s="1868">
        <v>13.4337</v>
      </c>
      <c r="Q218" s="1868">
        <v>13.442839999999999</v>
      </c>
      <c r="R218" s="1868">
        <v>12.2516</v>
      </c>
      <c r="S218" s="1868">
        <v>12.78073</v>
      </c>
      <c r="T218" s="1868">
        <v>14.290779999999998</v>
      </c>
      <c r="U218" s="1868">
        <v>15.12274</v>
      </c>
      <c r="V218" s="1868">
        <v>14.52087</v>
      </c>
      <c r="W218" s="1868">
        <v>14.4274</v>
      </c>
      <c r="X218" s="1868">
        <v>14.901860000000001</v>
      </c>
      <c r="Y218" s="1868">
        <v>16.221810000000001</v>
      </c>
      <c r="Z218" s="1868">
        <v>15.11537</v>
      </c>
      <c r="AA218" s="1868">
        <v>16.856000000000002</v>
      </c>
      <c r="AB218" s="1868">
        <v>16.548939999999998</v>
      </c>
      <c r="AC218" s="1868">
        <v>17.79203</v>
      </c>
      <c r="AD218" s="1868">
        <v>17.477370000000001</v>
      </c>
      <c r="AE218" s="1868">
        <v>16.936029999999999</v>
      </c>
      <c r="AF218" s="1868">
        <v>16.830739999999999</v>
      </c>
      <c r="AG218" s="1868">
        <v>17.488859999999999</v>
      </c>
      <c r="AH218" s="1868">
        <v>16.578610000000001</v>
      </c>
      <c r="AI218" s="1868">
        <v>16.017299999999999</v>
      </c>
      <c r="AJ218" s="1868">
        <v>16.056049999999999</v>
      </c>
      <c r="AK218" s="1868">
        <v>15.027049999999999</v>
      </c>
      <c r="AL218" s="1868">
        <v>15.37261</v>
      </c>
      <c r="AM218" s="1868">
        <v>16.20654</v>
      </c>
      <c r="AN218" s="1868">
        <v>16.725339999999999</v>
      </c>
      <c r="AO218" s="1868">
        <v>16.779620000000001</v>
      </c>
      <c r="AP218" s="1868">
        <v>16.82995</v>
      </c>
      <c r="AQ218" s="1868">
        <v>17.272310000000001</v>
      </c>
      <c r="AR218" s="1868">
        <v>18.146560000000001</v>
      </c>
      <c r="AS218" s="1868">
        <v>18.20655</v>
      </c>
      <c r="AT218" s="1868">
        <v>17.593050000000002</v>
      </c>
      <c r="AU218" s="1868">
        <v>20.624140000000001</v>
      </c>
      <c r="AV218" s="1868">
        <v>20.28049</v>
      </c>
      <c r="AW218" s="1868">
        <v>19.838429999999999</v>
      </c>
      <c r="AX218" s="1868">
        <v>20.60915</v>
      </c>
      <c r="AY218" s="1868">
        <v>22.282060000000001</v>
      </c>
      <c r="AZ218" s="1868">
        <v>23.193249999999999</v>
      </c>
      <c r="BA218" s="1868">
        <v>22.225950000000001</v>
      </c>
    </row>
    <row r="219" spans="1:53">
      <c r="A219" s="1865" t="str">
        <f t="shared" si="3"/>
        <v>EuropeOranges</v>
      </c>
      <c r="B219" s="1866" t="s">
        <v>1413</v>
      </c>
      <c r="C219" s="1866" t="s">
        <v>1389</v>
      </c>
      <c r="D219" s="1868">
        <v>15.92619</v>
      </c>
      <c r="E219" s="1868">
        <v>12.22838</v>
      </c>
      <c r="F219" s="1868">
        <v>15.44699</v>
      </c>
      <c r="G219" s="1868">
        <v>15.90794</v>
      </c>
      <c r="H219" s="1868">
        <v>15.90485</v>
      </c>
      <c r="I219" s="1868">
        <v>17.250779999999999</v>
      </c>
      <c r="J219" s="1868">
        <v>15.522670000000002</v>
      </c>
      <c r="K219" s="1868">
        <v>15.48884</v>
      </c>
      <c r="L219" s="1868">
        <v>17.387170000000001</v>
      </c>
      <c r="M219" s="1868">
        <v>14.251660000000001</v>
      </c>
      <c r="N219" s="1868">
        <v>14.200379999999999</v>
      </c>
      <c r="O219" s="1868">
        <v>16.580570000000002</v>
      </c>
      <c r="P219" s="1868">
        <v>14.867139999999999</v>
      </c>
      <c r="Q219" s="1868">
        <v>15.234489999999999</v>
      </c>
      <c r="R219" s="1868">
        <v>14.84975</v>
      </c>
      <c r="S219" s="1868">
        <v>14.7691</v>
      </c>
      <c r="T219" s="1868">
        <v>14.6965</v>
      </c>
      <c r="U219" s="1868">
        <v>13.557620000000002</v>
      </c>
      <c r="V219" s="1868">
        <v>15.46744</v>
      </c>
      <c r="W219" s="1868">
        <v>15.044970000000001</v>
      </c>
      <c r="X219" s="1868">
        <v>15.78196</v>
      </c>
      <c r="Y219" s="1868">
        <v>15.622320000000002</v>
      </c>
      <c r="Z219" s="1868">
        <v>20.292089999999998</v>
      </c>
      <c r="AA219" s="1868">
        <v>14.910029999999999</v>
      </c>
      <c r="AB219" s="1868">
        <v>17.278300000000002</v>
      </c>
      <c r="AC219" s="1868">
        <v>18.95739</v>
      </c>
      <c r="AD219" s="1868">
        <v>15.200420000000001</v>
      </c>
      <c r="AE219" s="1868">
        <v>19.070599999999999</v>
      </c>
      <c r="AF219" s="1868">
        <v>19.374919999999999</v>
      </c>
      <c r="AG219" s="1868">
        <v>18.350279999999998</v>
      </c>
      <c r="AH219" s="1868">
        <v>18.129290000000001</v>
      </c>
      <c r="AI219" s="1868">
        <v>20.609200000000001</v>
      </c>
      <c r="AJ219" s="1868">
        <v>18.562260000000002</v>
      </c>
      <c r="AK219" s="1868">
        <v>18.546949999999999</v>
      </c>
      <c r="AL219" s="1868">
        <v>17.52524</v>
      </c>
      <c r="AM219" s="1868">
        <v>16.752520000000001</v>
      </c>
      <c r="AN219" s="1868">
        <v>19.140920000000001</v>
      </c>
      <c r="AO219" s="1868">
        <v>15.6302</v>
      </c>
      <c r="AP219" s="1868">
        <v>19.044370000000001</v>
      </c>
      <c r="AQ219" s="1868">
        <v>18.65775</v>
      </c>
      <c r="AR219" s="1868">
        <v>19.405720000000002</v>
      </c>
      <c r="AS219" s="1868">
        <v>21.094179999999998</v>
      </c>
      <c r="AT219" s="1868">
        <v>19.67792</v>
      </c>
      <c r="AU219" s="1868">
        <v>19.15924</v>
      </c>
      <c r="AV219" s="1868">
        <v>18.913260000000001</v>
      </c>
      <c r="AW219" s="1868">
        <v>22.370989999999999</v>
      </c>
      <c r="AX219" s="1868">
        <v>20.106960000000001</v>
      </c>
      <c r="AY219" s="1868">
        <v>20.602550000000001</v>
      </c>
      <c r="AZ219" s="1868">
        <v>19.420500000000001</v>
      </c>
      <c r="BA219" s="1868">
        <v>22.57225</v>
      </c>
    </row>
    <row r="220" spans="1:53">
      <c r="A220" s="1865" t="str">
        <f t="shared" si="3"/>
        <v>EuropePeaches and nectarines</v>
      </c>
      <c r="B220" s="1866" t="s">
        <v>1413</v>
      </c>
      <c r="C220" s="1866" t="s">
        <v>1390</v>
      </c>
      <c r="D220" s="1868">
        <v>8.92333</v>
      </c>
      <c r="E220" s="1868">
        <v>8.5937800000000006</v>
      </c>
      <c r="F220" s="1868">
        <v>10.067960000000001</v>
      </c>
      <c r="G220" s="1868">
        <v>10.251849999999999</v>
      </c>
      <c r="H220" s="1868">
        <v>9.7195900000000002</v>
      </c>
      <c r="I220" s="1868">
        <v>9.5290400000000002</v>
      </c>
      <c r="J220" s="1868">
        <v>9.1394800000000007</v>
      </c>
      <c r="K220" s="1868">
        <v>11.21363</v>
      </c>
      <c r="L220" s="1868">
        <v>8.9592700000000001</v>
      </c>
      <c r="M220" s="1868">
        <v>9.1546599999999998</v>
      </c>
      <c r="N220" s="1868">
        <v>9.7623300000000004</v>
      </c>
      <c r="O220" s="1868">
        <v>9.3050899999999999</v>
      </c>
      <c r="P220" s="1868">
        <v>9.5822699999999994</v>
      </c>
      <c r="Q220" s="1868">
        <v>9.5129699999999993</v>
      </c>
      <c r="R220" s="1868">
        <v>7.7835800000000006</v>
      </c>
      <c r="S220" s="1868">
        <v>10.959580000000001</v>
      </c>
      <c r="T220" s="1868">
        <v>8.98414</v>
      </c>
      <c r="U220" s="1868">
        <v>10.03632</v>
      </c>
      <c r="V220" s="1868">
        <v>10.80064</v>
      </c>
      <c r="W220" s="1868">
        <v>10.75367</v>
      </c>
      <c r="X220" s="1868">
        <v>11.800239999999999</v>
      </c>
      <c r="Y220" s="1868">
        <v>12.716760000000001</v>
      </c>
      <c r="Z220" s="1868">
        <v>12.872110000000001</v>
      </c>
      <c r="AA220" s="1868">
        <v>12.765739999999999</v>
      </c>
      <c r="AB220" s="1868">
        <v>10.75845</v>
      </c>
      <c r="AC220" s="1868">
        <v>10.723269999999999</v>
      </c>
      <c r="AD220" s="1868">
        <v>10.12767</v>
      </c>
      <c r="AE220" s="1868">
        <v>9.6342800000000004</v>
      </c>
      <c r="AF220" s="1868">
        <v>10.7745</v>
      </c>
      <c r="AG220" s="1868">
        <v>10.656269999999999</v>
      </c>
      <c r="AH220" s="1868">
        <v>9.8519500000000004</v>
      </c>
      <c r="AI220" s="1868">
        <v>14.092970000000001</v>
      </c>
      <c r="AJ220" s="1868">
        <v>12.634689999999999</v>
      </c>
      <c r="AK220" s="1868">
        <v>13.38761</v>
      </c>
      <c r="AL220" s="1868">
        <v>11.458550000000001</v>
      </c>
      <c r="AM220" s="1868">
        <v>13.479179999999999</v>
      </c>
      <c r="AN220" s="1868">
        <v>10.66675</v>
      </c>
      <c r="AO220" s="1868">
        <v>11.198780000000001</v>
      </c>
      <c r="AP220" s="1868">
        <v>14.650499999999999</v>
      </c>
      <c r="AQ220" s="1868">
        <v>14.91037</v>
      </c>
      <c r="AR220" s="1868">
        <v>14.390789999999999</v>
      </c>
      <c r="AS220" s="1868">
        <v>14.312889999999999</v>
      </c>
      <c r="AT220" s="1868">
        <v>11.124969999999999</v>
      </c>
      <c r="AU220" s="1868">
        <v>14.52178</v>
      </c>
      <c r="AV220" s="1868">
        <v>15.481029999999999</v>
      </c>
      <c r="AW220" s="1868">
        <v>15.164760000000001</v>
      </c>
      <c r="AX220" s="1868">
        <v>15.003789999999999</v>
      </c>
      <c r="AY220" s="1868">
        <v>15.36919</v>
      </c>
      <c r="AZ220" s="1868">
        <v>15.535810000000001</v>
      </c>
      <c r="BA220" s="1868">
        <v>14.792270000000002</v>
      </c>
    </row>
    <row r="221" spans="1:53">
      <c r="A221" s="1865" t="str">
        <f t="shared" si="3"/>
        <v>EuropePeas, dry</v>
      </c>
      <c r="B221" s="1866" t="s">
        <v>1413</v>
      </c>
      <c r="C221" s="1866" t="s">
        <v>1391</v>
      </c>
      <c r="D221" s="1868">
        <v>1.0807799999999999</v>
      </c>
      <c r="E221" s="1868">
        <v>1.1388200000000002</v>
      </c>
      <c r="F221" s="1868">
        <v>0.79691000000000001</v>
      </c>
      <c r="G221" s="1868">
        <v>1.01363</v>
      </c>
      <c r="H221" s="1868">
        <v>0.97362000000000004</v>
      </c>
      <c r="I221" s="1868">
        <v>1.1872200000000002</v>
      </c>
      <c r="J221" s="1868">
        <v>1.1884600000000001</v>
      </c>
      <c r="K221" s="1868">
        <v>1.37639</v>
      </c>
      <c r="L221" s="1868">
        <v>1.47719</v>
      </c>
      <c r="M221" s="1868">
        <v>1.46451</v>
      </c>
      <c r="N221" s="1868">
        <v>1.2847200000000001</v>
      </c>
      <c r="O221" s="1868">
        <v>1.18245</v>
      </c>
      <c r="P221" s="1868">
        <v>1.31864</v>
      </c>
      <c r="Q221" s="1868">
        <v>1.47801</v>
      </c>
      <c r="R221" s="1868">
        <v>0.99241000000000001</v>
      </c>
      <c r="S221" s="1868">
        <v>1.6662599999999999</v>
      </c>
      <c r="T221" s="1868">
        <v>1.39917</v>
      </c>
      <c r="U221" s="1868">
        <v>1.61442</v>
      </c>
      <c r="V221" s="1868">
        <v>0.88097999999999987</v>
      </c>
      <c r="W221" s="1868">
        <v>1.4132200000000001</v>
      </c>
      <c r="X221" s="1868">
        <v>0.84788999999999992</v>
      </c>
      <c r="Y221" s="1868">
        <v>1.3850799999999999</v>
      </c>
      <c r="Z221" s="1868">
        <v>1.4115200000000001</v>
      </c>
      <c r="AA221" s="1868">
        <v>1.3663100000000001</v>
      </c>
      <c r="AB221" s="1868">
        <v>1.5185299999999999</v>
      </c>
      <c r="AC221" s="1868">
        <v>1.32437</v>
      </c>
      <c r="AD221" s="1868">
        <v>1.7355499999999999</v>
      </c>
      <c r="AE221" s="1868">
        <v>1.7311599999999998</v>
      </c>
      <c r="AF221" s="1868">
        <v>1.9200099999999998</v>
      </c>
      <c r="AG221" s="1868">
        <v>2.2714400000000001</v>
      </c>
      <c r="AH221" s="1868">
        <v>1.6945299999999999</v>
      </c>
      <c r="AI221" s="1868">
        <v>2.3124700000000002</v>
      </c>
      <c r="AJ221" s="1868">
        <v>2.4984999999999999</v>
      </c>
      <c r="AK221" s="1868">
        <v>2.4177</v>
      </c>
      <c r="AL221" s="1868">
        <v>1.8912900000000001</v>
      </c>
      <c r="AM221" s="1868">
        <v>2.1528400000000003</v>
      </c>
      <c r="AN221" s="1868">
        <v>2.5658799999999999</v>
      </c>
      <c r="AO221" s="1868">
        <v>2.6914899999999999</v>
      </c>
      <c r="AP221" s="1868">
        <v>2.6296300000000001</v>
      </c>
      <c r="AQ221" s="1868">
        <v>2.5525700000000002</v>
      </c>
      <c r="AR221" s="1868">
        <v>2.6347700000000001</v>
      </c>
      <c r="AS221" s="1868">
        <v>2.4790200000000002</v>
      </c>
      <c r="AT221" s="1868">
        <v>2.2281200000000001</v>
      </c>
      <c r="AU221" s="1868">
        <v>2.6960599999999997</v>
      </c>
      <c r="AV221" s="1868">
        <v>2.2990400000000002</v>
      </c>
      <c r="AW221" s="1868">
        <v>2.2270300000000001</v>
      </c>
      <c r="AX221" s="1868">
        <v>1.7727400000000002</v>
      </c>
      <c r="AY221" s="1868">
        <v>2.2804199999999999</v>
      </c>
      <c r="AZ221" s="1868">
        <v>2.0625200000000001</v>
      </c>
      <c r="BA221" s="1868">
        <v>2.0109400000000002</v>
      </c>
    </row>
    <row r="222" spans="1:53">
      <c r="A222" s="1865" t="str">
        <f t="shared" si="3"/>
        <v>EuropePeas, green</v>
      </c>
      <c r="B222" s="1866" t="s">
        <v>1413</v>
      </c>
      <c r="C222" s="1866" t="s">
        <v>1392</v>
      </c>
      <c r="D222" s="1868">
        <v>5.5746799999999999</v>
      </c>
      <c r="E222" s="1868">
        <v>5.6898499999999999</v>
      </c>
      <c r="F222" s="1868">
        <v>5.6232499999999996</v>
      </c>
      <c r="G222" s="1868">
        <v>5.6848400000000003</v>
      </c>
      <c r="H222" s="1868">
        <v>5.3597199999999994</v>
      </c>
      <c r="I222" s="1868">
        <v>5.8306100000000001</v>
      </c>
      <c r="J222" s="1868">
        <v>6.3003800000000005</v>
      </c>
      <c r="K222" s="1868">
        <v>5.8236300000000005</v>
      </c>
      <c r="L222" s="1868">
        <v>6.1856</v>
      </c>
      <c r="M222" s="1868">
        <v>6.14541</v>
      </c>
      <c r="N222" s="1868">
        <v>6.3299599999999998</v>
      </c>
      <c r="O222" s="1868">
        <v>6.1425300000000007</v>
      </c>
      <c r="P222" s="1868">
        <v>6.8449399999999994</v>
      </c>
      <c r="Q222" s="1868">
        <v>7.4184399999999995</v>
      </c>
      <c r="R222" s="1868">
        <v>6.6418699999999999</v>
      </c>
      <c r="S222" s="1868">
        <v>5.5370599999999994</v>
      </c>
      <c r="T222" s="1868">
        <v>6.9531499999999999</v>
      </c>
      <c r="U222" s="1868">
        <v>6.4977099999999997</v>
      </c>
      <c r="V222" s="1868">
        <v>6.3782300000000003</v>
      </c>
      <c r="W222" s="1868">
        <v>6.3636300000000006</v>
      </c>
      <c r="X222" s="1868">
        <v>6.8921199999999994</v>
      </c>
      <c r="Y222" s="1868">
        <v>7.2690700000000001</v>
      </c>
      <c r="Z222" s="1868">
        <v>6.6551100000000005</v>
      </c>
      <c r="AA222" s="1868">
        <v>7.7732600000000005</v>
      </c>
      <c r="AB222" s="1868">
        <v>7.1185399999999994</v>
      </c>
      <c r="AC222" s="1868">
        <v>7.0843600000000002</v>
      </c>
      <c r="AD222" s="1868">
        <v>6.3337699999999995</v>
      </c>
      <c r="AE222" s="1868">
        <v>6.8384999999999998</v>
      </c>
      <c r="AF222" s="1868">
        <v>7.0710199999999999</v>
      </c>
      <c r="AG222" s="1868">
        <v>7.1236399999999991</v>
      </c>
      <c r="AH222" s="1868">
        <v>7.0261399999999998</v>
      </c>
      <c r="AI222" s="1868">
        <v>7.9245199999999993</v>
      </c>
      <c r="AJ222" s="1868">
        <v>7.9449199999999998</v>
      </c>
      <c r="AK222" s="1868">
        <v>7.8365499999999999</v>
      </c>
      <c r="AL222" s="1868">
        <v>8.0877400000000002</v>
      </c>
      <c r="AM222" s="1868">
        <v>8.9151500000000006</v>
      </c>
      <c r="AN222" s="1868">
        <v>8.8777000000000008</v>
      </c>
      <c r="AO222" s="1868">
        <v>9.0571199999999994</v>
      </c>
      <c r="AP222" s="1868">
        <v>8.7719199999999997</v>
      </c>
      <c r="AQ222" s="1868">
        <v>8.6863899999999994</v>
      </c>
      <c r="AR222" s="1868">
        <v>8.0332500000000007</v>
      </c>
      <c r="AS222" s="1868">
        <v>7.7688399999999991</v>
      </c>
      <c r="AT222" s="1868">
        <v>7.0472600000000005</v>
      </c>
      <c r="AU222" s="1868">
        <v>7.5204800000000001</v>
      </c>
      <c r="AV222" s="1868">
        <v>6.9985600000000003</v>
      </c>
      <c r="AW222" s="1868">
        <v>6.7151699999999996</v>
      </c>
      <c r="AX222" s="1868">
        <v>5.9628899999999998</v>
      </c>
      <c r="AY222" s="1868">
        <v>6.9872800000000002</v>
      </c>
      <c r="AZ222" s="1868">
        <v>8.4500600000000006</v>
      </c>
      <c r="BA222" s="1868">
        <v>6.9695899999999993</v>
      </c>
    </row>
    <row r="223" spans="1:53">
      <c r="A223" s="1865" t="str">
        <f t="shared" si="3"/>
        <v>EuropePineapples</v>
      </c>
      <c r="B223" s="1866" t="s">
        <v>1413</v>
      </c>
      <c r="C223" s="1866" t="s">
        <v>1351</v>
      </c>
      <c r="D223" s="1868">
        <v>7.5</v>
      </c>
      <c r="E223" s="1868">
        <v>7.5</v>
      </c>
      <c r="F223" s="1868">
        <v>7.8125</v>
      </c>
      <c r="G223" s="1868">
        <v>7.8125</v>
      </c>
      <c r="H223" s="1868">
        <v>7.7651199999999996</v>
      </c>
      <c r="I223" s="1868">
        <v>7.0953499999999998</v>
      </c>
      <c r="J223" s="1868">
        <v>8.3953500000000005</v>
      </c>
      <c r="K223" s="1868">
        <v>8.1906999999999996</v>
      </c>
      <c r="L223" s="1868">
        <v>8.2828600000000012</v>
      </c>
      <c r="M223" s="1868">
        <v>8.1960800000000003</v>
      </c>
      <c r="N223" s="1868">
        <v>8.0078399999999998</v>
      </c>
      <c r="O223" s="1868">
        <v>8.3318200000000004</v>
      </c>
      <c r="P223" s="1868">
        <v>8.231819999999999</v>
      </c>
      <c r="Q223" s="1868">
        <v>8.43</v>
      </c>
      <c r="R223" s="1868">
        <v>8.3249999999999993</v>
      </c>
      <c r="S223" s="1868">
        <v>8.2550000000000008</v>
      </c>
      <c r="T223" s="1868">
        <v>6.8</v>
      </c>
      <c r="U223" s="1868">
        <v>7.8250000000000002</v>
      </c>
      <c r="V223" s="1868">
        <v>7.9850000000000003</v>
      </c>
      <c r="W223" s="1868">
        <v>8.0250000000000004</v>
      </c>
      <c r="X223" s="1868">
        <v>7.67</v>
      </c>
      <c r="Y223" s="1868">
        <v>7.7555600000000009</v>
      </c>
      <c r="Z223" s="1868">
        <v>7.9055600000000004</v>
      </c>
      <c r="AA223" s="1868">
        <v>7.9222199999999994</v>
      </c>
      <c r="AB223" s="1868">
        <v>8.4812499999999993</v>
      </c>
      <c r="AC223" s="1868">
        <v>8.2750000000000004</v>
      </c>
      <c r="AD223" s="1868">
        <v>8.4250000000000007</v>
      </c>
      <c r="AE223" s="1868">
        <v>7.9058800000000007</v>
      </c>
      <c r="AF223" s="1868">
        <v>8.4058799999999998</v>
      </c>
      <c r="AG223" s="1868">
        <v>7.5</v>
      </c>
      <c r="AH223" s="1868">
        <v>9.0909100000000009</v>
      </c>
      <c r="AI223" s="1868">
        <v>9.9130399999999987</v>
      </c>
      <c r="AJ223" s="1868">
        <v>10</v>
      </c>
      <c r="AK223" s="1868">
        <v>11.77895</v>
      </c>
      <c r="AL223" s="1868">
        <v>14.26111</v>
      </c>
      <c r="AM223" s="1868">
        <v>16.096589999999999</v>
      </c>
      <c r="AN223" s="1868">
        <v>14.80625</v>
      </c>
      <c r="AO223" s="1868">
        <v>10.590060000000001</v>
      </c>
      <c r="AP223" s="1868">
        <v>12.810130000000001</v>
      </c>
      <c r="AQ223" s="1868">
        <v>12.911569999999999</v>
      </c>
      <c r="AR223" s="1868">
        <v>11.86806</v>
      </c>
      <c r="AS223" s="1868">
        <v>14.07042</v>
      </c>
      <c r="AT223" s="1868">
        <v>12.687939999999999</v>
      </c>
      <c r="AU223" s="1868">
        <v>14.302160000000001</v>
      </c>
      <c r="AV223" s="1868">
        <v>13.260870000000001</v>
      </c>
      <c r="AW223" s="1868">
        <v>12.5</v>
      </c>
      <c r="AX223" s="1868">
        <v>12</v>
      </c>
      <c r="AY223" s="1868">
        <v>12</v>
      </c>
      <c r="AZ223" s="1868">
        <v>11.97719</v>
      </c>
      <c r="BA223" s="1868">
        <v>13.584910000000001</v>
      </c>
    </row>
    <row r="224" spans="1:53">
      <c r="A224" s="1865" t="str">
        <f t="shared" si="3"/>
        <v>EuropePotatoes</v>
      </c>
      <c r="B224" s="1866" t="s">
        <v>1413</v>
      </c>
      <c r="C224" s="1866" t="s">
        <v>1394</v>
      </c>
      <c r="D224" s="1868">
        <v>12.48992</v>
      </c>
      <c r="E224" s="1868">
        <v>11.64917</v>
      </c>
      <c r="F224" s="1868">
        <v>12.788539999999999</v>
      </c>
      <c r="G224" s="1868">
        <v>13.87161</v>
      </c>
      <c r="H224" s="1868">
        <v>13.089700000000001</v>
      </c>
      <c r="I224" s="1868">
        <v>13.81545</v>
      </c>
      <c r="J224" s="1868">
        <v>14.79251</v>
      </c>
      <c r="K224" s="1868">
        <v>15.382529999999999</v>
      </c>
      <c r="L224" s="1868">
        <v>14.073560000000001</v>
      </c>
      <c r="M224" s="1868">
        <v>15.139089999999999</v>
      </c>
      <c r="N224" s="1868">
        <v>14.311999999999999</v>
      </c>
      <c r="O224" s="1868">
        <v>14.010910000000001</v>
      </c>
      <c r="P224" s="1868">
        <v>16.094290000000001</v>
      </c>
      <c r="Q224" s="1868">
        <v>14.47212</v>
      </c>
      <c r="R224" s="1868">
        <v>13.953799999999999</v>
      </c>
      <c r="S224" s="1868">
        <v>14.816329999999999</v>
      </c>
      <c r="T224" s="1868">
        <v>14.98419</v>
      </c>
      <c r="U224" s="1868">
        <v>15.916479999999998</v>
      </c>
      <c r="V224" s="1868">
        <v>16.66601</v>
      </c>
      <c r="W224" s="1868">
        <v>12.69176</v>
      </c>
      <c r="X224" s="1868">
        <v>14.903639999999999</v>
      </c>
      <c r="Y224" s="1868">
        <v>14.510339999999999</v>
      </c>
      <c r="Z224" s="1868">
        <v>14.49039</v>
      </c>
      <c r="AA224" s="1868">
        <v>16.266779999999997</v>
      </c>
      <c r="AB224" s="1868">
        <v>15.825460000000001</v>
      </c>
      <c r="AC224" s="1868">
        <v>17.139939999999999</v>
      </c>
      <c r="AD224" s="1868">
        <v>16.30707</v>
      </c>
      <c r="AE224" s="1868">
        <v>15.0067</v>
      </c>
      <c r="AF224" s="1868">
        <v>15.91816</v>
      </c>
      <c r="AG224" s="1868">
        <v>15.35774</v>
      </c>
      <c r="AH224" s="1868">
        <v>14.609120000000001</v>
      </c>
      <c r="AI224" s="1868">
        <v>14.966270000000002</v>
      </c>
      <c r="AJ224" s="1868">
        <v>16.828779999999998</v>
      </c>
      <c r="AK224" s="1868">
        <v>14.109920000000001</v>
      </c>
      <c r="AL224" s="1868">
        <v>15.279210000000001</v>
      </c>
      <c r="AM224" s="1868">
        <v>16.85277</v>
      </c>
      <c r="AN224" s="1868">
        <v>15.417760000000001</v>
      </c>
      <c r="AO224" s="1868">
        <v>15.145610000000001</v>
      </c>
      <c r="AP224" s="1868">
        <v>14.77055</v>
      </c>
      <c r="AQ224" s="1868">
        <v>16.36233</v>
      </c>
      <c r="AR224" s="1868">
        <v>15.559229999999999</v>
      </c>
      <c r="AS224" s="1868">
        <v>15.923389999999999</v>
      </c>
      <c r="AT224" s="1868">
        <v>16.006640000000001</v>
      </c>
      <c r="AU224" s="1868">
        <v>17.797999999999998</v>
      </c>
      <c r="AV224" s="1868">
        <v>17.223140000000001</v>
      </c>
      <c r="AW224" s="1868">
        <v>17.179670000000002</v>
      </c>
      <c r="AX224" s="1868">
        <v>18.324639999999999</v>
      </c>
      <c r="AY224" s="1868">
        <v>19.43225</v>
      </c>
      <c r="AZ224" s="1868">
        <v>19.681160000000002</v>
      </c>
      <c r="BA224" s="1868">
        <v>17.607600000000001</v>
      </c>
    </row>
    <row r="225" spans="1:53">
      <c r="A225" s="1865" t="str">
        <f t="shared" si="3"/>
        <v>EuropePulses, nes</v>
      </c>
      <c r="B225" s="1866" t="s">
        <v>1413</v>
      </c>
      <c r="C225" s="1866" t="s">
        <v>1395</v>
      </c>
      <c r="D225" s="1868">
        <v>0.97567000000000004</v>
      </c>
      <c r="E225" s="1868">
        <v>1.03183</v>
      </c>
      <c r="F225" s="1868">
        <v>0.8753200000000001</v>
      </c>
      <c r="G225" s="1868">
        <v>0.88465000000000005</v>
      </c>
      <c r="H225" s="1868">
        <v>0.89792999999999989</v>
      </c>
      <c r="I225" s="1868">
        <v>1.0458499999999999</v>
      </c>
      <c r="J225" s="1868">
        <v>1.1634</v>
      </c>
      <c r="K225" s="1868">
        <v>1.20825</v>
      </c>
      <c r="L225" s="1868">
        <v>1.2123200000000001</v>
      </c>
      <c r="M225" s="1868">
        <v>1.1455600000000001</v>
      </c>
      <c r="N225" s="1868">
        <v>1.18869</v>
      </c>
      <c r="O225" s="1868">
        <v>1.0984499999999999</v>
      </c>
      <c r="P225" s="1868">
        <v>1.1894899999999999</v>
      </c>
      <c r="Q225" s="1868">
        <v>1.25264</v>
      </c>
      <c r="R225" s="1868">
        <v>0.93274000000000001</v>
      </c>
      <c r="S225" s="1868">
        <v>1.2635299999999998</v>
      </c>
      <c r="T225" s="1868">
        <v>1.16459</v>
      </c>
      <c r="U225" s="1868">
        <v>1.4007399999999999</v>
      </c>
      <c r="V225" s="1868">
        <v>1.1281299999999999</v>
      </c>
      <c r="W225" s="1868">
        <v>1.2781799999999999</v>
      </c>
      <c r="X225" s="1868">
        <v>0.98534999999999995</v>
      </c>
      <c r="Y225" s="1868">
        <v>1.3421399999999999</v>
      </c>
      <c r="Z225" s="1868">
        <v>1.39259</v>
      </c>
      <c r="AA225" s="1868">
        <v>1.7961599999999998</v>
      </c>
      <c r="AB225" s="1868">
        <v>1.8442099999999999</v>
      </c>
      <c r="AC225" s="1868">
        <v>1.8511799999999998</v>
      </c>
      <c r="AD225" s="1868">
        <v>1.9466400000000001</v>
      </c>
      <c r="AE225" s="1868">
        <v>2.2457700000000003</v>
      </c>
      <c r="AF225" s="1868">
        <v>1.9312400000000001</v>
      </c>
      <c r="AG225" s="1868">
        <v>2.3988999999999998</v>
      </c>
      <c r="AH225" s="1868">
        <v>2.3648899999999999</v>
      </c>
      <c r="AI225" s="1868">
        <v>1.90448</v>
      </c>
      <c r="AJ225" s="1868">
        <v>2.94712</v>
      </c>
      <c r="AK225" s="1868">
        <v>2.3005200000000001</v>
      </c>
      <c r="AL225" s="1868">
        <v>2.0092500000000002</v>
      </c>
      <c r="AM225" s="1868">
        <v>2.3664400000000003</v>
      </c>
      <c r="AN225" s="1868">
        <v>2.3179599999999998</v>
      </c>
      <c r="AO225" s="1868">
        <v>1.91733</v>
      </c>
      <c r="AP225" s="1868">
        <v>1.6698999999999999</v>
      </c>
      <c r="AQ225" s="1868">
        <v>2.0662799999999999</v>
      </c>
      <c r="AR225" s="1868">
        <v>2.1613000000000002</v>
      </c>
      <c r="AS225" s="1868">
        <v>2.3755500000000001</v>
      </c>
      <c r="AT225" s="1868">
        <v>2.0531999999999999</v>
      </c>
      <c r="AU225" s="1868">
        <v>2.2808900000000003</v>
      </c>
      <c r="AV225" s="1868">
        <v>2.3512599999999999</v>
      </c>
      <c r="AW225" s="1868">
        <v>2.4967200000000003</v>
      </c>
      <c r="AX225" s="1868">
        <v>2.22343</v>
      </c>
      <c r="AY225" s="1868">
        <v>3.0472599999999996</v>
      </c>
      <c r="AZ225" s="1868">
        <v>2.7395499999999999</v>
      </c>
      <c r="BA225" s="1868">
        <v>2.6387299999999998</v>
      </c>
    </row>
    <row r="226" spans="1:53">
      <c r="A226" s="1865" t="str">
        <f t="shared" si="3"/>
        <v>EuropeRice, paddy</v>
      </c>
      <c r="B226" s="1866" t="s">
        <v>1413</v>
      </c>
      <c r="C226" s="1866" t="s">
        <v>1396</v>
      </c>
      <c r="D226" s="1868">
        <v>4.12</v>
      </c>
      <c r="E226" s="1868">
        <v>4.1652800000000001</v>
      </c>
      <c r="F226" s="1868">
        <v>3.9805199999999998</v>
      </c>
      <c r="G226" s="1868">
        <v>3.8435300000000003</v>
      </c>
      <c r="H226" s="1868">
        <v>3.4237900000000003</v>
      </c>
      <c r="I226" s="1868">
        <v>3.7318199999999999</v>
      </c>
      <c r="J226" s="1868">
        <v>3.9923900000000003</v>
      </c>
      <c r="K226" s="1868">
        <v>3.7102699999999995</v>
      </c>
      <c r="L226" s="1868">
        <v>4.0167199999999994</v>
      </c>
      <c r="M226" s="1868">
        <v>3.98359</v>
      </c>
      <c r="N226" s="1868">
        <v>3.99444</v>
      </c>
      <c r="O226" s="1868">
        <v>3.8012599999999996</v>
      </c>
      <c r="P226" s="1868">
        <v>4.1696999999999997</v>
      </c>
      <c r="Q226" s="1868">
        <v>4.1099500000000004</v>
      </c>
      <c r="R226" s="1868">
        <v>4.3143199999999995</v>
      </c>
      <c r="S226" s="1868">
        <v>3.89364</v>
      </c>
      <c r="T226" s="1868">
        <v>3.7587199999999998</v>
      </c>
      <c r="U226" s="1868">
        <v>3.8608099999999999</v>
      </c>
      <c r="V226" s="1868">
        <v>4.2801</v>
      </c>
      <c r="W226" s="1868">
        <v>4.2938199999999993</v>
      </c>
      <c r="X226" s="1868">
        <v>4.1663500000000004</v>
      </c>
      <c r="Y226" s="1868">
        <v>4.1513999999999998</v>
      </c>
      <c r="Z226" s="1868">
        <v>4.2023000000000001</v>
      </c>
      <c r="AA226" s="1868">
        <v>4.2098800000000001</v>
      </c>
      <c r="AB226" s="1868">
        <v>4.3019099999999995</v>
      </c>
      <c r="AC226" s="1868">
        <v>4.5331299999999999</v>
      </c>
      <c r="AD226" s="1868">
        <v>4.2709599999999996</v>
      </c>
      <c r="AE226" s="1868">
        <v>4.3430400000000002</v>
      </c>
      <c r="AF226" s="1868">
        <v>4.0810900000000006</v>
      </c>
      <c r="AG226" s="1868">
        <v>4.2981600000000002</v>
      </c>
      <c r="AH226" s="1868">
        <v>4.2177600000000002</v>
      </c>
      <c r="AI226" s="1868">
        <v>4.5549200000000001</v>
      </c>
      <c r="AJ226" s="1868">
        <v>4.3193900000000003</v>
      </c>
      <c r="AK226" s="1868">
        <v>4.65219</v>
      </c>
      <c r="AL226" s="1868">
        <v>4.9456899999999999</v>
      </c>
      <c r="AM226" s="1868">
        <v>5.0982699999999994</v>
      </c>
      <c r="AN226" s="1868">
        <v>5.2298900000000001</v>
      </c>
      <c r="AO226" s="1868">
        <v>5.5035999999999996</v>
      </c>
      <c r="AP226" s="1868">
        <v>5.4826899999999998</v>
      </c>
      <c r="AQ226" s="1868">
        <v>5.2492300000000007</v>
      </c>
      <c r="AR226" s="1868">
        <v>5.54047</v>
      </c>
      <c r="AS226" s="1868">
        <v>5.7729999999999997</v>
      </c>
      <c r="AT226" s="1868">
        <v>5.6079499999999998</v>
      </c>
      <c r="AU226" s="1868">
        <v>5.9728399999999997</v>
      </c>
      <c r="AV226" s="1868">
        <v>5.8086500000000001</v>
      </c>
      <c r="AW226" s="1868">
        <v>5.7590699999999995</v>
      </c>
      <c r="AX226" s="1868">
        <v>5.9928800000000004</v>
      </c>
      <c r="AY226" s="1868">
        <v>5.8231299999999999</v>
      </c>
      <c r="AZ226" s="1868">
        <v>6.1364300000000007</v>
      </c>
      <c r="BA226" s="1868">
        <v>6.1905700000000001</v>
      </c>
    </row>
    <row r="227" spans="1:53">
      <c r="A227" s="1865" t="str">
        <f t="shared" si="3"/>
        <v>EuropeRoots and Tubers, nes</v>
      </c>
      <c r="B227" s="1866" t="s">
        <v>1413</v>
      </c>
      <c r="C227" s="1866" t="s">
        <v>1356</v>
      </c>
      <c r="D227" s="1868">
        <v>8.62791</v>
      </c>
      <c r="E227" s="1868">
        <v>9.625</v>
      </c>
      <c r="F227" s="1868">
        <v>9.6428600000000007</v>
      </c>
      <c r="G227" s="1868">
        <v>11.23077</v>
      </c>
      <c r="H227" s="1868">
        <v>9.6923100000000009</v>
      </c>
      <c r="I227" s="1868">
        <v>8.9333299999999998</v>
      </c>
      <c r="J227" s="1868">
        <v>8.9264700000000001</v>
      </c>
      <c r="K227" s="1868">
        <v>10</v>
      </c>
      <c r="L227" s="1868">
        <v>10.4</v>
      </c>
      <c r="M227" s="1868">
        <v>10</v>
      </c>
      <c r="N227" s="1868">
        <v>10</v>
      </c>
      <c r="O227" s="1868">
        <v>10.01267</v>
      </c>
      <c r="P227" s="1868">
        <v>10</v>
      </c>
      <c r="Q227" s="1868">
        <v>10.000999999999999</v>
      </c>
      <c r="R227" s="1868">
        <v>9.9624500000000005</v>
      </c>
      <c r="S227" s="1868">
        <v>9.9969600000000014</v>
      </c>
      <c r="T227" s="1868">
        <v>10</v>
      </c>
      <c r="U227" s="1868">
        <v>10.000999999999999</v>
      </c>
      <c r="V227" s="1868">
        <v>10.500500000000001</v>
      </c>
      <c r="W227" s="1868">
        <v>10</v>
      </c>
      <c r="X227" s="1868">
        <v>11.01568</v>
      </c>
      <c r="Y227" s="1868">
        <v>10.264110000000001</v>
      </c>
      <c r="Z227" s="1868">
        <v>10.342510000000001</v>
      </c>
      <c r="AA227" s="1868">
        <v>10.9184</v>
      </c>
      <c r="AB227" s="1868">
        <v>11.514250000000001</v>
      </c>
      <c r="AC227" s="1868">
        <v>11.533860000000001</v>
      </c>
      <c r="AD227" s="1868">
        <v>11.81818</v>
      </c>
      <c r="AE227" s="1868">
        <v>12.62208</v>
      </c>
      <c r="AF227" s="1868">
        <v>12.678089999999999</v>
      </c>
      <c r="AG227" s="1868">
        <v>12.65509</v>
      </c>
      <c r="AH227" s="1868">
        <v>12.942460000000001</v>
      </c>
      <c r="AI227" s="1868">
        <v>10.89799</v>
      </c>
      <c r="AJ227" s="1868">
        <v>13.2</v>
      </c>
      <c r="AK227" s="1868">
        <v>10.425180000000001</v>
      </c>
      <c r="AL227" s="1868">
        <v>18</v>
      </c>
      <c r="AM227" s="1868">
        <v>16.2</v>
      </c>
      <c r="AN227" s="1868">
        <v>18</v>
      </c>
      <c r="AO227" s="1868">
        <v>20.399999999999999</v>
      </c>
      <c r="AP227" s="1868">
        <v>19.8</v>
      </c>
      <c r="AQ227" s="1868">
        <v>20</v>
      </c>
      <c r="AR227" s="1868">
        <v>19.68112</v>
      </c>
      <c r="AS227" s="1868">
        <v>20</v>
      </c>
      <c r="AT227" s="1868">
        <v>20</v>
      </c>
      <c r="AU227" s="1868">
        <v>24.487760000000002</v>
      </c>
      <c r="AV227" s="1868">
        <v>22.714289999999998</v>
      </c>
      <c r="AW227" s="1868">
        <v>23.9</v>
      </c>
      <c r="AX227" s="1868">
        <v>19.715540000000001</v>
      </c>
      <c r="AY227" s="1868">
        <v>19.633430000000001</v>
      </c>
      <c r="AZ227" s="1868">
        <v>19.28595</v>
      </c>
      <c r="BA227" s="1868">
        <v>18.269690000000001</v>
      </c>
    </row>
    <row r="228" spans="1:53">
      <c r="A228" s="1865" t="str">
        <f t="shared" si="3"/>
        <v>EuropeRye</v>
      </c>
      <c r="B228" s="1866" t="s">
        <v>1413</v>
      </c>
      <c r="C228" s="1866" t="s">
        <v>1353</v>
      </c>
      <c r="D228" s="1868">
        <v>1.19445</v>
      </c>
      <c r="E228" s="1868">
        <v>1.1771200000000002</v>
      </c>
      <c r="F228" s="1868">
        <v>1.1108200000000001</v>
      </c>
      <c r="G228" s="1868">
        <v>1.11744</v>
      </c>
      <c r="H228" s="1868">
        <v>1.2609999999999999</v>
      </c>
      <c r="I228" s="1868">
        <v>1.2373000000000001</v>
      </c>
      <c r="J228" s="1868">
        <v>1.3609599999999999</v>
      </c>
      <c r="K228" s="1868">
        <v>1.4710099999999999</v>
      </c>
      <c r="L228" s="1868">
        <v>1.52599</v>
      </c>
      <c r="M228" s="1868">
        <v>1.43967</v>
      </c>
      <c r="N228" s="1868">
        <v>1.66631</v>
      </c>
      <c r="O228" s="1868">
        <v>1.67405</v>
      </c>
      <c r="P228" s="1868">
        <v>1.90005</v>
      </c>
      <c r="Q228" s="1868">
        <v>1.85598</v>
      </c>
      <c r="R228" s="1868">
        <v>1.5527299999999999</v>
      </c>
      <c r="S228" s="1868">
        <v>1.78017</v>
      </c>
      <c r="T228" s="1868">
        <v>1.6786099999999999</v>
      </c>
      <c r="U228" s="1868">
        <v>2.0254500000000002</v>
      </c>
      <c r="V228" s="1868">
        <v>1.59999</v>
      </c>
      <c r="W228" s="1868">
        <v>1.5881100000000001</v>
      </c>
      <c r="X228" s="1868">
        <v>1.6594</v>
      </c>
      <c r="Y228" s="1868">
        <v>1.8130299999999999</v>
      </c>
      <c r="Z228" s="1868">
        <v>1.93947</v>
      </c>
      <c r="AA228" s="1868">
        <v>1.9640299999999999</v>
      </c>
      <c r="AB228" s="1868">
        <v>1.9629700000000001</v>
      </c>
      <c r="AC228" s="1868">
        <v>2.02712</v>
      </c>
      <c r="AD228" s="1868">
        <v>2.0337099999999997</v>
      </c>
      <c r="AE228" s="1868">
        <v>1.9739400000000002</v>
      </c>
      <c r="AF228" s="1868">
        <v>2.0983200000000002</v>
      </c>
      <c r="AG228" s="1868">
        <v>2.3638499999999998</v>
      </c>
      <c r="AH228" s="1868">
        <v>2.11544</v>
      </c>
      <c r="AI228" s="1868">
        <v>2.12</v>
      </c>
      <c r="AJ228" s="1868">
        <v>2.0936900000000001</v>
      </c>
      <c r="AK228" s="1868">
        <v>2.1465400000000003</v>
      </c>
      <c r="AL228" s="1868">
        <v>2.2874300000000001</v>
      </c>
      <c r="AM228" s="1868">
        <v>2.1536</v>
      </c>
      <c r="AN228" s="1868">
        <v>2.41649</v>
      </c>
      <c r="AO228" s="1868">
        <v>2.1280700000000001</v>
      </c>
      <c r="AP228" s="1868">
        <v>2.1907200000000002</v>
      </c>
      <c r="AQ228" s="1868">
        <v>2.1117499999999998</v>
      </c>
      <c r="AR228" s="1868">
        <v>2.47905</v>
      </c>
      <c r="AS228" s="1868">
        <v>2.3964300000000001</v>
      </c>
      <c r="AT228" s="1868">
        <v>2.2397900000000002</v>
      </c>
      <c r="AU228" s="1868">
        <v>2.6829999999999998</v>
      </c>
      <c r="AV228" s="1868">
        <v>2.2819099999999999</v>
      </c>
      <c r="AW228" s="1868">
        <v>2.27136</v>
      </c>
      <c r="AX228" s="1868">
        <v>2.43255</v>
      </c>
      <c r="AY228" s="1868">
        <v>2.7770099999999998</v>
      </c>
      <c r="AZ228" s="1868">
        <v>2.8389000000000002</v>
      </c>
      <c r="BA228" s="1868">
        <v>2.3161800000000001</v>
      </c>
    </row>
    <row r="229" spans="1:53">
      <c r="A229" s="1865" t="str">
        <f t="shared" si="3"/>
        <v>EuropeSeed cotton</v>
      </c>
      <c r="B229" s="1866" t="s">
        <v>1413</v>
      </c>
      <c r="C229" s="1866" t="s">
        <v>1397</v>
      </c>
      <c r="D229" s="1868">
        <v>1.7366900000000001</v>
      </c>
      <c r="E229" s="1868">
        <v>1.5981000000000001</v>
      </c>
      <c r="F229" s="1868">
        <v>1.91228</v>
      </c>
      <c r="G229" s="1868">
        <v>2.0119400000000001</v>
      </c>
      <c r="H229" s="1868">
        <v>2.1695700000000002</v>
      </c>
      <c r="I229" s="1868">
        <v>2.2646000000000002</v>
      </c>
      <c r="J229" s="1868">
        <v>2.3262</v>
      </c>
      <c r="K229" s="1868">
        <v>2.3012599999999996</v>
      </c>
      <c r="L229" s="1868">
        <v>2.1475299999999997</v>
      </c>
      <c r="M229" s="1868">
        <v>2.43106</v>
      </c>
      <c r="N229" s="1868">
        <v>2.49526</v>
      </c>
      <c r="O229" s="1868">
        <v>2.5589300000000001</v>
      </c>
      <c r="P229" s="1868">
        <v>2.68852</v>
      </c>
      <c r="Q229" s="1868">
        <v>2.8044199999999999</v>
      </c>
      <c r="R229" s="1868">
        <v>2.6498499999999998</v>
      </c>
      <c r="S229" s="1868">
        <v>2.72403</v>
      </c>
      <c r="T229" s="1868">
        <v>2.8218099999999997</v>
      </c>
      <c r="U229" s="1868">
        <v>2.7505500000000001</v>
      </c>
      <c r="V229" s="1868">
        <v>2.9135499999999999</v>
      </c>
      <c r="W229" s="1868">
        <v>2.8544999999999998</v>
      </c>
      <c r="X229" s="1868">
        <v>3.01335</v>
      </c>
      <c r="Y229" s="1868">
        <v>2.8709700000000002</v>
      </c>
      <c r="Z229" s="1868">
        <v>2.8425500000000001</v>
      </c>
      <c r="AA229" s="1868">
        <v>2.5413799999999998</v>
      </c>
      <c r="AB229" s="1868">
        <v>2.6013700000000002</v>
      </c>
      <c r="AC229" s="1868">
        <v>2.4013200000000001</v>
      </c>
      <c r="AD229" s="1868">
        <v>2.3223199999999999</v>
      </c>
      <c r="AE229" s="1868">
        <v>2.5608599999999999</v>
      </c>
      <c r="AF229" s="1868">
        <v>2.5624099999999999</v>
      </c>
      <c r="AG229" s="1868">
        <v>2.6176699999999999</v>
      </c>
      <c r="AH229" s="1868">
        <v>2.5972</v>
      </c>
      <c r="AI229" s="1868">
        <v>2.5151500000000002</v>
      </c>
      <c r="AJ229" s="1868">
        <v>2.8346200000000001</v>
      </c>
      <c r="AK229" s="1868">
        <v>3.2806699999999998</v>
      </c>
      <c r="AL229" s="1868">
        <v>3.1138499999999998</v>
      </c>
      <c r="AM229" s="1868">
        <v>3.0845199999999999</v>
      </c>
      <c r="AN229" s="1868">
        <v>2.8198099999999999</v>
      </c>
      <c r="AO229" s="1868">
        <v>2.9174000000000002</v>
      </c>
      <c r="AP229" s="1868">
        <v>3.08378</v>
      </c>
      <c r="AQ229" s="1868">
        <v>3.1136400000000002</v>
      </c>
      <c r="AR229" s="1868">
        <v>3.3266300000000002</v>
      </c>
      <c r="AS229" s="1868">
        <v>3.4095699999999995</v>
      </c>
      <c r="AT229" s="1868">
        <v>2.94564</v>
      </c>
      <c r="AU229" s="1868">
        <v>3.2756400000000001</v>
      </c>
      <c r="AV229" s="1868">
        <v>3.4858800000000003</v>
      </c>
      <c r="AW229" s="1868">
        <v>2.70919</v>
      </c>
      <c r="AX229" s="1868">
        <v>2.71929</v>
      </c>
      <c r="AY229" s="1868">
        <v>3.18723</v>
      </c>
      <c r="AZ229" s="1868">
        <v>3.0968499999999999</v>
      </c>
      <c r="BA229" s="1868">
        <v>2.4922</v>
      </c>
    </row>
    <row r="230" spans="1:53">
      <c r="A230" s="1865" t="str">
        <f t="shared" si="3"/>
        <v>EuropeSesame seed</v>
      </c>
      <c r="B230" s="1866" t="s">
        <v>1413</v>
      </c>
      <c r="C230" s="1866" t="s">
        <v>1345</v>
      </c>
      <c r="D230" s="1868">
        <v>0.28395999999999999</v>
      </c>
      <c r="E230" s="1868">
        <v>0.25680999999999998</v>
      </c>
      <c r="F230" s="1868">
        <v>0.35158</v>
      </c>
      <c r="G230" s="1868">
        <v>0.34486999999999995</v>
      </c>
      <c r="H230" s="1868">
        <v>0.35488000000000003</v>
      </c>
      <c r="I230" s="1868">
        <v>0.32984000000000002</v>
      </c>
      <c r="J230" s="1868">
        <v>0.36260999999999999</v>
      </c>
      <c r="K230" s="1868">
        <v>0.28444000000000003</v>
      </c>
      <c r="L230" s="1868">
        <v>0.28110999999999997</v>
      </c>
      <c r="M230" s="1868">
        <v>0.35615000000000002</v>
      </c>
      <c r="N230" s="1868">
        <v>0.3579</v>
      </c>
      <c r="O230" s="1868">
        <v>0.35299999999999998</v>
      </c>
      <c r="P230" s="1868">
        <v>0.34409000000000001</v>
      </c>
      <c r="Q230" s="1868">
        <v>0.35285</v>
      </c>
      <c r="R230" s="1868">
        <v>0.35896999999999996</v>
      </c>
      <c r="S230" s="1868">
        <v>0.27204</v>
      </c>
      <c r="T230" s="1868">
        <v>0.30438999999999999</v>
      </c>
      <c r="U230" s="1868">
        <v>0.31593000000000004</v>
      </c>
      <c r="V230" s="1868">
        <v>0.36420999999999998</v>
      </c>
      <c r="W230" s="1868">
        <v>0.43219999999999997</v>
      </c>
      <c r="X230" s="1868">
        <v>0.61992999999999998</v>
      </c>
      <c r="Y230" s="1868">
        <v>0.56813000000000002</v>
      </c>
      <c r="Z230" s="1868">
        <v>0.54752000000000001</v>
      </c>
      <c r="AA230" s="1868">
        <v>0.61133000000000004</v>
      </c>
      <c r="AB230" s="1868">
        <v>0.92986000000000002</v>
      </c>
      <c r="AC230" s="1868">
        <v>0.64378000000000002</v>
      </c>
      <c r="AD230" s="1868">
        <v>0.57262999999999997</v>
      </c>
      <c r="AE230" s="1868">
        <v>0.80233999999999994</v>
      </c>
      <c r="AF230" s="1868">
        <v>0.69918000000000002</v>
      </c>
      <c r="AG230" s="1868">
        <v>0.86385000000000001</v>
      </c>
      <c r="AH230" s="1868">
        <v>0.59193999999999991</v>
      </c>
      <c r="AI230" s="1868">
        <v>0.81481999999999999</v>
      </c>
      <c r="AJ230" s="1868">
        <v>0.72463999999999995</v>
      </c>
      <c r="AK230" s="1868">
        <v>0.89113999999999993</v>
      </c>
      <c r="AL230" s="1868">
        <v>0.87457999999999991</v>
      </c>
      <c r="AM230" s="1868">
        <v>1</v>
      </c>
      <c r="AN230" s="1868">
        <v>0.62980999999999998</v>
      </c>
      <c r="AO230" s="1868">
        <v>0.77778000000000003</v>
      </c>
      <c r="AP230" s="1868">
        <v>0.87065000000000003</v>
      </c>
      <c r="AQ230" s="1868">
        <v>0.85092999999999996</v>
      </c>
      <c r="AR230" s="1868">
        <v>1.1052600000000001</v>
      </c>
      <c r="AS230" s="1868">
        <v>4.9591199999999995</v>
      </c>
      <c r="AT230" s="1868">
        <v>6.1447799999999999</v>
      </c>
      <c r="AU230" s="1868">
        <v>5.6779099999999998</v>
      </c>
      <c r="AV230" s="1868">
        <v>5.13971</v>
      </c>
      <c r="AW230" s="1868">
        <v>4.4612800000000004</v>
      </c>
      <c r="AX230" s="1868">
        <v>3.8473999999999999</v>
      </c>
      <c r="AY230" s="1868">
        <v>5.74803</v>
      </c>
      <c r="AZ230" s="1868">
        <v>6.0124000000000004</v>
      </c>
      <c r="BA230" s="1868">
        <v>5.1481500000000002</v>
      </c>
    </row>
    <row r="231" spans="1:53">
      <c r="A231" s="1865" t="str">
        <f t="shared" si="3"/>
        <v>EuropeSorghum</v>
      </c>
      <c r="B231" s="1866" t="s">
        <v>1413</v>
      </c>
      <c r="C231" s="1866" t="s">
        <v>1399</v>
      </c>
      <c r="D231" s="1868">
        <v>1.0987100000000001</v>
      </c>
      <c r="E231" s="1868">
        <v>0.96787000000000012</v>
      </c>
      <c r="F231" s="1868">
        <v>1.3353999999999999</v>
      </c>
      <c r="G231" s="1868">
        <v>1.3411799999999998</v>
      </c>
      <c r="H231" s="1868">
        <v>1.5438399999999999</v>
      </c>
      <c r="I231" s="1868">
        <v>1.92537</v>
      </c>
      <c r="J231" s="1868">
        <v>1.9199400000000002</v>
      </c>
      <c r="K231" s="1868">
        <v>2.3968400000000001</v>
      </c>
      <c r="L231" s="1868">
        <v>2.3723700000000001</v>
      </c>
      <c r="M231" s="1868">
        <v>2.5567799999999998</v>
      </c>
      <c r="N231" s="1868">
        <v>3.0329099999999998</v>
      </c>
      <c r="O231" s="1868">
        <v>2.4647999999999999</v>
      </c>
      <c r="P231" s="1868">
        <v>2.5939099999999997</v>
      </c>
      <c r="Q231" s="1868">
        <v>2.6383799999999997</v>
      </c>
      <c r="R231" s="1868">
        <v>2.6129500000000001</v>
      </c>
      <c r="S231" s="1868">
        <v>1.79453</v>
      </c>
      <c r="T231" s="1868">
        <v>2.6861200000000003</v>
      </c>
      <c r="U231" s="1868">
        <v>2.97933</v>
      </c>
      <c r="V231" s="1868">
        <v>2.9130700000000003</v>
      </c>
      <c r="W231" s="1868">
        <v>2.8021599999999998</v>
      </c>
      <c r="X231" s="1868">
        <v>2.93987</v>
      </c>
      <c r="Y231" s="1868">
        <v>2.3571800000000001</v>
      </c>
      <c r="Z231" s="1868">
        <v>2.18702</v>
      </c>
      <c r="AA231" s="1868">
        <v>2.4442699999999999</v>
      </c>
      <c r="AB231" s="1868">
        <v>2.00779</v>
      </c>
      <c r="AC231" s="1868">
        <v>2.3304299999999998</v>
      </c>
      <c r="AD231" s="1868">
        <v>2.24221</v>
      </c>
      <c r="AE231" s="1868">
        <v>2.6377700000000002</v>
      </c>
      <c r="AF231" s="1868">
        <v>2.6543000000000001</v>
      </c>
      <c r="AG231" s="1868">
        <v>2.4821599999999999</v>
      </c>
      <c r="AH231" s="1868">
        <v>3.3556599999999999</v>
      </c>
      <c r="AI231" s="1868">
        <v>3.8428499999999999</v>
      </c>
      <c r="AJ231" s="1868">
        <v>4.72682</v>
      </c>
      <c r="AK231" s="1868">
        <v>4.2970300000000003</v>
      </c>
      <c r="AL231" s="1868">
        <v>4.31691</v>
      </c>
      <c r="AM231" s="1868">
        <v>4.4752800000000006</v>
      </c>
      <c r="AN231" s="1868">
        <v>5.0874699999999997</v>
      </c>
      <c r="AO231" s="1868">
        <v>4.5857400000000004</v>
      </c>
      <c r="AP231" s="1868">
        <v>4.4390300000000007</v>
      </c>
      <c r="AQ231" s="1868">
        <v>3.3384999999999998</v>
      </c>
      <c r="AR231" s="1868">
        <v>3.7391099999999997</v>
      </c>
      <c r="AS231" s="1868">
        <v>4.9112499999999999</v>
      </c>
      <c r="AT231" s="1868">
        <v>3.12324</v>
      </c>
      <c r="AU231" s="1868">
        <v>3.7913399999999999</v>
      </c>
      <c r="AV231" s="1868">
        <v>4.1445099999999995</v>
      </c>
      <c r="AW231" s="1868">
        <v>3.7999900000000002</v>
      </c>
      <c r="AX231" s="1868">
        <v>3.5943999999999998</v>
      </c>
      <c r="AY231" s="1868">
        <v>3.0145499999999998</v>
      </c>
      <c r="AZ231" s="1868">
        <v>4.4498600000000001</v>
      </c>
      <c r="BA231" s="1868">
        <v>4.4599099999999998</v>
      </c>
    </row>
    <row r="232" spans="1:53">
      <c r="A232" s="1865" t="str">
        <f t="shared" si="3"/>
        <v>EuropeSoybeans</v>
      </c>
      <c r="B232" s="1866" t="s">
        <v>1413</v>
      </c>
      <c r="C232" s="1866" t="s">
        <v>1359</v>
      </c>
      <c r="D232" s="1868">
        <v>0.4945</v>
      </c>
      <c r="E232" s="1868">
        <v>0.57820000000000005</v>
      </c>
      <c r="F232" s="1868">
        <v>0.50443000000000005</v>
      </c>
      <c r="G232" s="1868">
        <v>0.33080999999999999</v>
      </c>
      <c r="H232" s="1868">
        <v>0.50061</v>
      </c>
      <c r="I232" s="1868">
        <v>0.70215000000000005</v>
      </c>
      <c r="J232" s="1868">
        <v>0.65512999999999999</v>
      </c>
      <c r="K232" s="1868">
        <v>0.63726000000000005</v>
      </c>
      <c r="L232" s="1868">
        <v>0.54041000000000006</v>
      </c>
      <c r="M232" s="1868">
        <v>0.73416999999999999</v>
      </c>
      <c r="N232" s="1868">
        <v>0.69491999999999998</v>
      </c>
      <c r="O232" s="1868">
        <v>0.45072000000000001</v>
      </c>
      <c r="P232" s="1868">
        <v>0.69121999999999995</v>
      </c>
      <c r="Q232" s="1868">
        <v>0.66776999999999997</v>
      </c>
      <c r="R232" s="1868">
        <v>1.1405399999999999</v>
      </c>
      <c r="S232" s="1868">
        <v>0.84938999999999998</v>
      </c>
      <c r="T232" s="1868">
        <v>0.86014000000000002</v>
      </c>
      <c r="U232" s="1868">
        <v>0.92812000000000006</v>
      </c>
      <c r="V232" s="1868">
        <v>0.87308999999999992</v>
      </c>
      <c r="W232" s="1868">
        <v>0.85832000000000008</v>
      </c>
      <c r="X232" s="1868">
        <v>0.75944999999999996</v>
      </c>
      <c r="Y232" s="1868">
        <v>0.93352999999999997</v>
      </c>
      <c r="Z232" s="1868">
        <v>0.92613999999999996</v>
      </c>
      <c r="AA232" s="1868">
        <v>1.03742</v>
      </c>
      <c r="AB232" s="1868">
        <v>1.0028299999999999</v>
      </c>
      <c r="AC232" s="1868">
        <v>1.54016</v>
      </c>
      <c r="AD232" s="1868">
        <v>1.7078200000000001</v>
      </c>
      <c r="AE232" s="1868">
        <v>1.6420299999999999</v>
      </c>
      <c r="AF232" s="1868">
        <v>1.6777200000000001</v>
      </c>
      <c r="AG232" s="1868">
        <v>1.7970299999999999</v>
      </c>
      <c r="AH232" s="1868">
        <v>1.92134</v>
      </c>
      <c r="AI232" s="1868">
        <v>1.4608000000000001</v>
      </c>
      <c r="AJ232" s="1868">
        <v>1.4164700000000001</v>
      </c>
      <c r="AK232" s="1868">
        <v>1.5629899999999999</v>
      </c>
      <c r="AL232" s="1868">
        <v>1.6398599999999999</v>
      </c>
      <c r="AM232" s="1868">
        <v>1.68167</v>
      </c>
      <c r="AN232" s="1868">
        <v>2.3061199999999999</v>
      </c>
      <c r="AO232" s="1868">
        <v>2.0046300000000001</v>
      </c>
      <c r="AP232" s="1868">
        <v>2.01376</v>
      </c>
      <c r="AQ232" s="1868">
        <v>1.73743</v>
      </c>
      <c r="AR232" s="1868">
        <v>2.0388000000000002</v>
      </c>
      <c r="AS232" s="1868">
        <v>2.05715</v>
      </c>
      <c r="AT232" s="1868">
        <v>1.52186</v>
      </c>
      <c r="AU232" s="1868">
        <v>1.78627</v>
      </c>
      <c r="AV232" s="1868">
        <v>1.78207</v>
      </c>
      <c r="AW232" s="1868">
        <v>1.5723499999999999</v>
      </c>
      <c r="AX232" s="1868">
        <v>1.36825</v>
      </c>
      <c r="AY232" s="1868">
        <v>1.61191</v>
      </c>
      <c r="AZ232" s="1868">
        <v>1.7087000000000001</v>
      </c>
      <c r="BA232" s="1868">
        <v>1.7490700000000001</v>
      </c>
    </row>
    <row r="233" spans="1:53">
      <c r="A233" s="1865" t="str">
        <f t="shared" si="3"/>
        <v>EuropeStrawberries</v>
      </c>
      <c r="B233" s="1866" t="s">
        <v>1413</v>
      </c>
      <c r="C233" s="1866" t="s">
        <v>1400</v>
      </c>
      <c r="D233" s="1868">
        <v>11.13256</v>
      </c>
      <c r="E233" s="1868">
        <v>10.150080000000001</v>
      </c>
      <c r="F233" s="1868">
        <v>11.382379999999999</v>
      </c>
      <c r="G233" s="1868">
        <v>12.889279999999999</v>
      </c>
      <c r="H233" s="1868">
        <v>9.0360800000000001</v>
      </c>
      <c r="I233" s="1868">
        <v>8.4557500000000001</v>
      </c>
      <c r="J233" s="1868">
        <v>8.7257800000000003</v>
      </c>
      <c r="K233" s="1868">
        <v>7.9494499999999997</v>
      </c>
      <c r="L233" s="1868">
        <v>8.3688699999999994</v>
      </c>
      <c r="M233" s="1868">
        <v>8.4596999999999998</v>
      </c>
      <c r="N233" s="1868">
        <v>7.6654399999999994</v>
      </c>
      <c r="O233" s="1868">
        <v>7.6786199999999996</v>
      </c>
      <c r="P233" s="1868">
        <v>8.0205899999999986</v>
      </c>
      <c r="Q233" s="1868">
        <v>7.9979600000000008</v>
      </c>
      <c r="R233" s="1868">
        <v>7.5302600000000002</v>
      </c>
      <c r="S233" s="1868">
        <v>7.4675399999999996</v>
      </c>
      <c r="T233" s="1868">
        <v>8.2248699999999992</v>
      </c>
      <c r="U233" s="1868">
        <v>8.6834100000000003</v>
      </c>
      <c r="V233" s="1868">
        <v>9.077119999999999</v>
      </c>
      <c r="W233" s="1868">
        <v>8.9704300000000003</v>
      </c>
      <c r="X233" s="1868">
        <v>9.4087800000000001</v>
      </c>
      <c r="Y233" s="1868">
        <v>9.5580300000000005</v>
      </c>
      <c r="Z233" s="1868">
        <v>9.8167600000000004</v>
      </c>
      <c r="AA233" s="1868">
        <v>9.90306</v>
      </c>
      <c r="AB233" s="1868">
        <v>8.3133900000000001</v>
      </c>
      <c r="AC233" s="1868">
        <v>8.2431099999999997</v>
      </c>
      <c r="AD233" s="1868">
        <v>9.1143999999999998</v>
      </c>
      <c r="AE233" s="1868">
        <v>8.5967599999999997</v>
      </c>
      <c r="AF233" s="1868">
        <v>8.7757000000000005</v>
      </c>
      <c r="AG233" s="1868">
        <v>8.3838299999999997</v>
      </c>
      <c r="AH233" s="1868">
        <v>8.1360700000000001</v>
      </c>
      <c r="AI233" s="1868">
        <v>7.3210300000000004</v>
      </c>
      <c r="AJ233" s="1868">
        <v>8.2448199999999989</v>
      </c>
      <c r="AK233" s="1868">
        <v>8.493739999999999</v>
      </c>
      <c r="AL233" s="1868">
        <v>8.2574899999999989</v>
      </c>
      <c r="AM233" s="1868">
        <v>8.0674200000000003</v>
      </c>
      <c r="AN233" s="1868">
        <v>8.3283300000000011</v>
      </c>
      <c r="AO233" s="1868">
        <v>8.5279899999999991</v>
      </c>
      <c r="AP233" s="1868">
        <v>8.6446899999999989</v>
      </c>
      <c r="AQ233" s="1868">
        <v>7.8894699999999993</v>
      </c>
      <c r="AR233" s="1868">
        <v>7.9606699999999995</v>
      </c>
      <c r="AS233" s="1868">
        <v>8.2446600000000014</v>
      </c>
      <c r="AT233" s="1868">
        <v>7.5345699999999995</v>
      </c>
      <c r="AU233" s="1868">
        <v>8.5609199999999994</v>
      </c>
      <c r="AV233" s="1868">
        <v>8.3322000000000003</v>
      </c>
      <c r="AW233" s="1868">
        <v>8.7960799999999999</v>
      </c>
      <c r="AX233" s="1868">
        <v>8.5714199999999998</v>
      </c>
      <c r="AY233" s="1868">
        <v>8.9554200000000002</v>
      </c>
      <c r="AZ233" s="1868">
        <v>9.223180000000001</v>
      </c>
      <c r="BA233" s="1868">
        <v>8.9650999999999996</v>
      </c>
    </row>
    <row r="234" spans="1:53">
      <c r="A234" s="1865" t="str">
        <f t="shared" si="3"/>
        <v>EuropeSugar beet</v>
      </c>
      <c r="B234" s="1866" t="s">
        <v>1413</v>
      </c>
      <c r="C234" s="1866" t="s">
        <v>1358</v>
      </c>
      <c r="D234" s="1868">
        <v>22.864850000000001</v>
      </c>
      <c r="E234" s="1868">
        <v>20.617789999999999</v>
      </c>
      <c r="F234" s="1868">
        <v>20.323920000000001</v>
      </c>
      <c r="G234" s="1868">
        <v>25.353270000000002</v>
      </c>
      <c r="H234" s="1868">
        <v>24.076970000000003</v>
      </c>
      <c r="I234" s="1868">
        <v>26.512970000000003</v>
      </c>
      <c r="J234" s="1868">
        <v>29.390279999999997</v>
      </c>
      <c r="K234" s="1868">
        <v>31.855540000000001</v>
      </c>
      <c r="L234" s="1868">
        <v>27.661190000000001</v>
      </c>
      <c r="M234" s="1868">
        <v>29.07048</v>
      </c>
      <c r="N234" s="1868">
        <v>29.065279999999998</v>
      </c>
      <c r="O234" s="1868">
        <v>29.363259999999997</v>
      </c>
      <c r="P234" s="1868">
        <v>30.47335</v>
      </c>
      <c r="Q234" s="1868">
        <v>28.486420000000003</v>
      </c>
      <c r="R234" s="1868">
        <v>27.104199999999999</v>
      </c>
      <c r="S234" s="1868">
        <v>31.239290000000004</v>
      </c>
      <c r="T234" s="1868">
        <v>31.685029999999998</v>
      </c>
      <c r="U234" s="1868">
        <v>31.231279999999998</v>
      </c>
      <c r="V234" s="1868">
        <v>29.610959999999999</v>
      </c>
      <c r="W234" s="1868">
        <v>30.289750000000002</v>
      </c>
      <c r="X234" s="1868">
        <v>30.580549999999999</v>
      </c>
      <c r="Y234" s="1868">
        <v>32.341329999999999</v>
      </c>
      <c r="Z234" s="1868">
        <v>31.010959999999997</v>
      </c>
      <c r="AA234" s="1868">
        <v>34.00667</v>
      </c>
      <c r="AB234" s="1868">
        <v>33.261009999999999</v>
      </c>
      <c r="AC234" s="1868">
        <v>33.06955</v>
      </c>
      <c r="AD234" s="1868">
        <v>34.599220000000003</v>
      </c>
      <c r="AE234" s="1868">
        <v>34.628709999999998</v>
      </c>
      <c r="AF234" s="1868">
        <v>37.905000000000001</v>
      </c>
      <c r="AG234" s="1868">
        <v>36.130270000000003</v>
      </c>
      <c r="AH234" s="1868">
        <v>32.840060000000001</v>
      </c>
      <c r="AI234" s="1868">
        <v>32.592940000000006</v>
      </c>
      <c r="AJ234" s="1868">
        <v>35.193280000000001</v>
      </c>
      <c r="AK234" s="1868">
        <v>31.47522</v>
      </c>
      <c r="AL234" s="1868">
        <v>33.775040000000004</v>
      </c>
      <c r="AM234" s="1868">
        <v>34.753450000000001</v>
      </c>
      <c r="AN234" s="1868">
        <v>38.354810000000001</v>
      </c>
      <c r="AO234" s="1868">
        <v>37.748530000000002</v>
      </c>
      <c r="AP234" s="1868">
        <v>39.17595</v>
      </c>
      <c r="AQ234" s="1868">
        <v>40.654309999999995</v>
      </c>
      <c r="AR234" s="1868">
        <v>37.896380000000001</v>
      </c>
      <c r="AS234" s="1868">
        <v>43.363170000000004</v>
      </c>
      <c r="AT234" s="1868">
        <v>39.91554</v>
      </c>
      <c r="AU234" s="1868">
        <v>45.79025</v>
      </c>
      <c r="AV234" s="1868">
        <v>47.095880000000001</v>
      </c>
      <c r="AW234" s="1868">
        <v>45.172649999999997</v>
      </c>
      <c r="AX234" s="1868">
        <v>47.006390000000003</v>
      </c>
      <c r="AY234" s="1868">
        <v>52.813609999999997</v>
      </c>
      <c r="AZ234" s="1868">
        <v>54.947309999999995</v>
      </c>
      <c r="BA234" s="1868">
        <v>46.999190000000006</v>
      </c>
    </row>
    <row r="235" spans="1:53">
      <c r="A235" s="1865" t="str">
        <f t="shared" si="3"/>
        <v>EuropeSugar cane</v>
      </c>
      <c r="B235" s="1866" t="s">
        <v>1413</v>
      </c>
      <c r="C235" s="1866" t="s">
        <v>1401</v>
      </c>
      <c r="D235" s="1868">
        <v>56.694219999999994</v>
      </c>
      <c r="E235" s="1868">
        <v>58.993899999999996</v>
      </c>
      <c r="F235" s="1868">
        <v>62.540089999999999</v>
      </c>
      <c r="G235" s="1868">
        <v>60.65831</v>
      </c>
      <c r="H235" s="1868">
        <v>76.323740000000001</v>
      </c>
      <c r="I235" s="1868">
        <v>72.08663</v>
      </c>
      <c r="J235" s="1868">
        <v>70.663359999999997</v>
      </c>
      <c r="K235" s="1868">
        <v>66.985509999999991</v>
      </c>
      <c r="L235" s="1868">
        <v>75.259460000000004</v>
      </c>
      <c r="M235" s="1868">
        <v>69.09371999999999</v>
      </c>
      <c r="N235" s="1868">
        <v>72.021500000000003</v>
      </c>
      <c r="O235" s="1868">
        <v>63.005330000000008</v>
      </c>
      <c r="P235" s="1868">
        <v>61.60051</v>
      </c>
      <c r="Q235" s="1868">
        <v>66.177779999999998</v>
      </c>
      <c r="R235" s="1868">
        <v>60.788580000000003</v>
      </c>
      <c r="S235" s="1868">
        <v>58.300190000000001</v>
      </c>
      <c r="T235" s="1868">
        <v>59.822669999999995</v>
      </c>
      <c r="U235" s="1868">
        <v>57.440069999999999</v>
      </c>
      <c r="V235" s="1868">
        <v>58.267449999999997</v>
      </c>
      <c r="W235" s="1868">
        <v>63.122750000000003</v>
      </c>
      <c r="X235" s="1868">
        <v>50.720390000000002</v>
      </c>
      <c r="Y235" s="1868">
        <v>61.476599999999998</v>
      </c>
      <c r="Z235" s="1868">
        <v>59.041430000000005</v>
      </c>
      <c r="AA235" s="1868">
        <v>60.108719999999998</v>
      </c>
      <c r="AB235" s="1868">
        <v>69.19256</v>
      </c>
      <c r="AC235" s="1868">
        <v>66.401730000000001</v>
      </c>
      <c r="AD235" s="1868">
        <v>77.359719999999996</v>
      </c>
      <c r="AE235" s="1868">
        <v>78.803280000000001</v>
      </c>
      <c r="AF235" s="1868">
        <v>82.287990000000008</v>
      </c>
      <c r="AG235" s="1868">
        <v>79.683540000000008</v>
      </c>
      <c r="AH235" s="1868">
        <v>78.49396999999999</v>
      </c>
      <c r="AI235" s="1868">
        <v>79.507419999999996</v>
      </c>
      <c r="AJ235" s="1868">
        <v>76.896720000000002</v>
      </c>
      <c r="AK235" s="1868">
        <v>84.373590000000007</v>
      </c>
      <c r="AL235" s="1868">
        <v>72.021290000000008</v>
      </c>
      <c r="AM235" s="1868">
        <v>45.975809999999996</v>
      </c>
      <c r="AN235" s="1868">
        <v>62.470209999999994</v>
      </c>
      <c r="AO235" s="1868">
        <v>86.680549999999997</v>
      </c>
      <c r="AP235" s="1868">
        <v>94.814819999999997</v>
      </c>
      <c r="AQ235" s="1868">
        <v>98.549199999999999</v>
      </c>
      <c r="AR235" s="1868">
        <v>88.343170000000001</v>
      </c>
      <c r="AS235" s="1868">
        <v>88.630899999999997</v>
      </c>
      <c r="AT235" s="1868">
        <v>75.955650000000006</v>
      </c>
      <c r="AU235" s="1868">
        <v>61.842799999999997</v>
      </c>
      <c r="AV235" s="1868">
        <v>71.393069999999994</v>
      </c>
      <c r="AW235" s="1868">
        <v>62.6462</v>
      </c>
      <c r="AX235" s="1868">
        <v>80.31429</v>
      </c>
      <c r="AY235" s="1868">
        <v>80</v>
      </c>
      <c r="AZ235" s="1868">
        <v>80</v>
      </c>
      <c r="BA235" s="1868">
        <v>80</v>
      </c>
    </row>
    <row r="236" spans="1:53">
      <c r="A236" s="1865" t="str">
        <f t="shared" si="3"/>
        <v>EuropeSunflower seed</v>
      </c>
      <c r="B236" s="1866" t="s">
        <v>1413</v>
      </c>
      <c r="C236" s="1866" t="s">
        <v>1402</v>
      </c>
      <c r="D236" s="1868">
        <v>1.12988</v>
      </c>
      <c r="E236" s="1868">
        <v>1.11209</v>
      </c>
      <c r="F236" s="1868">
        <v>1.02346</v>
      </c>
      <c r="G236" s="1868">
        <v>1.3085</v>
      </c>
      <c r="H236" s="1868">
        <v>1.1468</v>
      </c>
      <c r="I236" s="1868">
        <v>1.2756700000000001</v>
      </c>
      <c r="J236" s="1868">
        <v>1.41343</v>
      </c>
      <c r="K236" s="1868">
        <v>1.3994200000000001</v>
      </c>
      <c r="L236" s="1868">
        <v>1.3765700000000001</v>
      </c>
      <c r="M236" s="1868">
        <v>1.2852399999999999</v>
      </c>
      <c r="N236" s="1868">
        <v>1.2935299999999998</v>
      </c>
      <c r="O236" s="1868">
        <v>1.2071000000000001</v>
      </c>
      <c r="P236" s="1868">
        <v>1.5152700000000001</v>
      </c>
      <c r="Q236" s="1868">
        <v>1.3755700000000002</v>
      </c>
      <c r="R236" s="1868">
        <v>1.18573</v>
      </c>
      <c r="S236" s="1868">
        <v>1.1901200000000001</v>
      </c>
      <c r="T236" s="1868">
        <v>1.32559</v>
      </c>
      <c r="U236" s="1868">
        <v>1.24102</v>
      </c>
      <c r="V236" s="1868">
        <v>1.3332700000000002</v>
      </c>
      <c r="W236" s="1868">
        <v>1.1853799999999999</v>
      </c>
      <c r="X236" s="1868">
        <v>1.2058500000000001</v>
      </c>
      <c r="Y236" s="1868">
        <v>1.3505100000000001</v>
      </c>
      <c r="Z236" s="1868">
        <v>1.2749999999999999</v>
      </c>
      <c r="AA236" s="1868">
        <v>1.3307200000000001</v>
      </c>
      <c r="AB236" s="1868">
        <v>1.41614</v>
      </c>
      <c r="AC236" s="1868">
        <v>1.5504599999999999</v>
      </c>
      <c r="AD236" s="1868">
        <v>1.62059</v>
      </c>
      <c r="AE236" s="1868">
        <v>1.60422</v>
      </c>
      <c r="AF236" s="1868">
        <v>1.6483099999999999</v>
      </c>
      <c r="AG236" s="1868">
        <v>1.4936799999999999</v>
      </c>
      <c r="AH236" s="1868">
        <v>1.46146</v>
      </c>
      <c r="AI236" s="1868">
        <v>1.31999</v>
      </c>
      <c r="AJ236" s="1868">
        <v>1.13483</v>
      </c>
      <c r="AK236" s="1868">
        <v>1.11174</v>
      </c>
      <c r="AL236" s="1868">
        <v>1.25099</v>
      </c>
      <c r="AM236" s="1868">
        <v>1.1339600000000001</v>
      </c>
      <c r="AN236" s="1868">
        <v>1.1955899999999999</v>
      </c>
      <c r="AO236" s="1868">
        <v>1.11788</v>
      </c>
      <c r="AP236" s="1868">
        <v>1.09436</v>
      </c>
      <c r="AQ236" s="1868">
        <v>1.1707399999999999</v>
      </c>
      <c r="AR236" s="1868">
        <v>1.0916700000000001</v>
      </c>
      <c r="AS236" s="1868">
        <v>1.24885</v>
      </c>
      <c r="AT236" s="1868">
        <v>1.2051799999999999</v>
      </c>
      <c r="AU236" s="1868">
        <v>1.25905</v>
      </c>
      <c r="AV236" s="1868">
        <v>1.3565499999999999</v>
      </c>
      <c r="AW236" s="1868">
        <v>1.38184</v>
      </c>
      <c r="AX236" s="1868">
        <v>1.25545</v>
      </c>
      <c r="AY236" s="1868">
        <v>1.51034</v>
      </c>
      <c r="AZ236" s="1868">
        <v>1.45807</v>
      </c>
      <c r="BA236" s="1868">
        <v>1.39473</v>
      </c>
    </row>
    <row r="237" spans="1:53">
      <c r="A237" s="1865" t="str">
        <f t="shared" si="3"/>
        <v>EuropeSweet potatoes</v>
      </c>
      <c r="B237" s="1866" t="s">
        <v>1413</v>
      </c>
      <c r="C237" s="1866" t="s">
        <v>1403</v>
      </c>
      <c r="D237" s="1868">
        <v>10.888589999999999</v>
      </c>
      <c r="E237" s="1868">
        <v>10.92883</v>
      </c>
      <c r="F237" s="1868">
        <v>11.221769999999999</v>
      </c>
      <c r="G237" s="1868">
        <v>11.464310000000001</v>
      </c>
      <c r="H237" s="1868">
        <v>11.265180000000001</v>
      </c>
      <c r="I237" s="1868">
        <v>10.326310000000001</v>
      </c>
      <c r="J237" s="1868">
        <v>10.58029</v>
      </c>
      <c r="K237" s="1868">
        <v>10.25652</v>
      </c>
      <c r="L237" s="1868">
        <v>9.943010000000001</v>
      </c>
      <c r="M237" s="1868">
        <v>10.133100000000001</v>
      </c>
      <c r="N237" s="1868">
        <v>9.3792200000000001</v>
      </c>
      <c r="O237" s="1868">
        <v>9.6133699999999997</v>
      </c>
      <c r="P237" s="1868">
        <v>9.6068499999999997</v>
      </c>
      <c r="Q237" s="1868">
        <v>10.366989999999999</v>
      </c>
      <c r="R237" s="1868">
        <v>10.034889999999999</v>
      </c>
      <c r="S237" s="1868">
        <v>10.42966</v>
      </c>
      <c r="T237" s="1868">
        <v>10.620760000000001</v>
      </c>
      <c r="U237" s="1868">
        <v>10.482619999999999</v>
      </c>
      <c r="V237" s="1868">
        <v>10.797880000000001</v>
      </c>
      <c r="W237" s="1868">
        <v>10.649699999999999</v>
      </c>
      <c r="X237" s="1868">
        <v>11.90748</v>
      </c>
      <c r="Y237" s="1868">
        <v>11.36558</v>
      </c>
      <c r="Z237" s="1868">
        <v>10.702860000000001</v>
      </c>
      <c r="AA237" s="1868">
        <v>11.712719999999999</v>
      </c>
      <c r="AB237" s="1868">
        <v>11.46349</v>
      </c>
      <c r="AC237" s="1868">
        <v>12.17435</v>
      </c>
      <c r="AD237" s="1868">
        <v>12.83276</v>
      </c>
      <c r="AE237" s="1868">
        <v>12.163460000000001</v>
      </c>
      <c r="AF237" s="1868">
        <v>13.102349999999999</v>
      </c>
      <c r="AG237" s="1868">
        <v>12.63096</v>
      </c>
      <c r="AH237" s="1868">
        <v>12.298869999999999</v>
      </c>
      <c r="AI237" s="1868">
        <v>13.69561</v>
      </c>
      <c r="AJ237" s="1868">
        <v>16.418939999999999</v>
      </c>
      <c r="AK237" s="1868">
        <v>15.1797</v>
      </c>
      <c r="AL237" s="1868">
        <v>13.529639999999999</v>
      </c>
      <c r="AM237" s="1868">
        <v>13.00108</v>
      </c>
      <c r="AN237" s="1868">
        <v>12.7623</v>
      </c>
      <c r="AO237" s="1868">
        <v>12.62411</v>
      </c>
      <c r="AP237" s="1868">
        <v>11.126810000000001</v>
      </c>
      <c r="AQ237" s="1868">
        <v>11.0817</v>
      </c>
      <c r="AR237" s="1868">
        <v>13.564679999999999</v>
      </c>
      <c r="AS237" s="1868">
        <v>12.958550000000001</v>
      </c>
      <c r="AT237" s="1868">
        <v>13.170279999999998</v>
      </c>
      <c r="AU237" s="1868">
        <v>15.038360000000001</v>
      </c>
      <c r="AV237" s="1868">
        <v>13.68319</v>
      </c>
      <c r="AW237" s="1868">
        <v>11.68853</v>
      </c>
      <c r="AX237" s="1868">
        <v>11.47317</v>
      </c>
      <c r="AY237" s="1868">
        <v>11.64564</v>
      </c>
      <c r="AZ237" s="1868">
        <v>11.639380000000001</v>
      </c>
      <c r="BA237" s="1868">
        <v>12.440989999999999</v>
      </c>
    </row>
    <row r="238" spans="1:53">
      <c r="A238" s="1865" t="str">
        <f t="shared" si="3"/>
        <v>EuropeTangerines, mandarins, clem.</v>
      </c>
      <c r="B238" s="1866" t="s">
        <v>1413</v>
      </c>
      <c r="C238" s="1866" t="s">
        <v>1404</v>
      </c>
      <c r="D238" s="1868">
        <v>11.723100000000001</v>
      </c>
      <c r="E238" s="1868">
        <v>9.6643699999999999</v>
      </c>
      <c r="F238" s="1868">
        <v>11.432030000000001</v>
      </c>
      <c r="G238" s="1868">
        <v>12.673450000000001</v>
      </c>
      <c r="H238" s="1868">
        <v>12.412289999999999</v>
      </c>
      <c r="I238" s="1868">
        <v>13.670970000000001</v>
      </c>
      <c r="J238" s="1868">
        <v>12.73265</v>
      </c>
      <c r="K238" s="1868">
        <v>13.09976</v>
      </c>
      <c r="L238" s="1868">
        <v>13.85563</v>
      </c>
      <c r="M238" s="1868">
        <v>14.359729999999999</v>
      </c>
      <c r="N238" s="1868">
        <v>13.416579999999998</v>
      </c>
      <c r="O238" s="1868">
        <v>15.29142</v>
      </c>
      <c r="P238" s="1868">
        <v>12.860189999999999</v>
      </c>
      <c r="Q238" s="1868">
        <v>12.592560000000001</v>
      </c>
      <c r="R238" s="1868">
        <v>12.817780000000001</v>
      </c>
      <c r="S238" s="1868">
        <v>12.86781</v>
      </c>
      <c r="T238" s="1868">
        <v>14.762820000000001</v>
      </c>
      <c r="U238" s="1868">
        <v>17.17239</v>
      </c>
      <c r="V238" s="1868">
        <v>15.633389999999999</v>
      </c>
      <c r="W238" s="1868">
        <v>16.509260000000001</v>
      </c>
      <c r="X238" s="1868">
        <v>14.661960000000001</v>
      </c>
      <c r="Y238" s="1868">
        <v>16.34365</v>
      </c>
      <c r="Z238" s="1868">
        <v>21.24934</v>
      </c>
      <c r="AA238" s="1868">
        <v>15.222539999999999</v>
      </c>
      <c r="AB238" s="1868">
        <v>18.179929999999999</v>
      </c>
      <c r="AC238" s="1868">
        <v>19.5688</v>
      </c>
      <c r="AD238" s="1868">
        <v>17.833770000000001</v>
      </c>
      <c r="AE238" s="1868">
        <v>17.205389999999998</v>
      </c>
      <c r="AF238" s="1868">
        <v>19.511470000000003</v>
      </c>
      <c r="AG238" s="1868">
        <v>19.03998</v>
      </c>
      <c r="AH238" s="1868">
        <v>17.46378</v>
      </c>
      <c r="AI238" s="1868">
        <v>19.172560000000001</v>
      </c>
      <c r="AJ238" s="1868">
        <v>19.95636</v>
      </c>
      <c r="AK238" s="1868">
        <v>19.752270000000003</v>
      </c>
      <c r="AL238" s="1868">
        <v>18.573910000000001</v>
      </c>
      <c r="AM238" s="1868">
        <v>16.42548</v>
      </c>
      <c r="AN238" s="1868">
        <v>17.995889999999999</v>
      </c>
      <c r="AO238" s="1868">
        <v>15.593079999999999</v>
      </c>
      <c r="AP238" s="1868">
        <v>17.177240000000001</v>
      </c>
      <c r="AQ238" s="1868">
        <v>16.156220000000001</v>
      </c>
      <c r="AR238" s="1868">
        <v>15.523760000000001</v>
      </c>
      <c r="AS238" s="1868">
        <v>16.911670000000001</v>
      </c>
      <c r="AT238" s="1868">
        <v>16.56448</v>
      </c>
      <c r="AU238" s="1868">
        <v>19.611740000000001</v>
      </c>
      <c r="AV238" s="1868">
        <v>16.58577</v>
      </c>
      <c r="AW238" s="1868">
        <v>19.27582</v>
      </c>
      <c r="AX238" s="1868">
        <v>16.792110000000001</v>
      </c>
      <c r="AY238" s="1868">
        <v>17.966820000000002</v>
      </c>
      <c r="AZ238" s="1868">
        <v>17.10763</v>
      </c>
      <c r="BA238" s="1868">
        <v>14.576579999999998</v>
      </c>
    </row>
    <row r="239" spans="1:53">
      <c r="A239" s="1865" t="str">
        <f t="shared" si="3"/>
        <v>EuropeTea</v>
      </c>
      <c r="B239" s="1866" t="s">
        <v>1413</v>
      </c>
      <c r="C239" s="1866" t="s">
        <v>1405</v>
      </c>
      <c r="D239" s="1868">
        <v>0.62848000000000004</v>
      </c>
      <c r="E239" s="1868">
        <v>0.66337000000000002</v>
      </c>
      <c r="F239" s="1868">
        <v>0.70603000000000005</v>
      </c>
      <c r="G239" s="1868">
        <v>0.67932999999999999</v>
      </c>
      <c r="H239" s="1868">
        <v>0.67923</v>
      </c>
      <c r="I239" s="1868">
        <v>0.81733</v>
      </c>
      <c r="J239" s="1868">
        <v>0.80051000000000005</v>
      </c>
      <c r="K239" s="1868">
        <v>0.77593999999999996</v>
      </c>
      <c r="L239" s="1868">
        <v>0.82527000000000006</v>
      </c>
      <c r="M239" s="1868">
        <v>0.89662000000000008</v>
      </c>
      <c r="N239" s="1868">
        <v>0.90782000000000007</v>
      </c>
      <c r="O239" s="1868">
        <v>0.95246000000000008</v>
      </c>
      <c r="P239" s="1868">
        <v>1.0104</v>
      </c>
      <c r="Q239" s="1868">
        <v>1.0681499999999999</v>
      </c>
      <c r="R239" s="1868">
        <v>1.1333200000000001</v>
      </c>
      <c r="S239" s="1868">
        <v>1.1948000000000001</v>
      </c>
      <c r="T239" s="1868">
        <v>1.3811100000000001</v>
      </c>
      <c r="U239" s="1868">
        <v>1.43231</v>
      </c>
      <c r="V239" s="1868">
        <v>1.48925</v>
      </c>
      <c r="W239" s="1868">
        <v>1.6436099999999998</v>
      </c>
      <c r="X239" s="1868">
        <v>1.7416099999999999</v>
      </c>
      <c r="Y239" s="1868">
        <v>1.7804799999999998</v>
      </c>
      <c r="Z239" s="1868">
        <v>1.8227799999999998</v>
      </c>
      <c r="AA239" s="1868">
        <v>1.8696099999999998</v>
      </c>
      <c r="AB239" s="1868">
        <v>1.8485900000000002</v>
      </c>
      <c r="AC239" s="1868">
        <v>1.7635599999999998</v>
      </c>
      <c r="AD239" s="1868">
        <v>1.8867499999999999</v>
      </c>
      <c r="AE239" s="1868">
        <v>1.5320799999999999</v>
      </c>
      <c r="AF239" s="1868">
        <v>1.6358900000000001</v>
      </c>
      <c r="AG239" s="1868">
        <v>1.75153</v>
      </c>
      <c r="AH239" s="1868">
        <v>1.5604799999999999</v>
      </c>
      <c r="AI239" s="1868">
        <v>1.00529</v>
      </c>
      <c r="AJ239" s="1868">
        <v>1.3398700000000001</v>
      </c>
      <c r="AK239" s="1868">
        <v>5.1331300000000004</v>
      </c>
      <c r="AL239" s="1868">
        <v>4.2297000000000002</v>
      </c>
      <c r="AM239" s="1868">
        <v>2.82301</v>
      </c>
      <c r="AN239" s="1868">
        <v>2.4893400000000003</v>
      </c>
      <c r="AO239" s="1868">
        <v>2.4166099999999999</v>
      </c>
      <c r="AP239" s="1868">
        <v>1.3766200000000002</v>
      </c>
      <c r="AQ239" s="1868">
        <v>1.04156</v>
      </c>
      <c r="AR239" s="1868">
        <v>0.86103999999999992</v>
      </c>
      <c r="AS239" s="1868">
        <v>0.90880000000000005</v>
      </c>
      <c r="AT239" s="1868">
        <v>0.64193</v>
      </c>
      <c r="AU239" s="1868">
        <v>0.95056000000000007</v>
      </c>
      <c r="AV239" s="1868">
        <v>0.95542999999999989</v>
      </c>
      <c r="AW239" s="1868">
        <v>0.87847000000000008</v>
      </c>
      <c r="AX239" s="1868">
        <v>0.51875000000000004</v>
      </c>
      <c r="AY239" s="1868">
        <v>0.64931000000000005</v>
      </c>
      <c r="AZ239" s="1868">
        <v>0.55596999999999996</v>
      </c>
      <c r="BA239" s="1868">
        <v>0.34721999999999997</v>
      </c>
    </row>
    <row r="240" spans="1:53">
      <c r="A240" s="1865" t="str">
        <f t="shared" si="3"/>
        <v>EuropeTobacco, unmanufactured</v>
      </c>
      <c r="B240" s="1866" t="s">
        <v>1413</v>
      </c>
      <c r="C240" s="1866" t="s">
        <v>1347</v>
      </c>
      <c r="D240" s="1868">
        <v>0.86460999999999999</v>
      </c>
      <c r="E240" s="1868">
        <v>0.97267999999999988</v>
      </c>
      <c r="F240" s="1868">
        <v>1.0981000000000001</v>
      </c>
      <c r="G240" s="1868">
        <v>1.2789200000000001</v>
      </c>
      <c r="H240" s="1868">
        <v>1.15395</v>
      </c>
      <c r="I240" s="1868">
        <v>1.1684000000000001</v>
      </c>
      <c r="J240" s="1868">
        <v>1.32629</v>
      </c>
      <c r="K240" s="1868">
        <v>1.28145</v>
      </c>
      <c r="L240" s="1868">
        <v>1.2011100000000001</v>
      </c>
      <c r="M240" s="1868">
        <v>1.30742</v>
      </c>
      <c r="N240" s="1868">
        <v>1.29817</v>
      </c>
      <c r="O240" s="1868">
        <v>1.4094599999999999</v>
      </c>
      <c r="P240" s="1868">
        <v>1.4108399999999999</v>
      </c>
      <c r="Q240" s="1868">
        <v>1.35016</v>
      </c>
      <c r="R240" s="1868">
        <v>1.45387</v>
      </c>
      <c r="S240" s="1868">
        <v>1.5008999999999999</v>
      </c>
      <c r="T240" s="1868">
        <v>1.3386400000000001</v>
      </c>
      <c r="U240" s="1868">
        <v>1.3898299999999999</v>
      </c>
      <c r="V240" s="1868">
        <v>1.5326</v>
      </c>
      <c r="W240" s="1868">
        <v>1.3000799999999999</v>
      </c>
      <c r="X240" s="1868">
        <v>1.4783899999999999</v>
      </c>
      <c r="Y240" s="1868">
        <v>1.6153500000000001</v>
      </c>
      <c r="Z240" s="1868">
        <v>1.5947899999999999</v>
      </c>
      <c r="AA240" s="1868">
        <v>1.7277099999999999</v>
      </c>
      <c r="AB240" s="1868">
        <v>1.67523</v>
      </c>
      <c r="AC240" s="1868">
        <v>1.7356499999999999</v>
      </c>
      <c r="AD240" s="1868">
        <v>1.6919999999999999</v>
      </c>
      <c r="AE240" s="1868">
        <v>1.6036700000000002</v>
      </c>
      <c r="AF240" s="1868">
        <v>1.63473</v>
      </c>
      <c r="AG240" s="1868">
        <v>1.92822</v>
      </c>
      <c r="AH240" s="1868">
        <v>1.9060900000000001</v>
      </c>
      <c r="AI240" s="1868">
        <v>1.7233700000000001</v>
      </c>
      <c r="AJ240" s="1868">
        <v>1.7113200000000002</v>
      </c>
      <c r="AK240" s="1868">
        <v>1.74095</v>
      </c>
      <c r="AL240" s="1868">
        <v>1.9258400000000002</v>
      </c>
      <c r="AM240" s="1868">
        <v>1.93448</v>
      </c>
      <c r="AN240" s="1868">
        <v>1.9321099999999998</v>
      </c>
      <c r="AO240" s="1868">
        <v>1.8994</v>
      </c>
      <c r="AP240" s="1868">
        <v>2.0066200000000003</v>
      </c>
      <c r="AQ240" s="1868">
        <v>1.9475499999999999</v>
      </c>
      <c r="AR240" s="1868">
        <v>1.9946700000000002</v>
      </c>
      <c r="AS240" s="1868">
        <v>2.1305499999999999</v>
      </c>
      <c r="AT240" s="1868">
        <v>2.1630599999999998</v>
      </c>
      <c r="AU240" s="1868">
        <v>2.1406299999999998</v>
      </c>
      <c r="AV240" s="1868">
        <v>2.1920599999999997</v>
      </c>
      <c r="AW240" s="1868">
        <v>2.1360399999999999</v>
      </c>
      <c r="AX240" s="1868">
        <v>2.05844</v>
      </c>
      <c r="AY240" s="1868">
        <v>2.24404</v>
      </c>
      <c r="AZ240" s="1868">
        <v>2.30463</v>
      </c>
      <c r="BA240" s="1868">
        <v>2.2472500000000002</v>
      </c>
    </row>
    <row r="241" spans="1:53">
      <c r="A241" s="1865" t="str">
        <f t="shared" si="3"/>
        <v>EuropeTomatoes</v>
      </c>
      <c r="B241" s="1866" t="s">
        <v>1413</v>
      </c>
      <c r="C241" s="1866" t="s">
        <v>1406</v>
      </c>
      <c r="D241" s="1868">
        <v>17.871200000000002</v>
      </c>
      <c r="E241" s="1868">
        <v>17.794139999999999</v>
      </c>
      <c r="F241" s="1868">
        <v>17.956700000000001</v>
      </c>
      <c r="G241" s="1868">
        <v>19.016749999999998</v>
      </c>
      <c r="H241" s="1868">
        <v>19.720010000000002</v>
      </c>
      <c r="I241" s="1868">
        <v>19.872440000000001</v>
      </c>
      <c r="J241" s="1868">
        <v>20.843229999999998</v>
      </c>
      <c r="K241" s="1868">
        <v>20.026250000000001</v>
      </c>
      <c r="L241" s="1868">
        <v>19.912010000000002</v>
      </c>
      <c r="M241" s="1868">
        <v>20.528040000000001</v>
      </c>
      <c r="N241" s="1868">
        <v>21.248899999999999</v>
      </c>
      <c r="O241" s="1868">
        <v>20.68843</v>
      </c>
      <c r="P241" s="1868">
        <v>23.40699</v>
      </c>
      <c r="Q241" s="1868">
        <v>23.217949999999998</v>
      </c>
      <c r="R241" s="1868">
        <v>22.586639999999999</v>
      </c>
      <c r="S241" s="1868">
        <v>22.31513</v>
      </c>
      <c r="T241" s="1868">
        <v>21.477079999999997</v>
      </c>
      <c r="U241" s="1868">
        <v>23.396810000000002</v>
      </c>
      <c r="V241" s="1868">
        <v>25.54898</v>
      </c>
      <c r="W241" s="1868">
        <v>23.306010000000001</v>
      </c>
      <c r="X241" s="1868">
        <v>24.553629999999998</v>
      </c>
      <c r="Y241" s="1868">
        <v>25.510870000000001</v>
      </c>
      <c r="Z241" s="1868">
        <v>26.28978</v>
      </c>
      <c r="AA241" s="1868">
        <v>28.584379999999999</v>
      </c>
      <c r="AB241" s="1868">
        <v>28.743270000000003</v>
      </c>
      <c r="AC241" s="1868">
        <v>27.902340000000002</v>
      </c>
      <c r="AD241" s="1868">
        <v>27.228690000000004</v>
      </c>
      <c r="AE241" s="1868">
        <v>26.139800000000001</v>
      </c>
      <c r="AF241" s="1868">
        <v>28.227759999999996</v>
      </c>
      <c r="AG241" s="1868">
        <v>29.573370000000001</v>
      </c>
      <c r="AH241" s="1868">
        <v>29.545950000000001</v>
      </c>
      <c r="AI241" s="1868">
        <v>26.76717</v>
      </c>
      <c r="AJ241" s="1868">
        <v>27.512</v>
      </c>
      <c r="AK241" s="1868">
        <v>28.443459999999998</v>
      </c>
      <c r="AL241" s="1868">
        <v>26.913690000000003</v>
      </c>
      <c r="AM241" s="1868">
        <v>29.33212</v>
      </c>
      <c r="AN241" s="1868">
        <v>27.261309999999998</v>
      </c>
      <c r="AO241" s="1868">
        <v>30.059170000000002</v>
      </c>
      <c r="AP241" s="1868">
        <v>31.1921</v>
      </c>
      <c r="AQ241" s="1868">
        <v>30.304020000000001</v>
      </c>
      <c r="AR241" s="1868">
        <v>30.097349999999999</v>
      </c>
      <c r="AS241" s="1868">
        <v>30.15558</v>
      </c>
      <c r="AT241" s="1868">
        <v>32.621390000000005</v>
      </c>
      <c r="AU241" s="1868">
        <v>35.270049999999998</v>
      </c>
      <c r="AV241" s="1868">
        <v>35.717909999999996</v>
      </c>
      <c r="AW241" s="1868">
        <v>35.260339999999999</v>
      </c>
      <c r="AX241" s="1868">
        <v>38.059540000000005</v>
      </c>
      <c r="AY241" s="1868">
        <v>38.435380000000002</v>
      </c>
      <c r="AZ241" s="1868">
        <v>41.214909999999996</v>
      </c>
      <c r="BA241" s="1868">
        <v>39.32047</v>
      </c>
    </row>
    <row r="242" spans="1:53">
      <c r="A242" s="1865" t="str">
        <f t="shared" si="3"/>
        <v>EuropeTriticale</v>
      </c>
      <c r="B242" s="1866" t="s">
        <v>1413</v>
      </c>
      <c r="C242" s="1866" t="s">
        <v>1361</v>
      </c>
      <c r="T242" s="1868">
        <v>1.70533</v>
      </c>
      <c r="U242" s="1868">
        <v>2.1232500000000001</v>
      </c>
      <c r="V242" s="1868">
        <v>1.5409299999999999</v>
      </c>
      <c r="W242" s="1868">
        <v>1.60212</v>
      </c>
      <c r="X242" s="1868">
        <v>1.50725</v>
      </c>
      <c r="Y242" s="1868">
        <v>1.5074299999999998</v>
      </c>
      <c r="Z242" s="1868">
        <v>1.5730999999999999</v>
      </c>
      <c r="AA242" s="1868">
        <v>4.04129</v>
      </c>
      <c r="AB242" s="1868">
        <v>3.9653800000000001</v>
      </c>
      <c r="AC242" s="1868">
        <v>3.1323099999999999</v>
      </c>
      <c r="AD242" s="1868">
        <v>3.4331199999999997</v>
      </c>
      <c r="AE242" s="1868">
        <v>3.2997999999999998</v>
      </c>
      <c r="AF242" s="1868">
        <v>3.7347999999999999</v>
      </c>
      <c r="AG242" s="1868">
        <v>3.7446599999999997</v>
      </c>
      <c r="AH242" s="1868">
        <v>3.7733800000000004</v>
      </c>
      <c r="AI242" s="1868">
        <v>3.2914699999999999</v>
      </c>
      <c r="AJ242" s="1868">
        <v>3.5415400000000004</v>
      </c>
      <c r="AK242" s="1868">
        <v>3.5681300000000005</v>
      </c>
      <c r="AL242" s="1868">
        <v>3.9370099999999999</v>
      </c>
      <c r="AM242" s="1868">
        <v>3.9021199999999996</v>
      </c>
      <c r="AN242" s="1868">
        <v>4.0238800000000001</v>
      </c>
      <c r="AO242" s="1868">
        <v>4.2659900000000004</v>
      </c>
      <c r="AP242" s="1868">
        <v>4.0814399999999997</v>
      </c>
      <c r="AQ242" s="1868">
        <v>3.9903800000000005</v>
      </c>
      <c r="AR242" s="1868">
        <v>4.1554699999999993</v>
      </c>
      <c r="AS242" s="1868">
        <v>4.0179999999999998</v>
      </c>
      <c r="AT242" s="1868">
        <v>3.42645</v>
      </c>
      <c r="AU242" s="1868">
        <v>4.3783400000000006</v>
      </c>
      <c r="AV242" s="1868">
        <v>3.9310800000000001</v>
      </c>
      <c r="AW242" s="1868">
        <v>3.4913500000000002</v>
      </c>
      <c r="AX242" s="1868">
        <v>3.7160699999999998</v>
      </c>
      <c r="AY242" s="1868">
        <v>4.1071800000000005</v>
      </c>
      <c r="AZ242" s="1868">
        <v>4.0060599999999997</v>
      </c>
      <c r="BA242" s="1868">
        <v>3.6660300000000001</v>
      </c>
    </row>
    <row r="243" spans="1:53">
      <c r="A243" s="1865" t="str">
        <f t="shared" si="3"/>
        <v>EuropeVegetables fresh nes</v>
      </c>
      <c r="B243" s="1866" t="s">
        <v>1413</v>
      </c>
      <c r="C243" s="1866" t="s">
        <v>1407</v>
      </c>
      <c r="D243" s="1868">
        <v>11.35843</v>
      </c>
      <c r="E243" s="1868">
        <v>11.49377</v>
      </c>
      <c r="F243" s="1868">
        <v>11.439360000000001</v>
      </c>
      <c r="G243" s="1868">
        <v>13.686060000000001</v>
      </c>
      <c r="H243" s="1868">
        <v>13.15695</v>
      </c>
      <c r="I243" s="1868">
        <v>13.722799999999999</v>
      </c>
      <c r="J243" s="1868">
        <v>14.518549999999999</v>
      </c>
      <c r="K243" s="1868">
        <v>14.083689999999999</v>
      </c>
      <c r="L243" s="1868">
        <v>14.028979999999999</v>
      </c>
      <c r="M243" s="1868">
        <v>12.144780000000001</v>
      </c>
      <c r="N243" s="1868">
        <v>14.167949999999999</v>
      </c>
      <c r="O243" s="1868">
        <v>13.783810000000001</v>
      </c>
      <c r="P243" s="1868">
        <v>14.946429999999999</v>
      </c>
      <c r="Q243" s="1868">
        <v>15.022489999999999</v>
      </c>
      <c r="R243" s="1868">
        <v>14.636870000000002</v>
      </c>
      <c r="S243" s="1868">
        <v>16.117529999999999</v>
      </c>
      <c r="T243" s="1868">
        <v>17.029299999999999</v>
      </c>
      <c r="U243" s="1868">
        <v>16.416989999999998</v>
      </c>
      <c r="V243" s="1868">
        <v>16.743089999999999</v>
      </c>
      <c r="W243" s="1868">
        <v>15.50487</v>
      </c>
      <c r="X243" s="1868">
        <v>16.053190000000001</v>
      </c>
      <c r="Y243" s="1868">
        <v>16.85061</v>
      </c>
      <c r="Z243" s="1868">
        <v>16.477239999999998</v>
      </c>
      <c r="AA243" s="1868">
        <v>17.191700000000001</v>
      </c>
      <c r="AB243" s="1868">
        <v>16.752410000000001</v>
      </c>
      <c r="AC243" s="1868">
        <v>18.036929999999998</v>
      </c>
      <c r="AD243" s="1868">
        <v>16.39329</v>
      </c>
      <c r="AE243" s="1868">
        <v>16.859970000000001</v>
      </c>
      <c r="AF243" s="1868">
        <v>15.514889999999999</v>
      </c>
      <c r="AG243" s="1868">
        <v>17.324360000000002</v>
      </c>
      <c r="AH243" s="1868">
        <v>16.69361</v>
      </c>
      <c r="AI243" s="1868">
        <v>15.55715</v>
      </c>
      <c r="AJ243" s="1868">
        <v>15.277699999999999</v>
      </c>
      <c r="AK243" s="1868">
        <v>15.671620000000001</v>
      </c>
      <c r="AL243" s="1868">
        <v>16.62227</v>
      </c>
      <c r="AM243" s="1868">
        <v>16.239000000000001</v>
      </c>
      <c r="AN243" s="1868">
        <v>15.41797</v>
      </c>
      <c r="AO243" s="1868">
        <v>14.742389999999999</v>
      </c>
      <c r="AP243" s="1868">
        <v>15.011629999999998</v>
      </c>
      <c r="AQ243" s="1868">
        <v>15.728779999999999</v>
      </c>
      <c r="AR243" s="1868">
        <v>16.214099999999998</v>
      </c>
      <c r="AS243" s="1868">
        <v>15.91053</v>
      </c>
      <c r="AT243" s="1868">
        <v>14.981470000000002</v>
      </c>
      <c r="AU243" s="1868">
        <v>16.390060000000002</v>
      </c>
      <c r="AV243" s="1868">
        <v>17.04739</v>
      </c>
      <c r="AW243" s="1868">
        <v>17.638170000000002</v>
      </c>
      <c r="AX243" s="1868">
        <v>15.93493</v>
      </c>
      <c r="AY243" s="1868">
        <v>16.824249999999999</v>
      </c>
      <c r="AZ243" s="1868">
        <v>17.190579999999997</v>
      </c>
      <c r="BA243" s="1868">
        <v>16.79804</v>
      </c>
    </row>
    <row r="244" spans="1:53">
      <c r="A244" s="1865" t="str">
        <f t="shared" si="3"/>
        <v>EuropeVetches</v>
      </c>
      <c r="B244" s="1866" t="s">
        <v>1413</v>
      </c>
      <c r="C244" s="1866" t="s">
        <v>1408</v>
      </c>
      <c r="D244" s="1868">
        <v>0.86812999999999996</v>
      </c>
      <c r="E244" s="1868">
        <v>0.93464999999999998</v>
      </c>
      <c r="F244" s="1868">
        <v>0.68415999999999999</v>
      </c>
      <c r="G244" s="1868">
        <v>1.11476</v>
      </c>
      <c r="H244" s="1868">
        <v>0.94864999999999999</v>
      </c>
      <c r="I244" s="1868">
        <v>1.07165</v>
      </c>
      <c r="J244" s="1868">
        <v>1.2092200000000002</v>
      </c>
      <c r="K244" s="1868">
        <v>1.2916700000000001</v>
      </c>
      <c r="L244" s="1868">
        <v>1.4154200000000001</v>
      </c>
      <c r="M244" s="1868">
        <v>1.49455</v>
      </c>
      <c r="N244" s="1868">
        <v>1.3403499999999999</v>
      </c>
      <c r="O244" s="1868">
        <v>1.14459</v>
      </c>
      <c r="P244" s="1868">
        <v>1.2895799999999999</v>
      </c>
      <c r="Q244" s="1868">
        <v>1.3674299999999999</v>
      </c>
      <c r="R244" s="1868">
        <v>0.81388000000000005</v>
      </c>
      <c r="S244" s="1868">
        <v>1.39696</v>
      </c>
      <c r="T244" s="1868">
        <v>1.35188</v>
      </c>
      <c r="U244" s="1868">
        <v>0.96355000000000002</v>
      </c>
      <c r="V244" s="1868">
        <v>0.95872999999999997</v>
      </c>
      <c r="W244" s="1868">
        <v>1.12775</v>
      </c>
      <c r="X244" s="1868">
        <v>0.78916999999999993</v>
      </c>
      <c r="Y244" s="1868">
        <v>1.1519900000000001</v>
      </c>
      <c r="Z244" s="1868">
        <v>1.5120499999999999</v>
      </c>
      <c r="AA244" s="1868">
        <v>1.37375</v>
      </c>
      <c r="AB244" s="1868">
        <v>1.5062799999999998</v>
      </c>
      <c r="AC244" s="1868">
        <v>1.3056299999999998</v>
      </c>
      <c r="AD244" s="1868">
        <v>1.2891600000000001</v>
      </c>
      <c r="AE244" s="1868">
        <v>1.27841</v>
      </c>
      <c r="AF244" s="1868">
        <v>1.29972</v>
      </c>
      <c r="AG244" s="1868">
        <v>1.3164</v>
      </c>
      <c r="AH244" s="1868">
        <v>1.0814999999999999</v>
      </c>
      <c r="AI244" s="1868">
        <v>1.43943</v>
      </c>
      <c r="AJ244" s="1868">
        <v>1.3766799999999999</v>
      </c>
      <c r="AK244" s="1868">
        <v>1.4017899999999999</v>
      </c>
      <c r="AL244" s="1868">
        <v>0.90742999999999996</v>
      </c>
      <c r="AM244" s="1868">
        <v>0.94713999999999998</v>
      </c>
      <c r="AN244" s="1868">
        <v>1.2183600000000001</v>
      </c>
      <c r="AO244" s="1868">
        <v>0.78956999999999999</v>
      </c>
      <c r="AP244" s="1868">
        <v>0.83240999999999998</v>
      </c>
      <c r="AQ244" s="1868">
        <v>1.2634000000000001</v>
      </c>
      <c r="AR244" s="1868">
        <v>1.6416200000000001</v>
      </c>
      <c r="AS244" s="1868">
        <v>1.59236</v>
      </c>
      <c r="AT244" s="1868">
        <v>1.49594</v>
      </c>
      <c r="AU244" s="1868">
        <v>1.49539</v>
      </c>
      <c r="AV244" s="1868">
        <v>1.2702899999999999</v>
      </c>
      <c r="AW244" s="1868">
        <v>1.5922700000000001</v>
      </c>
      <c r="AX244" s="1868">
        <v>1.51955</v>
      </c>
      <c r="AY244" s="1868">
        <v>1.82592</v>
      </c>
      <c r="AZ244" s="1868">
        <v>1.6637</v>
      </c>
      <c r="BA244" s="1868">
        <v>1.2799</v>
      </c>
    </row>
    <row r="245" spans="1:53">
      <c r="A245" s="1865" t="str">
        <f t="shared" si="3"/>
        <v>EuropeWheat</v>
      </c>
      <c r="B245" s="1866" t="s">
        <v>1413</v>
      </c>
      <c r="C245" s="1866" t="s">
        <v>1409</v>
      </c>
      <c r="D245" s="1868">
        <v>1.25621</v>
      </c>
      <c r="E245" s="1868">
        <v>1.3268599999999999</v>
      </c>
      <c r="F245" s="1868">
        <v>1.09968</v>
      </c>
      <c r="G245" s="1868">
        <v>1.3518299999999999</v>
      </c>
      <c r="H245" s="1868">
        <v>1.2468900000000001</v>
      </c>
      <c r="I245" s="1868">
        <v>1.6034999999999999</v>
      </c>
      <c r="J245" s="1868">
        <v>1.53226</v>
      </c>
      <c r="K245" s="1868">
        <v>1.6744299999999999</v>
      </c>
      <c r="L245" s="1868">
        <v>1.5608299999999999</v>
      </c>
      <c r="M245" s="1868">
        <v>1.73403</v>
      </c>
      <c r="N245" s="1868">
        <v>1.8973200000000001</v>
      </c>
      <c r="O245" s="1868">
        <v>1.88645</v>
      </c>
      <c r="P245" s="1868">
        <v>2.0696500000000002</v>
      </c>
      <c r="Q245" s="1868">
        <v>1.9479299999999999</v>
      </c>
      <c r="R245" s="1868">
        <v>1.59507</v>
      </c>
      <c r="S245" s="1868">
        <v>2.0484499999999999</v>
      </c>
      <c r="T245" s="1868">
        <v>1.9432400000000001</v>
      </c>
      <c r="U245" s="1868">
        <v>2.3351299999999999</v>
      </c>
      <c r="V245" s="1868">
        <v>2.0396099999999997</v>
      </c>
      <c r="W245" s="1868">
        <v>2.1891099999999999</v>
      </c>
      <c r="X245" s="1868">
        <v>1.9994900000000002</v>
      </c>
      <c r="Y245" s="1868">
        <v>2.1859099999999998</v>
      </c>
      <c r="Z245" s="1868">
        <v>2.2759999999999998</v>
      </c>
      <c r="AA245" s="1868">
        <v>2.4773200000000002</v>
      </c>
      <c r="AB245" s="1868">
        <v>2.4217200000000001</v>
      </c>
      <c r="AC245" s="1868">
        <v>2.65855</v>
      </c>
      <c r="AD245" s="1868">
        <v>2.6181799999999997</v>
      </c>
      <c r="AE245" s="1868">
        <v>2.6996199999999999</v>
      </c>
      <c r="AF245" s="1868">
        <v>2.8562400000000001</v>
      </c>
      <c r="AG245" s="1868">
        <v>3.0866899999999999</v>
      </c>
      <c r="AH245" s="1868">
        <v>2.80125</v>
      </c>
      <c r="AI245" s="1868">
        <v>3.2094200000000002</v>
      </c>
      <c r="AJ245" s="1868">
        <v>3.2117599999999999</v>
      </c>
      <c r="AK245" s="1868">
        <v>3.1348700000000003</v>
      </c>
      <c r="AL245" s="1868">
        <v>3.1595</v>
      </c>
      <c r="AM245" s="1868">
        <v>3.2094099999999997</v>
      </c>
      <c r="AN245" s="1868">
        <v>3.3144900000000002</v>
      </c>
      <c r="AO245" s="1868">
        <v>3.4071800000000003</v>
      </c>
      <c r="AP245" s="1868">
        <v>3.30585</v>
      </c>
      <c r="AQ245" s="1868">
        <v>3.3214399999999999</v>
      </c>
      <c r="AR245" s="1868">
        <v>3.4605999999999999</v>
      </c>
      <c r="AS245" s="1868">
        <v>3.5118699999999996</v>
      </c>
      <c r="AT245" s="1868">
        <v>3.1654499999999999</v>
      </c>
      <c r="AU245" s="1868">
        <v>3.8564500000000002</v>
      </c>
      <c r="AV245" s="1868">
        <v>3.4962199999999997</v>
      </c>
      <c r="AW245" s="1868">
        <v>3.4666699999999997</v>
      </c>
      <c r="AX245" s="1868">
        <v>3.3774900000000003</v>
      </c>
      <c r="AY245" s="1868">
        <v>4.0279800000000003</v>
      </c>
      <c r="AZ245" s="1868">
        <v>3.7263199999999999</v>
      </c>
      <c r="BA245" s="1868">
        <v>3.6002900000000002</v>
      </c>
    </row>
    <row r="246" spans="1:53">
      <c r="A246" s="1865" t="str">
        <f t="shared" si="3"/>
        <v>EuropeCereals (Rice Milled Eqv</v>
      </c>
      <c r="B246" s="1866" t="s">
        <v>1413</v>
      </c>
      <c r="C246" s="1866" t="s">
        <v>1410</v>
      </c>
      <c r="D246" s="1868">
        <v>1.3757200000000001</v>
      </c>
      <c r="E246" s="1868">
        <v>1.43937</v>
      </c>
      <c r="F246" s="1868">
        <v>1.2988999999999999</v>
      </c>
      <c r="G246" s="1868">
        <v>1.5103500000000001</v>
      </c>
      <c r="H246" s="1868">
        <v>1.4255799999999998</v>
      </c>
      <c r="I246" s="1868">
        <v>1.7042400000000002</v>
      </c>
      <c r="J246" s="1868">
        <v>1.70235</v>
      </c>
      <c r="K246" s="1868">
        <v>1.8124400000000001</v>
      </c>
      <c r="L246" s="1868">
        <v>1.79613</v>
      </c>
      <c r="M246" s="1868">
        <v>1.88445</v>
      </c>
      <c r="N246" s="1868">
        <v>2.0447000000000002</v>
      </c>
      <c r="O246" s="1868">
        <v>1.9876</v>
      </c>
      <c r="P246" s="1868">
        <v>2.1960000000000002</v>
      </c>
      <c r="Q246" s="1868">
        <v>2.1164499999999999</v>
      </c>
      <c r="R246" s="1868">
        <v>1.7853700000000001</v>
      </c>
      <c r="S246" s="1868">
        <v>2.1662300000000001</v>
      </c>
      <c r="T246" s="1868">
        <v>2.07796</v>
      </c>
      <c r="U246" s="1868">
        <v>2.3827799999999999</v>
      </c>
      <c r="V246" s="1868">
        <v>2.0948500000000001</v>
      </c>
      <c r="W246" s="1868">
        <v>2.21922</v>
      </c>
      <c r="X246" s="1868">
        <v>2.0391499999999998</v>
      </c>
      <c r="Y246" s="1868">
        <v>2.3239799999999997</v>
      </c>
      <c r="Z246" s="1868">
        <v>2.3259300000000001</v>
      </c>
      <c r="AA246" s="1868">
        <v>2.4969900000000003</v>
      </c>
      <c r="AB246" s="1868">
        <v>2.4999400000000001</v>
      </c>
      <c r="AC246" s="1868">
        <v>2.6151800000000001</v>
      </c>
      <c r="AD246" s="1868">
        <v>2.5958799999999997</v>
      </c>
      <c r="AE246" s="1868">
        <v>2.5893999999999999</v>
      </c>
      <c r="AF246" s="1868">
        <v>2.7706300000000001</v>
      </c>
      <c r="AG246" s="1868">
        <v>2.8926799999999999</v>
      </c>
      <c r="AH246" s="1868">
        <v>2.7039900000000001</v>
      </c>
      <c r="AI246" s="1868">
        <v>2.8594400000000002</v>
      </c>
      <c r="AJ246" s="1868">
        <v>2.9429500000000002</v>
      </c>
      <c r="AK246" s="1868">
        <v>2.8587899999999999</v>
      </c>
      <c r="AL246" s="1868">
        <v>2.85493</v>
      </c>
      <c r="AM246" s="1868">
        <v>3.0321099999999999</v>
      </c>
      <c r="AN246" s="1868">
        <v>3.2978300000000003</v>
      </c>
      <c r="AO246" s="1868">
        <v>3.26783</v>
      </c>
      <c r="AP246" s="1868">
        <v>3.2541099999999998</v>
      </c>
      <c r="AQ246" s="1868">
        <v>3.1524200000000002</v>
      </c>
      <c r="AR246" s="1868">
        <v>3.4097900000000001</v>
      </c>
      <c r="AS246" s="1868">
        <v>3.4794099999999997</v>
      </c>
      <c r="AT246" s="1868">
        <v>3.1470700000000003</v>
      </c>
      <c r="AU246" s="1868">
        <v>3.8184699999999996</v>
      </c>
      <c r="AV246" s="1868">
        <v>3.5085999999999999</v>
      </c>
      <c r="AW246" s="1868">
        <v>3.3983099999999999</v>
      </c>
      <c r="AX246" s="1868">
        <v>3.3298099999999997</v>
      </c>
      <c r="AY246" s="1868">
        <v>3.9556</v>
      </c>
      <c r="AZ246" s="1868">
        <v>3.7805300000000002</v>
      </c>
      <c r="BA246" s="1868">
        <v>3.6698699999999995</v>
      </c>
    </row>
    <row r="247" spans="1:53">
      <c r="A247" s="1865" t="str">
        <f t="shared" si="3"/>
        <v>OceaniaBananas</v>
      </c>
      <c r="B247" s="1866" t="s">
        <v>308</v>
      </c>
      <c r="C247" s="1866" t="s">
        <v>1362</v>
      </c>
      <c r="D247" s="1868">
        <v>9.753639999999999</v>
      </c>
      <c r="E247" s="1868">
        <v>9.5567600000000006</v>
      </c>
      <c r="F247" s="1868">
        <v>9.93079</v>
      </c>
      <c r="G247" s="1868">
        <v>9.8565199999999997</v>
      </c>
      <c r="H247" s="1868">
        <v>9.9263399999999997</v>
      </c>
      <c r="I247" s="1868">
        <v>10.07335</v>
      </c>
      <c r="J247" s="1868">
        <v>10.806800000000001</v>
      </c>
      <c r="K247" s="1868">
        <v>10.798080000000001</v>
      </c>
      <c r="L247" s="1868">
        <v>10.811030000000001</v>
      </c>
      <c r="M247" s="1868">
        <v>10.77882</v>
      </c>
      <c r="N247" s="1868">
        <v>10.6439</v>
      </c>
      <c r="O247" s="1868">
        <v>10.59877</v>
      </c>
      <c r="P247" s="1868">
        <v>10.2651</v>
      </c>
      <c r="Q247" s="1868">
        <v>11.59384</v>
      </c>
      <c r="R247" s="1868">
        <v>10.93717</v>
      </c>
      <c r="S247" s="1868">
        <v>11.77505</v>
      </c>
      <c r="T247" s="1868">
        <v>11.74661</v>
      </c>
      <c r="U247" s="1868">
        <v>11.74452</v>
      </c>
      <c r="V247" s="1868">
        <v>11.695689999999999</v>
      </c>
      <c r="W247" s="1868">
        <v>12.22193</v>
      </c>
      <c r="X247" s="1868">
        <v>11.57269</v>
      </c>
      <c r="Y247" s="1868">
        <v>12.04762</v>
      </c>
      <c r="Z247" s="1868">
        <v>11.955030000000001</v>
      </c>
      <c r="AA247" s="1868">
        <v>11.8804</v>
      </c>
      <c r="AB247" s="1868">
        <v>11.882239999999999</v>
      </c>
      <c r="AC247" s="1868">
        <v>10.99854</v>
      </c>
      <c r="AD247" s="1868">
        <v>12.28102</v>
      </c>
      <c r="AE247" s="1868">
        <v>13.210720000000002</v>
      </c>
      <c r="AF247" s="1868">
        <v>14.2742</v>
      </c>
      <c r="AG247" s="1868">
        <v>14.253570000000002</v>
      </c>
      <c r="AH247" s="1868">
        <v>13.997029999999999</v>
      </c>
      <c r="AI247" s="1868">
        <v>14.175850000000001</v>
      </c>
      <c r="AJ247" s="1868">
        <v>14.829820000000002</v>
      </c>
      <c r="AK247" s="1868">
        <v>14.744579999999999</v>
      </c>
      <c r="AL247" s="1868">
        <v>14.50084</v>
      </c>
      <c r="AM247" s="1868">
        <v>14.439279999999998</v>
      </c>
      <c r="AN247" s="1868">
        <v>13.815950000000001</v>
      </c>
      <c r="AO247" s="1868">
        <v>13.882539999999999</v>
      </c>
      <c r="AP247" s="1868">
        <v>13.71246</v>
      </c>
      <c r="AQ247" s="1868">
        <v>13.77314</v>
      </c>
      <c r="AR247" s="1868">
        <v>15.4787</v>
      </c>
      <c r="AS247" s="1868">
        <v>14.646839999999999</v>
      </c>
      <c r="AT247" s="1868">
        <v>14.54064</v>
      </c>
      <c r="AU247" s="1868">
        <v>14.33985</v>
      </c>
      <c r="AV247" s="1868">
        <v>14.5929</v>
      </c>
      <c r="AW247" s="1868">
        <v>13.83869</v>
      </c>
      <c r="AX247" s="1868">
        <v>13.844029999999998</v>
      </c>
      <c r="AY247" s="1868">
        <v>13.19089</v>
      </c>
      <c r="AZ247" s="1868">
        <v>15.455</v>
      </c>
      <c r="BA247" s="1868">
        <v>19.516729999999999</v>
      </c>
    </row>
    <row r="248" spans="1:53">
      <c r="A248" s="1865" t="str">
        <f t="shared" si="3"/>
        <v>OceaniaBarley</v>
      </c>
      <c r="B248" s="1866" t="s">
        <v>308</v>
      </c>
      <c r="C248" s="1866" t="s">
        <v>1363</v>
      </c>
      <c r="D248" s="1868">
        <v>1.0279700000000001</v>
      </c>
      <c r="E248" s="1868">
        <v>1.1487700000000001</v>
      </c>
      <c r="F248" s="1868">
        <v>1.2697700000000001</v>
      </c>
      <c r="G248" s="1868">
        <v>1.43069</v>
      </c>
      <c r="H248" s="1868">
        <v>1.09293</v>
      </c>
      <c r="I248" s="1868">
        <v>1.44615</v>
      </c>
      <c r="J248" s="1868">
        <v>0.88534000000000002</v>
      </c>
      <c r="K248" s="1868">
        <v>1.3290600000000001</v>
      </c>
      <c r="L248" s="1868">
        <v>1.2186999999999999</v>
      </c>
      <c r="M248" s="1868">
        <v>1.2282500000000001</v>
      </c>
      <c r="N248" s="1868">
        <v>1.2703799999999998</v>
      </c>
      <c r="O248" s="1868">
        <v>0.92232999999999987</v>
      </c>
      <c r="P248" s="1868">
        <v>1.3627899999999999</v>
      </c>
      <c r="Q248" s="1868">
        <v>1.4412</v>
      </c>
      <c r="R248" s="1868">
        <v>1.41438</v>
      </c>
      <c r="S248" s="1868">
        <v>1.30209</v>
      </c>
      <c r="T248" s="1868">
        <v>0.92301</v>
      </c>
      <c r="U248" s="1868">
        <v>1.49332</v>
      </c>
      <c r="V248" s="1868">
        <v>1.5497000000000001</v>
      </c>
      <c r="W248" s="1868">
        <v>1.1560600000000001</v>
      </c>
      <c r="X248" s="1868">
        <v>1.3520799999999999</v>
      </c>
      <c r="Y248" s="1868">
        <v>0.90341000000000005</v>
      </c>
      <c r="Z248" s="1868">
        <v>1.6412</v>
      </c>
      <c r="AA248" s="1868">
        <v>1.6811499999999999</v>
      </c>
      <c r="AB248" s="1868">
        <v>1.60615</v>
      </c>
      <c r="AC248" s="1868">
        <v>1.7011900000000002</v>
      </c>
      <c r="AD248" s="1868">
        <v>1.56115</v>
      </c>
      <c r="AE248" s="1868">
        <v>1.5844400000000001</v>
      </c>
      <c r="AF248" s="1868">
        <v>1.82595</v>
      </c>
      <c r="AG248" s="1868">
        <v>1.7857599999999998</v>
      </c>
      <c r="AH248" s="1868">
        <v>1.7984200000000001</v>
      </c>
      <c r="AI248" s="1868">
        <v>1.89733</v>
      </c>
      <c r="AJ248" s="1868">
        <v>2.0154200000000002</v>
      </c>
      <c r="AK248" s="1868">
        <v>1.3000799999999999</v>
      </c>
      <c r="AL248" s="1868">
        <v>1.9281999999999999</v>
      </c>
      <c r="AM248" s="1868">
        <v>2.0525099999999998</v>
      </c>
      <c r="AN248" s="1868">
        <v>1.9159999999999999</v>
      </c>
      <c r="AO248" s="1868">
        <v>1.9613099999999999</v>
      </c>
      <c r="AP248" s="1868">
        <v>2.0217000000000001</v>
      </c>
      <c r="AQ248" s="1868">
        <v>2.0079799999999999</v>
      </c>
      <c r="AR248" s="1868">
        <v>2.2887400000000002</v>
      </c>
      <c r="AS248" s="1868">
        <v>1.0922799999999999</v>
      </c>
      <c r="AT248" s="1868">
        <v>2.3692299999999999</v>
      </c>
      <c r="AU248" s="1868">
        <v>1.7128099999999999</v>
      </c>
      <c r="AV248" s="1868">
        <v>2.1960099999999998</v>
      </c>
      <c r="AW248" s="1868">
        <v>1.07212</v>
      </c>
      <c r="AX248" s="1868">
        <v>1.5173299999999998</v>
      </c>
      <c r="AY248" s="1868">
        <v>1.65378</v>
      </c>
      <c r="AZ248" s="1868">
        <v>1.8445799999999999</v>
      </c>
      <c r="BA248" s="1868">
        <v>1.8361499999999999</v>
      </c>
    </row>
    <row r="249" spans="1:53">
      <c r="A249" s="1865" t="str">
        <f t="shared" si="3"/>
        <v>OceaniaBeans, dry</v>
      </c>
      <c r="B249" s="1866" t="s">
        <v>308</v>
      </c>
      <c r="C249" s="1866" t="s">
        <v>1364</v>
      </c>
      <c r="D249" s="1868">
        <v>0.55252999999999997</v>
      </c>
      <c r="E249" s="1868">
        <v>1.10012</v>
      </c>
      <c r="F249" s="1868">
        <v>0.51507999999999998</v>
      </c>
      <c r="G249" s="1868">
        <v>0.59389999999999998</v>
      </c>
      <c r="H249" s="1868">
        <v>0.20264000000000001</v>
      </c>
      <c r="I249" s="1868">
        <v>0.46861000000000003</v>
      </c>
      <c r="J249" s="1868">
        <v>0.60461000000000009</v>
      </c>
      <c r="K249" s="1868">
        <v>0.20873000000000003</v>
      </c>
      <c r="L249" s="1868">
        <v>0.48063</v>
      </c>
      <c r="M249" s="1868">
        <v>0.24139000000000002</v>
      </c>
      <c r="N249" s="1868">
        <v>0.77317999999999998</v>
      </c>
      <c r="O249" s="1868">
        <v>0.18905</v>
      </c>
      <c r="P249" s="1868">
        <v>0.56135000000000002</v>
      </c>
      <c r="Q249" s="1868">
        <v>0.87585000000000002</v>
      </c>
      <c r="R249" s="1868">
        <v>0.79874000000000001</v>
      </c>
      <c r="S249" s="1868">
        <v>0.72191000000000005</v>
      </c>
      <c r="T249" s="1868">
        <v>0.79373000000000005</v>
      </c>
      <c r="U249" s="1868">
        <v>1.03888</v>
      </c>
      <c r="V249" s="1868">
        <v>0.35722999999999999</v>
      </c>
      <c r="W249" s="1868">
        <v>0.64937</v>
      </c>
      <c r="X249" s="1868">
        <v>1.0096700000000001</v>
      </c>
      <c r="Y249" s="1868">
        <v>0.22714999999999999</v>
      </c>
      <c r="Z249" s="1868">
        <v>0.65581999999999996</v>
      </c>
      <c r="AA249" s="1868">
        <v>0.62231000000000003</v>
      </c>
      <c r="AB249" s="1868">
        <v>0.46134999999999998</v>
      </c>
      <c r="AC249" s="1868">
        <v>0.41236000000000006</v>
      </c>
      <c r="AD249" s="1868">
        <v>0.59009</v>
      </c>
      <c r="AE249" s="1868">
        <v>0.54064999999999996</v>
      </c>
      <c r="AF249" s="1868">
        <v>0.58461000000000007</v>
      </c>
      <c r="AG249" s="1868">
        <v>0.56110000000000004</v>
      </c>
      <c r="AH249" s="1868">
        <v>0.69423000000000001</v>
      </c>
      <c r="AI249" s="1868">
        <v>0.5</v>
      </c>
      <c r="AJ249" s="1868">
        <v>1.1474799999999998</v>
      </c>
      <c r="AK249" s="1868">
        <v>0.53805999999999998</v>
      </c>
      <c r="AL249" s="1868">
        <v>0.56447999999999998</v>
      </c>
      <c r="AM249" s="1868">
        <v>0.94497000000000009</v>
      </c>
      <c r="AN249" s="1868">
        <v>0.84091000000000005</v>
      </c>
      <c r="AO249" s="1868">
        <v>0.98147999999999991</v>
      </c>
      <c r="AP249" s="1868">
        <v>0.90385000000000004</v>
      </c>
      <c r="AQ249" s="1868">
        <v>1.1153899999999999</v>
      </c>
      <c r="AR249" s="1868">
        <v>1.05932</v>
      </c>
      <c r="AS249" s="1868">
        <v>0.79226000000000008</v>
      </c>
      <c r="AT249" s="1868">
        <v>1.9491700000000001</v>
      </c>
      <c r="AU249" s="1868">
        <v>1.7263500000000001</v>
      </c>
      <c r="AV249" s="1868">
        <v>1.31253</v>
      </c>
      <c r="AW249" s="1868">
        <v>1.2857100000000001</v>
      </c>
      <c r="AX249" s="1868">
        <v>0.64493999999999996</v>
      </c>
      <c r="AY249" s="1868">
        <v>1.01111</v>
      </c>
      <c r="AZ249" s="1868">
        <v>0.92621000000000009</v>
      </c>
      <c r="BA249" s="1868">
        <v>0.96882000000000013</v>
      </c>
    </row>
    <row r="250" spans="1:53">
      <c r="A250" s="1865" t="str">
        <f t="shared" si="3"/>
        <v>OceaniaBeans, green</v>
      </c>
      <c r="B250" s="1866" t="s">
        <v>308</v>
      </c>
      <c r="C250" s="1866" t="s">
        <v>1365</v>
      </c>
      <c r="D250" s="1868">
        <v>3.8288000000000002</v>
      </c>
      <c r="E250" s="1868">
        <v>3.8077099999999997</v>
      </c>
      <c r="F250" s="1868">
        <v>3.5074000000000001</v>
      </c>
      <c r="G250" s="1868">
        <v>4.8116500000000002</v>
      </c>
      <c r="H250" s="1868">
        <v>4.6701199999999998</v>
      </c>
      <c r="I250" s="1868">
        <v>5.3370600000000001</v>
      </c>
      <c r="J250" s="1868">
        <v>4.4570400000000001</v>
      </c>
      <c r="K250" s="1868">
        <v>5.17598</v>
      </c>
      <c r="L250" s="1868">
        <v>5.2371499999999997</v>
      </c>
      <c r="M250" s="1868">
        <v>4.8644800000000004</v>
      </c>
      <c r="N250" s="1868">
        <v>4.9332699999999994</v>
      </c>
      <c r="O250" s="1868">
        <v>5.2006699999999997</v>
      </c>
      <c r="P250" s="1868">
        <v>5.1446300000000003</v>
      </c>
      <c r="Q250" s="1868">
        <v>5.0644</v>
      </c>
      <c r="R250" s="1868">
        <v>6.4282199999999996</v>
      </c>
      <c r="S250" s="1868">
        <v>4.97797</v>
      </c>
      <c r="T250" s="1868">
        <v>5.3704900000000002</v>
      </c>
      <c r="U250" s="1868">
        <v>5.9550599999999996</v>
      </c>
      <c r="V250" s="1868">
        <v>5.7072500000000002</v>
      </c>
      <c r="W250" s="1868">
        <v>6.0252800000000004</v>
      </c>
      <c r="X250" s="1868">
        <v>5.3933400000000002</v>
      </c>
      <c r="Y250" s="1868">
        <v>5.5650300000000001</v>
      </c>
      <c r="Z250" s="1868">
        <v>5.4041699999999997</v>
      </c>
      <c r="AA250" s="1868">
        <v>5.4606000000000003</v>
      </c>
      <c r="AB250" s="1868">
        <v>5.9265699999999999</v>
      </c>
      <c r="AC250" s="1868">
        <v>5.4120400000000002</v>
      </c>
      <c r="AD250" s="1868">
        <v>5.8050300000000004</v>
      </c>
      <c r="AE250" s="1868">
        <v>5.4625199999999996</v>
      </c>
      <c r="AF250" s="1868">
        <v>5.56928</v>
      </c>
      <c r="AG250" s="1868">
        <v>5.1724699999999997</v>
      </c>
      <c r="AH250" s="1868">
        <v>5.3307099999999998</v>
      </c>
      <c r="AI250" s="1868">
        <v>5.25298</v>
      </c>
      <c r="AJ250" s="1868">
        <v>5.4391699999999998</v>
      </c>
      <c r="AK250" s="1868">
        <v>5.68032</v>
      </c>
      <c r="AL250" s="1868">
        <v>5.5725699999999998</v>
      </c>
      <c r="AM250" s="1868">
        <v>5.2917300000000003</v>
      </c>
      <c r="AN250" s="1868">
        <v>5.5564400000000003</v>
      </c>
      <c r="AO250" s="1868">
        <v>5.6403099999999995</v>
      </c>
      <c r="AP250" s="1868">
        <v>5.4650999999999996</v>
      </c>
      <c r="AQ250" s="1868">
        <v>5.3841800000000006</v>
      </c>
      <c r="AR250" s="1868">
        <v>5.0941000000000001</v>
      </c>
      <c r="AS250" s="1868">
        <v>5.2598199999999995</v>
      </c>
      <c r="AT250" s="1868">
        <v>5.1130500000000003</v>
      </c>
      <c r="AU250" s="1868">
        <v>4.5878500000000004</v>
      </c>
      <c r="AV250" s="1868">
        <v>5.7075500000000003</v>
      </c>
      <c r="AW250" s="1868">
        <v>5.4158099999999996</v>
      </c>
      <c r="AX250" s="1868">
        <v>5.8701800000000004</v>
      </c>
      <c r="AY250" s="1868">
        <v>5.5008599999999994</v>
      </c>
      <c r="AZ250" s="1868">
        <v>5.4269699999999998</v>
      </c>
      <c r="BA250" s="1868">
        <v>5.1236499999999996</v>
      </c>
    </row>
    <row r="251" spans="1:53">
      <c r="A251" s="1865" t="str">
        <f t="shared" si="3"/>
        <v>OceaniaCarrots and turnips</v>
      </c>
      <c r="B251" s="1866" t="s">
        <v>308</v>
      </c>
      <c r="C251" s="1866" t="s">
        <v>1366</v>
      </c>
      <c r="D251" s="1868">
        <v>25.974420000000002</v>
      </c>
      <c r="E251" s="1868">
        <v>27.327850000000002</v>
      </c>
      <c r="F251" s="1868">
        <v>27.694390000000002</v>
      </c>
      <c r="G251" s="1868">
        <v>28.619529999999997</v>
      </c>
      <c r="H251" s="1868">
        <v>30.77843</v>
      </c>
      <c r="I251" s="1868">
        <v>31.136979999999998</v>
      </c>
      <c r="J251" s="1868">
        <v>28.530479999999997</v>
      </c>
      <c r="K251" s="1868">
        <v>28.75808</v>
      </c>
      <c r="L251" s="1868">
        <v>28.494059999999998</v>
      </c>
      <c r="M251" s="1868">
        <v>28.93507</v>
      </c>
      <c r="N251" s="1868">
        <v>30.120620000000002</v>
      </c>
      <c r="O251" s="1868">
        <v>28.609690000000004</v>
      </c>
      <c r="P251" s="1868">
        <v>28.466419999999999</v>
      </c>
      <c r="Q251" s="1868">
        <v>29.460750000000001</v>
      </c>
      <c r="R251" s="1868">
        <v>26.76427</v>
      </c>
      <c r="S251" s="1868">
        <v>27.607790000000001</v>
      </c>
      <c r="T251" s="1868">
        <v>28.297359999999998</v>
      </c>
      <c r="U251" s="1868">
        <v>29.066409999999998</v>
      </c>
      <c r="V251" s="1868">
        <v>28.009290000000004</v>
      </c>
      <c r="W251" s="1868">
        <v>30.191990000000004</v>
      </c>
      <c r="X251" s="1868">
        <v>29.37445</v>
      </c>
      <c r="Y251" s="1868">
        <v>28.389579999999999</v>
      </c>
      <c r="Z251" s="1868">
        <v>29.042820000000003</v>
      </c>
      <c r="AA251" s="1868">
        <v>29.023109999999999</v>
      </c>
      <c r="AB251" s="1868">
        <v>30.215679999999999</v>
      </c>
      <c r="AC251" s="1868">
        <v>31.779209999999999</v>
      </c>
      <c r="AD251" s="1868">
        <v>31.748529999999999</v>
      </c>
      <c r="AE251" s="1868">
        <v>32.192679999999996</v>
      </c>
      <c r="AF251" s="1868">
        <v>33.582229999999996</v>
      </c>
      <c r="AG251" s="1868">
        <v>36.433199999999999</v>
      </c>
      <c r="AH251" s="1868">
        <v>34.926540000000003</v>
      </c>
      <c r="AI251" s="1868">
        <v>35.18244</v>
      </c>
      <c r="AJ251" s="1868">
        <v>33.913969999999999</v>
      </c>
      <c r="AK251" s="1868">
        <v>35.068440000000002</v>
      </c>
      <c r="AL251" s="1868">
        <v>34.369430000000001</v>
      </c>
      <c r="AM251" s="1868">
        <v>34.087350000000001</v>
      </c>
      <c r="AN251" s="1868">
        <v>36.80397</v>
      </c>
      <c r="AO251" s="1868">
        <v>37.706530000000001</v>
      </c>
      <c r="AP251" s="1868">
        <v>38.326419999999999</v>
      </c>
      <c r="AQ251" s="1868">
        <v>37.930370000000003</v>
      </c>
      <c r="AR251" s="1868">
        <v>38.003430000000002</v>
      </c>
      <c r="AS251" s="1868">
        <v>40.832270000000001</v>
      </c>
      <c r="AT251" s="1868">
        <v>40.385440000000003</v>
      </c>
      <c r="AU251" s="1868">
        <v>41.219209999999997</v>
      </c>
      <c r="AV251" s="1868">
        <v>45.125799999999998</v>
      </c>
      <c r="AW251" s="1868">
        <v>42.447620000000001</v>
      </c>
      <c r="AX251" s="1868">
        <v>46.773429999999998</v>
      </c>
      <c r="AY251" s="1868">
        <v>54.407690000000002</v>
      </c>
      <c r="AZ251" s="1868">
        <v>49.230519999999999</v>
      </c>
      <c r="BA251" s="1868">
        <v>46.85718</v>
      </c>
    </row>
    <row r="252" spans="1:53">
      <c r="A252" s="1865" t="str">
        <f t="shared" si="3"/>
        <v>OceaniaCassava</v>
      </c>
      <c r="B252" s="1866" t="s">
        <v>308</v>
      </c>
      <c r="C252" s="1866" t="s">
        <v>1368</v>
      </c>
      <c r="D252" s="1868">
        <v>9.7585899999999999</v>
      </c>
      <c r="E252" s="1868">
        <v>10.15058</v>
      </c>
      <c r="F252" s="1868">
        <v>10.14902</v>
      </c>
      <c r="G252" s="1868">
        <v>10.11997</v>
      </c>
      <c r="H252" s="1868">
        <v>10.158480000000001</v>
      </c>
      <c r="I252" s="1868">
        <v>10.061739999999999</v>
      </c>
      <c r="J252" s="1868">
        <v>10.18028</v>
      </c>
      <c r="K252" s="1868">
        <v>10.08573</v>
      </c>
      <c r="L252" s="1868">
        <v>10.21932</v>
      </c>
      <c r="M252" s="1868">
        <v>10.432960000000001</v>
      </c>
      <c r="N252" s="1868">
        <v>11.9558</v>
      </c>
      <c r="O252" s="1868">
        <v>11.32795</v>
      </c>
      <c r="P252" s="1868">
        <v>10.858230000000001</v>
      </c>
      <c r="Q252" s="1868">
        <v>10.174860000000001</v>
      </c>
      <c r="R252" s="1868">
        <v>10.086449999999999</v>
      </c>
      <c r="S252" s="1868">
        <v>10.197980000000001</v>
      </c>
      <c r="T252" s="1868">
        <v>10.31832</v>
      </c>
      <c r="U252" s="1868">
        <v>10.114610000000001</v>
      </c>
      <c r="V252" s="1868">
        <v>10.17281</v>
      </c>
      <c r="W252" s="1868">
        <v>10.23826</v>
      </c>
      <c r="X252" s="1868">
        <v>10.240830000000001</v>
      </c>
      <c r="Y252" s="1868">
        <v>10.3329</v>
      </c>
      <c r="Z252" s="1868">
        <v>10.457079999999999</v>
      </c>
      <c r="AA252" s="1868">
        <v>10.26793</v>
      </c>
      <c r="AB252" s="1868">
        <v>10.260999999999999</v>
      </c>
      <c r="AC252" s="1868">
        <v>10.299849999999999</v>
      </c>
      <c r="AD252" s="1868">
        <v>10.444289999999999</v>
      </c>
      <c r="AE252" s="1868">
        <v>10.545169999999999</v>
      </c>
      <c r="AF252" s="1868">
        <v>10.646660000000001</v>
      </c>
      <c r="AG252" s="1868">
        <v>9.5396900000000002</v>
      </c>
      <c r="AH252" s="1868">
        <v>11.077500000000001</v>
      </c>
      <c r="AI252" s="1868">
        <v>11.050689999999999</v>
      </c>
      <c r="AJ252" s="1868">
        <v>10.56603</v>
      </c>
      <c r="AK252" s="1868">
        <v>11.314969999999999</v>
      </c>
      <c r="AL252" s="1868">
        <v>11.535019999999999</v>
      </c>
      <c r="AM252" s="1868">
        <v>11.82142</v>
      </c>
      <c r="AN252" s="1868">
        <v>10.306950000000001</v>
      </c>
      <c r="AO252" s="1868">
        <v>11.42928</v>
      </c>
      <c r="AP252" s="1868">
        <v>11.396410000000001</v>
      </c>
      <c r="AQ252" s="1868">
        <v>11.298780000000001</v>
      </c>
      <c r="AR252" s="1868">
        <v>10.95072</v>
      </c>
      <c r="AS252" s="1868">
        <v>11.3276</v>
      </c>
      <c r="AT252" s="1868">
        <v>11.14831</v>
      </c>
      <c r="AU252" s="1868">
        <v>11.997479999999999</v>
      </c>
      <c r="AV252" s="1868">
        <v>11.61209</v>
      </c>
      <c r="AW252" s="1868">
        <v>11.756730000000001</v>
      </c>
      <c r="AX252" s="1868">
        <v>10.13517</v>
      </c>
      <c r="AY252" s="1868">
        <v>9.51661</v>
      </c>
      <c r="AZ252" s="1868">
        <v>11.20298</v>
      </c>
      <c r="BA252" s="1868">
        <v>11.68192</v>
      </c>
    </row>
    <row r="253" spans="1:53">
      <c r="A253" s="1865" t="str">
        <f t="shared" si="3"/>
        <v>OceaniaCauliflowers and broccoli</v>
      </c>
      <c r="B253" s="1866" t="s">
        <v>308</v>
      </c>
      <c r="C253" s="1866" t="s">
        <v>1369</v>
      </c>
      <c r="D253" s="1868">
        <v>26.342449999999999</v>
      </c>
      <c r="E253" s="1868">
        <v>26.72852</v>
      </c>
      <c r="F253" s="1868">
        <v>24.945060000000002</v>
      </c>
      <c r="G253" s="1868">
        <v>24.274560000000001</v>
      </c>
      <c r="H253" s="1868">
        <v>25.208389999999998</v>
      </c>
      <c r="I253" s="1868">
        <v>27.683120000000002</v>
      </c>
      <c r="J253" s="1868">
        <v>26.769809999999996</v>
      </c>
      <c r="K253" s="1868">
        <v>25.426729999999999</v>
      </c>
      <c r="L253" s="1868">
        <v>29.485099999999999</v>
      </c>
      <c r="M253" s="1868">
        <v>28.377459999999999</v>
      </c>
      <c r="N253" s="1868">
        <v>27.397200000000002</v>
      </c>
      <c r="O253" s="1868">
        <v>27.133940000000003</v>
      </c>
      <c r="P253" s="1868">
        <v>23.125679999999999</v>
      </c>
      <c r="Q253" s="1868">
        <v>20.73124</v>
      </c>
      <c r="R253" s="1868">
        <v>25.111079999999998</v>
      </c>
      <c r="S253" s="1868">
        <v>25.23189</v>
      </c>
      <c r="T253" s="1868">
        <v>30.460229999999999</v>
      </c>
      <c r="U253" s="1868">
        <v>31.777259999999998</v>
      </c>
      <c r="V253" s="1868">
        <v>25.99934</v>
      </c>
      <c r="W253" s="1868">
        <v>24.950779999999998</v>
      </c>
      <c r="X253" s="1868">
        <v>24.98629</v>
      </c>
      <c r="Y253" s="1868">
        <v>18.51746</v>
      </c>
      <c r="Z253" s="1868">
        <v>18.60877</v>
      </c>
      <c r="AA253" s="1868">
        <v>20.044710000000002</v>
      </c>
      <c r="AB253" s="1868">
        <v>18.977239999999998</v>
      </c>
      <c r="AC253" s="1868">
        <v>16.121500000000001</v>
      </c>
      <c r="AD253" s="1868">
        <v>17.86908</v>
      </c>
      <c r="AE253" s="1868">
        <v>13.836129999999999</v>
      </c>
      <c r="AF253" s="1868">
        <v>14.31052</v>
      </c>
      <c r="AG253" s="1868">
        <v>14.987870000000001</v>
      </c>
      <c r="AH253" s="1868">
        <v>14.039370000000002</v>
      </c>
      <c r="AI253" s="1868">
        <v>13.741350000000001</v>
      </c>
      <c r="AJ253" s="1868">
        <v>16.264710000000001</v>
      </c>
      <c r="AK253" s="1868">
        <v>14.645949999999999</v>
      </c>
      <c r="AL253" s="1868">
        <v>15.82122</v>
      </c>
      <c r="AM253" s="1868">
        <v>16.620889999999999</v>
      </c>
      <c r="AN253" s="1868">
        <v>13.58934</v>
      </c>
      <c r="AO253" s="1868">
        <v>13.158489999999999</v>
      </c>
      <c r="AP253" s="1868">
        <v>14.706899999999999</v>
      </c>
      <c r="AQ253" s="1868">
        <v>14.51586</v>
      </c>
      <c r="AR253" s="1868">
        <v>14.557889999999999</v>
      </c>
      <c r="AS253" s="1868">
        <v>27.002679999999998</v>
      </c>
      <c r="AT253" s="1868">
        <v>14.750220000000001</v>
      </c>
      <c r="AU253" s="1868">
        <v>15.71088</v>
      </c>
      <c r="AV253" s="1868">
        <v>14.825170000000002</v>
      </c>
      <c r="AW253" s="1868">
        <v>34.573549999999997</v>
      </c>
      <c r="AX253" s="1868">
        <v>25.854279999999999</v>
      </c>
      <c r="AY253" s="1868">
        <v>29.472690000000004</v>
      </c>
      <c r="AZ253" s="1868">
        <v>28.376550000000002</v>
      </c>
      <c r="BA253" s="1868">
        <v>26.976190000000003</v>
      </c>
    </row>
    <row r="254" spans="1:53">
      <c r="A254" s="1865" t="str">
        <f t="shared" si="3"/>
        <v>OceaniaCereals, nes</v>
      </c>
      <c r="B254" s="1866" t="s">
        <v>308</v>
      </c>
      <c r="C254" s="1866" t="s">
        <v>1370</v>
      </c>
      <c r="D254" s="1868">
        <v>2.5</v>
      </c>
      <c r="E254" s="1868">
        <v>2.5</v>
      </c>
      <c r="F254" s="1868">
        <v>2.5</v>
      </c>
      <c r="G254" s="1868">
        <v>2.5</v>
      </c>
      <c r="H254" s="1868">
        <v>2.5</v>
      </c>
      <c r="I254" s="1868">
        <v>4.3478300000000001</v>
      </c>
      <c r="J254" s="1868">
        <v>4.3478300000000001</v>
      </c>
      <c r="K254" s="1868">
        <v>4.3478300000000001</v>
      </c>
      <c r="L254" s="1868">
        <v>4.3478300000000001</v>
      </c>
      <c r="M254" s="1868">
        <v>2</v>
      </c>
      <c r="N254" s="1868">
        <v>2</v>
      </c>
      <c r="O254" s="1868">
        <v>2</v>
      </c>
      <c r="P254" s="1868">
        <v>4</v>
      </c>
      <c r="Q254" s="1868">
        <v>6</v>
      </c>
      <c r="R254" s="1868">
        <v>10</v>
      </c>
      <c r="S254" s="1868">
        <v>8</v>
      </c>
      <c r="T254" s="1868">
        <v>5.7692300000000003</v>
      </c>
      <c r="U254" s="1868">
        <v>5.7692300000000003</v>
      </c>
      <c r="V254" s="1868">
        <v>5.7692300000000003</v>
      </c>
      <c r="W254" s="1868">
        <v>2.4340900000000003</v>
      </c>
      <c r="X254" s="1868">
        <v>2.4156</v>
      </c>
      <c r="Y254" s="1868">
        <v>3.7481400000000002</v>
      </c>
      <c r="Z254" s="1868">
        <v>2.93567</v>
      </c>
      <c r="AA254" s="1868">
        <v>2.67178</v>
      </c>
      <c r="AB254" s="1868">
        <v>3.3933199999999997</v>
      </c>
      <c r="AC254" s="1868">
        <v>2.8564099999999999</v>
      </c>
      <c r="AD254" s="1868">
        <v>3.1906300000000001</v>
      </c>
      <c r="AE254" s="1868">
        <v>2.9017499999999998</v>
      </c>
      <c r="AF254" s="1868">
        <v>2.5</v>
      </c>
      <c r="AG254" s="1868">
        <v>2.8226599999999999</v>
      </c>
      <c r="AH254" s="1868">
        <v>2.96604</v>
      </c>
      <c r="AI254" s="1868">
        <v>2.5494300000000001</v>
      </c>
      <c r="AJ254" s="1868">
        <v>2.37832</v>
      </c>
      <c r="AK254" s="1868">
        <v>3.13253</v>
      </c>
      <c r="AL254" s="1868">
        <v>3.0720999999999998</v>
      </c>
      <c r="AM254" s="1868">
        <v>2.9666700000000001</v>
      </c>
      <c r="AN254" s="1868">
        <v>2.77264</v>
      </c>
      <c r="AO254" s="1868">
        <v>2.7193000000000001</v>
      </c>
      <c r="AP254" s="1868">
        <v>2.8571400000000002</v>
      </c>
      <c r="AQ254" s="1868">
        <v>2.9079000000000002</v>
      </c>
      <c r="AR254" s="1868">
        <v>3.00447</v>
      </c>
      <c r="AS254" s="1868">
        <v>3.28125</v>
      </c>
      <c r="AT254" s="1868">
        <v>3.5666699999999998</v>
      </c>
      <c r="AU254" s="1868">
        <v>4.0370400000000002</v>
      </c>
      <c r="AV254" s="1868">
        <v>4.4000000000000004</v>
      </c>
      <c r="AW254" s="1868">
        <v>5</v>
      </c>
      <c r="AX254" s="1868">
        <v>6.0472000000000001</v>
      </c>
      <c r="AY254" s="1868">
        <v>7.3947000000000003</v>
      </c>
      <c r="AZ254" s="1868">
        <v>7.5</v>
      </c>
      <c r="BA254" s="1868">
        <v>5.8207199999999997</v>
      </c>
    </row>
    <row r="255" spans="1:53">
      <c r="A255" s="1865" t="str">
        <f t="shared" si="3"/>
        <v>OceaniaCitrus fruit, nes</v>
      </c>
      <c r="B255" s="1866" t="s">
        <v>308</v>
      </c>
      <c r="C255" s="1866" t="s">
        <v>1372</v>
      </c>
      <c r="D255" s="1868">
        <v>6.6271199999999997</v>
      </c>
      <c r="E255" s="1868">
        <v>6.5469599999999994</v>
      </c>
      <c r="F255" s="1868">
        <v>6.5957499999999998</v>
      </c>
      <c r="G255" s="1868">
        <v>6.25</v>
      </c>
      <c r="H255" s="1868">
        <v>6.0930200000000001</v>
      </c>
      <c r="I255" s="1868">
        <v>5.8423400000000001</v>
      </c>
      <c r="J255" s="1868">
        <v>5.3609999999999998</v>
      </c>
      <c r="K255" s="1868">
        <v>6.0403199999999995</v>
      </c>
      <c r="L255" s="1868">
        <v>5.71854</v>
      </c>
      <c r="M255" s="1868">
        <v>6.3529400000000003</v>
      </c>
      <c r="N255" s="1868">
        <v>6.7855100000000004</v>
      </c>
      <c r="O255" s="1868">
        <v>7.4634199999999993</v>
      </c>
      <c r="P255" s="1868">
        <v>6.7511299999999999</v>
      </c>
      <c r="Q255" s="1868">
        <v>7.0281399999999996</v>
      </c>
      <c r="R255" s="1868">
        <v>6.3835300000000004</v>
      </c>
      <c r="S255" s="1868">
        <v>6.3683300000000003</v>
      </c>
      <c r="T255" s="1868">
        <v>6.4297300000000002</v>
      </c>
      <c r="U255" s="1868">
        <v>8.8595399999999991</v>
      </c>
      <c r="V255" s="1868">
        <v>9.8692399999999996</v>
      </c>
      <c r="W255" s="1868">
        <v>12.767810000000001</v>
      </c>
      <c r="X255" s="1868">
        <v>9.9830500000000004</v>
      </c>
      <c r="Y255" s="1868">
        <v>9.1726399999999995</v>
      </c>
      <c r="Z255" s="1868">
        <v>9.0803999999999991</v>
      </c>
      <c r="AA255" s="1868">
        <v>8.6947399999999995</v>
      </c>
      <c r="AB255" s="1868">
        <v>8.6873300000000011</v>
      </c>
      <c r="AC255" s="1868">
        <v>8.6557999999999993</v>
      </c>
      <c r="AD255" s="1868">
        <v>8.01187</v>
      </c>
      <c r="AE255" s="1868">
        <v>8.1447699999999994</v>
      </c>
      <c r="AF255" s="1868">
        <v>8.4092800000000008</v>
      </c>
      <c r="AG255" s="1868">
        <v>9.0561100000000003</v>
      </c>
      <c r="AH255" s="1868">
        <v>9.124410000000001</v>
      </c>
      <c r="AI255" s="1868">
        <v>10.15245</v>
      </c>
      <c r="AJ255" s="1868">
        <v>9.5099900000000002</v>
      </c>
      <c r="AK255" s="1868">
        <v>10.871549999999999</v>
      </c>
      <c r="AL255" s="1868">
        <v>10.913639999999999</v>
      </c>
      <c r="AM255" s="1868">
        <v>11.33193</v>
      </c>
      <c r="AN255" s="1868">
        <v>11.847619999999999</v>
      </c>
      <c r="AO255" s="1868">
        <v>11.3834</v>
      </c>
      <c r="AP255" s="1868">
        <v>10.20485</v>
      </c>
      <c r="AQ255" s="1868">
        <v>10.33864</v>
      </c>
      <c r="AR255" s="1868">
        <v>10.12195</v>
      </c>
      <c r="AS255" s="1868">
        <v>9.9945199999999996</v>
      </c>
      <c r="AT255" s="1868">
        <v>9.4976500000000001</v>
      </c>
      <c r="AU255" s="1868">
        <v>10.814579999999999</v>
      </c>
      <c r="AV255" s="1868">
        <v>10.32713</v>
      </c>
      <c r="AW255" s="1868">
        <v>9.3292000000000002</v>
      </c>
      <c r="AX255" s="1868">
        <v>8.3209100000000014</v>
      </c>
      <c r="AY255" s="1868">
        <v>10.194660000000001</v>
      </c>
      <c r="AZ255" s="1868">
        <v>9.8372299999999999</v>
      </c>
      <c r="BA255" s="1868">
        <v>10.28829</v>
      </c>
    </row>
    <row r="256" spans="1:53">
      <c r="A256" s="1865" t="str">
        <f t="shared" si="3"/>
        <v>OceaniaCoffee, green</v>
      </c>
      <c r="B256" s="1866" t="s">
        <v>308</v>
      </c>
      <c r="C256" s="1866" t="s">
        <v>1373</v>
      </c>
      <c r="D256" s="1868">
        <v>0.40309</v>
      </c>
      <c r="E256" s="1868">
        <v>0.50080000000000002</v>
      </c>
      <c r="F256" s="1868">
        <v>0.54261999999999999</v>
      </c>
      <c r="G256" s="1868">
        <v>0.66778999999999999</v>
      </c>
      <c r="H256" s="1868">
        <v>0.73136999999999996</v>
      </c>
      <c r="I256" s="1868">
        <v>0.76703999999999994</v>
      </c>
      <c r="J256" s="1868">
        <v>0.83256000000000008</v>
      </c>
      <c r="K256" s="1868">
        <v>0.70630000000000004</v>
      </c>
      <c r="L256" s="1868">
        <v>0.96863999999999995</v>
      </c>
      <c r="M256" s="1868">
        <v>1.0366299999999999</v>
      </c>
      <c r="N256" s="1868">
        <v>1.0292399999999999</v>
      </c>
      <c r="O256" s="1868">
        <v>1.0367200000000001</v>
      </c>
      <c r="P256" s="1868">
        <v>1.18916</v>
      </c>
      <c r="Q256" s="1868">
        <v>1.0897600000000001</v>
      </c>
      <c r="R256" s="1868">
        <v>1.16103</v>
      </c>
      <c r="S256" s="1868">
        <v>0.99919999999999998</v>
      </c>
      <c r="T256" s="1868">
        <v>0.88428999999999991</v>
      </c>
      <c r="U256" s="1868">
        <v>1.0375399999999999</v>
      </c>
      <c r="V256" s="1868">
        <v>1.1419700000000002</v>
      </c>
      <c r="W256" s="1868">
        <v>1.2602599999999999</v>
      </c>
      <c r="X256" s="1868">
        <v>1.1455899999999999</v>
      </c>
      <c r="Y256" s="1868">
        <v>0.92152999999999996</v>
      </c>
      <c r="Z256" s="1868">
        <v>1.18286</v>
      </c>
      <c r="AA256" s="1868">
        <v>0.93925999999999998</v>
      </c>
      <c r="AB256" s="1868">
        <v>1.18733</v>
      </c>
      <c r="AC256" s="1868">
        <v>0.93664999999999998</v>
      </c>
      <c r="AD256" s="1868">
        <v>1.4458500000000001</v>
      </c>
      <c r="AE256" s="1868">
        <v>1.5134100000000001</v>
      </c>
      <c r="AF256" s="1868">
        <v>1.5749799999999998</v>
      </c>
      <c r="AG256" s="1868">
        <v>1.06311</v>
      </c>
      <c r="AH256" s="1868">
        <v>0.84622000000000008</v>
      </c>
      <c r="AI256" s="1868">
        <v>1.0837399999999999</v>
      </c>
      <c r="AJ256" s="1868">
        <v>1.5322499999999999</v>
      </c>
      <c r="AK256" s="1868">
        <v>1.3566400000000001</v>
      </c>
      <c r="AL256" s="1868">
        <v>1.17971</v>
      </c>
      <c r="AM256" s="1868">
        <v>1.11497</v>
      </c>
      <c r="AN256" s="1868">
        <v>0.74001000000000006</v>
      </c>
      <c r="AO256" s="1868">
        <v>0.69583000000000006</v>
      </c>
      <c r="AP256" s="1868">
        <v>0.95057999999999998</v>
      </c>
      <c r="AQ256" s="1868">
        <v>1.1902999999999999</v>
      </c>
      <c r="AR256" s="1868">
        <v>0.95832000000000006</v>
      </c>
      <c r="AS256" s="1868">
        <v>0.92682000000000009</v>
      </c>
      <c r="AT256" s="1868">
        <v>0.98647999999999991</v>
      </c>
      <c r="AU256" s="1868">
        <v>1.3268799999999998</v>
      </c>
      <c r="AV256" s="1868">
        <v>1.5001100000000001</v>
      </c>
      <c r="AW256" s="1868">
        <v>0.87572000000000005</v>
      </c>
      <c r="AX256" s="1868">
        <v>1.05139</v>
      </c>
      <c r="AY256" s="1868">
        <v>1.11517</v>
      </c>
      <c r="AZ256" s="1868">
        <v>1.0919099999999999</v>
      </c>
      <c r="BA256" s="1868">
        <v>1.21774</v>
      </c>
    </row>
    <row r="257" spans="1:53">
      <c r="A257" s="1865" t="str">
        <f t="shared" si="3"/>
        <v>OceaniaEggplants (aubergines)</v>
      </c>
      <c r="B257" s="1866" t="s">
        <v>308</v>
      </c>
      <c r="C257" s="1866" t="s">
        <v>1375</v>
      </c>
      <c r="D257" s="1868">
        <v>5</v>
      </c>
      <c r="E257" s="1868">
        <v>5</v>
      </c>
      <c r="F257" s="1868">
        <v>5</v>
      </c>
      <c r="G257" s="1868">
        <v>5</v>
      </c>
      <c r="H257" s="1868">
        <v>5</v>
      </c>
      <c r="I257" s="1868">
        <v>5</v>
      </c>
      <c r="J257" s="1868">
        <v>5</v>
      </c>
      <c r="K257" s="1868">
        <v>5</v>
      </c>
      <c r="L257" s="1868">
        <v>5</v>
      </c>
      <c r="M257" s="1868">
        <v>5</v>
      </c>
      <c r="N257" s="1868">
        <v>5</v>
      </c>
      <c r="O257" s="1868">
        <v>5</v>
      </c>
      <c r="P257" s="1868">
        <v>5</v>
      </c>
      <c r="Q257" s="1868">
        <v>5</v>
      </c>
      <c r="R257" s="1868">
        <v>12.533329999999999</v>
      </c>
      <c r="S257" s="1868">
        <v>7.3333300000000001</v>
      </c>
      <c r="T257" s="1868">
        <v>9.6666699999999999</v>
      </c>
      <c r="U257" s="1868">
        <v>9.7666699999999995</v>
      </c>
      <c r="V257" s="1868">
        <v>11.1</v>
      </c>
      <c r="W257" s="1868">
        <v>7.4666699999999997</v>
      </c>
      <c r="X257" s="1868">
        <v>8.6</v>
      </c>
      <c r="Y257" s="1868">
        <v>6.78</v>
      </c>
      <c r="Z257" s="1868">
        <v>6.68</v>
      </c>
      <c r="AA257" s="1868">
        <v>6.82</v>
      </c>
      <c r="AB257" s="1868">
        <v>6.68</v>
      </c>
      <c r="AC257" s="1868">
        <v>6.74</v>
      </c>
      <c r="AD257" s="1868">
        <v>6.54</v>
      </c>
      <c r="AE257" s="1868">
        <v>6.66</v>
      </c>
      <c r="AF257" s="1868">
        <v>6.6</v>
      </c>
      <c r="AG257" s="1868">
        <v>5.6226400000000005</v>
      </c>
      <c r="AH257" s="1868">
        <v>5.78</v>
      </c>
      <c r="AI257" s="1868">
        <v>5.0714300000000003</v>
      </c>
      <c r="AJ257" s="1868">
        <v>8.9026600000000009</v>
      </c>
      <c r="AK257" s="1868">
        <v>11.04813</v>
      </c>
      <c r="AL257" s="1868">
        <v>7.64</v>
      </c>
      <c r="AM257" s="1868">
        <v>5.0243900000000004</v>
      </c>
      <c r="AN257" s="1868">
        <v>5.39</v>
      </c>
      <c r="AO257" s="1868">
        <v>5.1525400000000001</v>
      </c>
      <c r="AP257" s="1868">
        <v>5.1875</v>
      </c>
      <c r="AQ257" s="1868">
        <v>5.0736099999999995</v>
      </c>
      <c r="AR257" s="1868">
        <v>5.5740699999999999</v>
      </c>
      <c r="AS257" s="1868">
        <v>5.8770499999999997</v>
      </c>
      <c r="AT257" s="1868">
        <v>5.1557900000000005</v>
      </c>
      <c r="AU257" s="1868">
        <v>5.6847699999999994</v>
      </c>
      <c r="AV257" s="1868">
        <v>5.4468399999999999</v>
      </c>
      <c r="AW257" s="1868">
        <v>4.9642400000000002</v>
      </c>
      <c r="AX257" s="1868">
        <v>5.0336499999999997</v>
      </c>
      <c r="AY257" s="1868">
        <v>6.5688800000000001</v>
      </c>
      <c r="AZ257" s="1868">
        <v>7.0293600000000005</v>
      </c>
      <c r="BA257" s="1868">
        <v>6.7155199999999997</v>
      </c>
    </row>
    <row r="258" spans="1:53">
      <c r="A258" s="1865" t="str">
        <f t="shared" si="3"/>
        <v>OceaniaFibre Crops Nes</v>
      </c>
      <c r="B258" s="1866" t="s">
        <v>308</v>
      </c>
      <c r="C258" s="1866" t="s">
        <v>1376</v>
      </c>
      <c r="D258" s="1868">
        <v>1.08484</v>
      </c>
      <c r="E258" s="1868">
        <v>0.34105999999999997</v>
      </c>
      <c r="F258" s="1868">
        <v>0.30021999999999999</v>
      </c>
      <c r="G258" s="1868">
        <v>0.30543000000000003</v>
      </c>
      <c r="H258" s="1868">
        <v>0.29770000000000002</v>
      </c>
      <c r="I258" s="1868">
        <v>0.314</v>
      </c>
      <c r="J258" s="1868">
        <v>0.27568999999999999</v>
      </c>
      <c r="K258" s="1868">
        <v>0.33258000000000004</v>
      </c>
      <c r="L258" s="1868">
        <v>0.30157</v>
      </c>
      <c r="M258" s="1868">
        <v>0.30059999999999998</v>
      </c>
      <c r="N258" s="1868">
        <v>0.29973</v>
      </c>
      <c r="O258" s="1868">
        <v>0.29286000000000001</v>
      </c>
      <c r="P258" s="1868">
        <v>0.29286000000000001</v>
      </c>
      <c r="Q258" s="1868">
        <v>0.29286000000000001</v>
      </c>
      <c r="R258" s="1868">
        <v>0.3</v>
      </c>
      <c r="S258" s="1868">
        <v>0.3</v>
      </c>
      <c r="T258" s="1868">
        <v>0.3</v>
      </c>
      <c r="U258" s="1868">
        <v>0.3</v>
      </c>
      <c r="V258" s="1868">
        <v>0.31</v>
      </c>
      <c r="W258" s="1868">
        <v>0.31</v>
      </c>
      <c r="X258" s="1868">
        <v>0.32500000000000001</v>
      </c>
      <c r="Y258" s="1868">
        <v>0.32500000000000001</v>
      </c>
      <c r="Z258" s="1868">
        <v>0.35</v>
      </c>
      <c r="AA258" s="1868">
        <v>0.35</v>
      </c>
      <c r="AB258" s="1868">
        <v>0.35</v>
      </c>
      <c r="AC258" s="1868">
        <v>0.4</v>
      </c>
      <c r="AD258" s="1868">
        <v>0.4</v>
      </c>
      <c r="AE258" s="1868">
        <v>0.4</v>
      </c>
      <c r="AF258" s="1868">
        <v>0.4</v>
      </c>
      <c r="AG258" s="1868">
        <v>0.39141999999999999</v>
      </c>
      <c r="AH258" s="1868">
        <v>0.41711999999999999</v>
      </c>
      <c r="AI258" s="1868">
        <v>0.48371999999999998</v>
      </c>
      <c r="AJ258" s="1868">
        <v>0.46189999999999998</v>
      </c>
      <c r="AK258" s="1868">
        <v>0.57778000000000007</v>
      </c>
      <c r="AL258" s="1868">
        <v>0.58477999999999997</v>
      </c>
      <c r="AM258" s="1868">
        <v>0.61199999999999999</v>
      </c>
      <c r="AN258" s="1868">
        <v>0.62844999999999995</v>
      </c>
      <c r="AO258" s="1868">
        <v>0.66508999999999996</v>
      </c>
      <c r="AP258" s="1868">
        <v>0.64218999999999993</v>
      </c>
      <c r="AQ258" s="1868">
        <v>0.59667000000000003</v>
      </c>
      <c r="AR258" s="1868">
        <v>0.59808000000000006</v>
      </c>
      <c r="AS258" s="1868">
        <v>0.59936</v>
      </c>
      <c r="AT258" s="1868">
        <v>0.57972999999999997</v>
      </c>
      <c r="AU258" s="1868">
        <v>0.55143999999999993</v>
      </c>
      <c r="AV258" s="1868">
        <v>0.55723</v>
      </c>
      <c r="AW258" s="1868">
        <v>0.57773999999999992</v>
      </c>
      <c r="AX258" s="1868">
        <v>0.54081000000000001</v>
      </c>
      <c r="AY258" s="1868">
        <v>0.38886999999999999</v>
      </c>
      <c r="AZ258" s="1868">
        <v>0.50307000000000002</v>
      </c>
      <c r="BA258" s="1868">
        <v>0.69564999999999999</v>
      </c>
    </row>
    <row r="259" spans="1:53">
      <c r="A259" s="1865" t="str">
        <f t="shared" si="3"/>
        <v>OceaniaGrapefruit (inc. pomelos)</v>
      </c>
      <c r="B259" s="1866" t="s">
        <v>308</v>
      </c>
      <c r="C259" s="1866" t="s">
        <v>1377</v>
      </c>
      <c r="D259" s="1868">
        <v>16.695920000000001</v>
      </c>
      <c r="E259" s="1868">
        <v>18.427710000000001</v>
      </c>
      <c r="F259" s="1868">
        <v>21.15982</v>
      </c>
      <c r="G259" s="1868">
        <v>19.577779999999997</v>
      </c>
      <c r="H259" s="1868">
        <v>20.022760000000002</v>
      </c>
      <c r="I259" s="1868">
        <v>19.738600000000002</v>
      </c>
      <c r="J259" s="1868">
        <v>17.849420000000002</v>
      </c>
      <c r="K259" s="1868">
        <v>21.49419</v>
      </c>
      <c r="L259" s="1868">
        <v>17.23573</v>
      </c>
      <c r="M259" s="1868">
        <v>21.83812</v>
      </c>
      <c r="N259" s="1868">
        <v>17.870460000000001</v>
      </c>
      <c r="O259" s="1868">
        <v>18.131799999999998</v>
      </c>
      <c r="P259" s="1868">
        <v>13.156479999999998</v>
      </c>
      <c r="Q259" s="1868">
        <v>13.772670000000002</v>
      </c>
      <c r="R259" s="1868">
        <v>13.421200000000001</v>
      </c>
      <c r="S259" s="1868">
        <v>16.023139999999998</v>
      </c>
      <c r="T259" s="1868">
        <v>17.74194</v>
      </c>
      <c r="U259" s="1868">
        <v>18.594439999999999</v>
      </c>
      <c r="V259" s="1868">
        <v>21.05274</v>
      </c>
      <c r="W259" s="1868">
        <v>24.859820000000003</v>
      </c>
      <c r="X259" s="1868">
        <v>25.52356</v>
      </c>
      <c r="Y259" s="1868">
        <v>23.814160000000001</v>
      </c>
      <c r="Z259" s="1868">
        <v>25.33398</v>
      </c>
      <c r="AA259" s="1868">
        <v>30.20777</v>
      </c>
      <c r="AB259" s="1868">
        <v>30.075129999999998</v>
      </c>
      <c r="AC259" s="1868">
        <v>32.112079999999999</v>
      </c>
      <c r="AD259" s="1868">
        <v>30.174050000000001</v>
      </c>
      <c r="AE259" s="1868">
        <v>31.191309999999998</v>
      </c>
      <c r="AF259" s="1868">
        <v>29.986149999999999</v>
      </c>
      <c r="AG259" s="1868">
        <v>29.394500000000001</v>
      </c>
      <c r="AH259" s="1868">
        <v>28.027429999999999</v>
      </c>
      <c r="AI259" s="1868">
        <v>27.853809999999999</v>
      </c>
      <c r="AJ259" s="1868">
        <v>29.821650000000002</v>
      </c>
      <c r="AK259" s="1868">
        <v>25.722110000000001</v>
      </c>
      <c r="AL259" s="1868">
        <v>25.576320000000003</v>
      </c>
      <c r="AM259" s="1868">
        <v>32.74371</v>
      </c>
      <c r="AN259" s="1868">
        <v>18.702490000000001</v>
      </c>
      <c r="AO259" s="1868">
        <v>23.58004</v>
      </c>
      <c r="AP259" s="1868">
        <v>18.867049999999999</v>
      </c>
      <c r="AQ259" s="1868">
        <v>13.808270000000002</v>
      </c>
      <c r="AR259" s="1868">
        <v>10.66071</v>
      </c>
      <c r="AS259" s="1868">
        <v>11.49039</v>
      </c>
      <c r="AT259" s="1868">
        <v>14.4292</v>
      </c>
      <c r="AU259" s="1868">
        <v>12.29743</v>
      </c>
      <c r="AV259" s="1868">
        <v>14.89908</v>
      </c>
      <c r="AW259" s="1868">
        <v>11.369539999999999</v>
      </c>
      <c r="AX259" s="1868">
        <v>15.069800000000001</v>
      </c>
      <c r="AY259" s="1868">
        <v>15.2135</v>
      </c>
      <c r="AZ259" s="1868">
        <v>14.25414</v>
      </c>
      <c r="BA259" s="1868">
        <v>15.329029999999999</v>
      </c>
    </row>
    <row r="260" spans="1:53">
      <c r="A260" s="1865" t="str">
        <f t="shared" ref="A260:A323" si="4">CONCATENATE(B260,C260)</f>
        <v>OceaniaGrapes</v>
      </c>
      <c r="B260" s="1866" t="s">
        <v>308</v>
      </c>
      <c r="C260" s="1866" t="s">
        <v>1378</v>
      </c>
      <c r="D260" s="1868">
        <v>10.85713</v>
      </c>
      <c r="E260" s="1868">
        <v>12.912410000000001</v>
      </c>
      <c r="F260" s="1868">
        <v>9.7439199999999992</v>
      </c>
      <c r="G260" s="1868">
        <v>13.2812</v>
      </c>
      <c r="H260" s="1868">
        <v>13.614599999999999</v>
      </c>
      <c r="I260" s="1868">
        <v>11.54529</v>
      </c>
      <c r="J260" s="1868">
        <v>13.535539999999999</v>
      </c>
      <c r="K260" s="1868">
        <v>12.423069999999999</v>
      </c>
      <c r="L260" s="1868">
        <v>10.879389999999999</v>
      </c>
      <c r="M260" s="1868">
        <v>14.472129999999998</v>
      </c>
      <c r="N260" s="1868">
        <v>10.305289999999999</v>
      </c>
      <c r="O260" s="1868">
        <v>14.426960000000001</v>
      </c>
      <c r="P260" s="1868">
        <v>10.14044</v>
      </c>
      <c r="Q260" s="1868">
        <v>8.8851200000000006</v>
      </c>
      <c r="R260" s="1868">
        <v>11.325419999999999</v>
      </c>
      <c r="S260" s="1868">
        <v>11.21256</v>
      </c>
      <c r="T260" s="1868">
        <v>11.23565</v>
      </c>
      <c r="U260" s="1868">
        <v>10.616810000000001</v>
      </c>
      <c r="V260" s="1868">
        <v>10.808489999999999</v>
      </c>
      <c r="W260" s="1868">
        <v>12.87814</v>
      </c>
      <c r="X260" s="1868">
        <v>11.162939999999999</v>
      </c>
      <c r="Y260" s="1868">
        <v>13.658950000000001</v>
      </c>
      <c r="Z260" s="1868">
        <v>12.491289999999999</v>
      </c>
      <c r="AA260" s="1868">
        <v>13.543620000000001</v>
      </c>
      <c r="AB260" s="1868">
        <v>14.684729999999998</v>
      </c>
      <c r="AC260" s="1868">
        <v>14.976379999999999</v>
      </c>
      <c r="AD260" s="1868">
        <v>14.295529999999999</v>
      </c>
      <c r="AE260" s="1868">
        <v>14.661570000000001</v>
      </c>
      <c r="AF260" s="1868">
        <v>15.790770000000002</v>
      </c>
      <c r="AG260" s="1868">
        <v>15.214789999999999</v>
      </c>
      <c r="AH260" s="1868">
        <v>15.305820000000001</v>
      </c>
      <c r="AI260" s="1868">
        <v>16.77055</v>
      </c>
      <c r="AJ260" s="1868">
        <v>12.958060000000001</v>
      </c>
      <c r="AK260" s="1868">
        <v>14.42981</v>
      </c>
      <c r="AL260" s="1868">
        <v>12.299849999999999</v>
      </c>
      <c r="AM260" s="1868">
        <v>16.25637</v>
      </c>
      <c r="AN260" s="1868">
        <v>12.61317</v>
      </c>
      <c r="AO260" s="1868">
        <v>13.896000000000001</v>
      </c>
      <c r="AP260" s="1868">
        <v>12.89767</v>
      </c>
      <c r="AQ260" s="1868">
        <v>11.516970000000001</v>
      </c>
      <c r="AR260" s="1868">
        <v>11.36819</v>
      </c>
      <c r="AS260" s="1868">
        <v>11.915179999999999</v>
      </c>
      <c r="AT260" s="1868">
        <v>9.9206099999999999</v>
      </c>
      <c r="AU260" s="1868">
        <v>12.927199999999999</v>
      </c>
      <c r="AV260" s="1868">
        <v>12.44791</v>
      </c>
      <c r="AW260" s="1868">
        <v>11.98232</v>
      </c>
      <c r="AX260" s="1868">
        <v>8.88809</v>
      </c>
      <c r="AY260" s="1868">
        <v>10.93962</v>
      </c>
      <c r="AZ260" s="1868">
        <v>9.8470600000000008</v>
      </c>
      <c r="BA260" s="1868">
        <v>9.6058899999999987</v>
      </c>
    </row>
    <row r="261" spans="1:53">
      <c r="A261" s="1865" t="str">
        <f t="shared" si="4"/>
        <v>OceaniaGroundnuts, with shell</v>
      </c>
      <c r="B261" s="1866" t="s">
        <v>308</v>
      </c>
      <c r="C261" s="1866" t="s">
        <v>1379</v>
      </c>
      <c r="D261" s="1868">
        <v>1.30338</v>
      </c>
      <c r="E261" s="1868">
        <v>1.1300700000000001</v>
      </c>
      <c r="F261" s="1868">
        <v>1.04572</v>
      </c>
      <c r="G261" s="1868">
        <v>1.17787</v>
      </c>
      <c r="H261" s="1868">
        <v>0.59233000000000002</v>
      </c>
      <c r="I261" s="1868">
        <v>1.15326</v>
      </c>
      <c r="J261" s="1868">
        <v>1.4214599999999999</v>
      </c>
      <c r="K261" s="1868">
        <v>1.1755500000000001</v>
      </c>
      <c r="L261" s="1868">
        <v>0.57113000000000003</v>
      </c>
      <c r="M261" s="1868">
        <v>1.21444</v>
      </c>
      <c r="N261" s="1868">
        <v>0.81141000000000008</v>
      </c>
      <c r="O261" s="1868">
        <v>1.29186</v>
      </c>
      <c r="P261" s="1868">
        <v>1.25047</v>
      </c>
      <c r="Q261" s="1868">
        <v>1.0825</v>
      </c>
      <c r="R261" s="1868">
        <v>1.27128</v>
      </c>
      <c r="S261" s="1868">
        <v>1.2588299999999999</v>
      </c>
      <c r="T261" s="1868">
        <v>1.0228299999999999</v>
      </c>
      <c r="U261" s="1868">
        <v>1.25091</v>
      </c>
      <c r="V261" s="1868">
        <v>1.6177999999999999</v>
      </c>
      <c r="W261" s="1868">
        <v>1.2024600000000001</v>
      </c>
      <c r="X261" s="1868">
        <v>1.51034</v>
      </c>
      <c r="Y261" s="1868">
        <v>1.64238</v>
      </c>
      <c r="Z261" s="1868">
        <v>0.69073000000000007</v>
      </c>
      <c r="AA261" s="1868">
        <v>1.4159600000000001</v>
      </c>
      <c r="AB261" s="1868">
        <v>1.3646499999999999</v>
      </c>
      <c r="AC261" s="1868">
        <v>1.4266799999999999</v>
      </c>
      <c r="AD261" s="1868">
        <v>1.35639</v>
      </c>
      <c r="AE261" s="1868">
        <v>1.19181</v>
      </c>
      <c r="AF261" s="1868">
        <v>1.4107299999999998</v>
      </c>
      <c r="AG261" s="1868">
        <v>1.3029299999999999</v>
      </c>
      <c r="AH261" s="1868">
        <v>1.81105</v>
      </c>
      <c r="AI261" s="1868">
        <v>1.3231200000000001</v>
      </c>
      <c r="AJ261" s="1868">
        <v>1.9059900000000001</v>
      </c>
      <c r="AK261" s="1868">
        <v>1.67428</v>
      </c>
      <c r="AL261" s="1868">
        <v>1.7306099999999998</v>
      </c>
      <c r="AM261" s="1868">
        <v>1.6351</v>
      </c>
      <c r="AN261" s="1868">
        <v>1.6038700000000001</v>
      </c>
      <c r="AO261" s="1868">
        <v>1.6494799999999998</v>
      </c>
      <c r="AP261" s="1868">
        <v>1.91839</v>
      </c>
      <c r="AQ261" s="1868">
        <v>1.7977099999999999</v>
      </c>
      <c r="AR261" s="1868">
        <v>2.1511900000000002</v>
      </c>
      <c r="AS261" s="1868">
        <v>2.35826</v>
      </c>
      <c r="AT261" s="1868">
        <v>2.6743600000000001</v>
      </c>
      <c r="AU261" s="1868">
        <v>1.9438599999999999</v>
      </c>
      <c r="AV261" s="1868">
        <v>2.0168499999999998</v>
      </c>
      <c r="AW261" s="1868">
        <v>1.7509700000000001</v>
      </c>
      <c r="AX261" s="1868">
        <v>1.28186</v>
      </c>
      <c r="AY261" s="1868">
        <v>1.6497599999999999</v>
      </c>
      <c r="AZ261" s="1868">
        <v>1.59795</v>
      </c>
      <c r="BA261" s="1868">
        <v>1.7790099999999998</v>
      </c>
    </row>
    <row r="262" spans="1:53">
      <c r="A262" s="1865" t="str">
        <f t="shared" si="4"/>
        <v>OceaniaLeguminous vegetables, nes</v>
      </c>
      <c r="B262" s="1866" t="s">
        <v>308</v>
      </c>
      <c r="C262" s="1866" t="s">
        <v>1380</v>
      </c>
      <c r="D262" s="1868">
        <v>7.5</v>
      </c>
      <c r="E262" s="1868">
        <v>8</v>
      </c>
      <c r="F262" s="1868">
        <v>6.5</v>
      </c>
      <c r="G262" s="1868">
        <v>8.3333300000000001</v>
      </c>
      <c r="H262" s="1868">
        <v>8.2304499999999994</v>
      </c>
      <c r="I262" s="1868">
        <v>7.5</v>
      </c>
      <c r="J262" s="1868">
        <v>7.5</v>
      </c>
      <c r="K262" s="1868">
        <v>7.5</v>
      </c>
      <c r="L262" s="1868">
        <v>2</v>
      </c>
      <c r="M262" s="1868">
        <v>2</v>
      </c>
      <c r="N262" s="1868">
        <v>2.8721799999999997</v>
      </c>
      <c r="O262" s="1868">
        <v>1.54158</v>
      </c>
      <c r="P262" s="1868">
        <v>1.6153899999999999</v>
      </c>
      <c r="Q262" s="1868">
        <v>2.2310599999999998</v>
      </c>
      <c r="R262" s="1868">
        <v>1.6679700000000002</v>
      </c>
      <c r="S262" s="1868">
        <v>3.7832199999999996</v>
      </c>
      <c r="T262" s="1868">
        <v>2.7346900000000001</v>
      </c>
      <c r="U262" s="1868">
        <v>4.33474</v>
      </c>
      <c r="V262" s="1868">
        <v>3.8559999999999999</v>
      </c>
      <c r="W262" s="1868">
        <v>3.8471599999999997</v>
      </c>
      <c r="X262" s="1868">
        <v>3.1585799999999997</v>
      </c>
      <c r="Y262" s="1868">
        <v>3.6878800000000003</v>
      </c>
      <c r="Z262" s="1868">
        <v>3.5</v>
      </c>
      <c r="AA262" s="1868">
        <v>3.6666699999999999</v>
      </c>
      <c r="AB262" s="1868">
        <v>3.6</v>
      </c>
      <c r="AC262" s="1868">
        <v>3.5634699999999997</v>
      </c>
      <c r="AD262" s="1868">
        <v>3.6478000000000002</v>
      </c>
      <c r="AE262" s="1868">
        <v>3.6470599999999997</v>
      </c>
      <c r="AF262" s="1868">
        <v>3.6470599999999997</v>
      </c>
      <c r="AG262" s="1868">
        <v>3.5087699999999997</v>
      </c>
      <c r="AH262" s="1868">
        <v>3.3333300000000001</v>
      </c>
      <c r="AI262" s="1868">
        <v>3.75</v>
      </c>
      <c r="AJ262" s="1868">
        <v>3.4632000000000001</v>
      </c>
      <c r="AK262" s="1868">
        <v>4</v>
      </c>
      <c r="AL262" s="1868">
        <v>5</v>
      </c>
      <c r="AM262" s="1868">
        <v>7.5471699999999995</v>
      </c>
      <c r="AN262" s="1868">
        <v>7.6923100000000009</v>
      </c>
      <c r="AO262" s="1868">
        <v>7.6923100000000009</v>
      </c>
      <c r="AP262" s="1868">
        <v>7.6923100000000009</v>
      </c>
      <c r="AQ262" s="1868">
        <v>7.6923100000000009</v>
      </c>
      <c r="AR262" s="1868">
        <v>7.6923100000000009</v>
      </c>
      <c r="AS262" s="1868">
        <v>7.6923100000000009</v>
      </c>
      <c r="AT262" s="1868">
        <v>7.6923100000000009</v>
      </c>
      <c r="AU262" s="1868">
        <v>8.3871000000000002</v>
      </c>
      <c r="AV262" s="1868">
        <v>7.1417299999999999</v>
      </c>
      <c r="AW262" s="1868">
        <v>10.182689999999999</v>
      </c>
      <c r="AX262" s="1868">
        <v>9.0964899999999993</v>
      </c>
      <c r="AY262" s="1868">
        <v>10.393939999999999</v>
      </c>
      <c r="AZ262" s="1868">
        <v>10.01923</v>
      </c>
      <c r="BA262" s="1868">
        <v>10</v>
      </c>
    </row>
    <row r="263" spans="1:53">
      <c r="A263" s="1865" t="str">
        <f t="shared" si="4"/>
        <v>OceaniaLinseed</v>
      </c>
      <c r="B263" s="1866" t="s">
        <v>308</v>
      </c>
      <c r="C263" s="1866" t="s">
        <v>1381</v>
      </c>
      <c r="D263" s="1868">
        <v>0.60093999999999992</v>
      </c>
      <c r="E263" s="1868">
        <v>0.74738000000000004</v>
      </c>
      <c r="F263" s="1868">
        <v>0.74316000000000004</v>
      </c>
      <c r="G263" s="1868">
        <v>0.94071000000000005</v>
      </c>
      <c r="H263" s="1868">
        <v>0.85787999999999998</v>
      </c>
      <c r="I263" s="1868">
        <v>1.0741399999999999</v>
      </c>
      <c r="J263" s="1868">
        <v>0.68452999999999997</v>
      </c>
      <c r="K263" s="1868">
        <v>0.80147000000000002</v>
      </c>
      <c r="L263" s="1868">
        <v>0.86632999999999993</v>
      </c>
      <c r="M263" s="1868">
        <v>0.92015000000000002</v>
      </c>
      <c r="N263" s="1868">
        <v>0.86058999999999997</v>
      </c>
      <c r="O263" s="1868">
        <v>1.0174000000000001</v>
      </c>
      <c r="P263" s="1868">
        <v>1.1071200000000001</v>
      </c>
      <c r="Q263" s="1868">
        <v>1.0258200000000002</v>
      </c>
      <c r="R263" s="1868">
        <v>1.1570100000000001</v>
      </c>
      <c r="S263" s="1868">
        <v>1.2977000000000001</v>
      </c>
      <c r="T263" s="1868">
        <v>0.76051999999999997</v>
      </c>
      <c r="U263" s="1868">
        <v>1.28762</v>
      </c>
      <c r="V263" s="1868">
        <v>1.0313000000000001</v>
      </c>
      <c r="W263" s="1868">
        <v>0.91411000000000009</v>
      </c>
      <c r="X263" s="1868">
        <v>1.1193299999999999</v>
      </c>
      <c r="Y263" s="1868">
        <v>0.84384999999999999</v>
      </c>
      <c r="Z263" s="1868">
        <v>0.90612999999999988</v>
      </c>
      <c r="AA263" s="1868">
        <v>1.0642100000000001</v>
      </c>
      <c r="AB263" s="1868">
        <v>1.2008799999999999</v>
      </c>
      <c r="AC263" s="1868">
        <v>0.99034999999999995</v>
      </c>
      <c r="AD263" s="1868">
        <v>0.93400000000000005</v>
      </c>
      <c r="AE263" s="1868">
        <v>1.03226</v>
      </c>
      <c r="AF263" s="1868">
        <v>1.05166</v>
      </c>
      <c r="AG263" s="1868">
        <v>1.0335399999999999</v>
      </c>
      <c r="AH263" s="1868">
        <v>1.0006700000000002</v>
      </c>
      <c r="AI263" s="1868">
        <v>0.83418999999999999</v>
      </c>
      <c r="AJ263" s="1868">
        <v>1.21116</v>
      </c>
      <c r="AK263" s="1868">
        <v>1.12426</v>
      </c>
      <c r="AL263" s="1868">
        <v>0.77906999999999993</v>
      </c>
      <c r="AM263" s="1868">
        <v>1.14219</v>
      </c>
      <c r="AN263" s="1868">
        <v>0.94117999999999991</v>
      </c>
      <c r="AO263" s="1868">
        <v>1.0229700000000002</v>
      </c>
      <c r="AP263" s="1868">
        <v>1.0367600000000001</v>
      </c>
      <c r="AQ263" s="1868">
        <v>0.95327000000000006</v>
      </c>
      <c r="AR263" s="1868">
        <v>0.94392999999999994</v>
      </c>
      <c r="AS263" s="1868">
        <v>1.05263</v>
      </c>
      <c r="AT263" s="1868">
        <v>1.0731700000000002</v>
      </c>
      <c r="AU263" s="1868">
        <v>1.0652200000000001</v>
      </c>
      <c r="AV263" s="1868">
        <v>1.0652200000000001</v>
      </c>
      <c r="AW263" s="1868">
        <v>0.88</v>
      </c>
      <c r="AX263" s="1868">
        <v>0.96256000000000008</v>
      </c>
      <c r="AY263" s="1868">
        <v>1.07643</v>
      </c>
      <c r="AZ263" s="1868">
        <v>1.14821</v>
      </c>
      <c r="BA263" s="1868">
        <v>1.1686799999999999</v>
      </c>
    </row>
    <row r="264" spans="1:53">
      <c r="A264" s="1865" t="str">
        <f t="shared" si="4"/>
        <v>OceaniaMaize</v>
      </c>
      <c r="B264" s="1866" t="s">
        <v>308</v>
      </c>
      <c r="C264" s="1866" t="s">
        <v>1382</v>
      </c>
      <c r="D264" s="1868">
        <v>2.1533500000000001</v>
      </c>
      <c r="E264" s="1868">
        <v>2.2385099999999998</v>
      </c>
      <c r="F264" s="1868">
        <v>2.3054000000000001</v>
      </c>
      <c r="G264" s="1868">
        <v>2.0743499999999999</v>
      </c>
      <c r="H264" s="1868">
        <v>2.1888999999999998</v>
      </c>
      <c r="I264" s="1868">
        <v>1.7332400000000001</v>
      </c>
      <c r="J264" s="1868">
        <v>2.4429599999999998</v>
      </c>
      <c r="K264" s="1868">
        <v>2.4706799999999998</v>
      </c>
      <c r="L264" s="1868">
        <v>2.6833999999999998</v>
      </c>
      <c r="M264" s="1868">
        <v>2.8150200000000001</v>
      </c>
      <c r="N264" s="1868">
        <v>3.1706500000000002</v>
      </c>
      <c r="O264" s="1868">
        <v>3.5054800000000004</v>
      </c>
      <c r="P264" s="1868">
        <v>3.5035599999999998</v>
      </c>
      <c r="Q264" s="1868">
        <v>3.2793300000000003</v>
      </c>
      <c r="R264" s="1868">
        <v>3.9741</v>
      </c>
      <c r="S264" s="1868">
        <v>4.2625800000000007</v>
      </c>
      <c r="T264" s="1868">
        <v>4.2638199999999999</v>
      </c>
      <c r="U264" s="1868">
        <v>4.2105100000000002</v>
      </c>
      <c r="V264" s="1868">
        <v>4.6920999999999999</v>
      </c>
      <c r="W264" s="1868">
        <v>4.0874100000000002</v>
      </c>
      <c r="X264" s="1868">
        <v>4.2883599999999999</v>
      </c>
      <c r="Y264" s="1868">
        <v>4.6603399999999997</v>
      </c>
      <c r="Z264" s="1868">
        <v>3.3855800000000005</v>
      </c>
      <c r="AA264" s="1868">
        <v>4.4454599999999997</v>
      </c>
      <c r="AB264" s="1868">
        <v>3.8179699999999999</v>
      </c>
      <c r="AC264" s="1868">
        <v>4.4131900000000002</v>
      </c>
      <c r="AD264" s="1868">
        <v>4.8406799999999999</v>
      </c>
      <c r="AE264" s="1868">
        <v>4.6661400000000004</v>
      </c>
      <c r="AF264" s="1868">
        <v>5.1467199999999993</v>
      </c>
      <c r="AG264" s="1868">
        <v>5.2502900000000006</v>
      </c>
      <c r="AH264" s="1868">
        <v>5.4090300000000004</v>
      </c>
      <c r="AI264" s="1868">
        <v>5.9954199999999993</v>
      </c>
      <c r="AJ264" s="1868">
        <v>5.2736599999999996</v>
      </c>
      <c r="AK264" s="1868">
        <v>5.74709</v>
      </c>
      <c r="AL264" s="1868">
        <v>5.8488899999999999</v>
      </c>
      <c r="AM264" s="1868">
        <v>6.8799199999999994</v>
      </c>
      <c r="AN264" s="1868">
        <v>6.6698300000000001</v>
      </c>
      <c r="AO264" s="1868">
        <v>5.8744100000000001</v>
      </c>
      <c r="AP264" s="1868">
        <v>6.1052499999999998</v>
      </c>
      <c r="AQ264" s="1868">
        <v>5.7323300000000001</v>
      </c>
      <c r="AR264" s="1868">
        <v>5.5941099999999997</v>
      </c>
      <c r="AS264" s="1868">
        <v>6.0403699999999994</v>
      </c>
      <c r="AT264" s="1868">
        <v>7.1642600000000005</v>
      </c>
      <c r="AU264" s="1868">
        <v>6.41683</v>
      </c>
      <c r="AV264" s="1868">
        <v>6.6546600000000007</v>
      </c>
      <c r="AW264" s="1868">
        <v>6.1818999999999997</v>
      </c>
      <c r="AX264" s="1868">
        <v>6.2339500000000001</v>
      </c>
      <c r="AY264" s="1868">
        <v>6.6599100000000009</v>
      </c>
      <c r="AZ264" s="1868">
        <v>6.9209500000000004</v>
      </c>
      <c r="BA264" s="1868">
        <v>6.5445400000000005</v>
      </c>
    </row>
    <row r="265" spans="1:53">
      <c r="A265" s="1865" t="str">
        <f t="shared" si="4"/>
        <v>OceaniaMaize, green</v>
      </c>
      <c r="B265" s="1866" t="s">
        <v>308</v>
      </c>
      <c r="C265" s="1866" t="s">
        <v>1383</v>
      </c>
      <c r="D265" s="1868">
        <v>10.048410000000001</v>
      </c>
      <c r="E265" s="1868">
        <v>10.03689</v>
      </c>
      <c r="F265" s="1868">
        <v>10.031130000000001</v>
      </c>
      <c r="G265" s="1868">
        <v>10.02651</v>
      </c>
      <c r="H265" s="1868">
        <v>10.012789999999999</v>
      </c>
      <c r="I265" s="1868">
        <v>9.9297899999999988</v>
      </c>
      <c r="J265" s="1868">
        <v>10.087429999999999</v>
      </c>
      <c r="K265" s="1868">
        <v>10.309189999999999</v>
      </c>
      <c r="L265" s="1868">
        <v>10.156560000000001</v>
      </c>
      <c r="M265" s="1868">
        <v>10.072010000000001</v>
      </c>
      <c r="N265" s="1868">
        <v>10.362160000000001</v>
      </c>
      <c r="O265" s="1868">
        <v>10.306950000000001</v>
      </c>
      <c r="P265" s="1868">
        <v>10.25526</v>
      </c>
      <c r="Q265" s="1868">
        <v>10.187810000000001</v>
      </c>
      <c r="R265" s="1868">
        <v>10.19679</v>
      </c>
      <c r="S265" s="1868">
        <v>9.9169100000000014</v>
      </c>
      <c r="T265" s="1868">
        <v>10.1889</v>
      </c>
      <c r="U265" s="1868">
        <v>10.72838</v>
      </c>
      <c r="V265" s="1868">
        <v>10.589549999999999</v>
      </c>
      <c r="W265" s="1868">
        <v>10.557639999999999</v>
      </c>
      <c r="X265" s="1868">
        <v>10.50822</v>
      </c>
      <c r="Y265" s="1868">
        <v>10.187799999999999</v>
      </c>
      <c r="Z265" s="1868">
        <v>10.73137</v>
      </c>
      <c r="AA265" s="1868">
        <v>10.441189999999999</v>
      </c>
      <c r="AB265" s="1868">
        <v>10.72667</v>
      </c>
      <c r="AC265" s="1868">
        <v>10.978300000000001</v>
      </c>
      <c r="AD265" s="1868">
        <v>11.07114</v>
      </c>
      <c r="AE265" s="1868">
        <v>11.19745</v>
      </c>
      <c r="AF265" s="1868">
        <v>11.23054</v>
      </c>
      <c r="AG265" s="1868">
        <v>11.376610000000001</v>
      </c>
      <c r="AH265" s="1868">
        <v>11.474449999999999</v>
      </c>
      <c r="AI265" s="1868">
        <v>10.786539999999999</v>
      </c>
      <c r="AJ265" s="1868">
        <v>10.752660000000001</v>
      </c>
      <c r="AK265" s="1868">
        <v>11.150039999999999</v>
      </c>
      <c r="AL265" s="1868">
        <v>11.677339999999999</v>
      </c>
      <c r="AM265" s="1868">
        <v>11.391860000000001</v>
      </c>
      <c r="AN265" s="1868">
        <v>11.196339999999999</v>
      </c>
      <c r="AO265" s="1868">
        <v>11.31729</v>
      </c>
      <c r="AP265" s="1868">
        <v>11.12618</v>
      </c>
      <c r="AQ265" s="1868">
        <v>10.989230000000001</v>
      </c>
      <c r="AR265" s="1868">
        <v>11.2028</v>
      </c>
      <c r="AS265" s="1868">
        <v>11.68627</v>
      </c>
      <c r="AT265" s="1868">
        <v>10.629250000000001</v>
      </c>
      <c r="AU265" s="1868">
        <v>11.360279999999999</v>
      </c>
      <c r="AV265" s="1868">
        <v>10.494619999999999</v>
      </c>
      <c r="AW265" s="1868">
        <v>11.155799999999999</v>
      </c>
      <c r="AX265" s="1868">
        <v>11.27487</v>
      </c>
      <c r="AY265" s="1868">
        <v>12.8827</v>
      </c>
      <c r="AZ265" s="1868">
        <v>13.193370000000002</v>
      </c>
      <c r="BA265" s="1868">
        <v>12.620100000000001</v>
      </c>
    </row>
    <row r="266" spans="1:53">
      <c r="A266" s="1865" t="str">
        <f t="shared" si="4"/>
        <v>OceaniaMangoes, mangosteens, guavas</v>
      </c>
      <c r="B266" s="1866" t="s">
        <v>308</v>
      </c>
      <c r="C266" s="1866" t="s">
        <v>1384</v>
      </c>
      <c r="D266" s="1868">
        <v>13.626760000000001</v>
      </c>
      <c r="E266" s="1868">
        <v>13.869160000000001</v>
      </c>
      <c r="F266" s="1868">
        <v>13.44244</v>
      </c>
      <c r="G266" s="1868">
        <v>14.298249999999999</v>
      </c>
      <c r="H266" s="1868">
        <v>14.847670000000001</v>
      </c>
      <c r="I266" s="1868">
        <v>14.3268</v>
      </c>
      <c r="J266" s="1868">
        <v>13.502970000000001</v>
      </c>
      <c r="K266" s="1868">
        <v>13.91813</v>
      </c>
      <c r="L266" s="1868">
        <v>14.037039999999999</v>
      </c>
      <c r="M266" s="1868">
        <v>13.58736</v>
      </c>
      <c r="N266" s="1868">
        <v>14.082889999999999</v>
      </c>
      <c r="O266" s="1868">
        <v>13.106669999999999</v>
      </c>
      <c r="P266" s="1868">
        <v>12.81818</v>
      </c>
      <c r="Q266" s="1868">
        <v>12.476419999999999</v>
      </c>
      <c r="R266" s="1868">
        <v>13.270570000000001</v>
      </c>
      <c r="S266" s="1868">
        <v>13.654450000000001</v>
      </c>
      <c r="T266" s="1868">
        <v>14.09839</v>
      </c>
      <c r="U266" s="1868">
        <v>13.65124</v>
      </c>
      <c r="V266" s="1868">
        <v>11.92318</v>
      </c>
      <c r="W266" s="1868">
        <v>12.238710000000001</v>
      </c>
      <c r="X266" s="1868">
        <v>9.5265500000000003</v>
      </c>
      <c r="Y266" s="1868">
        <v>9.7497699999999998</v>
      </c>
      <c r="Z266" s="1868">
        <v>4.2063800000000002</v>
      </c>
      <c r="AA266" s="1868">
        <v>2.99308</v>
      </c>
      <c r="AB266" s="1868">
        <v>4.0616400000000006</v>
      </c>
      <c r="AC266" s="1868">
        <v>5.3384199999999993</v>
      </c>
      <c r="AD266" s="1868">
        <v>4.2931699999999999</v>
      </c>
      <c r="AE266" s="1868">
        <v>5.4450699999999994</v>
      </c>
      <c r="AF266" s="1868">
        <v>3.8723199999999998</v>
      </c>
      <c r="AG266" s="1868">
        <v>4.2762099999999998</v>
      </c>
      <c r="AH266" s="1868">
        <v>4.2612699999999997</v>
      </c>
      <c r="AI266" s="1868">
        <v>4.6241599999999998</v>
      </c>
      <c r="AJ266" s="1868">
        <v>4.5597799999999999</v>
      </c>
      <c r="AK266" s="1868">
        <v>3.9916099999999997</v>
      </c>
      <c r="AL266" s="1868">
        <v>5.6116699999999993</v>
      </c>
      <c r="AM266" s="1868">
        <v>5.1456800000000005</v>
      </c>
      <c r="AN266" s="1868">
        <v>5.63218</v>
      </c>
      <c r="AO266" s="1868">
        <v>5.83887</v>
      </c>
      <c r="AP266" s="1868">
        <v>5.01877</v>
      </c>
      <c r="AQ266" s="1868">
        <v>5.5961099999999995</v>
      </c>
      <c r="AR266" s="1868">
        <v>4.7859499999999997</v>
      </c>
      <c r="AS266" s="1868">
        <v>5.55708</v>
      </c>
      <c r="AT266" s="1868">
        <v>5.407</v>
      </c>
      <c r="AU266" s="1868">
        <v>5.0107900000000001</v>
      </c>
      <c r="AV266" s="1868">
        <v>6.5371199999999998</v>
      </c>
      <c r="AW266" s="1868">
        <v>6.6536800000000005</v>
      </c>
      <c r="AX266" s="1868">
        <v>6.4261599999999994</v>
      </c>
      <c r="AY266" s="1868">
        <v>5.5232800000000006</v>
      </c>
      <c r="AZ266" s="1868">
        <v>4.4375999999999998</v>
      </c>
      <c r="BA266" s="1868">
        <v>5.0138199999999999</v>
      </c>
    </row>
    <row r="267" spans="1:53">
      <c r="A267" s="1865" t="str">
        <f t="shared" si="4"/>
        <v>OceaniaMillet</v>
      </c>
      <c r="B267" s="1866" t="s">
        <v>308</v>
      </c>
      <c r="C267" s="1866" t="s">
        <v>1385</v>
      </c>
      <c r="D267" s="1868">
        <v>1.00901</v>
      </c>
      <c r="E267" s="1868">
        <v>1.10124</v>
      </c>
      <c r="F267" s="1868">
        <v>1.1507399999999999</v>
      </c>
      <c r="G267" s="1868">
        <v>0.96096000000000004</v>
      </c>
      <c r="H267" s="1868">
        <v>1.1091200000000001</v>
      </c>
      <c r="I267" s="1868">
        <v>0.86292999999999997</v>
      </c>
      <c r="J267" s="1868">
        <v>1.2155400000000001</v>
      </c>
      <c r="K267" s="1868">
        <v>1.02033</v>
      </c>
      <c r="L267" s="1868">
        <v>0.67154999999999998</v>
      </c>
      <c r="M267" s="1868">
        <v>0.89705000000000001</v>
      </c>
      <c r="N267" s="1868">
        <v>1.1595299999999999</v>
      </c>
      <c r="O267" s="1868">
        <v>1.0854999999999999</v>
      </c>
      <c r="P267" s="1868">
        <v>0.9573299999999999</v>
      </c>
      <c r="Q267" s="1868">
        <v>0.88290000000000002</v>
      </c>
      <c r="R267" s="1868">
        <v>0.97583999999999993</v>
      </c>
      <c r="S267" s="1868">
        <v>0.96809999999999996</v>
      </c>
      <c r="T267" s="1868">
        <v>0.77966999999999997</v>
      </c>
      <c r="U267" s="1868">
        <v>0.6573</v>
      </c>
      <c r="V267" s="1868">
        <v>1.1223399999999999</v>
      </c>
      <c r="W267" s="1868">
        <v>0.76976</v>
      </c>
      <c r="X267" s="1868">
        <v>1.0055700000000001</v>
      </c>
      <c r="Y267" s="1868">
        <v>1.1059000000000001</v>
      </c>
      <c r="Z267" s="1868">
        <v>0.81435000000000002</v>
      </c>
      <c r="AA267" s="1868">
        <v>1.15774</v>
      </c>
      <c r="AB267" s="1868">
        <v>0.88267999999999991</v>
      </c>
      <c r="AC267" s="1868">
        <v>1.03226</v>
      </c>
      <c r="AD267" s="1868">
        <v>0.92788999999999999</v>
      </c>
      <c r="AE267" s="1868">
        <v>1.29216</v>
      </c>
      <c r="AF267" s="1868">
        <v>0.79620000000000002</v>
      </c>
      <c r="AG267" s="1868">
        <v>1.1414600000000001</v>
      </c>
      <c r="AH267" s="1868">
        <v>0.65933999999999993</v>
      </c>
      <c r="AI267" s="1868">
        <v>1.2535799999999999</v>
      </c>
      <c r="AJ267" s="1868">
        <v>0.65288999999999997</v>
      </c>
      <c r="AK267" s="1868">
        <v>0.99007000000000012</v>
      </c>
      <c r="AL267" s="1868">
        <v>0.9973200000000001</v>
      </c>
      <c r="AM267" s="1868">
        <v>1.2981200000000002</v>
      </c>
      <c r="AN267" s="1868">
        <v>1.2</v>
      </c>
      <c r="AO267" s="1868">
        <v>0.96875</v>
      </c>
      <c r="AP267" s="1868">
        <v>1.2285700000000002</v>
      </c>
      <c r="AQ267" s="1868">
        <v>1.45743</v>
      </c>
      <c r="AR267" s="1868">
        <v>1.5277799999999999</v>
      </c>
      <c r="AS267" s="1868">
        <v>1.375</v>
      </c>
      <c r="AT267" s="1868">
        <v>0.89861000000000002</v>
      </c>
      <c r="AU267" s="1868">
        <v>1.2820799999999999</v>
      </c>
      <c r="AV267" s="1868">
        <v>1.0197799999999999</v>
      </c>
      <c r="AW267" s="1868">
        <v>1</v>
      </c>
      <c r="AX267" s="1868">
        <v>1</v>
      </c>
      <c r="AY267" s="1868">
        <v>1</v>
      </c>
      <c r="AZ267" s="1868">
        <v>0.95</v>
      </c>
      <c r="BA267" s="1868">
        <v>0.96597000000000011</v>
      </c>
    </row>
    <row r="268" spans="1:53">
      <c r="A268" s="1865" t="str">
        <f t="shared" si="4"/>
        <v>OceaniaOats</v>
      </c>
      <c r="B268" s="1866" t="s">
        <v>308</v>
      </c>
      <c r="C268" s="1866" t="s">
        <v>1349</v>
      </c>
      <c r="D268" s="1868">
        <v>0.82069999999999999</v>
      </c>
      <c r="E268" s="1868">
        <v>0.95276000000000005</v>
      </c>
      <c r="F268" s="1868">
        <v>0.90987000000000007</v>
      </c>
      <c r="G268" s="1868">
        <v>0.91073999999999999</v>
      </c>
      <c r="H268" s="1868">
        <v>0.74480000000000002</v>
      </c>
      <c r="I268" s="1868">
        <v>1.1425799999999999</v>
      </c>
      <c r="J268" s="1868">
        <v>0.54259000000000002</v>
      </c>
      <c r="K268" s="1868">
        <v>1.11022</v>
      </c>
      <c r="L268" s="1868">
        <v>0.9341799999999999</v>
      </c>
      <c r="M268" s="1868">
        <v>1.06132</v>
      </c>
      <c r="N268" s="1868">
        <v>1.0570200000000001</v>
      </c>
      <c r="O268" s="1868">
        <v>0.77661999999999998</v>
      </c>
      <c r="P268" s="1868">
        <v>0.96217000000000008</v>
      </c>
      <c r="Q268" s="1868">
        <v>1.0209700000000002</v>
      </c>
      <c r="R268" s="1868">
        <v>1.1829000000000001</v>
      </c>
      <c r="S268" s="1868">
        <v>1.10463</v>
      </c>
      <c r="T268" s="1868">
        <v>0.95947999999999989</v>
      </c>
      <c r="U268" s="1868">
        <v>1.31958</v>
      </c>
      <c r="V268" s="1868">
        <v>1.28722</v>
      </c>
      <c r="W268" s="1868">
        <v>1.0712200000000001</v>
      </c>
      <c r="X268" s="1868">
        <v>1.1868399999999999</v>
      </c>
      <c r="Y268" s="1868">
        <v>0.74026999999999998</v>
      </c>
      <c r="Z268" s="1868">
        <v>1.3244200000000002</v>
      </c>
      <c r="AA268" s="1868">
        <v>1.35961</v>
      </c>
      <c r="AB268" s="1868">
        <v>1.2761499999999999</v>
      </c>
      <c r="AC268" s="1868">
        <v>1.4169399999999999</v>
      </c>
      <c r="AD268" s="1868">
        <v>1.36958</v>
      </c>
      <c r="AE268" s="1868">
        <v>1.43343</v>
      </c>
      <c r="AF268" s="1868">
        <v>1.54111</v>
      </c>
      <c r="AG268" s="1868">
        <v>1.5115700000000001</v>
      </c>
      <c r="AH268" s="1868">
        <v>1.48709</v>
      </c>
      <c r="AI268" s="1868">
        <v>1.7144599999999999</v>
      </c>
      <c r="AJ268" s="1868">
        <v>1.7726200000000001</v>
      </c>
      <c r="AK268" s="1868">
        <v>1.07887</v>
      </c>
      <c r="AL268" s="1868">
        <v>1.6695200000000001</v>
      </c>
      <c r="AM268" s="1868">
        <v>1.5951500000000001</v>
      </c>
      <c r="AN268" s="1868">
        <v>1.7744900000000001</v>
      </c>
      <c r="AO268" s="1868">
        <v>2.0013099999999997</v>
      </c>
      <c r="AP268" s="1868">
        <v>1.95259</v>
      </c>
      <c r="AQ268" s="1868">
        <v>1.6495400000000002</v>
      </c>
      <c r="AR268" s="1868">
        <v>1.8458700000000001</v>
      </c>
      <c r="AS268" s="1868">
        <v>1.0801799999999999</v>
      </c>
      <c r="AT268" s="1868">
        <v>1.8703799999999999</v>
      </c>
      <c r="AU268" s="1868">
        <v>1.45461</v>
      </c>
      <c r="AV268" s="1868">
        <v>1.8320900000000002</v>
      </c>
      <c r="AW268" s="1868">
        <v>0.76988000000000001</v>
      </c>
      <c r="AX268" s="1868">
        <v>1.2301799999999998</v>
      </c>
      <c r="AY268" s="1868">
        <v>1.3541000000000001</v>
      </c>
      <c r="AZ268" s="1868">
        <v>1.3911799999999999</v>
      </c>
      <c r="BA268" s="1868">
        <v>1.6550200000000002</v>
      </c>
    </row>
    <row r="269" spans="1:53">
      <c r="A269" s="1865" t="str">
        <f t="shared" si="4"/>
        <v>OceaniaOil palm fruit</v>
      </c>
      <c r="B269" s="1866" t="s">
        <v>308</v>
      </c>
      <c r="C269" s="1866" t="s">
        <v>1386</v>
      </c>
      <c r="D269" s="1868">
        <v>18.181820000000002</v>
      </c>
      <c r="E269" s="1868">
        <v>18.181820000000002</v>
      </c>
      <c r="F269" s="1868">
        <v>18.181820000000002</v>
      </c>
      <c r="G269" s="1868">
        <v>18.181820000000002</v>
      </c>
      <c r="H269" s="1868">
        <v>18.181820000000002</v>
      </c>
      <c r="I269" s="1868">
        <v>18.181820000000002</v>
      </c>
      <c r="J269" s="1868">
        <v>18.181820000000002</v>
      </c>
      <c r="K269" s="1868">
        <v>18.181820000000002</v>
      </c>
      <c r="L269" s="1868">
        <v>18.181820000000002</v>
      </c>
      <c r="M269" s="1868">
        <v>18.181820000000002</v>
      </c>
      <c r="N269" s="1868">
        <v>17.045460000000002</v>
      </c>
      <c r="O269" s="1868">
        <v>16.76829</v>
      </c>
      <c r="P269" s="1868">
        <v>16.719750000000001</v>
      </c>
      <c r="Q269" s="1868">
        <v>16.819570000000002</v>
      </c>
      <c r="R269" s="1868">
        <v>15.55556</v>
      </c>
      <c r="S269" s="1868">
        <v>16.27721</v>
      </c>
      <c r="T269" s="1868">
        <v>15.21941</v>
      </c>
      <c r="U269" s="1868">
        <v>15.816870000000002</v>
      </c>
      <c r="V269" s="1868">
        <v>16.163239999999998</v>
      </c>
      <c r="W269" s="1868">
        <v>16.72606</v>
      </c>
      <c r="X269" s="1868">
        <v>15.603720000000001</v>
      </c>
      <c r="Y269" s="1868">
        <v>15.775910000000001</v>
      </c>
      <c r="Z269" s="1868">
        <v>16.637360000000001</v>
      </c>
      <c r="AA269" s="1868">
        <v>13.691189999999999</v>
      </c>
      <c r="AB269" s="1868">
        <v>15.438770000000002</v>
      </c>
      <c r="AC269" s="1868">
        <v>13.961689999999999</v>
      </c>
      <c r="AD269" s="1868">
        <v>13.02637</v>
      </c>
      <c r="AE269" s="1868">
        <v>14.65802</v>
      </c>
      <c r="AF269" s="1868">
        <v>14.935229999999999</v>
      </c>
      <c r="AG269" s="1868">
        <v>14.85004</v>
      </c>
      <c r="AH269" s="1868">
        <v>16.752210000000002</v>
      </c>
      <c r="AI269" s="1868">
        <v>17.708690000000001</v>
      </c>
      <c r="AJ269" s="1868">
        <v>17.857670000000002</v>
      </c>
      <c r="AK269" s="1868">
        <v>16.630610000000001</v>
      </c>
      <c r="AL269" s="1868">
        <v>15.90846</v>
      </c>
      <c r="AM269" s="1868">
        <v>16.285710000000002</v>
      </c>
      <c r="AN269" s="1868">
        <v>14.92958</v>
      </c>
      <c r="AO269" s="1868">
        <v>16.5</v>
      </c>
      <c r="AP269" s="1868">
        <v>16.31579</v>
      </c>
      <c r="AQ269" s="1868">
        <v>17.22222</v>
      </c>
      <c r="AR269" s="1868">
        <v>16.285710000000002</v>
      </c>
      <c r="AS269" s="1868">
        <v>15.090910000000001</v>
      </c>
      <c r="AT269" s="1868">
        <v>14.673910000000001</v>
      </c>
      <c r="AU269" s="1868">
        <v>14.89362</v>
      </c>
      <c r="AV269" s="1868">
        <v>14.948449999999999</v>
      </c>
      <c r="AW269" s="1868">
        <v>14.901960000000001</v>
      </c>
      <c r="AX269" s="1868">
        <v>14.811320000000002</v>
      </c>
      <c r="AY269" s="1868">
        <v>14.609379999999998</v>
      </c>
      <c r="AZ269" s="1868">
        <v>14.65649</v>
      </c>
      <c r="BA269" s="1868">
        <v>14.65649</v>
      </c>
    </row>
    <row r="270" spans="1:53">
      <c r="A270" s="1865" t="str">
        <f t="shared" si="4"/>
        <v>OceaniaOlives</v>
      </c>
      <c r="B270" s="1866" t="s">
        <v>308</v>
      </c>
      <c r="C270" s="1866" t="s">
        <v>1387</v>
      </c>
      <c r="D270" s="1868">
        <v>0.99265000000000003</v>
      </c>
      <c r="E270" s="1868">
        <v>0.94106000000000001</v>
      </c>
      <c r="F270" s="1868">
        <v>1.0105299999999999</v>
      </c>
      <c r="G270" s="1868">
        <v>1.4954000000000001</v>
      </c>
      <c r="H270" s="1868">
        <v>0.95401000000000002</v>
      </c>
      <c r="I270" s="1868">
        <v>1.5902499999999999</v>
      </c>
      <c r="J270" s="1868">
        <v>1.5243599999999999</v>
      </c>
      <c r="K270" s="1868">
        <v>1.6929599999999998</v>
      </c>
      <c r="L270" s="1868">
        <v>1.7745299999999999</v>
      </c>
      <c r="M270" s="1868">
        <v>1.49614</v>
      </c>
      <c r="N270" s="1868">
        <v>1.7353900000000002</v>
      </c>
      <c r="O270" s="1868">
        <v>1.7561500000000001</v>
      </c>
      <c r="P270" s="1868">
        <v>1.9253900000000002</v>
      </c>
      <c r="Q270" s="1868">
        <v>1.93923</v>
      </c>
      <c r="R270" s="1868">
        <v>1.64917</v>
      </c>
      <c r="S270" s="1868">
        <v>2.4184600000000001</v>
      </c>
      <c r="T270" s="1868">
        <v>1.32067</v>
      </c>
      <c r="U270" s="1868">
        <v>2.0953900000000001</v>
      </c>
      <c r="V270" s="1868">
        <v>2.1428599999999998</v>
      </c>
      <c r="W270" s="1868">
        <v>1.5369999999999999</v>
      </c>
      <c r="X270" s="1868">
        <v>1.02467</v>
      </c>
      <c r="Y270" s="1868">
        <v>1.85867</v>
      </c>
      <c r="Z270" s="1868">
        <v>0.86799999999999999</v>
      </c>
      <c r="AA270" s="1868">
        <v>1.84375</v>
      </c>
      <c r="AB270" s="1868">
        <v>1.9</v>
      </c>
      <c r="AC270" s="1868">
        <v>1.605</v>
      </c>
      <c r="AD270" s="1868">
        <v>0.97199999999999998</v>
      </c>
      <c r="AE270" s="1868">
        <v>1.4924999999999999</v>
      </c>
      <c r="AF270" s="1868">
        <v>1.3075000000000001</v>
      </c>
      <c r="AG270" s="1868">
        <v>1.78</v>
      </c>
      <c r="AH270" s="1868">
        <v>1.71</v>
      </c>
      <c r="AI270" s="1868">
        <v>1.5549999999999999</v>
      </c>
      <c r="AJ270" s="1868">
        <v>1.24379</v>
      </c>
      <c r="AK270" s="1868">
        <v>1.07463</v>
      </c>
      <c r="AL270" s="1868">
        <v>1.0452999999999999</v>
      </c>
      <c r="AM270" s="1868">
        <v>1.45455</v>
      </c>
      <c r="AN270" s="1868">
        <v>1.4266700000000001</v>
      </c>
      <c r="AO270" s="1868">
        <v>1.526</v>
      </c>
      <c r="AP270" s="1868">
        <v>2.0033300000000001</v>
      </c>
      <c r="AQ270" s="1868">
        <v>1.47831</v>
      </c>
      <c r="AR270" s="1868">
        <v>1.62999</v>
      </c>
      <c r="AS270" s="1868">
        <v>1.8</v>
      </c>
      <c r="AT270" s="1868">
        <v>2.1273299999999997</v>
      </c>
      <c r="AU270" s="1868">
        <v>2.0765099999999999</v>
      </c>
      <c r="AV270" s="1868">
        <v>2.0946400000000001</v>
      </c>
      <c r="AW270" s="1868">
        <v>2.1088499999999999</v>
      </c>
      <c r="AX270" s="1868">
        <v>2.1156700000000002</v>
      </c>
      <c r="AY270" s="1868">
        <v>2.0979000000000001</v>
      </c>
      <c r="AZ270" s="1868">
        <v>2.0884999999999998</v>
      </c>
      <c r="BA270" s="1868">
        <v>2.3498399999999999</v>
      </c>
    </row>
    <row r="271" spans="1:53">
      <c r="A271" s="1865" t="str">
        <f t="shared" si="4"/>
        <v>OceaniaOnions, dry</v>
      </c>
      <c r="B271" s="1866" t="s">
        <v>308</v>
      </c>
      <c r="C271" s="1866" t="s">
        <v>1388</v>
      </c>
      <c r="D271" s="1868">
        <v>15.55879</v>
      </c>
      <c r="E271" s="1868">
        <v>15.560889999999999</v>
      </c>
      <c r="F271" s="1868">
        <v>15.913470000000002</v>
      </c>
      <c r="G271" s="1868">
        <v>16.135820000000002</v>
      </c>
      <c r="H271" s="1868">
        <v>18.030799999999999</v>
      </c>
      <c r="I271" s="1868">
        <v>17.669160000000002</v>
      </c>
      <c r="J271" s="1868">
        <v>20.752179999999999</v>
      </c>
      <c r="K271" s="1868">
        <v>14.888779999999999</v>
      </c>
      <c r="L271" s="1868">
        <v>19.10277</v>
      </c>
      <c r="M271" s="1868">
        <v>20.484200000000001</v>
      </c>
      <c r="N271" s="1868">
        <v>21.416170000000001</v>
      </c>
      <c r="O271" s="1868">
        <v>23.846900000000002</v>
      </c>
      <c r="P271" s="1868">
        <v>20.831579999999999</v>
      </c>
      <c r="Q271" s="1868">
        <v>22.345479999999998</v>
      </c>
      <c r="R271" s="1868">
        <v>24.538360000000001</v>
      </c>
      <c r="S271" s="1868">
        <v>23.533349999999999</v>
      </c>
      <c r="T271" s="1868">
        <v>24.48977</v>
      </c>
      <c r="U271" s="1868">
        <v>27.947640000000003</v>
      </c>
      <c r="V271" s="1868">
        <v>28.030079999999998</v>
      </c>
      <c r="W271" s="1868">
        <v>29.921429999999997</v>
      </c>
      <c r="X271" s="1868">
        <v>28.945779999999999</v>
      </c>
      <c r="Y271" s="1868">
        <v>32.038959999999996</v>
      </c>
      <c r="Z271" s="1868">
        <v>30.412309999999998</v>
      </c>
      <c r="AA271" s="1868">
        <v>30.435809999999996</v>
      </c>
      <c r="AB271" s="1868">
        <v>34.170009999999998</v>
      </c>
      <c r="AC271" s="1868">
        <v>36.021999999999998</v>
      </c>
      <c r="AD271" s="1868">
        <v>37.950699999999998</v>
      </c>
      <c r="AE271" s="1868">
        <v>36.040259999999996</v>
      </c>
      <c r="AF271" s="1868">
        <v>36.429659999999998</v>
      </c>
      <c r="AG271" s="1868">
        <v>37.869390000000003</v>
      </c>
      <c r="AH271" s="1868">
        <v>39.292679999999997</v>
      </c>
      <c r="AI271" s="1868">
        <v>40.46716</v>
      </c>
      <c r="AJ271" s="1868">
        <v>38.188309999999994</v>
      </c>
      <c r="AK271" s="1868">
        <v>40.977899999999998</v>
      </c>
      <c r="AL271" s="1868">
        <v>38.798679999999997</v>
      </c>
      <c r="AM271" s="1868">
        <v>44.509009999999996</v>
      </c>
      <c r="AN271" s="1868">
        <v>41.306080000000001</v>
      </c>
      <c r="AO271" s="1868">
        <v>38.845959999999998</v>
      </c>
      <c r="AP271" s="1868">
        <v>41.85183</v>
      </c>
      <c r="AQ271" s="1868">
        <v>46.740259999999999</v>
      </c>
      <c r="AR271" s="1868">
        <v>44.455729999999996</v>
      </c>
      <c r="AS271" s="1868">
        <v>51.236849999999997</v>
      </c>
      <c r="AT271" s="1868">
        <v>43.429140000000004</v>
      </c>
      <c r="AU271" s="1868">
        <v>41.970859999999995</v>
      </c>
      <c r="AV271" s="1868">
        <v>42.853529999999999</v>
      </c>
      <c r="AW271" s="1868">
        <v>48.883040000000001</v>
      </c>
      <c r="AX271" s="1868">
        <v>45.497599999999998</v>
      </c>
      <c r="AY271" s="1868">
        <v>50.69191</v>
      </c>
      <c r="AZ271" s="1868">
        <v>51.90746</v>
      </c>
      <c r="BA271" s="1868">
        <v>48.735849999999999</v>
      </c>
    </row>
    <row r="272" spans="1:53">
      <c r="A272" s="1865" t="str">
        <f t="shared" si="4"/>
        <v>OceaniaOranges</v>
      </c>
      <c r="B272" s="1866" t="s">
        <v>308</v>
      </c>
      <c r="C272" s="1866" t="s">
        <v>1389</v>
      </c>
      <c r="D272" s="1868">
        <v>10.948789999999999</v>
      </c>
      <c r="E272" s="1868">
        <v>10.906989999999999</v>
      </c>
      <c r="F272" s="1868">
        <v>12.02679</v>
      </c>
      <c r="G272" s="1868">
        <v>10.98513</v>
      </c>
      <c r="H272" s="1868">
        <v>13.19674</v>
      </c>
      <c r="I272" s="1868">
        <v>11.05015</v>
      </c>
      <c r="J272" s="1868">
        <v>12.77704</v>
      </c>
      <c r="K272" s="1868">
        <v>11.439399999999999</v>
      </c>
      <c r="L272" s="1868">
        <v>13.3416</v>
      </c>
      <c r="M272" s="1868">
        <v>11.92896</v>
      </c>
      <c r="N272" s="1868">
        <v>16.208089999999999</v>
      </c>
      <c r="O272" s="1868">
        <v>14.873629999999999</v>
      </c>
      <c r="P272" s="1868">
        <v>18.348110000000002</v>
      </c>
      <c r="Q272" s="1868">
        <v>16.537129999999998</v>
      </c>
      <c r="R272" s="1868">
        <v>18.58154</v>
      </c>
      <c r="S272" s="1868">
        <v>19.583370000000002</v>
      </c>
      <c r="T272" s="1868">
        <v>17.15793</v>
      </c>
      <c r="U272" s="1868">
        <v>18.720179999999999</v>
      </c>
      <c r="V272" s="1868">
        <v>19.145770000000002</v>
      </c>
      <c r="W272" s="1868">
        <v>19.35303</v>
      </c>
      <c r="X272" s="1868">
        <v>19.797079999999998</v>
      </c>
      <c r="Y272" s="1868">
        <v>17.057089999999999</v>
      </c>
      <c r="Z272" s="1868">
        <v>18.318899999999999</v>
      </c>
      <c r="AA272" s="1868">
        <v>17.13373</v>
      </c>
      <c r="AB272" s="1868">
        <v>18.663329999999998</v>
      </c>
      <c r="AC272" s="1868">
        <v>20.766929999999999</v>
      </c>
      <c r="AD272" s="1868">
        <v>20.384679999999999</v>
      </c>
      <c r="AE272" s="1868">
        <v>19.292670000000001</v>
      </c>
      <c r="AF272" s="1868">
        <v>15.889200000000001</v>
      </c>
      <c r="AG272" s="1868">
        <v>19.075099999999999</v>
      </c>
      <c r="AH272" s="1868">
        <v>17.403660000000002</v>
      </c>
      <c r="AI272" s="1868">
        <v>17.45364</v>
      </c>
      <c r="AJ272" s="1868">
        <v>22.54964</v>
      </c>
      <c r="AK272" s="1868">
        <v>20.678179999999998</v>
      </c>
      <c r="AL272" s="1868">
        <v>19.34487</v>
      </c>
      <c r="AM272" s="1868">
        <v>16.5686</v>
      </c>
      <c r="AN272" s="1868">
        <v>19.131060000000002</v>
      </c>
      <c r="AO272" s="1868">
        <v>18.261410000000001</v>
      </c>
      <c r="AP272" s="1868">
        <v>16.75451</v>
      </c>
      <c r="AQ272" s="1868">
        <v>18.50517</v>
      </c>
      <c r="AR272" s="1868">
        <v>22.403029999999998</v>
      </c>
      <c r="AS272" s="1868">
        <v>17.381689999999999</v>
      </c>
      <c r="AT272" s="1868">
        <v>23.419439999999998</v>
      </c>
      <c r="AU272" s="1868">
        <v>17.814979999999998</v>
      </c>
      <c r="AV272" s="1868">
        <v>22.11073</v>
      </c>
      <c r="AW272" s="1868">
        <v>19.838629999999998</v>
      </c>
      <c r="AX272" s="1868">
        <v>17.90812</v>
      </c>
      <c r="AY272" s="1868">
        <v>18.148759999999999</v>
      </c>
      <c r="AZ272" s="1868">
        <v>17.754660000000001</v>
      </c>
      <c r="BA272" s="1868">
        <v>18.227970000000003</v>
      </c>
    </row>
    <row r="273" spans="1:53">
      <c r="A273" s="1865" t="str">
        <f t="shared" si="4"/>
        <v>OceaniaPeaches and nectarines</v>
      </c>
      <c r="B273" s="1866" t="s">
        <v>308</v>
      </c>
      <c r="C273" s="1866" t="s">
        <v>1390</v>
      </c>
      <c r="D273" s="1868">
        <v>8.6427800000000001</v>
      </c>
      <c r="E273" s="1868">
        <v>8.7046799999999998</v>
      </c>
      <c r="F273" s="1868">
        <v>10.81537</v>
      </c>
      <c r="G273" s="1868">
        <v>9.8035700000000006</v>
      </c>
      <c r="H273" s="1868">
        <v>9.93689</v>
      </c>
      <c r="I273" s="1868">
        <v>10.91413</v>
      </c>
      <c r="J273" s="1868">
        <v>11.68662</v>
      </c>
      <c r="K273" s="1868">
        <v>12.39536</v>
      </c>
      <c r="L273" s="1868">
        <v>13.552720000000001</v>
      </c>
      <c r="M273" s="1868">
        <v>12.24184</v>
      </c>
      <c r="N273" s="1868">
        <v>12.324949999999999</v>
      </c>
      <c r="O273" s="1868">
        <v>13.028</v>
      </c>
      <c r="P273" s="1868">
        <v>13.043010000000001</v>
      </c>
      <c r="Q273" s="1868">
        <v>13.777670000000001</v>
      </c>
      <c r="R273" s="1868">
        <v>11.46224</v>
      </c>
      <c r="S273" s="1868">
        <v>13.73325</v>
      </c>
      <c r="T273" s="1868">
        <v>13.28121</v>
      </c>
      <c r="U273" s="1868">
        <v>11.910739999999999</v>
      </c>
      <c r="V273" s="1868">
        <v>12.080169999999999</v>
      </c>
      <c r="W273" s="1868">
        <v>12.697510000000001</v>
      </c>
      <c r="X273" s="1868">
        <v>13.09568</v>
      </c>
      <c r="Y273" s="1868">
        <v>13.49119</v>
      </c>
      <c r="Z273" s="1868">
        <v>10.836919999999999</v>
      </c>
      <c r="AA273" s="1868">
        <v>10.945589999999999</v>
      </c>
      <c r="AB273" s="1868">
        <v>8.3453300000000006</v>
      </c>
      <c r="AC273" s="1868">
        <v>9.6896599999999999</v>
      </c>
      <c r="AD273" s="1868">
        <v>9.6741299999999999</v>
      </c>
      <c r="AE273" s="1868">
        <v>9.0805899999999991</v>
      </c>
      <c r="AF273" s="1868">
        <v>8.8467699999999994</v>
      </c>
      <c r="AG273" s="1868">
        <v>5.9471499999999997</v>
      </c>
      <c r="AH273" s="1868">
        <v>6.1962099999999998</v>
      </c>
      <c r="AI273" s="1868">
        <v>6.1385699999999996</v>
      </c>
      <c r="AJ273" s="1868">
        <v>6.75427</v>
      </c>
      <c r="AK273" s="1868">
        <v>6.6326999999999998</v>
      </c>
      <c r="AL273" s="1868">
        <v>5.9899699999999996</v>
      </c>
      <c r="AM273" s="1868">
        <v>6.1992099999999999</v>
      </c>
      <c r="AN273" s="1868">
        <v>7.5521699999999994</v>
      </c>
      <c r="AO273" s="1868">
        <v>7.1540899999999992</v>
      </c>
      <c r="AP273" s="1868">
        <v>6.735310000000001</v>
      </c>
      <c r="AQ273" s="1868">
        <v>5.5262799999999999</v>
      </c>
      <c r="AR273" s="1868">
        <v>6.3337599999999998</v>
      </c>
      <c r="AS273" s="1868">
        <v>6.02217</v>
      </c>
      <c r="AT273" s="1868">
        <v>5.7717700000000001</v>
      </c>
      <c r="AU273" s="1868">
        <v>5.3650699999999993</v>
      </c>
      <c r="AV273" s="1868">
        <v>6.7756999999999996</v>
      </c>
      <c r="AW273" s="1868">
        <v>7.1455399999999996</v>
      </c>
      <c r="AX273" s="1868">
        <v>6.6549899999999997</v>
      </c>
      <c r="AY273" s="1868">
        <v>6.4976599999999998</v>
      </c>
      <c r="AZ273" s="1868">
        <v>5.7467899999999998</v>
      </c>
      <c r="BA273" s="1868">
        <v>5.8329300000000002</v>
      </c>
    </row>
    <row r="274" spans="1:53">
      <c r="A274" s="1865" t="str">
        <f t="shared" si="4"/>
        <v>OceaniaPeas, dry</v>
      </c>
      <c r="B274" s="1866" t="s">
        <v>308</v>
      </c>
      <c r="C274" s="1866" t="s">
        <v>1391</v>
      </c>
      <c r="D274" s="1868">
        <v>1.34738</v>
      </c>
      <c r="E274" s="1868">
        <v>1.26552</v>
      </c>
      <c r="F274" s="1868">
        <v>1.5288299999999999</v>
      </c>
      <c r="G274" s="1868">
        <v>1.6301399999999999</v>
      </c>
      <c r="H274" s="1868">
        <v>1.15394</v>
      </c>
      <c r="I274" s="1868">
        <v>1.36724</v>
      </c>
      <c r="J274" s="1868">
        <v>1.28793</v>
      </c>
      <c r="K274" s="1868">
        <v>1.62287</v>
      </c>
      <c r="L274" s="1868">
        <v>1.6114200000000001</v>
      </c>
      <c r="M274" s="1868">
        <v>1.45187</v>
      </c>
      <c r="N274" s="1868">
        <v>1.5399</v>
      </c>
      <c r="O274" s="1868">
        <v>1.61496</v>
      </c>
      <c r="P274" s="1868">
        <v>1.9564900000000001</v>
      </c>
      <c r="Q274" s="1868">
        <v>1.8844900000000002</v>
      </c>
      <c r="R274" s="1868">
        <v>1.6568900000000002</v>
      </c>
      <c r="S274" s="1868">
        <v>1.88907</v>
      </c>
      <c r="T274" s="1868">
        <v>1.2463899999999999</v>
      </c>
      <c r="U274" s="1868">
        <v>1.8483099999999999</v>
      </c>
      <c r="V274" s="1868">
        <v>1.6799599999999999</v>
      </c>
      <c r="W274" s="1868">
        <v>1.661</v>
      </c>
      <c r="X274" s="1868">
        <v>1.56291</v>
      </c>
      <c r="Y274" s="1868">
        <v>1.9919900000000001</v>
      </c>
      <c r="Z274" s="1868">
        <v>1.8224</v>
      </c>
      <c r="AA274" s="1868">
        <v>1.48749</v>
      </c>
      <c r="AB274" s="1868">
        <v>1.3741700000000001</v>
      </c>
      <c r="AC274" s="1868">
        <v>1.6933900000000002</v>
      </c>
      <c r="AD274" s="1868">
        <v>1.2354000000000001</v>
      </c>
      <c r="AE274" s="1868">
        <v>1.2286999999999999</v>
      </c>
      <c r="AF274" s="1868">
        <v>1.2523299999999999</v>
      </c>
      <c r="AG274" s="1868">
        <v>1.1181099999999999</v>
      </c>
      <c r="AH274" s="1868">
        <v>1.20668</v>
      </c>
      <c r="AI274" s="1868">
        <v>1.31264</v>
      </c>
      <c r="AJ274" s="1868">
        <v>1.4821500000000001</v>
      </c>
      <c r="AK274" s="1868">
        <v>0.62529999999999997</v>
      </c>
      <c r="AL274" s="1868">
        <v>1.46577</v>
      </c>
      <c r="AM274" s="1868">
        <v>1.42628</v>
      </c>
      <c r="AN274" s="1868">
        <v>0.95842999999999989</v>
      </c>
      <c r="AO274" s="1868">
        <v>0.93457000000000012</v>
      </c>
      <c r="AP274" s="1868">
        <v>1.2121600000000001</v>
      </c>
      <c r="AQ274" s="1868">
        <v>1.2470000000000001</v>
      </c>
      <c r="AR274" s="1868">
        <v>1.57057</v>
      </c>
      <c r="AS274" s="1868">
        <v>0.53180000000000005</v>
      </c>
      <c r="AT274" s="1868">
        <v>1.42743</v>
      </c>
      <c r="AU274" s="1868">
        <v>0.75551000000000001</v>
      </c>
      <c r="AV274" s="1868">
        <v>1.6459700000000002</v>
      </c>
      <c r="AW274" s="1868">
        <v>0.436</v>
      </c>
      <c r="AX274" s="1868">
        <v>0.96919</v>
      </c>
      <c r="AY274" s="1868">
        <v>0.84382000000000013</v>
      </c>
      <c r="AZ274" s="1868">
        <v>1.28962</v>
      </c>
      <c r="BA274" s="1868">
        <v>1.09714</v>
      </c>
    </row>
    <row r="275" spans="1:53">
      <c r="A275" s="1865" t="str">
        <f t="shared" si="4"/>
        <v>OceaniaPeas, green</v>
      </c>
      <c r="B275" s="1866" t="s">
        <v>308</v>
      </c>
      <c r="C275" s="1866" t="s">
        <v>1392</v>
      </c>
      <c r="D275" s="1868">
        <v>3.4349800000000004</v>
      </c>
      <c r="E275" s="1868">
        <v>3.3922400000000001</v>
      </c>
      <c r="F275" s="1868">
        <v>3.4051400000000003</v>
      </c>
      <c r="G275" s="1868">
        <v>4.1739300000000004</v>
      </c>
      <c r="H275" s="1868">
        <v>3.8091800000000005</v>
      </c>
      <c r="I275" s="1868">
        <v>4.3172300000000003</v>
      </c>
      <c r="J275" s="1868">
        <v>3.9726499999999998</v>
      </c>
      <c r="K275" s="1868">
        <v>4.6476699999999997</v>
      </c>
      <c r="L275" s="1868">
        <v>5.0316000000000001</v>
      </c>
      <c r="M275" s="1868">
        <v>4.4464899999999998</v>
      </c>
      <c r="N275" s="1868">
        <v>4.9914699999999996</v>
      </c>
      <c r="O275" s="1868">
        <v>4.57416</v>
      </c>
      <c r="P275" s="1868">
        <v>5.1408300000000002</v>
      </c>
      <c r="Q275" s="1868">
        <v>5.6699099999999998</v>
      </c>
      <c r="R275" s="1868">
        <v>4.71671</v>
      </c>
      <c r="S275" s="1868">
        <v>5.8792</v>
      </c>
      <c r="T275" s="1868">
        <v>5.0805300000000004</v>
      </c>
      <c r="U275" s="1868">
        <v>5.9507099999999999</v>
      </c>
      <c r="V275" s="1868">
        <v>5.9602399999999998</v>
      </c>
      <c r="W275" s="1868">
        <v>6.0344699999999998</v>
      </c>
      <c r="X275" s="1868">
        <v>6.1605400000000001</v>
      </c>
      <c r="Y275" s="1868">
        <v>6.1111500000000003</v>
      </c>
      <c r="Z275" s="1868">
        <v>6.3174800000000007</v>
      </c>
      <c r="AA275" s="1868">
        <v>5.86632</v>
      </c>
      <c r="AB275" s="1868">
        <v>5.4586399999999999</v>
      </c>
      <c r="AC275" s="1868">
        <v>4.2649499999999998</v>
      </c>
      <c r="AD275" s="1868">
        <v>4.1286899999999997</v>
      </c>
      <c r="AE275" s="1868">
        <v>4.8367800000000001</v>
      </c>
      <c r="AF275" s="1868">
        <v>4.99742</v>
      </c>
      <c r="AG275" s="1868">
        <v>5.1757400000000002</v>
      </c>
      <c r="AH275" s="1868">
        <v>5.3201599999999996</v>
      </c>
      <c r="AI275" s="1868">
        <v>4.8697300000000006</v>
      </c>
      <c r="AJ275" s="1868">
        <v>5.1649500000000002</v>
      </c>
      <c r="AK275" s="1868">
        <v>5.2525599999999999</v>
      </c>
      <c r="AL275" s="1868">
        <v>5.4941800000000001</v>
      </c>
      <c r="AM275" s="1868">
        <v>5.5026299999999999</v>
      </c>
      <c r="AN275" s="1868">
        <v>5.8100899999999998</v>
      </c>
      <c r="AO275" s="1868">
        <v>5.1455199999999994</v>
      </c>
      <c r="AP275" s="1868">
        <v>7.0223800000000001</v>
      </c>
      <c r="AQ275" s="1868">
        <v>7.6909100000000006</v>
      </c>
      <c r="AR275" s="1868">
        <v>7.3537399999999993</v>
      </c>
      <c r="AS275" s="1868">
        <v>5.30375</v>
      </c>
      <c r="AT275" s="1868">
        <v>5.5921000000000003</v>
      </c>
      <c r="AU275" s="1868">
        <v>5.9874999999999998</v>
      </c>
      <c r="AV275" s="1868">
        <v>6.5896999999999997</v>
      </c>
      <c r="AW275" s="1868">
        <v>8.4648099999999999</v>
      </c>
      <c r="AX275" s="1868">
        <v>8.0639000000000003</v>
      </c>
      <c r="AY275" s="1868">
        <v>9.4255100000000009</v>
      </c>
      <c r="AZ275" s="1868">
        <v>8.7912400000000002</v>
      </c>
      <c r="BA275" s="1868">
        <v>8.2815499999999993</v>
      </c>
    </row>
    <row r="276" spans="1:53">
      <c r="A276" s="1865" t="str">
        <f t="shared" si="4"/>
        <v>OceaniaPineapples</v>
      </c>
      <c r="B276" s="1866" t="s">
        <v>308</v>
      </c>
      <c r="C276" s="1866" t="s">
        <v>1351</v>
      </c>
      <c r="D276" s="1868">
        <v>24.195250000000001</v>
      </c>
      <c r="E276" s="1868">
        <v>24.223670000000002</v>
      </c>
      <c r="F276" s="1868">
        <v>25.60126</v>
      </c>
      <c r="G276" s="1868">
        <v>26.341850000000001</v>
      </c>
      <c r="H276" s="1868">
        <v>25.08004</v>
      </c>
      <c r="I276" s="1868">
        <v>25.73603</v>
      </c>
      <c r="J276" s="1868">
        <v>27.679740000000002</v>
      </c>
      <c r="K276" s="1868">
        <v>28.461309999999997</v>
      </c>
      <c r="L276" s="1868">
        <v>26.66377</v>
      </c>
      <c r="M276" s="1868">
        <v>26.420999999999999</v>
      </c>
      <c r="N276" s="1868">
        <v>25.964259999999999</v>
      </c>
      <c r="O276" s="1868">
        <v>28.975090000000002</v>
      </c>
      <c r="P276" s="1868">
        <v>28.60717</v>
      </c>
      <c r="Q276" s="1868">
        <v>21.480509999999999</v>
      </c>
      <c r="R276" s="1868">
        <v>21.846599999999999</v>
      </c>
      <c r="S276" s="1868">
        <v>20.832129999999999</v>
      </c>
      <c r="T276" s="1868">
        <v>26.398759999999999</v>
      </c>
      <c r="U276" s="1868">
        <v>24.064689999999999</v>
      </c>
      <c r="V276" s="1868">
        <v>24.979240000000001</v>
      </c>
      <c r="W276" s="1868">
        <v>27.963920000000002</v>
      </c>
      <c r="X276" s="1868">
        <v>27.74952</v>
      </c>
      <c r="Y276" s="1868">
        <v>28.326259999999998</v>
      </c>
      <c r="Z276" s="1868">
        <v>27.459250000000001</v>
      </c>
      <c r="AA276" s="1868">
        <v>28.182670000000002</v>
      </c>
      <c r="AB276" s="1868">
        <v>28.861899999999999</v>
      </c>
      <c r="AC276" s="1868">
        <v>30.737890000000004</v>
      </c>
      <c r="AD276" s="1868">
        <v>31.343970000000002</v>
      </c>
      <c r="AE276" s="1868">
        <v>32.166240000000002</v>
      </c>
      <c r="AF276" s="1868">
        <v>33.822009999999999</v>
      </c>
      <c r="AG276" s="1868">
        <v>29.677020000000002</v>
      </c>
      <c r="AH276" s="1868">
        <v>31.325620000000001</v>
      </c>
      <c r="AI276" s="1868">
        <v>33.585279999999997</v>
      </c>
      <c r="AJ276" s="1868">
        <v>34.51446</v>
      </c>
      <c r="AK276" s="1868">
        <v>35.745979999999996</v>
      </c>
      <c r="AL276" s="1868">
        <v>35.627929999999999</v>
      </c>
      <c r="AM276" s="1868">
        <v>37.03125</v>
      </c>
      <c r="AN276" s="1868">
        <v>37.804229999999997</v>
      </c>
      <c r="AO276" s="1868">
        <v>36.51784</v>
      </c>
      <c r="AP276" s="1868">
        <v>39.375100000000003</v>
      </c>
      <c r="AQ276" s="1868">
        <v>41.336829999999999</v>
      </c>
      <c r="AR276" s="1868">
        <v>36.237929999999999</v>
      </c>
      <c r="AS276" s="1868">
        <v>33.439349999999997</v>
      </c>
      <c r="AT276" s="1868">
        <v>33.332229999999996</v>
      </c>
      <c r="AU276" s="1868">
        <v>34.210590000000003</v>
      </c>
      <c r="AV276" s="1868">
        <v>31.000450000000001</v>
      </c>
      <c r="AW276" s="1868">
        <v>27.364840000000001</v>
      </c>
      <c r="AX276" s="1868">
        <v>27.928570000000001</v>
      </c>
      <c r="AY276" s="1868">
        <v>28.316659999999999</v>
      </c>
      <c r="AZ276" s="1868">
        <v>27.771720000000002</v>
      </c>
      <c r="BA276" s="1868">
        <v>27.99877</v>
      </c>
    </row>
    <row r="277" spans="1:53">
      <c r="A277" s="1865" t="str">
        <f t="shared" si="4"/>
        <v>OceaniaPlantains</v>
      </c>
      <c r="B277" s="1866" t="s">
        <v>308</v>
      </c>
      <c r="C277" s="1866" t="s">
        <v>1393</v>
      </c>
      <c r="D277" s="1868">
        <v>3.125</v>
      </c>
      <c r="E277" s="1868">
        <v>3.03226</v>
      </c>
      <c r="F277" s="1868">
        <v>2.9971200000000002</v>
      </c>
      <c r="G277" s="1868">
        <v>5.3272599999999999</v>
      </c>
      <c r="H277" s="1868">
        <v>4.9525499999999996</v>
      </c>
      <c r="I277" s="1868">
        <v>4.8181799999999999</v>
      </c>
      <c r="J277" s="1868">
        <v>4.9375</v>
      </c>
      <c r="K277" s="1868">
        <v>4.9375</v>
      </c>
      <c r="L277" s="1868">
        <v>4.625</v>
      </c>
      <c r="M277" s="1868">
        <v>5.8235299999999999</v>
      </c>
      <c r="N277" s="1868">
        <v>5.5952400000000004</v>
      </c>
      <c r="O277" s="1868">
        <v>5.4761899999999999</v>
      </c>
      <c r="P277" s="1868">
        <v>5.3293400000000002</v>
      </c>
      <c r="Q277" s="1868">
        <v>5.3614499999999996</v>
      </c>
      <c r="R277" s="1868">
        <v>4.3636400000000002</v>
      </c>
      <c r="S277" s="1868">
        <v>4.5454600000000003</v>
      </c>
      <c r="T277" s="1868">
        <v>4.90909</v>
      </c>
      <c r="U277" s="1868">
        <v>4.3636400000000002</v>
      </c>
      <c r="V277" s="1868">
        <v>5.0303000000000004</v>
      </c>
      <c r="W277" s="1868">
        <v>4.7878800000000004</v>
      </c>
      <c r="X277" s="1868">
        <v>2.8242400000000001</v>
      </c>
      <c r="Y277" s="1868">
        <v>2.3636400000000002</v>
      </c>
      <c r="Z277" s="1868">
        <v>2.0345299999999997</v>
      </c>
      <c r="AA277" s="1868">
        <v>2.89771</v>
      </c>
      <c r="AB277" s="1868">
        <v>3.3323999999999998</v>
      </c>
      <c r="AC277" s="1868">
        <v>3.5766400000000003</v>
      </c>
      <c r="AD277" s="1868">
        <v>3.8345899999999999</v>
      </c>
      <c r="AE277" s="1868">
        <v>4.25101</v>
      </c>
      <c r="AF277" s="1868">
        <v>4.5188300000000003</v>
      </c>
      <c r="AG277" s="1868">
        <v>4.8103499999999997</v>
      </c>
      <c r="AH277" s="1868">
        <v>8.4463699999999999</v>
      </c>
      <c r="AI277" s="1868">
        <v>9.5179100000000005</v>
      </c>
      <c r="AJ277" s="1868">
        <v>9.6831700000000005</v>
      </c>
      <c r="AK277" s="1868">
        <v>6.8518499999999998</v>
      </c>
      <c r="AL277" s="1868">
        <v>4.5930999999999997</v>
      </c>
      <c r="AM277" s="1868">
        <v>5.6382699999999994</v>
      </c>
      <c r="AN277" s="1868">
        <v>5.5168300000000006</v>
      </c>
      <c r="AO277" s="1868">
        <v>4.9756099999999996</v>
      </c>
      <c r="AP277" s="1868">
        <v>3.46069</v>
      </c>
      <c r="AQ277" s="1868">
        <v>3.2723900000000001</v>
      </c>
      <c r="AR277" s="1868">
        <v>3.125</v>
      </c>
      <c r="AS277" s="1868">
        <v>2.01694</v>
      </c>
      <c r="AT277" s="1868">
        <v>1.9585599999999999</v>
      </c>
      <c r="AU277" s="1868">
        <v>2.05213</v>
      </c>
      <c r="AV277" s="1868">
        <v>2.1061900000000002</v>
      </c>
      <c r="AW277" s="1868">
        <v>2.9266200000000002</v>
      </c>
      <c r="AX277" s="1868">
        <v>3.8934000000000002</v>
      </c>
      <c r="AY277" s="1868">
        <v>3.7994400000000002</v>
      </c>
      <c r="AZ277" s="1868">
        <v>3.5303300000000002</v>
      </c>
      <c r="BA277" s="1868">
        <v>3.2374999999999998</v>
      </c>
    </row>
    <row r="278" spans="1:53">
      <c r="A278" s="1865" t="str">
        <f t="shared" si="4"/>
        <v>OceaniaPotatoes</v>
      </c>
      <c r="B278" s="1866" t="s">
        <v>308</v>
      </c>
      <c r="C278" s="1866" t="s">
        <v>1394</v>
      </c>
      <c r="D278" s="1868">
        <v>14.30996</v>
      </c>
      <c r="E278" s="1868">
        <v>15.532389999999999</v>
      </c>
      <c r="F278" s="1868">
        <v>15.722520000000001</v>
      </c>
      <c r="G278" s="1868">
        <v>15.17027</v>
      </c>
      <c r="H278" s="1868">
        <v>16.443680000000001</v>
      </c>
      <c r="I278" s="1868">
        <v>17.72354</v>
      </c>
      <c r="J278" s="1868">
        <v>18.093299999999999</v>
      </c>
      <c r="K278" s="1868">
        <v>18.088379999999997</v>
      </c>
      <c r="L278" s="1868">
        <v>19.84599</v>
      </c>
      <c r="M278" s="1868">
        <v>19.785299999999999</v>
      </c>
      <c r="N278" s="1868">
        <v>21.681049999999999</v>
      </c>
      <c r="O278" s="1868">
        <v>21.891999999999999</v>
      </c>
      <c r="P278" s="1868">
        <v>21.64132</v>
      </c>
      <c r="Q278" s="1868">
        <v>20.243760000000002</v>
      </c>
      <c r="R278" s="1868">
        <v>20.630029999999998</v>
      </c>
      <c r="S278" s="1868">
        <v>21.759889999999999</v>
      </c>
      <c r="T278" s="1868">
        <v>22.537110000000002</v>
      </c>
      <c r="U278" s="1868">
        <v>22.01933</v>
      </c>
      <c r="V278" s="1868">
        <v>23.371210000000001</v>
      </c>
      <c r="W278" s="1868">
        <v>23.933989999999998</v>
      </c>
      <c r="X278" s="1868">
        <v>24.532170000000001</v>
      </c>
      <c r="Y278" s="1868">
        <v>25.483470000000001</v>
      </c>
      <c r="Z278" s="1868">
        <v>23.92916</v>
      </c>
      <c r="AA278" s="1868">
        <v>27.347409999999996</v>
      </c>
      <c r="AB278" s="1868">
        <v>26.367040000000003</v>
      </c>
      <c r="AC278" s="1868">
        <v>27.50292</v>
      </c>
      <c r="AD278" s="1868">
        <v>27.958959999999998</v>
      </c>
      <c r="AE278" s="1868">
        <v>27.589740000000003</v>
      </c>
      <c r="AF278" s="1868">
        <v>28.1814</v>
      </c>
      <c r="AG278" s="1868">
        <v>29.439840000000004</v>
      </c>
      <c r="AH278" s="1868">
        <v>29.379379999999998</v>
      </c>
      <c r="AI278" s="1868">
        <v>30.611640000000001</v>
      </c>
      <c r="AJ278" s="1868">
        <v>31.689150000000001</v>
      </c>
      <c r="AK278" s="1868">
        <v>32.046859999999995</v>
      </c>
      <c r="AL278" s="1868">
        <v>33.007170000000002</v>
      </c>
      <c r="AM278" s="1868">
        <v>33.813720000000004</v>
      </c>
      <c r="AN278" s="1868">
        <v>33.751269999999998</v>
      </c>
      <c r="AO278" s="1868">
        <v>32.804679999999998</v>
      </c>
      <c r="AP278" s="1868">
        <v>34.073970000000003</v>
      </c>
      <c r="AQ278" s="1868">
        <v>31.316029999999998</v>
      </c>
      <c r="AR278" s="1868">
        <v>34.950369999999999</v>
      </c>
      <c r="AS278" s="1868">
        <v>37.492459999999994</v>
      </c>
      <c r="AT278" s="1868">
        <v>37.072959999999995</v>
      </c>
      <c r="AU278" s="1868">
        <v>38.095959999999998</v>
      </c>
      <c r="AV278" s="1868">
        <v>36.632040000000003</v>
      </c>
      <c r="AW278" s="1868">
        <v>36.982500000000002</v>
      </c>
      <c r="AX278" s="1868">
        <v>36.936529999999998</v>
      </c>
      <c r="AY278" s="1868">
        <v>37.78763</v>
      </c>
      <c r="AZ278" s="1868">
        <v>37.656759999999998</v>
      </c>
      <c r="BA278" s="1868">
        <v>36.630099999999999</v>
      </c>
    </row>
    <row r="279" spans="1:53">
      <c r="A279" s="1865" t="str">
        <f t="shared" si="4"/>
        <v>OceaniaPulses, nes</v>
      </c>
      <c r="B279" s="1866" t="s">
        <v>308</v>
      </c>
      <c r="C279" s="1866" t="s">
        <v>1395</v>
      </c>
      <c r="D279" s="1868">
        <v>0.57262999999999997</v>
      </c>
      <c r="E279" s="1868">
        <v>0.57013000000000003</v>
      </c>
      <c r="F279" s="1868">
        <v>0.57351000000000008</v>
      </c>
      <c r="G279" s="1868">
        <v>0.56526999999999994</v>
      </c>
      <c r="H279" s="1868">
        <v>0.57136000000000009</v>
      </c>
      <c r="I279" s="1868">
        <v>0.56801999999999997</v>
      </c>
      <c r="J279" s="1868">
        <v>0.58228999999999997</v>
      </c>
      <c r="K279" s="1868">
        <v>0.55525000000000002</v>
      </c>
      <c r="L279" s="1868">
        <v>0.57321999999999995</v>
      </c>
      <c r="M279" s="1868">
        <v>0.58731999999999995</v>
      </c>
      <c r="N279" s="1868">
        <v>0.59733000000000003</v>
      </c>
      <c r="O279" s="1868">
        <v>0.59723999999999999</v>
      </c>
      <c r="P279" s="1868">
        <v>0.60582999999999998</v>
      </c>
      <c r="Q279" s="1868">
        <v>0.60083999999999993</v>
      </c>
      <c r="R279" s="1868">
        <v>0.60643000000000002</v>
      </c>
      <c r="S279" s="1868">
        <v>0.60819000000000001</v>
      </c>
      <c r="T279" s="1868">
        <v>0.60313000000000005</v>
      </c>
      <c r="U279" s="1868">
        <v>0.61101000000000005</v>
      </c>
      <c r="V279" s="1868">
        <v>0.62381000000000009</v>
      </c>
      <c r="W279" s="1868">
        <v>0.62524000000000002</v>
      </c>
      <c r="X279" s="1868">
        <v>0.63422000000000001</v>
      </c>
      <c r="Y279" s="1868">
        <v>0.63407000000000002</v>
      </c>
      <c r="Z279" s="1868">
        <v>0.66830000000000001</v>
      </c>
      <c r="AA279" s="1868">
        <v>0.67716999999999994</v>
      </c>
      <c r="AB279" s="1868">
        <v>0.68081999999999998</v>
      </c>
      <c r="AC279" s="1868">
        <v>0.67626000000000008</v>
      </c>
      <c r="AD279" s="1868">
        <v>0.68966000000000005</v>
      </c>
      <c r="AE279" s="1868">
        <v>0.70104999999999995</v>
      </c>
      <c r="AF279" s="1868">
        <v>0.69128999999999996</v>
      </c>
      <c r="AG279" s="1868">
        <v>0.69713000000000003</v>
      </c>
      <c r="AH279" s="1868">
        <v>0.93153999999999992</v>
      </c>
      <c r="AI279" s="1868">
        <v>0.71143999999999996</v>
      </c>
      <c r="AJ279" s="1868">
        <v>0.75356999999999996</v>
      </c>
      <c r="AK279" s="1868">
        <v>0.77703</v>
      </c>
      <c r="AL279" s="1868">
        <v>0.81328</v>
      </c>
      <c r="AM279" s="1868">
        <v>0.77813999999999994</v>
      </c>
      <c r="AN279" s="1868">
        <v>0.67916999999999994</v>
      </c>
      <c r="AO279" s="1868">
        <v>0.82757999999999998</v>
      </c>
      <c r="AP279" s="1868">
        <v>0.79186000000000001</v>
      </c>
      <c r="AQ279" s="1868">
        <v>0.85994999999999999</v>
      </c>
      <c r="AR279" s="1868">
        <v>0.82984999999999998</v>
      </c>
      <c r="AS279" s="1868">
        <v>0.71916000000000002</v>
      </c>
      <c r="AT279" s="1868">
        <v>0.85241</v>
      </c>
      <c r="AU279" s="1868">
        <v>0.76597999999999999</v>
      </c>
      <c r="AV279" s="1868">
        <v>0.85357999999999989</v>
      </c>
      <c r="AW279" s="1868">
        <v>0.70151000000000008</v>
      </c>
      <c r="AX279" s="1868">
        <v>0.82253999999999994</v>
      </c>
      <c r="AY279" s="1868">
        <v>0.98277999999999988</v>
      </c>
      <c r="AZ279" s="1868">
        <v>0.90746000000000004</v>
      </c>
      <c r="BA279" s="1868">
        <v>0.85438999999999998</v>
      </c>
    </row>
    <row r="280" spans="1:53">
      <c r="A280" s="1865" t="str">
        <f t="shared" si="4"/>
        <v>OceaniaRice, paddy</v>
      </c>
      <c r="B280" s="1866" t="s">
        <v>308</v>
      </c>
      <c r="C280" s="1866" t="s">
        <v>1396</v>
      </c>
      <c r="D280" s="1868">
        <v>4.25291</v>
      </c>
      <c r="E280" s="1868">
        <v>4.8475800000000007</v>
      </c>
      <c r="F280" s="1868">
        <v>4.6795599999999995</v>
      </c>
      <c r="G280" s="1868">
        <v>4.7639199999999997</v>
      </c>
      <c r="H280" s="1868">
        <v>5.1725400000000006</v>
      </c>
      <c r="I280" s="1868">
        <v>5.7903500000000001</v>
      </c>
      <c r="J280" s="1868">
        <v>6.0464799999999999</v>
      </c>
      <c r="K280" s="1868">
        <v>6.06229</v>
      </c>
      <c r="L280" s="1868">
        <v>6.3764400000000006</v>
      </c>
      <c r="M280" s="1868">
        <v>5.2437100000000001</v>
      </c>
      <c r="N280" s="1868">
        <v>6.2688899999999999</v>
      </c>
      <c r="O280" s="1868">
        <v>5.3254099999999998</v>
      </c>
      <c r="P280" s="1868">
        <v>6.0649699999999998</v>
      </c>
      <c r="Q280" s="1868">
        <v>5.5473999999999997</v>
      </c>
      <c r="R280" s="1868">
        <v>4.7452399999999999</v>
      </c>
      <c r="S280" s="1868">
        <v>5.15822</v>
      </c>
      <c r="T280" s="1868">
        <v>5.35175</v>
      </c>
      <c r="U280" s="1868">
        <v>4.9786099999999998</v>
      </c>
      <c r="V280" s="1868">
        <v>5.8725500000000004</v>
      </c>
      <c r="W280" s="1868">
        <v>4.9875400000000001</v>
      </c>
      <c r="X280" s="1868">
        <v>6.6818399999999993</v>
      </c>
      <c r="Y280" s="1868">
        <v>6.3455599999999999</v>
      </c>
      <c r="Z280" s="1868">
        <v>6.1499499999999996</v>
      </c>
      <c r="AA280" s="1868">
        <v>5.0202499999999999</v>
      </c>
      <c r="AB280" s="1868">
        <v>6.6044</v>
      </c>
      <c r="AC280" s="1868">
        <v>5.9727600000000001</v>
      </c>
      <c r="AD280" s="1868">
        <v>5.2808400000000004</v>
      </c>
      <c r="AE280" s="1868">
        <v>6.6590899999999991</v>
      </c>
      <c r="AF280" s="1868">
        <v>7.5761199999999995</v>
      </c>
      <c r="AG280" s="1868">
        <v>8.0828199999999999</v>
      </c>
      <c r="AH280" s="1868">
        <v>8.0256399999999992</v>
      </c>
      <c r="AI280" s="1868">
        <v>8.2972300000000008</v>
      </c>
      <c r="AJ280" s="1868">
        <v>7.2451600000000003</v>
      </c>
      <c r="AK280" s="1868">
        <v>7.8003600000000004</v>
      </c>
      <c r="AL280" s="1868">
        <v>8.4540500000000005</v>
      </c>
      <c r="AM280" s="1868">
        <v>6.1034600000000001</v>
      </c>
      <c r="AN280" s="1868">
        <v>8.01769</v>
      </c>
      <c r="AO280" s="1868">
        <v>8.92469</v>
      </c>
      <c r="AP280" s="1868">
        <v>8.8695500000000003</v>
      </c>
      <c r="AQ280" s="1868">
        <v>7.9993600000000002</v>
      </c>
      <c r="AR280" s="1868">
        <v>9.0270299999999999</v>
      </c>
      <c r="AS280" s="1868">
        <v>8.0408399999999993</v>
      </c>
      <c r="AT280" s="1868">
        <v>8.5453899999999994</v>
      </c>
      <c r="AU280" s="1868">
        <v>7.7378800000000005</v>
      </c>
      <c r="AV280" s="1868">
        <v>6.0602999999999998</v>
      </c>
      <c r="AW280" s="1868">
        <v>9.6306999999999992</v>
      </c>
      <c r="AX280" s="1868">
        <v>6.7355100000000006</v>
      </c>
      <c r="AY280" s="1868">
        <v>3.8023500000000001</v>
      </c>
      <c r="AZ280" s="1868">
        <v>5.9161800000000007</v>
      </c>
      <c r="BA280" s="1868">
        <v>9.3372700000000002</v>
      </c>
    </row>
    <row r="281" spans="1:53">
      <c r="A281" s="1865" t="str">
        <f t="shared" si="4"/>
        <v>OceaniaRoots and Tubers, nes</v>
      </c>
      <c r="B281" s="1866" t="s">
        <v>308</v>
      </c>
      <c r="C281" s="1866" t="s">
        <v>1356</v>
      </c>
      <c r="D281" s="1868">
        <v>14.383979999999999</v>
      </c>
      <c r="E281" s="1868">
        <v>14.4726</v>
      </c>
      <c r="F281" s="1868">
        <v>14.44839</v>
      </c>
      <c r="G281" s="1868">
        <v>14.99518</v>
      </c>
      <c r="H281" s="1868">
        <v>14.440920000000002</v>
      </c>
      <c r="I281" s="1868">
        <v>14.662470000000001</v>
      </c>
      <c r="J281" s="1868">
        <v>14.387889999999999</v>
      </c>
      <c r="K281" s="1868">
        <v>14.254799999999999</v>
      </c>
      <c r="L281" s="1868">
        <v>14.027560000000001</v>
      </c>
      <c r="M281" s="1868">
        <v>14.011189999999999</v>
      </c>
      <c r="N281" s="1868">
        <v>13.894579999999999</v>
      </c>
      <c r="O281" s="1868">
        <v>13.93852</v>
      </c>
      <c r="P281" s="1868">
        <v>14.119</v>
      </c>
      <c r="Q281" s="1868">
        <v>14.021629999999998</v>
      </c>
      <c r="R281" s="1868">
        <v>14.069410000000001</v>
      </c>
      <c r="S281" s="1868">
        <v>13.9825</v>
      </c>
      <c r="T281" s="1868">
        <v>13.976000000000001</v>
      </c>
      <c r="U281" s="1868">
        <v>13.918870000000002</v>
      </c>
      <c r="V281" s="1868">
        <v>13.92451</v>
      </c>
      <c r="W281" s="1868">
        <v>13.190679999999999</v>
      </c>
      <c r="X281" s="1868">
        <v>13.15085</v>
      </c>
      <c r="Y281" s="1868">
        <v>13.21589</v>
      </c>
      <c r="Z281" s="1868">
        <v>13.136150000000001</v>
      </c>
      <c r="AA281" s="1868">
        <v>13.087870000000001</v>
      </c>
      <c r="AB281" s="1868">
        <v>12.548110000000001</v>
      </c>
      <c r="AC281" s="1868">
        <v>11.764239999999999</v>
      </c>
      <c r="AD281" s="1868">
        <v>11.30912</v>
      </c>
      <c r="AE281" s="1868">
        <v>11.12645</v>
      </c>
      <c r="AF281" s="1868">
        <v>11.108779999999999</v>
      </c>
      <c r="AG281" s="1868">
        <v>11.27566</v>
      </c>
      <c r="AH281" s="1868">
        <v>12.402619999999999</v>
      </c>
      <c r="AI281" s="1868">
        <v>12.3498</v>
      </c>
      <c r="AJ281" s="1868">
        <v>10.970980000000001</v>
      </c>
      <c r="AK281" s="1868">
        <v>9.8232199999999992</v>
      </c>
      <c r="AL281" s="1868">
        <v>11.07408</v>
      </c>
      <c r="AM281" s="1868">
        <v>12.1828</v>
      </c>
      <c r="AN281" s="1868">
        <v>12.64382</v>
      </c>
      <c r="AO281" s="1868">
        <v>13.00418</v>
      </c>
      <c r="AP281" s="1868">
        <v>12.71862</v>
      </c>
      <c r="AQ281" s="1868">
        <v>12.663739999999999</v>
      </c>
      <c r="AR281" s="1868">
        <v>12.789010000000001</v>
      </c>
      <c r="AS281" s="1868">
        <v>12.79349</v>
      </c>
      <c r="AT281" s="1868">
        <v>12.77045</v>
      </c>
      <c r="AU281" s="1868">
        <v>12.71317</v>
      </c>
      <c r="AV281" s="1868">
        <v>12.31622</v>
      </c>
      <c r="AW281" s="1868">
        <v>12.251660000000001</v>
      </c>
      <c r="AX281" s="1868">
        <v>12.52529</v>
      </c>
      <c r="AY281" s="1868">
        <v>11.74175</v>
      </c>
      <c r="AZ281" s="1868">
        <v>12.57399</v>
      </c>
      <c r="BA281" s="1868">
        <v>12.12561</v>
      </c>
    </row>
    <row r="282" spans="1:53">
      <c r="A282" s="1865" t="str">
        <f t="shared" si="4"/>
        <v>OceaniaRye</v>
      </c>
      <c r="B282" s="1866" t="s">
        <v>308</v>
      </c>
      <c r="C282" s="1866" t="s">
        <v>1353</v>
      </c>
      <c r="D282" s="1868">
        <v>0.42903999999999998</v>
      </c>
      <c r="E282" s="1868">
        <v>0.41356999999999999</v>
      </c>
      <c r="F282" s="1868">
        <v>0.41253999999999996</v>
      </c>
      <c r="G282" s="1868">
        <v>0.48159999999999997</v>
      </c>
      <c r="H282" s="1868">
        <v>0.40679999999999999</v>
      </c>
      <c r="I282" s="1868">
        <v>0.44478999999999996</v>
      </c>
      <c r="J282" s="1868">
        <v>0.29930999999999996</v>
      </c>
      <c r="K282" s="1868">
        <v>0.51391000000000009</v>
      </c>
      <c r="L282" s="1868">
        <v>0.33141999999999999</v>
      </c>
      <c r="M282" s="1868">
        <v>0.54430000000000001</v>
      </c>
      <c r="N282" s="1868">
        <v>0.52854000000000001</v>
      </c>
      <c r="O282" s="1868">
        <v>0.31917000000000001</v>
      </c>
      <c r="P282" s="1868">
        <v>0.28508</v>
      </c>
      <c r="Q282" s="1868">
        <v>0.30418000000000001</v>
      </c>
      <c r="R282" s="1868">
        <v>0.46665000000000001</v>
      </c>
      <c r="S282" s="1868">
        <v>0.45438000000000001</v>
      </c>
      <c r="T282" s="1868">
        <v>0.31869999999999998</v>
      </c>
      <c r="U282" s="1868">
        <v>0.52234999999999998</v>
      </c>
      <c r="V282" s="1868">
        <v>0.35244000000000003</v>
      </c>
      <c r="W282" s="1868">
        <v>0.43093999999999999</v>
      </c>
      <c r="X282" s="1868">
        <v>0.45937</v>
      </c>
      <c r="Y282" s="1868">
        <v>0.22810999999999998</v>
      </c>
      <c r="Z282" s="1868">
        <v>0.46488000000000002</v>
      </c>
      <c r="AA282" s="1868">
        <v>0.44941999999999999</v>
      </c>
      <c r="AB282" s="1868">
        <v>0.50053000000000003</v>
      </c>
      <c r="AC282" s="1868">
        <v>0.73446</v>
      </c>
      <c r="AD282" s="1868">
        <v>0.61819999999999997</v>
      </c>
      <c r="AE282" s="1868">
        <v>0.49180000000000001</v>
      </c>
      <c r="AF282" s="1868">
        <v>0.56461000000000006</v>
      </c>
      <c r="AG282" s="1868">
        <v>0.70156000000000007</v>
      </c>
      <c r="AH282" s="1868">
        <v>0.79701999999999995</v>
      </c>
      <c r="AI282" s="1868">
        <v>0.67645</v>
      </c>
      <c r="AJ282" s="1868">
        <v>0.78825000000000001</v>
      </c>
      <c r="AK282" s="1868">
        <v>0.57142999999999999</v>
      </c>
      <c r="AL282" s="1868">
        <v>0.57142999999999999</v>
      </c>
      <c r="AM282" s="1868">
        <v>0.57142999999999999</v>
      </c>
      <c r="AN282" s="1868">
        <v>0.57142999999999999</v>
      </c>
      <c r="AO282" s="1868">
        <v>0.57142999999999999</v>
      </c>
      <c r="AP282" s="1868">
        <v>0.57142999999999999</v>
      </c>
      <c r="AQ282" s="1868">
        <v>0.57142999999999999</v>
      </c>
      <c r="AR282" s="1868">
        <v>0.57142999999999999</v>
      </c>
      <c r="AS282" s="1868">
        <v>0.57142999999999999</v>
      </c>
      <c r="AT282" s="1868">
        <v>0.57142999999999999</v>
      </c>
      <c r="AU282" s="1868">
        <v>0.57142999999999999</v>
      </c>
      <c r="AV282" s="1868">
        <v>0.57142999999999999</v>
      </c>
      <c r="AW282" s="1868">
        <v>0.57142999999999999</v>
      </c>
      <c r="AX282" s="1868">
        <v>0.57142999999999999</v>
      </c>
      <c r="AY282" s="1868">
        <v>0.56911</v>
      </c>
      <c r="AZ282" s="1868">
        <v>0.56911</v>
      </c>
      <c r="BA282" s="1868">
        <v>0.58013999999999999</v>
      </c>
    </row>
    <row r="283" spans="1:53">
      <c r="A283" s="1865" t="str">
        <f t="shared" si="4"/>
        <v>OceaniaSeed cotton</v>
      </c>
      <c r="B283" s="1866" t="s">
        <v>308</v>
      </c>
      <c r="C283" s="1866" t="s">
        <v>1397</v>
      </c>
      <c r="D283" s="1868">
        <v>0.47333000000000003</v>
      </c>
      <c r="E283" s="1868">
        <v>0.51281999999999994</v>
      </c>
      <c r="F283" s="1868">
        <v>0.32025999999999999</v>
      </c>
      <c r="G283" s="1868">
        <v>0.44231000000000004</v>
      </c>
      <c r="H283" s="1868">
        <v>1.6928099999999999</v>
      </c>
      <c r="I283" s="1868">
        <v>2.3828800000000001</v>
      </c>
      <c r="J283" s="1868">
        <v>2.1627900000000002</v>
      </c>
      <c r="K283" s="1868">
        <v>2.7749200000000003</v>
      </c>
      <c r="L283" s="1868">
        <v>2.7353900000000002</v>
      </c>
      <c r="M283" s="1868">
        <v>2.3028400000000002</v>
      </c>
      <c r="N283" s="1868">
        <v>1.36182</v>
      </c>
      <c r="O283" s="1868">
        <v>2.7157100000000001</v>
      </c>
      <c r="P283" s="1868">
        <v>1.8142200000000002</v>
      </c>
      <c r="Q283" s="1868">
        <v>1.8753</v>
      </c>
      <c r="R283" s="1868">
        <v>2.2519499999999999</v>
      </c>
      <c r="S283" s="1868">
        <v>2.1979900000000003</v>
      </c>
      <c r="T283" s="1868">
        <v>2.1133099999999998</v>
      </c>
      <c r="U283" s="1868">
        <v>2.7956699999999999</v>
      </c>
      <c r="V283" s="1868">
        <v>2.6425700000000001</v>
      </c>
      <c r="W283" s="1868">
        <v>2.92</v>
      </c>
      <c r="X283" s="1868">
        <v>3.1136400000000002</v>
      </c>
      <c r="Y283" s="1868">
        <v>3.4173900000000001</v>
      </c>
      <c r="Z283" s="1868">
        <v>2.6445599999999998</v>
      </c>
      <c r="AA283" s="1868">
        <v>2.4126599999999998</v>
      </c>
      <c r="AB283" s="1868">
        <v>3.5996699999999997</v>
      </c>
      <c r="AC283" s="1868">
        <v>3.6683599999999998</v>
      </c>
      <c r="AD283" s="1868">
        <v>3.5358999999999998</v>
      </c>
      <c r="AE283" s="1868">
        <v>2.8781699999999999</v>
      </c>
      <c r="AF283" s="1868">
        <v>3.6697599999999997</v>
      </c>
      <c r="AG283" s="1868">
        <v>3.3290199999999999</v>
      </c>
      <c r="AH283" s="1868">
        <v>4.0609299999999999</v>
      </c>
      <c r="AI283" s="1868">
        <v>4.1778900000000005</v>
      </c>
      <c r="AJ283" s="1868">
        <v>3.2755200000000002</v>
      </c>
      <c r="AK283" s="1868">
        <v>2.8333300000000001</v>
      </c>
      <c r="AL283" s="1868">
        <v>3.4495900000000002</v>
      </c>
      <c r="AM283" s="1868">
        <v>3.34321</v>
      </c>
      <c r="AN283" s="1868">
        <v>3.7116899999999999</v>
      </c>
      <c r="AO283" s="1868">
        <v>3.6672800000000003</v>
      </c>
      <c r="AP283" s="1868">
        <v>3.0790999999999999</v>
      </c>
      <c r="AQ283" s="1868">
        <v>3.84816</v>
      </c>
      <c r="AR283" s="1868">
        <v>3.71515</v>
      </c>
      <c r="AS283" s="1868">
        <v>4.2953599999999996</v>
      </c>
      <c r="AT283" s="1868">
        <v>4.1554599999999997</v>
      </c>
      <c r="AU283" s="1868">
        <v>4.2544199999999996</v>
      </c>
      <c r="AV283" s="1868">
        <v>4.8532299999999999</v>
      </c>
      <c r="AW283" s="1868">
        <v>4.2962699999999998</v>
      </c>
      <c r="AX283" s="1868">
        <v>4.7994399999999997</v>
      </c>
      <c r="AY283" s="1868">
        <v>5.1132400000000002</v>
      </c>
      <c r="AZ283" s="1868">
        <v>4.8475599999999996</v>
      </c>
      <c r="BA283" s="1868">
        <v>4.5079199999999995</v>
      </c>
    </row>
    <row r="284" spans="1:53">
      <c r="A284" s="1865" t="str">
        <f t="shared" si="4"/>
        <v>OceaniaSorghum</v>
      </c>
      <c r="B284" s="1866" t="s">
        <v>308</v>
      </c>
      <c r="C284" s="1866" t="s">
        <v>1399</v>
      </c>
      <c r="D284" s="1868">
        <v>1.58073</v>
      </c>
      <c r="E284" s="1868">
        <v>1.7351299999999998</v>
      </c>
      <c r="F284" s="1868">
        <v>1.7611000000000001</v>
      </c>
      <c r="G284" s="1868">
        <v>1.4494400000000001</v>
      </c>
      <c r="H284" s="1868">
        <v>1.3938299999999999</v>
      </c>
      <c r="I284" s="1868">
        <v>1.1090599999999999</v>
      </c>
      <c r="J284" s="1868">
        <v>1.5674299999999999</v>
      </c>
      <c r="K284" s="1868">
        <v>1.54091</v>
      </c>
      <c r="L284" s="1868">
        <v>1.4028200000000002</v>
      </c>
      <c r="M284" s="1868">
        <v>1.5262500000000001</v>
      </c>
      <c r="N284" s="1868">
        <v>2.3509900000000004</v>
      </c>
      <c r="O284" s="1868">
        <v>1.92333</v>
      </c>
      <c r="P284" s="1868">
        <v>1.4613700000000001</v>
      </c>
      <c r="Q284" s="1868">
        <v>1.96593</v>
      </c>
      <c r="R284" s="1868">
        <v>1.7623</v>
      </c>
      <c r="S284" s="1868">
        <v>2.2272099999999999</v>
      </c>
      <c r="T284" s="1868">
        <v>1.79375</v>
      </c>
      <c r="U284" s="1868">
        <v>1.8121799999999999</v>
      </c>
      <c r="V284" s="1868">
        <v>2.3988999999999998</v>
      </c>
      <c r="W284" s="1868">
        <v>1.77742</v>
      </c>
      <c r="X284" s="1868">
        <v>1.82958</v>
      </c>
      <c r="Y284" s="1868">
        <v>2.0264900000000003</v>
      </c>
      <c r="Z284" s="1868">
        <v>1.3572600000000001</v>
      </c>
      <c r="AA284" s="1868">
        <v>2.5811500000000001</v>
      </c>
      <c r="AB284" s="1868">
        <v>1.8932400000000003</v>
      </c>
      <c r="AC284" s="1868">
        <v>1.9282400000000002</v>
      </c>
      <c r="AD284" s="1868">
        <v>1.7344299999999999</v>
      </c>
      <c r="AE284" s="1868">
        <v>2.1916099999999998</v>
      </c>
      <c r="AF284" s="1868">
        <v>1.9905900000000001</v>
      </c>
      <c r="AG284" s="1868">
        <v>2.4893400000000003</v>
      </c>
      <c r="AH284" s="1868">
        <v>1.98732</v>
      </c>
      <c r="AI284" s="1868">
        <v>2.54305</v>
      </c>
      <c r="AJ284" s="1868">
        <v>1.2849700000000002</v>
      </c>
      <c r="AK284" s="1868">
        <v>2.17021</v>
      </c>
      <c r="AL284" s="1868">
        <v>1.8561900000000002</v>
      </c>
      <c r="AM284" s="1868">
        <v>2.06853</v>
      </c>
      <c r="AN284" s="1868">
        <v>2.6201699999999999</v>
      </c>
      <c r="AO284" s="1868">
        <v>2.1345000000000001</v>
      </c>
      <c r="AP284" s="1868">
        <v>3.22098</v>
      </c>
      <c r="AQ284" s="1868">
        <v>3.3991699999999998</v>
      </c>
      <c r="AR284" s="1868">
        <v>2.5531900000000003</v>
      </c>
      <c r="AS284" s="1868">
        <v>2.4558599999999999</v>
      </c>
      <c r="AT284" s="1868">
        <v>2.1980499999999998</v>
      </c>
      <c r="AU284" s="1868">
        <v>2.73909</v>
      </c>
      <c r="AV284" s="1868">
        <v>2.6648999999999998</v>
      </c>
      <c r="AW284" s="1868">
        <v>2.52074</v>
      </c>
      <c r="AX284" s="1868">
        <v>2.09348</v>
      </c>
      <c r="AY284" s="1868">
        <v>4.0243000000000002</v>
      </c>
      <c r="AZ284" s="1868">
        <v>3.5094300000000005</v>
      </c>
      <c r="BA284" s="1868">
        <v>3.0951900000000001</v>
      </c>
    </row>
    <row r="285" spans="1:53">
      <c r="A285" s="1865" t="str">
        <f t="shared" si="4"/>
        <v>OceaniaSoybeans</v>
      </c>
      <c r="B285" s="1866" t="s">
        <v>308</v>
      </c>
      <c r="C285" s="1866" t="s">
        <v>1359</v>
      </c>
      <c r="D285" s="1868">
        <v>0.66666999999999998</v>
      </c>
      <c r="E285" s="1868">
        <v>0.77381</v>
      </c>
      <c r="F285" s="1868">
        <v>0.5978</v>
      </c>
      <c r="G285" s="1868">
        <v>0.4471</v>
      </c>
      <c r="H285" s="1868">
        <v>0.60533999999999999</v>
      </c>
      <c r="I285" s="1868">
        <v>0.38577</v>
      </c>
      <c r="J285" s="1868">
        <v>0.66353000000000006</v>
      </c>
      <c r="K285" s="1868">
        <v>0.54786999999999997</v>
      </c>
      <c r="L285" s="1868">
        <v>0.83133999999999997</v>
      </c>
      <c r="M285" s="1868">
        <v>1.0122799999999998</v>
      </c>
      <c r="N285" s="1868">
        <v>1.2567600000000001</v>
      </c>
      <c r="O285" s="1868">
        <v>1.8663099999999999</v>
      </c>
      <c r="P285" s="1868">
        <v>1.35669</v>
      </c>
      <c r="Q285" s="1868">
        <v>1.54159</v>
      </c>
      <c r="R285" s="1868">
        <v>1.6094899999999999</v>
      </c>
      <c r="S285" s="1868">
        <v>1.6972700000000001</v>
      </c>
      <c r="T285" s="1868">
        <v>1.5991</v>
      </c>
      <c r="U285" s="1868">
        <v>1.53365</v>
      </c>
      <c r="V285" s="1868">
        <v>1.8409900000000001</v>
      </c>
      <c r="W285" s="1868">
        <v>1.4512799999999999</v>
      </c>
      <c r="X285" s="1868">
        <v>1.8495599999999999</v>
      </c>
      <c r="Y285" s="1868">
        <v>1.9029200000000002</v>
      </c>
      <c r="Z285" s="1868">
        <v>1.1041299999999998</v>
      </c>
      <c r="AA285" s="1868">
        <v>1.8440599999999998</v>
      </c>
      <c r="AB285" s="1868">
        <v>1.74217</v>
      </c>
      <c r="AC285" s="1868">
        <v>1.4825900000000001</v>
      </c>
      <c r="AD285" s="1868">
        <v>1.6498900000000001</v>
      </c>
      <c r="AE285" s="1868">
        <v>1.5868200000000001</v>
      </c>
      <c r="AF285" s="1868">
        <v>1.8315299999999999</v>
      </c>
      <c r="AG285" s="1868">
        <v>1.5718099999999999</v>
      </c>
      <c r="AH285" s="1868">
        <v>1.5550700000000002</v>
      </c>
      <c r="AI285" s="1868">
        <v>2.11408</v>
      </c>
      <c r="AJ285" s="1868">
        <v>1.6167499999999999</v>
      </c>
      <c r="AK285" s="1868">
        <v>1.99993</v>
      </c>
      <c r="AL285" s="1868">
        <v>1.5318499999999999</v>
      </c>
      <c r="AM285" s="1868">
        <v>1.8739700000000001</v>
      </c>
      <c r="AN285" s="1868">
        <v>1.8974400000000002</v>
      </c>
      <c r="AO285" s="1868">
        <v>1.70347</v>
      </c>
      <c r="AP285" s="1868">
        <v>2.26667</v>
      </c>
      <c r="AQ285" s="1868">
        <v>1.8714299999999999</v>
      </c>
      <c r="AR285" s="1868">
        <v>1.48485</v>
      </c>
      <c r="AS285" s="1868">
        <v>1.96875</v>
      </c>
      <c r="AT285" s="1868">
        <v>1.4760500000000001</v>
      </c>
      <c r="AU285" s="1868">
        <v>2.2136</v>
      </c>
      <c r="AV285" s="1868">
        <v>2.0312200000000002</v>
      </c>
      <c r="AW285" s="1868">
        <v>2.3023199999999999</v>
      </c>
      <c r="AX285" s="1868">
        <v>2.4369800000000001</v>
      </c>
      <c r="AY285" s="1868">
        <v>2.3288599999999997</v>
      </c>
      <c r="AZ285" s="1868">
        <v>1.89245</v>
      </c>
      <c r="BA285" s="1868">
        <v>1.90415</v>
      </c>
    </row>
    <row r="286" spans="1:53">
      <c r="A286" s="1865" t="str">
        <f t="shared" si="4"/>
        <v>OceaniaStrawberries</v>
      </c>
      <c r="B286" s="1866" t="s">
        <v>308</v>
      </c>
      <c r="C286" s="1866" t="s">
        <v>1400</v>
      </c>
      <c r="D286" s="1868">
        <v>5.1068899999999999</v>
      </c>
      <c r="E286" s="1868">
        <v>5.7072699999999994</v>
      </c>
      <c r="F286" s="1868">
        <v>6.32918</v>
      </c>
      <c r="G286" s="1868">
        <v>8.0381300000000007</v>
      </c>
      <c r="H286" s="1868">
        <v>8.51356</v>
      </c>
      <c r="I286" s="1868">
        <v>8.5440100000000001</v>
      </c>
      <c r="J286" s="1868">
        <v>9.9628300000000003</v>
      </c>
      <c r="K286" s="1868">
        <v>10.596550000000001</v>
      </c>
      <c r="L286" s="1868">
        <v>11.69688</v>
      </c>
      <c r="M286" s="1868">
        <v>12.340680000000001</v>
      </c>
      <c r="N286" s="1868">
        <v>12.287100000000001</v>
      </c>
      <c r="O286" s="1868">
        <v>12.726469999999999</v>
      </c>
      <c r="P286" s="1868">
        <v>12.46909</v>
      </c>
      <c r="Q286" s="1868">
        <v>12.540800000000001</v>
      </c>
      <c r="R286" s="1868">
        <v>12.74896</v>
      </c>
      <c r="S286" s="1868">
        <v>12.685269999999999</v>
      </c>
      <c r="T286" s="1868">
        <v>12.28937</v>
      </c>
      <c r="U286" s="1868">
        <v>12.45548</v>
      </c>
      <c r="V286" s="1868">
        <v>13.249189999999999</v>
      </c>
      <c r="W286" s="1868">
        <v>13.613</v>
      </c>
      <c r="X286" s="1868">
        <v>11.04448</v>
      </c>
      <c r="Y286" s="1868">
        <v>10.570830000000001</v>
      </c>
      <c r="Z286" s="1868">
        <v>10.90274</v>
      </c>
      <c r="AA286" s="1868">
        <v>11.0093</v>
      </c>
      <c r="AB286" s="1868">
        <v>11.613329999999999</v>
      </c>
      <c r="AC286" s="1868">
        <v>13.313870000000001</v>
      </c>
      <c r="AD286" s="1868">
        <v>13.592120000000001</v>
      </c>
      <c r="AE286" s="1868">
        <v>12.632719999999999</v>
      </c>
      <c r="AF286" s="1868">
        <v>13.909089999999999</v>
      </c>
      <c r="AG286" s="1868">
        <v>12.23577</v>
      </c>
      <c r="AH286" s="1868">
        <v>13.24826</v>
      </c>
      <c r="AI286" s="1868">
        <v>14.33465</v>
      </c>
      <c r="AJ286" s="1868">
        <v>13.509</v>
      </c>
      <c r="AK286" s="1868">
        <v>12.093019999999999</v>
      </c>
      <c r="AL286" s="1868">
        <v>16.22542</v>
      </c>
      <c r="AM286" s="1868">
        <v>19.48387</v>
      </c>
      <c r="AN286" s="1868">
        <v>19.20045</v>
      </c>
      <c r="AO286" s="1868">
        <v>22.01539</v>
      </c>
      <c r="AP286" s="1868">
        <v>23.457910000000002</v>
      </c>
      <c r="AQ286" s="1868">
        <v>19.623620000000003</v>
      </c>
      <c r="AR286" s="1868">
        <v>16.92709</v>
      </c>
      <c r="AS286" s="1868">
        <v>20.569010000000002</v>
      </c>
      <c r="AT286" s="1868">
        <v>16.48348</v>
      </c>
      <c r="AU286" s="1868">
        <v>20.575060000000001</v>
      </c>
      <c r="AV286" s="1868">
        <v>27.53558</v>
      </c>
      <c r="AW286" s="1868">
        <v>18.754939999999998</v>
      </c>
      <c r="AX286" s="1868">
        <v>23.048760000000001</v>
      </c>
      <c r="AY286" s="1868">
        <v>19.51932</v>
      </c>
      <c r="AZ286" s="1868">
        <v>23.712499999999999</v>
      </c>
      <c r="BA286" s="1868">
        <v>21.054069999999999</v>
      </c>
    </row>
    <row r="287" spans="1:53">
      <c r="A287" s="1865" t="str">
        <f t="shared" si="4"/>
        <v>OceaniaSugar cane</v>
      </c>
      <c r="B287" s="1866" t="s">
        <v>308</v>
      </c>
      <c r="C287" s="1866" t="s">
        <v>1401</v>
      </c>
      <c r="D287" s="1868">
        <v>56.723610000000001</v>
      </c>
      <c r="E287" s="1868">
        <v>74.667000000000002</v>
      </c>
      <c r="F287" s="1868">
        <v>71.748419999999996</v>
      </c>
      <c r="G287" s="1868">
        <v>76.130230000000012</v>
      </c>
      <c r="H287" s="1868">
        <v>67.299719999999994</v>
      </c>
      <c r="I287" s="1868">
        <v>71.340450000000004</v>
      </c>
      <c r="J287" s="1868">
        <v>71.601849999999999</v>
      </c>
      <c r="K287" s="1868">
        <v>78.037230000000008</v>
      </c>
      <c r="L287" s="1868">
        <v>69.859819999999999</v>
      </c>
      <c r="M287" s="1868">
        <v>76.954890000000006</v>
      </c>
      <c r="N287" s="1868">
        <v>78.000559999999993</v>
      </c>
      <c r="O287" s="1868">
        <v>74.127930000000006</v>
      </c>
      <c r="P287" s="1868">
        <v>80.24951999999999</v>
      </c>
      <c r="Q287" s="1868">
        <v>75.683459999999997</v>
      </c>
      <c r="R287" s="1868">
        <v>79.899649999999994</v>
      </c>
      <c r="S287" s="1868">
        <v>76.429280000000006</v>
      </c>
      <c r="T287" s="1868">
        <v>75.344580000000008</v>
      </c>
      <c r="U287" s="1868">
        <v>79.483969999999999</v>
      </c>
      <c r="V287" s="1868">
        <v>76.559250000000006</v>
      </c>
      <c r="W287" s="1868">
        <v>77.126760000000004</v>
      </c>
      <c r="X287" s="1868">
        <v>75.74448000000001</v>
      </c>
      <c r="Y287" s="1868">
        <v>74.432719999999989</v>
      </c>
      <c r="Z287" s="1868">
        <v>72.064769999999996</v>
      </c>
      <c r="AA287" s="1868">
        <v>77.834919999999997</v>
      </c>
      <c r="AB287" s="1868">
        <v>73.147570000000002</v>
      </c>
      <c r="AC287" s="1868">
        <v>75.812700000000007</v>
      </c>
      <c r="AD287" s="1868">
        <v>73.418080000000003</v>
      </c>
      <c r="AE287" s="1868">
        <v>79.328760000000003</v>
      </c>
      <c r="AF287" s="1868">
        <v>82.073569999999989</v>
      </c>
      <c r="AG287" s="1868">
        <v>70.494780000000006</v>
      </c>
      <c r="AH287" s="1868">
        <v>59.942689999999999</v>
      </c>
      <c r="AI287" s="1868">
        <v>60.106999999999999</v>
      </c>
      <c r="AJ287" s="1868">
        <v>78.456649999999996</v>
      </c>
      <c r="AK287" s="1868">
        <v>85.266890000000004</v>
      </c>
      <c r="AL287" s="1868">
        <v>88.273769999999999</v>
      </c>
      <c r="AM287" s="1868">
        <v>89.429869999999994</v>
      </c>
      <c r="AN287" s="1868">
        <v>90.883630000000011</v>
      </c>
      <c r="AO287" s="1868">
        <v>90.153759999999991</v>
      </c>
      <c r="AP287" s="1868">
        <v>90.087969999999999</v>
      </c>
      <c r="AQ287" s="1868">
        <v>86.181669999999997</v>
      </c>
      <c r="AR287" s="1868">
        <v>66.473680000000002</v>
      </c>
      <c r="AS287" s="1868">
        <v>70.266949999999994</v>
      </c>
      <c r="AT287" s="1868">
        <v>77.786290000000008</v>
      </c>
      <c r="AU287" s="1868">
        <v>78.128979999999999</v>
      </c>
      <c r="AV287" s="1868">
        <v>82.198809999999995</v>
      </c>
      <c r="AW287" s="1868">
        <v>84.396469999999994</v>
      </c>
      <c r="AX287" s="1868">
        <v>83.262540000000001</v>
      </c>
      <c r="AY287" s="1868">
        <v>80.12697</v>
      </c>
      <c r="AZ287" s="1868">
        <v>72.841800000000006</v>
      </c>
      <c r="BA287" s="1868">
        <v>73.763859999999994</v>
      </c>
    </row>
    <row r="288" spans="1:53">
      <c r="A288" s="1865" t="str">
        <f t="shared" si="4"/>
        <v>OceaniaSunflower seed</v>
      </c>
      <c r="B288" s="1866" t="s">
        <v>308</v>
      </c>
      <c r="C288" s="1866" t="s">
        <v>1402</v>
      </c>
      <c r="D288" s="1868">
        <v>0.73176000000000008</v>
      </c>
      <c r="E288" s="1868">
        <v>0.66611999999999993</v>
      </c>
      <c r="F288" s="1868">
        <v>0.67742000000000002</v>
      </c>
      <c r="G288" s="1868">
        <v>0.58533000000000002</v>
      </c>
      <c r="H288" s="1868">
        <v>0.63544</v>
      </c>
      <c r="I288" s="1868">
        <v>0.65256999999999998</v>
      </c>
      <c r="J288" s="1868">
        <v>0.49462</v>
      </c>
      <c r="K288" s="1868">
        <v>0.52812000000000003</v>
      </c>
      <c r="L288" s="1868">
        <v>0.45800000000000002</v>
      </c>
      <c r="M288" s="1868">
        <v>0.50995000000000001</v>
      </c>
      <c r="N288" s="1868">
        <v>0.77854999999999996</v>
      </c>
      <c r="O288" s="1868">
        <v>0.50007000000000001</v>
      </c>
      <c r="P288" s="1868">
        <v>0.42204999999999998</v>
      </c>
      <c r="Q288" s="1868">
        <v>0.56000000000000005</v>
      </c>
      <c r="R288" s="1868">
        <v>0.54123999999999994</v>
      </c>
      <c r="S288" s="1868">
        <v>0.58767999999999998</v>
      </c>
      <c r="T288" s="1868">
        <v>0.55616999999999994</v>
      </c>
      <c r="U288" s="1868">
        <v>0.71788999999999992</v>
      </c>
      <c r="V288" s="1868">
        <v>0.71433999999999997</v>
      </c>
      <c r="W288" s="1868">
        <v>0.64066999999999996</v>
      </c>
      <c r="X288" s="1868">
        <v>0.70306000000000002</v>
      </c>
      <c r="Y288" s="1868">
        <v>0.64841000000000004</v>
      </c>
      <c r="Z288" s="1868">
        <v>0.59086000000000005</v>
      </c>
      <c r="AA288" s="1868">
        <v>0.72956999999999994</v>
      </c>
      <c r="AB288" s="1868">
        <v>0.82767999999999997</v>
      </c>
      <c r="AC288" s="1868">
        <v>0.77659</v>
      </c>
      <c r="AD288" s="1868">
        <v>0.71306000000000003</v>
      </c>
      <c r="AE288" s="1868">
        <v>1.0790600000000001</v>
      </c>
      <c r="AF288" s="1868">
        <v>0.92867999999999995</v>
      </c>
      <c r="AG288" s="1868">
        <v>1.10199</v>
      </c>
      <c r="AH288" s="1868">
        <v>0.91042000000000012</v>
      </c>
      <c r="AI288" s="1868">
        <v>1.06802</v>
      </c>
      <c r="AJ288" s="1868">
        <v>0.83520000000000005</v>
      </c>
      <c r="AK288" s="1868">
        <v>0.92913999999999997</v>
      </c>
      <c r="AL288" s="1868">
        <v>0.82382000000000011</v>
      </c>
      <c r="AM288" s="1868">
        <v>0.83111000000000002</v>
      </c>
      <c r="AN288" s="1868">
        <v>1.03026</v>
      </c>
      <c r="AO288" s="1868">
        <v>1.0606100000000001</v>
      </c>
      <c r="AP288" s="1868">
        <v>1.24776</v>
      </c>
      <c r="AQ288" s="1868">
        <v>1.04938</v>
      </c>
      <c r="AR288" s="1868">
        <v>0.93902000000000008</v>
      </c>
      <c r="AS288" s="1868">
        <v>0.88607999999999998</v>
      </c>
      <c r="AT288" s="1868">
        <v>0.54178999999999999</v>
      </c>
      <c r="AU288" s="1868">
        <v>0.78251000000000004</v>
      </c>
      <c r="AV288" s="1868">
        <v>1.27119</v>
      </c>
      <c r="AW288" s="1868">
        <v>1.2642599999999999</v>
      </c>
      <c r="AX288" s="1868">
        <v>1.2411799999999999</v>
      </c>
      <c r="AY288" s="1868">
        <v>1.5082599999999999</v>
      </c>
      <c r="AZ288" s="1868">
        <v>1.0675700000000001</v>
      </c>
      <c r="BA288" s="1868">
        <v>1.54135</v>
      </c>
    </row>
    <row r="289" spans="1:53">
      <c r="A289" s="1865" t="str">
        <f t="shared" si="4"/>
        <v>OceaniaSweet potatoes</v>
      </c>
      <c r="B289" s="1866" t="s">
        <v>308</v>
      </c>
      <c r="C289" s="1866" t="s">
        <v>1403</v>
      </c>
      <c r="D289" s="1868">
        <v>4.4670699999999997</v>
      </c>
      <c r="E289" s="1868">
        <v>4.4797799999999999</v>
      </c>
      <c r="F289" s="1868">
        <v>4.5008599999999994</v>
      </c>
      <c r="G289" s="1868">
        <v>4.4942000000000002</v>
      </c>
      <c r="H289" s="1868">
        <v>4.5328599999999994</v>
      </c>
      <c r="I289" s="1868">
        <v>4.7029199999999998</v>
      </c>
      <c r="J289" s="1868">
        <v>4.7257499999999997</v>
      </c>
      <c r="K289" s="1868">
        <v>4.6242599999999996</v>
      </c>
      <c r="L289" s="1868">
        <v>4.6367699999999994</v>
      </c>
      <c r="M289" s="1868">
        <v>4.7485999999999997</v>
      </c>
      <c r="N289" s="1868">
        <v>4.8207599999999999</v>
      </c>
      <c r="O289" s="1868">
        <v>4.9663599999999999</v>
      </c>
      <c r="P289" s="1868">
        <v>4.9581200000000001</v>
      </c>
      <c r="Q289" s="1868">
        <v>5.0932699999999995</v>
      </c>
      <c r="R289" s="1868">
        <v>4.9832700000000001</v>
      </c>
      <c r="S289" s="1868">
        <v>4.9842399999999998</v>
      </c>
      <c r="T289" s="1868">
        <v>4.9754800000000001</v>
      </c>
      <c r="U289" s="1868">
        <v>5.0359499999999997</v>
      </c>
      <c r="V289" s="1868">
        <v>4.9593800000000003</v>
      </c>
      <c r="W289" s="1868">
        <v>5.0643500000000001</v>
      </c>
      <c r="X289" s="1868">
        <v>5.01647</v>
      </c>
      <c r="Y289" s="1868">
        <v>5.0006900000000005</v>
      </c>
      <c r="Z289" s="1868">
        <v>5.1410300000000007</v>
      </c>
      <c r="AA289" s="1868">
        <v>5.1899800000000003</v>
      </c>
      <c r="AB289" s="1868">
        <v>5.2580099999999996</v>
      </c>
      <c r="AC289" s="1868">
        <v>5.17997</v>
      </c>
      <c r="AD289" s="1868">
        <v>5.2590900000000005</v>
      </c>
      <c r="AE289" s="1868">
        <v>5.5081600000000002</v>
      </c>
      <c r="AF289" s="1868">
        <v>5.0555699999999995</v>
      </c>
      <c r="AG289" s="1868">
        <v>4.7188699999999999</v>
      </c>
      <c r="AH289" s="1868">
        <v>5.2577099999999994</v>
      </c>
      <c r="AI289" s="1868">
        <v>5.3374600000000001</v>
      </c>
      <c r="AJ289" s="1868">
        <v>5.4418100000000003</v>
      </c>
      <c r="AK289" s="1868">
        <v>5.2053400000000005</v>
      </c>
      <c r="AL289" s="1868">
        <v>5.3341599999999998</v>
      </c>
      <c r="AM289" s="1868">
        <v>5.2538599999999995</v>
      </c>
      <c r="AN289" s="1868">
        <v>5.29392</v>
      </c>
      <c r="AO289" s="1868">
        <v>5.3515600000000001</v>
      </c>
      <c r="AP289" s="1868">
        <v>5.4822800000000003</v>
      </c>
      <c r="AQ289" s="1868">
        <v>5.5545400000000003</v>
      </c>
      <c r="AR289" s="1868">
        <v>5.6627199999999993</v>
      </c>
      <c r="AS289" s="1868">
        <v>5.6661700000000002</v>
      </c>
      <c r="AT289" s="1868">
        <v>6.0117199999999995</v>
      </c>
      <c r="AU289" s="1868">
        <v>5.8803599999999996</v>
      </c>
      <c r="AV289" s="1868">
        <v>5.6011199999999999</v>
      </c>
      <c r="AW289" s="1868">
        <v>5.8858300000000003</v>
      </c>
      <c r="AX289" s="1868">
        <v>5.8686600000000002</v>
      </c>
      <c r="AY289" s="1868">
        <v>4.1042800000000002</v>
      </c>
      <c r="AZ289" s="1868">
        <v>5.5250000000000004</v>
      </c>
      <c r="BA289" s="1868">
        <v>5.2918599999999998</v>
      </c>
    </row>
    <row r="290" spans="1:53">
      <c r="A290" s="1865" t="str">
        <f t="shared" si="4"/>
        <v>OceaniaTangerines, mandarins, clem.</v>
      </c>
      <c r="B290" s="1866" t="s">
        <v>308</v>
      </c>
      <c r="C290" s="1866" t="s">
        <v>1404</v>
      </c>
      <c r="D290" s="1868">
        <v>9.5315799999999999</v>
      </c>
      <c r="E290" s="1868">
        <v>9.5587999999999997</v>
      </c>
      <c r="F290" s="1868">
        <v>10.25104</v>
      </c>
      <c r="G290" s="1868">
        <v>9.1940200000000001</v>
      </c>
      <c r="H290" s="1868">
        <v>10.006019999999999</v>
      </c>
      <c r="I290" s="1868">
        <v>7.8408699999999998</v>
      </c>
      <c r="J290" s="1868">
        <v>9.3601899999999993</v>
      </c>
      <c r="K290" s="1868">
        <v>10.40114</v>
      </c>
      <c r="L290" s="1868">
        <v>8.9957999999999991</v>
      </c>
      <c r="M290" s="1868">
        <v>9.5784699999999994</v>
      </c>
      <c r="N290" s="1868">
        <v>10.521519999999999</v>
      </c>
      <c r="O290" s="1868">
        <v>12.386510000000001</v>
      </c>
      <c r="P290" s="1868">
        <v>12.68699</v>
      </c>
      <c r="Q290" s="1868">
        <v>14.694879999999999</v>
      </c>
      <c r="R290" s="1868">
        <v>14.48545</v>
      </c>
      <c r="S290" s="1868">
        <v>15.350610000000001</v>
      </c>
      <c r="T290" s="1868">
        <v>17.327770000000001</v>
      </c>
      <c r="U290" s="1868">
        <v>16.304560000000002</v>
      </c>
      <c r="V290" s="1868">
        <v>18.293860000000002</v>
      </c>
      <c r="W290" s="1868">
        <v>18.565529999999999</v>
      </c>
      <c r="X290" s="1868">
        <v>19.752199999999998</v>
      </c>
      <c r="Y290" s="1868">
        <v>15.972339999999999</v>
      </c>
      <c r="Z290" s="1868">
        <v>15.228779999999999</v>
      </c>
      <c r="AA290" s="1868">
        <v>16.705100000000002</v>
      </c>
      <c r="AB290" s="1868">
        <v>13.775160000000001</v>
      </c>
      <c r="AC290" s="1868">
        <v>16.36458</v>
      </c>
      <c r="AD290" s="1868">
        <v>16.058009999999999</v>
      </c>
      <c r="AE290" s="1868">
        <v>14.284679999999998</v>
      </c>
      <c r="AF290" s="1868">
        <v>18.328779999999998</v>
      </c>
      <c r="AG290" s="1868">
        <v>15.915220000000001</v>
      </c>
      <c r="AH290" s="1868">
        <v>15.340829999999999</v>
      </c>
      <c r="AI290" s="1868">
        <v>16.682449999999999</v>
      </c>
      <c r="AJ290" s="1868">
        <v>16.383649999999999</v>
      </c>
      <c r="AK290" s="1868">
        <v>16.025510000000001</v>
      </c>
      <c r="AL290" s="1868">
        <v>14.678410000000001</v>
      </c>
      <c r="AM290" s="1868">
        <v>13.595660000000001</v>
      </c>
      <c r="AN290" s="1868">
        <v>15.59646</v>
      </c>
      <c r="AO290" s="1868">
        <v>12.73147</v>
      </c>
      <c r="AP290" s="1868">
        <v>14.211089999999999</v>
      </c>
      <c r="AQ290" s="1868">
        <v>14.34324</v>
      </c>
      <c r="AR290" s="1868">
        <v>16.927050000000001</v>
      </c>
      <c r="AS290" s="1868">
        <v>16.188220000000001</v>
      </c>
      <c r="AT290" s="1868">
        <v>20.1084</v>
      </c>
      <c r="AU290" s="1868">
        <v>20.026889999999998</v>
      </c>
      <c r="AV290" s="1868">
        <v>18.331600000000002</v>
      </c>
      <c r="AW290" s="1868">
        <v>18.893239999999999</v>
      </c>
      <c r="AX290" s="1868">
        <v>20.688639999999999</v>
      </c>
      <c r="AY290" s="1868">
        <v>20.341820000000002</v>
      </c>
      <c r="AZ290" s="1868">
        <v>20.508129999999998</v>
      </c>
      <c r="BA290" s="1868">
        <v>20.370560000000001</v>
      </c>
    </row>
    <row r="291" spans="1:53">
      <c r="A291" s="1865" t="str">
        <f t="shared" si="4"/>
        <v>OceaniaTea</v>
      </c>
      <c r="B291" s="1866" t="s">
        <v>308</v>
      </c>
      <c r="C291" s="1866" t="s">
        <v>1405</v>
      </c>
      <c r="D291" s="1868">
        <v>0.5</v>
      </c>
      <c r="E291" s="1868">
        <v>0.5</v>
      </c>
      <c r="F291" s="1868">
        <v>0.5</v>
      </c>
      <c r="G291" s="1868">
        <v>0.5</v>
      </c>
      <c r="H291" s="1868">
        <v>0.75</v>
      </c>
      <c r="I291" s="1868">
        <v>0.75</v>
      </c>
      <c r="J291" s="1868">
        <v>0.39</v>
      </c>
      <c r="K291" s="1868">
        <v>0.37</v>
      </c>
      <c r="L291" s="1868">
        <v>0.39951999999999999</v>
      </c>
      <c r="M291" s="1868">
        <v>0.55811999999999995</v>
      </c>
      <c r="N291" s="1868">
        <v>0.57667000000000002</v>
      </c>
      <c r="O291" s="1868">
        <v>1.0110600000000001</v>
      </c>
      <c r="P291" s="1868">
        <v>1.0188600000000001</v>
      </c>
      <c r="Q291" s="1868">
        <v>1.3325899999999999</v>
      </c>
      <c r="R291" s="1868">
        <v>1.3468599999999999</v>
      </c>
      <c r="S291" s="1868">
        <v>1.33049</v>
      </c>
      <c r="T291" s="1868">
        <v>1.7105299999999999</v>
      </c>
      <c r="U291" s="1868">
        <v>1.6629</v>
      </c>
      <c r="V291" s="1868">
        <v>2.1142099999999999</v>
      </c>
      <c r="W291" s="1868">
        <v>2.2002599999999997</v>
      </c>
      <c r="X291" s="1868">
        <v>3.26607</v>
      </c>
      <c r="Y291" s="1868">
        <v>3.24675</v>
      </c>
      <c r="Z291" s="1868">
        <v>3.2923100000000001</v>
      </c>
      <c r="AA291" s="1868">
        <v>3.1912500000000001</v>
      </c>
      <c r="AB291" s="1868">
        <v>2.24444</v>
      </c>
      <c r="AC291" s="1868">
        <v>2.0512799999999998</v>
      </c>
      <c r="AD291" s="1868">
        <v>2.0512799999999998</v>
      </c>
      <c r="AE291" s="1868">
        <v>2.0512799999999998</v>
      </c>
      <c r="AF291" s="1868">
        <v>2.0512799999999998</v>
      </c>
      <c r="AG291" s="1868">
        <v>1.70366</v>
      </c>
      <c r="AH291" s="1868">
        <v>2.0711499999999998</v>
      </c>
      <c r="AI291" s="1868">
        <v>2.2433299999999998</v>
      </c>
      <c r="AJ291" s="1868">
        <v>1.8913</v>
      </c>
      <c r="AK291" s="1868">
        <v>1.8888900000000002</v>
      </c>
      <c r="AL291" s="1868">
        <v>0.88112000000000013</v>
      </c>
      <c r="AM291" s="1868">
        <v>1.2782500000000001</v>
      </c>
      <c r="AN291" s="1868">
        <v>1.7186700000000001</v>
      </c>
      <c r="AO291" s="1868">
        <v>1.8149999999999999</v>
      </c>
      <c r="AP291" s="1868">
        <v>1.55</v>
      </c>
      <c r="AQ291" s="1868">
        <v>1.55</v>
      </c>
      <c r="AR291" s="1868">
        <v>1.6052600000000001</v>
      </c>
      <c r="AS291" s="1868">
        <v>1.6756799999999998</v>
      </c>
      <c r="AT291" s="1868">
        <v>1.72973</v>
      </c>
      <c r="AU291" s="1868">
        <v>1.7567599999999999</v>
      </c>
      <c r="AV291" s="1868">
        <v>1.7368400000000002</v>
      </c>
      <c r="AW291" s="1868">
        <v>1.625</v>
      </c>
      <c r="AX291" s="1868">
        <v>1.7825</v>
      </c>
      <c r="AY291" s="1868">
        <v>1.7875000000000001</v>
      </c>
      <c r="AZ291" s="1868">
        <v>1.625</v>
      </c>
      <c r="BA291" s="1868">
        <v>1.8</v>
      </c>
    </row>
    <row r="292" spans="1:53">
      <c r="A292" s="1865" t="str">
        <f t="shared" si="4"/>
        <v>OceaniaTobacco, unmanufactured</v>
      </c>
      <c r="B292" s="1866" t="s">
        <v>308</v>
      </c>
      <c r="C292" s="1866" t="s">
        <v>1347</v>
      </c>
      <c r="D292" s="1868">
        <v>1.3501299999999998</v>
      </c>
      <c r="E292" s="1868">
        <v>1.2422200000000001</v>
      </c>
      <c r="F292" s="1868">
        <v>1.2754000000000001</v>
      </c>
      <c r="G292" s="1868">
        <v>1.53274</v>
      </c>
      <c r="H292" s="1868">
        <v>1.33284</v>
      </c>
      <c r="I292" s="1868">
        <v>1.47475</v>
      </c>
      <c r="J292" s="1868">
        <v>1.5096700000000001</v>
      </c>
      <c r="K292" s="1868">
        <v>1.36151</v>
      </c>
      <c r="L292" s="1868">
        <v>1.63002</v>
      </c>
      <c r="M292" s="1868">
        <v>1.71628</v>
      </c>
      <c r="N292" s="1868">
        <v>1.7592900000000002</v>
      </c>
      <c r="O292" s="1868">
        <v>1.6245700000000001</v>
      </c>
      <c r="P292" s="1868">
        <v>1.7633900000000002</v>
      </c>
      <c r="Q292" s="1868">
        <v>1.77877</v>
      </c>
      <c r="R292" s="1868">
        <v>1.6818099999999998</v>
      </c>
      <c r="S292" s="1868">
        <v>1.67218</v>
      </c>
      <c r="T292" s="1868">
        <v>1.68072</v>
      </c>
      <c r="U292" s="1868">
        <v>1.7878700000000001</v>
      </c>
      <c r="V292" s="1868">
        <v>1.9190900000000002</v>
      </c>
      <c r="W292" s="1868">
        <v>2.0305499999999999</v>
      </c>
      <c r="X292" s="1868">
        <v>2.0624500000000001</v>
      </c>
      <c r="Y292" s="1868">
        <v>2.07098</v>
      </c>
      <c r="Z292" s="1868">
        <v>2.03478</v>
      </c>
      <c r="AA292" s="1868">
        <v>2.1928099999999997</v>
      </c>
      <c r="AB292" s="1868">
        <v>2.2898000000000001</v>
      </c>
      <c r="AC292" s="1868">
        <v>2.1549700000000001</v>
      </c>
      <c r="AD292" s="1868">
        <v>2.4504099999999998</v>
      </c>
      <c r="AE292" s="1868">
        <v>2.4537800000000001</v>
      </c>
      <c r="AF292" s="1868">
        <v>2.4068099999999997</v>
      </c>
      <c r="AG292" s="1868">
        <v>2.3141799999999999</v>
      </c>
      <c r="AH292" s="1868">
        <v>2.47702</v>
      </c>
      <c r="AI292" s="1868">
        <v>2.3402500000000002</v>
      </c>
      <c r="AJ292" s="1868">
        <v>2.4060299999999999</v>
      </c>
      <c r="AK292" s="1868">
        <v>2.59457</v>
      </c>
      <c r="AL292" s="1868">
        <v>2.2137899999999999</v>
      </c>
      <c r="AM292" s="1868">
        <v>2.6613500000000001</v>
      </c>
      <c r="AN292" s="1868">
        <v>2.5759099999999999</v>
      </c>
      <c r="AO292" s="1868">
        <v>2.7852399999999999</v>
      </c>
      <c r="AP292" s="1868">
        <v>2.3773</v>
      </c>
      <c r="AQ292" s="1868">
        <v>2.2932399999999999</v>
      </c>
      <c r="AR292" s="1868">
        <v>2.77583</v>
      </c>
      <c r="AS292" s="1868">
        <v>2.7835799999999997</v>
      </c>
      <c r="AT292" s="1868">
        <v>2.5228900000000003</v>
      </c>
      <c r="AU292" s="1868">
        <v>2.2747900000000003</v>
      </c>
      <c r="AV292" s="1868">
        <v>2.34754</v>
      </c>
      <c r="AW292" s="1868">
        <v>2.3160799999999999</v>
      </c>
      <c r="AX292" s="1868">
        <v>1.83762</v>
      </c>
      <c r="AY292" s="1868">
        <v>1.7761900000000002</v>
      </c>
      <c r="AZ292" s="1868">
        <v>2.2048900000000002</v>
      </c>
      <c r="BA292" s="1868">
        <v>2.2048900000000002</v>
      </c>
    </row>
    <row r="293" spans="1:53">
      <c r="A293" s="1865" t="str">
        <f t="shared" si="4"/>
        <v>OceaniaTomatoes</v>
      </c>
      <c r="B293" s="1866" t="s">
        <v>308</v>
      </c>
      <c r="C293" s="1866" t="s">
        <v>1406</v>
      </c>
      <c r="D293" s="1868">
        <v>21.67126</v>
      </c>
      <c r="E293" s="1868">
        <v>23.286049999999999</v>
      </c>
      <c r="F293" s="1868">
        <v>23.248349999999999</v>
      </c>
      <c r="G293" s="1868">
        <v>23.407779999999999</v>
      </c>
      <c r="H293" s="1868">
        <v>25.357240000000001</v>
      </c>
      <c r="I293" s="1868">
        <v>25.10284</v>
      </c>
      <c r="J293" s="1868">
        <v>25.53276</v>
      </c>
      <c r="K293" s="1868">
        <v>24.217110000000002</v>
      </c>
      <c r="L293" s="1868">
        <v>23.980979999999999</v>
      </c>
      <c r="M293" s="1868">
        <v>23.931910000000002</v>
      </c>
      <c r="N293" s="1868">
        <v>24.982420000000001</v>
      </c>
      <c r="O293" s="1868">
        <v>26.973690000000001</v>
      </c>
      <c r="P293" s="1868">
        <v>27.343109999999999</v>
      </c>
      <c r="Q293" s="1868">
        <v>24.47861</v>
      </c>
      <c r="R293" s="1868">
        <v>24.111370000000001</v>
      </c>
      <c r="S293" s="1868">
        <v>23.197759999999999</v>
      </c>
      <c r="T293" s="1868">
        <v>24.796329999999998</v>
      </c>
      <c r="U293" s="1868">
        <v>25.603870000000001</v>
      </c>
      <c r="V293" s="1868">
        <v>24.36251</v>
      </c>
      <c r="W293" s="1868">
        <v>26.597440000000002</v>
      </c>
      <c r="X293" s="1868">
        <v>26.5352</v>
      </c>
      <c r="Y293" s="1868">
        <v>28.252690000000001</v>
      </c>
      <c r="Z293" s="1868">
        <v>29.031390000000002</v>
      </c>
      <c r="AA293" s="1868">
        <v>31.405650000000001</v>
      </c>
      <c r="AB293" s="1868">
        <v>32.448819999999998</v>
      </c>
      <c r="AC293" s="1868">
        <v>38.56738</v>
      </c>
      <c r="AD293" s="1868">
        <v>36.431249999999999</v>
      </c>
      <c r="AE293" s="1868">
        <v>39.87012</v>
      </c>
      <c r="AF293" s="1868">
        <v>39.881700000000002</v>
      </c>
      <c r="AG293" s="1868">
        <v>37.731499999999997</v>
      </c>
      <c r="AH293" s="1868">
        <v>40.756190000000004</v>
      </c>
      <c r="AI293" s="1868">
        <v>40.814929999999997</v>
      </c>
      <c r="AJ293" s="1868">
        <v>35.777679999999997</v>
      </c>
      <c r="AK293" s="1868">
        <v>40.881270000000001</v>
      </c>
      <c r="AL293" s="1868">
        <v>39.304920000000003</v>
      </c>
      <c r="AM293" s="1868">
        <v>41.967750000000002</v>
      </c>
      <c r="AN293" s="1868">
        <v>42.227959999999996</v>
      </c>
      <c r="AO293" s="1868">
        <v>44.486270000000005</v>
      </c>
      <c r="AP293" s="1868">
        <v>48.859180000000002</v>
      </c>
      <c r="AQ293" s="1868">
        <v>53.225640000000006</v>
      </c>
      <c r="AR293" s="1868">
        <v>58.029230000000005</v>
      </c>
      <c r="AS293" s="1868">
        <v>57.100549999999998</v>
      </c>
      <c r="AT293" s="1868">
        <v>55.03069</v>
      </c>
      <c r="AU293" s="1868">
        <v>59.41019</v>
      </c>
      <c r="AV293" s="1868">
        <v>55.813969999999998</v>
      </c>
      <c r="AW293" s="1868">
        <v>61.130049999999997</v>
      </c>
      <c r="AX293" s="1868">
        <v>47.876190000000001</v>
      </c>
      <c r="AY293" s="1868">
        <v>60.022210000000001</v>
      </c>
      <c r="AZ293" s="1868">
        <v>67.19162</v>
      </c>
      <c r="BA293" s="1868">
        <v>63.277799999999999</v>
      </c>
    </row>
    <row r="294" spans="1:53">
      <c r="A294" s="1865" t="str">
        <f t="shared" si="4"/>
        <v>OceaniaTriticale</v>
      </c>
      <c r="B294" s="1866" t="s">
        <v>308</v>
      </c>
      <c r="C294" s="1866" t="s">
        <v>1361</v>
      </c>
      <c r="W294" s="1868">
        <v>0.9230799999999999</v>
      </c>
      <c r="X294" s="1868">
        <v>1.42188</v>
      </c>
      <c r="Y294" s="1868">
        <v>0.89129999999999998</v>
      </c>
      <c r="Z294" s="1868">
        <v>1.60684</v>
      </c>
      <c r="AA294" s="1868">
        <v>1.3731799999999998</v>
      </c>
      <c r="AB294" s="1868">
        <v>1.61954</v>
      </c>
      <c r="AC294" s="1868">
        <v>1.6081099999999999</v>
      </c>
      <c r="AD294" s="1868">
        <v>1.5588200000000001</v>
      </c>
      <c r="AE294" s="1868">
        <v>1.6864400000000002</v>
      </c>
      <c r="AF294" s="1868">
        <v>1.6714500000000001</v>
      </c>
      <c r="AG294" s="1868">
        <v>1.80613</v>
      </c>
      <c r="AH294" s="1868">
        <v>1.7654799999999999</v>
      </c>
      <c r="AI294" s="1868">
        <v>2.32111</v>
      </c>
      <c r="AJ294" s="1868">
        <v>2</v>
      </c>
      <c r="AK294" s="1868">
        <v>1.18954</v>
      </c>
      <c r="AL294" s="1868">
        <v>2.11904</v>
      </c>
      <c r="AM294" s="1868">
        <v>1.9473200000000002</v>
      </c>
      <c r="AN294" s="1868">
        <v>2.5836700000000001</v>
      </c>
      <c r="AO294" s="1868">
        <v>1.8342000000000001</v>
      </c>
      <c r="AP294" s="1868">
        <v>2.1163400000000001</v>
      </c>
      <c r="AQ294" s="1868">
        <v>2.16195</v>
      </c>
      <c r="AR294" s="1868">
        <v>2.1026899999999999</v>
      </c>
      <c r="AS294" s="1868">
        <v>0.80232000000000003</v>
      </c>
      <c r="AT294" s="1868">
        <v>1.8542000000000001</v>
      </c>
      <c r="AU294" s="1868">
        <v>1.56707</v>
      </c>
      <c r="AV294" s="1868">
        <v>1.9481299999999999</v>
      </c>
      <c r="AW294" s="1868">
        <v>0.54069999999999996</v>
      </c>
      <c r="AX294" s="1868">
        <v>1.25</v>
      </c>
      <c r="AY294" s="1868">
        <v>1.1241099999999999</v>
      </c>
      <c r="AZ294" s="1868">
        <v>1.55714</v>
      </c>
      <c r="BA294" s="1868">
        <v>1.5021</v>
      </c>
    </row>
    <row r="295" spans="1:53">
      <c r="A295" s="1865" t="str">
        <f t="shared" si="4"/>
        <v>OceaniaVegetables fresh nes</v>
      </c>
      <c r="B295" s="1866" t="s">
        <v>308</v>
      </c>
      <c r="C295" s="1866" t="s">
        <v>1407</v>
      </c>
      <c r="D295" s="1868">
        <v>12.21833</v>
      </c>
      <c r="E295" s="1868">
        <v>11.890639999999999</v>
      </c>
      <c r="F295" s="1868">
        <v>12.416910000000001</v>
      </c>
      <c r="G295" s="1868">
        <v>11.929550000000001</v>
      </c>
      <c r="H295" s="1868">
        <v>11.356249999999999</v>
      </c>
      <c r="I295" s="1868">
        <v>12.553089999999999</v>
      </c>
      <c r="J295" s="1868">
        <v>12.41595</v>
      </c>
      <c r="K295" s="1868">
        <v>12.554889999999999</v>
      </c>
      <c r="L295" s="1868">
        <v>12.699199999999999</v>
      </c>
      <c r="M295" s="1868">
        <v>12.389530000000001</v>
      </c>
      <c r="N295" s="1868">
        <v>12.737550000000001</v>
      </c>
      <c r="O295" s="1868">
        <v>12.653410000000001</v>
      </c>
      <c r="P295" s="1868">
        <v>12.467230000000001</v>
      </c>
      <c r="Q295" s="1868">
        <v>12.83333</v>
      </c>
      <c r="R295" s="1868">
        <v>12.475060000000001</v>
      </c>
      <c r="S295" s="1868">
        <v>12.5611</v>
      </c>
      <c r="T295" s="1868">
        <v>13.437439999999999</v>
      </c>
      <c r="U295" s="1868">
        <v>13.91966</v>
      </c>
      <c r="V295" s="1868">
        <v>13.806760000000001</v>
      </c>
      <c r="W295" s="1868">
        <v>13.426479999999998</v>
      </c>
      <c r="X295" s="1868">
        <v>13.151639999999999</v>
      </c>
      <c r="Y295" s="1868">
        <v>13.188939999999999</v>
      </c>
      <c r="Z295" s="1868">
        <v>12.72363</v>
      </c>
      <c r="AA295" s="1868">
        <v>13.61295</v>
      </c>
      <c r="AB295" s="1868">
        <v>14.158770000000001</v>
      </c>
      <c r="AC295" s="1868">
        <v>14.053629999999998</v>
      </c>
      <c r="AD295" s="1868">
        <v>13.794579999999998</v>
      </c>
      <c r="AE295" s="1868">
        <v>14.0009</v>
      </c>
      <c r="AF295" s="1868">
        <v>13.8551</v>
      </c>
      <c r="AG295" s="1868">
        <v>14.178560000000001</v>
      </c>
      <c r="AH295" s="1868">
        <v>14.242139999999999</v>
      </c>
      <c r="AI295" s="1868">
        <v>14.048820000000001</v>
      </c>
      <c r="AJ295" s="1868">
        <v>14.725660000000001</v>
      </c>
      <c r="AK295" s="1868">
        <v>15.57952</v>
      </c>
      <c r="AL295" s="1868">
        <v>13.16888</v>
      </c>
      <c r="AM295" s="1868">
        <v>15.005629999999998</v>
      </c>
      <c r="AN295" s="1868">
        <v>14.813920000000001</v>
      </c>
      <c r="AO295" s="1868">
        <v>14.421920000000002</v>
      </c>
      <c r="AP295" s="1868">
        <v>14.803320000000001</v>
      </c>
      <c r="AQ295" s="1868">
        <v>14.627079999999999</v>
      </c>
      <c r="AR295" s="1868">
        <v>15.34835</v>
      </c>
      <c r="AS295" s="1868">
        <v>15.40265</v>
      </c>
      <c r="AT295" s="1868">
        <v>14.55536</v>
      </c>
      <c r="AU295" s="1868">
        <v>16.42811</v>
      </c>
      <c r="AV295" s="1868">
        <v>15.168839999999999</v>
      </c>
      <c r="AW295" s="1868">
        <v>16.093599999999999</v>
      </c>
      <c r="AX295" s="1868">
        <v>15.779689999999999</v>
      </c>
      <c r="AY295" s="1868">
        <v>18.064779999999999</v>
      </c>
      <c r="AZ295" s="1868">
        <v>17.44584</v>
      </c>
      <c r="BA295" s="1868">
        <v>16.715800000000002</v>
      </c>
    </row>
    <row r="296" spans="1:53">
      <c r="A296" s="1865" t="str">
        <f t="shared" si="4"/>
        <v>OceaniaVetches</v>
      </c>
      <c r="B296" s="1866" t="s">
        <v>308</v>
      </c>
      <c r="C296" s="1866" t="s">
        <v>1408</v>
      </c>
      <c r="D296" s="1868">
        <v>0.67161000000000004</v>
      </c>
      <c r="E296" s="1868">
        <v>0.67161000000000004</v>
      </c>
      <c r="F296" s="1868">
        <v>0.73826999999999998</v>
      </c>
      <c r="G296" s="1868">
        <v>0.13333</v>
      </c>
      <c r="H296" s="1868">
        <v>0.26913999999999999</v>
      </c>
      <c r="I296" s="1868">
        <v>0.33579999999999999</v>
      </c>
      <c r="J296" s="1868">
        <v>0.53827000000000003</v>
      </c>
      <c r="K296" s="1868">
        <v>0.47161000000000003</v>
      </c>
      <c r="L296" s="1868">
        <v>0.10136000000000001</v>
      </c>
      <c r="M296" s="1868">
        <v>0.25</v>
      </c>
      <c r="N296" s="1868">
        <v>0.35970000000000002</v>
      </c>
      <c r="O296" s="1868">
        <v>1.0833299999999999</v>
      </c>
      <c r="P296" s="1868">
        <v>2.25</v>
      </c>
      <c r="Q296" s="1868">
        <v>2.8768400000000001</v>
      </c>
      <c r="R296" s="1868">
        <v>2.9167700000000001</v>
      </c>
      <c r="S296" s="1868">
        <v>2.34762</v>
      </c>
      <c r="T296" s="1868">
        <v>2.6546099999999999</v>
      </c>
      <c r="U296" s="1868">
        <v>2.5466000000000002</v>
      </c>
      <c r="V296" s="1868">
        <v>1.9957900000000002</v>
      </c>
      <c r="W296" s="1868">
        <v>1.73577</v>
      </c>
      <c r="X296" s="1868">
        <v>2.0123500000000001</v>
      </c>
      <c r="Y296" s="1868">
        <v>0.92617000000000005</v>
      </c>
      <c r="Z296" s="1868">
        <v>2.4700199999999999</v>
      </c>
      <c r="AA296" s="1868">
        <v>3.2050000000000001</v>
      </c>
      <c r="AB296" s="1868">
        <v>3.0830900000000003</v>
      </c>
      <c r="AC296" s="1868">
        <v>1.4591700000000001</v>
      </c>
      <c r="AD296" s="1868">
        <v>0.46598000000000001</v>
      </c>
      <c r="AE296" s="1868">
        <v>0.36584</v>
      </c>
      <c r="AF296" s="1868">
        <v>0.76544999999999996</v>
      </c>
      <c r="AG296" s="1868">
        <v>0.58025000000000004</v>
      </c>
      <c r="AH296" s="1868">
        <v>0.86382999999999988</v>
      </c>
      <c r="AI296" s="1868">
        <v>0.69723999999999997</v>
      </c>
      <c r="AJ296" s="1868">
        <v>1.11111</v>
      </c>
      <c r="AK296" s="1868">
        <v>0.52173999999999998</v>
      </c>
      <c r="AL296" s="1868">
        <v>1.1764700000000001</v>
      </c>
      <c r="AM296" s="1868">
        <v>1.05</v>
      </c>
      <c r="AN296" s="1868">
        <v>0.82499999999999996</v>
      </c>
      <c r="AO296" s="1868">
        <v>0.82927000000000006</v>
      </c>
      <c r="AP296" s="1868">
        <v>0.85483999999999993</v>
      </c>
      <c r="AQ296" s="1868">
        <v>0.61538999999999999</v>
      </c>
      <c r="AR296" s="1868">
        <v>0.7</v>
      </c>
      <c r="AS296" s="1868">
        <v>0.75</v>
      </c>
      <c r="AT296" s="1868">
        <v>0.79466000000000003</v>
      </c>
      <c r="AU296" s="1868">
        <v>0.86272000000000004</v>
      </c>
      <c r="AV296" s="1868">
        <v>0.19929000000000002</v>
      </c>
      <c r="AW296" s="1868">
        <v>0.2</v>
      </c>
      <c r="AX296" s="1868">
        <v>0.2</v>
      </c>
      <c r="AY296" s="1868">
        <v>0.2447</v>
      </c>
      <c r="AZ296" s="1868">
        <v>0.16646</v>
      </c>
      <c r="BA296" s="1868">
        <v>0.14539000000000002</v>
      </c>
    </row>
    <row r="297" spans="1:53">
      <c r="A297" s="1865" t="str">
        <f t="shared" si="4"/>
        <v>OceaniaWheat</v>
      </c>
      <c r="B297" s="1866" t="s">
        <v>308</v>
      </c>
      <c r="C297" s="1866" t="s">
        <v>1409</v>
      </c>
      <c r="D297" s="1868">
        <v>1.15693</v>
      </c>
      <c r="E297" s="1868">
        <v>1.27094</v>
      </c>
      <c r="F297" s="1868">
        <v>1.35745</v>
      </c>
      <c r="G297" s="1868">
        <v>1.4059200000000001</v>
      </c>
      <c r="H297" s="1868">
        <v>1.0216399999999999</v>
      </c>
      <c r="I297" s="1868">
        <v>1.52702</v>
      </c>
      <c r="J297" s="1868">
        <v>0.86045000000000005</v>
      </c>
      <c r="K297" s="1868">
        <v>1.3895899999999999</v>
      </c>
      <c r="L297" s="1868">
        <v>1.1444700000000001</v>
      </c>
      <c r="M297" s="1868">
        <v>1.2414399999999999</v>
      </c>
      <c r="N297" s="1868">
        <v>1.23444</v>
      </c>
      <c r="O297" s="1868">
        <v>0.90507000000000004</v>
      </c>
      <c r="P297" s="1868">
        <v>1.3652</v>
      </c>
      <c r="Q297" s="1868">
        <v>1.3816899999999999</v>
      </c>
      <c r="R297" s="1868">
        <v>1.4120700000000002</v>
      </c>
      <c r="S297" s="1868">
        <v>1.34528</v>
      </c>
      <c r="T297" s="1868">
        <v>0.96750000000000003</v>
      </c>
      <c r="U297" s="1868">
        <v>1.7813299999999999</v>
      </c>
      <c r="V297" s="1868">
        <v>1.46648</v>
      </c>
      <c r="W297" s="1868">
        <v>0.98177000000000003</v>
      </c>
      <c r="X297" s="1868">
        <v>1.3944000000000001</v>
      </c>
      <c r="Y297" s="1868">
        <v>0.79093999999999998</v>
      </c>
      <c r="Z297" s="1868">
        <v>1.71645</v>
      </c>
      <c r="AA297" s="1868">
        <v>1.5625899999999999</v>
      </c>
      <c r="AB297" s="1868">
        <v>1.3875200000000001</v>
      </c>
      <c r="AC297" s="1868">
        <v>1.4696499999999999</v>
      </c>
      <c r="AD297" s="1868">
        <v>1.38907</v>
      </c>
      <c r="AE297" s="1868">
        <v>1.59291</v>
      </c>
      <c r="AF297" s="1868">
        <v>1.5870200000000001</v>
      </c>
      <c r="AG297" s="1868">
        <v>1.6478999999999999</v>
      </c>
      <c r="AH297" s="1868">
        <v>1.4875799999999999</v>
      </c>
      <c r="AI297" s="1868">
        <v>1.79647</v>
      </c>
      <c r="AJ297" s="1868">
        <v>1.9827099999999998</v>
      </c>
      <c r="AK297" s="1868">
        <v>1.1601299999999999</v>
      </c>
      <c r="AL297" s="1868">
        <v>1.8066599999999999</v>
      </c>
      <c r="AM297" s="1868">
        <v>2.1830799999999999</v>
      </c>
      <c r="AN297" s="1868">
        <v>1.86158</v>
      </c>
      <c r="AO297" s="1868">
        <v>1.9333099999999999</v>
      </c>
      <c r="AP297" s="1868">
        <v>2.0238400000000003</v>
      </c>
      <c r="AQ297" s="1868">
        <v>1.8398299999999999</v>
      </c>
      <c r="AR297" s="1868">
        <v>2.1301600000000001</v>
      </c>
      <c r="AS297" s="1868">
        <v>0.93054999999999999</v>
      </c>
      <c r="AT297" s="1868">
        <v>2.0177499999999999</v>
      </c>
      <c r="AU297" s="1868">
        <v>1.65377</v>
      </c>
      <c r="AV297" s="1868">
        <v>2.0400999999999998</v>
      </c>
      <c r="AW297" s="1868">
        <v>0.93642999999999987</v>
      </c>
      <c r="AX297" s="1868">
        <v>1.1026200000000002</v>
      </c>
      <c r="AY297" s="1868">
        <v>1.6034999999999999</v>
      </c>
      <c r="AZ297" s="1868">
        <v>1.5936700000000001</v>
      </c>
      <c r="BA297" s="1868">
        <v>1.6651900000000002</v>
      </c>
    </row>
    <row r="298" spans="1:53">
      <c r="A298" s="1865" t="str">
        <f t="shared" si="4"/>
        <v>OceaniaCereals (Rice Milled Eqv</v>
      </c>
      <c r="B298" s="1866" t="s">
        <v>308</v>
      </c>
      <c r="C298" s="1866" t="s">
        <v>1410</v>
      </c>
      <c r="D298" s="1868">
        <v>1.1091299999999999</v>
      </c>
      <c r="E298" s="1868">
        <v>1.23316</v>
      </c>
      <c r="F298" s="1868">
        <v>1.30185</v>
      </c>
      <c r="G298" s="1868">
        <v>1.3463200000000002</v>
      </c>
      <c r="H298" s="1868">
        <v>1.0086200000000001</v>
      </c>
      <c r="I298" s="1868">
        <v>1.46034</v>
      </c>
      <c r="J298" s="1868">
        <v>0.85982999999999987</v>
      </c>
      <c r="K298" s="1868">
        <v>1.36629</v>
      </c>
      <c r="L298" s="1868">
        <v>1.1513200000000001</v>
      </c>
      <c r="M298" s="1868">
        <v>1.2418899999999999</v>
      </c>
      <c r="N298" s="1868">
        <v>1.3013299999999999</v>
      </c>
      <c r="O298" s="1868">
        <v>0.98363999999999996</v>
      </c>
      <c r="P298" s="1868">
        <v>1.3531</v>
      </c>
      <c r="Q298" s="1868">
        <v>1.4120200000000001</v>
      </c>
      <c r="R298" s="1868">
        <v>1.4342700000000002</v>
      </c>
      <c r="S298" s="1868">
        <v>1.3813500000000001</v>
      </c>
      <c r="T298" s="1868">
        <v>1.0227899999999999</v>
      </c>
      <c r="U298" s="1868">
        <v>1.7008599999999998</v>
      </c>
      <c r="V298" s="1868">
        <v>1.52721</v>
      </c>
      <c r="W298" s="1868">
        <v>1.0751200000000001</v>
      </c>
      <c r="X298" s="1868">
        <v>1.4189700000000001</v>
      </c>
      <c r="Y298" s="1868">
        <v>0.90236000000000005</v>
      </c>
      <c r="Z298" s="1868">
        <v>1.6661400000000002</v>
      </c>
      <c r="AA298" s="1868">
        <v>1.6387499999999999</v>
      </c>
      <c r="AB298" s="1868">
        <v>1.48326</v>
      </c>
      <c r="AC298" s="1868">
        <v>1.5563200000000001</v>
      </c>
      <c r="AD298" s="1868">
        <v>1.4708700000000001</v>
      </c>
      <c r="AE298" s="1868">
        <v>1.6472200000000001</v>
      </c>
      <c r="AF298" s="1868">
        <v>1.6865700000000001</v>
      </c>
      <c r="AG298" s="1868">
        <v>1.7354000000000001</v>
      </c>
      <c r="AH298" s="1868">
        <v>1.62887</v>
      </c>
      <c r="AI298" s="1868">
        <v>1.90405</v>
      </c>
      <c r="AJ298" s="1868">
        <v>1.9931299999999998</v>
      </c>
      <c r="AK298" s="1868">
        <v>1.29139</v>
      </c>
      <c r="AL298" s="1868">
        <v>1.87808</v>
      </c>
      <c r="AM298" s="1868">
        <v>2.14419</v>
      </c>
      <c r="AN298" s="1868">
        <v>1.9655799999999999</v>
      </c>
      <c r="AO298" s="1868">
        <v>1.9947099999999998</v>
      </c>
      <c r="AP298" s="1868">
        <v>2.1176599999999999</v>
      </c>
      <c r="AQ298" s="1868">
        <v>1.9750400000000001</v>
      </c>
      <c r="AR298" s="1868">
        <v>2.22336</v>
      </c>
      <c r="AS298" s="1868">
        <v>1.11069</v>
      </c>
      <c r="AT298" s="1868">
        <v>2.1149499999999999</v>
      </c>
      <c r="AU298" s="1868">
        <v>1.7269599999999998</v>
      </c>
      <c r="AV298" s="1868">
        <v>2.1141299999999998</v>
      </c>
      <c r="AW298" s="1868">
        <v>1.07599</v>
      </c>
      <c r="AX298" s="1868">
        <v>1.2685799999999998</v>
      </c>
      <c r="AY298" s="1868">
        <v>1.7251000000000001</v>
      </c>
      <c r="AZ298" s="1868">
        <v>1.7322599999999999</v>
      </c>
      <c r="BA298" s="1868">
        <v>1.7568599999999999</v>
      </c>
    </row>
    <row r="299" spans="1:53">
      <c r="A299" s="1865" t="str">
        <f t="shared" si="4"/>
        <v>WorldBananas</v>
      </c>
      <c r="B299" s="1866" t="s">
        <v>1414</v>
      </c>
      <c r="C299" s="1866" t="s">
        <v>1362</v>
      </c>
      <c r="D299" s="1868">
        <v>10.640739999999999</v>
      </c>
      <c r="E299" s="1868">
        <v>10.66952</v>
      </c>
      <c r="F299" s="1868">
        <v>10.813610000000001</v>
      </c>
      <c r="G299" s="1868">
        <v>11.02707</v>
      </c>
      <c r="H299" s="1868">
        <v>11.11382</v>
      </c>
      <c r="I299" s="1868">
        <v>11.20157</v>
      </c>
      <c r="J299" s="1868">
        <v>11.357519999999999</v>
      </c>
      <c r="K299" s="1868">
        <v>11.66065</v>
      </c>
      <c r="L299" s="1868">
        <v>11.760660000000001</v>
      </c>
      <c r="M299" s="1868">
        <v>11.606949999999999</v>
      </c>
      <c r="N299" s="1868">
        <v>12.16785</v>
      </c>
      <c r="O299" s="1868">
        <v>11.81227</v>
      </c>
      <c r="P299" s="1868">
        <v>11.135810000000001</v>
      </c>
      <c r="Q299" s="1868">
        <v>11.62007</v>
      </c>
      <c r="R299" s="1868">
        <v>11.791460000000001</v>
      </c>
      <c r="S299" s="1868">
        <v>12.326260000000001</v>
      </c>
      <c r="T299" s="1868">
        <v>12.785439999999999</v>
      </c>
      <c r="U299" s="1868">
        <v>13.141760000000001</v>
      </c>
      <c r="V299" s="1868">
        <v>13.11176</v>
      </c>
      <c r="W299" s="1868">
        <v>13.33239</v>
      </c>
      <c r="X299" s="1868">
        <v>13.54684</v>
      </c>
      <c r="Y299" s="1868">
        <v>13.290679999999998</v>
      </c>
      <c r="Z299" s="1868">
        <v>13.031029999999999</v>
      </c>
      <c r="AA299" s="1868">
        <v>13.592129999999999</v>
      </c>
      <c r="AB299" s="1868">
        <v>13.49438</v>
      </c>
      <c r="AC299" s="1868">
        <v>13.97931</v>
      </c>
      <c r="AD299" s="1868">
        <v>13.773179999999998</v>
      </c>
      <c r="AE299" s="1868">
        <v>12.84313</v>
      </c>
      <c r="AF299" s="1868">
        <v>13.656129999999999</v>
      </c>
      <c r="AG299" s="1868">
        <v>14.176360000000001</v>
      </c>
      <c r="AH299" s="1868">
        <v>14.33695</v>
      </c>
      <c r="AI299" s="1868">
        <v>14.152570000000001</v>
      </c>
      <c r="AJ299" s="1868">
        <v>14.313239999999999</v>
      </c>
      <c r="AK299" s="1868">
        <v>14.90104</v>
      </c>
      <c r="AL299" s="1868">
        <v>15.307020000000001</v>
      </c>
      <c r="AM299" s="1868">
        <v>14.928360000000001</v>
      </c>
      <c r="AN299" s="1868">
        <v>15.119860000000001</v>
      </c>
      <c r="AO299" s="1868">
        <v>14.870870000000002</v>
      </c>
      <c r="AP299" s="1868">
        <v>15.83009</v>
      </c>
      <c r="AQ299" s="1868">
        <v>14.85895</v>
      </c>
      <c r="AR299" s="1868">
        <v>15.437879999999998</v>
      </c>
      <c r="AS299" s="1868">
        <v>15.419579999999998</v>
      </c>
      <c r="AT299" s="1868">
        <v>15.36726</v>
      </c>
      <c r="AU299" s="1868">
        <v>16.196159999999999</v>
      </c>
      <c r="AV299" s="1868">
        <v>17.081570000000003</v>
      </c>
      <c r="AW299" s="1868">
        <v>17.266079999999999</v>
      </c>
      <c r="AX299" s="1868">
        <v>18.183420000000002</v>
      </c>
      <c r="AY299" s="1868">
        <v>19.618320000000001</v>
      </c>
      <c r="AZ299" s="1868">
        <v>19.784110000000002</v>
      </c>
      <c r="BA299" s="1868">
        <v>21.399000000000001</v>
      </c>
    </row>
    <row r="300" spans="1:53">
      <c r="A300" s="1865" t="str">
        <f t="shared" si="4"/>
        <v>WorldBarley</v>
      </c>
      <c r="B300" s="1866" t="s">
        <v>1414</v>
      </c>
      <c r="C300" s="1866" t="s">
        <v>1363</v>
      </c>
      <c r="D300" s="1868">
        <v>1.32819</v>
      </c>
      <c r="E300" s="1868">
        <v>1.52536</v>
      </c>
      <c r="F300" s="1868">
        <v>1.42862</v>
      </c>
      <c r="G300" s="1868">
        <v>1.55122</v>
      </c>
      <c r="H300" s="1868">
        <v>1.5478700000000001</v>
      </c>
      <c r="I300" s="1868">
        <v>1.65347</v>
      </c>
      <c r="J300" s="1868">
        <v>1.6955499999999999</v>
      </c>
      <c r="K300" s="1868">
        <v>1.7930599999999999</v>
      </c>
      <c r="L300" s="1868">
        <v>1.7820799999999999</v>
      </c>
      <c r="M300" s="1868">
        <v>1.8054299999999999</v>
      </c>
      <c r="N300" s="1868">
        <v>1.9397200000000001</v>
      </c>
      <c r="O300" s="1868">
        <v>1.8227900000000001</v>
      </c>
      <c r="P300" s="1868">
        <v>1.9371400000000001</v>
      </c>
      <c r="Q300" s="1868">
        <v>1.9524599999999999</v>
      </c>
      <c r="R300" s="1868">
        <v>1.6977</v>
      </c>
      <c r="S300" s="1868">
        <v>2.0558099999999997</v>
      </c>
      <c r="T300" s="1868">
        <v>1.9073</v>
      </c>
      <c r="U300" s="1868">
        <v>2.1755800000000001</v>
      </c>
      <c r="V300" s="1868">
        <v>1.8518400000000002</v>
      </c>
      <c r="W300" s="1868">
        <v>1.9976799999999999</v>
      </c>
      <c r="X300" s="1868">
        <v>1.8346200000000001</v>
      </c>
      <c r="Y300" s="1868">
        <v>2.0729900000000003</v>
      </c>
      <c r="Z300" s="1868">
        <v>2.0099900000000002</v>
      </c>
      <c r="AA300" s="1868">
        <v>2.1576499999999998</v>
      </c>
      <c r="AB300" s="1868">
        <v>2.1791800000000001</v>
      </c>
      <c r="AC300" s="1868">
        <v>2.2378200000000001</v>
      </c>
      <c r="AD300" s="1868">
        <v>2.2457500000000001</v>
      </c>
      <c r="AE300" s="1868">
        <v>2.1656499999999999</v>
      </c>
      <c r="AF300" s="1868">
        <v>2.22878</v>
      </c>
      <c r="AG300" s="1868">
        <v>2.4154400000000003</v>
      </c>
      <c r="AH300" s="1868">
        <v>2.22512</v>
      </c>
      <c r="AI300" s="1868">
        <v>2.2527400000000002</v>
      </c>
      <c r="AJ300" s="1868">
        <v>2.28511</v>
      </c>
      <c r="AK300" s="1868">
        <v>2.2311299999999998</v>
      </c>
      <c r="AL300" s="1868">
        <v>2.0687799999999998</v>
      </c>
      <c r="AM300" s="1868">
        <v>2.36307</v>
      </c>
      <c r="AN300" s="1868">
        <v>2.4359199999999999</v>
      </c>
      <c r="AO300" s="1868">
        <v>2.4237000000000002</v>
      </c>
      <c r="AP300" s="1868">
        <v>2.4077000000000002</v>
      </c>
      <c r="AQ300" s="1868">
        <v>2.4418099999999998</v>
      </c>
      <c r="AR300" s="1868">
        <v>2.5632900000000003</v>
      </c>
      <c r="AS300" s="1868">
        <v>2.4737900000000002</v>
      </c>
      <c r="AT300" s="1868">
        <v>2.4693099999999997</v>
      </c>
      <c r="AU300" s="1868">
        <v>2.6732299999999998</v>
      </c>
      <c r="AV300" s="1868">
        <v>2.50495</v>
      </c>
      <c r="AW300" s="1868">
        <v>2.4744299999999999</v>
      </c>
      <c r="AX300" s="1868">
        <v>2.4065599999999998</v>
      </c>
      <c r="AY300" s="1868">
        <v>2.7490399999999999</v>
      </c>
      <c r="AZ300" s="1868">
        <v>2.7986299999999997</v>
      </c>
      <c r="BA300" s="1868">
        <v>2.5782099999999999</v>
      </c>
    </row>
    <row r="301" spans="1:53">
      <c r="A301" s="1865" t="str">
        <f t="shared" si="4"/>
        <v>WorldBeans, dry</v>
      </c>
      <c r="B301" s="1866" t="s">
        <v>1414</v>
      </c>
      <c r="C301" s="1866" t="s">
        <v>1364</v>
      </c>
      <c r="D301" s="1868">
        <v>0.49318999999999996</v>
      </c>
      <c r="E301" s="1868">
        <v>0.49962000000000001</v>
      </c>
      <c r="F301" s="1868">
        <v>0.49036999999999997</v>
      </c>
      <c r="G301" s="1868">
        <v>0.49013000000000001</v>
      </c>
      <c r="H301" s="1868">
        <v>0.49430000000000002</v>
      </c>
      <c r="I301" s="1868">
        <v>0.5</v>
      </c>
      <c r="J301" s="1868">
        <v>0.52207000000000003</v>
      </c>
      <c r="K301" s="1868">
        <v>0.50139999999999996</v>
      </c>
      <c r="L301" s="1868">
        <v>0.51239000000000001</v>
      </c>
      <c r="M301" s="1868">
        <v>0.54108999999999996</v>
      </c>
      <c r="N301" s="1868">
        <v>0.5413</v>
      </c>
      <c r="O301" s="1868">
        <v>0.54059000000000001</v>
      </c>
      <c r="P301" s="1868">
        <v>0.54537000000000002</v>
      </c>
      <c r="Q301" s="1868">
        <v>0.53388000000000002</v>
      </c>
      <c r="R301" s="1868">
        <v>0.54915000000000003</v>
      </c>
      <c r="S301" s="1868">
        <v>0.52863000000000004</v>
      </c>
      <c r="T301" s="1868">
        <v>0.54481000000000002</v>
      </c>
      <c r="U301" s="1868">
        <v>0.55508000000000002</v>
      </c>
      <c r="V301" s="1868">
        <v>0.55098000000000003</v>
      </c>
      <c r="W301" s="1868">
        <v>0.53759999999999997</v>
      </c>
      <c r="X301" s="1868">
        <v>0.57784999999999997</v>
      </c>
      <c r="Y301" s="1868">
        <v>0.58526</v>
      </c>
      <c r="Z301" s="1868">
        <v>0.58809</v>
      </c>
      <c r="AA301" s="1868">
        <v>0.59511999999999998</v>
      </c>
      <c r="AB301" s="1868">
        <v>0.58672000000000002</v>
      </c>
      <c r="AC301" s="1868">
        <v>0.57088000000000005</v>
      </c>
      <c r="AD301" s="1868">
        <v>0.58745999999999998</v>
      </c>
      <c r="AE301" s="1868">
        <v>0.61636000000000002</v>
      </c>
      <c r="AF301" s="1868">
        <v>0.59416000000000002</v>
      </c>
      <c r="AG301" s="1868">
        <v>0.65853000000000006</v>
      </c>
      <c r="AH301" s="1868">
        <v>0.62441000000000002</v>
      </c>
      <c r="AI301" s="1868">
        <v>0.64341000000000004</v>
      </c>
      <c r="AJ301" s="1868">
        <v>0.65768000000000004</v>
      </c>
      <c r="AK301" s="1868">
        <v>0.65085000000000004</v>
      </c>
      <c r="AL301" s="1868">
        <v>0.67471000000000003</v>
      </c>
      <c r="AM301" s="1868">
        <v>0.65288999999999997</v>
      </c>
      <c r="AN301" s="1868">
        <v>0.63651000000000002</v>
      </c>
      <c r="AO301" s="1868">
        <v>0.67342999999999997</v>
      </c>
      <c r="AP301" s="1868">
        <v>0.74726000000000004</v>
      </c>
      <c r="AQ301" s="1868">
        <v>0.73502000000000001</v>
      </c>
      <c r="AR301" s="1868">
        <v>0.76280999999999999</v>
      </c>
      <c r="AS301" s="1868">
        <v>0.71158999999999994</v>
      </c>
      <c r="AT301" s="1868">
        <v>0.752</v>
      </c>
      <c r="AU301" s="1868">
        <v>0.68141000000000007</v>
      </c>
      <c r="AV301" s="1868">
        <v>0.71688000000000007</v>
      </c>
      <c r="AW301" s="1868">
        <v>0.75375999999999999</v>
      </c>
      <c r="AX301" s="1868">
        <v>0.73586000000000007</v>
      </c>
      <c r="AY301" s="1868">
        <v>0.79623999999999995</v>
      </c>
      <c r="AZ301" s="1868">
        <v>0.80713999999999997</v>
      </c>
      <c r="BA301" s="1868">
        <v>0.77638000000000007</v>
      </c>
    </row>
    <row r="302" spans="1:53">
      <c r="A302" s="1865" t="str">
        <f t="shared" si="4"/>
        <v>WorldBeans, green</v>
      </c>
      <c r="B302" s="1866" t="s">
        <v>1414</v>
      </c>
      <c r="C302" s="1866" t="s">
        <v>1365</v>
      </c>
      <c r="D302" s="1868">
        <v>5.3052700000000002</v>
      </c>
      <c r="E302" s="1868">
        <v>5.2478199999999999</v>
      </c>
      <c r="F302" s="1868">
        <v>5.2488199999999994</v>
      </c>
      <c r="G302" s="1868">
        <v>5.3704800000000006</v>
      </c>
      <c r="H302" s="1868">
        <v>5.1628999999999996</v>
      </c>
      <c r="I302" s="1868">
        <v>5.2610800000000006</v>
      </c>
      <c r="J302" s="1868">
        <v>5.37866</v>
      </c>
      <c r="K302" s="1868">
        <v>5.29223</v>
      </c>
      <c r="L302" s="1868">
        <v>5.4446199999999996</v>
      </c>
      <c r="M302" s="1868">
        <v>5.4977</v>
      </c>
      <c r="N302" s="1868">
        <v>5.4922500000000003</v>
      </c>
      <c r="O302" s="1868">
        <v>5.5647699999999993</v>
      </c>
      <c r="P302" s="1868">
        <v>5.6341099999999997</v>
      </c>
      <c r="Q302" s="1868">
        <v>5.7458099999999996</v>
      </c>
      <c r="R302" s="1868">
        <v>5.67401</v>
      </c>
      <c r="S302" s="1868">
        <v>5.6277800000000004</v>
      </c>
      <c r="T302" s="1868">
        <v>5.87418</v>
      </c>
      <c r="U302" s="1868">
        <v>5.8771699999999996</v>
      </c>
      <c r="V302" s="1868">
        <v>6.11911</v>
      </c>
      <c r="W302" s="1868">
        <v>6.2640699999999994</v>
      </c>
      <c r="X302" s="1868">
        <v>6.09978</v>
      </c>
      <c r="Y302" s="1868">
        <v>6.3251800000000005</v>
      </c>
      <c r="Z302" s="1868">
        <v>6.3143199999999995</v>
      </c>
      <c r="AA302" s="1868">
        <v>6.5450900000000001</v>
      </c>
      <c r="AB302" s="1868">
        <v>6.7655199999999995</v>
      </c>
      <c r="AC302" s="1868">
        <v>6.4685499999999996</v>
      </c>
      <c r="AD302" s="1868">
        <v>6.2465599999999997</v>
      </c>
      <c r="AE302" s="1868">
        <v>6.2889599999999994</v>
      </c>
      <c r="AF302" s="1868">
        <v>6.4319100000000002</v>
      </c>
      <c r="AG302" s="1868">
        <v>6.3795000000000002</v>
      </c>
      <c r="AH302" s="1868">
        <v>6.5433900000000005</v>
      </c>
      <c r="AI302" s="1868">
        <v>6.52616</v>
      </c>
      <c r="AJ302" s="1868">
        <v>7.0270000000000001</v>
      </c>
      <c r="AK302" s="1868">
        <v>6.8614499999999996</v>
      </c>
      <c r="AL302" s="1868">
        <v>6.6159100000000004</v>
      </c>
      <c r="AM302" s="1868">
        <v>6.9635699999999998</v>
      </c>
      <c r="AN302" s="1868">
        <v>6.9236899999999997</v>
      </c>
      <c r="AO302" s="1868">
        <v>7.0631699999999995</v>
      </c>
      <c r="AP302" s="1868">
        <v>7.3186399999999994</v>
      </c>
      <c r="AQ302" s="1868">
        <v>7.2053100000000008</v>
      </c>
      <c r="AR302" s="1868">
        <v>7.6865600000000009</v>
      </c>
      <c r="AS302" s="1868">
        <v>8.1051000000000002</v>
      </c>
      <c r="AT302" s="1868">
        <v>8.6163000000000007</v>
      </c>
      <c r="AU302" s="1868">
        <v>9.6750500000000006</v>
      </c>
      <c r="AV302" s="1868">
        <v>10.78411</v>
      </c>
      <c r="AW302" s="1868">
        <v>11.80077</v>
      </c>
      <c r="AX302" s="1868">
        <v>12.242610000000001</v>
      </c>
      <c r="AY302" s="1868">
        <v>12.802630000000001</v>
      </c>
      <c r="AZ302" s="1868">
        <v>12.911239999999999</v>
      </c>
      <c r="BA302" s="1868">
        <v>11.952999999999999</v>
      </c>
    </row>
    <row r="303" spans="1:53">
      <c r="A303" s="1865" t="str">
        <f t="shared" si="4"/>
        <v>WorldCarrots and turnips</v>
      </c>
      <c r="B303" s="1866" t="s">
        <v>1414</v>
      </c>
      <c r="C303" s="1866" t="s">
        <v>1366</v>
      </c>
      <c r="D303" s="1868">
        <v>16.114460000000001</v>
      </c>
      <c r="E303" s="1868">
        <v>16.054770000000001</v>
      </c>
      <c r="F303" s="1868">
        <v>17.033910000000002</v>
      </c>
      <c r="G303" s="1868">
        <v>17.11525</v>
      </c>
      <c r="H303" s="1868">
        <v>17.128320000000002</v>
      </c>
      <c r="I303" s="1868">
        <v>18.05292</v>
      </c>
      <c r="J303" s="1868">
        <v>18.474</v>
      </c>
      <c r="K303" s="1868">
        <v>18.524450000000002</v>
      </c>
      <c r="L303" s="1868">
        <v>18.577179999999998</v>
      </c>
      <c r="M303" s="1868">
        <v>18.37763</v>
      </c>
      <c r="N303" s="1868">
        <v>18.665579999999999</v>
      </c>
      <c r="O303" s="1868">
        <v>18.483250000000002</v>
      </c>
      <c r="P303" s="1868">
        <v>19.256629999999998</v>
      </c>
      <c r="Q303" s="1868">
        <v>19.055700000000002</v>
      </c>
      <c r="R303" s="1868">
        <v>18.337420000000002</v>
      </c>
      <c r="S303" s="1868">
        <v>18.225709999999999</v>
      </c>
      <c r="T303" s="1868">
        <v>20.279309999999999</v>
      </c>
      <c r="U303" s="1868">
        <v>20.37968</v>
      </c>
      <c r="V303" s="1868">
        <v>19.680420000000002</v>
      </c>
      <c r="W303" s="1868">
        <v>19.81212</v>
      </c>
      <c r="X303" s="1868">
        <v>19.56664</v>
      </c>
      <c r="Y303" s="1868">
        <v>20.55031</v>
      </c>
      <c r="Z303" s="1868">
        <v>20.20833</v>
      </c>
      <c r="AA303" s="1868">
        <v>21.766829999999999</v>
      </c>
      <c r="AB303" s="1868">
        <v>21.288409999999999</v>
      </c>
      <c r="AC303" s="1868">
        <v>21.507920000000002</v>
      </c>
      <c r="AD303" s="1868">
        <v>21.837039999999998</v>
      </c>
      <c r="AE303" s="1868">
        <v>21.42229</v>
      </c>
      <c r="AF303" s="1868">
        <v>21.31814</v>
      </c>
      <c r="AG303" s="1868">
        <v>21.956800000000001</v>
      </c>
      <c r="AH303" s="1868">
        <v>21.182770000000001</v>
      </c>
      <c r="AI303" s="1868">
        <v>22.407029999999999</v>
      </c>
      <c r="AJ303" s="1868">
        <v>23.312260000000002</v>
      </c>
      <c r="AK303" s="1868">
        <v>22.167379999999998</v>
      </c>
      <c r="AL303" s="1868">
        <v>22.139789999999998</v>
      </c>
      <c r="AM303" s="1868">
        <v>22.668329999999997</v>
      </c>
      <c r="AN303" s="1868">
        <v>22.942889999999998</v>
      </c>
      <c r="AO303" s="1868">
        <v>21.71143</v>
      </c>
      <c r="AP303" s="1868">
        <v>21.63148</v>
      </c>
      <c r="AQ303" s="1868">
        <v>21.8902</v>
      </c>
      <c r="AR303" s="1868">
        <v>22.224150000000002</v>
      </c>
      <c r="AS303" s="1868">
        <v>22.17597</v>
      </c>
      <c r="AT303" s="1868">
        <v>22.656179999999999</v>
      </c>
      <c r="AU303" s="1868">
        <v>22.848459999999999</v>
      </c>
      <c r="AV303" s="1868">
        <v>23.858740000000001</v>
      </c>
      <c r="AW303" s="1868">
        <v>24.694649999999999</v>
      </c>
      <c r="AX303" s="1868">
        <v>26.13785</v>
      </c>
      <c r="AY303" s="1868">
        <v>29.240990000000004</v>
      </c>
      <c r="AZ303" s="1868">
        <v>29.41188</v>
      </c>
      <c r="BA303" s="1868">
        <v>28.906970000000001</v>
      </c>
    </row>
    <row r="304" spans="1:53">
      <c r="A304" s="1865" t="str">
        <f t="shared" si="4"/>
        <v>WorldCashew nuts, with shell</v>
      </c>
      <c r="B304" s="1866" t="s">
        <v>1414</v>
      </c>
      <c r="C304" s="1866" t="s">
        <v>1367</v>
      </c>
      <c r="D304" s="1868">
        <v>0.54638999999999993</v>
      </c>
      <c r="E304" s="1868">
        <v>0.56430000000000002</v>
      </c>
      <c r="F304" s="1868">
        <v>0.56957000000000002</v>
      </c>
      <c r="G304" s="1868">
        <v>0.59511999999999998</v>
      </c>
      <c r="H304" s="1868">
        <v>0.58803000000000005</v>
      </c>
      <c r="I304" s="1868">
        <v>0.57743999999999995</v>
      </c>
      <c r="J304" s="1868">
        <v>0.56262999999999996</v>
      </c>
      <c r="K304" s="1868">
        <v>0.5796</v>
      </c>
      <c r="L304" s="1868">
        <v>0.55852000000000002</v>
      </c>
      <c r="M304" s="1868">
        <v>0.55591999999999997</v>
      </c>
      <c r="N304" s="1868">
        <v>0.57071000000000005</v>
      </c>
      <c r="O304" s="1868">
        <v>0.57425000000000004</v>
      </c>
      <c r="P304" s="1868">
        <v>0.58335000000000004</v>
      </c>
      <c r="Q304" s="1868">
        <v>0.56463999999999992</v>
      </c>
      <c r="R304" s="1868">
        <v>0.52398</v>
      </c>
      <c r="S304" s="1868">
        <v>0.53243000000000007</v>
      </c>
      <c r="T304" s="1868">
        <v>0.54637000000000002</v>
      </c>
      <c r="U304" s="1868">
        <v>0.55363000000000007</v>
      </c>
      <c r="V304" s="1868">
        <v>0.51761000000000001</v>
      </c>
      <c r="W304" s="1868">
        <v>0.48951999999999996</v>
      </c>
      <c r="X304" s="1868">
        <v>0.48258999999999996</v>
      </c>
      <c r="Y304" s="1868">
        <v>0.46233000000000002</v>
      </c>
      <c r="Z304" s="1868">
        <v>0.47051000000000004</v>
      </c>
      <c r="AA304" s="1868">
        <v>0.46098</v>
      </c>
      <c r="AB304" s="1868">
        <v>0.55878000000000005</v>
      </c>
      <c r="AC304" s="1868">
        <v>0.57158999999999993</v>
      </c>
      <c r="AD304" s="1868">
        <v>0.55515999999999999</v>
      </c>
      <c r="AE304" s="1868">
        <v>0.60753000000000001</v>
      </c>
      <c r="AF304" s="1868">
        <v>0.62934000000000001</v>
      </c>
      <c r="AG304" s="1868">
        <v>0.41936999999999997</v>
      </c>
      <c r="AH304" s="1868">
        <v>0.46628000000000003</v>
      </c>
      <c r="AI304" s="1868">
        <v>0.43013999999999997</v>
      </c>
      <c r="AJ304" s="1868">
        <v>0.46158000000000005</v>
      </c>
      <c r="AK304" s="1868">
        <v>0.50471999999999995</v>
      </c>
      <c r="AL304" s="1868">
        <v>0.50761000000000001</v>
      </c>
      <c r="AM304" s="1868">
        <v>0.57784999999999997</v>
      </c>
      <c r="AN304" s="1868">
        <v>0.47788000000000003</v>
      </c>
      <c r="AO304" s="1868">
        <v>0.42111000000000004</v>
      </c>
      <c r="AP304" s="1868">
        <v>0.53748000000000007</v>
      </c>
      <c r="AQ304" s="1868">
        <v>0.60209999999999997</v>
      </c>
      <c r="AR304" s="1868">
        <v>0.61853999999999998</v>
      </c>
      <c r="AS304" s="1868">
        <v>0.65261999999999998</v>
      </c>
      <c r="AT304" s="1868">
        <v>0.70463999999999993</v>
      </c>
      <c r="AU304" s="1868">
        <v>0.77961999999999998</v>
      </c>
      <c r="AV304" s="1868">
        <v>0.79327000000000003</v>
      </c>
      <c r="AW304" s="1868">
        <v>0.83248999999999995</v>
      </c>
      <c r="AX304" s="1868">
        <v>0.88665000000000005</v>
      </c>
      <c r="AY304" s="1868">
        <v>0.91477000000000008</v>
      </c>
      <c r="AZ304" s="1868">
        <v>0.79801</v>
      </c>
      <c r="BA304" s="1868">
        <v>0.81420000000000003</v>
      </c>
    </row>
    <row r="305" spans="1:53">
      <c r="A305" s="1865" t="str">
        <f t="shared" si="4"/>
        <v>WorldCassava</v>
      </c>
      <c r="B305" s="1866" t="s">
        <v>1414</v>
      </c>
      <c r="C305" s="1866" t="s">
        <v>1368</v>
      </c>
      <c r="D305" s="1868">
        <v>7.4044999999999996</v>
      </c>
      <c r="E305" s="1868">
        <v>7.5462699999999998</v>
      </c>
      <c r="F305" s="1868">
        <v>7.6079800000000004</v>
      </c>
      <c r="G305" s="1868">
        <v>7.9045600000000009</v>
      </c>
      <c r="H305" s="1868">
        <v>7.9359399999999996</v>
      </c>
      <c r="I305" s="1868">
        <v>7.96068</v>
      </c>
      <c r="J305" s="1868">
        <v>8.0207100000000011</v>
      </c>
      <c r="K305" s="1868">
        <v>8.3040099999999999</v>
      </c>
      <c r="L305" s="1868">
        <v>8.34863</v>
      </c>
      <c r="M305" s="1868">
        <v>8.4860600000000002</v>
      </c>
      <c r="N305" s="1868">
        <v>8.3635000000000002</v>
      </c>
      <c r="O305" s="1868">
        <v>8.4218799999999998</v>
      </c>
      <c r="P305" s="1868">
        <v>8.1703799999999998</v>
      </c>
      <c r="Q305" s="1868">
        <v>8.1677300000000006</v>
      </c>
      <c r="R305" s="1868">
        <v>8.5981500000000004</v>
      </c>
      <c r="S305" s="1868">
        <v>8.8444699999999994</v>
      </c>
      <c r="T305" s="1868">
        <v>8.9353899999999999</v>
      </c>
      <c r="U305" s="1868">
        <v>9.0442499999999999</v>
      </c>
      <c r="V305" s="1868">
        <v>9.006689999999999</v>
      </c>
      <c r="W305" s="1868">
        <v>9.1267300000000002</v>
      </c>
      <c r="X305" s="1868">
        <v>9.2584499999999998</v>
      </c>
      <c r="Y305" s="1868">
        <v>9.2166100000000011</v>
      </c>
      <c r="Z305" s="1868">
        <v>9.3301100000000012</v>
      </c>
      <c r="AA305" s="1868">
        <v>9.4283600000000014</v>
      </c>
      <c r="AB305" s="1868">
        <v>9.8206799999999994</v>
      </c>
      <c r="AC305" s="1868">
        <v>9.6290399999999998</v>
      </c>
      <c r="AD305" s="1868">
        <v>9.7421500000000005</v>
      </c>
      <c r="AE305" s="1868">
        <v>9.8878399999999989</v>
      </c>
      <c r="AF305" s="1868">
        <v>9.9569799999999997</v>
      </c>
      <c r="AG305" s="1868">
        <v>10.02556</v>
      </c>
      <c r="AH305" s="1868">
        <v>9.8348200000000006</v>
      </c>
      <c r="AI305" s="1868">
        <v>9.7585699999999989</v>
      </c>
      <c r="AJ305" s="1868">
        <v>9.8603500000000004</v>
      </c>
      <c r="AK305" s="1868">
        <v>9.798210000000001</v>
      </c>
      <c r="AL305" s="1868">
        <v>9.8729499999999994</v>
      </c>
      <c r="AM305" s="1868">
        <v>9.7628699999999995</v>
      </c>
      <c r="AN305" s="1868">
        <v>10.102089999999999</v>
      </c>
      <c r="AO305" s="1868">
        <v>9.8425799999999999</v>
      </c>
      <c r="AP305" s="1868">
        <v>10.088010000000001</v>
      </c>
      <c r="AQ305" s="1868">
        <v>10.384069999999999</v>
      </c>
      <c r="AR305" s="1868">
        <v>10.69126</v>
      </c>
      <c r="AS305" s="1868">
        <v>10.716889999999999</v>
      </c>
      <c r="AT305" s="1868">
        <v>10.7873</v>
      </c>
      <c r="AU305" s="1868">
        <v>11.000919999999999</v>
      </c>
      <c r="AV305" s="1868">
        <v>11.17592</v>
      </c>
      <c r="AW305" s="1868">
        <v>12.060089999999999</v>
      </c>
      <c r="AX305" s="1868">
        <v>12.28396</v>
      </c>
      <c r="AY305" s="1868">
        <v>12.62035</v>
      </c>
      <c r="AZ305" s="1868">
        <v>12.5054</v>
      </c>
      <c r="BA305" s="1868">
        <v>12.436110000000001</v>
      </c>
    </row>
    <row r="306" spans="1:53">
      <c r="A306" s="1865" t="str">
        <f t="shared" si="4"/>
        <v>WorldCauliflowers and broccoli</v>
      </c>
      <c r="B306" s="1866" t="s">
        <v>1414</v>
      </c>
      <c r="C306" s="1866" t="s">
        <v>1369</v>
      </c>
      <c r="D306" s="1868">
        <v>14.41053</v>
      </c>
      <c r="E306" s="1868">
        <v>13.16818</v>
      </c>
      <c r="F306" s="1868">
        <v>13.87176</v>
      </c>
      <c r="G306" s="1868">
        <v>13.893599999999999</v>
      </c>
      <c r="H306" s="1868">
        <v>14.34244</v>
      </c>
      <c r="I306" s="1868">
        <v>14.158799999999999</v>
      </c>
      <c r="J306" s="1868">
        <v>14.406079999999999</v>
      </c>
      <c r="K306" s="1868">
        <v>14.011570000000001</v>
      </c>
      <c r="L306" s="1868">
        <v>14.02736</v>
      </c>
      <c r="M306" s="1868">
        <v>13.754989999999999</v>
      </c>
      <c r="N306" s="1868">
        <v>13.925889999999999</v>
      </c>
      <c r="O306" s="1868">
        <v>14.173389999999999</v>
      </c>
      <c r="P306" s="1868">
        <v>13.841070000000002</v>
      </c>
      <c r="Q306" s="1868">
        <v>14.200850000000001</v>
      </c>
      <c r="R306" s="1868">
        <v>13.93309</v>
      </c>
      <c r="S306" s="1868">
        <v>13.855870000000001</v>
      </c>
      <c r="T306" s="1868">
        <v>13.8811</v>
      </c>
      <c r="U306" s="1868">
        <v>14.067679999999999</v>
      </c>
      <c r="V306" s="1868">
        <v>13.752679999999998</v>
      </c>
      <c r="W306" s="1868">
        <v>14.175479999999999</v>
      </c>
      <c r="X306" s="1868">
        <v>14.393070000000002</v>
      </c>
      <c r="Y306" s="1868">
        <v>14.506089999999999</v>
      </c>
      <c r="Z306" s="1868">
        <v>14.4338</v>
      </c>
      <c r="AA306" s="1868">
        <v>14.520539999999999</v>
      </c>
      <c r="AB306" s="1868">
        <v>14.71759</v>
      </c>
      <c r="AC306" s="1868">
        <v>14.85399</v>
      </c>
      <c r="AD306" s="1868">
        <v>15.023010000000001</v>
      </c>
      <c r="AE306" s="1868">
        <v>15.62994</v>
      </c>
      <c r="AF306" s="1868">
        <v>15.43852</v>
      </c>
      <c r="AG306" s="1868">
        <v>15.393179999999999</v>
      </c>
      <c r="AH306" s="1868">
        <v>16.030470000000001</v>
      </c>
      <c r="AI306" s="1868">
        <v>17.770189999999999</v>
      </c>
      <c r="AJ306" s="1868">
        <v>17.124570000000002</v>
      </c>
      <c r="AK306" s="1868">
        <v>17.61514</v>
      </c>
      <c r="AL306" s="1868">
        <v>18.048249999999999</v>
      </c>
      <c r="AM306" s="1868">
        <v>17.835620000000002</v>
      </c>
      <c r="AN306" s="1868">
        <v>18.14303</v>
      </c>
      <c r="AO306" s="1868">
        <v>18.40372</v>
      </c>
      <c r="AP306" s="1868">
        <v>18.498329999999999</v>
      </c>
      <c r="AQ306" s="1868">
        <v>19.043589999999998</v>
      </c>
      <c r="AR306" s="1868">
        <v>18.898540000000001</v>
      </c>
      <c r="AS306" s="1868">
        <v>18.5854</v>
      </c>
      <c r="AT306" s="1868">
        <v>18.495039999999999</v>
      </c>
      <c r="AU306" s="1868">
        <v>17.648220000000002</v>
      </c>
      <c r="AV306" s="1868">
        <v>17.483729999999998</v>
      </c>
      <c r="AW306" s="1868">
        <v>17.196809999999999</v>
      </c>
      <c r="AX306" s="1868">
        <v>16.97672</v>
      </c>
      <c r="AY306" s="1868">
        <v>17.6844</v>
      </c>
      <c r="AZ306" s="1868">
        <v>17.326370000000001</v>
      </c>
      <c r="BA306" s="1868">
        <v>17.069269999999999</v>
      </c>
    </row>
    <row r="307" spans="1:53">
      <c r="A307" s="1865" t="str">
        <f t="shared" si="4"/>
        <v>WorldCereals, nes</v>
      </c>
      <c r="B307" s="1866" t="s">
        <v>1414</v>
      </c>
      <c r="C307" s="1866" t="s">
        <v>1370</v>
      </c>
      <c r="D307" s="1868">
        <v>0.59681000000000006</v>
      </c>
      <c r="E307" s="1868">
        <v>0.57111999999999996</v>
      </c>
      <c r="F307" s="1868">
        <v>0.58582000000000001</v>
      </c>
      <c r="G307" s="1868">
        <v>0.60611000000000004</v>
      </c>
      <c r="H307" s="1868">
        <v>0.62346000000000001</v>
      </c>
      <c r="I307" s="1868">
        <v>0.61026000000000002</v>
      </c>
      <c r="J307" s="1868">
        <v>0.62144999999999995</v>
      </c>
      <c r="K307" s="1868">
        <v>0.62956000000000001</v>
      </c>
      <c r="L307" s="1868">
        <v>0.62388999999999994</v>
      </c>
      <c r="M307" s="1868">
        <v>0.63008999999999993</v>
      </c>
      <c r="N307" s="1868">
        <v>0.62724999999999997</v>
      </c>
      <c r="O307" s="1868">
        <v>0.64029999999999998</v>
      </c>
      <c r="P307" s="1868">
        <v>0.74197000000000002</v>
      </c>
      <c r="Q307" s="1868">
        <v>0.74434999999999996</v>
      </c>
      <c r="R307" s="1868">
        <v>0.72843999999999998</v>
      </c>
      <c r="S307" s="1868">
        <v>0.72987000000000002</v>
      </c>
      <c r="T307" s="1868">
        <v>0.74907000000000001</v>
      </c>
      <c r="U307" s="1868">
        <v>0.84493999999999991</v>
      </c>
      <c r="V307" s="1868">
        <v>0.81762999999999997</v>
      </c>
      <c r="W307" s="1868">
        <v>0.93382999999999994</v>
      </c>
      <c r="X307" s="1868">
        <v>0.94248999999999994</v>
      </c>
      <c r="Y307" s="1868">
        <v>0.82962000000000002</v>
      </c>
      <c r="Z307" s="1868">
        <v>0.94799</v>
      </c>
      <c r="AA307" s="1868">
        <v>0.82806000000000002</v>
      </c>
      <c r="AB307" s="1868">
        <v>0.71204000000000001</v>
      </c>
      <c r="AC307" s="1868">
        <v>0.76961000000000002</v>
      </c>
      <c r="AD307" s="1868">
        <v>0.82192999999999994</v>
      </c>
      <c r="AE307" s="1868">
        <v>0.82730000000000004</v>
      </c>
      <c r="AF307" s="1868">
        <v>0.88270999999999999</v>
      </c>
      <c r="AG307" s="1868">
        <v>0.92127000000000003</v>
      </c>
      <c r="AH307" s="1868">
        <v>1.3711</v>
      </c>
      <c r="AI307" s="1868">
        <v>0.90239999999999998</v>
      </c>
      <c r="AJ307" s="1868">
        <v>0.92881000000000002</v>
      </c>
      <c r="AK307" s="1868">
        <v>0.9533299999999999</v>
      </c>
      <c r="AL307" s="1868">
        <v>0.74783999999999995</v>
      </c>
      <c r="AM307" s="1868">
        <v>0.84832999999999992</v>
      </c>
      <c r="AN307" s="1868">
        <v>0.92887000000000008</v>
      </c>
      <c r="AO307" s="1868">
        <v>0.78116000000000008</v>
      </c>
      <c r="AP307" s="1868">
        <v>0.8228700000000001</v>
      </c>
      <c r="AQ307" s="1868">
        <v>0.82307999999999992</v>
      </c>
      <c r="AR307" s="1868">
        <v>0.85896000000000006</v>
      </c>
      <c r="AS307" s="1868">
        <v>0.9120299999999999</v>
      </c>
      <c r="AT307" s="1868">
        <v>0.83704000000000001</v>
      </c>
      <c r="AU307" s="1868">
        <v>0.85583999999999993</v>
      </c>
      <c r="AV307" s="1868">
        <v>1.0497299999999998</v>
      </c>
      <c r="AW307" s="1868">
        <v>1.1013500000000001</v>
      </c>
      <c r="AX307" s="1868">
        <v>1.15049</v>
      </c>
      <c r="AY307" s="1868">
        <v>0.99644999999999995</v>
      </c>
      <c r="AZ307" s="1868">
        <v>1.31094</v>
      </c>
      <c r="BA307" s="1868">
        <v>1.2426999999999999</v>
      </c>
    </row>
    <row r="308" spans="1:53">
      <c r="A308" s="1865" t="str">
        <f t="shared" si="4"/>
        <v>WorldChestnuts</v>
      </c>
      <c r="B308" s="1866" t="s">
        <v>1414</v>
      </c>
      <c r="C308" s="1866" t="s">
        <v>1371</v>
      </c>
      <c r="D308" s="1868">
        <v>5.7781500000000001</v>
      </c>
      <c r="E308" s="1868">
        <v>5.2432300000000005</v>
      </c>
      <c r="F308" s="1868">
        <v>5.5973100000000002</v>
      </c>
      <c r="G308" s="1868">
        <v>5.0591200000000001</v>
      </c>
      <c r="H308" s="1868">
        <v>4.2736499999999999</v>
      </c>
      <c r="I308" s="1868">
        <v>4.41228</v>
      </c>
      <c r="J308" s="1868">
        <v>4.08521</v>
      </c>
      <c r="K308" s="1868">
        <v>4.20289</v>
      </c>
      <c r="L308" s="1868">
        <v>4.2858300000000007</v>
      </c>
      <c r="M308" s="1868">
        <v>4.1448300000000007</v>
      </c>
      <c r="N308" s="1868">
        <v>4.2711800000000002</v>
      </c>
      <c r="O308" s="1868">
        <v>4.3069499999999996</v>
      </c>
      <c r="P308" s="1868">
        <v>4.5347099999999996</v>
      </c>
      <c r="Q308" s="1868">
        <v>4.0420099999999994</v>
      </c>
      <c r="R308" s="1868">
        <v>3.8541199999999995</v>
      </c>
      <c r="S308" s="1868">
        <v>3.9537400000000003</v>
      </c>
      <c r="T308" s="1868">
        <v>3.50745</v>
      </c>
      <c r="U308" s="1868">
        <v>3.4965900000000003</v>
      </c>
      <c r="V308" s="1868">
        <v>3.7477499999999999</v>
      </c>
      <c r="W308" s="1868">
        <v>3.5489699999999997</v>
      </c>
      <c r="X308" s="1868">
        <v>3.7157499999999999</v>
      </c>
      <c r="Y308" s="1868">
        <v>3.6300699999999999</v>
      </c>
      <c r="Z308" s="1868">
        <v>3.5782099999999999</v>
      </c>
      <c r="AA308" s="1868">
        <v>3.2181700000000002</v>
      </c>
      <c r="AB308" s="1868">
        <v>1.7886200000000001</v>
      </c>
      <c r="AC308" s="1868">
        <v>1.8684799999999999</v>
      </c>
      <c r="AD308" s="1868">
        <v>2.0061900000000001</v>
      </c>
      <c r="AE308" s="1868">
        <v>2.0221299999999998</v>
      </c>
      <c r="AF308" s="1868">
        <v>1.90045</v>
      </c>
      <c r="AG308" s="1868">
        <v>1.91848</v>
      </c>
      <c r="AH308" s="1868">
        <v>2.3263099999999999</v>
      </c>
      <c r="AI308" s="1868">
        <v>2.4914999999999998</v>
      </c>
      <c r="AJ308" s="1868">
        <v>2.3807</v>
      </c>
      <c r="AK308" s="1868">
        <v>2.5248400000000002</v>
      </c>
      <c r="AL308" s="1868">
        <v>2.5860400000000001</v>
      </c>
      <c r="AM308" s="1868">
        <v>2.3717999999999999</v>
      </c>
      <c r="AN308" s="1868">
        <v>2.6354099999999998</v>
      </c>
      <c r="AO308" s="1868">
        <v>2.7039900000000001</v>
      </c>
      <c r="AP308" s="1868">
        <v>2.8386900000000002</v>
      </c>
      <c r="AQ308" s="1868">
        <v>3.0005999999999999</v>
      </c>
      <c r="AR308" s="1868">
        <v>3.2761800000000001</v>
      </c>
      <c r="AS308" s="1868">
        <v>3.0473499999999998</v>
      </c>
      <c r="AT308" s="1868">
        <v>3.0816400000000002</v>
      </c>
      <c r="AU308" s="1868">
        <v>3.22411</v>
      </c>
      <c r="AV308" s="1868">
        <v>3.3412599999999997</v>
      </c>
      <c r="AW308" s="1868">
        <v>3.3475599999999996</v>
      </c>
      <c r="AX308" s="1868">
        <v>3.3888599999999998</v>
      </c>
      <c r="AY308" s="1868">
        <v>3.6180400000000001</v>
      </c>
      <c r="AZ308" s="1868">
        <v>3.67266</v>
      </c>
      <c r="BA308" s="1868">
        <v>3.7255199999999995</v>
      </c>
    </row>
    <row r="309" spans="1:53">
      <c r="A309" s="1865" t="str">
        <f t="shared" si="4"/>
        <v>WorldCitrus fruit, nes</v>
      </c>
      <c r="B309" s="1866" t="s">
        <v>1414</v>
      </c>
      <c r="C309" s="1866" t="s">
        <v>1372</v>
      </c>
      <c r="D309" s="1868">
        <v>3.9270400000000003</v>
      </c>
      <c r="E309" s="1868">
        <v>3.95194</v>
      </c>
      <c r="F309" s="1868">
        <v>3.98184</v>
      </c>
      <c r="G309" s="1868">
        <v>4.01532</v>
      </c>
      <c r="H309" s="1868">
        <v>3.9934199999999995</v>
      </c>
      <c r="I309" s="1868">
        <v>4.0181899999999997</v>
      </c>
      <c r="J309" s="1868">
        <v>4.0465599999999995</v>
      </c>
      <c r="K309" s="1868">
        <v>4.13551</v>
      </c>
      <c r="L309" s="1868">
        <v>3.9876900000000002</v>
      </c>
      <c r="M309" s="1868">
        <v>3.7623300000000004</v>
      </c>
      <c r="N309" s="1868">
        <v>3.8821500000000002</v>
      </c>
      <c r="O309" s="1868">
        <v>3.9861900000000001</v>
      </c>
      <c r="P309" s="1868">
        <v>4.0634199999999998</v>
      </c>
      <c r="Q309" s="1868">
        <v>4.1244699999999996</v>
      </c>
      <c r="R309" s="1868">
        <v>4.16005</v>
      </c>
      <c r="S309" s="1868">
        <v>4.1706500000000002</v>
      </c>
      <c r="T309" s="1868">
        <v>4.2248400000000004</v>
      </c>
      <c r="U309" s="1868">
        <v>4.2701900000000004</v>
      </c>
      <c r="V309" s="1868">
        <v>4.1406000000000001</v>
      </c>
      <c r="W309" s="1868">
        <v>4.1464600000000003</v>
      </c>
      <c r="X309" s="1868">
        <v>4.0955699999999995</v>
      </c>
      <c r="Y309" s="1868">
        <v>4.1996199999999995</v>
      </c>
      <c r="Z309" s="1868">
        <v>4.3984899999999998</v>
      </c>
      <c r="AA309" s="1868">
        <v>4.3194599999999994</v>
      </c>
      <c r="AB309" s="1868">
        <v>4.2870900000000001</v>
      </c>
      <c r="AC309" s="1868">
        <v>4.4827900000000005</v>
      </c>
      <c r="AD309" s="1868">
        <v>4.6404699999999997</v>
      </c>
      <c r="AE309" s="1868">
        <v>4.6265499999999999</v>
      </c>
      <c r="AF309" s="1868">
        <v>4.5747300000000006</v>
      </c>
      <c r="AG309" s="1868">
        <v>4.8029299999999999</v>
      </c>
      <c r="AH309" s="1868">
        <v>5.0751099999999996</v>
      </c>
      <c r="AI309" s="1868">
        <v>5.1205999999999996</v>
      </c>
      <c r="AJ309" s="1868">
        <v>5.3102999999999998</v>
      </c>
      <c r="AK309" s="1868">
        <v>5.3595100000000002</v>
      </c>
      <c r="AL309" s="1868">
        <v>5.4118599999999999</v>
      </c>
      <c r="AM309" s="1868">
        <v>5.54887</v>
      </c>
      <c r="AN309" s="1868">
        <v>5.7118699999999993</v>
      </c>
      <c r="AO309" s="1868">
        <v>5.8544999999999998</v>
      </c>
      <c r="AP309" s="1868">
        <v>6.4861199999999997</v>
      </c>
      <c r="AQ309" s="1868">
        <v>6.3522600000000002</v>
      </c>
      <c r="AR309" s="1868">
        <v>6.35053</v>
      </c>
      <c r="AS309" s="1868">
        <v>6.2335400000000005</v>
      </c>
      <c r="AT309" s="1868">
        <v>6.29969</v>
      </c>
      <c r="AU309" s="1868">
        <v>6.626339999999999</v>
      </c>
      <c r="AV309" s="1868">
        <v>7.4829300000000005</v>
      </c>
      <c r="AW309" s="1868">
        <v>6.6003600000000002</v>
      </c>
      <c r="AX309" s="1868">
        <v>8.1717100000000009</v>
      </c>
      <c r="AY309" s="1868">
        <v>8.7774199999999993</v>
      </c>
      <c r="AZ309" s="1868">
        <v>9.36707</v>
      </c>
      <c r="BA309" s="1868">
        <v>9.4433100000000003</v>
      </c>
    </row>
    <row r="310" spans="1:53">
      <c r="A310" s="1865" t="str">
        <f t="shared" si="4"/>
        <v>WorldCoffee, green</v>
      </c>
      <c r="B310" s="1866" t="s">
        <v>1414</v>
      </c>
      <c r="C310" s="1866" t="s">
        <v>1373</v>
      </c>
      <c r="D310" s="1868">
        <v>0.46403999999999995</v>
      </c>
      <c r="E310" s="1868">
        <v>0.44317000000000001</v>
      </c>
      <c r="F310" s="1868">
        <v>0.40156999999999998</v>
      </c>
      <c r="G310" s="1868">
        <v>0.38411000000000001</v>
      </c>
      <c r="H310" s="1868">
        <v>0.50948000000000004</v>
      </c>
      <c r="I310" s="1868">
        <v>0.42559999999999998</v>
      </c>
      <c r="J310" s="1868">
        <v>0.46058000000000004</v>
      </c>
      <c r="K310" s="1868">
        <v>0.43358000000000002</v>
      </c>
      <c r="L310" s="1868">
        <v>0.47506999999999999</v>
      </c>
      <c r="M310" s="1868">
        <v>0.43328</v>
      </c>
      <c r="N310" s="1868">
        <v>0.51407999999999998</v>
      </c>
      <c r="O310" s="1868">
        <v>0.51112000000000002</v>
      </c>
      <c r="P310" s="1868">
        <v>0.47153</v>
      </c>
      <c r="Q310" s="1868">
        <v>0.53151999999999999</v>
      </c>
      <c r="R310" s="1868">
        <v>0.51156000000000001</v>
      </c>
      <c r="S310" s="1868">
        <v>0.44424999999999998</v>
      </c>
      <c r="T310" s="1868">
        <v>0.48948999999999998</v>
      </c>
      <c r="U310" s="1868">
        <v>0.50251000000000001</v>
      </c>
      <c r="V310" s="1868">
        <v>0.50816000000000006</v>
      </c>
      <c r="W310" s="1868">
        <v>0.48051000000000005</v>
      </c>
      <c r="X310" s="1868">
        <v>0.58479999999999999</v>
      </c>
      <c r="Y310" s="1868">
        <v>0.50311000000000006</v>
      </c>
      <c r="Z310" s="1868">
        <v>0.55035000000000001</v>
      </c>
      <c r="AA310" s="1868">
        <v>0.51366000000000001</v>
      </c>
      <c r="AB310" s="1868">
        <v>0.56273000000000006</v>
      </c>
      <c r="AC310" s="1868">
        <v>0.495</v>
      </c>
      <c r="AD310" s="1868">
        <v>0.58979999999999999</v>
      </c>
      <c r="AE310" s="1868">
        <v>0.5071</v>
      </c>
      <c r="AF310" s="1868">
        <v>0.52576999999999996</v>
      </c>
      <c r="AG310" s="1868">
        <v>0.53986999999999996</v>
      </c>
      <c r="AH310" s="1868">
        <v>0.55947999999999998</v>
      </c>
      <c r="AI310" s="1868">
        <v>0.58093000000000006</v>
      </c>
      <c r="AJ310" s="1868">
        <v>0.54744999999999999</v>
      </c>
      <c r="AK310" s="1868">
        <v>0.58246999999999993</v>
      </c>
      <c r="AL310" s="1868">
        <v>0.56928999999999996</v>
      </c>
      <c r="AM310" s="1868">
        <v>0.63476999999999995</v>
      </c>
      <c r="AN310" s="1868">
        <v>0.61058999999999997</v>
      </c>
      <c r="AO310" s="1868">
        <v>0.66203000000000001</v>
      </c>
      <c r="AP310" s="1868">
        <v>0.66113999999999995</v>
      </c>
      <c r="AQ310" s="1868">
        <v>0.70528999999999997</v>
      </c>
      <c r="AR310" s="1868">
        <v>0.69635000000000002</v>
      </c>
      <c r="AS310" s="1868">
        <v>0.76838000000000006</v>
      </c>
      <c r="AT310" s="1868">
        <v>0.69574999999999998</v>
      </c>
      <c r="AU310" s="1868">
        <v>0.71582000000000001</v>
      </c>
      <c r="AV310" s="1868">
        <v>0.67510000000000003</v>
      </c>
      <c r="AW310" s="1868">
        <v>0.77296999999999993</v>
      </c>
      <c r="AX310" s="1868">
        <v>0.78964999999999996</v>
      </c>
      <c r="AY310" s="1868">
        <v>0.80318999999999996</v>
      </c>
      <c r="AZ310" s="1868">
        <v>0.80138999999999994</v>
      </c>
      <c r="BA310" s="1868">
        <v>0.82117999999999991</v>
      </c>
    </row>
    <row r="311" spans="1:53">
      <c r="A311" s="1865" t="str">
        <f t="shared" si="4"/>
        <v>WorldCow peas, dry</v>
      </c>
      <c r="B311" s="1866" t="s">
        <v>1414</v>
      </c>
      <c r="C311" s="1866" t="s">
        <v>1355</v>
      </c>
      <c r="D311" s="1868">
        <v>0.3614</v>
      </c>
      <c r="E311" s="1868">
        <v>0.35525000000000001</v>
      </c>
      <c r="F311" s="1868">
        <v>0.27637</v>
      </c>
      <c r="G311" s="1868">
        <v>0.28799000000000002</v>
      </c>
      <c r="H311" s="1868">
        <v>0.27504000000000001</v>
      </c>
      <c r="I311" s="1868">
        <v>0.22760999999999998</v>
      </c>
      <c r="J311" s="1868">
        <v>0.19291</v>
      </c>
      <c r="K311" s="1868">
        <v>0.22826999999999997</v>
      </c>
      <c r="L311" s="1868">
        <v>0.24244000000000002</v>
      </c>
      <c r="M311" s="1868">
        <v>0.24279999999999999</v>
      </c>
      <c r="N311" s="1868">
        <v>0.2248</v>
      </c>
      <c r="O311" s="1868">
        <v>0.22320999999999999</v>
      </c>
      <c r="P311" s="1868">
        <v>0.20199</v>
      </c>
      <c r="Q311" s="1868">
        <v>0.35109000000000001</v>
      </c>
      <c r="R311" s="1868">
        <v>0.31589</v>
      </c>
      <c r="S311" s="1868">
        <v>0.29559999999999997</v>
      </c>
      <c r="T311" s="1868">
        <v>0.31796999999999997</v>
      </c>
      <c r="U311" s="1868">
        <v>0.35972999999999999</v>
      </c>
      <c r="V311" s="1868">
        <v>0.40283000000000002</v>
      </c>
      <c r="W311" s="1868">
        <v>0.33723999999999998</v>
      </c>
      <c r="X311" s="1868">
        <v>0.38180999999999998</v>
      </c>
      <c r="Y311" s="1868">
        <v>0.33778000000000002</v>
      </c>
      <c r="Z311" s="1868">
        <v>0.33876000000000001</v>
      </c>
      <c r="AA311" s="1868">
        <v>0.30249000000000004</v>
      </c>
      <c r="AB311" s="1868">
        <v>0.30207000000000001</v>
      </c>
      <c r="AC311" s="1868">
        <v>0.35621999999999998</v>
      </c>
      <c r="AD311" s="1868">
        <v>0.31869999999999998</v>
      </c>
      <c r="AE311" s="1868">
        <v>0.36939</v>
      </c>
      <c r="AF311" s="1868">
        <v>0.41116999999999998</v>
      </c>
      <c r="AG311" s="1868">
        <v>0.37067</v>
      </c>
      <c r="AH311" s="1868">
        <v>0.40151999999999999</v>
      </c>
      <c r="AI311" s="1868">
        <v>0.30160999999999999</v>
      </c>
      <c r="AJ311" s="1868">
        <v>0.29909000000000002</v>
      </c>
      <c r="AK311" s="1868">
        <v>0.37522</v>
      </c>
      <c r="AL311" s="1868">
        <v>0.31003999999999998</v>
      </c>
      <c r="AM311" s="1868">
        <v>0.33279999999999998</v>
      </c>
      <c r="AN311" s="1868">
        <v>0.32477</v>
      </c>
      <c r="AO311" s="1868">
        <v>0.35700999999999999</v>
      </c>
      <c r="AP311" s="1868">
        <v>0.38674999999999998</v>
      </c>
      <c r="AQ311" s="1868">
        <v>0.42431000000000002</v>
      </c>
      <c r="AR311" s="1868">
        <v>0.40883000000000003</v>
      </c>
      <c r="AS311" s="1868">
        <v>0.41120000000000001</v>
      </c>
      <c r="AT311" s="1868">
        <v>0.41426000000000002</v>
      </c>
      <c r="AU311" s="1868">
        <v>0.46084999999999998</v>
      </c>
      <c r="AV311" s="1868">
        <v>0.46734999999999999</v>
      </c>
      <c r="AW311" s="1868">
        <v>0.46258999999999995</v>
      </c>
      <c r="AX311" s="1868">
        <v>0.43735000000000002</v>
      </c>
      <c r="AY311" s="1868">
        <v>0.48904999999999998</v>
      </c>
      <c r="AZ311" s="1868">
        <v>0.50827</v>
      </c>
      <c r="BA311" s="1868">
        <v>0.52776999999999996</v>
      </c>
    </row>
    <row r="312" spans="1:53">
      <c r="A312" s="1865" t="str">
        <f t="shared" si="4"/>
        <v>WorldDates</v>
      </c>
      <c r="B312" s="1866" t="s">
        <v>1414</v>
      </c>
      <c r="C312" s="1866" t="s">
        <v>1374</v>
      </c>
      <c r="D312" s="1868">
        <v>7.6879999999999997</v>
      </c>
      <c r="E312" s="1868">
        <v>7.5900899999999991</v>
      </c>
      <c r="F312" s="1868">
        <v>7.1463600000000005</v>
      </c>
      <c r="G312" s="1868">
        <v>6.5318100000000001</v>
      </c>
      <c r="H312" s="1868">
        <v>6.9116300000000006</v>
      </c>
      <c r="I312" s="1868">
        <v>6.9750500000000004</v>
      </c>
      <c r="J312" s="1868">
        <v>6.5116100000000001</v>
      </c>
      <c r="K312" s="1868">
        <v>6.2077900000000001</v>
      </c>
      <c r="L312" s="1868">
        <v>7.6632800000000003</v>
      </c>
      <c r="M312" s="1868">
        <v>7.0911</v>
      </c>
      <c r="N312" s="1868">
        <v>7.0648600000000004</v>
      </c>
      <c r="O312" s="1868">
        <v>6.7651699999999995</v>
      </c>
      <c r="P312" s="1868">
        <v>7.1528300000000007</v>
      </c>
      <c r="Q312" s="1868">
        <v>6.8567100000000005</v>
      </c>
      <c r="R312" s="1868">
        <v>7.342410000000001</v>
      </c>
      <c r="S312" s="1868">
        <v>6.6604899999999994</v>
      </c>
      <c r="T312" s="1868">
        <v>8.0942299999999996</v>
      </c>
      <c r="U312" s="1868">
        <v>7.0076399999999994</v>
      </c>
      <c r="V312" s="1868">
        <v>7.3283399999999999</v>
      </c>
      <c r="W312" s="1868">
        <v>7.4005000000000001</v>
      </c>
      <c r="X312" s="1868">
        <v>6.4127599999999996</v>
      </c>
      <c r="Y312" s="1868">
        <v>6.2134800000000006</v>
      </c>
      <c r="Z312" s="1868">
        <v>6.8851899999999997</v>
      </c>
      <c r="AA312" s="1868">
        <v>6.6473600000000008</v>
      </c>
      <c r="AB312" s="1868">
        <v>5.1891499999999997</v>
      </c>
      <c r="AC312" s="1868">
        <v>5.1120800000000006</v>
      </c>
      <c r="AD312" s="1868">
        <v>5.2719199999999997</v>
      </c>
      <c r="AE312" s="1868">
        <v>5.3007900000000001</v>
      </c>
      <c r="AF312" s="1868">
        <v>5.5345800000000001</v>
      </c>
      <c r="AG312" s="1868">
        <v>5.4886699999999999</v>
      </c>
      <c r="AH312" s="1868">
        <v>5.6330499999999999</v>
      </c>
      <c r="AI312" s="1868">
        <v>5.4765499999999996</v>
      </c>
      <c r="AJ312" s="1868">
        <v>5.99329</v>
      </c>
      <c r="AK312" s="1868">
        <v>5.7777900000000004</v>
      </c>
      <c r="AL312" s="1868">
        <v>5.8435499999999996</v>
      </c>
      <c r="AM312" s="1868">
        <v>5.7116400000000001</v>
      </c>
      <c r="AN312" s="1868">
        <v>5.6535699999999993</v>
      </c>
      <c r="AO312" s="1868">
        <v>6.1080800000000002</v>
      </c>
      <c r="AP312" s="1868">
        <v>5.9198000000000004</v>
      </c>
      <c r="AQ312" s="1868">
        <v>6.1911100000000001</v>
      </c>
      <c r="AR312" s="1868">
        <v>6.28653</v>
      </c>
      <c r="AS312" s="1868">
        <v>6.2343699999999993</v>
      </c>
      <c r="AT312" s="1868">
        <v>6.0895999999999999</v>
      </c>
      <c r="AU312" s="1868">
        <v>5.7937599999999998</v>
      </c>
      <c r="AV312" s="1868">
        <v>5.8450600000000001</v>
      </c>
      <c r="AW312" s="1868">
        <v>5.6093500000000001</v>
      </c>
      <c r="AX312" s="1868">
        <v>5.8437299999999999</v>
      </c>
      <c r="AY312" s="1868">
        <v>6.31745</v>
      </c>
      <c r="AZ312" s="1868">
        <v>6.4511000000000003</v>
      </c>
      <c r="BA312" s="1868">
        <v>7.2390600000000003</v>
      </c>
    </row>
    <row r="313" spans="1:53">
      <c r="A313" s="1865" t="str">
        <f t="shared" si="4"/>
        <v>WorldEggplants (aubergines)</v>
      </c>
      <c r="B313" s="1866" t="s">
        <v>1414</v>
      </c>
      <c r="C313" s="1866" t="s">
        <v>1375</v>
      </c>
      <c r="D313" s="1868">
        <v>8.8664100000000001</v>
      </c>
      <c r="E313" s="1868">
        <v>9.4031500000000001</v>
      </c>
      <c r="F313" s="1868">
        <v>9.752930000000001</v>
      </c>
      <c r="G313" s="1868">
        <v>9.8344100000000001</v>
      </c>
      <c r="H313" s="1868">
        <v>10.116350000000001</v>
      </c>
      <c r="I313" s="1868">
        <v>10.35468</v>
      </c>
      <c r="J313" s="1868">
        <v>10.606249999999999</v>
      </c>
      <c r="K313" s="1868">
        <v>10.955819999999999</v>
      </c>
      <c r="L313" s="1868">
        <v>11.090949999999999</v>
      </c>
      <c r="M313" s="1868">
        <v>11.26379</v>
      </c>
      <c r="N313" s="1868">
        <v>11.493030000000001</v>
      </c>
      <c r="O313" s="1868">
        <v>10.98696</v>
      </c>
      <c r="P313" s="1868">
        <v>11.57053</v>
      </c>
      <c r="Q313" s="1868">
        <v>11.79777</v>
      </c>
      <c r="R313" s="1868">
        <v>11.74991</v>
      </c>
      <c r="S313" s="1868">
        <v>11.337949999999999</v>
      </c>
      <c r="T313" s="1868">
        <v>11.526300000000001</v>
      </c>
      <c r="U313" s="1868">
        <v>11.4055</v>
      </c>
      <c r="V313" s="1868">
        <v>11.7034</v>
      </c>
      <c r="W313" s="1868">
        <v>11.43665</v>
      </c>
      <c r="X313" s="1868">
        <v>11.9588</v>
      </c>
      <c r="Y313" s="1868">
        <v>11.685369999999999</v>
      </c>
      <c r="Z313" s="1868">
        <v>12.044499999999999</v>
      </c>
      <c r="AA313" s="1868">
        <v>11.865500000000001</v>
      </c>
      <c r="AB313" s="1868">
        <v>11.96238</v>
      </c>
      <c r="AC313" s="1868">
        <v>12.28293</v>
      </c>
      <c r="AD313" s="1868">
        <v>12.324780000000001</v>
      </c>
      <c r="AE313" s="1868">
        <v>12.601850000000001</v>
      </c>
      <c r="AF313" s="1868">
        <v>12.238239999999999</v>
      </c>
      <c r="AG313" s="1868">
        <v>13.572239999999999</v>
      </c>
      <c r="AH313" s="1868">
        <v>14.02529</v>
      </c>
      <c r="AI313" s="1868">
        <v>16.0213</v>
      </c>
      <c r="AJ313" s="1868">
        <v>17.777520000000003</v>
      </c>
      <c r="AK313" s="1868">
        <v>16.572620000000001</v>
      </c>
      <c r="AL313" s="1868">
        <v>16.363679999999999</v>
      </c>
      <c r="AM313" s="1868">
        <v>16.451409999999999</v>
      </c>
      <c r="AN313" s="1868">
        <v>16.270440000000001</v>
      </c>
      <c r="AO313" s="1868">
        <v>17.07612</v>
      </c>
      <c r="AP313" s="1868">
        <v>18.632360000000002</v>
      </c>
      <c r="AQ313" s="1868">
        <v>17.935110000000002</v>
      </c>
      <c r="AR313" s="1868">
        <v>17.472059999999999</v>
      </c>
      <c r="AS313" s="1868">
        <v>18.01127</v>
      </c>
      <c r="AT313" s="1868">
        <v>17.728939999999998</v>
      </c>
      <c r="AU313" s="1868">
        <v>17.692599999999999</v>
      </c>
      <c r="AV313" s="1868">
        <v>17.483620000000002</v>
      </c>
      <c r="AW313" s="1868">
        <v>17.50807</v>
      </c>
      <c r="AX313" s="1868">
        <v>22.680039999999998</v>
      </c>
      <c r="AY313" s="1868">
        <v>24.811050000000002</v>
      </c>
      <c r="AZ313" s="1868">
        <v>25.71762</v>
      </c>
      <c r="BA313" s="1868">
        <v>25.195229999999999</v>
      </c>
    </row>
    <row r="314" spans="1:53">
      <c r="A314" s="1865" t="str">
        <f t="shared" si="4"/>
        <v>WorldFibre Crops Nes</v>
      </c>
      <c r="B314" s="1866" t="s">
        <v>1414</v>
      </c>
      <c r="C314" s="1866" t="s">
        <v>1376</v>
      </c>
      <c r="D314" s="1868">
        <v>0.56501999999999997</v>
      </c>
      <c r="E314" s="1868">
        <v>0.55126000000000008</v>
      </c>
      <c r="F314" s="1868">
        <v>0.56828999999999996</v>
      </c>
      <c r="G314" s="1868">
        <v>0.57166000000000006</v>
      </c>
      <c r="H314" s="1868">
        <v>0.53488000000000002</v>
      </c>
      <c r="I314" s="1868">
        <v>0.55706999999999995</v>
      </c>
      <c r="J314" s="1868">
        <v>0.54305999999999999</v>
      </c>
      <c r="K314" s="1868">
        <v>0.56676000000000004</v>
      </c>
      <c r="L314" s="1868">
        <v>0.51385999999999998</v>
      </c>
      <c r="M314" s="1868">
        <v>0.55401</v>
      </c>
      <c r="N314" s="1868">
        <v>0.57028000000000001</v>
      </c>
      <c r="O314" s="1868">
        <v>0.61783999999999994</v>
      </c>
      <c r="P314" s="1868">
        <v>0.67151000000000005</v>
      </c>
      <c r="Q314" s="1868">
        <v>0.70728000000000002</v>
      </c>
      <c r="R314" s="1868">
        <v>0.70516999999999996</v>
      </c>
      <c r="S314" s="1868">
        <v>0.74758999999999998</v>
      </c>
      <c r="T314" s="1868">
        <v>0.75541999999999998</v>
      </c>
      <c r="U314" s="1868">
        <v>0.77522000000000002</v>
      </c>
      <c r="V314" s="1868">
        <v>0.79898000000000002</v>
      </c>
      <c r="W314" s="1868">
        <v>0.79056999999999999</v>
      </c>
      <c r="X314" s="1868">
        <v>0.82251000000000007</v>
      </c>
      <c r="Y314" s="1868">
        <v>0.85494999999999999</v>
      </c>
      <c r="Z314" s="1868">
        <v>0.86334</v>
      </c>
      <c r="AA314" s="1868">
        <v>0.88302000000000003</v>
      </c>
      <c r="AB314" s="1868">
        <v>0.90487000000000006</v>
      </c>
      <c r="AC314" s="1868">
        <v>0.92684999999999995</v>
      </c>
      <c r="AD314" s="1868">
        <v>0.9647</v>
      </c>
      <c r="AE314" s="1868">
        <v>0.92044999999999999</v>
      </c>
      <c r="AF314" s="1868">
        <v>0.86407000000000012</v>
      </c>
      <c r="AG314" s="1868">
        <v>0.79198999999999997</v>
      </c>
      <c r="AH314" s="1868">
        <v>0.77943999999999991</v>
      </c>
      <c r="AI314" s="1868">
        <v>0.86214999999999997</v>
      </c>
      <c r="AJ314" s="1868">
        <v>0.79676000000000002</v>
      </c>
      <c r="AK314" s="1868">
        <v>0.88387000000000004</v>
      </c>
      <c r="AL314" s="1868">
        <v>0.93458999999999992</v>
      </c>
      <c r="AM314" s="1868">
        <v>0.88751000000000002</v>
      </c>
      <c r="AN314" s="1868">
        <v>0.95377999999999996</v>
      </c>
      <c r="AO314" s="1868">
        <v>0.95232000000000006</v>
      </c>
      <c r="AP314" s="1868">
        <v>0.84592999999999996</v>
      </c>
      <c r="AQ314" s="1868">
        <v>0.88144</v>
      </c>
      <c r="AR314" s="1868">
        <v>0.85988999999999993</v>
      </c>
      <c r="AS314" s="1868">
        <v>0.88707999999999998</v>
      </c>
      <c r="AT314" s="1868">
        <v>0.85846</v>
      </c>
      <c r="AU314" s="1868">
        <v>0.98477999999999988</v>
      </c>
      <c r="AV314" s="1868">
        <v>0.88791000000000009</v>
      </c>
      <c r="AW314" s="1868">
        <v>0.87039</v>
      </c>
      <c r="AX314" s="1868">
        <v>0.92792000000000008</v>
      </c>
      <c r="AY314" s="1868">
        <v>0.87902000000000002</v>
      </c>
      <c r="AZ314" s="1868">
        <v>0.78239999999999998</v>
      </c>
      <c r="BA314" s="1868">
        <v>0.82647999999999988</v>
      </c>
    </row>
    <row r="315" spans="1:53">
      <c r="A315" s="1865" t="str">
        <f t="shared" si="4"/>
        <v>WorldGrapefruit (inc. pomelos)</v>
      </c>
      <c r="B315" s="1866" t="s">
        <v>1414</v>
      </c>
      <c r="C315" s="1866" t="s">
        <v>1377</v>
      </c>
      <c r="D315" s="1868">
        <v>21.599589999999999</v>
      </c>
      <c r="E315" s="1868">
        <v>21.274660000000001</v>
      </c>
      <c r="F315" s="1868">
        <v>19.615489999999998</v>
      </c>
      <c r="G315" s="1868">
        <v>19.632929999999998</v>
      </c>
      <c r="H315" s="1868">
        <v>22.070170000000001</v>
      </c>
      <c r="I315" s="1868">
        <v>23.740079999999999</v>
      </c>
      <c r="J315" s="1868">
        <v>27.03622</v>
      </c>
      <c r="K315" s="1868">
        <v>22.795579999999998</v>
      </c>
      <c r="L315" s="1868">
        <v>26.563420000000001</v>
      </c>
      <c r="M315" s="1868">
        <v>26.19473</v>
      </c>
      <c r="N315" s="1868">
        <v>28.060670000000002</v>
      </c>
      <c r="O315" s="1868">
        <v>28.443409999999997</v>
      </c>
      <c r="P315" s="1868">
        <v>27.723400000000002</v>
      </c>
      <c r="Q315" s="1868">
        <v>27.64968</v>
      </c>
      <c r="R315" s="1868">
        <v>26.267570000000003</v>
      </c>
      <c r="S315" s="1868">
        <v>28.677009999999999</v>
      </c>
      <c r="T315" s="1868">
        <v>29.94603</v>
      </c>
      <c r="U315" s="1868">
        <v>29.977890000000002</v>
      </c>
      <c r="V315" s="1868">
        <v>27.953440000000004</v>
      </c>
      <c r="W315" s="1868">
        <v>25.968450000000001</v>
      </c>
      <c r="X315" s="1868">
        <v>24.843669999999999</v>
      </c>
      <c r="Y315" s="1868">
        <v>25.788699999999999</v>
      </c>
      <c r="Z315" s="1868">
        <v>23.276420000000002</v>
      </c>
      <c r="AA315" s="1868">
        <v>22.40193</v>
      </c>
      <c r="AB315" s="1868">
        <v>19.78998</v>
      </c>
      <c r="AC315" s="1868">
        <v>20.966750000000001</v>
      </c>
      <c r="AD315" s="1868">
        <v>21.509720000000002</v>
      </c>
      <c r="AE315" s="1868">
        <v>22.438770000000002</v>
      </c>
      <c r="AF315" s="1868">
        <v>21.568680000000001</v>
      </c>
      <c r="AG315" s="1868">
        <v>17.871649999999999</v>
      </c>
      <c r="AH315" s="1868">
        <v>19.199159999999999</v>
      </c>
      <c r="AI315" s="1868">
        <v>18.35247</v>
      </c>
      <c r="AJ315" s="1868">
        <v>19.774279999999997</v>
      </c>
      <c r="AK315" s="1868">
        <v>19.357279999999999</v>
      </c>
      <c r="AL315" s="1868">
        <v>20.38691</v>
      </c>
      <c r="AM315" s="1868">
        <v>19.996649999999999</v>
      </c>
      <c r="AN315" s="1868">
        <v>20.11448</v>
      </c>
      <c r="AO315" s="1868">
        <v>19.779199999999999</v>
      </c>
      <c r="AP315" s="1868">
        <v>19.840160000000001</v>
      </c>
      <c r="AQ315" s="1868">
        <v>20.604189999999999</v>
      </c>
      <c r="AR315" s="1868">
        <v>19.482089999999999</v>
      </c>
      <c r="AS315" s="1868">
        <v>18.22128</v>
      </c>
      <c r="AT315" s="1868">
        <v>18.432470000000002</v>
      </c>
      <c r="AU315" s="1868">
        <v>19.434720000000002</v>
      </c>
      <c r="AV315" s="1868">
        <v>15.19159</v>
      </c>
      <c r="AW315" s="1868">
        <v>17.268740000000001</v>
      </c>
      <c r="AX315" s="1868">
        <v>24.731820000000003</v>
      </c>
      <c r="AY315" s="1868">
        <v>26.257529999999999</v>
      </c>
      <c r="AZ315" s="1868">
        <v>25.9833</v>
      </c>
      <c r="BA315" s="1868">
        <v>25.865370000000002</v>
      </c>
    </row>
    <row r="316" spans="1:53">
      <c r="A316" s="1865" t="str">
        <f t="shared" si="4"/>
        <v>WorldGrapes</v>
      </c>
      <c r="B316" s="1866" t="s">
        <v>1414</v>
      </c>
      <c r="C316" s="1866" t="s">
        <v>1378</v>
      </c>
      <c r="D316" s="1868">
        <v>4.6059599999999996</v>
      </c>
      <c r="E316" s="1868">
        <v>5.6958599999999997</v>
      </c>
      <c r="F316" s="1868">
        <v>5.06053</v>
      </c>
      <c r="G316" s="1868">
        <v>5.4427500000000002</v>
      </c>
      <c r="H316" s="1868">
        <v>5.7453099999999999</v>
      </c>
      <c r="I316" s="1868">
        <v>5.4595099999999999</v>
      </c>
      <c r="J316" s="1868">
        <v>5.6124000000000001</v>
      </c>
      <c r="K316" s="1868">
        <v>5.8976499999999996</v>
      </c>
      <c r="L316" s="1868">
        <v>5.7692399999999999</v>
      </c>
      <c r="M316" s="1868">
        <v>6.1543400000000004</v>
      </c>
      <c r="N316" s="1868">
        <v>6.0024199999999999</v>
      </c>
      <c r="O316" s="1868">
        <v>5.5286200000000001</v>
      </c>
      <c r="P316" s="1868">
        <v>6.9797100000000007</v>
      </c>
      <c r="Q316" s="1868">
        <v>6.7183699999999993</v>
      </c>
      <c r="R316" s="1868">
        <v>6.3729500000000003</v>
      </c>
      <c r="S316" s="1868">
        <v>6.4349699999999999</v>
      </c>
      <c r="T316" s="1868">
        <v>5.7316199999999995</v>
      </c>
      <c r="U316" s="1868">
        <v>6.1774699999999996</v>
      </c>
      <c r="V316" s="1868">
        <v>7.5224299999999999</v>
      </c>
      <c r="W316" s="1868">
        <v>7.21408</v>
      </c>
      <c r="X316" s="1868">
        <v>6.683889999999999</v>
      </c>
      <c r="Y316" s="1868">
        <v>7.9748399999999995</v>
      </c>
      <c r="Z316" s="1868">
        <v>7.5879000000000003</v>
      </c>
      <c r="AA316" s="1868">
        <v>7.3823800000000004</v>
      </c>
      <c r="AB316" s="1868">
        <v>6.8036100000000008</v>
      </c>
      <c r="AC316" s="1868">
        <v>7.5577600000000009</v>
      </c>
      <c r="AD316" s="1868">
        <v>7.6443100000000008</v>
      </c>
      <c r="AE316" s="1868">
        <v>7.0458999999999996</v>
      </c>
      <c r="AF316" s="1868">
        <v>7.1862100000000009</v>
      </c>
      <c r="AG316" s="1868">
        <v>7.4949000000000003</v>
      </c>
      <c r="AH316" s="1868">
        <v>7.1474699999999993</v>
      </c>
      <c r="AI316" s="1868">
        <v>7.7186100000000009</v>
      </c>
      <c r="AJ316" s="1868">
        <v>7.3789100000000003</v>
      </c>
      <c r="AK316" s="1868">
        <v>7.2878300000000005</v>
      </c>
      <c r="AL316" s="1868">
        <v>7.5945800000000006</v>
      </c>
      <c r="AM316" s="1868">
        <v>8.0939999999999994</v>
      </c>
      <c r="AN316" s="1868">
        <v>8.0508800000000011</v>
      </c>
      <c r="AO316" s="1868">
        <v>7.9148899999999998</v>
      </c>
      <c r="AP316" s="1868">
        <v>8.432360000000001</v>
      </c>
      <c r="AQ316" s="1868">
        <v>8.8464799999999997</v>
      </c>
      <c r="AR316" s="1868">
        <v>8.3042800000000003</v>
      </c>
      <c r="AS316" s="1868">
        <v>8.34985</v>
      </c>
      <c r="AT316" s="1868">
        <v>8.5388600000000014</v>
      </c>
      <c r="AU316" s="1868">
        <v>9.1510699999999989</v>
      </c>
      <c r="AV316" s="1868">
        <v>9.1511999999999993</v>
      </c>
      <c r="AW316" s="1868">
        <v>9.1157000000000004</v>
      </c>
      <c r="AX316" s="1868">
        <v>8.9878400000000003</v>
      </c>
      <c r="AY316" s="1868">
        <v>9.3774100000000011</v>
      </c>
      <c r="AZ316" s="1868">
        <v>9.1130100000000009</v>
      </c>
      <c r="BA316" s="1868">
        <v>9.4904399999999995</v>
      </c>
    </row>
    <row r="317" spans="1:53">
      <c r="A317" s="1865" t="str">
        <f t="shared" si="4"/>
        <v>WorldGroundnuts, with shell</v>
      </c>
      <c r="B317" s="1866" t="s">
        <v>1414</v>
      </c>
      <c r="C317" s="1866" t="s">
        <v>1379</v>
      </c>
      <c r="D317" s="1868">
        <v>0.84932999999999992</v>
      </c>
      <c r="E317" s="1868">
        <v>0.86252999999999991</v>
      </c>
      <c r="F317" s="1868">
        <v>0.88344</v>
      </c>
      <c r="G317" s="1868">
        <v>0.88187000000000004</v>
      </c>
      <c r="H317" s="1868">
        <v>0.80083000000000004</v>
      </c>
      <c r="I317" s="1868">
        <v>0.83152000000000004</v>
      </c>
      <c r="J317" s="1868">
        <v>0.87722999999999995</v>
      </c>
      <c r="K317" s="1868">
        <v>0.83531</v>
      </c>
      <c r="L317" s="1868">
        <v>0.87570000000000003</v>
      </c>
      <c r="M317" s="1868">
        <v>0.92212999999999989</v>
      </c>
      <c r="N317" s="1868">
        <v>0.92925000000000002</v>
      </c>
      <c r="O317" s="1868">
        <v>0.81205000000000005</v>
      </c>
      <c r="P317" s="1868">
        <v>0.87347000000000008</v>
      </c>
      <c r="Q317" s="1868">
        <v>0.94456000000000007</v>
      </c>
      <c r="R317" s="1868">
        <v>0.95594999999999997</v>
      </c>
      <c r="S317" s="1868">
        <v>0.90621000000000007</v>
      </c>
      <c r="T317" s="1868">
        <v>0.95258999999999994</v>
      </c>
      <c r="U317" s="1868">
        <v>0.97077999999999998</v>
      </c>
      <c r="V317" s="1868">
        <v>0.97731000000000001</v>
      </c>
      <c r="W317" s="1868">
        <v>0.91979</v>
      </c>
      <c r="X317" s="1868">
        <v>1.06304</v>
      </c>
      <c r="Y317" s="1868">
        <v>0.98027000000000009</v>
      </c>
      <c r="Z317" s="1868">
        <v>1.03424</v>
      </c>
      <c r="AA317" s="1868">
        <v>1.09663</v>
      </c>
      <c r="AB317" s="1868">
        <v>1.13368</v>
      </c>
      <c r="AC317" s="1868">
        <v>1.12751</v>
      </c>
      <c r="AD317" s="1868">
        <v>1.1508499999999999</v>
      </c>
      <c r="AE317" s="1868">
        <v>1.24671</v>
      </c>
      <c r="AF317" s="1868">
        <v>1.1374</v>
      </c>
      <c r="AG317" s="1868">
        <v>1.1689000000000001</v>
      </c>
      <c r="AH317" s="1868">
        <v>1.1509100000000001</v>
      </c>
      <c r="AI317" s="1868">
        <v>1.1869700000000001</v>
      </c>
      <c r="AJ317" s="1868">
        <v>1.2389700000000001</v>
      </c>
      <c r="AK317" s="1868">
        <v>1.3037299999999998</v>
      </c>
      <c r="AL317" s="1868">
        <v>1.2977100000000001</v>
      </c>
      <c r="AM317" s="1868">
        <v>1.3912200000000001</v>
      </c>
      <c r="AN317" s="1868">
        <v>1.3095299999999999</v>
      </c>
      <c r="AO317" s="1868">
        <v>1.45638</v>
      </c>
      <c r="AP317" s="1868">
        <v>1.3969100000000001</v>
      </c>
      <c r="AQ317" s="1868">
        <v>1.49393</v>
      </c>
      <c r="AR317" s="1868">
        <v>1.5548600000000001</v>
      </c>
      <c r="AS317" s="1868">
        <v>1.44231</v>
      </c>
      <c r="AT317" s="1868">
        <v>1.5727899999999999</v>
      </c>
      <c r="AU317" s="1868">
        <v>1.5349999999999999</v>
      </c>
      <c r="AV317" s="1868">
        <v>1.6088100000000001</v>
      </c>
      <c r="AW317" s="1868">
        <v>1.5525100000000001</v>
      </c>
      <c r="AX317" s="1868">
        <v>1.6535299999999999</v>
      </c>
      <c r="AY317" s="1868">
        <v>1.57931</v>
      </c>
      <c r="AZ317" s="1868">
        <v>1.5307600000000001</v>
      </c>
      <c r="BA317" s="1868">
        <v>1.5639399999999999</v>
      </c>
    </row>
    <row r="318" spans="1:53">
      <c r="A318" s="1865" t="str">
        <f t="shared" si="4"/>
        <v>WorldLeguminous vegetables, nes</v>
      </c>
      <c r="B318" s="1866" t="s">
        <v>1414</v>
      </c>
      <c r="C318" s="1866" t="s">
        <v>1380</v>
      </c>
      <c r="D318" s="1868">
        <v>5.4672900000000002</v>
      </c>
      <c r="E318" s="1868">
        <v>5.3429699999999993</v>
      </c>
      <c r="F318" s="1868">
        <v>4.9473699999999994</v>
      </c>
      <c r="G318" s="1868">
        <v>4.8841900000000003</v>
      </c>
      <c r="H318" s="1868">
        <v>5.1472100000000003</v>
      </c>
      <c r="I318" s="1868">
        <v>5.1322199999999993</v>
      </c>
      <c r="J318" s="1868">
        <v>5.3559599999999996</v>
      </c>
      <c r="K318" s="1868">
        <v>5.2151800000000001</v>
      </c>
      <c r="L318" s="1868">
        <v>5.2116400000000001</v>
      </c>
      <c r="M318" s="1868">
        <v>5.0859500000000004</v>
      </c>
      <c r="N318" s="1868">
        <v>5.3951000000000002</v>
      </c>
      <c r="O318" s="1868">
        <v>5.0866699999999998</v>
      </c>
      <c r="P318" s="1868">
        <v>5.0339499999999999</v>
      </c>
      <c r="Q318" s="1868">
        <v>5.4076399999999998</v>
      </c>
      <c r="R318" s="1868">
        <v>5.6020300000000001</v>
      </c>
      <c r="S318" s="1868">
        <v>5.1478299999999999</v>
      </c>
      <c r="T318" s="1868">
        <v>5.1731199999999999</v>
      </c>
      <c r="U318" s="1868">
        <v>5.2808900000000003</v>
      </c>
      <c r="V318" s="1868">
        <v>5.4940300000000004</v>
      </c>
      <c r="W318" s="1868">
        <v>5.5370699999999999</v>
      </c>
      <c r="X318" s="1868">
        <v>5.1047000000000002</v>
      </c>
      <c r="Y318" s="1868">
        <v>5.64</v>
      </c>
      <c r="Z318" s="1868">
        <v>5.5741899999999998</v>
      </c>
      <c r="AA318" s="1868">
        <v>5.0945599999999995</v>
      </c>
      <c r="AB318" s="1868">
        <v>5.0307699999999995</v>
      </c>
      <c r="AC318" s="1868">
        <v>5.3169300000000002</v>
      </c>
      <c r="AD318" s="1868">
        <v>5.07362</v>
      </c>
      <c r="AE318" s="1868">
        <v>5.3246000000000002</v>
      </c>
      <c r="AF318" s="1868">
        <v>4.9988800000000007</v>
      </c>
      <c r="AG318" s="1868">
        <v>5.2089800000000004</v>
      </c>
      <c r="AH318" s="1868">
        <v>5.3666199999999993</v>
      </c>
      <c r="AI318" s="1868">
        <v>5.5080999999999998</v>
      </c>
      <c r="AJ318" s="1868">
        <v>5.0073600000000003</v>
      </c>
      <c r="AK318" s="1868">
        <v>5.1798999999999999</v>
      </c>
      <c r="AL318" s="1868">
        <v>5.56332</v>
      </c>
      <c r="AM318" s="1868">
        <v>5.4494400000000001</v>
      </c>
      <c r="AN318" s="1868">
        <v>5.2289599999999998</v>
      </c>
      <c r="AO318" s="1868">
        <v>5.2001200000000001</v>
      </c>
      <c r="AP318" s="1868">
        <v>5.6533100000000003</v>
      </c>
      <c r="AQ318" s="1868">
        <v>5.2641999999999998</v>
      </c>
      <c r="AR318" s="1868">
        <v>5.4022800000000002</v>
      </c>
      <c r="AS318" s="1868">
        <v>5.8360300000000001</v>
      </c>
      <c r="AT318" s="1868">
        <v>6.0884300000000007</v>
      </c>
      <c r="AU318" s="1868">
        <v>6.1914999999999996</v>
      </c>
      <c r="AV318" s="1868">
        <v>5.8525099999999997</v>
      </c>
      <c r="AW318" s="1868">
        <v>5.91852</v>
      </c>
      <c r="AX318" s="1868">
        <v>5.8567999999999998</v>
      </c>
      <c r="AY318" s="1868">
        <v>6.10032</v>
      </c>
      <c r="AZ318" s="1868">
        <v>6.5535399999999999</v>
      </c>
      <c r="BA318" s="1868">
        <v>6.4760200000000001</v>
      </c>
    </row>
    <row r="319" spans="1:53">
      <c r="A319" s="1865" t="str">
        <f t="shared" si="4"/>
        <v>WorldLinseed</v>
      </c>
      <c r="B319" s="1866" t="s">
        <v>1414</v>
      </c>
      <c r="C319" s="1866" t="s">
        <v>1381</v>
      </c>
      <c r="D319" s="1868">
        <v>0.40165000000000001</v>
      </c>
      <c r="E319" s="1868">
        <v>0.45327000000000001</v>
      </c>
      <c r="F319" s="1868">
        <v>0.44786999999999999</v>
      </c>
      <c r="G319" s="1868">
        <v>0.40708</v>
      </c>
      <c r="H319" s="1868">
        <v>0.49958000000000002</v>
      </c>
      <c r="I319" s="1868">
        <v>0.44866999999999996</v>
      </c>
      <c r="J319" s="1868">
        <v>0.43221000000000004</v>
      </c>
      <c r="K319" s="1868">
        <v>0.50286999999999993</v>
      </c>
      <c r="L319" s="1868">
        <v>0.49509999999999998</v>
      </c>
      <c r="M319" s="1868">
        <v>0.57461000000000007</v>
      </c>
      <c r="N319" s="1868">
        <v>0.51907000000000003</v>
      </c>
      <c r="O319" s="1868">
        <v>0.4385</v>
      </c>
      <c r="P319" s="1868">
        <v>0.44429999999999997</v>
      </c>
      <c r="Q319" s="1868">
        <v>0.38285000000000002</v>
      </c>
      <c r="R319" s="1868">
        <v>0.43759999999999999</v>
      </c>
      <c r="S319" s="1868">
        <v>0.41520000000000001</v>
      </c>
      <c r="T319" s="1868">
        <v>0.49975000000000003</v>
      </c>
      <c r="U319" s="1868">
        <v>0.51466000000000001</v>
      </c>
      <c r="V319" s="1868">
        <v>0.48036000000000001</v>
      </c>
      <c r="W319" s="1868">
        <v>0.42181999999999997</v>
      </c>
      <c r="X319" s="1868">
        <v>0.46601999999999999</v>
      </c>
      <c r="Y319" s="1868">
        <v>0.51371</v>
      </c>
      <c r="Z319" s="1868">
        <v>0.49121000000000004</v>
      </c>
      <c r="AA319" s="1868">
        <v>0.5262</v>
      </c>
      <c r="AB319" s="1868">
        <v>0.54208000000000001</v>
      </c>
      <c r="AC319" s="1868">
        <v>0.57536999999999994</v>
      </c>
      <c r="AD319" s="1868">
        <v>0.59886000000000006</v>
      </c>
      <c r="AE319" s="1868">
        <v>0.53317999999999999</v>
      </c>
      <c r="AF319" s="1868">
        <v>0.52098999999999995</v>
      </c>
      <c r="AG319" s="1868">
        <v>0.65690999999999999</v>
      </c>
      <c r="AH319" s="1868">
        <v>0.65617000000000003</v>
      </c>
      <c r="AI319" s="1868">
        <v>0.64107999999999998</v>
      </c>
      <c r="AJ319" s="1868">
        <v>0.65</v>
      </c>
      <c r="AK319" s="1868">
        <v>0.73111999999999999</v>
      </c>
      <c r="AL319" s="1868">
        <v>0.70630999999999999</v>
      </c>
      <c r="AM319" s="1868">
        <v>0.77208999999999994</v>
      </c>
      <c r="AN319" s="1868">
        <v>0.72803999999999991</v>
      </c>
      <c r="AO319" s="1868">
        <v>0.83457000000000003</v>
      </c>
      <c r="AP319" s="1868">
        <v>0.82489999999999997</v>
      </c>
      <c r="AQ319" s="1868">
        <v>0.76528000000000007</v>
      </c>
      <c r="AR319" s="1868">
        <v>0.72970000000000002</v>
      </c>
      <c r="AS319" s="1868">
        <v>0.78471000000000002</v>
      </c>
      <c r="AT319" s="1868">
        <v>0.83830000000000005</v>
      </c>
      <c r="AU319" s="1868">
        <v>0.81753999999999993</v>
      </c>
      <c r="AV319" s="1868">
        <v>0.98140000000000005</v>
      </c>
      <c r="AW319" s="1868">
        <v>0.90111000000000008</v>
      </c>
      <c r="AX319" s="1868">
        <v>0.81146000000000007</v>
      </c>
      <c r="AY319" s="1868">
        <v>0.91405000000000003</v>
      </c>
      <c r="AZ319" s="1868">
        <v>0.98017999999999994</v>
      </c>
      <c r="BA319" s="1868">
        <v>0.86663999999999997</v>
      </c>
    </row>
    <row r="320" spans="1:53">
      <c r="A320" s="1865" t="str">
        <f t="shared" si="4"/>
        <v>WorldMaize</v>
      </c>
      <c r="B320" s="1866" t="s">
        <v>1414</v>
      </c>
      <c r="C320" s="1866" t="s">
        <v>1382</v>
      </c>
      <c r="D320" s="1868">
        <v>1.9422900000000001</v>
      </c>
      <c r="E320" s="1868">
        <v>1.9795499999999999</v>
      </c>
      <c r="F320" s="1868">
        <v>2.03139</v>
      </c>
      <c r="G320" s="1868">
        <v>1.9947400000000002</v>
      </c>
      <c r="H320" s="1868">
        <v>2.1236599999999997</v>
      </c>
      <c r="I320" s="1868">
        <v>2.2080799999999998</v>
      </c>
      <c r="J320" s="1868">
        <v>2.4247299999999998</v>
      </c>
      <c r="K320" s="1868">
        <v>2.2907299999999999</v>
      </c>
      <c r="L320" s="1868">
        <v>2.4206099999999999</v>
      </c>
      <c r="M320" s="1868">
        <v>2.3509000000000002</v>
      </c>
      <c r="N320" s="1868">
        <v>2.6534299999999997</v>
      </c>
      <c r="O320" s="1868">
        <v>2.6866599999999998</v>
      </c>
      <c r="P320" s="1868">
        <v>2.7229099999999997</v>
      </c>
      <c r="Q320" s="1868">
        <v>2.5563899999999999</v>
      </c>
      <c r="R320" s="1868">
        <v>2.8124099999999999</v>
      </c>
      <c r="S320" s="1868">
        <v>2.8371200000000001</v>
      </c>
      <c r="T320" s="1868">
        <v>2.9668299999999999</v>
      </c>
      <c r="U320" s="1868">
        <v>3.1556299999999999</v>
      </c>
      <c r="V320" s="1868">
        <v>3.3847699999999996</v>
      </c>
      <c r="W320" s="1868">
        <v>3.1534200000000001</v>
      </c>
      <c r="X320" s="1868">
        <v>3.4933000000000001</v>
      </c>
      <c r="Y320" s="1868">
        <v>3.6090800000000005</v>
      </c>
      <c r="Z320" s="1868">
        <v>2.9451999999999998</v>
      </c>
      <c r="AA320" s="1868">
        <v>3.52569</v>
      </c>
      <c r="AB320" s="1868">
        <v>3.7201599999999999</v>
      </c>
      <c r="AC320" s="1868">
        <v>3.6279499999999998</v>
      </c>
      <c r="AD320" s="1868">
        <v>3.4862500000000001</v>
      </c>
      <c r="AE320" s="1868">
        <v>3.1001599999999998</v>
      </c>
      <c r="AF320" s="1868">
        <v>3.6186300000000005</v>
      </c>
      <c r="AG320" s="1868">
        <v>3.6807199999999995</v>
      </c>
      <c r="AH320" s="1868">
        <v>3.6883800000000004</v>
      </c>
      <c r="AI320" s="1868">
        <v>3.8937699999999995</v>
      </c>
      <c r="AJ320" s="1868">
        <v>3.62155</v>
      </c>
      <c r="AK320" s="1868">
        <v>4.1210399999999998</v>
      </c>
      <c r="AL320" s="1868">
        <v>3.7992199999999996</v>
      </c>
      <c r="AM320" s="1868">
        <v>4.2123800000000005</v>
      </c>
      <c r="AN320" s="1868">
        <v>4.14682</v>
      </c>
      <c r="AO320" s="1868">
        <v>4.4361300000000004</v>
      </c>
      <c r="AP320" s="1868">
        <v>4.4248400000000006</v>
      </c>
      <c r="AQ320" s="1868">
        <v>4.3245199999999997</v>
      </c>
      <c r="AR320" s="1868">
        <v>4.4770500000000002</v>
      </c>
      <c r="AS320" s="1868">
        <v>4.4053900000000006</v>
      </c>
      <c r="AT320" s="1868">
        <v>4.4580299999999999</v>
      </c>
      <c r="AU320" s="1868">
        <v>4.9310700000000001</v>
      </c>
      <c r="AV320" s="1868">
        <v>4.8395400000000004</v>
      </c>
      <c r="AW320" s="1868">
        <v>4.7626900000000001</v>
      </c>
      <c r="AX320" s="1868">
        <v>4.9888199999999996</v>
      </c>
      <c r="AY320" s="1868">
        <v>5.1332100000000001</v>
      </c>
      <c r="AZ320" s="1868">
        <v>5.1604900000000002</v>
      </c>
      <c r="BA320" s="1868">
        <v>5.2153300000000007</v>
      </c>
    </row>
    <row r="321" spans="1:53">
      <c r="A321" s="1865" t="str">
        <f t="shared" si="4"/>
        <v>WorldMaize, green</v>
      </c>
      <c r="B321" s="1866" t="s">
        <v>1414</v>
      </c>
      <c r="C321" s="1866" t="s">
        <v>1383</v>
      </c>
      <c r="D321" s="1868">
        <v>5.3708400000000003</v>
      </c>
      <c r="E321" s="1868">
        <v>5.5722800000000001</v>
      </c>
      <c r="F321" s="1868">
        <v>5.6913599999999995</v>
      </c>
      <c r="G321" s="1868">
        <v>5.2413600000000002</v>
      </c>
      <c r="H321" s="1868">
        <v>5.5087599999999997</v>
      </c>
      <c r="I321" s="1868">
        <v>5.6091199999999999</v>
      </c>
      <c r="J321" s="1868">
        <v>5.7022300000000001</v>
      </c>
      <c r="K321" s="1868">
        <v>5.9173599999999995</v>
      </c>
      <c r="L321" s="1868">
        <v>5.7078199999999999</v>
      </c>
      <c r="M321" s="1868">
        <v>5.5074899999999998</v>
      </c>
      <c r="N321" s="1868">
        <v>5.8478199999999996</v>
      </c>
      <c r="O321" s="1868">
        <v>5.9451800000000006</v>
      </c>
      <c r="P321" s="1868">
        <v>6.1526100000000001</v>
      </c>
      <c r="Q321" s="1868">
        <v>6.2212100000000001</v>
      </c>
      <c r="R321" s="1868">
        <v>6.3863599999999998</v>
      </c>
      <c r="S321" s="1868">
        <v>6.6139600000000005</v>
      </c>
      <c r="T321" s="1868">
        <v>6.9909699999999999</v>
      </c>
      <c r="U321" s="1868">
        <v>7.2776800000000001</v>
      </c>
      <c r="V321" s="1868">
        <v>7.4264000000000001</v>
      </c>
      <c r="W321" s="1868">
        <v>7.2181699999999998</v>
      </c>
      <c r="X321" s="1868">
        <v>7.40015</v>
      </c>
      <c r="Y321" s="1868">
        <v>7.5238300000000002</v>
      </c>
      <c r="Z321" s="1868">
        <v>6.78653</v>
      </c>
      <c r="AA321" s="1868">
        <v>7.153010000000001</v>
      </c>
      <c r="AB321" s="1868">
        <v>6.9715999999999996</v>
      </c>
      <c r="AC321" s="1868">
        <v>6.97783</v>
      </c>
      <c r="AD321" s="1868">
        <v>7.6715499999999999</v>
      </c>
      <c r="AE321" s="1868">
        <v>6.9993300000000005</v>
      </c>
      <c r="AF321" s="1868">
        <v>7.6901100000000007</v>
      </c>
      <c r="AG321" s="1868">
        <v>8.1753900000000002</v>
      </c>
      <c r="AH321" s="1868">
        <v>8.1421600000000005</v>
      </c>
      <c r="AI321" s="1868">
        <v>8.1805699999999995</v>
      </c>
      <c r="AJ321" s="1868">
        <v>7.7599600000000004</v>
      </c>
      <c r="AK321" s="1868">
        <v>8.3556299999999997</v>
      </c>
      <c r="AL321" s="1868">
        <v>7.34518</v>
      </c>
      <c r="AM321" s="1868">
        <v>6.5766399999999994</v>
      </c>
      <c r="AN321" s="1868">
        <v>6.5814500000000002</v>
      </c>
      <c r="AO321" s="1868">
        <v>6.3446499999999997</v>
      </c>
      <c r="AP321" s="1868">
        <v>6.2338500000000003</v>
      </c>
      <c r="AQ321" s="1868">
        <v>6.4637099999999998</v>
      </c>
      <c r="AR321" s="1868">
        <v>7.12052</v>
      </c>
      <c r="AS321" s="1868">
        <v>7.8604899999999995</v>
      </c>
      <c r="AT321" s="1868">
        <v>7.8836500000000003</v>
      </c>
      <c r="AU321" s="1868">
        <v>7.9105100000000004</v>
      </c>
      <c r="AV321" s="1868">
        <v>7.6001899999999996</v>
      </c>
      <c r="AW321" s="1868">
        <v>8.949069999999999</v>
      </c>
      <c r="AX321" s="1868">
        <v>8.9909499999999998</v>
      </c>
      <c r="AY321" s="1868">
        <v>8.8510500000000008</v>
      </c>
      <c r="AZ321" s="1868">
        <v>9.3776899999999994</v>
      </c>
      <c r="BA321" s="1868">
        <v>8.1252499999999994</v>
      </c>
    </row>
    <row r="322" spans="1:53">
      <c r="A322" s="1865" t="str">
        <f t="shared" si="4"/>
        <v>WorldMangoes, mangosteens, guavas</v>
      </c>
      <c r="B322" s="1866" t="s">
        <v>1414</v>
      </c>
      <c r="C322" s="1866" t="s">
        <v>1384</v>
      </c>
      <c r="D322" s="1868">
        <v>8.5111000000000008</v>
      </c>
      <c r="E322" s="1868">
        <v>8.7028300000000005</v>
      </c>
      <c r="F322" s="1868">
        <v>8.5294000000000008</v>
      </c>
      <c r="G322" s="1868">
        <v>8.5990699999999993</v>
      </c>
      <c r="H322" s="1868">
        <v>8.5800300000000007</v>
      </c>
      <c r="I322" s="1868">
        <v>8.5400399999999994</v>
      </c>
      <c r="J322" s="1868">
        <v>8.7012</v>
      </c>
      <c r="K322" s="1868">
        <v>8.7054500000000008</v>
      </c>
      <c r="L322" s="1868">
        <v>8.5184300000000004</v>
      </c>
      <c r="M322" s="1868">
        <v>8.5425500000000003</v>
      </c>
      <c r="N322" s="1868">
        <v>8.6698599999999999</v>
      </c>
      <c r="O322" s="1868">
        <v>8.7414199999999997</v>
      </c>
      <c r="P322" s="1868">
        <v>8.6389199999999988</v>
      </c>
      <c r="Q322" s="1868">
        <v>8.7090600000000009</v>
      </c>
      <c r="R322" s="1868">
        <v>8.5094399999999997</v>
      </c>
      <c r="S322" s="1868">
        <v>8.4104299999999999</v>
      </c>
      <c r="T322" s="1868">
        <v>8.5142000000000007</v>
      </c>
      <c r="U322" s="1868">
        <v>8.5175399999999986</v>
      </c>
      <c r="V322" s="1868">
        <v>8.7693399999999997</v>
      </c>
      <c r="W322" s="1868">
        <v>8.6002100000000006</v>
      </c>
      <c r="X322" s="1868">
        <v>8.8438300000000005</v>
      </c>
      <c r="Y322" s="1868">
        <v>8.3757000000000001</v>
      </c>
      <c r="Z322" s="1868">
        <v>8.3889899999999997</v>
      </c>
      <c r="AA322" s="1868">
        <v>8.4334100000000003</v>
      </c>
      <c r="AB322" s="1868">
        <v>9.2776399999999999</v>
      </c>
      <c r="AC322" s="1868">
        <v>9.4898600000000002</v>
      </c>
      <c r="AD322" s="1868">
        <v>9.3547600000000006</v>
      </c>
      <c r="AE322" s="1868">
        <v>8.1096800000000009</v>
      </c>
      <c r="AF322" s="1868">
        <v>8.1839300000000001</v>
      </c>
      <c r="AG322" s="1868">
        <v>8.49742</v>
      </c>
      <c r="AH322" s="1868">
        <v>7.5442800000000005</v>
      </c>
      <c r="AI322" s="1868">
        <v>7.2665100000000002</v>
      </c>
      <c r="AJ322" s="1868">
        <v>7.4460100000000002</v>
      </c>
      <c r="AK322" s="1868">
        <v>7.9937399999999998</v>
      </c>
      <c r="AL322" s="1868">
        <v>7.6845499999999998</v>
      </c>
      <c r="AM322" s="1868">
        <v>7.9086300000000005</v>
      </c>
      <c r="AN322" s="1868">
        <v>8.0914399999999986</v>
      </c>
      <c r="AO322" s="1868">
        <v>6.9261999999999997</v>
      </c>
      <c r="AP322" s="1868">
        <v>7.0468999999999999</v>
      </c>
      <c r="AQ322" s="1868">
        <v>6.95465</v>
      </c>
      <c r="AR322" s="1868">
        <v>7.0395100000000008</v>
      </c>
      <c r="AS322" s="1868">
        <v>7.2096999999999998</v>
      </c>
      <c r="AT322" s="1868">
        <v>7.8483800000000006</v>
      </c>
      <c r="AU322" s="1868">
        <v>6.8761899999999994</v>
      </c>
      <c r="AV322" s="1868">
        <v>6.9436499999999999</v>
      </c>
      <c r="AW322" s="1868">
        <v>7.2525100000000009</v>
      </c>
      <c r="AX322" s="1868">
        <v>7.2168999999999999</v>
      </c>
      <c r="AY322" s="1868">
        <v>7.4525699999999997</v>
      </c>
      <c r="AZ322" s="1868">
        <v>7.0355300000000005</v>
      </c>
      <c r="BA322" s="1868">
        <v>7.3712600000000004</v>
      </c>
    </row>
    <row r="323" spans="1:53">
      <c r="A323" s="1865" t="str">
        <f t="shared" si="4"/>
        <v>WorldMaté</v>
      </c>
      <c r="B323" s="1866" t="s">
        <v>1414</v>
      </c>
      <c r="C323" s="1866" t="s">
        <v>2315</v>
      </c>
      <c r="D323" s="1868">
        <v>52.575090000000003</v>
      </c>
      <c r="E323" s="1868">
        <v>55.287930000000003</v>
      </c>
      <c r="F323" s="1868">
        <v>39.858359999999998</v>
      </c>
      <c r="G323" s="1868">
        <v>38.324659999999994</v>
      </c>
      <c r="H323" s="1868">
        <v>32.087350000000001</v>
      </c>
      <c r="I323" s="1868">
        <v>30.210809999999999</v>
      </c>
      <c r="J323" s="1868">
        <v>39.24333</v>
      </c>
      <c r="K323" s="1868">
        <v>37.408250000000002</v>
      </c>
      <c r="L323" s="1868">
        <v>32.975369999999998</v>
      </c>
      <c r="M323" s="1868">
        <v>37.829229999999995</v>
      </c>
      <c r="N323" s="1868">
        <v>45.127890000000001</v>
      </c>
      <c r="O323" s="1868">
        <v>40.977209999999999</v>
      </c>
      <c r="P323" s="1868">
        <v>45.178730000000002</v>
      </c>
      <c r="Q323" s="1868">
        <v>36.645809999999997</v>
      </c>
      <c r="R323" s="1868">
        <v>38.357419999999998</v>
      </c>
      <c r="S323" s="1868">
        <v>38.063679999999998</v>
      </c>
      <c r="T323" s="1868">
        <v>35.321469999999998</v>
      </c>
      <c r="U323" s="1868">
        <v>29.702070000000003</v>
      </c>
      <c r="V323" s="1868">
        <v>29.424540000000004</v>
      </c>
      <c r="W323" s="1868">
        <v>3.0199799999999999</v>
      </c>
      <c r="X323" s="1868">
        <v>2.62995</v>
      </c>
      <c r="Y323" s="1868">
        <v>2.7746400000000002</v>
      </c>
      <c r="Z323" s="1868">
        <v>2.9590700000000001</v>
      </c>
      <c r="AA323" s="1868">
        <v>3.1652200000000001</v>
      </c>
      <c r="AB323" s="1868">
        <v>3.0896300000000001</v>
      </c>
      <c r="AC323" s="1868">
        <v>2.9477599999999997</v>
      </c>
      <c r="AD323" s="1868">
        <v>3.04758</v>
      </c>
      <c r="AE323" s="1868">
        <v>3.2079599999999999</v>
      </c>
      <c r="AF323" s="1868">
        <v>3.28424</v>
      </c>
      <c r="AG323" s="1868">
        <v>2.89323</v>
      </c>
      <c r="AH323" s="1868">
        <v>2.85548</v>
      </c>
      <c r="AI323" s="1868">
        <v>2.71191</v>
      </c>
      <c r="AJ323" s="1868">
        <v>2.5819400000000003</v>
      </c>
      <c r="AK323" s="1868">
        <v>2.7469999999999999</v>
      </c>
      <c r="AL323" s="1868">
        <v>2.8422099999999997</v>
      </c>
      <c r="AM323" s="1868">
        <v>2.43885</v>
      </c>
      <c r="AN323" s="1868">
        <v>3.0705100000000001</v>
      </c>
      <c r="AO323" s="1868">
        <v>3.2227299999999999</v>
      </c>
      <c r="AP323" s="1868">
        <v>3.4370599999999998</v>
      </c>
      <c r="AQ323" s="1868">
        <v>3.1071200000000001</v>
      </c>
      <c r="AR323" s="1868">
        <v>3.49464</v>
      </c>
      <c r="AS323" s="1868">
        <v>3.2309000000000001</v>
      </c>
      <c r="AT323" s="1868">
        <v>3.2243200000000001</v>
      </c>
      <c r="AU323" s="1868">
        <v>2.77501</v>
      </c>
      <c r="AV323" s="1868">
        <v>2.85256</v>
      </c>
      <c r="AW323" s="1868">
        <v>2.8529100000000001</v>
      </c>
      <c r="AX323" s="1868">
        <v>2.8779499999999998</v>
      </c>
      <c r="AY323" s="1868">
        <v>2.59599</v>
      </c>
      <c r="AZ323" s="1868">
        <v>2.5659700000000001</v>
      </c>
      <c r="BA323" s="1868">
        <v>2.6282400000000004</v>
      </c>
    </row>
    <row r="324" spans="1:53">
      <c r="A324" s="1865" t="str">
        <f t="shared" ref="A324:A387" si="5">CONCATENATE(B324,C324)</f>
        <v>WorldMillet</v>
      </c>
      <c r="B324" s="1866" t="s">
        <v>1414</v>
      </c>
      <c r="C324" s="1866" t="s">
        <v>1385</v>
      </c>
      <c r="D324" s="1868">
        <v>0.59246999999999994</v>
      </c>
      <c r="E324" s="1868">
        <v>0.56186000000000003</v>
      </c>
      <c r="F324" s="1868">
        <v>0.57173000000000007</v>
      </c>
      <c r="G324" s="1868">
        <v>0.62953000000000003</v>
      </c>
      <c r="H324" s="1868">
        <v>0.53583000000000003</v>
      </c>
      <c r="I324" s="1868">
        <v>0.62439999999999996</v>
      </c>
      <c r="J324" s="1868">
        <v>0.65922999999999998</v>
      </c>
      <c r="K324" s="1868">
        <v>0.61985000000000001</v>
      </c>
      <c r="L324" s="1868">
        <v>0.67031000000000007</v>
      </c>
      <c r="M324" s="1868">
        <v>0.73755000000000004</v>
      </c>
      <c r="N324" s="1868">
        <v>0.68351000000000006</v>
      </c>
      <c r="O324" s="1868">
        <v>0.58608000000000005</v>
      </c>
      <c r="P324" s="1868">
        <v>0.69771000000000005</v>
      </c>
      <c r="Q324" s="1868">
        <v>0.65542</v>
      </c>
      <c r="R324" s="1868">
        <v>0.66456999999999999</v>
      </c>
      <c r="S324" s="1868">
        <v>0.68352999999999997</v>
      </c>
      <c r="T324" s="1868">
        <v>0.65973000000000004</v>
      </c>
      <c r="U324" s="1868">
        <v>0.72811999999999999</v>
      </c>
      <c r="V324" s="1868">
        <v>0.65116000000000007</v>
      </c>
      <c r="W324" s="1868">
        <v>0.64768999999999999</v>
      </c>
      <c r="X324" s="1868">
        <v>0.72116000000000002</v>
      </c>
      <c r="Y324" s="1868">
        <v>0.73434999999999995</v>
      </c>
      <c r="Z324" s="1868">
        <v>0.82645000000000002</v>
      </c>
      <c r="AA324" s="1868">
        <v>0.75831000000000004</v>
      </c>
      <c r="AB324" s="1868">
        <v>0.74361999999999995</v>
      </c>
      <c r="AC324" s="1868">
        <v>0.69106999999999996</v>
      </c>
      <c r="AD324" s="1868">
        <v>0.73883999999999994</v>
      </c>
      <c r="AE324" s="1868">
        <v>0.77803</v>
      </c>
      <c r="AF324" s="1868">
        <v>0.78874999999999995</v>
      </c>
      <c r="AG324" s="1868">
        <v>0.80013000000000001</v>
      </c>
      <c r="AH324" s="1868">
        <v>0.67764999999999997</v>
      </c>
      <c r="AI324" s="1868">
        <v>0.79098000000000002</v>
      </c>
      <c r="AJ324" s="1868">
        <v>0.72986000000000006</v>
      </c>
      <c r="AK324" s="1868">
        <v>0.74073</v>
      </c>
      <c r="AL324" s="1868">
        <v>0.71445000000000003</v>
      </c>
      <c r="AM324" s="1868">
        <v>0.79369999999999996</v>
      </c>
      <c r="AN324" s="1868">
        <v>0.75891000000000008</v>
      </c>
      <c r="AO324" s="1868">
        <v>0.79547000000000001</v>
      </c>
      <c r="AP324" s="1868">
        <v>0.75727</v>
      </c>
      <c r="AQ324" s="1868">
        <v>0.74578</v>
      </c>
      <c r="AR324" s="1868">
        <v>0.82804999999999995</v>
      </c>
      <c r="AS324" s="1868">
        <v>0.72404999999999997</v>
      </c>
      <c r="AT324" s="1868">
        <v>0.92698999999999998</v>
      </c>
      <c r="AU324" s="1868">
        <v>0.86780000000000002</v>
      </c>
      <c r="AV324" s="1868">
        <v>0.87257000000000007</v>
      </c>
      <c r="AW324" s="1868">
        <v>0.88270999999999999</v>
      </c>
      <c r="AX324" s="1868">
        <v>0.94162000000000012</v>
      </c>
      <c r="AY324" s="1868">
        <v>0.94913999999999998</v>
      </c>
      <c r="AZ324" s="1868">
        <v>0.79254999999999998</v>
      </c>
      <c r="BA324" s="1868">
        <v>0.83343999999999996</v>
      </c>
    </row>
    <row r="325" spans="1:53">
      <c r="A325" s="1865" t="str">
        <f t="shared" si="5"/>
        <v>WorldOats</v>
      </c>
      <c r="B325" s="1866" t="s">
        <v>1414</v>
      </c>
      <c r="C325" s="1866" t="s">
        <v>1349</v>
      </c>
      <c r="D325" s="1868">
        <v>1.2960799999999999</v>
      </c>
      <c r="E325" s="1868">
        <v>1.4646299999999999</v>
      </c>
      <c r="F325" s="1868">
        <v>1.4919200000000001</v>
      </c>
      <c r="G325" s="1868">
        <v>1.4782500000000001</v>
      </c>
      <c r="H325" s="1868">
        <v>1.54342</v>
      </c>
      <c r="I325" s="1868">
        <v>1.58131</v>
      </c>
      <c r="J325" s="1868">
        <v>1.6317600000000001</v>
      </c>
      <c r="K325" s="1868">
        <v>1.7018500000000001</v>
      </c>
      <c r="L325" s="1868">
        <v>1.7186299999999999</v>
      </c>
      <c r="M325" s="1868">
        <v>1.7084400000000002</v>
      </c>
      <c r="N325" s="1868">
        <v>1.8586599999999998</v>
      </c>
      <c r="O325" s="1868">
        <v>1.6369200000000002</v>
      </c>
      <c r="P325" s="1868">
        <v>1.6726799999999999</v>
      </c>
      <c r="Q325" s="1868">
        <v>1.6818299999999999</v>
      </c>
      <c r="R325" s="1868">
        <v>1.55172</v>
      </c>
      <c r="S325" s="1868">
        <v>1.7079</v>
      </c>
      <c r="T325" s="1868">
        <v>1.6890599999999998</v>
      </c>
      <c r="U325" s="1868">
        <v>1.7864900000000001</v>
      </c>
      <c r="V325" s="1868">
        <v>1.6295200000000001</v>
      </c>
      <c r="W325" s="1868">
        <v>1.6776400000000002</v>
      </c>
      <c r="X325" s="1868">
        <v>1.52938</v>
      </c>
      <c r="Y325" s="1868">
        <v>1.7978499999999999</v>
      </c>
      <c r="Z325" s="1868">
        <v>1.6970900000000002</v>
      </c>
      <c r="AA325" s="1868">
        <v>1.84171</v>
      </c>
      <c r="AB325" s="1868">
        <v>1.9137</v>
      </c>
      <c r="AC325" s="1868">
        <v>1.8206099999999998</v>
      </c>
      <c r="AD325" s="1868">
        <v>1.76118</v>
      </c>
      <c r="AE325" s="1868">
        <v>1.6300600000000001</v>
      </c>
      <c r="AF325" s="1868">
        <v>1.7941200000000002</v>
      </c>
      <c r="AG325" s="1868">
        <v>1.9302599999999999</v>
      </c>
      <c r="AH325" s="1868">
        <v>1.6669400000000001</v>
      </c>
      <c r="AI325" s="1868">
        <v>1.7723400000000002</v>
      </c>
      <c r="AJ325" s="1868">
        <v>1.8982700000000001</v>
      </c>
      <c r="AK325" s="1868">
        <v>1.7761</v>
      </c>
      <c r="AL325" s="1868">
        <v>1.6592200000000001</v>
      </c>
      <c r="AM325" s="1868">
        <v>1.8603900000000002</v>
      </c>
      <c r="AN325" s="1868">
        <v>2.0668700000000002</v>
      </c>
      <c r="AO325" s="1868">
        <v>1.98438</v>
      </c>
      <c r="AP325" s="1868">
        <v>1.91872</v>
      </c>
      <c r="AQ325" s="1868">
        <v>2.05898</v>
      </c>
      <c r="AR325" s="1868">
        <v>2.0832000000000002</v>
      </c>
      <c r="AS325" s="1868">
        <v>2.0421800000000001</v>
      </c>
      <c r="AT325" s="1868">
        <v>2.1863599999999996</v>
      </c>
      <c r="AU325" s="1868">
        <v>2.2286299999999999</v>
      </c>
      <c r="AV325" s="1868">
        <v>2.1031200000000001</v>
      </c>
      <c r="AW325" s="1868">
        <v>1.9449700000000001</v>
      </c>
      <c r="AX325" s="1868">
        <v>2.1511299999999998</v>
      </c>
      <c r="AY325" s="1868">
        <v>2.2918500000000002</v>
      </c>
      <c r="AZ325" s="1868">
        <v>2.2784</v>
      </c>
      <c r="BA325" s="1868">
        <v>2.16466</v>
      </c>
    </row>
    <row r="326" spans="1:53">
      <c r="A326" s="1865" t="str">
        <f t="shared" si="5"/>
        <v>WorldOil palm fruit</v>
      </c>
      <c r="B326" s="1866" t="s">
        <v>1414</v>
      </c>
      <c r="C326" s="1866" t="s">
        <v>1386</v>
      </c>
      <c r="D326" s="1868">
        <v>3.7658400000000003</v>
      </c>
      <c r="E326" s="1868">
        <v>3.8702099999999997</v>
      </c>
      <c r="F326" s="1868">
        <v>3.8604599999999998</v>
      </c>
      <c r="G326" s="1868">
        <v>3.8378999999999999</v>
      </c>
      <c r="H326" s="1868">
        <v>3.8125599999999999</v>
      </c>
      <c r="I326" s="1868">
        <v>3.8855800000000005</v>
      </c>
      <c r="J326" s="1868">
        <v>4.2652800000000006</v>
      </c>
      <c r="K326" s="1868">
        <v>4.4186300000000003</v>
      </c>
      <c r="L326" s="1868">
        <v>4.4818199999999999</v>
      </c>
      <c r="M326" s="1868">
        <v>4.6361699999999999</v>
      </c>
      <c r="N326" s="1868">
        <v>4.9271799999999999</v>
      </c>
      <c r="O326" s="1868">
        <v>5.1931500000000002</v>
      </c>
      <c r="P326" s="1868">
        <v>5.3081500000000004</v>
      </c>
      <c r="Q326" s="1868">
        <v>5.5738199999999996</v>
      </c>
      <c r="R326" s="1868">
        <v>5.9256500000000001</v>
      </c>
      <c r="S326" s="1868">
        <v>5.9148800000000001</v>
      </c>
      <c r="T326" s="1868">
        <v>5.9857899999999997</v>
      </c>
      <c r="U326" s="1868">
        <v>6.6693100000000003</v>
      </c>
      <c r="V326" s="1868">
        <v>6.5741600000000009</v>
      </c>
      <c r="W326" s="1868">
        <v>6.9814999999999996</v>
      </c>
      <c r="X326" s="1868">
        <v>7.6026399999999992</v>
      </c>
      <c r="Y326" s="1868">
        <v>8.53186</v>
      </c>
      <c r="Z326" s="1868">
        <v>7.8800499999999998</v>
      </c>
      <c r="AA326" s="1868">
        <v>8.6530000000000005</v>
      </c>
      <c r="AB326" s="1868">
        <v>8.8231999999999999</v>
      </c>
      <c r="AC326" s="1868">
        <v>9.1161100000000008</v>
      </c>
      <c r="AD326" s="1868">
        <v>9.071019999999999</v>
      </c>
      <c r="AE326" s="1868">
        <v>9.4951799999999995</v>
      </c>
      <c r="AF326" s="1868">
        <v>10.048439999999999</v>
      </c>
      <c r="AG326" s="1868">
        <v>9.9591200000000004</v>
      </c>
      <c r="AH326" s="1868">
        <v>9.7368899999999989</v>
      </c>
      <c r="AI326" s="1868">
        <v>9.8020300000000002</v>
      </c>
      <c r="AJ326" s="1868">
        <v>10.937200000000001</v>
      </c>
      <c r="AK326" s="1868">
        <v>10.77004</v>
      </c>
      <c r="AL326" s="1868">
        <v>11.016630000000001</v>
      </c>
      <c r="AM326" s="1868">
        <v>11.03769</v>
      </c>
      <c r="AN326" s="1868">
        <v>11.35839</v>
      </c>
      <c r="AO326" s="1868">
        <v>10.87857</v>
      </c>
      <c r="AP326" s="1868">
        <v>12.17332</v>
      </c>
      <c r="AQ326" s="1868">
        <v>12.011799999999999</v>
      </c>
      <c r="AR326" s="1868">
        <v>12.13775</v>
      </c>
      <c r="AS326" s="1868">
        <v>11.966430000000001</v>
      </c>
      <c r="AT326" s="1868">
        <v>12.85873</v>
      </c>
      <c r="AU326" s="1868">
        <v>13.316039999999999</v>
      </c>
      <c r="AV326" s="1868">
        <v>14.130239999999999</v>
      </c>
      <c r="AW326" s="1868">
        <v>14.746020000000001</v>
      </c>
      <c r="AX326" s="1868">
        <v>13.902429999999999</v>
      </c>
      <c r="AY326" s="1868">
        <v>14.17407</v>
      </c>
      <c r="AZ326" s="1868">
        <v>14.145220000000002</v>
      </c>
      <c r="BA326" s="1868">
        <v>14.06376</v>
      </c>
    </row>
    <row r="327" spans="1:53">
      <c r="A327" s="1865" t="str">
        <f t="shared" si="5"/>
        <v>WorldOlives</v>
      </c>
      <c r="B327" s="1866" t="s">
        <v>1414</v>
      </c>
      <c r="C327" s="1866" t="s">
        <v>1387</v>
      </c>
      <c r="D327" s="1868">
        <v>3.14534</v>
      </c>
      <c r="E327" s="1868">
        <v>2.0196800000000001</v>
      </c>
      <c r="F327" s="1868">
        <v>2.8875000000000002</v>
      </c>
      <c r="G327" s="1868">
        <v>1.5807500000000001</v>
      </c>
      <c r="H327" s="1868">
        <v>2.3959599999999996</v>
      </c>
      <c r="I327" s="1868">
        <v>2.7298800000000001</v>
      </c>
      <c r="J327" s="1868">
        <v>2.5819400000000003</v>
      </c>
      <c r="K327" s="1868">
        <v>2.3791700000000002</v>
      </c>
      <c r="L327" s="1868">
        <v>2.4314200000000001</v>
      </c>
      <c r="M327" s="1868">
        <v>2.2222400000000002</v>
      </c>
      <c r="N327" s="1868">
        <v>2.1277699999999999</v>
      </c>
      <c r="O327" s="1868">
        <v>2.1462699999999999</v>
      </c>
      <c r="P327" s="1868">
        <v>2.1246200000000002</v>
      </c>
      <c r="Q327" s="1868">
        <v>2.0217000000000001</v>
      </c>
      <c r="R327" s="1868">
        <v>2.4691200000000002</v>
      </c>
      <c r="S327" s="1868">
        <v>1.94737</v>
      </c>
      <c r="T327" s="1868">
        <v>2.2145700000000001</v>
      </c>
      <c r="U327" s="1868">
        <v>2.3579500000000002</v>
      </c>
      <c r="V327" s="1868">
        <v>2.0239599999999998</v>
      </c>
      <c r="W327" s="1868">
        <v>2.1869499999999999</v>
      </c>
      <c r="X327" s="1868">
        <v>1.3465100000000001</v>
      </c>
      <c r="Y327" s="1868">
        <v>1.8577599999999999</v>
      </c>
      <c r="Z327" s="1868">
        <v>1.5458700000000001</v>
      </c>
      <c r="AA327" s="1868">
        <v>1.6000399999999999</v>
      </c>
      <c r="AB327" s="1868">
        <v>1.3768799999999999</v>
      </c>
      <c r="AC327" s="1868">
        <v>1.2806999999999999</v>
      </c>
      <c r="AD327" s="1868">
        <v>1.58687</v>
      </c>
      <c r="AE327" s="1868">
        <v>1.2532799999999999</v>
      </c>
      <c r="AF327" s="1868">
        <v>1.44106</v>
      </c>
      <c r="AG327" s="1868">
        <v>1.2178799999999999</v>
      </c>
      <c r="AH327" s="1868">
        <v>1.7228700000000001</v>
      </c>
      <c r="AI327" s="1868">
        <v>1.4610100000000001</v>
      </c>
      <c r="AJ327" s="1868">
        <v>1.44035</v>
      </c>
      <c r="AK327" s="1868">
        <v>1.5075100000000001</v>
      </c>
      <c r="AL327" s="1868">
        <v>1.3332999999999999</v>
      </c>
      <c r="AM327" s="1868">
        <v>1.9285700000000001</v>
      </c>
      <c r="AN327" s="1868">
        <v>1.9591700000000001</v>
      </c>
      <c r="AO327" s="1868">
        <v>1.8191900000000001</v>
      </c>
      <c r="AP327" s="1868">
        <v>1.7116900000000002</v>
      </c>
      <c r="AQ327" s="1868">
        <v>1.87113</v>
      </c>
      <c r="AR327" s="1868">
        <v>1.8388500000000001</v>
      </c>
      <c r="AS327" s="1868">
        <v>1.85368</v>
      </c>
      <c r="AT327" s="1868">
        <v>2.0912199999999999</v>
      </c>
      <c r="AU327" s="1868">
        <v>1.96757</v>
      </c>
      <c r="AV327" s="1868">
        <v>1.65347</v>
      </c>
      <c r="AW327" s="1868">
        <v>1.8578299999999999</v>
      </c>
      <c r="AX327" s="1868">
        <v>1.7737099999999999</v>
      </c>
      <c r="AY327" s="1868">
        <v>1.79237</v>
      </c>
      <c r="AZ327" s="1868">
        <v>2.0914599999999997</v>
      </c>
      <c r="BA327" s="1868">
        <v>2.1894900000000002</v>
      </c>
    </row>
    <row r="328" spans="1:53">
      <c r="A328" s="1865" t="str">
        <f t="shared" si="5"/>
        <v>WorldOnions, dry</v>
      </c>
      <c r="B328" s="1866" t="s">
        <v>1414</v>
      </c>
      <c r="C328" s="1866" t="s">
        <v>1388</v>
      </c>
      <c r="D328" s="1868">
        <v>11.72824</v>
      </c>
      <c r="E328" s="1868">
        <v>11.652439999999999</v>
      </c>
      <c r="F328" s="1868">
        <v>11.789899999999999</v>
      </c>
      <c r="G328" s="1868">
        <v>11.94083</v>
      </c>
      <c r="H328" s="1868">
        <v>11.858969999999999</v>
      </c>
      <c r="I328" s="1868">
        <v>12.299569999999999</v>
      </c>
      <c r="J328" s="1868">
        <v>12.441039999999999</v>
      </c>
      <c r="K328" s="1868">
        <v>12.60411</v>
      </c>
      <c r="L328" s="1868">
        <v>12.767619999999999</v>
      </c>
      <c r="M328" s="1868">
        <v>12.548689999999999</v>
      </c>
      <c r="N328" s="1868">
        <v>12.811030000000001</v>
      </c>
      <c r="O328" s="1868">
        <v>12.4857</v>
      </c>
      <c r="P328" s="1868">
        <v>12.85093</v>
      </c>
      <c r="Q328" s="1868">
        <v>13.23664</v>
      </c>
      <c r="R328" s="1868">
        <v>12.9292</v>
      </c>
      <c r="S328" s="1868">
        <v>13.41544</v>
      </c>
      <c r="T328" s="1868">
        <v>13.86955</v>
      </c>
      <c r="U328" s="1868">
        <v>14.076499999999999</v>
      </c>
      <c r="V328" s="1868">
        <v>14.2066</v>
      </c>
      <c r="W328" s="1868">
        <v>13.845050000000001</v>
      </c>
      <c r="X328" s="1868">
        <v>14.22359</v>
      </c>
      <c r="Y328" s="1868">
        <v>15.128860000000001</v>
      </c>
      <c r="Z328" s="1868">
        <v>14.535829999999999</v>
      </c>
      <c r="AA328" s="1868">
        <v>15.097200000000001</v>
      </c>
      <c r="AB328" s="1868">
        <v>15.40039</v>
      </c>
      <c r="AC328" s="1868">
        <v>15.786829999999998</v>
      </c>
      <c r="AD328" s="1868">
        <v>15.873220000000002</v>
      </c>
      <c r="AE328" s="1868">
        <v>15.69529</v>
      </c>
      <c r="AF328" s="1868">
        <v>15.70036</v>
      </c>
      <c r="AG328" s="1868">
        <v>16.198039999999999</v>
      </c>
      <c r="AH328" s="1868">
        <v>16.194589999999998</v>
      </c>
      <c r="AI328" s="1868">
        <v>16.295390000000001</v>
      </c>
      <c r="AJ328" s="1868">
        <v>16.2364</v>
      </c>
      <c r="AK328" s="1868">
        <v>16.183959999999999</v>
      </c>
      <c r="AL328" s="1868">
        <v>16.595289999999999</v>
      </c>
      <c r="AM328" s="1868">
        <v>16.78426</v>
      </c>
      <c r="AN328" s="1868">
        <v>16.667249999999999</v>
      </c>
      <c r="AO328" s="1868">
        <v>17.102409999999999</v>
      </c>
      <c r="AP328" s="1868">
        <v>17.054040000000001</v>
      </c>
      <c r="AQ328" s="1868">
        <v>17.53314</v>
      </c>
      <c r="AR328" s="1868">
        <v>17.626200000000001</v>
      </c>
      <c r="AS328" s="1868">
        <v>17.960810000000002</v>
      </c>
      <c r="AT328" s="1868">
        <v>17.997039999999998</v>
      </c>
      <c r="AU328" s="1868">
        <v>18.906089999999999</v>
      </c>
      <c r="AV328" s="1868">
        <v>18.588629999999998</v>
      </c>
      <c r="AW328" s="1868">
        <v>18.32028</v>
      </c>
      <c r="AX328" s="1868">
        <v>19.233250000000002</v>
      </c>
      <c r="AY328" s="1868">
        <v>19.76003</v>
      </c>
      <c r="AZ328" s="1868">
        <v>20.070070000000001</v>
      </c>
      <c r="BA328" s="1868">
        <v>19.989420000000003</v>
      </c>
    </row>
    <row r="329" spans="1:53">
      <c r="A329" s="1865" t="str">
        <f t="shared" si="5"/>
        <v>WorldOranges</v>
      </c>
      <c r="B329" s="1866" t="s">
        <v>1414</v>
      </c>
      <c r="C329" s="1866" t="s">
        <v>1389</v>
      </c>
      <c r="D329" s="1868">
        <v>12.66559</v>
      </c>
      <c r="E329" s="1868">
        <v>12.261229999999999</v>
      </c>
      <c r="F329" s="1868">
        <v>11.64095</v>
      </c>
      <c r="G329" s="1868">
        <v>11.550380000000001</v>
      </c>
      <c r="H329" s="1868">
        <v>12.4338</v>
      </c>
      <c r="I329" s="1868">
        <v>15.693629999999999</v>
      </c>
      <c r="J329" s="1868">
        <v>16.415459999999999</v>
      </c>
      <c r="K329" s="1868">
        <v>14.647320000000001</v>
      </c>
      <c r="L329" s="1868">
        <v>16.1937</v>
      </c>
      <c r="M329" s="1868">
        <v>15.103229999999998</v>
      </c>
      <c r="N329" s="1868">
        <v>15.471779999999999</v>
      </c>
      <c r="O329" s="1868">
        <v>16.03323</v>
      </c>
      <c r="P329" s="1868">
        <v>15.461670000000002</v>
      </c>
      <c r="Q329" s="1868">
        <v>16.45467</v>
      </c>
      <c r="R329" s="1868">
        <v>16.376239999999999</v>
      </c>
      <c r="S329" s="1868">
        <v>16.89772</v>
      </c>
      <c r="T329" s="1868">
        <v>16.870090000000001</v>
      </c>
      <c r="U329" s="1868">
        <v>16.809349999999998</v>
      </c>
      <c r="V329" s="1868">
        <v>17.096329999999998</v>
      </c>
      <c r="W329" s="1868">
        <v>17.732700000000001</v>
      </c>
      <c r="X329" s="1868">
        <v>17.259399999999999</v>
      </c>
      <c r="Y329" s="1868">
        <v>16.473040000000001</v>
      </c>
      <c r="Z329" s="1868">
        <v>17.367799999999999</v>
      </c>
      <c r="AA329" s="1868">
        <v>16.482379999999999</v>
      </c>
      <c r="AB329" s="1868">
        <v>15.822329999999999</v>
      </c>
      <c r="AC329" s="1868">
        <v>15.696660000000001</v>
      </c>
      <c r="AD329" s="1868">
        <v>15.40971</v>
      </c>
      <c r="AE329" s="1868">
        <v>15.57779</v>
      </c>
      <c r="AF329" s="1868">
        <v>16.44061</v>
      </c>
      <c r="AG329" s="1868">
        <v>15.71466</v>
      </c>
      <c r="AH329" s="1868">
        <v>15.806610000000001</v>
      </c>
      <c r="AI329" s="1868">
        <v>16.079409999999999</v>
      </c>
      <c r="AJ329" s="1868">
        <v>16.97251</v>
      </c>
      <c r="AK329" s="1868">
        <v>15.629239999999999</v>
      </c>
      <c r="AL329" s="1868">
        <v>16.546189999999999</v>
      </c>
      <c r="AM329" s="1868">
        <v>16.142099999999999</v>
      </c>
      <c r="AN329" s="1868">
        <v>17.040979999999998</v>
      </c>
      <c r="AO329" s="1868">
        <v>16.59384</v>
      </c>
      <c r="AP329" s="1868">
        <v>16.400929999999999</v>
      </c>
      <c r="AQ329" s="1868">
        <v>17.42876</v>
      </c>
      <c r="AR329" s="1868">
        <v>16.692019999999999</v>
      </c>
      <c r="AS329" s="1868">
        <v>16.836220000000001</v>
      </c>
      <c r="AT329" s="1868">
        <v>16.259699999999999</v>
      </c>
      <c r="AU329" s="1868">
        <v>17.03201</v>
      </c>
      <c r="AV329" s="1868">
        <v>16.474220000000003</v>
      </c>
      <c r="AW329" s="1868">
        <v>17.152539999999998</v>
      </c>
      <c r="AX329" s="1868">
        <v>16.34151</v>
      </c>
      <c r="AY329" s="1868">
        <v>17.116050000000001</v>
      </c>
      <c r="AZ329" s="1868">
        <v>16.735399999999998</v>
      </c>
      <c r="BA329" s="1868">
        <v>17.094270000000002</v>
      </c>
    </row>
    <row r="330" spans="1:53">
      <c r="A330" s="1865" t="str">
        <f t="shared" si="5"/>
        <v>WorldPeaches and nectarines</v>
      </c>
      <c r="B330" s="1866" t="s">
        <v>1414</v>
      </c>
      <c r="C330" s="1866" t="s">
        <v>1390</v>
      </c>
      <c r="D330" s="1868">
        <v>9.4233600000000006</v>
      </c>
      <c r="E330" s="1868">
        <v>9.0801199999999991</v>
      </c>
      <c r="F330" s="1868">
        <v>9.8575199999999992</v>
      </c>
      <c r="G330" s="1868">
        <v>9.8925699999999992</v>
      </c>
      <c r="H330" s="1868">
        <v>9.8140300000000007</v>
      </c>
      <c r="I330" s="1868">
        <v>9.1312699999999989</v>
      </c>
      <c r="J330" s="1868">
        <v>8.8314199999999996</v>
      </c>
      <c r="K330" s="1868">
        <v>10.0319</v>
      </c>
      <c r="L330" s="1868">
        <v>9.5678800000000006</v>
      </c>
      <c r="M330" s="1868">
        <v>9.2351700000000001</v>
      </c>
      <c r="N330" s="1868">
        <v>9.3873699999999989</v>
      </c>
      <c r="O330" s="1868">
        <v>9.2964899999999986</v>
      </c>
      <c r="P330" s="1868">
        <v>9.4617500000000003</v>
      </c>
      <c r="Q330" s="1868">
        <v>9.6915399999999998</v>
      </c>
      <c r="R330" s="1868">
        <v>8.7815700000000003</v>
      </c>
      <c r="S330" s="1868">
        <v>10.376099999999999</v>
      </c>
      <c r="T330" s="1868">
        <v>9.1047700000000003</v>
      </c>
      <c r="U330" s="1868">
        <v>9.6249699999999994</v>
      </c>
      <c r="V330" s="1868">
        <v>10.627310000000001</v>
      </c>
      <c r="W330" s="1868">
        <v>9.987919999999999</v>
      </c>
      <c r="X330" s="1868">
        <v>10.202689999999999</v>
      </c>
      <c r="Y330" s="1868">
        <v>9.8028600000000008</v>
      </c>
      <c r="Z330" s="1868">
        <v>9.7809699999999999</v>
      </c>
      <c r="AA330" s="1868">
        <v>9.9540800000000011</v>
      </c>
      <c r="AB330" s="1868">
        <v>7.78125</v>
      </c>
      <c r="AC330" s="1868">
        <v>7.4795300000000005</v>
      </c>
      <c r="AD330" s="1868">
        <v>7.2146999999999997</v>
      </c>
      <c r="AE330" s="1868">
        <v>6.5423599999999995</v>
      </c>
      <c r="AF330" s="1868">
        <v>6.2759999999999998</v>
      </c>
      <c r="AG330" s="1868">
        <v>7.0690800000000005</v>
      </c>
      <c r="AH330" s="1868">
        <v>7.0579899999999993</v>
      </c>
      <c r="AI330" s="1868">
        <v>7.8987999999999996</v>
      </c>
      <c r="AJ330" s="1868">
        <v>7.8639899999999994</v>
      </c>
      <c r="AK330" s="1868">
        <v>8.2048199999999998</v>
      </c>
      <c r="AL330" s="1868">
        <v>7.9580800000000007</v>
      </c>
      <c r="AM330" s="1868">
        <v>8.9492200000000004</v>
      </c>
      <c r="AN330" s="1868">
        <v>9.1158399999999986</v>
      </c>
      <c r="AO330" s="1868">
        <v>9.3489399999999989</v>
      </c>
      <c r="AP330" s="1868">
        <v>10.480650000000001</v>
      </c>
      <c r="AQ330" s="1868">
        <v>10.54847</v>
      </c>
      <c r="AR330" s="1868">
        <v>11.26989</v>
      </c>
      <c r="AS330" s="1868">
        <v>11.038839999999999</v>
      </c>
      <c r="AT330" s="1868">
        <v>10.482339999999999</v>
      </c>
      <c r="AU330" s="1868">
        <v>11.466519999999999</v>
      </c>
      <c r="AV330" s="1868">
        <v>12.03364</v>
      </c>
      <c r="AW330" s="1868">
        <v>12.355139999999999</v>
      </c>
      <c r="AX330" s="1868">
        <v>12.741289999999999</v>
      </c>
      <c r="AY330" s="1868">
        <v>13.216479999999999</v>
      </c>
      <c r="AZ330" s="1868">
        <v>13.477600000000001</v>
      </c>
      <c r="BA330" s="1868">
        <v>13.186879999999999</v>
      </c>
    </row>
    <row r="331" spans="1:53">
      <c r="A331" s="1865" t="str">
        <f t="shared" si="5"/>
        <v>WorldPeas, dry</v>
      </c>
      <c r="B331" s="1866" t="s">
        <v>1414</v>
      </c>
      <c r="C331" s="1866" t="s">
        <v>1391</v>
      </c>
      <c r="D331" s="1868">
        <v>0.97304000000000002</v>
      </c>
      <c r="E331" s="1868">
        <v>1.0950799999999998</v>
      </c>
      <c r="F331" s="1868">
        <v>0.86267000000000005</v>
      </c>
      <c r="G331" s="1868">
        <v>0.99998999999999993</v>
      </c>
      <c r="H331" s="1868">
        <v>1.01715</v>
      </c>
      <c r="I331" s="1868">
        <v>1.0336799999999999</v>
      </c>
      <c r="J331" s="1868">
        <v>1.00911</v>
      </c>
      <c r="K331" s="1868">
        <v>1.10636</v>
      </c>
      <c r="L331" s="1868">
        <v>1.16821</v>
      </c>
      <c r="M331" s="1868">
        <v>1.17116</v>
      </c>
      <c r="N331" s="1868">
        <v>1.1532</v>
      </c>
      <c r="O331" s="1868">
        <v>1.0572900000000001</v>
      </c>
      <c r="P331" s="1868">
        <v>1.1215899999999999</v>
      </c>
      <c r="Q331" s="1868">
        <v>1.22174</v>
      </c>
      <c r="R331" s="1868">
        <v>0.97891000000000006</v>
      </c>
      <c r="S331" s="1868">
        <v>1.3611500000000001</v>
      </c>
      <c r="T331" s="1868">
        <v>1.15665</v>
      </c>
      <c r="U331" s="1868">
        <v>1.4045100000000001</v>
      </c>
      <c r="V331" s="1868">
        <v>0.98967999999999989</v>
      </c>
      <c r="W331" s="1868">
        <v>1.33162</v>
      </c>
      <c r="X331" s="1868">
        <v>0.97697000000000012</v>
      </c>
      <c r="Y331" s="1868">
        <v>1.2893700000000001</v>
      </c>
      <c r="Z331" s="1868">
        <v>1.3182200000000002</v>
      </c>
      <c r="AA331" s="1868">
        <v>1.30464</v>
      </c>
      <c r="AB331" s="1868">
        <v>1.3782000000000001</v>
      </c>
      <c r="AC331" s="1868">
        <v>1.2749200000000001</v>
      </c>
      <c r="AD331" s="1868">
        <v>1.5392399999999999</v>
      </c>
      <c r="AE331" s="1868">
        <v>1.54891</v>
      </c>
      <c r="AF331" s="1868">
        <v>1.6418700000000002</v>
      </c>
      <c r="AG331" s="1868">
        <v>1.90818</v>
      </c>
      <c r="AH331" s="1868">
        <v>1.53241</v>
      </c>
      <c r="AI331" s="1868">
        <v>1.8704000000000001</v>
      </c>
      <c r="AJ331" s="1868">
        <v>2.00617</v>
      </c>
      <c r="AK331" s="1868">
        <v>1.8755200000000001</v>
      </c>
      <c r="AL331" s="1868">
        <v>1.6071899999999999</v>
      </c>
      <c r="AM331" s="1868">
        <v>1.7012700000000001</v>
      </c>
      <c r="AN331" s="1868">
        <v>1.87799</v>
      </c>
      <c r="AO331" s="1868">
        <v>1.91662</v>
      </c>
      <c r="AP331" s="1868">
        <v>1.8574299999999999</v>
      </c>
      <c r="AQ331" s="1868">
        <v>1.7897700000000001</v>
      </c>
      <c r="AR331" s="1868">
        <v>1.6821400000000002</v>
      </c>
      <c r="AS331" s="1868">
        <v>1.60111</v>
      </c>
      <c r="AT331" s="1868">
        <v>1.6084000000000001</v>
      </c>
      <c r="AU331" s="1868">
        <v>1.8520700000000001</v>
      </c>
      <c r="AV331" s="1868">
        <v>1.7202500000000001</v>
      </c>
      <c r="AW331" s="1868">
        <v>1.5368299999999999</v>
      </c>
      <c r="AX331" s="1868">
        <v>1.4866200000000001</v>
      </c>
      <c r="AY331" s="1868">
        <v>1.6574</v>
      </c>
      <c r="AZ331" s="1868">
        <v>1.6759500000000001</v>
      </c>
      <c r="BA331" s="1868">
        <v>1.6169</v>
      </c>
    </row>
    <row r="332" spans="1:53">
      <c r="A332" s="1865" t="str">
        <f t="shared" si="5"/>
        <v>WorldPeas, green</v>
      </c>
      <c r="B332" s="1866" t="s">
        <v>1414</v>
      </c>
      <c r="C332" s="1866" t="s">
        <v>1392</v>
      </c>
      <c r="D332" s="1868">
        <v>5.8044000000000002</v>
      </c>
      <c r="E332" s="1868">
        <v>5.9070900000000002</v>
      </c>
      <c r="F332" s="1868">
        <v>5.7447300000000006</v>
      </c>
      <c r="G332" s="1868">
        <v>5.7468900000000005</v>
      </c>
      <c r="H332" s="1868">
        <v>5.8585599999999998</v>
      </c>
      <c r="I332" s="1868">
        <v>5.83744</v>
      </c>
      <c r="J332" s="1868">
        <v>6.2118800000000007</v>
      </c>
      <c r="K332" s="1868">
        <v>6.0932000000000004</v>
      </c>
      <c r="L332" s="1868">
        <v>6.2223100000000002</v>
      </c>
      <c r="M332" s="1868">
        <v>6.1725400000000006</v>
      </c>
      <c r="N332" s="1868">
        <v>6.4189999999999996</v>
      </c>
      <c r="O332" s="1868">
        <v>6.3192000000000004</v>
      </c>
      <c r="P332" s="1868">
        <v>6.4768099999999995</v>
      </c>
      <c r="Q332" s="1868">
        <v>6.9501300000000006</v>
      </c>
      <c r="R332" s="1868">
        <v>6.5406199999999997</v>
      </c>
      <c r="S332" s="1868">
        <v>6.0841599999999998</v>
      </c>
      <c r="T332" s="1868">
        <v>6.7362000000000002</v>
      </c>
      <c r="U332" s="1868">
        <v>6.5323799999999999</v>
      </c>
      <c r="V332" s="1868">
        <v>6.8511699999999998</v>
      </c>
      <c r="W332" s="1868">
        <v>6.7242300000000004</v>
      </c>
      <c r="X332" s="1868">
        <v>7.0180300000000004</v>
      </c>
      <c r="Y332" s="1868">
        <v>7.3636800000000004</v>
      </c>
      <c r="Z332" s="1868">
        <v>6.8899600000000003</v>
      </c>
      <c r="AA332" s="1868">
        <v>7.4218000000000002</v>
      </c>
      <c r="AB332" s="1868">
        <v>7.3861699999999999</v>
      </c>
      <c r="AC332" s="1868">
        <v>7.2174899999999997</v>
      </c>
      <c r="AD332" s="1868">
        <v>7.0163000000000002</v>
      </c>
      <c r="AE332" s="1868">
        <v>6.9929300000000003</v>
      </c>
      <c r="AF332" s="1868">
        <v>7.6593899999999993</v>
      </c>
      <c r="AG332" s="1868">
        <v>7.7813499999999998</v>
      </c>
      <c r="AH332" s="1868">
        <v>7.8784600000000005</v>
      </c>
      <c r="AI332" s="1868">
        <v>8.2806800000000003</v>
      </c>
      <c r="AJ332" s="1868">
        <v>8.2465299999999999</v>
      </c>
      <c r="AK332" s="1868">
        <v>8.1337899999999994</v>
      </c>
      <c r="AL332" s="1868">
        <v>7.9396000000000004</v>
      </c>
      <c r="AM332" s="1868">
        <v>7.8659600000000003</v>
      </c>
      <c r="AN332" s="1868">
        <v>7.8463699999999994</v>
      </c>
      <c r="AO332" s="1868">
        <v>7.7691499999999998</v>
      </c>
      <c r="AP332" s="1868">
        <v>7.8221800000000004</v>
      </c>
      <c r="AQ332" s="1868">
        <v>7.9806800000000004</v>
      </c>
      <c r="AR332" s="1868">
        <v>7.7952399999999997</v>
      </c>
      <c r="AS332" s="1868">
        <v>7.2221899999999994</v>
      </c>
      <c r="AT332" s="1868">
        <v>7.1675199999999997</v>
      </c>
      <c r="AU332" s="1868">
        <v>7.3386899999999997</v>
      </c>
      <c r="AV332" s="1868">
        <v>7.1488300000000002</v>
      </c>
      <c r="AW332" s="1868">
        <v>7.5107999999999997</v>
      </c>
      <c r="AX332" s="1868">
        <v>7.3860399999999995</v>
      </c>
      <c r="AY332" s="1868">
        <v>7.3296399999999995</v>
      </c>
      <c r="AZ332" s="1868">
        <v>7.5921699999999994</v>
      </c>
      <c r="BA332" s="1868">
        <v>7.4231600000000002</v>
      </c>
    </row>
    <row r="333" spans="1:53">
      <c r="A333" s="1865" t="str">
        <f t="shared" si="5"/>
        <v>WorldPineapples</v>
      </c>
      <c r="B333" s="1866" t="s">
        <v>1414</v>
      </c>
      <c r="C333" s="1866" t="s">
        <v>1351</v>
      </c>
      <c r="D333" s="1868">
        <v>10.374189999999999</v>
      </c>
      <c r="E333" s="1868">
        <v>10.81377</v>
      </c>
      <c r="F333" s="1868">
        <v>10.86491</v>
      </c>
      <c r="G333" s="1868">
        <v>11.11082</v>
      </c>
      <c r="H333" s="1868">
        <v>11.23962</v>
      </c>
      <c r="I333" s="1868">
        <v>11.57757</v>
      </c>
      <c r="J333" s="1868">
        <v>11.93777</v>
      </c>
      <c r="K333" s="1868">
        <v>11.91215</v>
      </c>
      <c r="L333" s="1868">
        <v>11.85891</v>
      </c>
      <c r="M333" s="1868">
        <v>12.000500000000001</v>
      </c>
      <c r="N333" s="1868">
        <v>11.890029999999999</v>
      </c>
      <c r="O333" s="1868">
        <v>12.34825</v>
      </c>
      <c r="P333" s="1868">
        <v>11.40555</v>
      </c>
      <c r="Q333" s="1868">
        <v>11.634119999999999</v>
      </c>
      <c r="R333" s="1868">
        <v>14.65835</v>
      </c>
      <c r="S333" s="1868">
        <v>16.242929999999998</v>
      </c>
      <c r="T333" s="1868">
        <v>15.873220000000002</v>
      </c>
      <c r="U333" s="1868">
        <v>15.94525</v>
      </c>
      <c r="V333" s="1868">
        <v>16.44623</v>
      </c>
      <c r="W333" s="1868">
        <v>18.051779999999997</v>
      </c>
      <c r="X333" s="1868">
        <v>16.18488</v>
      </c>
      <c r="Y333" s="1868">
        <v>14.59639</v>
      </c>
      <c r="Z333" s="1868">
        <v>14.47465</v>
      </c>
      <c r="AA333" s="1868">
        <v>15.937329999999999</v>
      </c>
      <c r="AB333" s="1868">
        <v>16.694020000000002</v>
      </c>
      <c r="AC333" s="1868">
        <v>17.07779</v>
      </c>
      <c r="AD333" s="1868">
        <v>17.767299999999999</v>
      </c>
      <c r="AE333" s="1868">
        <v>18.273489999999999</v>
      </c>
      <c r="AF333" s="1868">
        <v>18.797460000000001</v>
      </c>
      <c r="AG333" s="1868">
        <v>18.498539999999998</v>
      </c>
      <c r="AH333" s="1868">
        <v>17.931379999999997</v>
      </c>
      <c r="AI333" s="1868">
        <v>18.87077</v>
      </c>
      <c r="AJ333" s="1868">
        <v>18.79748</v>
      </c>
      <c r="AK333" s="1868">
        <v>17.99785</v>
      </c>
      <c r="AL333" s="1868">
        <v>17.47869</v>
      </c>
      <c r="AM333" s="1868">
        <v>18.0899</v>
      </c>
      <c r="AN333" s="1868">
        <v>20.603999999999999</v>
      </c>
      <c r="AO333" s="1868">
        <v>19.990920000000003</v>
      </c>
      <c r="AP333" s="1868">
        <v>20.79683</v>
      </c>
      <c r="AQ333" s="1868">
        <v>19.36927</v>
      </c>
      <c r="AR333" s="1868">
        <v>19.58501</v>
      </c>
      <c r="AS333" s="1868">
        <v>20.705100000000002</v>
      </c>
      <c r="AT333" s="1868">
        <v>21.043320000000001</v>
      </c>
      <c r="AU333" s="1868">
        <v>21.685400000000001</v>
      </c>
      <c r="AV333" s="1868">
        <v>22.11777</v>
      </c>
      <c r="AW333" s="1868">
        <v>23.094709999999999</v>
      </c>
      <c r="AX333" s="1868">
        <v>23.212109999999999</v>
      </c>
      <c r="AY333" s="1868">
        <v>22.785989999999998</v>
      </c>
      <c r="AZ333" s="1868">
        <v>21.264050000000001</v>
      </c>
      <c r="BA333" s="1868">
        <v>21.41977</v>
      </c>
    </row>
    <row r="334" spans="1:53">
      <c r="A334" s="1865" t="str">
        <f t="shared" si="5"/>
        <v>WorldPlantains</v>
      </c>
      <c r="B334" s="1866" t="s">
        <v>1414</v>
      </c>
      <c r="C334" s="1866" t="s">
        <v>1393</v>
      </c>
      <c r="D334" s="1868">
        <v>5.2606999999999999</v>
      </c>
      <c r="E334" s="1868">
        <v>5.4071400000000001</v>
      </c>
      <c r="F334" s="1868">
        <v>5.4005900000000002</v>
      </c>
      <c r="G334" s="1868">
        <v>5.4027099999999999</v>
      </c>
      <c r="H334" s="1868">
        <v>5.6540300000000006</v>
      </c>
      <c r="I334" s="1868">
        <v>5.7620899999999997</v>
      </c>
      <c r="J334" s="1868">
        <v>5.9710199999999993</v>
      </c>
      <c r="K334" s="1868">
        <v>5.8242699999999994</v>
      </c>
      <c r="L334" s="1868">
        <v>6.0607199999999999</v>
      </c>
      <c r="M334" s="1868">
        <v>6.29453</v>
      </c>
      <c r="N334" s="1868">
        <v>6.1741400000000004</v>
      </c>
      <c r="O334" s="1868">
        <v>6.2015500000000001</v>
      </c>
      <c r="P334" s="1868">
        <v>6.3486500000000001</v>
      </c>
      <c r="Q334" s="1868">
        <v>6.2623699999999998</v>
      </c>
      <c r="R334" s="1868">
        <v>6.3168600000000001</v>
      </c>
      <c r="S334" s="1868">
        <v>5.9396800000000001</v>
      </c>
      <c r="T334" s="1868">
        <v>5.9131900000000002</v>
      </c>
      <c r="U334" s="1868">
        <v>6.0821399999999999</v>
      </c>
      <c r="V334" s="1868">
        <v>5.6995899999999997</v>
      </c>
      <c r="W334" s="1868">
        <v>5.91296</v>
      </c>
      <c r="X334" s="1868">
        <v>5.85128</v>
      </c>
      <c r="Y334" s="1868">
        <v>5.8790300000000002</v>
      </c>
      <c r="Z334" s="1868">
        <v>5.57043</v>
      </c>
      <c r="AA334" s="1868">
        <v>5.4652900000000004</v>
      </c>
      <c r="AB334" s="1868">
        <v>5.5959400000000006</v>
      </c>
      <c r="AC334" s="1868">
        <v>5.6357200000000001</v>
      </c>
      <c r="AD334" s="1868">
        <v>6.0346699999999993</v>
      </c>
      <c r="AE334" s="1868">
        <v>5.8915899999999999</v>
      </c>
      <c r="AF334" s="1868">
        <v>6.0503900000000002</v>
      </c>
      <c r="AG334" s="1868">
        <v>6.0178900000000004</v>
      </c>
      <c r="AH334" s="1868">
        <v>6.0285500000000001</v>
      </c>
      <c r="AI334" s="1868">
        <v>5.9144100000000002</v>
      </c>
      <c r="AJ334" s="1868">
        <v>5.9078800000000005</v>
      </c>
      <c r="AK334" s="1868">
        <v>5.9989099999999995</v>
      </c>
      <c r="AL334" s="1868">
        <v>6.1581900000000003</v>
      </c>
      <c r="AM334" s="1868">
        <v>6.1729900000000004</v>
      </c>
      <c r="AN334" s="1868">
        <v>6.3178700000000001</v>
      </c>
      <c r="AO334" s="1868">
        <v>6.2214499999999999</v>
      </c>
      <c r="AP334" s="1868">
        <v>6.0510199999999994</v>
      </c>
      <c r="AQ334" s="1868">
        <v>6.0481699999999998</v>
      </c>
      <c r="AR334" s="1868">
        <v>6.0949200000000001</v>
      </c>
      <c r="AS334" s="1868">
        <v>6.1521800000000004</v>
      </c>
      <c r="AT334" s="1868">
        <v>6.0687300000000004</v>
      </c>
      <c r="AU334" s="1868">
        <v>6.2387800000000002</v>
      </c>
      <c r="AV334" s="1868">
        <v>6.3373900000000001</v>
      </c>
      <c r="AW334" s="1868">
        <v>6.4451400000000003</v>
      </c>
      <c r="AX334" s="1868">
        <v>6.7131100000000004</v>
      </c>
      <c r="AY334" s="1868">
        <v>6.7454100000000006</v>
      </c>
      <c r="AZ334" s="1868">
        <v>6.8493899999999996</v>
      </c>
      <c r="BA334" s="1868">
        <v>6.7764800000000003</v>
      </c>
    </row>
    <row r="335" spans="1:53">
      <c r="A335" s="1865" t="str">
        <f t="shared" si="5"/>
        <v>WorldPotatoes</v>
      </c>
      <c r="B335" s="1866" t="s">
        <v>1414</v>
      </c>
      <c r="C335" s="1866" t="s">
        <v>1394</v>
      </c>
      <c r="D335" s="1868">
        <v>12.21566</v>
      </c>
      <c r="E335" s="1868">
        <v>11.43608</v>
      </c>
      <c r="F335" s="1868">
        <v>12.2767</v>
      </c>
      <c r="G335" s="1868">
        <v>13.10272</v>
      </c>
      <c r="H335" s="1868">
        <v>12.66461</v>
      </c>
      <c r="I335" s="1868">
        <v>13.1204</v>
      </c>
      <c r="J335" s="1868">
        <v>13.841560000000001</v>
      </c>
      <c r="K335" s="1868">
        <v>14.326599999999999</v>
      </c>
      <c r="L335" s="1868">
        <v>13.465639999999999</v>
      </c>
      <c r="M335" s="1868">
        <v>14.347779999999998</v>
      </c>
      <c r="N335" s="1868">
        <v>13.715489999999999</v>
      </c>
      <c r="O335" s="1868">
        <v>13.409929999999999</v>
      </c>
      <c r="P335" s="1868">
        <v>15.288310000000001</v>
      </c>
      <c r="Q335" s="1868">
        <v>14.128110000000001</v>
      </c>
      <c r="R335" s="1868">
        <v>13.62316</v>
      </c>
      <c r="S335" s="1868">
        <v>14.327</v>
      </c>
      <c r="T335" s="1868">
        <v>14.665520000000001</v>
      </c>
      <c r="U335" s="1868">
        <v>15.217820000000001</v>
      </c>
      <c r="V335" s="1868">
        <v>15.515070000000001</v>
      </c>
      <c r="W335" s="1868">
        <v>12.81705</v>
      </c>
      <c r="X335" s="1868">
        <v>14.27103</v>
      </c>
      <c r="Y335" s="1868">
        <v>14.166039999999999</v>
      </c>
      <c r="Z335" s="1868">
        <v>14.179739999999999</v>
      </c>
      <c r="AA335" s="1868">
        <v>15.599639999999999</v>
      </c>
      <c r="AB335" s="1868">
        <v>15.299370000000001</v>
      </c>
      <c r="AC335" s="1868">
        <v>15.833160000000001</v>
      </c>
      <c r="AD335" s="1868">
        <v>15.561570000000001</v>
      </c>
      <c r="AE335" s="1868">
        <v>14.85159</v>
      </c>
      <c r="AF335" s="1868">
        <v>15.370460000000001</v>
      </c>
      <c r="AG335" s="1868">
        <v>15.13067</v>
      </c>
      <c r="AH335" s="1868">
        <v>14.59976</v>
      </c>
      <c r="AI335" s="1868">
        <v>15.150529999999998</v>
      </c>
      <c r="AJ335" s="1868">
        <v>16.534879999999998</v>
      </c>
      <c r="AK335" s="1868">
        <v>15.03725</v>
      </c>
      <c r="AL335" s="1868">
        <v>15.5968</v>
      </c>
      <c r="AM335" s="1868">
        <v>16.685949999999998</v>
      </c>
      <c r="AN335" s="1868">
        <v>16.185420000000001</v>
      </c>
      <c r="AO335" s="1868">
        <v>16.003889999999998</v>
      </c>
      <c r="AP335" s="1868">
        <v>15.236379999999999</v>
      </c>
      <c r="AQ335" s="1868">
        <v>16.31709</v>
      </c>
      <c r="AR335" s="1868">
        <v>15.81345</v>
      </c>
      <c r="AS335" s="1868">
        <v>16.512280000000001</v>
      </c>
      <c r="AT335" s="1868">
        <v>16.463529999999999</v>
      </c>
      <c r="AU335" s="1868">
        <v>17.491810000000001</v>
      </c>
      <c r="AV335" s="1868">
        <v>16.805289999999999</v>
      </c>
      <c r="AW335" s="1868">
        <v>16.600909999999999</v>
      </c>
      <c r="AX335" s="1868">
        <v>17.275259999999999</v>
      </c>
      <c r="AY335" s="1868">
        <v>18.03567</v>
      </c>
      <c r="AZ335" s="1868">
        <v>17.893370000000001</v>
      </c>
      <c r="BA335" s="1868">
        <v>17.432670000000002</v>
      </c>
    </row>
    <row r="336" spans="1:53">
      <c r="A336" s="1865" t="str">
        <f t="shared" si="5"/>
        <v>WorldPulses, nes</v>
      </c>
      <c r="B336" s="1866" t="s">
        <v>1414</v>
      </c>
      <c r="C336" s="1866" t="s">
        <v>1395</v>
      </c>
      <c r="D336" s="1868">
        <v>0.50017</v>
      </c>
      <c r="E336" s="1868">
        <v>0.52738000000000007</v>
      </c>
      <c r="F336" s="1868">
        <v>0.50083999999999995</v>
      </c>
      <c r="G336" s="1868">
        <v>0.53952</v>
      </c>
      <c r="H336" s="1868">
        <v>0.53995000000000004</v>
      </c>
      <c r="I336" s="1868">
        <v>0.52903</v>
      </c>
      <c r="J336" s="1868">
        <v>0.54706999999999995</v>
      </c>
      <c r="K336" s="1868">
        <v>0.58240000000000003</v>
      </c>
      <c r="L336" s="1868">
        <v>0.58282</v>
      </c>
      <c r="M336" s="1868">
        <v>0.58191000000000004</v>
      </c>
      <c r="N336" s="1868">
        <v>0.57016</v>
      </c>
      <c r="O336" s="1868">
        <v>0.55579999999999996</v>
      </c>
      <c r="P336" s="1868">
        <v>0.52588000000000001</v>
      </c>
      <c r="Q336" s="1868">
        <v>0.53839999999999999</v>
      </c>
      <c r="R336" s="1868">
        <v>0.55086000000000002</v>
      </c>
      <c r="S336" s="1868">
        <v>0.55926000000000009</v>
      </c>
      <c r="T336" s="1868">
        <v>0.49375000000000002</v>
      </c>
      <c r="U336" s="1868">
        <v>0.50334999999999996</v>
      </c>
      <c r="V336" s="1868">
        <v>0.48821999999999999</v>
      </c>
      <c r="W336" s="1868">
        <v>0.47731999999999997</v>
      </c>
      <c r="X336" s="1868">
        <v>0.49006000000000005</v>
      </c>
      <c r="Y336" s="1868">
        <v>0.5131</v>
      </c>
      <c r="Z336" s="1868">
        <v>0.54831000000000008</v>
      </c>
      <c r="AA336" s="1868">
        <v>0.57952999999999999</v>
      </c>
      <c r="AB336" s="1868">
        <v>0.57965</v>
      </c>
      <c r="AC336" s="1868">
        <v>0.62146999999999997</v>
      </c>
      <c r="AD336" s="1868">
        <v>0.61583999999999994</v>
      </c>
      <c r="AE336" s="1868">
        <v>0.64733000000000007</v>
      </c>
      <c r="AF336" s="1868">
        <v>0.63009999999999999</v>
      </c>
      <c r="AG336" s="1868">
        <v>0.60968</v>
      </c>
      <c r="AH336" s="1868">
        <v>0.72602</v>
      </c>
      <c r="AI336" s="1868">
        <v>0.44405</v>
      </c>
      <c r="AJ336" s="1868">
        <v>0.64226000000000005</v>
      </c>
      <c r="AK336" s="1868">
        <v>0.64461999999999997</v>
      </c>
      <c r="AL336" s="1868">
        <v>0.65947</v>
      </c>
      <c r="AM336" s="1868">
        <v>0.68916999999999995</v>
      </c>
      <c r="AN336" s="1868">
        <v>0.72616999999999998</v>
      </c>
      <c r="AO336" s="1868">
        <v>0.69603000000000004</v>
      </c>
      <c r="AP336" s="1868">
        <v>0.74060000000000004</v>
      </c>
      <c r="AQ336" s="1868">
        <v>0.78281999999999996</v>
      </c>
      <c r="AR336" s="1868">
        <v>0.85207999999999995</v>
      </c>
      <c r="AS336" s="1868">
        <v>0.79459000000000002</v>
      </c>
      <c r="AT336" s="1868">
        <v>0.77871000000000001</v>
      </c>
      <c r="AU336" s="1868">
        <v>0.82117000000000007</v>
      </c>
      <c r="AV336" s="1868">
        <v>0.75522</v>
      </c>
      <c r="AW336" s="1868">
        <v>0.75124000000000002</v>
      </c>
      <c r="AX336" s="1868">
        <v>0.74631000000000003</v>
      </c>
      <c r="AY336" s="1868">
        <v>0.76829999999999998</v>
      </c>
      <c r="AZ336" s="1868">
        <v>0.82897999999999994</v>
      </c>
      <c r="BA336" s="1868">
        <v>0.78569</v>
      </c>
    </row>
    <row r="337" spans="1:53">
      <c r="A337" s="1865" t="str">
        <f t="shared" si="5"/>
        <v>WorldQuinoa</v>
      </c>
      <c r="B337" s="1866" t="s">
        <v>1414</v>
      </c>
      <c r="C337" s="1866" t="s">
        <v>1412</v>
      </c>
      <c r="D337" s="1868">
        <v>0.61716000000000004</v>
      </c>
      <c r="E337" s="1868">
        <v>0.67069999999999996</v>
      </c>
      <c r="F337" s="1868">
        <v>0.74439</v>
      </c>
      <c r="G337" s="1868">
        <v>0.70736999999999994</v>
      </c>
      <c r="H337" s="1868">
        <v>0.69589999999999996</v>
      </c>
      <c r="I337" s="1868">
        <v>0.61238999999999999</v>
      </c>
      <c r="J337" s="1868">
        <v>0.71048</v>
      </c>
      <c r="K337" s="1868">
        <v>0.62006000000000006</v>
      </c>
      <c r="L337" s="1868">
        <v>0.55763999999999991</v>
      </c>
      <c r="M337" s="1868">
        <v>0.60016999999999998</v>
      </c>
      <c r="N337" s="1868">
        <v>0.56855</v>
      </c>
      <c r="O337" s="1868">
        <v>0.61136999999999997</v>
      </c>
      <c r="P337" s="1868">
        <v>0.65554000000000001</v>
      </c>
      <c r="Q337" s="1868">
        <v>0.66338999999999992</v>
      </c>
      <c r="R337" s="1868">
        <v>0.71909999999999996</v>
      </c>
      <c r="S337" s="1868">
        <v>0.66383000000000003</v>
      </c>
      <c r="T337" s="1868">
        <v>0.46988999999999997</v>
      </c>
      <c r="U337" s="1868">
        <v>0.48153999999999997</v>
      </c>
      <c r="V337" s="1868">
        <v>0.53596999999999995</v>
      </c>
      <c r="W337" s="1868">
        <v>0.72409999999999997</v>
      </c>
      <c r="X337" s="1868">
        <v>0.62963999999999998</v>
      </c>
      <c r="Y337" s="1868">
        <v>0.70423999999999998</v>
      </c>
      <c r="Z337" s="1868">
        <v>0.35419</v>
      </c>
      <c r="AA337" s="1868">
        <v>0.59567000000000003</v>
      </c>
      <c r="AB337" s="1868">
        <v>0.48756000000000005</v>
      </c>
      <c r="AC337" s="1868">
        <v>0.54356000000000004</v>
      </c>
      <c r="AD337" s="1868">
        <v>0.56126999999999994</v>
      </c>
      <c r="AE337" s="1868">
        <v>0.56581000000000004</v>
      </c>
      <c r="AF337" s="1868">
        <v>0.58643999999999996</v>
      </c>
      <c r="AG337" s="1868">
        <v>0.48359999999999997</v>
      </c>
      <c r="AH337" s="1868">
        <v>0.63033000000000006</v>
      </c>
      <c r="AI337" s="1868">
        <v>0.46951000000000004</v>
      </c>
      <c r="AJ337" s="1868">
        <v>0.64153000000000004</v>
      </c>
      <c r="AK337" s="1868">
        <v>0.61178999999999994</v>
      </c>
      <c r="AL337" s="1868">
        <v>0.58586000000000005</v>
      </c>
      <c r="AM337" s="1868">
        <v>0.70025999999999999</v>
      </c>
      <c r="AN337" s="1868">
        <v>0.75939999999999996</v>
      </c>
      <c r="AO337" s="1868">
        <v>0.70335999999999999</v>
      </c>
      <c r="AP337" s="1868">
        <v>0.77381999999999995</v>
      </c>
      <c r="AQ337" s="1868">
        <v>0.78503999999999996</v>
      </c>
      <c r="AR337" s="1868">
        <v>0.72291000000000005</v>
      </c>
      <c r="AS337" s="1868">
        <v>0.82763999999999993</v>
      </c>
      <c r="AT337" s="1868">
        <v>0.82142000000000004</v>
      </c>
      <c r="AU337" s="1868">
        <v>0.77816000000000007</v>
      </c>
      <c r="AV337" s="1868">
        <v>0.84868999999999994</v>
      </c>
      <c r="AW337" s="1868">
        <v>0.79044999999999999</v>
      </c>
      <c r="AX337" s="1868">
        <v>0.76958000000000004</v>
      </c>
      <c r="AY337" s="1868">
        <v>0.73646</v>
      </c>
      <c r="AZ337" s="1868">
        <v>0.82342999999999988</v>
      </c>
      <c r="BA337" s="1868">
        <v>0.82753999999999994</v>
      </c>
    </row>
    <row r="338" spans="1:53">
      <c r="A338" s="1865" t="str">
        <f t="shared" si="5"/>
        <v>WorldRice, paddy</v>
      </c>
      <c r="B338" s="1866" t="s">
        <v>1414</v>
      </c>
      <c r="C338" s="1866" t="s">
        <v>1396</v>
      </c>
      <c r="D338" s="1868">
        <v>1.8692500000000001</v>
      </c>
      <c r="E338" s="1868">
        <v>1.8957900000000001</v>
      </c>
      <c r="F338" s="1868">
        <v>2.0567199999999999</v>
      </c>
      <c r="G338" s="1868">
        <v>2.10249</v>
      </c>
      <c r="H338" s="1868">
        <v>2.0352600000000001</v>
      </c>
      <c r="I338" s="1868">
        <v>2.0781400000000003</v>
      </c>
      <c r="J338" s="1868">
        <v>2.1749400000000003</v>
      </c>
      <c r="K338" s="1868">
        <v>2.2328099999999997</v>
      </c>
      <c r="L338" s="1868">
        <v>2.254</v>
      </c>
      <c r="M338" s="1868">
        <v>2.3808099999999999</v>
      </c>
      <c r="N338" s="1868">
        <v>2.3619300000000001</v>
      </c>
      <c r="O338" s="1868">
        <v>2.3244700000000003</v>
      </c>
      <c r="P338" s="1868">
        <v>2.4523900000000003</v>
      </c>
      <c r="Q338" s="1868">
        <v>2.4251299999999998</v>
      </c>
      <c r="R338" s="1868">
        <v>2.5186299999999999</v>
      </c>
      <c r="S338" s="1868">
        <v>2.45133</v>
      </c>
      <c r="T338" s="1868">
        <v>2.5718400000000003</v>
      </c>
      <c r="U338" s="1868">
        <v>2.68431</v>
      </c>
      <c r="V338" s="1868">
        <v>2.6591400000000003</v>
      </c>
      <c r="W338" s="1868">
        <v>2.7481800000000001</v>
      </c>
      <c r="X338" s="1868">
        <v>2.8271900000000003</v>
      </c>
      <c r="Y338" s="1868">
        <v>2.98041</v>
      </c>
      <c r="Z338" s="1868">
        <v>3.1367099999999999</v>
      </c>
      <c r="AA338" s="1868">
        <v>3.2261199999999999</v>
      </c>
      <c r="AB338" s="1868">
        <v>3.2570299999999999</v>
      </c>
      <c r="AC338" s="1868">
        <v>3.2440799999999999</v>
      </c>
      <c r="AD338" s="1868">
        <v>3.26511</v>
      </c>
      <c r="AE338" s="1868">
        <v>3.3295699999999999</v>
      </c>
      <c r="AF338" s="1868">
        <v>3.4540500000000001</v>
      </c>
      <c r="AG338" s="1868">
        <v>3.5286300000000002</v>
      </c>
      <c r="AH338" s="1868">
        <v>3.5352999999999999</v>
      </c>
      <c r="AI338" s="1868">
        <v>3.58656</v>
      </c>
      <c r="AJ338" s="1868">
        <v>3.62479</v>
      </c>
      <c r="AK338" s="1868">
        <v>3.6589699999999996</v>
      </c>
      <c r="AL338" s="1868">
        <v>3.65944</v>
      </c>
      <c r="AM338" s="1868">
        <v>3.7852800000000002</v>
      </c>
      <c r="AN338" s="1868">
        <v>3.8181699999999998</v>
      </c>
      <c r="AO338" s="1868">
        <v>3.8180499999999999</v>
      </c>
      <c r="AP338" s="1868">
        <v>3.8961800000000002</v>
      </c>
      <c r="AQ338" s="1868">
        <v>3.8904099999999997</v>
      </c>
      <c r="AR338" s="1868">
        <v>3.9476900000000001</v>
      </c>
      <c r="AS338" s="1868">
        <v>3.8705099999999999</v>
      </c>
      <c r="AT338" s="1868">
        <v>3.9531099999999997</v>
      </c>
      <c r="AU338" s="1868">
        <v>4.0383800000000001</v>
      </c>
      <c r="AV338" s="1868">
        <v>4.0943199999999997</v>
      </c>
      <c r="AW338" s="1868">
        <v>4.1303700000000001</v>
      </c>
      <c r="AX338" s="1868">
        <v>4.2400599999999997</v>
      </c>
      <c r="AY338" s="1868">
        <v>4.3705800000000004</v>
      </c>
      <c r="AZ338" s="1868">
        <v>4.3239900000000002</v>
      </c>
      <c r="BA338" s="1868">
        <v>4.3736199999999998</v>
      </c>
    </row>
    <row r="339" spans="1:53">
      <c r="A339" s="1865" t="str">
        <f t="shared" si="5"/>
        <v>WorldRoots and Tubers, nes</v>
      </c>
      <c r="B339" s="1866" t="s">
        <v>1414</v>
      </c>
      <c r="C339" s="1866" t="s">
        <v>1356</v>
      </c>
      <c r="D339" s="1868">
        <v>4.58582</v>
      </c>
      <c r="E339" s="1868">
        <v>4.62906</v>
      </c>
      <c r="F339" s="1868">
        <v>4.6649400000000005</v>
      </c>
      <c r="G339" s="1868">
        <v>4.7191300000000007</v>
      </c>
      <c r="H339" s="1868">
        <v>4.6747300000000003</v>
      </c>
      <c r="I339" s="1868">
        <v>4.6534399999999998</v>
      </c>
      <c r="J339" s="1868">
        <v>4.6503300000000003</v>
      </c>
      <c r="K339" s="1868">
        <v>4.6351000000000004</v>
      </c>
      <c r="L339" s="1868">
        <v>4.6297199999999998</v>
      </c>
      <c r="M339" s="1868">
        <v>4.6806999999999999</v>
      </c>
      <c r="N339" s="1868">
        <v>4.6553000000000004</v>
      </c>
      <c r="O339" s="1868">
        <v>4.7136100000000001</v>
      </c>
      <c r="P339" s="1868">
        <v>4.80586</v>
      </c>
      <c r="Q339" s="1868">
        <v>4.9154900000000001</v>
      </c>
      <c r="R339" s="1868">
        <v>5.0676600000000001</v>
      </c>
      <c r="S339" s="1868">
        <v>5.3442800000000004</v>
      </c>
      <c r="T339" s="1868">
        <v>5.6352900000000004</v>
      </c>
      <c r="U339" s="1868">
        <v>6.1128200000000001</v>
      </c>
      <c r="V339" s="1868">
        <v>6.1032299999999999</v>
      </c>
      <c r="W339" s="1868">
        <v>6.2707800000000002</v>
      </c>
      <c r="X339" s="1868">
        <v>6.4737499999999999</v>
      </c>
      <c r="Y339" s="1868">
        <v>6.5562800000000001</v>
      </c>
      <c r="Z339" s="1868">
        <v>6.8224</v>
      </c>
      <c r="AA339" s="1868">
        <v>6.5228000000000002</v>
      </c>
      <c r="AB339" s="1868">
        <v>6.5486900000000006</v>
      </c>
      <c r="AC339" s="1868">
        <v>6.6582800000000004</v>
      </c>
      <c r="AD339" s="1868">
        <v>6.8198499999999997</v>
      </c>
      <c r="AE339" s="1868">
        <v>6.9754899999999997</v>
      </c>
      <c r="AF339" s="1868">
        <v>6.8322600000000007</v>
      </c>
      <c r="AG339" s="1868">
        <v>7.0164899999999992</v>
      </c>
      <c r="AH339" s="1868">
        <v>6.9466000000000001</v>
      </c>
      <c r="AI339" s="1868">
        <v>6.9424299999999999</v>
      </c>
      <c r="AJ339" s="1868">
        <v>6.7933199999999996</v>
      </c>
      <c r="AK339" s="1868">
        <v>6.9150700000000001</v>
      </c>
      <c r="AL339" s="1868">
        <v>7.1887699999999999</v>
      </c>
      <c r="AM339" s="1868">
        <v>7.4518899999999997</v>
      </c>
      <c r="AN339" s="1868">
        <v>7.2963800000000001</v>
      </c>
      <c r="AO339" s="1868">
        <v>7.5717399999999992</v>
      </c>
      <c r="AP339" s="1868">
        <v>7.5114199999999993</v>
      </c>
      <c r="AQ339" s="1868">
        <v>7.5866100000000003</v>
      </c>
      <c r="AR339" s="1868">
        <v>7.5796899999999994</v>
      </c>
      <c r="AS339" s="1868">
        <v>7.5861399999999994</v>
      </c>
      <c r="AT339" s="1868">
        <v>7.7316699999999994</v>
      </c>
      <c r="AU339" s="1868">
        <v>7.7695999999999996</v>
      </c>
      <c r="AV339" s="1868">
        <v>7.7953999999999999</v>
      </c>
      <c r="AW339" s="1868">
        <v>7.9157000000000002</v>
      </c>
      <c r="AX339" s="1868">
        <v>7.4576899999999995</v>
      </c>
      <c r="AY339" s="1868">
        <v>7.8886600000000007</v>
      </c>
      <c r="AZ339" s="1868">
        <v>7.8125</v>
      </c>
      <c r="BA339" s="1868">
        <v>9.5274999999999999</v>
      </c>
    </row>
    <row r="340" spans="1:53">
      <c r="A340" s="1865" t="str">
        <f t="shared" si="5"/>
        <v>WorldRye</v>
      </c>
      <c r="B340" s="1866" t="s">
        <v>1414</v>
      </c>
      <c r="C340" s="1866" t="s">
        <v>1353</v>
      </c>
      <c r="D340" s="1868">
        <v>1.16048</v>
      </c>
      <c r="E340" s="1868">
        <v>1.1478200000000001</v>
      </c>
      <c r="F340" s="1868">
        <v>1.0945100000000001</v>
      </c>
      <c r="G340" s="1868">
        <v>1.1017999999999999</v>
      </c>
      <c r="H340" s="1868">
        <v>1.2438100000000001</v>
      </c>
      <c r="I340" s="1868">
        <v>1.20672</v>
      </c>
      <c r="J340" s="1868">
        <v>1.30863</v>
      </c>
      <c r="K340" s="1868">
        <v>1.4054899999999999</v>
      </c>
      <c r="L340" s="1868">
        <v>1.4419500000000001</v>
      </c>
      <c r="M340" s="1868">
        <v>1.3819900000000001</v>
      </c>
      <c r="N340" s="1868">
        <v>1.5856600000000001</v>
      </c>
      <c r="O340" s="1868">
        <v>1.57056</v>
      </c>
      <c r="P340" s="1868">
        <v>1.7547299999999999</v>
      </c>
      <c r="Q340" s="1868">
        <v>1.73996</v>
      </c>
      <c r="R340" s="1868">
        <v>1.5140200000000001</v>
      </c>
      <c r="S340" s="1868">
        <v>1.7174900000000002</v>
      </c>
      <c r="T340" s="1868">
        <v>1.59832</v>
      </c>
      <c r="U340" s="1868">
        <v>1.9162299999999999</v>
      </c>
      <c r="V340" s="1868">
        <v>1.5872700000000002</v>
      </c>
      <c r="W340" s="1868">
        <v>1.5563100000000001</v>
      </c>
      <c r="X340" s="1868">
        <v>1.6404000000000001</v>
      </c>
      <c r="Y340" s="1868">
        <v>1.7907999999999999</v>
      </c>
      <c r="Z340" s="1868">
        <v>1.9119400000000002</v>
      </c>
      <c r="AA340" s="1868">
        <v>1.9529299999999998</v>
      </c>
      <c r="AB340" s="1868">
        <v>1.9284299999999999</v>
      </c>
      <c r="AC340" s="1868">
        <v>1.9786999999999999</v>
      </c>
      <c r="AD340" s="1868">
        <v>1.98387</v>
      </c>
      <c r="AE340" s="1868">
        <v>1.9141900000000001</v>
      </c>
      <c r="AF340" s="1868">
        <v>2.0226999999999999</v>
      </c>
      <c r="AG340" s="1868">
        <v>2.27128</v>
      </c>
      <c r="AH340" s="1868">
        <v>2.0363099999999998</v>
      </c>
      <c r="AI340" s="1868">
        <v>2.0111599999999998</v>
      </c>
      <c r="AJ340" s="1868">
        <v>2.00251</v>
      </c>
      <c r="AK340" s="1868">
        <v>2.0488900000000001</v>
      </c>
      <c r="AL340" s="1868">
        <v>2.1594199999999999</v>
      </c>
      <c r="AM340" s="1868">
        <v>2.10012</v>
      </c>
      <c r="AN340" s="1868">
        <v>2.3279900000000002</v>
      </c>
      <c r="AO340" s="1868">
        <v>2.0559400000000001</v>
      </c>
      <c r="AP340" s="1868">
        <v>2.1328200000000002</v>
      </c>
      <c r="AQ340" s="1868">
        <v>2.04901</v>
      </c>
      <c r="AR340" s="1868">
        <v>2.3624499999999999</v>
      </c>
      <c r="AS340" s="1868">
        <v>2.30017</v>
      </c>
      <c r="AT340" s="1868">
        <v>2.1829700000000001</v>
      </c>
      <c r="AU340" s="1868">
        <v>2.5796999999999999</v>
      </c>
      <c r="AV340" s="1868">
        <v>2.2273900000000002</v>
      </c>
      <c r="AW340" s="1868">
        <v>2.17333</v>
      </c>
      <c r="AX340" s="1868">
        <v>2.3669500000000001</v>
      </c>
      <c r="AY340" s="1868">
        <v>2.68797</v>
      </c>
      <c r="AZ340" s="1868">
        <v>2.76451</v>
      </c>
      <c r="BA340" s="1868">
        <v>2.3140700000000001</v>
      </c>
    </row>
    <row r="341" spans="1:53">
      <c r="A341" s="1865" t="str">
        <f t="shared" si="5"/>
        <v>WorldSeed cotton</v>
      </c>
      <c r="B341" s="1866" t="s">
        <v>1414</v>
      </c>
      <c r="C341" s="1866" t="s">
        <v>1397</v>
      </c>
      <c r="D341" s="1868">
        <v>0.86178999999999994</v>
      </c>
      <c r="E341" s="1868">
        <v>0.91347000000000012</v>
      </c>
      <c r="F341" s="1868">
        <v>0.98326000000000002</v>
      </c>
      <c r="G341" s="1868">
        <v>1.0032299999999998</v>
      </c>
      <c r="H341" s="1868">
        <v>1.0622100000000001</v>
      </c>
      <c r="I341" s="1868">
        <v>1.07019</v>
      </c>
      <c r="J341" s="1868">
        <v>1.01051</v>
      </c>
      <c r="K341" s="1868">
        <v>1.08124</v>
      </c>
      <c r="L341" s="1868">
        <v>1.01308</v>
      </c>
      <c r="M341" s="1868">
        <v>1.0411999999999999</v>
      </c>
      <c r="N341" s="1868">
        <v>1.0658100000000001</v>
      </c>
      <c r="O341" s="1868">
        <v>1.09578</v>
      </c>
      <c r="P341" s="1868">
        <v>1.1633599999999999</v>
      </c>
      <c r="Q341" s="1868">
        <v>1.1860600000000001</v>
      </c>
      <c r="R341" s="1868">
        <v>1.1119700000000001</v>
      </c>
      <c r="S341" s="1868">
        <v>1.1043700000000001</v>
      </c>
      <c r="T341" s="1868">
        <v>1.1574</v>
      </c>
      <c r="U341" s="1868">
        <v>1.0976600000000001</v>
      </c>
      <c r="V341" s="1868">
        <v>1.2257899999999999</v>
      </c>
      <c r="W341" s="1868">
        <v>1.2044900000000001</v>
      </c>
      <c r="X341" s="1868">
        <v>1.3177700000000001</v>
      </c>
      <c r="Y341" s="1868">
        <v>1.33691</v>
      </c>
      <c r="Z341" s="1868">
        <v>1.35955</v>
      </c>
      <c r="AA341" s="1868">
        <v>1.58464</v>
      </c>
      <c r="AB341" s="1868">
        <v>1.5210700000000001</v>
      </c>
      <c r="AC341" s="1868">
        <v>1.44302</v>
      </c>
      <c r="AD341" s="1868">
        <v>1.6130599999999999</v>
      </c>
      <c r="AE341" s="1868">
        <v>1.56603</v>
      </c>
      <c r="AF341" s="1868">
        <v>1.55213</v>
      </c>
      <c r="AG341" s="1868">
        <v>1.6373200000000001</v>
      </c>
      <c r="AH341" s="1868">
        <v>1.7260599999999999</v>
      </c>
      <c r="AI341" s="1868">
        <v>1.5503100000000001</v>
      </c>
      <c r="AJ341" s="1868">
        <v>1.5732600000000001</v>
      </c>
      <c r="AK341" s="1868">
        <v>1.6486499999999999</v>
      </c>
      <c r="AL341" s="1868">
        <v>1.5990799999999998</v>
      </c>
      <c r="AM341" s="1868">
        <v>1.6081299999999998</v>
      </c>
      <c r="AN341" s="1868">
        <v>1.60612</v>
      </c>
      <c r="AO341" s="1868">
        <v>1.5622499999999999</v>
      </c>
      <c r="AP341" s="1868">
        <v>1.62829</v>
      </c>
      <c r="AQ341" s="1868">
        <v>1.66875</v>
      </c>
      <c r="AR341" s="1868">
        <v>1.7334200000000002</v>
      </c>
      <c r="AS341" s="1868">
        <v>1.74597</v>
      </c>
      <c r="AT341" s="1868">
        <v>1.7836400000000001</v>
      </c>
      <c r="AU341" s="1868">
        <v>2.0104000000000002</v>
      </c>
      <c r="AV341" s="1868">
        <v>2.0021100000000001</v>
      </c>
      <c r="AW341" s="1868">
        <v>2.0629200000000001</v>
      </c>
      <c r="AX341" s="1868">
        <v>2.2019299999999999</v>
      </c>
      <c r="AY341" s="1868">
        <v>2.1392099999999998</v>
      </c>
      <c r="AZ341" s="1868">
        <v>2.0394400000000004</v>
      </c>
      <c r="BA341" s="1868">
        <v>2.12398</v>
      </c>
    </row>
    <row r="342" spans="1:53">
      <c r="A342" s="1865" t="str">
        <f t="shared" si="5"/>
        <v>WorldSesame seed</v>
      </c>
      <c r="B342" s="1866" t="s">
        <v>1414</v>
      </c>
      <c r="C342" s="1866" t="s">
        <v>1345</v>
      </c>
      <c r="D342" s="1868">
        <v>0.28610999999999998</v>
      </c>
      <c r="E342" s="1868">
        <v>0.29570999999999997</v>
      </c>
      <c r="F342" s="1868">
        <v>0.28894999999999998</v>
      </c>
      <c r="G342" s="1868">
        <v>0.30396000000000001</v>
      </c>
      <c r="H342" s="1868">
        <v>0.27895999999999999</v>
      </c>
      <c r="I342" s="1868">
        <v>0.27116000000000001</v>
      </c>
      <c r="J342" s="1868">
        <v>0.28820999999999997</v>
      </c>
      <c r="K342" s="1868">
        <v>0.28571999999999997</v>
      </c>
      <c r="L342" s="1868">
        <v>0.30704999999999999</v>
      </c>
      <c r="M342" s="1868">
        <v>0.34023999999999999</v>
      </c>
      <c r="N342" s="1868">
        <v>0.31824999999999998</v>
      </c>
      <c r="O342" s="1868">
        <v>0.29003000000000001</v>
      </c>
      <c r="P342" s="1868">
        <v>0.30853000000000003</v>
      </c>
      <c r="Q342" s="1868">
        <v>0.29415999999999998</v>
      </c>
      <c r="R342" s="1868">
        <v>0.29661999999999999</v>
      </c>
      <c r="S342" s="1868">
        <v>0.28864000000000001</v>
      </c>
      <c r="T342" s="1868">
        <v>0.30420000000000003</v>
      </c>
      <c r="U342" s="1868">
        <v>0.31109999999999999</v>
      </c>
      <c r="V342" s="1868">
        <v>0.29303000000000001</v>
      </c>
      <c r="W342" s="1868">
        <v>0.27731</v>
      </c>
      <c r="X342" s="1868">
        <v>0.33944000000000002</v>
      </c>
      <c r="Y342" s="1868">
        <v>0.31795999999999996</v>
      </c>
      <c r="Z342" s="1868">
        <v>0.31574000000000002</v>
      </c>
      <c r="AA342" s="1868">
        <v>0.33548</v>
      </c>
      <c r="AB342" s="1868">
        <v>0.33616000000000001</v>
      </c>
      <c r="AC342" s="1868">
        <v>0.34178000000000003</v>
      </c>
      <c r="AD342" s="1868">
        <v>0.35557</v>
      </c>
      <c r="AE342" s="1868">
        <v>0.33621000000000001</v>
      </c>
      <c r="AF342" s="1868">
        <v>0.33150000000000002</v>
      </c>
      <c r="AG342" s="1868">
        <v>0.38782</v>
      </c>
      <c r="AH342" s="1868">
        <v>0.34510999999999997</v>
      </c>
      <c r="AI342" s="1868">
        <v>0.37805</v>
      </c>
      <c r="AJ342" s="1868">
        <v>0.34160999999999997</v>
      </c>
      <c r="AK342" s="1868">
        <v>0.35204999999999997</v>
      </c>
      <c r="AL342" s="1868">
        <v>0.38068000000000002</v>
      </c>
      <c r="AM342" s="1868">
        <v>0.39332</v>
      </c>
      <c r="AN342" s="1868">
        <v>0.39826</v>
      </c>
      <c r="AO342" s="1868">
        <v>0.42558000000000001</v>
      </c>
      <c r="AP342" s="1868">
        <v>0.38338</v>
      </c>
      <c r="AQ342" s="1868">
        <v>0.38474999999999998</v>
      </c>
      <c r="AR342" s="1868">
        <v>0.44600000000000001</v>
      </c>
      <c r="AS342" s="1868">
        <v>0.44196999999999997</v>
      </c>
      <c r="AT342" s="1868">
        <v>0.45618999999999998</v>
      </c>
      <c r="AU342" s="1868">
        <v>0.47108999999999995</v>
      </c>
      <c r="AV342" s="1868">
        <v>0.45611999999999997</v>
      </c>
      <c r="AW342" s="1868">
        <v>0.49780000000000002</v>
      </c>
      <c r="AX342" s="1868">
        <v>0.51648000000000005</v>
      </c>
      <c r="AY342" s="1868">
        <v>0.51623999999999992</v>
      </c>
      <c r="AZ342" s="1868">
        <v>0.51817999999999997</v>
      </c>
      <c r="BA342" s="1868">
        <v>0.49099999999999999</v>
      </c>
    </row>
    <row r="343" spans="1:53">
      <c r="A343" s="1865" t="str">
        <f t="shared" si="5"/>
        <v>WorldSisal</v>
      </c>
      <c r="B343" s="1866" t="s">
        <v>1414</v>
      </c>
      <c r="C343" s="1866" t="s">
        <v>1398</v>
      </c>
      <c r="D343" s="1868">
        <v>0.85971000000000009</v>
      </c>
      <c r="E343" s="1868">
        <v>0.87962000000000007</v>
      </c>
      <c r="F343" s="1868">
        <v>0.85845000000000005</v>
      </c>
      <c r="G343" s="1868">
        <v>0.84057999999999988</v>
      </c>
      <c r="H343" s="1868">
        <v>0.79133999999999993</v>
      </c>
      <c r="I343" s="1868">
        <v>0.77733999999999992</v>
      </c>
      <c r="J343" s="1868">
        <v>0.75839999999999996</v>
      </c>
      <c r="K343" s="1868">
        <v>0.74987999999999999</v>
      </c>
      <c r="L343" s="1868">
        <v>0.78808999999999996</v>
      </c>
      <c r="M343" s="1868">
        <v>0.79383000000000004</v>
      </c>
      <c r="N343" s="1868">
        <v>0.90580000000000005</v>
      </c>
      <c r="O343" s="1868">
        <v>0.86577999999999988</v>
      </c>
      <c r="P343" s="1868">
        <v>0.90687000000000006</v>
      </c>
      <c r="Q343" s="1868">
        <v>0.94787999999999994</v>
      </c>
      <c r="R343" s="1868">
        <v>0.85775000000000001</v>
      </c>
      <c r="S343" s="1868">
        <v>0.73004999999999998</v>
      </c>
      <c r="T343" s="1868">
        <v>0.75312000000000001</v>
      </c>
      <c r="U343" s="1868">
        <v>0.71283999999999992</v>
      </c>
      <c r="V343" s="1868">
        <v>0.74517</v>
      </c>
      <c r="W343" s="1868">
        <v>0.74518000000000006</v>
      </c>
      <c r="X343" s="1868">
        <v>0.73008000000000006</v>
      </c>
      <c r="Y343" s="1868">
        <v>0.72096000000000005</v>
      </c>
      <c r="Z343" s="1868">
        <v>0.64351000000000003</v>
      </c>
      <c r="AA343" s="1868">
        <v>0.70515000000000005</v>
      </c>
      <c r="AB343" s="1868">
        <v>0.78443000000000007</v>
      </c>
      <c r="AC343" s="1868">
        <v>0.72667999999999999</v>
      </c>
      <c r="AD343" s="1868">
        <v>0.64663000000000004</v>
      </c>
      <c r="AE343" s="1868">
        <v>0.76605000000000001</v>
      </c>
      <c r="AF343" s="1868">
        <v>0.79726000000000008</v>
      </c>
      <c r="AG343" s="1868">
        <v>0.78978999999999999</v>
      </c>
      <c r="AH343" s="1868">
        <v>0.81368000000000007</v>
      </c>
      <c r="AI343" s="1868">
        <v>0.79452</v>
      </c>
      <c r="AJ343" s="1868">
        <v>0.80993000000000004</v>
      </c>
      <c r="AK343" s="1868">
        <v>0.83572999999999997</v>
      </c>
      <c r="AL343" s="1868">
        <v>0.86107999999999996</v>
      </c>
      <c r="AM343" s="1868">
        <v>0.8621700000000001</v>
      </c>
      <c r="AN343" s="1868">
        <v>0.97955999999999999</v>
      </c>
      <c r="AO343" s="1868">
        <v>0.80794999999999995</v>
      </c>
      <c r="AP343" s="1868">
        <v>0.94725999999999999</v>
      </c>
      <c r="AQ343" s="1868">
        <v>1.0924200000000002</v>
      </c>
      <c r="AR343" s="1868">
        <v>0.81379000000000001</v>
      </c>
      <c r="AS343" s="1868">
        <v>0.83992999999999995</v>
      </c>
      <c r="AT343" s="1868">
        <v>0.82704999999999995</v>
      </c>
      <c r="AU343" s="1868">
        <v>0.88908999999999994</v>
      </c>
      <c r="AV343" s="1868">
        <v>0.82635999999999998</v>
      </c>
      <c r="AW343" s="1868">
        <v>0.88785000000000003</v>
      </c>
      <c r="AX343" s="1868">
        <v>0.87229999999999996</v>
      </c>
      <c r="AY343" s="1868">
        <v>0.82723999999999998</v>
      </c>
      <c r="AZ343" s="1868">
        <v>0.89044999999999996</v>
      </c>
      <c r="BA343" s="1868">
        <v>0.86567000000000005</v>
      </c>
    </row>
    <row r="344" spans="1:53">
      <c r="A344" s="1865" t="str">
        <f t="shared" si="5"/>
        <v>WorldSorghum</v>
      </c>
      <c r="B344" s="1866" t="s">
        <v>1414</v>
      </c>
      <c r="C344" s="1866" t="s">
        <v>1399</v>
      </c>
      <c r="D344" s="1868">
        <v>0.88963999999999999</v>
      </c>
      <c r="E344" s="1868">
        <v>0.94296000000000002</v>
      </c>
      <c r="F344" s="1868">
        <v>0.96204000000000001</v>
      </c>
      <c r="G344" s="1868">
        <v>0.95930000000000004</v>
      </c>
      <c r="H344" s="1868">
        <v>0.98892999999999998</v>
      </c>
      <c r="I344" s="1868">
        <v>1.1026400000000001</v>
      </c>
      <c r="J344" s="1868">
        <v>1.10937</v>
      </c>
      <c r="K344" s="1868">
        <v>1.09907</v>
      </c>
      <c r="L344" s="1868">
        <v>1.06446</v>
      </c>
      <c r="M344" s="1868">
        <v>1.12873</v>
      </c>
      <c r="N344" s="1868">
        <v>1.23508</v>
      </c>
      <c r="O344" s="1868">
        <v>1.2070700000000001</v>
      </c>
      <c r="P344" s="1868">
        <v>1.3033399999999999</v>
      </c>
      <c r="Q344" s="1868">
        <v>1.2750999999999999</v>
      </c>
      <c r="R344" s="1868">
        <v>1.3206799999999999</v>
      </c>
      <c r="S344" s="1868">
        <v>1.30375</v>
      </c>
      <c r="T344" s="1868">
        <v>1.4115200000000001</v>
      </c>
      <c r="U344" s="1868">
        <v>1.4177299999999999</v>
      </c>
      <c r="V344" s="1868">
        <v>1.48194</v>
      </c>
      <c r="W344" s="1868">
        <v>1.3</v>
      </c>
      <c r="X344" s="1868">
        <v>1.59755</v>
      </c>
      <c r="Y344" s="1868">
        <v>1.50431</v>
      </c>
      <c r="Z344" s="1868">
        <v>1.3924799999999999</v>
      </c>
      <c r="AA344" s="1868">
        <v>1.47889</v>
      </c>
      <c r="AB344" s="1868">
        <v>1.5255799999999999</v>
      </c>
      <c r="AC344" s="1868">
        <v>1.4177500000000001</v>
      </c>
      <c r="AD344" s="1868">
        <v>1.4191499999999999</v>
      </c>
      <c r="AE344" s="1868">
        <v>1.3666499999999999</v>
      </c>
      <c r="AF344" s="1868">
        <v>1.31968</v>
      </c>
      <c r="AG344" s="1868">
        <v>1.36589</v>
      </c>
      <c r="AH344" s="1868">
        <v>1.3008600000000001</v>
      </c>
      <c r="AI344" s="1868">
        <v>1.5294299999999998</v>
      </c>
      <c r="AJ344" s="1868">
        <v>1.31094</v>
      </c>
      <c r="AK344" s="1868">
        <v>1.3643100000000001</v>
      </c>
      <c r="AL344" s="1868">
        <v>1.28488</v>
      </c>
      <c r="AM344" s="1868">
        <v>1.5301200000000001</v>
      </c>
      <c r="AN344" s="1868">
        <v>1.32531</v>
      </c>
      <c r="AO344" s="1868">
        <v>1.42865</v>
      </c>
      <c r="AP344" s="1868">
        <v>1.4410399999999999</v>
      </c>
      <c r="AQ344" s="1868">
        <v>1.3604100000000001</v>
      </c>
      <c r="AR344" s="1868">
        <v>1.3733500000000001</v>
      </c>
      <c r="AS344" s="1868">
        <v>1.2993299999999999</v>
      </c>
      <c r="AT344" s="1868">
        <v>1.3279100000000001</v>
      </c>
      <c r="AU344" s="1868">
        <v>1.43089</v>
      </c>
      <c r="AV344" s="1868">
        <v>1.29288</v>
      </c>
      <c r="AW344" s="1868">
        <v>1.34154</v>
      </c>
      <c r="AX344" s="1868">
        <v>1.4049499999999999</v>
      </c>
      <c r="AY344" s="1868">
        <v>1.46898</v>
      </c>
      <c r="AZ344" s="1868">
        <v>1.3947100000000001</v>
      </c>
      <c r="BA344" s="1868">
        <v>1.3738900000000001</v>
      </c>
    </row>
    <row r="345" spans="1:53">
      <c r="A345" s="1865" t="str">
        <f t="shared" si="5"/>
        <v>WorldSoybeans</v>
      </c>
      <c r="B345" s="1866" t="s">
        <v>1414</v>
      </c>
      <c r="C345" s="1866" t="s">
        <v>1359</v>
      </c>
      <c r="D345" s="1868">
        <v>1.1286399999999999</v>
      </c>
      <c r="E345" s="1868">
        <v>1.1384399999999999</v>
      </c>
      <c r="F345" s="1868">
        <v>1.15608</v>
      </c>
      <c r="G345" s="1868">
        <v>1.1323399999999999</v>
      </c>
      <c r="H345" s="1868">
        <v>1.2279200000000001</v>
      </c>
      <c r="I345" s="1868">
        <v>1.3723000000000001</v>
      </c>
      <c r="J345" s="1868">
        <v>1.34935</v>
      </c>
      <c r="K345" s="1868">
        <v>1.43451</v>
      </c>
      <c r="L345" s="1868">
        <v>1.45231</v>
      </c>
      <c r="M345" s="1868">
        <v>1.4799799999999999</v>
      </c>
      <c r="N345" s="1868">
        <v>1.51891</v>
      </c>
      <c r="O345" s="1868">
        <v>1.4896100000000001</v>
      </c>
      <c r="P345" s="1868">
        <v>1.58504</v>
      </c>
      <c r="Q345" s="1868">
        <v>1.4077899999999999</v>
      </c>
      <c r="R345" s="1868">
        <v>1.6573099999999998</v>
      </c>
      <c r="S345" s="1868">
        <v>1.5442499999999999</v>
      </c>
      <c r="T345" s="1868">
        <v>1.756</v>
      </c>
      <c r="U345" s="1868">
        <v>1.6262700000000001</v>
      </c>
      <c r="V345" s="1868">
        <v>1.74912</v>
      </c>
      <c r="W345" s="1868">
        <v>1.6000299999999998</v>
      </c>
      <c r="X345" s="1868">
        <v>1.75373</v>
      </c>
      <c r="Y345" s="1868">
        <v>1.75858</v>
      </c>
      <c r="Z345" s="1868">
        <v>1.6200299999999999</v>
      </c>
      <c r="AA345" s="1868">
        <v>1.7141999999999999</v>
      </c>
      <c r="AB345" s="1868">
        <v>1.9062299999999999</v>
      </c>
      <c r="AC345" s="1868">
        <v>1.8197900000000002</v>
      </c>
      <c r="AD345" s="1868">
        <v>1.9051200000000001</v>
      </c>
      <c r="AE345" s="1868">
        <v>1.7046400000000002</v>
      </c>
      <c r="AF345" s="1868">
        <v>1.8287200000000001</v>
      </c>
      <c r="AG345" s="1868">
        <v>1.8972</v>
      </c>
      <c r="AH345" s="1868">
        <v>1.8808900000000002</v>
      </c>
      <c r="AI345" s="1868">
        <v>2.0376699999999999</v>
      </c>
      <c r="AJ345" s="1868">
        <v>1.9352200000000002</v>
      </c>
      <c r="AK345" s="1868">
        <v>2.18316</v>
      </c>
      <c r="AL345" s="1868">
        <v>2.0307599999999999</v>
      </c>
      <c r="AM345" s="1868">
        <v>2.1310899999999999</v>
      </c>
      <c r="AN345" s="1868">
        <v>2.1565099999999999</v>
      </c>
      <c r="AO345" s="1868">
        <v>2.2559099999999996</v>
      </c>
      <c r="AP345" s="1868">
        <v>2.1897500000000001</v>
      </c>
      <c r="AQ345" s="1868">
        <v>2.1688200000000002</v>
      </c>
      <c r="AR345" s="1868">
        <v>2.3207800000000001</v>
      </c>
      <c r="AS345" s="1868">
        <v>2.30077</v>
      </c>
      <c r="AT345" s="1868">
        <v>2.27948</v>
      </c>
      <c r="AU345" s="1868">
        <v>2.24376</v>
      </c>
      <c r="AV345" s="1868">
        <v>2.3182400000000003</v>
      </c>
      <c r="AW345" s="1868">
        <v>2.32918</v>
      </c>
      <c r="AX345" s="1868">
        <v>2.43729</v>
      </c>
      <c r="AY345" s="1868">
        <v>2.3975</v>
      </c>
      <c r="AZ345" s="1868">
        <v>2.2439800000000001</v>
      </c>
      <c r="BA345" s="1868">
        <v>2.5548000000000002</v>
      </c>
    </row>
    <row r="346" spans="1:53">
      <c r="A346" s="1865" t="str">
        <f t="shared" si="5"/>
        <v>WorldStrawberries</v>
      </c>
      <c r="B346" s="1866" t="s">
        <v>1414</v>
      </c>
      <c r="C346" s="1866" t="s">
        <v>1400</v>
      </c>
      <c r="D346" s="1868">
        <v>8.0152600000000014</v>
      </c>
      <c r="E346" s="1868">
        <v>7.7030500000000002</v>
      </c>
      <c r="F346" s="1868">
        <v>8.4437999999999995</v>
      </c>
      <c r="G346" s="1868">
        <v>9.997069999999999</v>
      </c>
      <c r="H346" s="1868">
        <v>8.1255399999999991</v>
      </c>
      <c r="I346" s="1868">
        <v>8.2320200000000003</v>
      </c>
      <c r="J346" s="1868">
        <v>8.6007899999999999</v>
      </c>
      <c r="K346" s="1868">
        <v>8.4911100000000008</v>
      </c>
      <c r="L346" s="1868">
        <v>8.8294899999999998</v>
      </c>
      <c r="M346" s="1868">
        <v>9.1283499999999993</v>
      </c>
      <c r="N346" s="1868">
        <v>8.9534099999999999</v>
      </c>
      <c r="O346" s="1868">
        <v>9.0349199999999996</v>
      </c>
      <c r="P346" s="1868">
        <v>9.4414600000000011</v>
      </c>
      <c r="Q346" s="1868">
        <v>9.5404699999999991</v>
      </c>
      <c r="R346" s="1868">
        <v>9.0276499999999995</v>
      </c>
      <c r="S346" s="1868">
        <v>9.3581199999999995</v>
      </c>
      <c r="T346" s="1868">
        <v>10.2463</v>
      </c>
      <c r="U346" s="1868">
        <v>10.393039999999999</v>
      </c>
      <c r="V346" s="1868">
        <v>10.692489999999999</v>
      </c>
      <c r="W346" s="1868">
        <v>10.502419999999999</v>
      </c>
      <c r="X346" s="1868">
        <v>10.872310000000001</v>
      </c>
      <c r="Y346" s="1868">
        <v>11.3393</v>
      </c>
      <c r="Z346" s="1868">
        <v>11.53546</v>
      </c>
      <c r="AA346" s="1868">
        <v>11.65216</v>
      </c>
      <c r="AB346" s="1868">
        <v>10.273199999999999</v>
      </c>
      <c r="AC346" s="1868">
        <v>10.597489999999999</v>
      </c>
      <c r="AD346" s="1868">
        <v>11.57921</v>
      </c>
      <c r="AE346" s="1868">
        <v>11.378210000000001</v>
      </c>
      <c r="AF346" s="1868">
        <v>11.526719999999999</v>
      </c>
      <c r="AG346" s="1868">
        <v>11.74564</v>
      </c>
      <c r="AH346" s="1868">
        <v>11.570869999999999</v>
      </c>
      <c r="AI346" s="1868">
        <v>10.48898</v>
      </c>
      <c r="AJ346" s="1868">
        <v>11.67535</v>
      </c>
      <c r="AK346" s="1868">
        <v>12.625970000000001</v>
      </c>
      <c r="AL346" s="1868">
        <v>12.34567</v>
      </c>
      <c r="AM346" s="1868">
        <v>12.58652</v>
      </c>
      <c r="AN346" s="1868">
        <v>12.94957</v>
      </c>
      <c r="AO346" s="1868">
        <v>13.10196</v>
      </c>
      <c r="AP346" s="1868">
        <v>13.463010000000001</v>
      </c>
      <c r="AQ346" s="1868">
        <v>13.139749999999999</v>
      </c>
      <c r="AR346" s="1868">
        <v>12.654919999999999</v>
      </c>
      <c r="AS346" s="1868">
        <v>13.898760000000001</v>
      </c>
      <c r="AT346" s="1868">
        <v>13.83259</v>
      </c>
      <c r="AU346" s="1868">
        <v>14.65986</v>
      </c>
      <c r="AV346" s="1868">
        <v>14.597720000000001</v>
      </c>
      <c r="AW346" s="1868">
        <v>15.032450000000001</v>
      </c>
      <c r="AX346" s="1868">
        <v>15.110420000000001</v>
      </c>
      <c r="AY346" s="1868">
        <v>16.581029999999998</v>
      </c>
      <c r="AZ346" s="1868">
        <v>18.50996</v>
      </c>
      <c r="BA346" s="1868">
        <v>17.902979999999999</v>
      </c>
    </row>
    <row r="347" spans="1:53">
      <c r="A347" s="1865" t="str">
        <f t="shared" si="5"/>
        <v>WorldSugar beet</v>
      </c>
      <c r="B347" s="1866" t="s">
        <v>1414</v>
      </c>
      <c r="C347" s="1866" t="s">
        <v>1358</v>
      </c>
      <c r="D347" s="1868">
        <v>23.173500000000001</v>
      </c>
      <c r="E347" s="1868">
        <v>21.609749999999998</v>
      </c>
      <c r="F347" s="1868">
        <v>21.878550000000001</v>
      </c>
      <c r="G347" s="1868">
        <v>25.911059999999999</v>
      </c>
      <c r="H347" s="1868">
        <v>24.641590000000001</v>
      </c>
      <c r="I347" s="1868">
        <v>27.023020000000002</v>
      </c>
      <c r="J347" s="1868">
        <v>29.556079999999998</v>
      </c>
      <c r="K347" s="1868">
        <v>31.954450000000001</v>
      </c>
      <c r="L347" s="1868">
        <v>28.355529999999998</v>
      </c>
      <c r="M347" s="1868">
        <v>29.526599999999998</v>
      </c>
      <c r="N347" s="1868">
        <v>29.915679999999998</v>
      </c>
      <c r="O347" s="1868">
        <v>30.165609999999997</v>
      </c>
      <c r="P347" s="1868">
        <v>30.673820000000003</v>
      </c>
      <c r="Q347" s="1868">
        <v>28.632740000000002</v>
      </c>
      <c r="R347" s="1868">
        <v>27.788170000000001</v>
      </c>
      <c r="S347" s="1868">
        <v>31.427309999999999</v>
      </c>
      <c r="T347" s="1868">
        <v>31.645559999999996</v>
      </c>
      <c r="U347" s="1868">
        <v>31.260079999999999</v>
      </c>
      <c r="V347" s="1868">
        <v>29.872509999999998</v>
      </c>
      <c r="W347" s="1868">
        <v>30.212129999999998</v>
      </c>
      <c r="X347" s="1868">
        <v>30.960100000000001</v>
      </c>
      <c r="Y347" s="1868">
        <v>32.220959999999998</v>
      </c>
      <c r="Z347" s="1868">
        <v>31.088850000000001</v>
      </c>
      <c r="AA347" s="1868">
        <v>33.650690000000004</v>
      </c>
      <c r="AB347" s="1868">
        <v>32.853859999999997</v>
      </c>
      <c r="AC347" s="1868">
        <v>33.036949999999997</v>
      </c>
      <c r="AD347" s="1868">
        <v>34.569899999999997</v>
      </c>
      <c r="AE347" s="1868">
        <v>33.908879999999996</v>
      </c>
      <c r="AF347" s="1868">
        <v>36.550550000000001</v>
      </c>
      <c r="AG347" s="1868">
        <v>35.712519999999998</v>
      </c>
      <c r="AH347" s="1868">
        <v>33.252079999999999</v>
      </c>
      <c r="AI347" s="1868">
        <v>33.330649999999999</v>
      </c>
      <c r="AJ347" s="1868">
        <v>34.788879999999999</v>
      </c>
      <c r="AK347" s="1868">
        <v>31.982020000000002</v>
      </c>
      <c r="AL347" s="1868">
        <v>33.713560000000001</v>
      </c>
      <c r="AM347" s="1868">
        <v>34.770040000000002</v>
      </c>
      <c r="AN347" s="1868">
        <v>38.06183</v>
      </c>
      <c r="AO347" s="1868">
        <v>38.792529999999999</v>
      </c>
      <c r="AP347" s="1868">
        <v>39.444780000000002</v>
      </c>
      <c r="AQ347" s="1868">
        <v>41.599740000000004</v>
      </c>
      <c r="AR347" s="1868">
        <v>38.228909999999999</v>
      </c>
      <c r="AS347" s="1868">
        <v>43.063590000000005</v>
      </c>
      <c r="AT347" s="1868">
        <v>40.877109999999995</v>
      </c>
      <c r="AU347" s="1868">
        <v>45.958870000000005</v>
      </c>
      <c r="AV347" s="1868">
        <v>46.950559999999996</v>
      </c>
      <c r="AW347" s="1868">
        <v>46.689590000000003</v>
      </c>
      <c r="AX347" s="1868">
        <v>47.797600000000003</v>
      </c>
      <c r="AY347" s="1868">
        <v>51.753170000000004</v>
      </c>
      <c r="AZ347" s="1868">
        <v>53.574009999999994</v>
      </c>
      <c r="BA347" s="1868">
        <v>48.859990000000003</v>
      </c>
    </row>
    <row r="348" spans="1:53">
      <c r="A348" s="1865" t="str">
        <f t="shared" si="5"/>
        <v>WorldSugar cane</v>
      </c>
      <c r="B348" s="1866" t="s">
        <v>1414</v>
      </c>
      <c r="C348" s="1866" t="s">
        <v>1401</v>
      </c>
      <c r="D348" s="1868">
        <v>50.267470000000003</v>
      </c>
      <c r="E348" s="1868">
        <v>48.412300000000002</v>
      </c>
      <c r="F348" s="1868">
        <v>48.871749999999999</v>
      </c>
      <c r="G348" s="1868">
        <v>51.535990000000005</v>
      </c>
      <c r="H348" s="1868">
        <v>52.266709999999996</v>
      </c>
      <c r="I348" s="1868">
        <v>51.22663</v>
      </c>
      <c r="J348" s="1868">
        <v>52.154870000000003</v>
      </c>
      <c r="K348" s="1868">
        <v>52.794219999999996</v>
      </c>
      <c r="L348" s="1868">
        <v>53.574190000000002</v>
      </c>
      <c r="M348" s="1868">
        <v>54.764630000000004</v>
      </c>
      <c r="N348" s="1868">
        <v>52.653630000000007</v>
      </c>
      <c r="O348" s="1868">
        <v>52.350470000000001</v>
      </c>
      <c r="P348" s="1868">
        <v>53.835840000000005</v>
      </c>
      <c r="Q348" s="1868">
        <v>54.349609999999998</v>
      </c>
      <c r="R348" s="1868">
        <v>53.7622</v>
      </c>
      <c r="S348" s="1868">
        <v>54.647550000000003</v>
      </c>
      <c r="T348" s="1868">
        <v>56.400550000000003</v>
      </c>
      <c r="U348" s="1868">
        <v>56.567900000000002</v>
      </c>
      <c r="V348" s="1868">
        <v>56.086550000000003</v>
      </c>
      <c r="W348" s="1868">
        <v>55.287819999999996</v>
      </c>
      <c r="X348" s="1868">
        <v>58.422469999999997</v>
      </c>
      <c r="Y348" s="1868">
        <v>60.249469999999995</v>
      </c>
      <c r="Z348" s="1868">
        <v>58.754059999999996</v>
      </c>
      <c r="AA348" s="1868">
        <v>59.465290000000003</v>
      </c>
      <c r="AB348" s="1868">
        <v>58.516539999999999</v>
      </c>
      <c r="AC348" s="1868">
        <v>59.061149999999998</v>
      </c>
      <c r="AD348" s="1868">
        <v>60.716790000000003</v>
      </c>
      <c r="AE348" s="1868">
        <v>60.584519999999998</v>
      </c>
      <c r="AF348" s="1868">
        <v>61.562950000000001</v>
      </c>
      <c r="AG348" s="1868">
        <v>61.65305</v>
      </c>
      <c r="AH348" s="1868">
        <v>61.255830000000003</v>
      </c>
      <c r="AI348" s="1868">
        <v>61.499049999999997</v>
      </c>
      <c r="AJ348" s="1868">
        <v>59.584350000000001</v>
      </c>
      <c r="AK348" s="1868">
        <v>61.939919999999994</v>
      </c>
      <c r="AL348" s="1868">
        <v>63.100390000000004</v>
      </c>
      <c r="AM348" s="1868">
        <v>62.976290000000006</v>
      </c>
      <c r="AN348" s="1868">
        <v>64.86309</v>
      </c>
      <c r="AO348" s="1868">
        <v>66.02658000000001</v>
      </c>
      <c r="AP348" s="1868">
        <v>66.729089999999999</v>
      </c>
      <c r="AQ348" s="1868">
        <v>64.83353000000001</v>
      </c>
      <c r="AR348" s="1868">
        <v>64.64479</v>
      </c>
      <c r="AS348" s="1868">
        <v>65.544489999999996</v>
      </c>
      <c r="AT348" s="1868">
        <v>66.803650000000005</v>
      </c>
      <c r="AU348" s="1868">
        <v>66.162669999999991</v>
      </c>
      <c r="AV348" s="1868">
        <v>66.532790000000006</v>
      </c>
      <c r="AW348" s="1868">
        <v>68.595500000000001</v>
      </c>
      <c r="AX348" s="1868">
        <v>71.011189999999999</v>
      </c>
      <c r="AY348" s="1868">
        <v>71.731589999999997</v>
      </c>
      <c r="AZ348" s="1868">
        <v>70.274190000000004</v>
      </c>
      <c r="BA348" s="1868">
        <v>70.771869999999993</v>
      </c>
    </row>
    <row r="349" spans="1:53">
      <c r="A349" s="1865" t="str">
        <f t="shared" si="5"/>
        <v>WorldSunflower seed</v>
      </c>
      <c r="B349" s="1866" t="s">
        <v>1414</v>
      </c>
      <c r="C349" s="1866" t="s">
        <v>1402</v>
      </c>
      <c r="D349" s="1868">
        <v>1.0224899999999999</v>
      </c>
      <c r="E349" s="1868">
        <v>1.01644</v>
      </c>
      <c r="F349" s="1868">
        <v>0.96958999999999995</v>
      </c>
      <c r="G349" s="1868">
        <v>1.1995100000000001</v>
      </c>
      <c r="H349" s="1868">
        <v>1.0591600000000001</v>
      </c>
      <c r="I349" s="1868">
        <v>1.1718899999999999</v>
      </c>
      <c r="J349" s="1868">
        <v>1.2734399999999999</v>
      </c>
      <c r="K349" s="1868">
        <v>1.27721</v>
      </c>
      <c r="L349" s="1868">
        <v>1.22173</v>
      </c>
      <c r="M349" s="1868">
        <v>1.1486100000000001</v>
      </c>
      <c r="N349" s="1868">
        <v>1.14076</v>
      </c>
      <c r="O349" s="1868">
        <v>1.0709200000000001</v>
      </c>
      <c r="P349" s="1868">
        <v>1.26163</v>
      </c>
      <c r="Q349" s="1868">
        <v>1.2013400000000001</v>
      </c>
      <c r="R349" s="1868">
        <v>1.0678799999999999</v>
      </c>
      <c r="S349" s="1868">
        <v>1.08494</v>
      </c>
      <c r="T349" s="1868">
        <v>1.19573</v>
      </c>
      <c r="U349" s="1868">
        <v>1.1249499999999999</v>
      </c>
      <c r="V349" s="1868">
        <v>1.24342</v>
      </c>
      <c r="W349" s="1868">
        <v>1.0990500000000001</v>
      </c>
      <c r="X349" s="1868">
        <v>1.1677799999999998</v>
      </c>
      <c r="Y349" s="1868">
        <v>1.2450299999999999</v>
      </c>
      <c r="Z349" s="1868">
        <v>1.2063600000000001</v>
      </c>
      <c r="AA349" s="1868">
        <v>1.1953499999999999</v>
      </c>
      <c r="AB349" s="1868">
        <v>1.2703899999999999</v>
      </c>
      <c r="AC349" s="1868">
        <v>1.34877</v>
      </c>
      <c r="AD349" s="1868">
        <v>1.3510500000000001</v>
      </c>
      <c r="AE349" s="1868">
        <v>1.3609</v>
      </c>
      <c r="AF349" s="1868">
        <v>1.4077</v>
      </c>
      <c r="AG349" s="1868">
        <v>1.3328</v>
      </c>
      <c r="AH349" s="1868">
        <v>1.3438099999999999</v>
      </c>
      <c r="AI349" s="1868">
        <v>1.2062999999999999</v>
      </c>
      <c r="AJ349" s="1868">
        <v>1.0639100000000001</v>
      </c>
      <c r="AK349" s="1868">
        <v>1.18021</v>
      </c>
      <c r="AL349" s="1868">
        <v>1.2554399999999999</v>
      </c>
      <c r="AM349" s="1868">
        <v>1.2117200000000001</v>
      </c>
      <c r="AN349" s="1868">
        <v>1.24098</v>
      </c>
      <c r="AO349" s="1868">
        <v>1.2073700000000001</v>
      </c>
      <c r="AP349" s="1868">
        <v>1.2242299999999999</v>
      </c>
      <c r="AQ349" s="1868">
        <v>1.2525700000000002</v>
      </c>
      <c r="AR349" s="1868">
        <v>1.1486399999999999</v>
      </c>
      <c r="AS349" s="1868">
        <v>1.25824</v>
      </c>
      <c r="AT349" s="1868">
        <v>1.1707700000000001</v>
      </c>
      <c r="AU349" s="1868">
        <v>1.2092700000000001</v>
      </c>
      <c r="AV349" s="1868">
        <v>1.3274600000000001</v>
      </c>
      <c r="AW349" s="1868">
        <v>1.31134</v>
      </c>
      <c r="AX349" s="1868">
        <v>1.23377</v>
      </c>
      <c r="AY349" s="1868">
        <v>1.43262</v>
      </c>
      <c r="AZ349" s="1868">
        <v>1.34795</v>
      </c>
      <c r="BA349" s="1868">
        <v>1.32263</v>
      </c>
    </row>
    <row r="350" spans="1:53">
      <c r="A350" s="1865" t="str">
        <f t="shared" si="5"/>
        <v>WorldSweet potatoes</v>
      </c>
      <c r="B350" s="1866" t="s">
        <v>1414</v>
      </c>
      <c r="C350" s="1866" t="s">
        <v>1403</v>
      </c>
      <c r="D350" s="1868">
        <v>7.3477499999999996</v>
      </c>
      <c r="E350" s="1868">
        <v>7.7257399999999992</v>
      </c>
      <c r="F350" s="1868">
        <v>8.1849600000000002</v>
      </c>
      <c r="G350" s="1868">
        <v>7.3319100000000006</v>
      </c>
      <c r="H350" s="1868">
        <v>9.1159499999999998</v>
      </c>
      <c r="I350" s="1868">
        <v>9.6066399999999987</v>
      </c>
      <c r="J350" s="1868">
        <v>10.330730000000001</v>
      </c>
      <c r="K350" s="1868">
        <v>10.60614</v>
      </c>
      <c r="L350" s="1868">
        <v>10.964839999999999</v>
      </c>
      <c r="M350" s="1868">
        <v>11.59707</v>
      </c>
      <c r="N350" s="1868">
        <v>11.19125</v>
      </c>
      <c r="O350" s="1868">
        <v>10.06213</v>
      </c>
      <c r="P350" s="1868">
        <v>12.4422</v>
      </c>
      <c r="Q350" s="1868">
        <v>11.3056</v>
      </c>
      <c r="R350" s="1868">
        <v>11.74868</v>
      </c>
      <c r="S350" s="1868">
        <v>11.49578</v>
      </c>
      <c r="T350" s="1868">
        <v>11.56012</v>
      </c>
      <c r="U350" s="1868">
        <v>11.919989999999999</v>
      </c>
      <c r="V350" s="1868">
        <v>11.892139999999999</v>
      </c>
      <c r="W350" s="1868">
        <v>12.81432</v>
      </c>
      <c r="X350" s="1868">
        <v>12.429210000000001</v>
      </c>
      <c r="Y350" s="1868">
        <v>13.15574</v>
      </c>
      <c r="Z350" s="1868">
        <v>14.05115</v>
      </c>
      <c r="AA350" s="1868">
        <v>14.31889</v>
      </c>
      <c r="AB350" s="1868">
        <v>13.69346</v>
      </c>
      <c r="AC350" s="1868">
        <v>13.41061</v>
      </c>
      <c r="AD350" s="1868">
        <v>14.640079999999999</v>
      </c>
      <c r="AE350" s="1868">
        <v>13.3668</v>
      </c>
      <c r="AF350" s="1868">
        <v>13.66455</v>
      </c>
      <c r="AG350" s="1868">
        <v>13.403970000000001</v>
      </c>
      <c r="AH350" s="1868">
        <v>13.63246</v>
      </c>
      <c r="AI350" s="1868">
        <v>13.414489999999999</v>
      </c>
      <c r="AJ350" s="1868">
        <v>14.34534</v>
      </c>
      <c r="AK350" s="1868">
        <v>14.0367</v>
      </c>
      <c r="AL350" s="1868">
        <v>14.698170000000001</v>
      </c>
      <c r="AM350" s="1868">
        <v>15.34141</v>
      </c>
      <c r="AN350" s="1868">
        <v>13.245779999999998</v>
      </c>
      <c r="AO350" s="1868">
        <v>14.62987</v>
      </c>
      <c r="AP350" s="1868">
        <v>15.141389999999999</v>
      </c>
      <c r="AQ350" s="1868">
        <v>14.212229999999998</v>
      </c>
      <c r="AR350" s="1868">
        <v>14.118399999999999</v>
      </c>
      <c r="AS350" s="1868">
        <v>14.529350000000001</v>
      </c>
      <c r="AT350" s="1868">
        <v>14.246549999999999</v>
      </c>
      <c r="AU350" s="1868">
        <v>14.03196</v>
      </c>
      <c r="AV350" s="1868">
        <v>14.165729999999998</v>
      </c>
      <c r="AW350" s="1868">
        <v>13.20266</v>
      </c>
      <c r="AX350" s="1868">
        <v>12.317910000000001</v>
      </c>
      <c r="AY350" s="1868">
        <v>12.617800000000001</v>
      </c>
      <c r="AZ350" s="1868">
        <v>12.87093</v>
      </c>
      <c r="BA350" s="1868">
        <v>13.146560000000001</v>
      </c>
    </row>
    <row r="351" spans="1:53">
      <c r="A351" s="1865" t="str">
        <f t="shared" si="5"/>
        <v>WorldTangerines, mandarins, clem.</v>
      </c>
      <c r="B351" s="1866" t="s">
        <v>1414</v>
      </c>
      <c r="C351" s="1866" t="s">
        <v>1404</v>
      </c>
      <c r="D351" s="1868">
        <v>8.2584699999999991</v>
      </c>
      <c r="E351" s="1868">
        <v>7.4479699999999998</v>
      </c>
      <c r="F351" s="1868">
        <v>7.4314399999999994</v>
      </c>
      <c r="G351" s="1868">
        <v>8.4485799999999998</v>
      </c>
      <c r="H351" s="1868">
        <v>8.2800799999999999</v>
      </c>
      <c r="I351" s="1868">
        <v>11.802910000000001</v>
      </c>
      <c r="J351" s="1868">
        <v>10.89967</v>
      </c>
      <c r="K351" s="1868">
        <v>12.256160000000001</v>
      </c>
      <c r="L351" s="1868">
        <v>11.712400000000001</v>
      </c>
      <c r="M351" s="1868">
        <v>12.70843</v>
      </c>
      <c r="N351" s="1868">
        <v>12.596119999999999</v>
      </c>
      <c r="O351" s="1868">
        <v>14.994760000000001</v>
      </c>
      <c r="P351" s="1868">
        <v>14.10116</v>
      </c>
      <c r="Q351" s="1868">
        <v>14.03256</v>
      </c>
      <c r="R351" s="1868">
        <v>14.49404</v>
      </c>
      <c r="S351" s="1868">
        <v>13.753070000000001</v>
      </c>
      <c r="T351" s="1868">
        <v>15.07569</v>
      </c>
      <c r="U351" s="1868">
        <v>14.87814</v>
      </c>
      <c r="V351" s="1868">
        <v>14.981520000000002</v>
      </c>
      <c r="W351" s="1868">
        <v>13.409270000000001</v>
      </c>
      <c r="X351" s="1868">
        <v>12.96996</v>
      </c>
      <c r="Y351" s="1868">
        <v>13.35295</v>
      </c>
      <c r="Z351" s="1868">
        <v>13.985810000000001</v>
      </c>
      <c r="AA351" s="1868">
        <v>11.52169</v>
      </c>
      <c r="AB351" s="1868">
        <v>11.232430000000001</v>
      </c>
      <c r="AC351" s="1868">
        <v>10.41939</v>
      </c>
      <c r="AD351" s="1868">
        <v>10.04701</v>
      </c>
      <c r="AE351" s="1868">
        <v>8.8409499999999994</v>
      </c>
      <c r="AF351" s="1868">
        <v>10.429110000000001</v>
      </c>
      <c r="AG351" s="1868">
        <v>9.6019199999999998</v>
      </c>
      <c r="AH351" s="1868">
        <v>9.8199500000000004</v>
      </c>
      <c r="AI351" s="1868">
        <v>10.14208</v>
      </c>
      <c r="AJ351" s="1868">
        <v>10.20567</v>
      </c>
      <c r="AK351" s="1868">
        <v>10.462199999999999</v>
      </c>
      <c r="AL351" s="1868">
        <v>10.674300000000001</v>
      </c>
      <c r="AM351" s="1868">
        <v>10.094619999999999</v>
      </c>
      <c r="AN351" s="1868">
        <v>11.88832</v>
      </c>
      <c r="AO351" s="1868">
        <v>10.575989999999999</v>
      </c>
      <c r="AP351" s="1868">
        <v>12.18942</v>
      </c>
      <c r="AQ351" s="1868">
        <v>11.04637</v>
      </c>
      <c r="AR351" s="1868">
        <v>12.212630000000001</v>
      </c>
      <c r="AS351" s="1868">
        <v>12.04946</v>
      </c>
      <c r="AT351" s="1868">
        <v>12.046110000000001</v>
      </c>
      <c r="AU351" s="1868">
        <v>12.42371</v>
      </c>
      <c r="AV351" s="1868">
        <v>12.07147</v>
      </c>
      <c r="AW351" s="1868">
        <v>12.90216</v>
      </c>
      <c r="AX351" s="1868">
        <v>9.5446299999999997</v>
      </c>
      <c r="AY351" s="1868">
        <v>9.7850199999999994</v>
      </c>
      <c r="AZ351" s="1868">
        <v>10.447649999999999</v>
      </c>
      <c r="BA351" s="1868">
        <v>10.502410000000001</v>
      </c>
    </row>
    <row r="352" spans="1:53">
      <c r="A352" s="1865" t="str">
        <f t="shared" si="5"/>
        <v>WorldTea</v>
      </c>
      <c r="B352" s="1866" t="s">
        <v>1414</v>
      </c>
      <c r="C352" s="1866" t="s">
        <v>1405</v>
      </c>
      <c r="D352" s="1868">
        <v>0.72013000000000005</v>
      </c>
      <c r="E352" s="1868">
        <v>0.71553999999999995</v>
      </c>
      <c r="F352" s="1868">
        <v>0.73151999999999995</v>
      </c>
      <c r="G352" s="1868">
        <v>0.75111000000000006</v>
      </c>
      <c r="H352" s="1868">
        <v>0.75758000000000003</v>
      </c>
      <c r="I352" s="1868">
        <v>0.78659000000000001</v>
      </c>
      <c r="J352" s="1868">
        <v>0.77263999999999999</v>
      </c>
      <c r="K352" s="1868">
        <v>0.78286999999999995</v>
      </c>
      <c r="L352" s="1868">
        <v>0.77523999999999993</v>
      </c>
      <c r="M352" s="1868">
        <v>0.77129999999999999</v>
      </c>
      <c r="N352" s="1868">
        <v>0.75319999999999998</v>
      </c>
      <c r="O352" s="1868">
        <v>0.78023999999999993</v>
      </c>
      <c r="P352" s="1868">
        <v>0.75773999999999997</v>
      </c>
      <c r="Q352" s="1868">
        <v>0.72693999999999992</v>
      </c>
      <c r="R352" s="1868">
        <v>0.71493000000000007</v>
      </c>
      <c r="S352" s="1868">
        <v>0.71292</v>
      </c>
      <c r="T352" s="1868">
        <v>0.76785000000000003</v>
      </c>
      <c r="U352" s="1868">
        <v>0.76388</v>
      </c>
      <c r="V352" s="1868">
        <v>0.77612999999999999</v>
      </c>
      <c r="W352" s="1868">
        <v>0.79913000000000001</v>
      </c>
      <c r="X352" s="1868">
        <v>0.79085000000000005</v>
      </c>
      <c r="Y352" s="1868">
        <v>0.80084</v>
      </c>
      <c r="Z352" s="1868">
        <v>0.83347999999999989</v>
      </c>
      <c r="AA352" s="1868">
        <v>0.91378999999999999</v>
      </c>
      <c r="AB352" s="1868">
        <v>1.06996</v>
      </c>
      <c r="AC352" s="1868">
        <v>1.04548</v>
      </c>
      <c r="AD352" s="1868">
        <v>1.0717700000000001</v>
      </c>
      <c r="AE352" s="1868">
        <v>1.10812</v>
      </c>
      <c r="AF352" s="1868">
        <v>1.1117900000000001</v>
      </c>
      <c r="AG352" s="1868">
        <v>1.1282000000000001</v>
      </c>
      <c r="AH352" s="1868">
        <v>1.13181</v>
      </c>
      <c r="AI352" s="1868">
        <v>1.0927799999999999</v>
      </c>
      <c r="AJ352" s="1868">
        <v>1.1410100000000001</v>
      </c>
      <c r="AK352" s="1868">
        <v>1.1594100000000001</v>
      </c>
      <c r="AL352" s="1868">
        <v>1.15909</v>
      </c>
      <c r="AM352" s="1868">
        <v>1.1856100000000001</v>
      </c>
      <c r="AN352" s="1868">
        <v>1.2199799999999998</v>
      </c>
      <c r="AO352" s="1868">
        <v>1.3217399999999999</v>
      </c>
      <c r="AP352" s="1868">
        <v>1.3078399999999999</v>
      </c>
      <c r="AQ352" s="1868">
        <v>1.2612000000000001</v>
      </c>
      <c r="AR352" s="1868">
        <v>1.2927600000000001</v>
      </c>
      <c r="AS352" s="1868">
        <v>1.30386</v>
      </c>
      <c r="AT352" s="1868">
        <v>1.30352</v>
      </c>
      <c r="AU352" s="1868">
        <v>1.33796</v>
      </c>
      <c r="AV352" s="1868">
        <v>1.36239</v>
      </c>
      <c r="AW352" s="1868">
        <v>1.3523799999999999</v>
      </c>
      <c r="AX352" s="1868">
        <v>1.3677999999999999</v>
      </c>
      <c r="AY352" s="1868">
        <v>1.4189700000000001</v>
      </c>
      <c r="AZ352" s="1868">
        <v>1.4152200000000001</v>
      </c>
      <c r="BA352" s="1868">
        <v>1.44645</v>
      </c>
    </row>
    <row r="353" spans="1:53">
      <c r="A353" s="1865" t="str">
        <f t="shared" si="5"/>
        <v>WorldTobacco, unmanufactured</v>
      </c>
      <c r="B353" s="1866" t="s">
        <v>1414</v>
      </c>
      <c r="C353" s="1866" t="s">
        <v>1347</v>
      </c>
      <c r="D353" s="1868">
        <v>1.05169</v>
      </c>
      <c r="E353" s="1868">
        <v>1.10592</v>
      </c>
      <c r="F353" s="1868">
        <v>1.09398</v>
      </c>
      <c r="G353" s="1868">
        <v>1.2007399999999999</v>
      </c>
      <c r="H353" s="1868">
        <v>1.1481399999999999</v>
      </c>
      <c r="I353" s="1868">
        <v>1.2005999999999999</v>
      </c>
      <c r="J353" s="1868">
        <v>1.2644</v>
      </c>
      <c r="K353" s="1868">
        <v>1.26335</v>
      </c>
      <c r="L353" s="1868">
        <v>1.2143200000000001</v>
      </c>
      <c r="M353" s="1868">
        <v>1.23682</v>
      </c>
      <c r="N353" s="1868">
        <v>1.22882</v>
      </c>
      <c r="O353" s="1868">
        <v>1.2579400000000001</v>
      </c>
      <c r="P353" s="1868">
        <v>1.2651399999999999</v>
      </c>
      <c r="Q353" s="1868">
        <v>1.3474200000000001</v>
      </c>
      <c r="R353" s="1868">
        <v>1.3115299999999999</v>
      </c>
      <c r="S353" s="1868">
        <v>1.3077399999999999</v>
      </c>
      <c r="T353" s="1868">
        <v>1.2575100000000001</v>
      </c>
      <c r="U353" s="1868">
        <v>1.31138</v>
      </c>
      <c r="V353" s="1868">
        <v>1.32674</v>
      </c>
      <c r="W353" s="1868">
        <v>1.3491200000000001</v>
      </c>
      <c r="X353" s="1868">
        <v>1.4521500000000001</v>
      </c>
      <c r="Y353" s="1868">
        <v>1.5301100000000001</v>
      </c>
      <c r="Z353" s="1868">
        <v>1.4095500000000001</v>
      </c>
      <c r="AA353" s="1868">
        <v>1.5588500000000001</v>
      </c>
      <c r="AB353" s="1868">
        <v>1.5014700000000001</v>
      </c>
      <c r="AC353" s="1868">
        <v>1.40581</v>
      </c>
      <c r="AD353" s="1868">
        <v>1.45126</v>
      </c>
      <c r="AE353" s="1868">
        <v>1.5106600000000001</v>
      </c>
      <c r="AF353" s="1868">
        <v>1.47306</v>
      </c>
      <c r="AG353" s="1868">
        <v>1.5362499999999999</v>
      </c>
      <c r="AH353" s="1868">
        <v>1.55131</v>
      </c>
      <c r="AI353" s="1868">
        <v>1.56166</v>
      </c>
      <c r="AJ353" s="1868">
        <v>1.5749899999999999</v>
      </c>
      <c r="AK353" s="1868">
        <v>1.52254</v>
      </c>
      <c r="AL353" s="1868">
        <v>1.51125</v>
      </c>
      <c r="AM353" s="1868">
        <v>1.58196</v>
      </c>
      <c r="AN353" s="1868">
        <v>1.6634500000000001</v>
      </c>
      <c r="AO353" s="1868">
        <v>1.5529899999999999</v>
      </c>
      <c r="AP353" s="1868">
        <v>1.6135299999999999</v>
      </c>
      <c r="AQ353" s="1868">
        <v>1.6040399999999999</v>
      </c>
      <c r="AR353" s="1868">
        <v>1.6026899999999999</v>
      </c>
      <c r="AS353" s="1868">
        <v>1.6616400000000002</v>
      </c>
      <c r="AT353" s="1868">
        <v>1.5871299999999999</v>
      </c>
      <c r="AU353" s="1868">
        <v>1.6878500000000001</v>
      </c>
      <c r="AV353" s="1868">
        <v>1.6996500000000001</v>
      </c>
      <c r="AW353" s="1868">
        <v>1.7172799999999999</v>
      </c>
      <c r="AX353" s="1868">
        <v>1.7223299999999999</v>
      </c>
      <c r="AY353" s="1868">
        <v>1.75604</v>
      </c>
      <c r="AZ353" s="1868">
        <v>1.7949400000000002</v>
      </c>
      <c r="BA353" s="1868">
        <v>1.7873700000000001</v>
      </c>
    </row>
    <row r="354" spans="1:53">
      <c r="A354" s="1865" t="str">
        <f t="shared" si="5"/>
        <v>WorldTomatoes</v>
      </c>
      <c r="B354" s="1866" t="s">
        <v>1414</v>
      </c>
      <c r="C354" s="1866" t="s">
        <v>1406</v>
      </c>
      <c r="D354" s="1868">
        <v>16.43459</v>
      </c>
      <c r="E354" s="1868">
        <v>16.975989999999999</v>
      </c>
      <c r="F354" s="1868">
        <v>16.734479999999998</v>
      </c>
      <c r="G354" s="1868">
        <v>17.46819</v>
      </c>
      <c r="H354" s="1868">
        <v>18.143329999999999</v>
      </c>
      <c r="I354" s="1868">
        <v>18.299900000000001</v>
      </c>
      <c r="J354" s="1868">
        <v>18.771840000000001</v>
      </c>
      <c r="K354" s="1868">
        <v>19.287879999999998</v>
      </c>
      <c r="L354" s="1868">
        <v>18.877589999999998</v>
      </c>
      <c r="M354" s="1868">
        <v>19.32694</v>
      </c>
      <c r="N354" s="1868">
        <v>19.871700000000001</v>
      </c>
      <c r="O354" s="1868">
        <v>19.488889999999998</v>
      </c>
      <c r="P354" s="1868">
        <v>20.36994</v>
      </c>
      <c r="Q354" s="1868">
        <v>20.9832</v>
      </c>
      <c r="R354" s="1868">
        <v>21.305529999999997</v>
      </c>
      <c r="S354" s="1868">
        <v>20.595459999999999</v>
      </c>
      <c r="T354" s="1868">
        <v>20.669029999999999</v>
      </c>
      <c r="U354" s="1868">
        <v>21.633140000000001</v>
      </c>
      <c r="V354" s="1868">
        <v>22.378160000000001</v>
      </c>
      <c r="W354" s="1868">
        <v>21.547829999999998</v>
      </c>
      <c r="X354" s="1868">
        <v>21.937560000000001</v>
      </c>
      <c r="Y354" s="1868">
        <v>22.884060000000002</v>
      </c>
      <c r="Z354" s="1868">
        <v>23.16723</v>
      </c>
      <c r="AA354" s="1868">
        <v>24.22401</v>
      </c>
      <c r="AB354" s="1868">
        <v>24.064360000000001</v>
      </c>
      <c r="AC354" s="1868">
        <v>24.308310000000002</v>
      </c>
      <c r="AD354" s="1868">
        <v>23.849589999999999</v>
      </c>
      <c r="AE354" s="1868">
        <v>23.932010000000002</v>
      </c>
      <c r="AF354" s="1868">
        <v>24.552949999999999</v>
      </c>
      <c r="AG354" s="1868">
        <v>26.29983</v>
      </c>
      <c r="AH354" s="1868">
        <v>26.620529999999999</v>
      </c>
      <c r="AI354" s="1868">
        <v>25.520900000000001</v>
      </c>
      <c r="AJ354" s="1868">
        <v>25.794039999999999</v>
      </c>
      <c r="AK354" s="1868">
        <v>26.421090000000003</v>
      </c>
      <c r="AL354" s="1868">
        <v>26.703879999999998</v>
      </c>
      <c r="AM354" s="1868">
        <v>27.38945</v>
      </c>
      <c r="AN354" s="1868">
        <v>26.384759999999996</v>
      </c>
      <c r="AO354" s="1868">
        <v>26.076339999999998</v>
      </c>
      <c r="AP354" s="1868">
        <v>27.389299999999999</v>
      </c>
      <c r="AQ354" s="1868">
        <v>27.307879999999997</v>
      </c>
      <c r="AR354" s="1868">
        <v>27.060090000000002</v>
      </c>
      <c r="AS354" s="1868">
        <v>27.995429999999999</v>
      </c>
      <c r="AT354" s="1868">
        <v>28.4117</v>
      </c>
      <c r="AU354" s="1868">
        <v>28.493770000000001</v>
      </c>
      <c r="AV354" s="1868">
        <v>27.961449999999999</v>
      </c>
      <c r="AW354" s="1868">
        <v>28.03762</v>
      </c>
      <c r="AX354" s="1868">
        <v>32.76361</v>
      </c>
      <c r="AY354" s="1868">
        <v>33.245699999999999</v>
      </c>
      <c r="AZ354" s="1868">
        <v>34.68</v>
      </c>
      <c r="BA354" s="1868">
        <v>33.592320000000001</v>
      </c>
    </row>
    <row r="355" spans="1:53">
      <c r="A355" s="1865" t="str">
        <f t="shared" si="5"/>
        <v>WorldTriticale</v>
      </c>
      <c r="B355" s="1866" t="s">
        <v>1414</v>
      </c>
      <c r="C355" s="1866" t="s">
        <v>1361</v>
      </c>
      <c r="R355" s="1868">
        <v>2.5695900000000003</v>
      </c>
      <c r="S355" s="1868">
        <v>3.1500699999999999</v>
      </c>
      <c r="T355" s="1868">
        <v>2.62323</v>
      </c>
      <c r="U355" s="1868">
        <v>2.5838299999999998</v>
      </c>
      <c r="V355" s="1868">
        <v>2.6480799999999998</v>
      </c>
      <c r="W355" s="1868">
        <v>1.8305900000000002</v>
      </c>
      <c r="X355" s="1868">
        <v>1.4829000000000001</v>
      </c>
      <c r="Y355" s="1868">
        <v>0.91169999999999995</v>
      </c>
      <c r="Z355" s="1868">
        <v>1.6107899999999999</v>
      </c>
      <c r="AA355" s="1868">
        <v>2.0189400000000002</v>
      </c>
      <c r="AB355" s="1868">
        <v>2.5751499999999998</v>
      </c>
      <c r="AC355" s="1868">
        <v>2.5083299999999999</v>
      </c>
      <c r="AD355" s="1868">
        <v>3.0535799999999997</v>
      </c>
      <c r="AE355" s="1868">
        <v>3.0797400000000001</v>
      </c>
      <c r="AF355" s="1868">
        <v>3.5211099999999997</v>
      </c>
      <c r="AG355" s="1868">
        <v>3.5653599999999996</v>
      </c>
      <c r="AH355" s="1868">
        <v>3.6019699999999997</v>
      </c>
      <c r="AI355" s="1868">
        <v>3.1973199999999999</v>
      </c>
      <c r="AJ355" s="1868">
        <v>3.3779499999999998</v>
      </c>
      <c r="AK355" s="1868">
        <v>3.2740200000000002</v>
      </c>
      <c r="AL355" s="1868">
        <v>3.6623099999999997</v>
      </c>
      <c r="AM355" s="1868">
        <v>3.54379</v>
      </c>
      <c r="AN355" s="1868">
        <v>3.8114499999999998</v>
      </c>
      <c r="AO355" s="1868">
        <v>3.7999900000000002</v>
      </c>
      <c r="AP355" s="1868">
        <v>3.7103800000000002</v>
      </c>
      <c r="AQ355" s="1868">
        <v>3.6536</v>
      </c>
      <c r="AR355" s="1868">
        <v>3.7831800000000002</v>
      </c>
      <c r="AS355" s="1868">
        <v>3.52826</v>
      </c>
      <c r="AT355" s="1868">
        <v>3.2065200000000003</v>
      </c>
      <c r="AU355" s="1868">
        <v>3.9356400000000002</v>
      </c>
      <c r="AV355" s="1868">
        <v>3.53165</v>
      </c>
      <c r="AW355" s="1868">
        <v>2.9712200000000002</v>
      </c>
      <c r="AX355" s="1868">
        <v>3.3318400000000001</v>
      </c>
      <c r="AY355" s="1868">
        <v>3.6537999999999999</v>
      </c>
      <c r="AZ355" s="1868">
        <v>3.6566199999999998</v>
      </c>
      <c r="BA355" s="1868">
        <v>3.3540400000000004</v>
      </c>
    </row>
    <row r="356" spans="1:53">
      <c r="A356" s="1865" t="str">
        <f t="shared" si="5"/>
        <v>WorldVegetables fresh nes</v>
      </c>
      <c r="B356" s="1866" t="s">
        <v>1414</v>
      </c>
      <c r="C356" s="1866" t="s">
        <v>1407</v>
      </c>
      <c r="D356" s="1868">
        <v>8.41906</v>
      </c>
      <c r="E356" s="1868">
        <v>8.2882899999999999</v>
      </c>
      <c r="F356" s="1868">
        <v>8.4972200000000004</v>
      </c>
      <c r="G356" s="1868">
        <v>8.7396799999999999</v>
      </c>
      <c r="H356" s="1868">
        <v>8.7481000000000009</v>
      </c>
      <c r="I356" s="1868">
        <v>8.9042300000000001</v>
      </c>
      <c r="J356" s="1868">
        <v>9.1151499999999999</v>
      </c>
      <c r="K356" s="1868">
        <v>9.294319999999999</v>
      </c>
      <c r="L356" s="1868">
        <v>9.3791600000000006</v>
      </c>
      <c r="M356" s="1868">
        <v>9.1989099999999997</v>
      </c>
      <c r="N356" s="1868">
        <v>9.6614599999999999</v>
      </c>
      <c r="O356" s="1868">
        <v>9.5081199999999999</v>
      </c>
      <c r="P356" s="1868">
        <v>9.7237299999999998</v>
      </c>
      <c r="Q356" s="1868">
        <v>9.7925599999999999</v>
      </c>
      <c r="R356" s="1868">
        <v>9.8841699999999992</v>
      </c>
      <c r="S356" s="1868">
        <v>10.152979999999999</v>
      </c>
      <c r="T356" s="1868">
        <v>10.459210000000001</v>
      </c>
      <c r="U356" s="1868">
        <v>10.541930000000001</v>
      </c>
      <c r="V356" s="1868">
        <v>10.700460000000001</v>
      </c>
      <c r="W356" s="1868">
        <v>10.611419999999999</v>
      </c>
      <c r="X356" s="1868">
        <v>11.08825</v>
      </c>
      <c r="Y356" s="1868">
        <v>11.2179</v>
      </c>
      <c r="Z356" s="1868">
        <v>11.772180000000001</v>
      </c>
      <c r="AA356" s="1868">
        <v>12.506219999999999</v>
      </c>
      <c r="AB356" s="1868">
        <v>11.870039999999999</v>
      </c>
      <c r="AC356" s="1868">
        <v>12.89526</v>
      </c>
      <c r="AD356" s="1868">
        <v>12.786960000000001</v>
      </c>
      <c r="AE356" s="1868">
        <v>13.258410000000001</v>
      </c>
      <c r="AF356" s="1868">
        <v>13.1614</v>
      </c>
      <c r="AG356" s="1868">
        <v>13.488879999999998</v>
      </c>
      <c r="AH356" s="1868">
        <v>13.059760000000001</v>
      </c>
      <c r="AI356" s="1868">
        <v>13.87715</v>
      </c>
      <c r="AJ356" s="1868">
        <v>13.893220000000001</v>
      </c>
      <c r="AK356" s="1868">
        <v>14.203110000000001</v>
      </c>
      <c r="AL356" s="1868">
        <v>13.459199999999999</v>
      </c>
      <c r="AM356" s="1868">
        <v>14.003450000000001</v>
      </c>
      <c r="AN356" s="1868">
        <v>13.596539999999999</v>
      </c>
      <c r="AO356" s="1868">
        <v>13.680479999999999</v>
      </c>
      <c r="AP356" s="1868">
        <v>13.70825</v>
      </c>
      <c r="AQ356" s="1868">
        <v>14.684270000000001</v>
      </c>
      <c r="AR356" s="1868">
        <v>14.933620000000001</v>
      </c>
      <c r="AS356" s="1868">
        <v>14.546139999999999</v>
      </c>
      <c r="AT356" s="1868">
        <v>13.99649</v>
      </c>
      <c r="AU356" s="1868">
        <v>14.009370000000001</v>
      </c>
      <c r="AV356" s="1868">
        <v>14.010710000000001</v>
      </c>
      <c r="AW356" s="1868">
        <v>14.168920000000002</v>
      </c>
      <c r="AX356" s="1868">
        <v>14.219929999999998</v>
      </c>
      <c r="AY356" s="1868">
        <v>14.1645</v>
      </c>
      <c r="AZ356" s="1868">
        <v>13.866539999999999</v>
      </c>
      <c r="BA356" s="1868">
        <v>13.28576</v>
      </c>
    </row>
    <row r="357" spans="1:53">
      <c r="A357" s="1865" t="str">
        <f t="shared" si="5"/>
        <v>WorldVetches</v>
      </c>
      <c r="B357" s="1866" t="s">
        <v>1414</v>
      </c>
      <c r="C357" s="1866" t="s">
        <v>1408</v>
      </c>
      <c r="D357" s="1868">
        <v>0.86155000000000004</v>
      </c>
      <c r="E357" s="1868">
        <v>0.91866000000000003</v>
      </c>
      <c r="F357" s="1868">
        <v>0.70716999999999997</v>
      </c>
      <c r="G357" s="1868">
        <v>1.07762</v>
      </c>
      <c r="H357" s="1868">
        <v>0.93615000000000004</v>
      </c>
      <c r="I357" s="1868">
        <v>1.02349</v>
      </c>
      <c r="J357" s="1868">
        <v>1.1638600000000001</v>
      </c>
      <c r="K357" s="1868">
        <v>1.21353</v>
      </c>
      <c r="L357" s="1868">
        <v>1.31559</v>
      </c>
      <c r="M357" s="1868">
        <v>1.3557299999999999</v>
      </c>
      <c r="N357" s="1868">
        <v>1.2467900000000001</v>
      </c>
      <c r="O357" s="1868">
        <v>1.09036</v>
      </c>
      <c r="P357" s="1868">
        <v>1.14859</v>
      </c>
      <c r="Q357" s="1868">
        <v>1.23769</v>
      </c>
      <c r="R357" s="1868">
        <v>0.80705000000000005</v>
      </c>
      <c r="S357" s="1868">
        <v>1.23119</v>
      </c>
      <c r="T357" s="1868">
        <v>1.19028</v>
      </c>
      <c r="U357" s="1868">
        <v>0.89322999999999997</v>
      </c>
      <c r="V357" s="1868">
        <v>0.90017000000000003</v>
      </c>
      <c r="W357" s="1868">
        <v>1.17547</v>
      </c>
      <c r="X357" s="1868">
        <v>0.95157999999999998</v>
      </c>
      <c r="Y357" s="1868">
        <v>1.2061200000000001</v>
      </c>
      <c r="Z357" s="1868">
        <v>1.38917</v>
      </c>
      <c r="AA357" s="1868">
        <v>1.20865</v>
      </c>
      <c r="AB357" s="1868">
        <v>1.3505200000000002</v>
      </c>
      <c r="AC357" s="1868">
        <v>1.2136799999999999</v>
      </c>
      <c r="AD357" s="1868">
        <v>1.21122</v>
      </c>
      <c r="AE357" s="1868">
        <v>1.1928000000000001</v>
      </c>
      <c r="AF357" s="1868">
        <v>1.1709499999999999</v>
      </c>
      <c r="AG357" s="1868">
        <v>1.21044</v>
      </c>
      <c r="AH357" s="1868">
        <v>1.06158</v>
      </c>
      <c r="AI357" s="1868">
        <v>1.1271500000000001</v>
      </c>
      <c r="AJ357" s="1868">
        <v>1.1467499999999999</v>
      </c>
      <c r="AK357" s="1868">
        <v>1.11869</v>
      </c>
      <c r="AL357" s="1868">
        <v>0.88852999999999993</v>
      </c>
      <c r="AM357" s="1868">
        <v>0.97498999999999991</v>
      </c>
      <c r="AN357" s="1868">
        <v>1.0965100000000001</v>
      </c>
      <c r="AO357" s="1868">
        <v>0.84014999999999995</v>
      </c>
      <c r="AP357" s="1868">
        <v>0.84896000000000005</v>
      </c>
      <c r="AQ357" s="1868">
        <v>1.08219</v>
      </c>
      <c r="AR357" s="1868">
        <v>1.21991</v>
      </c>
      <c r="AS357" s="1868">
        <v>1.25915</v>
      </c>
      <c r="AT357" s="1868">
        <v>1.1992</v>
      </c>
      <c r="AU357" s="1868">
        <v>1.42753</v>
      </c>
      <c r="AV357" s="1868">
        <v>1.2816399999999999</v>
      </c>
      <c r="AW357" s="1868">
        <v>1.5010299999999999</v>
      </c>
      <c r="AX357" s="1868">
        <v>1.5023299999999999</v>
      </c>
      <c r="AY357" s="1868">
        <v>1.5108200000000001</v>
      </c>
      <c r="AZ357" s="1868">
        <v>1.46759</v>
      </c>
      <c r="BA357" s="1868">
        <v>1.3962600000000001</v>
      </c>
    </row>
    <row r="358" spans="1:53">
      <c r="A358" s="1865" t="str">
        <f t="shared" si="5"/>
        <v>WorldWheat</v>
      </c>
      <c r="B358" s="1866" t="s">
        <v>1414</v>
      </c>
      <c r="C358" s="1866" t="s">
        <v>1409</v>
      </c>
      <c r="D358" s="1868">
        <v>1.08887</v>
      </c>
      <c r="E358" s="1868">
        <v>1.2060500000000001</v>
      </c>
      <c r="F358" s="1868">
        <v>1.1319999999999999</v>
      </c>
      <c r="G358" s="1868">
        <v>1.2413100000000001</v>
      </c>
      <c r="H358" s="1868">
        <v>1.2150700000000001</v>
      </c>
      <c r="I358" s="1868">
        <v>1.4079299999999999</v>
      </c>
      <c r="J358" s="1868">
        <v>1.3392299999999999</v>
      </c>
      <c r="K358" s="1868">
        <v>1.4534499999999999</v>
      </c>
      <c r="L358" s="1868">
        <v>1.4174100000000001</v>
      </c>
      <c r="M358" s="1868">
        <v>1.4941</v>
      </c>
      <c r="N358" s="1868">
        <v>1.62453</v>
      </c>
      <c r="O358" s="1868">
        <v>1.60459</v>
      </c>
      <c r="P358" s="1868">
        <v>1.6835799999999999</v>
      </c>
      <c r="Q358" s="1868">
        <v>1.6154700000000002</v>
      </c>
      <c r="R358" s="1868">
        <v>1.5700799999999999</v>
      </c>
      <c r="S358" s="1868">
        <v>1.7911099999999998</v>
      </c>
      <c r="T358" s="1868">
        <v>1.67241</v>
      </c>
      <c r="U358" s="1868">
        <v>1.9328299999999998</v>
      </c>
      <c r="V358" s="1868">
        <v>1.8521599999999998</v>
      </c>
      <c r="W358" s="1868">
        <v>1.8553599999999999</v>
      </c>
      <c r="X358" s="1868">
        <v>1.88001</v>
      </c>
      <c r="Y358" s="1868">
        <v>1.9992000000000001</v>
      </c>
      <c r="Z358" s="1868">
        <v>2.12581</v>
      </c>
      <c r="AA358" s="1868">
        <v>2.2200799999999998</v>
      </c>
      <c r="AB358" s="1868">
        <v>2.1718599999999997</v>
      </c>
      <c r="AC358" s="1868">
        <v>2.3213200000000001</v>
      </c>
      <c r="AD358" s="1868">
        <v>2.2900200000000002</v>
      </c>
      <c r="AE358" s="1868">
        <v>2.2926199999999999</v>
      </c>
      <c r="AF358" s="1868">
        <v>2.3731800000000001</v>
      </c>
      <c r="AG358" s="1868">
        <v>2.5611999999999999</v>
      </c>
      <c r="AH358" s="1868">
        <v>2.4485399999999999</v>
      </c>
      <c r="AI358" s="1868">
        <v>2.5407999999999999</v>
      </c>
      <c r="AJ358" s="1868">
        <v>2.5318800000000001</v>
      </c>
      <c r="AK358" s="1868">
        <v>2.4500000000000002</v>
      </c>
      <c r="AL358" s="1868">
        <v>2.51017</v>
      </c>
      <c r="AM358" s="1868">
        <v>2.5795300000000001</v>
      </c>
      <c r="AN358" s="1868">
        <v>2.71082</v>
      </c>
      <c r="AO358" s="1868">
        <v>2.6965300000000001</v>
      </c>
      <c r="AP358" s="1868">
        <v>2.7544</v>
      </c>
      <c r="AQ358" s="1868">
        <v>2.71862</v>
      </c>
      <c r="AR358" s="1868">
        <v>2.74838</v>
      </c>
      <c r="AS358" s="1868">
        <v>2.68804</v>
      </c>
      <c r="AT358" s="1868">
        <v>2.6968299999999998</v>
      </c>
      <c r="AU358" s="1868">
        <v>2.9166799999999999</v>
      </c>
      <c r="AV358" s="1868">
        <v>2.8527299999999998</v>
      </c>
      <c r="AW358" s="1868">
        <v>2.8460400000000003</v>
      </c>
      <c r="AX358" s="1868">
        <v>2.82694</v>
      </c>
      <c r="AY358" s="1868">
        <v>3.0666599999999997</v>
      </c>
      <c r="AZ358" s="1868">
        <v>3.0552599999999996</v>
      </c>
      <c r="BA358" s="1868">
        <v>2.9998</v>
      </c>
    </row>
    <row r="359" spans="1:53">
      <c r="A359" s="1865" t="str">
        <f t="shared" si="5"/>
        <v>WorldCereals (Rice Milled Eqv</v>
      </c>
      <c r="B359" s="1866" t="s">
        <v>1414</v>
      </c>
      <c r="C359" s="1866" t="s">
        <v>1410</v>
      </c>
      <c r="D359" s="1868">
        <v>1.24251</v>
      </c>
      <c r="E359" s="1868">
        <v>1.3123</v>
      </c>
      <c r="F359" s="1868">
        <v>1.31535</v>
      </c>
      <c r="G359" s="1868">
        <v>1.36337</v>
      </c>
      <c r="H359" s="1868">
        <v>1.37001</v>
      </c>
      <c r="I359" s="1868">
        <v>1.4804899999999999</v>
      </c>
      <c r="J359" s="1868">
        <v>1.5176799999999999</v>
      </c>
      <c r="K359" s="1868">
        <v>1.55613</v>
      </c>
      <c r="L359" s="1868">
        <v>1.56528</v>
      </c>
      <c r="M359" s="1868">
        <v>1.60955</v>
      </c>
      <c r="N359" s="1868">
        <v>1.7382500000000001</v>
      </c>
      <c r="O359" s="1868">
        <v>1.7071900000000002</v>
      </c>
      <c r="P359" s="1868">
        <v>1.7811700000000001</v>
      </c>
      <c r="Q359" s="1868">
        <v>1.7349000000000001</v>
      </c>
      <c r="R359" s="1868">
        <v>1.7454400000000001</v>
      </c>
      <c r="S359" s="1868">
        <v>1.8658999999999999</v>
      </c>
      <c r="T359" s="1868">
        <v>1.8542799999999999</v>
      </c>
      <c r="U359" s="1868">
        <v>2.0333200000000002</v>
      </c>
      <c r="V359" s="1868">
        <v>1.99935</v>
      </c>
      <c r="W359" s="1868">
        <v>1.9769099999999999</v>
      </c>
      <c r="X359" s="1868">
        <v>2.0590200000000003</v>
      </c>
      <c r="Y359" s="1868">
        <v>2.1726299999999998</v>
      </c>
      <c r="Z359" s="1868">
        <v>2.0969099999999998</v>
      </c>
      <c r="AA359" s="1868">
        <v>2.2823700000000002</v>
      </c>
      <c r="AB359" s="1868">
        <v>2.31236</v>
      </c>
      <c r="AC359" s="1868">
        <v>2.3390900000000001</v>
      </c>
      <c r="AD359" s="1868">
        <v>2.3194300000000001</v>
      </c>
      <c r="AE359" s="1868">
        <v>2.2288200000000002</v>
      </c>
      <c r="AF359" s="1868">
        <v>2.3883799999999997</v>
      </c>
      <c r="AG359" s="1868">
        <v>2.5120200000000001</v>
      </c>
      <c r="AH359" s="1868">
        <v>2.4390000000000001</v>
      </c>
      <c r="AI359" s="1868">
        <v>2.5350000000000001</v>
      </c>
      <c r="AJ359" s="1868">
        <v>2.47824</v>
      </c>
      <c r="AK359" s="1868">
        <v>2.5558799999999997</v>
      </c>
      <c r="AL359" s="1868">
        <v>2.4977800000000001</v>
      </c>
      <c r="AM359" s="1868">
        <v>2.6741200000000003</v>
      </c>
      <c r="AN359" s="1868">
        <v>2.7192500000000002</v>
      </c>
      <c r="AO359" s="1868">
        <v>2.7793600000000001</v>
      </c>
      <c r="AP359" s="1868">
        <v>2.8054299999999999</v>
      </c>
      <c r="AQ359" s="1868">
        <v>2.7658200000000002</v>
      </c>
      <c r="AR359" s="1868">
        <v>2.8389199999999999</v>
      </c>
      <c r="AS359" s="1868">
        <v>2.7915299999999998</v>
      </c>
      <c r="AT359" s="1868">
        <v>2.8251900000000001</v>
      </c>
      <c r="AU359" s="1868">
        <v>3.06203</v>
      </c>
      <c r="AV359" s="1868">
        <v>2.98075</v>
      </c>
      <c r="AW359" s="1868">
        <v>2.97289</v>
      </c>
      <c r="AX359" s="1868">
        <v>3.0666199999999999</v>
      </c>
      <c r="AY359" s="1868">
        <v>3.2311400000000003</v>
      </c>
      <c r="AZ359" s="1868">
        <v>3.2418999999999998</v>
      </c>
      <c r="BA359" s="1868">
        <v>3.2356500000000001</v>
      </c>
    </row>
    <row r="360" spans="1:53">
      <c r="A360" s="1865" t="str">
        <f t="shared" si="5"/>
        <v>Australia &amp; New ZealandBananas</v>
      </c>
      <c r="B360" s="1866" t="s">
        <v>1357</v>
      </c>
      <c r="C360" s="1866" t="s">
        <v>1362</v>
      </c>
      <c r="D360" s="1868">
        <v>11.96397</v>
      </c>
      <c r="E360" s="1868">
        <v>11.96397</v>
      </c>
      <c r="F360" s="1868">
        <v>11.188130000000001</v>
      </c>
      <c r="G360" s="1868">
        <v>12.468970000000001</v>
      </c>
      <c r="H360" s="1868">
        <v>13.043200000000001</v>
      </c>
      <c r="I360" s="1868">
        <v>12.670389999999999</v>
      </c>
      <c r="J360" s="1868">
        <v>13.63406</v>
      </c>
      <c r="K360" s="1868">
        <v>13.971349999999999</v>
      </c>
      <c r="L360" s="1868">
        <v>13.268579999999998</v>
      </c>
      <c r="M360" s="1868">
        <v>13.913910000000001</v>
      </c>
      <c r="N360" s="1868">
        <v>14.0913</v>
      </c>
      <c r="O360" s="1868">
        <v>14.161289999999999</v>
      </c>
      <c r="P360" s="1868">
        <v>12.172700000000001</v>
      </c>
      <c r="Q360" s="1868">
        <v>13.101800000000001</v>
      </c>
      <c r="R360" s="1868">
        <v>13.720739999999999</v>
      </c>
      <c r="S360" s="1868">
        <v>15.01571</v>
      </c>
      <c r="T360" s="1868">
        <v>17.227429999999998</v>
      </c>
      <c r="U360" s="1868">
        <v>15.908910000000001</v>
      </c>
      <c r="V360" s="1868">
        <v>16.44839</v>
      </c>
      <c r="W360" s="1868">
        <v>17.600650000000002</v>
      </c>
      <c r="X360" s="1868">
        <v>16.354199999999999</v>
      </c>
      <c r="Y360" s="1868">
        <v>17.115570000000002</v>
      </c>
      <c r="Z360" s="1868">
        <v>17.90936</v>
      </c>
      <c r="AA360" s="1868">
        <v>18.012429999999998</v>
      </c>
      <c r="AB360" s="1868">
        <v>18.484929999999999</v>
      </c>
      <c r="AC360" s="1868">
        <v>17.33268</v>
      </c>
      <c r="AD360" s="1868">
        <v>20.301200000000001</v>
      </c>
      <c r="AE360" s="1868">
        <v>20.094989999999999</v>
      </c>
      <c r="AF360" s="1868">
        <v>24.652060000000002</v>
      </c>
      <c r="AG360" s="1868">
        <v>22.752400000000002</v>
      </c>
      <c r="AH360" s="1868">
        <v>20.730599999999999</v>
      </c>
      <c r="AI360" s="1868">
        <v>21.682310000000001</v>
      </c>
      <c r="AJ360" s="1868">
        <v>24.712109999999999</v>
      </c>
      <c r="AK360" s="1868">
        <v>25.03678</v>
      </c>
      <c r="AL360" s="1868">
        <v>25.13006</v>
      </c>
      <c r="AM360" s="1868">
        <v>24.743839999999999</v>
      </c>
      <c r="AN360" s="1868">
        <v>20.81354</v>
      </c>
      <c r="AO360" s="1868">
        <v>21.278579999999998</v>
      </c>
      <c r="AP360" s="1868">
        <v>19.742829999999998</v>
      </c>
      <c r="AQ360" s="1868">
        <v>19.117820000000002</v>
      </c>
      <c r="AR360" s="1868">
        <v>30.534890000000001</v>
      </c>
      <c r="AS360" s="1868">
        <v>24.899789999999999</v>
      </c>
      <c r="AT360" s="1868">
        <v>24.840229999999998</v>
      </c>
      <c r="AU360" s="1868">
        <v>23.684470000000001</v>
      </c>
      <c r="AV360" s="1868">
        <v>25.631699999999999</v>
      </c>
      <c r="AW360" s="1868">
        <v>16.778649999999999</v>
      </c>
      <c r="AX360" s="1868">
        <v>18.280999999999999</v>
      </c>
      <c r="AY360" s="1868">
        <v>21.01502</v>
      </c>
      <c r="AZ360" s="1868">
        <v>22.547779999999999</v>
      </c>
      <c r="BA360" s="1868">
        <v>26.17803</v>
      </c>
    </row>
    <row r="361" spans="1:53">
      <c r="A361" s="1865" t="str">
        <f t="shared" si="5"/>
        <v>Australia &amp; New ZealandBarley</v>
      </c>
      <c r="B361" s="1866" t="s">
        <v>1357</v>
      </c>
      <c r="C361" s="1866" t="s">
        <v>1363</v>
      </c>
      <c r="D361" s="1868">
        <v>1.0279700000000001</v>
      </c>
      <c r="E361" s="1868">
        <v>1.1487700000000001</v>
      </c>
      <c r="F361" s="1868">
        <v>1.2697700000000001</v>
      </c>
      <c r="G361" s="1868">
        <v>1.43069</v>
      </c>
      <c r="H361" s="1868">
        <v>1.09293</v>
      </c>
      <c r="I361" s="1868">
        <v>1.44615</v>
      </c>
      <c r="J361" s="1868">
        <v>0.88534000000000002</v>
      </c>
      <c r="K361" s="1868">
        <v>1.3290600000000001</v>
      </c>
      <c r="L361" s="1868">
        <v>1.2186999999999999</v>
      </c>
      <c r="M361" s="1868">
        <v>1.2282500000000001</v>
      </c>
      <c r="N361" s="1868">
        <v>1.2703799999999998</v>
      </c>
      <c r="O361" s="1868">
        <v>0.92232999999999987</v>
      </c>
      <c r="P361" s="1868">
        <v>1.3627899999999999</v>
      </c>
      <c r="Q361" s="1868">
        <v>1.4412</v>
      </c>
      <c r="R361" s="1868">
        <v>1.41438</v>
      </c>
      <c r="S361" s="1868">
        <v>1.30209</v>
      </c>
      <c r="T361" s="1868">
        <v>0.92301</v>
      </c>
      <c r="U361" s="1868">
        <v>1.49332</v>
      </c>
      <c r="V361" s="1868">
        <v>1.5497000000000001</v>
      </c>
      <c r="W361" s="1868">
        <v>1.1560600000000001</v>
      </c>
      <c r="X361" s="1868">
        <v>1.3520799999999999</v>
      </c>
      <c r="Y361" s="1868">
        <v>0.90341000000000005</v>
      </c>
      <c r="Z361" s="1868">
        <v>1.6412</v>
      </c>
      <c r="AA361" s="1868">
        <v>1.6811499999999999</v>
      </c>
      <c r="AB361" s="1868">
        <v>1.60615</v>
      </c>
      <c r="AC361" s="1868">
        <v>1.7011900000000002</v>
      </c>
      <c r="AD361" s="1868">
        <v>1.56115</v>
      </c>
      <c r="AE361" s="1868">
        <v>1.5844400000000001</v>
      </c>
      <c r="AF361" s="1868">
        <v>1.82595</v>
      </c>
      <c r="AG361" s="1868">
        <v>1.7857599999999998</v>
      </c>
      <c r="AH361" s="1868">
        <v>1.7984200000000001</v>
      </c>
      <c r="AI361" s="1868">
        <v>1.89733</v>
      </c>
      <c r="AJ361" s="1868">
        <v>2.0154200000000002</v>
      </c>
      <c r="AK361" s="1868">
        <v>1.3000799999999999</v>
      </c>
      <c r="AL361" s="1868">
        <v>1.9281999999999999</v>
      </c>
      <c r="AM361" s="1868">
        <v>2.0525099999999998</v>
      </c>
      <c r="AN361" s="1868">
        <v>1.9159999999999999</v>
      </c>
      <c r="AO361" s="1868">
        <v>1.9613099999999999</v>
      </c>
      <c r="AP361" s="1868">
        <v>2.0217000000000001</v>
      </c>
      <c r="AQ361" s="1868">
        <v>2.0079799999999999</v>
      </c>
      <c r="AR361" s="1868">
        <v>2.2887400000000002</v>
      </c>
      <c r="AS361" s="1868">
        <v>1.0922799999999999</v>
      </c>
      <c r="AT361" s="1868">
        <v>2.3692299999999999</v>
      </c>
      <c r="AU361" s="1868">
        <v>1.7128099999999999</v>
      </c>
      <c r="AV361" s="1868">
        <v>2.1960099999999998</v>
      </c>
      <c r="AW361" s="1868">
        <v>1.07212</v>
      </c>
      <c r="AX361" s="1868">
        <v>1.5173299999999998</v>
      </c>
      <c r="AY361" s="1868">
        <v>1.65378</v>
      </c>
      <c r="AZ361" s="1868">
        <v>1.8445799999999999</v>
      </c>
      <c r="BA361" s="1868">
        <v>1.8361499999999999</v>
      </c>
    </row>
    <row r="362" spans="1:53">
      <c r="A362" s="1865" t="str">
        <f t="shared" si="5"/>
        <v>Australia &amp; New ZealandBeans, dry</v>
      </c>
      <c r="B362" s="1866" t="s">
        <v>1357</v>
      </c>
      <c r="C362" s="1866" t="s">
        <v>1364</v>
      </c>
      <c r="D362" s="1868">
        <v>0.55252999999999997</v>
      </c>
      <c r="E362" s="1868">
        <v>1.10012</v>
      </c>
      <c r="F362" s="1868">
        <v>0.51507999999999998</v>
      </c>
      <c r="G362" s="1868">
        <v>0.59389999999999998</v>
      </c>
      <c r="H362" s="1868">
        <v>0.20264000000000001</v>
      </c>
      <c r="I362" s="1868">
        <v>0.46861000000000003</v>
      </c>
      <c r="J362" s="1868">
        <v>0.60461000000000009</v>
      </c>
      <c r="K362" s="1868">
        <v>0.20873000000000003</v>
      </c>
      <c r="L362" s="1868">
        <v>0.48063</v>
      </c>
      <c r="M362" s="1868">
        <v>0.24139000000000002</v>
      </c>
      <c r="N362" s="1868">
        <v>0.77317999999999998</v>
      </c>
      <c r="O362" s="1868">
        <v>0.18905</v>
      </c>
      <c r="P362" s="1868">
        <v>0.56135000000000002</v>
      </c>
      <c r="Q362" s="1868">
        <v>0.87585000000000002</v>
      </c>
      <c r="R362" s="1868">
        <v>0.79874000000000001</v>
      </c>
      <c r="S362" s="1868">
        <v>0.72191000000000005</v>
      </c>
      <c r="T362" s="1868">
        <v>0.79373000000000005</v>
      </c>
      <c r="U362" s="1868">
        <v>1.03888</v>
      </c>
      <c r="V362" s="1868">
        <v>0.35722999999999999</v>
      </c>
      <c r="W362" s="1868">
        <v>0.64937</v>
      </c>
      <c r="X362" s="1868">
        <v>1.0096700000000001</v>
      </c>
      <c r="Y362" s="1868">
        <v>0.22714999999999999</v>
      </c>
      <c r="Z362" s="1868">
        <v>0.65581999999999996</v>
      </c>
      <c r="AA362" s="1868">
        <v>0.62231000000000003</v>
      </c>
      <c r="AB362" s="1868">
        <v>0.46134999999999998</v>
      </c>
      <c r="AC362" s="1868">
        <v>0.41236000000000006</v>
      </c>
      <c r="AD362" s="1868">
        <v>0.59009</v>
      </c>
      <c r="AE362" s="1868">
        <v>0.54064999999999996</v>
      </c>
      <c r="AF362" s="1868">
        <v>0.58461000000000007</v>
      </c>
      <c r="AG362" s="1868">
        <v>0.56110000000000004</v>
      </c>
      <c r="AH362" s="1868">
        <v>0.69423000000000001</v>
      </c>
      <c r="AI362" s="1868">
        <v>0.5</v>
      </c>
      <c r="AJ362" s="1868">
        <v>1.1474799999999998</v>
      </c>
      <c r="AK362" s="1868">
        <v>0.53805999999999998</v>
      </c>
      <c r="AL362" s="1868">
        <v>0.56447999999999998</v>
      </c>
      <c r="AM362" s="1868">
        <v>0.94497000000000009</v>
      </c>
      <c r="AN362" s="1868">
        <v>0.84091000000000005</v>
      </c>
      <c r="AO362" s="1868">
        <v>0.98147999999999991</v>
      </c>
      <c r="AP362" s="1868">
        <v>0.90385000000000004</v>
      </c>
      <c r="AQ362" s="1868">
        <v>1.1153899999999999</v>
      </c>
      <c r="AR362" s="1868">
        <v>1.05932</v>
      </c>
      <c r="AS362" s="1868">
        <v>0.79226000000000008</v>
      </c>
      <c r="AT362" s="1868">
        <v>1.9491700000000001</v>
      </c>
      <c r="AU362" s="1868">
        <v>1.7263500000000001</v>
      </c>
      <c r="AV362" s="1868">
        <v>1.31253</v>
      </c>
      <c r="AW362" s="1868">
        <v>1.2857100000000001</v>
      </c>
      <c r="AX362" s="1868">
        <v>0.64493999999999996</v>
      </c>
      <c r="AY362" s="1868">
        <v>1.01111</v>
      </c>
      <c r="AZ362" s="1868">
        <v>0.92621000000000009</v>
      </c>
      <c r="BA362" s="1868">
        <v>0.96882000000000013</v>
      </c>
    </row>
    <row r="363" spans="1:53">
      <c r="A363" s="1865" t="str">
        <f t="shared" si="5"/>
        <v>Australia &amp; New ZealandBeans, green</v>
      </c>
      <c r="B363" s="1866" t="s">
        <v>1357</v>
      </c>
      <c r="C363" s="1866" t="s">
        <v>1365</v>
      </c>
      <c r="D363" s="1868">
        <v>3.84449</v>
      </c>
      <c r="E363" s="1868">
        <v>3.8148300000000002</v>
      </c>
      <c r="F363" s="1868">
        <v>3.5105599999999999</v>
      </c>
      <c r="G363" s="1868">
        <v>4.8164099999999994</v>
      </c>
      <c r="H363" s="1868">
        <v>4.6709300000000002</v>
      </c>
      <c r="I363" s="1868">
        <v>5.3410000000000002</v>
      </c>
      <c r="J363" s="1868">
        <v>4.4592300000000007</v>
      </c>
      <c r="K363" s="1868">
        <v>5.1794199999999995</v>
      </c>
      <c r="L363" s="1868">
        <v>5.2413600000000002</v>
      </c>
      <c r="M363" s="1868">
        <v>4.86646</v>
      </c>
      <c r="N363" s="1868">
        <v>4.9375599999999995</v>
      </c>
      <c r="O363" s="1868">
        <v>5.2055499999999997</v>
      </c>
      <c r="P363" s="1868">
        <v>5.1447699999999994</v>
      </c>
      <c r="Q363" s="1868">
        <v>5.0750199999999994</v>
      </c>
      <c r="R363" s="1868">
        <v>6.4329400000000003</v>
      </c>
      <c r="S363" s="1868">
        <v>4.98081</v>
      </c>
      <c r="T363" s="1868">
        <v>5.3733000000000004</v>
      </c>
      <c r="U363" s="1868">
        <v>5.9654199999999999</v>
      </c>
      <c r="V363" s="1868">
        <v>5.7248599999999996</v>
      </c>
      <c r="W363" s="1868">
        <v>6.0445800000000007</v>
      </c>
      <c r="X363" s="1868">
        <v>5.4070300000000007</v>
      </c>
      <c r="Y363" s="1868">
        <v>5.5749199999999997</v>
      </c>
      <c r="Z363" s="1868">
        <v>5.4173800000000005</v>
      </c>
      <c r="AA363" s="1868">
        <v>5.4745999999999997</v>
      </c>
      <c r="AB363" s="1868">
        <v>5.9385500000000002</v>
      </c>
      <c r="AC363" s="1868">
        <v>5.4229799999999999</v>
      </c>
      <c r="AD363" s="1868">
        <v>5.8184500000000003</v>
      </c>
      <c r="AE363" s="1868">
        <v>5.4736599999999997</v>
      </c>
      <c r="AF363" s="1868">
        <v>5.5802399999999999</v>
      </c>
      <c r="AG363" s="1868">
        <v>5.1810999999999998</v>
      </c>
      <c r="AH363" s="1868">
        <v>5.34389</v>
      </c>
      <c r="AI363" s="1868">
        <v>5.2683099999999996</v>
      </c>
      <c r="AJ363" s="1868">
        <v>5.4580400000000004</v>
      </c>
      <c r="AK363" s="1868">
        <v>5.7027000000000001</v>
      </c>
      <c r="AL363" s="1868">
        <v>5.60114</v>
      </c>
      <c r="AM363" s="1868">
        <v>5.3129200000000001</v>
      </c>
      <c r="AN363" s="1868">
        <v>5.5746699999999993</v>
      </c>
      <c r="AO363" s="1868">
        <v>5.6620800000000004</v>
      </c>
      <c r="AP363" s="1868">
        <v>5.4908199999999994</v>
      </c>
      <c r="AQ363" s="1868">
        <v>5.4139400000000002</v>
      </c>
      <c r="AR363" s="1868">
        <v>5.1242099999999997</v>
      </c>
      <c r="AS363" s="1868">
        <v>5.29054</v>
      </c>
      <c r="AT363" s="1868">
        <v>5.1514699999999998</v>
      </c>
      <c r="AU363" s="1868">
        <v>4.6176000000000004</v>
      </c>
      <c r="AV363" s="1868">
        <v>5.7426500000000003</v>
      </c>
      <c r="AW363" s="1868">
        <v>5.44998</v>
      </c>
      <c r="AX363" s="1868">
        <v>5.93546</v>
      </c>
      <c r="AY363" s="1868">
        <v>5.5486699999999995</v>
      </c>
      <c r="AZ363" s="1868">
        <v>5.4601499999999996</v>
      </c>
      <c r="BA363" s="1868">
        <v>5.1567400000000001</v>
      </c>
    </row>
    <row r="364" spans="1:53">
      <c r="A364" s="1865" t="str">
        <f t="shared" si="5"/>
        <v>Australia &amp; New ZealandCarrots and turnips</v>
      </c>
      <c r="B364" s="1866" t="s">
        <v>1357</v>
      </c>
      <c r="C364" s="1866" t="s">
        <v>1366</v>
      </c>
      <c r="D364" s="1868">
        <v>26.097349999999999</v>
      </c>
      <c r="E364" s="1868">
        <v>27.455449999999999</v>
      </c>
      <c r="F364" s="1868">
        <v>27.813379999999999</v>
      </c>
      <c r="G364" s="1868">
        <v>28.741099999999999</v>
      </c>
      <c r="H364" s="1868">
        <v>30.908009999999997</v>
      </c>
      <c r="I364" s="1868">
        <v>31.265590000000003</v>
      </c>
      <c r="J364" s="1868">
        <v>28.636159999999997</v>
      </c>
      <c r="K364" s="1868">
        <v>28.861429999999999</v>
      </c>
      <c r="L364" s="1868">
        <v>28.586029999999997</v>
      </c>
      <c r="M364" s="1868">
        <v>29.027620000000002</v>
      </c>
      <c r="N364" s="1868">
        <v>30.225549999999998</v>
      </c>
      <c r="O364" s="1868">
        <v>28.706140000000001</v>
      </c>
      <c r="P364" s="1868">
        <v>28.553640000000001</v>
      </c>
      <c r="Q364" s="1868">
        <v>29.542629999999999</v>
      </c>
      <c r="R364" s="1868">
        <v>26.801179999999999</v>
      </c>
      <c r="S364" s="1868">
        <v>27.688420000000001</v>
      </c>
      <c r="T364" s="1868">
        <v>28.37452</v>
      </c>
      <c r="U364" s="1868">
        <v>29.1067</v>
      </c>
      <c r="V364" s="1868">
        <v>28.032290000000003</v>
      </c>
      <c r="W364" s="1868">
        <v>30.228609999999996</v>
      </c>
      <c r="X364" s="1868">
        <v>29.450090000000003</v>
      </c>
      <c r="Y364" s="1868">
        <v>28.49147</v>
      </c>
      <c r="Z364" s="1868">
        <v>29.145420000000001</v>
      </c>
      <c r="AA364" s="1868">
        <v>29.104290000000002</v>
      </c>
      <c r="AB364" s="1868">
        <v>30.2806</v>
      </c>
      <c r="AC364" s="1868">
        <v>31.83727</v>
      </c>
      <c r="AD364" s="1868">
        <v>31.817340000000002</v>
      </c>
      <c r="AE364" s="1868">
        <v>32.252140000000004</v>
      </c>
      <c r="AF364" s="1868">
        <v>33.673459999999999</v>
      </c>
      <c r="AG364" s="1868">
        <v>36.527200000000001</v>
      </c>
      <c r="AH364" s="1868">
        <v>35.01455</v>
      </c>
      <c r="AI364" s="1868">
        <v>35.28698</v>
      </c>
      <c r="AJ364" s="1868">
        <v>33.995550000000001</v>
      </c>
      <c r="AK364" s="1868">
        <v>35.102730000000001</v>
      </c>
      <c r="AL364" s="1868">
        <v>34.417549999999999</v>
      </c>
      <c r="AM364" s="1868">
        <v>34.135490000000004</v>
      </c>
      <c r="AN364" s="1868">
        <v>36.832609999999995</v>
      </c>
      <c r="AO364" s="1868">
        <v>37.740520000000004</v>
      </c>
      <c r="AP364" s="1868">
        <v>38.361290000000004</v>
      </c>
      <c r="AQ364" s="1868">
        <v>37.970700000000001</v>
      </c>
      <c r="AR364" s="1868">
        <v>38.044220000000003</v>
      </c>
      <c r="AS364" s="1868">
        <v>40.875619999999998</v>
      </c>
      <c r="AT364" s="1868">
        <v>40.43515</v>
      </c>
      <c r="AU364" s="1868">
        <v>41.261790000000005</v>
      </c>
      <c r="AV364" s="1868">
        <v>45.195729999999998</v>
      </c>
      <c r="AW364" s="1868">
        <v>42.498840000000001</v>
      </c>
      <c r="AX364" s="1868">
        <v>46.855020000000003</v>
      </c>
      <c r="AY364" s="1868">
        <v>54.499119999999998</v>
      </c>
      <c r="AZ364" s="1868">
        <v>49.312550000000002</v>
      </c>
      <c r="BA364" s="1868">
        <v>46.947000000000003</v>
      </c>
    </row>
    <row r="365" spans="1:53">
      <c r="A365" s="1865" t="str">
        <f t="shared" si="5"/>
        <v>Australia &amp; New ZealandCauliflowers and broccoli</v>
      </c>
      <c r="B365" s="1866" t="s">
        <v>1357</v>
      </c>
      <c r="C365" s="1866" t="s">
        <v>1369</v>
      </c>
      <c r="D365" s="1868">
        <v>26.342449999999999</v>
      </c>
      <c r="E365" s="1868">
        <v>26.72852</v>
      </c>
      <c r="F365" s="1868">
        <v>24.945060000000002</v>
      </c>
      <c r="G365" s="1868">
        <v>24.274560000000001</v>
      </c>
      <c r="H365" s="1868">
        <v>25.208389999999998</v>
      </c>
      <c r="I365" s="1868">
        <v>27.683120000000002</v>
      </c>
      <c r="J365" s="1868">
        <v>26.769809999999996</v>
      </c>
      <c r="K365" s="1868">
        <v>25.426729999999999</v>
      </c>
      <c r="L365" s="1868">
        <v>29.485099999999999</v>
      </c>
      <c r="M365" s="1868">
        <v>28.377459999999999</v>
      </c>
      <c r="N365" s="1868">
        <v>27.397200000000002</v>
      </c>
      <c r="O365" s="1868">
        <v>27.133940000000003</v>
      </c>
      <c r="P365" s="1868">
        <v>23.125679999999999</v>
      </c>
      <c r="Q365" s="1868">
        <v>20.73124</v>
      </c>
      <c r="R365" s="1868">
        <v>25.111079999999998</v>
      </c>
      <c r="S365" s="1868">
        <v>25.23189</v>
      </c>
      <c r="T365" s="1868">
        <v>30.460229999999999</v>
      </c>
      <c r="U365" s="1868">
        <v>31.777259999999998</v>
      </c>
      <c r="V365" s="1868">
        <v>25.99934</v>
      </c>
      <c r="W365" s="1868">
        <v>24.950779999999998</v>
      </c>
      <c r="X365" s="1868">
        <v>24.98629</v>
      </c>
      <c r="Y365" s="1868">
        <v>18.51746</v>
      </c>
      <c r="Z365" s="1868">
        <v>18.60877</v>
      </c>
      <c r="AA365" s="1868">
        <v>20.044710000000002</v>
      </c>
      <c r="AB365" s="1868">
        <v>18.977239999999998</v>
      </c>
      <c r="AC365" s="1868">
        <v>16.121500000000001</v>
      </c>
      <c r="AD365" s="1868">
        <v>17.86908</v>
      </c>
      <c r="AE365" s="1868">
        <v>13.836129999999999</v>
      </c>
      <c r="AF365" s="1868">
        <v>14.31052</v>
      </c>
      <c r="AG365" s="1868">
        <v>14.987870000000001</v>
      </c>
      <c r="AH365" s="1868">
        <v>14.039370000000002</v>
      </c>
      <c r="AI365" s="1868">
        <v>13.741350000000001</v>
      </c>
      <c r="AJ365" s="1868">
        <v>16.264710000000001</v>
      </c>
      <c r="AK365" s="1868">
        <v>14.645949999999999</v>
      </c>
      <c r="AL365" s="1868">
        <v>15.82122</v>
      </c>
      <c r="AM365" s="1868">
        <v>16.620889999999999</v>
      </c>
      <c r="AN365" s="1868">
        <v>13.58934</v>
      </c>
      <c r="AO365" s="1868">
        <v>13.158489999999999</v>
      </c>
      <c r="AP365" s="1868">
        <v>14.706899999999999</v>
      </c>
      <c r="AQ365" s="1868">
        <v>14.51586</v>
      </c>
      <c r="AR365" s="1868">
        <v>14.557889999999999</v>
      </c>
      <c r="AS365" s="1868">
        <v>27.002679999999998</v>
      </c>
      <c r="AT365" s="1868">
        <v>14.750220000000001</v>
      </c>
      <c r="AU365" s="1868">
        <v>15.71088</v>
      </c>
      <c r="AV365" s="1868">
        <v>14.825170000000002</v>
      </c>
      <c r="AW365" s="1868">
        <v>34.573549999999997</v>
      </c>
      <c r="AX365" s="1868">
        <v>25.854279999999999</v>
      </c>
      <c r="AY365" s="1868">
        <v>29.472690000000004</v>
      </c>
      <c r="AZ365" s="1868">
        <v>28.376550000000002</v>
      </c>
      <c r="BA365" s="1868">
        <v>26.976190000000003</v>
      </c>
    </row>
    <row r="366" spans="1:53">
      <c r="A366" s="1865" t="str">
        <f t="shared" si="5"/>
        <v>Australia &amp; New ZealandCereals, nes</v>
      </c>
      <c r="B366" s="1866" t="s">
        <v>1357</v>
      </c>
      <c r="C366" s="1866" t="s">
        <v>1370</v>
      </c>
      <c r="D366" s="1868">
        <v>2.5</v>
      </c>
      <c r="E366" s="1868">
        <v>2.5</v>
      </c>
      <c r="F366" s="1868">
        <v>2.5</v>
      </c>
      <c r="G366" s="1868">
        <v>2.5</v>
      </c>
      <c r="H366" s="1868">
        <v>2.5</v>
      </c>
      <c r="I366" s="1868">
        <v>4.3478300000000001</v>
      </c>
      <c r="J366" s="1868">
        <v>4.3478300000000001</v>
      </c>
      <c r="K366" s="1868">
        <v>4.3478300000000001</v>
      </c>
      <c r="L366" s="1868">
        <v>4.3478300000000001</v>
      </c>
      <c r="M366" s="1868">
        <v>2</v>
      </c>
      <c r="N366" s="1868">
        <v>2</v>
      </c>
      <c r="O366" s="1868">
        <v>2</v>
      </c>
      <c r="P366" s="1868">
        <v>4</v>
      </c>
      <c r="Q366" s="1868">
        <v>6</v>
      </c>
      <c r="R366" s="1868">
        <v>10</v>
      </c>
      <c r="S366" s="1868">
        <v>8</v>
      </c>
      <c r="T366" s="1868">
        <v>5.7692300000000003</v>
      </c>
      <c r="U366" s="1868">
        <v>5.7692300000000003</v>
      </c>
      <c r="V366" s="1868">
        <v>5.7692300000000003</v>
      </c>
      <c r="W366" s="1868">
        <v>2.4340900000000003</v>
      </c>
      <c r="X366" s="1868">
        <v>2.4156</v>
      </c>
      <c r="Y366" s="1868">
        <v>3.7481400000000002</v>
      </c>
      <c r="Z366" s="1868">
        <v>2.93567</v>
      </c>
      <c r="AA366" s="1868">
        <v>2.67178</v>
      </c>
      <c r="AB366" s="1868">
        <v>3.3933199999999997</v>
      </c>
      <c r="AC366" s="1868">
        <v>2.8564099999999999</v>
      </c>
      <c r="AD366" s="1868">
        <v>3.1906300000000001</v>
      </c>
      <c r="AE366" s="1868">
        <v>2.9017499999999998</v>
      </c>
      <c r="AF366" s="1868">
        <v>2.5</v>
      </c>
      <c r="AG366" s="1868">
        <v>2.8226599999999999</v>
      </c>
      <c r="AH366" s="1868">
        <v>2.96604</v>
      </c>
      <c r="AI366" s="1868">
        <v>2.5494300000000001</v>
      </c>
      <c r="AJ366" s="1868">
        <v>2.37832</v>
      </c>
      <c r="AK366" s="1868">
        <v>3.13253</v>
      </c>
      <c r="AL366" s="1868">
        <v>3.0720999999999998</v>
      </c>
      <c r="AM366" s="1868">
        <v>2.9666700000000001</v>
      </c>
      <c r="AN366" s="1868">
        <v>2.77264</v>
      </c>
      <c r="AO366" s="1868">
        <v>2.7193000000000001</v>
      </c>
      <c r="AP366" s="1868">
        <v>2.8571400000000002</v>
      </c>
      <c r="AQ366" s="1868">
        <v>2.9079000000000002</v>
      </c>
      <c r="AR366" s="1868">
        <v>3.00447</v>
      </c>
      <c r="AS366" s="1868">
        <v>3.28125</v>
      </c>
      <c r="AT366" s="1868">
        <v>3.5666699999999998</v>
      </c>
      <c r="AU366" s="1868">
        <v>4.0370400000000002</v>
      </c>
      <c r="AV366" s="1868">
        <v>4.4000000000000004</v>
      </c>
      <c r="AW366" s="1868">
        <v>5</v>
      </c>
      <c r="AX366" s="1868">
        <v>6.0472000000000001</v>
      </c>
      <c r="AY366" s="1868">
        <v>7.3947000000000003</v>
      </c>
      <c r="AZ366" s="1868">
        <v>7.5</v>
      </c>
      <c r="BA366" s="1868">
        <v>5.8207199999999997</v>
      </c>
    </row>
    <row r="367" spans="1:53">
      <c r="A367" s="1865" t="str">
        <f t="shared" si="5"/>
        <v>Australia &amp; New ZealandCitrus fruit, nes</v>
      </c>
      <c r="B367" s="1866" t="s">
        <v>1357</v>
      </c>
      <c r="C367" s="1866" t="s">
        <v>1372</v>
      </c>
      <c r="D367" s="1868">
        <v>7.2</v>
      </c>
      <c r="E367" s="1868">
        <v>5.5555599999999998</v>
      </c>
      <c r="F367" s="1868">
        <v>6.6666699999999999</v>
      </c>
      <c r="G367" s="1868">
        <v>3.8666699999999996</v>
      </c>
      <c r="H367" s="1868">
        <v>3.9</v>
      </c>
      <c r="I367" s="1868">
        <v>3.8333300000000001</v>
      </c>
      <c r="J367" s="1868">
        <v>2.6986300000000001</v>
      </c>
      <c r="K367" s="1868">
        <v>5.0999999999999996</v>
      </c>
      <c r="L367" s="1868">
        <v>4.8134300000000003</v>
      </c>
      <c r="M367" s="1868">
        <v>6.2792199999999996</v>
      </c>
      <c r="N367" s="1868">
        <v>7.1363600000000007</v>
      </c>
      <c r="O367" s="1868">
        <v>8.3450000000000006</v>
      </c>
      <c r="P367" s="1868">
        <v>6.9743600000000008</v>
      </c>
      <c r="Q367" s="1868">
        <v>7.4041100000000002</v>
      </c>
      <c r="R367" s="1868">
        <v>6.375</v>
      </c>
      <c r="S367" s="1868">
        <v>6.43032</v>
      </c>
      <c r="T367" s="1868">
        <v>6.3624199999999993</v>
      </c>
      <c r="U367" s="1868">
        <v>9.6891600000000011</v>
      </c>
      <c r="V367" s="1868">
        <v>11.015779999999999</v>
      </c>
      <c r="W367" s="1868">
        <v>14.60149</v>
      </c>
      <c r="X367" s="1868">
        <v>10.79049</v>
      </c>
      <c r="Y367" s="1868">
        <v>9.7950400000000002</v>
      </c>
      <c r="Z367" s="1868">
        <v>9.588239999999999</v>
      </c>
      <c r="AA367" s="1868">
        <v>9.11111</v>
      </c>
      <c r="AB367" s="1868">
        <v>8.96875</v>
      </c>
      <c r="AC367" s="1868">
        <v>9.0079700000000003</v>
      </c>
      <c r="AD367" s="1868">
        <v>8.1926800000000011</v>
      </c>
      <c r="AE367" s="1868">
        <v>8.2125599999999999</v>
      </c>
      <c r="AF367" s="1868">
        <v>8.5583799999999997</v>
      </c>
      <c r="AG367" s="1868">
        <v>9.30837</v>
      </c>
      <c r="AH367" s="1868">
        <v>9.3259100000000004</v>
      </c>
      <c r="AI367" s="1868">
        <v>10.244300000000001</v>
      </c>
      <c r="AJ367" s="1868">
        <v>9.6296300000000006</v>
      </c>
      <c r="AK367" s="1868">
        <v>11.09057</v>
      </c>
      <c r="AL367" s="1868">
        <v>11.115169999999999</v>
      </c>
      <c r="AM367" s="1868">
        <v>11.769969999999999</v>
      </c>
      <c r="AN367" s="1868">
        <v>12.166069999999999</v>
      </c>
      <c r="AO367" s="1868">
        <v>12.19956</v>
      </c>
      <c r="AP367" s="1868">
        <v>10.79546</v>
      </c>
      <c r="AQ367" s="1868">
        <v>10.802239999999999</v>
      </c>
      <c r="AR367" s="1868">
        <v>10.73832</v>
      </c>
      <c r="AS367" s="1868">
        <v>10.630889999999999</v>
      </c>
      <c r="AT367" s="1868">
        <v>10.04186</v>
      </c>
      <c r="AU367" s="1868">
        <v>11.592030000000001</v>
      </c>
      <c r="AV367" s="1868">
        <v>10.91239</v>
      </c>
      <c r="AW367" s="1868">
        <v>9.9214199999999995</v>
      </c>
      <c r="AX367" s="1868">
        <v>8.3158799999999999</v>
      </c>
      <c r="AY367" s="1868">
        <v>10.3491</v>
      </c>
      <c r="AZ367" s="1868">
        <v>10.059510000000001</v>
      </c>
      <c r="BA367" s="1868">
        <v>10.638299999999999</v>
      </c>
    </row>
    <row r="368" spans="1:53">
      <c r="A368" s="1865" t="str">
        <f t="shared" si="5"/>
        <v>Australia &amp; New ZealandFibre Crops Nes</v>
      </c>
      <c r="B368" s="1866" t="s">
        <v>1357</v>
      </c>
      <c r="C368" s="1866" t="s">
        <v>1376</v>
      </c>
      <c r="D368" s="1868">
        <v>0.67298000000000002</v>
      </c>
      <c r="E368" s="1868">
        <v>0.31023000000000001</v>
      </c>
      <c r="F368" s="1868">
        <v>0.27118000000000003</v>
      </c>
      <c r="G368" s="1868">
        <v>0.27568999999999999</v>
      </c>
      <c r="H368" s="1868">
        <v>0.26795000000000002</v>
      </c>
      <c r="I368" s="1868">
        <v>0.28128000000000003</v>
      </c>
      <c r="J368" s="1868">
        <v>0.24296999999999999</v>
      </c>
      <c r="K368" s="1868">
        <v>0.30063000000000001</v>
      </c>
      <c r="L368" s="1868">
        <v>0.26884000000000002</v>
      </c>
      <c r="M368" s="1868">
        <v>0.26785999999999999</v>
      </c>
      <c r="N368" s="1868">
        <v>0.26619999999999999</v>
      </c>
      <c r="O368" s="1868">
        <v>0.25</v>
      </c>
      <c r="P368" s="1868">
        <v>0.25</v>
      </c>
      <c r="Q368" s="1868">
        <v>0.25</v>
      </c>
      <c r="R368" s="1868">
        <v>0.25</v>
      </c>
      <c r="S368" s="1868">
        <v>0.25</v>
      </c>
      <c r="T368" s="1868">
        <v>0.25</v>
      </c>
      <c r="U368" s="1868">
        <v>0.25</v>
      </c>
      <c r="V368" s="1868">
        <v>0.25</v>
      </c>
      <c r="W368" s="1868">
        <v>0.25</v>
      </c>
      <c r="X368" s="1868">
        <v>0.25</v>
      </c>
      <c r="Y368" s="1868">
        <v>0.25</v>
      </c>
      <c r="Z368" s="1868">
        <v>0.25</v>
      </c>
      <c r="AA368" s="1868">
        <v>0.25</v>
      </c>
      <c r="AB368" s="1868">
        <v>0.25</v>
      </c>
      <c r="AC368" s="1868">
        <v>0.25</v>
      </c>
      <c r="AD368" s="1868">
        <v>0.25</v>
      </c>
      <c r="AE368" s="1868">
        <v>0.25</v>
      </c>
      <c r="AF368" s="1868">
        <v>0.25</v>
      </c>
      <c r="AG368" s="1868">
        <v>0.23705000000000001</v>
      </c>
      <c r="AH368" s="1868">
        <v>0.24560999999999999</v>
      </c>
      <c r="AI368" s="1868">
        <v>0.34883999999999998</v>
      </c>
      <c r="AJ368" s="1868">
        <v>0.31731999999999999</v>
      </c>
      <c r="AK368" s="1868">
        <v>0.44443999999999995</v>
      </c>
      <c r="AL368" s="1868">
        <v>0.45756000000000002</v>
      </c>
      <c r="AM368" s="1868">
        <v>0.5</v>
      </c>
      <c r="AN368" s="1868">
        <v>0.50009999999999999</v>
      </c>
      <c r="AO368" s="1868">
        <v>0.54546000000000006</v>
      </c>
      <c r="AP368" s="1868">
        <v>0.51944999999999997</v>
      </c>
      <c r="AQ368" s="1868">
        <v>0.48383000000000004</v>
      </c>
      <c r="AR368" s="1868">
        <v>0.47458999999999996</v>
      </c>
      <c r="AS368" s="1868">
        <v>0.5</v>
      </c>
      <c r="AT368" s="1868">
        <v>0.50323000000000007</v>
      </c>
      <c r="AU368" s="1868">
        <v>0.48041999999999996</v>
      </c>
      <c r="AV368" s="1868">
        <v>0.46771000000000001</v>
      </c>
      <c r="AW368" s="1868">
        <v>0.49209999999999998</v>
      </c>
      <c r="AX368" s="1868">
        <v>0.47726000000000002</v>
      </c>
      <c r="AY368" s="1868">
        <v>0.34323000000000004</v>
      </c>
      <c r="AZ368" s="1868">
        <v>0.44403000000000004</v>
      </c>
      <c r="BA368" s="1868">
        <v>0.60870000000000002</v>
      </c>
    </row>
    <row r="369" spans="1:53">
      <c r="A369" s="1865" t="str">
        <f t="shared" si="5"/>
        <v>Australia &amp; New ZealandGrapefruit (inc. pomelos)</v>
      </c>
      <c r="B369" s="1866" t="s">
        <v>1357</v>
      </c>
      <c r="C369" s="1866" t="s">
        <v>1377</v>
      </c>
      <c r="D369" s="1868">
        <v>16.80189</v>
      </c>
      <c r="E369" s="1868">
        <v>18.300940000000001</v>
      </c>
      <c r="F369" s="1868">
        <v>21.064979999999998</v>
      </c>
      <c r="G369" s="1868">
        <v>19.498460000000001</v>
      </c>
      <c r="H369" s="1868">
        <v>19.992060000000002</v>
      </c>
      <c r="I369" s="1868">
        <v>19.676279999999998</v>
      </c>
      <c r="J369" s="1868">
        <v>17.625579999999999</v>
      </c>
      <c r="K369" s="1868">
        <v>21.37519</v>
      </c>
      <c r="L369" s="1868">
        <v>16.88571</v>
      </c>
      <c r="M369" s="1868">
        <v>21.667870000000001</v>
      </c>
      <c r="N369" s="1868">
        <v>17.617260000000002</v>
      </c>
      <c r="O369" s="1868">
        <v>18.66667</v>
      </c>
      <c r="P369" s="1868">
        <v>13.246829999999999</v>
      </c>
      <c r="Q369" s="1868">
        <v>14.069050000000001</v>
      </c>
      <c r="R369" s="1868">
        <v>13.62515</v>
      </c>
      <c r="S369" s="1868">
        <v>16.282540000000001</v>
      </c>
      <c r="T369" s="1868">
        <v>17.70581</v>
      </c>
      <c r="U369" s="1868">
        <v>18.568529999999999</v>
      </c>
      <c r="V369" s="1868">
        <v>21.079439999999998</v>
      </c>
      <c r="W369" s="1868">
        <v>24.956489999999999</v>
      </c>
      <c r="X369" s="1868">
        <v>25.631970000000003</v>
      </c>
      <c r="Y369" s="1868">
        <v>23.914100000000001</v>
      </c>
      <c r="Z369" s="1868">
        <v>25.450960000000002</v>
      </c>
      <c r="AA369" s="1868">
        <v>30.414259999999999</v>
      </c>
      <c r="AB369" s="1868">
        <v>30.287020000000002</v>
      </c>
      <c r="AC369" s="1868">
        <v>32.388659999999994</v>
      </c>
      <c r="AD369" s="1868">
        <v>30.390659999999997</v>
      </c>
      <c r="AE369" s="1868">
        <v>31.501709999999999</v>
      </c>
      <c r="AF369" s="1868">
        <v>30.295579999999998</v>
      </c>
      <c r="AG369" s="1868">
        <v>29.53885</v>
      </c>
      <c r="AH369" s="1868">
        <v>28.147749999999998</v>
      </c>
      <c r="AI369" s="1868">
        <v>28.23827</v>
      </c>
      <c r="AJ369" s="1868">
        <v>30.139540000000004</v>
      </c>
      <c r="AK369" s="1868">
        <v>25.941659999999999</v>
      </c>
      <c r="AL369" s="1868">
        <v>25.85089</v>
      </c>
      <c r="AM369" s="1868">
        <v>32.960979999999999</v>
      </c>
      <c r="AN369" s="1868">
        <v>18.680879999999998</v>
      </c>
      <c r="AO369" s="1868">
        <v>23.68045</v>
      </c>
      <c r="AP369" s="1868">
        <v>18.782910000000001</v>
      </c>
      <c r="AQ369" s="1868">
        <v>13.669070000000001</v>
      </c>
      <c r="AR369" s="1868">
        <v>10.446630000000001</v>
      </c>
      <c r="AS369" s="1868">
        <v>11.304349999999999</v>
      </c>
      <c r="AT369" s="1868">
        <v>14.256349999999999</v>
      </c>
      <c r="AU369" s="1868">
        <v>12.087489999999999</v>
      </c>
      <c r="AV369" s="1868">
        <v>14.82264</v>
      </c>
      <c r="AW369" s="1868">
        <v>11.29889</v>
      </c>
      <c r="AX369" s="1868">
        <v>14.980420000000001</v>
      </c>
      <c r="AY369" s="1868">
        <v>15.126579999999999</v>
      </c>
      <c r="AZ369" s="1868">
        <v>14.14964</v>
      </c>
      <c r="BA369" s="1868">
        <v>15.369129999999998</v>
      </c>
    </row>
    <row r="370" spans="1:53">
      <c r="A370" s="1865" t="str">
        <f t="shared" si="5"/>
        <v>Australia &amp; New ZealandGrapes</v>
      </c>
      <c r="B370" s="1866" t="s">
        <v>1357</v>
      </c>
      <c r="C370" s="1866" t="s">
        <v>1378</v>
      </c>
      <c r="D370" s="1868">
        <v>10.85713</v>
      </c>
      <c r="E370" s="1868">
        <v>12.912410000000001</v>
      </c>
      <c r="F370" s="1868">
        <v>9.7439199999999992</v>
      </c>
      <c r="G370" s="1868">
        <v>13.2812</v>
      </c>
      <c r="H370" s="1868">
        <v>13.614599999999999</v>
      </c>
      <c r="I370" s="1868">
        <v>11.54529</v>
      </c>
      <c r="J370" s="1868">
        <v>13.535539999999999</v>
      </c>
      <c r="K370" s="1868">
        <v>12.423069999999999</v>
      </c>
      <c r="L370" s="1868">
        <v>10.879389999999999</v>
      </c>
      <c r="M370" s="1868">
        <v>14.472129999999998</v>
      </c>
      <c r="N370" s="1868">
        <v>10.305289999999999</v>
      </c>
      <c r="O370" s="1868">
        <v>14.426960000000001</v>
      </c>
      <c r="P370" s="1868">
        <v>10.14044</v>
      </c>
      <c r="Q370" s="1868">
        <v>8.8851200000000006</v>
      </c>
      <c r="R370" s="1868">
        <v>11.325419999999999</v>
      </c>
      <c r="S370" s="1868">
        <v>11.21256</v>
      </c>
      <c r="T370" s="1868">
        <v>11.23565</v>
      </c>
      <c r="U370" s="1868">
        <v>10.616810000000001</v>
      </c>
      <c r="V370" s="1868">
        <v>10.808489999999999</v>
      </c>
      <c r="W370" s="1868">
        <v>12.87814</v>
      </c>
      <c r="X370" s="1868">
        <v>11.162939999999999</v>
      </c>
      <c r="Y370" s="1868">
        <v>13.658950000000001</v>
      </c>
      <c r="Z370" s="1868">
        <v>12.491289999999999</v>
      </c>
      <c r="AA370" s="1868">
        <v>13.543620000000001</v>
      </c>
      <c r="AB370" s="1868">
        <v>14.684729999999998</v>
      </c>
      <c r="AC370" s="1868">
        <v>14.976379999999999</v>
      </c>
      <c r="AD370" s="1868">
        <v>14.295529999999999</v>
      </c>
      <c r="AE370" s="1868">
        <v>14.661570000000001</v>
      </c>
      <c r="AF370" s="1868">
        <v>15.790770000000002</v>
      </c>
      <c r="AG370" s="1868">
        <v>15.214789999999999</v>
      </c>
      <c r="AH370" s="1868">
        <v>15.305820000000001</v>
      </c>
      <c r="AI370" s="1868">
        <v>16.77055</v>
      </c>
      <c r="AJ370" s="1868">
        <v>12.958060000000001</v>
      </c>
      <c r="AK370" s="1868">
        <v>14.42981</v>
      </c>
      <c r="AL370" s="1868">
        <v>12.299849999999999</v>
      </c>
      <c r="AM370" s="1868">
        <v>16.25637</v>
      </c>
      <c r="AN370" s="1868">
        <v>12.61317</v>
      </c>
      <c r="AO370" s="1868">
        <v>13.896000000000001</v>
      </c>
      <c r="AP370" s="1868">
        <v>12.89767</v>
      </c>
      <c r="AQ370" s="1868">
        <v>11.516970000000001</v>
      </c>
      <c r="AR370" s="1868">
        <v>11.36819</v>
      </c>
      <c r="AS370" s="1868">
        <v>11.915179999999999</v>
      </c>
      <c r="AT370" s="1868">
        <v>9.9206099999999999</v>
      </c>
      <c r="AU370" s="1868">
        <v>12.927199999999999</v>
      </c>
      <c r="AV370" s="1868">
        <v>12.44791</v>
      </c>
      <c r="AW370" s="1868">
        <v>11.98232</v>
      </c>
      <c r="AX370" s="1868">
        <v>8.88809</v>
      </c>
      <c r="AY370" s="1868">
        <v>10.93962</v>
      </c>
      <c r="AZ370" s="1868">
        <v>9.8470600000000008</v>
      </c>
      <c r="BA370" s="1868">
        <v>9.6058899999999987</v>
      </c>
    </row>
    <row r="371" spans="1:53">
      <c r="A371" s="1865" t="str">
        <f t="shared" si="5"/>
        <v>Australia &amp; New ZealandGroundnuts, with shell</v>
      </c>
      <c r="B371" s="1866" t="s">
        <v>1357</v>
      </c>
      <c r="C371" s="1866" t="s">
        <v>1379</v>
      </c>
      <c r="D371" s="1868">
        <v>1.3410200000000001</v>
      </c>
      <c r="E371" s="1868">
        <v>1.1058600000000001</v>
      </c>
      <c r="F371" s="1868">
        <v>1.1154200000000001</v>
      </c>
      <c r="G371" s="1868">
        <v>1.28647</v>
      </c>
      <c r="H371" s="1868">
        <v>0.56579000000000002</v>
      </c>
      <c r="I371" s="1868">
        <v>1.1927399999999999</v>
      </c>
      <c r="J371" s="1868">
        <v>1.49291</v>
      </c>
      <c r="K371" s="1868">
        <v>1.22702</v>
      </c>
      <c r="L371" s="1868">
        <v>0.53358000000000005</v>
      </c>
      <c r="M371" s="1868">
        <v>1.27142</v>
      </c>
      <c r="N371" s="1868">
        <v>0.80663000000000007</v>
      </c>
      <c r="O371" s="1868">
        <v>1.36466</v>
      </c>
      <c r="P371" s="1868">
        <v>1.32125</v>
      </c>
      <c r="Q371" s="1868">
        <v>1.12622</v>
      </c>
      <c r="R371" s="1868">
        <v>1.32481</v>
      </c>
      <c r="S371" s="1868">
        <v>1.3</v>
      </c>
      <c r="T371" s="1868">
        <v>1.02925</v>
      </c>
      <c r="U371" s="1868">
        <v>1.28705</v>
      </c>
      <c r="V371" s="1868">
        <v>1.6888599999999998</v>
      </c>
      <c r="W371" s="1868">
        <v>1.2299500000000001</v>
      </c>
      <c r="X371" s="1868">
        <v>1.5933200000000001</v>
      </c>
      <c r="Y371" s="1868">
        <v>1.7262599999999999</v>
      </c>
      <c r="Z371" s="1868">
        <v>0.65003999999999995</v>
      </c>
      <c r="AA371" s="1868">
        <v>1.46584</v>
      </c>
      <c r="AB371" s="1868">
        <v>1.4140700000000002</v>
      </c>
      <c r="AC371" s="1868">
        <v>1.4882200000000001</v>
      </c>
      <c r="AD371" s="1868">
        <v>1.39795</v>
      </c>
      <c r="AE371" s="1868">
        <v>1.2178799999999999</v>
      </c>
      <c r="AF371" s="1868">
        <v>1.47759</v>
      </c>
      <c r="AG371" s="1868">
        <v>1.3431600000000001</v>
      </c>
      <c r="AH371" s="1868">
        <v>1.9901799999999998</v>
      </c>
      <c r="AI371" s="1868">
        <v>1.3913</v>
      </c>
      <c r="AJ371" s="1868">
        <v>2.0633699999999999</v>
      </c>
      <c r="AK371" s="1868">
        <v>1.7783099999999998</v>
      </c>
      <c r="AL371" s="1868">
        <v>1.8670900000000001</v>
      </c>
      <c r="AM371" s="1868">
        <v>1.7420799999999999</v>
      </c>
      <c r="AN371" s="1868">
        <v>1.7544599999999999</v>
      </c>
      <c r="AO371" s="1868">
        <v>1.8381000000000001</v>
      </c>
      <c r="AP371" s="1868">
        <v>2.15347</v>
      </c>
      <c r="AQ371" s="1868">
        <v>2.0172400000000001</v>
      </c>
      <c r="AR371" s="1868">
        <v>2.4897999999999998</v>
      </c>
      <c r="AS371" s="1868">
        <v>2.68851</v>
      </c>
      <c r="AT371" s="1868">
        <v>3.1615799999999998</v>
      </c>
      <c r="AU371" s="1868">
        <v>2.3170999999999999</v>
      </c>
      <c r="AV371" s="1868">
        <v>2.2857099999999999</v>
      </c>
      <c r="AW371" s="1868">
        <v>2.06019</v>
      </c>
      <c r="AX371" s="1868">
        <v>1.44191</v>
      </c>
      <c r="AY371" s="1868">
        <v>2</v>
      </c>
      <c r="AZ371" s="1868">
        <v>1.94354</v>
      </c>
      <c r="BA371" s="1868">
        <v>2.17822</v>
      </c>
    </row>
    <row r="372" spans="1:53">
      <c r="A372" s="1865" t="str">
        <f t="shared" si="5"/>
        <v>Australia &amp; New ZealandLeguminous vegetables, nes</v>
      </c>
      <c r="B372" s="1866" t="s">
        <v>1357</v>
      </c>
      <c r="C372" s="1866" t="s">
        <v>1380</v>
      </c>
      <c r="D372" s="1868">
        <v>7.5</v>
      </c>
      <c r="E372" s="1868">
        <v>8</v>
      </c>
      <c r="F372" s="1868">
        <v>6.5</v>
      </c>
      <c r="G372" s="1868">
        <v>8.3333300000000001</v>
      </c>
      <c r="H372" s="1868">
        <v>8.2304499999999994</v>
      </c>
      <c r="I372" s="1868">
        <v>7.5</v>
      </c>
      <c r="J372" s="1868">
        <v>7.5</v>
      </c>
      <c r="K372" s="1868">
        <v>7.5</v>
      </c>
      <c r="L372" s="1868">
        <v>2</v>
      </c>
      <c r="M372" s="1868">
        <v>2</v>
      </c>
      <c r="N372" s="1868">
        <v>2.8721799999999997</v>
      </c>
      <c r="O372" s="1868">
        <v>1.54158</v>
      </c>
      <c r="P372" s="1868">
        <v>1.6153899999999999</v>
      </c>
      <c r="Q372" s="1868">
        <v>2.2310599999999998</v>
      </c>
      <c r="R372" s="1868">
        <v>1.6679700000000002</v>
      </c>
      <c r="S372" s="1868">
        <v>3.7832199999999996</v>
      </c>
      <c r="T372" s="1868">
        <v>2.7346900000000001</v>
      </c>
      <c r="U372" s="1868">
        <v>4.33474</v>
      </c>
      <c r="V372" s="1868">
        <v>3.8559999999999999</v>
      </c>
      <c r="W372" s="1868">
        <v>3.8471599999999997</v>
      </c>
      <c r="X372" s="1868">
        <v>3.1585799999999997</v>
      </c>
      <c r="Y372" s="1868">
        <v>3.6878800000000003</v>
      </c>
      <c r="Z372" s="1868">
        <v>3.5</v>
      </c>
      <c r="AA372" s="1868">
        <v>3.6666699999999999</v>
      </c>
      <c r="AB372" s="1868">
        <v>3.6</v>
      </c>
      <c r="AC372" s="1868">
        <v>3.5634699999999997</v>
      </c>
      <c r="AD372" s="1868">
        <v>3.6478000000000002</v>
      </c>
      <c r="AE372" s="1868">
        <v>3.6470599999999997</v>
      </c>
      <c r="AF372" s="1868">
        <v>3.6470599999999997</v>
      </c>
      <c r="AG372" s="1868">
        <v>3.5087699999999997</v>
      </c>
      <c r="AH372" s="1868">
        <v>3.3333300000000001</v>
      </c>
      <c r="AI372" s="1868">
        <v>3.75</v>
      </c>
      <c r="AJ372" s="1868">
        <v>3.4632000000000001</v>
      </c>
      <c r="AK372" s="1868">
        <v>4</v>
      </c>
      <c r="AL372" s="1868">
        <v>5</v>
      </c>
      <c r="AM372" s="1868">
        <v>7.5471699999999995</v>
      </c>
      <c r="AN372" s="1868">
        <v>7.6923100000000009</v>
      </c>
      <c r="AO372" s="1868">
        <v>7.6923100000000009</v>
      </c>
      <c r="AP372" s="1868">
        <v>7.6923100000000009</v>
      </c>
      <c r="AQ372" s="1868">
        <v>7.6923100000000009</v>
      </c>
      <c r="AR372" s="1868">
        <v>7.6923100000000009</v>
      </c>
      <c r="AS372" s="1868">
        <v>7.6923100000000009</v>
      </c>
      <c r="AT372" s="1868">
        <v>7.6923100000000009</v>
      </c>
      <c r="AU372" s="1868">
        <v>8.3871000000000002</v>
      </c>
      <c r="AV372" s="1868">
        <v>7.1417299999999999</v>
      </c>
      <c r="AW372" s="1868">
        <v>10.182689999999999</v>
      </c>
      <c r="AX372" s="1868">
        <v>9.0964899999999993</v>
      </c>
      <c r="AY372" s="1868">
        <v>10.393939999999999</v>
      </c>
      <c r="AZ372" s="1868">
        <v>10.01923</v>
      </c>
      <c r="BA372" s="1868">
        <v>10</v>
      </c>
    </row>
    <row r="373" spans="1:53">
      <c r="A373" s="1865" t="str">
        <f t="shared" si="5"/>
        <v>Australia &amp; New ZealandLinseed</v>
      </c>
      <c r="B373" s="1866" t="s">
        <v>1357</v>
      </c>
      <c r="C373" s="1866" t="s">
        <v>1381</v>
      </c>
      <c r="D373" s="1868">
        <v>0.60093999999999992</v>
      </c>
      <c r="E373" s="1868">
        <v>0.74738000000000004</v>
      </c>
      <c r="F373" s="1868">
        <v>0.74316000000000004</v>
      </c>
      <c r="G373" s="1868">
        <v>0.94071000000000005</v>
      </c>
      <c r="H373" s="1868">
        <v>0.85787999999999998</v>
      </c>
      <c r="I373" s="1868">
        <v>1.0741399999999999</v>
      </c>
      <c r="J373" s="1868">
        <v>0.68452999999999997</v>
      </c>
      <c r="K373" s="1868">
        <v>0.80147000000000002</v>
      </c>
      <c r="L373" s="1868">
        <v>0.86632999999999993</v>
      </c>
      <c r="M373" s="1868">
        <v>0.92015000000000002</v>
      </c>
      <c r="N373" s="1868">
        <v>0.86058999999999997</v>
      </c>
      <c r="O373" s="1868">
        <v>1.0174000000000001</v>
      </c>
      <c r="P373" s="1868">
        <v>1.1071200000000001</v>
      </c>
      <c r="Q373" s="1868">
        <v>1.0258200000000002</v>
      </c>
      <c r="R373" s="1868">
        <v>1.1570100000000001</v>
      </c>
      <c r="S373" s="1868">
        <v>1.2977000000000001</v>
      </c>
      <c r="T373" s="1868">
        <v>0.76051999999999997</v>
      </c>
      <c r="U373" s="1868">
        <v>1.28762</v>
      </c>
      <c r="V373" s="1868">
        <v>1.0313000000000001</v>
      </c>
      <c r="W373" s="1868">
        <v>0.91411000000000009</v>
      </c>
      <c r="X373" s="1868">
        <v>1.1193299999999999</v>
      </c>
      <c r="Y373" s="1868">
        <v>0.84384999999999999</v>
      </c>
      <c r="Z373" s="1868">
        <v>0.90612999999999988</v>
      </c>
      <c r="AA373" s="1868">
        <v>1.0642100000000001</v>
      </c>
      <c r="AB373" s="1868">
        <v>1.2008799999999999</v>
      </c>
      <c r="AC373" s="1868">
        <v>0.99034999999999995</v>
      </c>
      <c r="AD373" s="1868">
        <v>0.93400000000000005</v>
      </c>
      <c r="AE373" s="1868">
        <v>1.03226</v>
      </c>
      <c r="AF373" s="1868">
        <v>1.05166</v>
      </c>
      <c r="AG373" s="1868">
        <v>1.0335399999999999</v>
      </c>
      <c r="AH373" s="1868">
        <v>1.0006700000000002</v>
      </c>
      <c r="AI373" s="1868">
        <v>0.83418999999999999</v>
      </c>
      <c r="AJ373" s="1868">
        <v>1.21116</v>
      </c>
      <c r="AK373" s="1868">
        <v>1.12426</v>
      </c>
      <c r="AL373" s="1868">
        <v>0.77906999999999993</v>
      </c>
      <c r="AM373" s="1868">
        <v>1.14219</v>
      </c>
      <c r="AN373" s="1868">
        <v>0.94117999999999991</v>
      </c>
      <c r="AO373" s="1868">
        <v>1.0229700000000002</v>
      </c>
      <c r="AP373" s="1868">
        <v>1.0367600000000001</v>
      </c>
      <c r="AQ373" s="1868">
        <v>0.95327000000000006</v>
      </c>
      <c r="AR373" s="1868">
        <v>0.94392999999999994</v>
      </c>
      <c r="AS373" s="1868">
        <v>1.05263</v>
      </c>
      <c r="AT373" s="1868">
        <v>1.0731700000000002</v>
      </c>
      <c r="AU373" s="1868">
        <v>1.0652200000000001</v>
      </c>
      <c r="AV373" s="1868">
        <v>1.0652200000000001</v>
      </c>
      <c r="AW373" s="1868">
        <v>0.88</v>
      </c>
      <c r="AX373" s="1868">
        <v>0.96256000000000008</v>
      </c>
      <c r="AY373" s="1868">
        <v>1.07643</v>
      </c>
      <c r="AZ373" s="1868">
        <v>1.14821</v>
      </c>
      <c r="BA373" s="1868">
        <v>1.1686799999999999</v>
      </c>
    </row>
    <row r="374" spans="1:53">
      <c r="A374" s="1865" t="str">
        <f t="shared" si="5"/>
        <v>Australia &amp; New ZealandMaize</v>
      </c>
      <c r="B374" s="1866" t="s">
        <v>1357</v>
      </c>
      <c r="C374" s="1866" t="s">
        <v>1382</v>
      </c>
      <c r="D374" s="1868">
        <v>2.1810800000000001</v>
      </c>
      <c r="E374" s="1868">
        <v>2.2625599999999997</v>
      </c>
      <c r="F374" s="1868">
        <v>2.3289800000000001</v>
      </c>
      <c r="G374" s="1868">
        <v>2.08826</v>
      </c>
      <c r="H374" s="1868">
        <v>2.2068300000000001</v>
      </c>
      <c r="I374" s="1868">
        <v>1.74112</v>
      </c>
      <c r="J374" s="1868">
        <v>2.4688699999999999</v>
      </c>
      <c r="K374" s="1868">
        <v>2.4956099999999997</v>
      </c>
      <c r="L374" s="1868">
        <v>2.7175400000000001</v>
      </c>
      <c r="M374" s="1868">
        <v>2.85338</v>
      </c>
      <c r="N374" s="1868">
        <v>3.2082299999999999</v>
      </c>
      <c r="O374" s="1868">
        <v>3.5500699999999998</v>
      </c>
      <c r="P374" s="1868">
        <v>3.5540400000000001</v>
      </c>
      <c r="Q374" s="1868">
        <v>3.3395999999999999</v>
      </c>
      <c r="R374" s="1868">
        <v>4.0429000000000004</v>
      </c>
      <c r="S374" s="1868">
        <v>4.3403</v>
      </c>
      <c r="T374" s="1868">
        <v>4.3461800000000004</v>
      </c>
      <c r="U374" s="1868">
        <v>4.3444699999999994</v>
      </c>
      <c r="V374" s="1868">
        <v>4.81135</v>
      </c>
      <c r="W374" s="1868">
        <v>4.1854100000000001</v>
      </c>
      <c r="X374" s="1868">
        <v>4.4067099999999995</v>
      </c>
      <c r="Y374" s="1868">
        <v>4.7958400000000001</v>
      </c>
      <c r="Z374" s="1868">
        <v>3.4606499999999998</v>
      </c>
      <c r="AA374" s="1868">
        <v>4.5637600000000003</v>
      </c>
      <c r="AB374" s="1868">
        <v>3.8612500000000001</v>
      </c>
      <c r="AC374" s="1868">
        <v>4.4870400000000004</v>
      </c>
      <c r="AD374" s="1868">
        <v>4.9922699999999995</v>
      </c>
      <c r="AE374" s="1868">
        <v>4.8228900000000001</v>
      </c>
      <c r="AF374" s="1868">
        <v>5.3389699999999998</v>
      </c>
      <c r="AG374" s="1868">
        <v>5.4451400000000003</v>
      </c>
      <c r="AH374" s="1868">
        <v>5.5827</v>
      </c>
      <c r="AI374" s="1868">
        <v>6.1856999999999998</v>
      </c>
      <c r="AJ374" s="1868">
        <v>5.4553599999999998</v>
      </c>
      <c r="AK374" s="1868">
        <v>5.9320599999999999</v>
      </c>
      <c r="AL374" s="1868">
        <v>6.0423099999999996</v>
      </c>
      <c r="AM374" s="1868">
        <v>7.1392300000000004</v>
      </c>
      <c r="AN374" s="1868">
        <v>6.8439300000000003</v>
      </c>
      <c r="AO374" s="1868">
        <v>6</v>
      </c>
      <c r="AP374" s="1868">
        <v>6.26126</v>
      </c>
      <c r="AQ374" s="1868">
        <v>5.8726599999999998</v>
      </c>
      <c r="AR374" s="1868">
        <v>5.73407</v>
      </c>
      <c r="AS374" s="1868">
        <v>6.2035300000000007</v>
      </c>
      <c r="AT374" s="1868">
        <v>7.4267799999999999</v>
      </c>
      <c r="AU374" s="1868">
        <v>6.6137300000000003</v>
      </c>
      <c r="AV374" s="1868">
        <v>6.8759399999999991</v>
      </c>
      <c r="AW374" s="1868">
        <v>6.3442300000000005</v>
      </c>
      <c r="AX374" s="1868">
        <v>6.4586100000000002</v>
      </c>
      <c r="AY374" s="1868">
        <v>6.86625</v>
      </c>
      <c r="AZ374" s="1868">
        <v>7.1224600000000002</v>
      </c>
      <c r="BA374" s="1868">
        <v>6.7514799999999999</v>
      </c>
    </row>
    <row r="375" spans="1:53">
      <c r="A375" s="1865" t="str">
        <f t="shared" si="5"/>
        <v>Australia &amp; New ZealandMaize, green</v>
      </c>
      <c r="B375" s="1866" t="s">
        <v>1357</v>
      </c>
      <c r="C375" s="1866" t="s">
        <v>1383</v>
      </c>
      <c r="D375" s="1868">
        <v>10.34483</v>
      </c>
      <c r="E375" s="1868">
        <v>10.33333</v>
      </c>
      <c r="F375" s="1868">
        <v>10.32258</v>
      </c>
      <c r="G375" s="1868">
        <v>10.30303</v>
      </c>
      <c r="H375" s="1868">
        <v>10.225989999999999</v>
      </c>
      <c r="I375" s="1868">
        <v>9.8075100000000006</v>
      </c>
      <c r="J375" s="1868">
        <v>10.550460000000001</v>
      </c>
      <c r="K375" s="1868">
        <v>11.525730000000001</v>
      </c>
      <c r="L375" s="1868">
        <v>10.740739999999999</v>
      </c>
      <c r="M375" s="1868">
        <v>10.34056</v>
      </c>
      <c r="N375" s="1868">
        <v>11.35074</v>
      </c>
      <c r="O375" s="1868">
        <v>11.17977</v>
      </c>
      <c r="P375" s="1868">
        <v>10.84817</v>
      </c>
      <c r="Q375" s="1868">
        <v>10.57907</v>
      </c>
      <c r="R375" s="1868">
        <v>10.636799999999999</v>
      </c>
      <c r="S375" s="1868">
        <v>9.8040899999999986</v>
      </c>
      <c r="T375" s="1868">
        <v>10.619429999999999</v>
      </c>
      <c r="U375" s="1868">
        <v>11.95922</v>
      </c>
      <c r="V375" s="1868">
        <v>11.9185</v>
      </c>
      <c r="W375" s="1868">
        <v>11.821630000000001</v>
      </c>
      <c r="X375" s="1868">
        <v>11.61952</v>
      </c>
      <c r="Y375" s="1868">
        <v>10.685510000000001</v>
      </c>
      <c r="Z375" s="1868">
        <v>12.547989999999999</v>
      </c>
      <c r="AA375" s="1868">
        <v>11.661300000000001</v>
      </c>
      <c r="AB375" s="1868">
        <v>12.63313</v>
      </c>
      <c r="AC375" s="1868">
        <v>13.923779999999999</v>
      </c>
      <c r="AD375" s="1868">
        <v>14.040289999999999</v>
      </c>
      <c r="AE375" s="1868">
        <v>13.868570000000002</v>
      </c>
      <c r="AF375" s="1868">
        <v>14.09366</v>
      </c>
      <c r="AG375" s="1868">
        <v>15.07554</v>
      </c>
      <c r="AH375" s="1868">
        <v>15.380560000000001</v>
      </c>
      <c r="AI375" s="1868">
        <v>12.66169</v>
      </c>
      <c r="AJ375" s="1868">
        <v>12.432119999999999</v>
      </c>
      <c r="AK375" s="1868">
        <v>13.368929999999999</v>
      </c>
      <c r="AL375" s="1868">
        <v>14.38621</v>
      </c>
      <c r="AM375" s="1868">
        <v>13.511799999999999</v>
      </c>
      <c r="AN375" s="1868">
        <v>13.25278</v>
      </c>
      <c r="AO375" s="1868">
        <v>13.50179</v>
      </c>
      <c r="AP375" s="1868">
        <v>13.342570000000002</v>
      </c>
      <c r="AQ375" s="1868">
        <v>13.0154</v>
      </c>
      <c r="AR375" s="1868">
        <v>14.02384</v>
      </c>
      <c r="AS375" s="1868">
        <v>14.048110000000001</v>
      </c>
      <c r="AT375" s="1868">
        <v>13.50811</v>
      </c>
      <c r="AU375" s="1868">
        <v>14.73339</v>
      </c>
      <c r="AV375" s="1868">
        <v>12.50886</v>
      </c>
      <c r="AW375" s="1868">
        <v>12.78326</v>
      </c>
      <c r="AX375" s="1868">
        <v>12.680120000000001</v>
      </c>
      <c r="AY375" s="1868">
        <v>14.336729999999999</v>
      </c>
      <c r="AZ375" s="1868">
        <v>16.556650000000001</v>
      </c>
      <c r="BA375" s="1868">
        <v>15.7033</v>
      </c>
    </row>
    <row r="376" spans="1:53">
      <c r="A376" s="1865" t="str">
        <f t="shared" si="5"/>
        <v>Australia &amp; New ZealandMangoes, mangosteens, guavas</v>
      </c>
      <c r="B376" s="1866" t="s">
        <v>1357</v>
      </c>
      <c r="C376" s="1866" t="s">
        <v>1384</v>
      </c>
      <c r="D376" s="1868">
        <v>3.4080900000000001</v>
      </c>
      <c r="E376" s="1868">
        <v>3.4080900000000001</v>
      </c>
      <c r="F376" s="1868">
        <v>2.93662</v>
      </c>
      <c r="G376" s="1868">
        <v>3.61775</v>
      </c>
      <c r="H376" s="1868">
        <v>2.3974900000000003</v>
      </c>
      <c r="I376" s="1868">
        <v>3.4325300000000003</v>
      </c>
      <c r="J376" s="1868">
        <v>3.11145</v>
      </c>
      <c r="K376" s="1868">
        <v>3.5833300000000001</v>
      </c>
      <c r="L376" s="1868">
        <v>3.27027</v>
      </c>
      <c r="M376" s="1868">
        <v>2.82436</v>
      </c>
      <c r="N376" s="1868">
        <v>3.95</v>
      </c>
      <c r="O376" s="1868">
        <v>2.9851900000000002</v>
      </c>
      <c r="P376" s="1868">
        <v>3.6130400000000003</v>
      </c>
      <c r="Q376" s="1868">
        <v>1.7831299999999999</v>
      </c>
      <c r="R376" s="1868">
        <v>2.8357099999999997</v>
      </c>
      <c r="S376" s="1868">
        <v>1.45278</v>
      </c>
      <c r="T376" s="1868">
        <v>3.4814800000000004</v>
      </c>
      <c r="U376" s="1868">
        <v>3.2837199999999998</v>
      </c>
      <c r="V376" s="1868">
        <v>2.1572800000000001</v>
      </c>
      <c r="W376" s="1868">
        <v>2.6568800000000001</v>
      </c>
      <c r="X376" s="1868">
        <v>2.5668599999999997</v>
      </c>
      <c r="Y376" s="1868">
        <v>2.6523300000000001</v>
      </c>
      <c r="Z376" s="1868">
        <v>0.89888999999999997</v>
      </c>
      <c r="AA376" s="1868">
        <v>0.72456999999999994</v>
      </c>
      <c r="AB376" s="1868">
        <v>1.1007799999999999</v>
      </c>
      <c r="AC376" s="1868">
        <v>1.9047599999999998</v>
      </c>
      <c r="AD376" s="1868">
        <v>1.20167</v>
      </c>
      <c r="AE376" s="1868">
        <v>2.68885</v>
      </c>
      <c r="AF376" s="1868">
        <v>1.7475799999999999</v>
      </c>
      <c r="AG376" s="1868">
        <v>2.5032400000000004</v>
      </c>
      <c r="AH376" s="1868">
        <v>2.77163</v>
      </c>
      <c r="AI376" s="1868">
        <v>3.5941699999999996</v>
      </c>
      <c r="AJ376" s="1868">
        <v>3.9243900000000003</v>
      </c>
      <c r="AK376" s="1868">
        <v>3.24</v>
      </c>
      <c r="AL376" s="1868">
        <v>4.9288999999999996</v>
      </c>
      <c r="AM376" s="1868">
        <v>4.4164099999999999</v>
      </c>
      <c r="AN376" s="1868">
        <v>4.6960899999999999</v>
      </c>
      <c r="AO376" s="1868">
        <v>5.0787500000000003</v>
      </c>
      <c r="AP376" s="1868">
        <v>4.3953300000000004</v>
      </c>
      <c r="AQ376" s="1868">
        <v>5.07613</v>
      </c>
      <c r="AR376" s="1868">
        <v>4.29467</v>
      </c>
      <c r="AS376" s="1868">
        <v>5.1216300000000006</v>
      </c>
      <c r="AT376" s="1868">
        <v>5.01206</v>
      </c>
      <c r="AU376" s="1868">
        <v>4.5583800000000005</v>
      </c>
      <c r="AV376" s="1868">
        <v>5.9984299999999999</v>
      </c>
      <c r="AW376" s="1868">
        <v>6.0579999999999998</v>
      </c>
      <c r="AX376" s="1868">
        <v>6.0996800000000002</v>
      </c>
      <c r="AY376" s="1868">
        <v>5.1357200000000001</v>
      </c>
      <c r="AZ376" s="1868">
        <v>4.0921900000000004</v>
      </c>
      <c r="BA376" s="1868">
        <v>4.6675800000000001</v>
      </c>
    </row>
    <row r="377" spans="1:53">
      <c r="A377" s="1865" t="str">
        <f t="shared" si="5"/>
        <v>Australia &amp; New ZealandMillet</v>
      </c>
      <c r="B377" s="1866" t="s">
        <v>1357</v>
      </c>
      <c r="C377" s="1866" t="s">
        <v>1385</v>
      </c>
      <c r="D377" s="1868">
        <v>1.00901</v>
      </c>
      <c r="E377" s="1868">
        <v>1.10124</v>
      </c>
      <c r="F377" s="1868">
        <v>1.1507399999999999</v>
      </c>
      <c r="G377" s="1868">
        <v>0.96096000000000004</v>
      </c>
      <c r="H377" s="1868">
        <v>1.1091200000000001</v>
      </c>
      <c r="I377" s="1868">
        <v>0.86292999999999997</v>
      </c>
      <c r="J377" s="1868">
        <v>1.2155400000000001</v>
      </c>
      <c r="K377" s="1868">
        <v>1.02033</v>
      </c>
      <c r="L377" s="1868">
        <v>0.67154999999999998</v>
      </c>
      <c r="M377" s="1868">
        <v>0.89705000000000001</v>
      </c>
      <c r="N377" s="1868">
        <v>1.1595299999999999</v>
      </c>
      <c r="O377" s="1868">
        <v>1.0854999999999999</v>
      </c>
      <c r="P377" s="1868">
        <v>0.9573299999999999</v>
      </c>
      <c r="Q377" s="1868">
        <v>0.88290000000000002</v>
      </c>
      <c r="R377" s="1868">
        <v>0.97583999999999993</v>
      </c>
      <c r="S377" s="1868">
        <v>0.96809999999999996</v>
      </c>
      <c r="T377" s="1868">
        <v>0.77966999999999997</v>
      </c>
      <c r="U377" s="1868">
        <v>0.6573</v>
      </c>
      <c r="V377" s="1868">
        <v>1.1223399999999999</v>
      </c>
      <c r="W377" s="1868">
        <v>0.76976</v>
      </c>
      <c r="X377" s="1868">
        <v>1.0055700000000001</v>
      </c>
      <c r="Y377" s="1868">
        <v>1.1059000000000001</v>
      </c>
      <c r="Z377" s="1868">
        <v>0.81435000000000002</v>
      </c>
      <c r="AA377" s="1868">
        <v>1.15774</v>
      </c>
      <c r="AB377" s="1868">
        <v>0.88267999999999991</v>
      </c>
      <c r="AC377" s="1868">
        <v>1.03226</v>
      </c>
      <c r="AD377" s="1868">
        <v>0.92788999999999999</v>
      </c>
      <c r="AE377" s="1868">
        <v>1.29216</v>
      </c>
      <c r="AF377" s="1868">
        <v>0.79620000000000002</v>
      </c>
      <c r="AG377" s="1868">
        <v>1.1414600000000001</v>
      </c>
      <c r="AH377" s="1868">
        <v>0.65933999999999993</v>
      </c>
      <c r="AI377" s="1868">
        <v>1.2535799999999999</v>
      </c>
      <c r="AJ377" s="1868">
        <v>0.65288999999999997</v>
      </c>
      <c r="AK377" s="1868">
        <v>0.99007000000000012</v>
      </c>
      <c r="AL377" s="1868">
        <v>0.9973200000000001</v>
      </c>
      <c r="AM377" s="1868">
        <v>1.2981200000000002</v>
      </c>
      <c r="AN377" s="1868">
        <v>1.2</v>
      </c>
      <c r="AO377" s="1868">
        <v>0.96875</v>
      </c>
      <c r="AP377" s="1868">
        <v>1.2285700000000002</v>
      </c>
      <c r="AQ377" s="1868">
        <v>1.45743</v>
      </c>
      <c r="AR377" s="1868">
        <v>1.5277799999999999</v>
      </c>
      <c r="AS377" s="1868">
        <v>1.375</v>
      </c>
      <c r="AT377" s="1868">
        <v>0.89861000000000002</v>
      </c>
      <c r="AU377" s="1868">
        <v>1.2820799999999999</v>
      </c>
      <c r="AV377" s="1868">
        <v>1.0197799999999999</v>
      </c>
      <c r="AW377" s="1868">
        <v>1</v>
      </c>
      <c r="AX377" s="1868">
        <v>1</v>
      </c>
      <c r="AY377" s="1868">
        <v>1</v>
      </c>
      <c r="AZ377" s="1868">
        <v>0.95</v>
      </c>
      <c r="BA377" s="1868">
        <v>0.96597000000000011</v>
      </c>
    </row>
    <row r="378" spans="1:53">
      <c r="A378" s="1865" t="str">
        <f t="shared" si="5"/>
        <v>Australia &amp; New ZealandOats</v>
      </c>
      <c r="B378" s="1866" t="s">
        <v>1357</v>
      </c>
      <c r="C378" s="1866" t="s">
        <v>1349</v>
      </c>
      <c r="D378" s="1868">
        <v>0.82069999999999999</v>
      </c>
      <c r="E378" s="1868">
        <v>0.95276000000000005</v>
      </c>
      <c r="F378" s="1868">
        <v>0.90987000000000007</v>
      </c>
      <c r="G378" s="1868">
        <v>0.91073999999999999</v>
      </c>
      <c r="H378" s="1868">
        <v>0.74480000000000002</v>
      </c>
      <c r="I378" s="1868">
        <v>1.1425799999999999</v>
      </c>
      <c r="J378" s="1868">
        <v>0.54259000000000002</v>
      </c>
      <c r="K378" s="1868">
        <v>1.11022</v>
      </c>
      <c r="L378" s="1868">
        <v>0.9341799999999999</v>
      </c>
      <c r="M378" s="1868">
        <v>1.06132</v>
      </c>
      <c r="N378" s="1868">
        <v>1.0570200000000001</v>
      </c>
      <c r="O378" s="1868">
        <v>0.77661999999999998</v>
      </c>
      <c r="P378" s="1868">
        <v>0.96217000000000008</v>
      </c>
      <c r="Q378" s="1868">
        <v>1.0209700000000002</v>
      </c>
      <c r="R378" s="1868">
        <v>1.1829000000000001</v>
      </c>
      <c r="S378" s="1868">
        <v>1.10463</v>
      </c>
      <c r="T378" s="1868">
        <v>0.95947999999999989</v>
      </c>
      <c r="U378" s="1868">
        <v>1.31958</v>
      </c>
      <c r="V378" s="1868">
        <v>1.28722</v>
      </c>
      <c r="W378" s="1868">
        <v>1.0712200000000001</v>
      </c>
      <c r="X378" s="1868">
        <v>1.1868399999999999</v>
      </c>
      <c r="Y378" s="1868">
        <v>0.74026999999999998</v>
      </c>
      <c r="Z378" s="1868">
        <v>1.3244200000000002</v>
      </c>
      <c r="AA378" s="1868">
        <v>1.35961</v>
      </c>
      <c r="AB378" s="1868">
        <v>1.2761499999999999</v>
      </c>
      <c r="AC378" s="1868">
        <v>1.4169399999999999</v>
      </c>
      <c r="AD378" s="1868">
        <v>1.36958</v>
      </c>
      <c r="AE378" s="1868">
        <v>1.43343</v>
      </c>
      <c r="AF378" s="1868">
        <v>1.54111</v>
      </c>
      <c r="AG378" s="1868">
        <v>1.5115700000000001</v>
      </c>
      <c r="AH378" s="1868">
        <v>1.48709</v>
      </c>
      <c r="AI378" s="1868">
        <v>1.7144599999999999</v>
      </c>
      <c r="AJ378" s="1868">
        <v>1.7726200000000001</v>
      </c>
      <c r="AK378" s="1868">
        <v>1.07887</v>
      </c>
      <c r="AL378" s="1868">
        <v>1.6695200000000001</v>
      </c>
      <c r="AM378" s="1868">
        <v>1.5951500000000001</v>
      </c>
      <c r="AN378" s="1868">
        <v>1.7744900000000001</v>
      </c>
      <c r="AO378" s="1868">
        <v>2.0013099999999997</v>
      </c>
      <c r="AP378" s="1868">
        <v>1.95259</v>
      </c>
      <c r="AQ378" s="1868">
        <v>1.6495400000000002</v>
      </c>
      <c r="AR378" s="1868">
        <v>1.8458700000000001</v>
      </c>
      <c r="AS378" s="1868">
        <v>1.0801799999999999</v>
      </c>
      <c r="AT378" s="1868">
        <v>1.8703799999999999</v>
      </c>
      <c r="AU378" s="1868">
        <v>1.45461</v>
      </c>
      <c r="AV378" s="1868">
        <v>1.8320900000000002</v>
      </c>
      <c r="AW378" s="1868">
        <v>0.76988000000000001</v>
      </c>
      <c r="AX378" s="1868">
        <v>1.2301799999999998</v>
      </c>
      <c r="AY378" s="1868">
        <v>1.3541000000000001</v>
      </c>
      <c r="AZ378" s="1868">
        <v>1.3911799999999999</v>
      </c>
      <c r="BA378" s="1868">
        <v>1.6550200000000002</v>
      </c>
    </row>
    <row r="379" spans="1:53">
      <c r="A379" s="1865" t="str">
        <f t="shared" si="5"/>
        <v>Australia &amp; New ZealandOlives</v>
      </c>
      <c r="B379" s="1866" t="s">
        <v>1357</v>
      </c>
      <c r="C379" s="1866" t="s">
        <v>1387</v>
      </c>
      <c r="D379" s="1868">
        <v>0.99265000000000003</v>
      </c>
      <c r="E379" s="1868">
        <v>0.94106000000000001</v>
      </c>
      <c r="F379" s="1868">
        <v>1.0105299999999999</v>
      </c>
      <c r="G379" s="1868">
        <v>1.4954000000000001</v>
      </c>
      <c r="H379" s="1868">
        <v>0.95401000000000002</v>
      </c>
      <c r="I379" s="1868">
        <v>1.5902499999999999</v>
      </c>
      <c r="J379" s="1868">
        <v>1.5243599999999999</v>
      </c>
      <c r="K379" s="1868">
        <v>1.6929599999999998</v>
      </c>
      <c r="L379" s="1868">
        <v>1.7745299999999999</v>
      </c>
      <c r="M379" s="1868">
        <v>1.49614</v>
      </c>
      <c r="N379" s="1868">
        <v>1.7353900000000002</v>
      </c>
      <c r="O379" s="1868">
        <v>1.7561500000000001</v>
      </c>
      <c r="P379" s="1868">
        <v>1.9253900000000002</v>
      </c>
      <c r="Q379" s="1868">
        <v>1.93923</v>
      </c>
      <c r="R379" s="1868">
        <v>1.64917</v>
      </c>
      <c r="S379" s="1868">
        <v>2.4184600000000001</v>
      </c>
      <c r="T379" s="1868">
        <v>1.32067</v>
      </c>
      <c r="U379" s="1868">
        <v>2.0953900000000001</v>
      </c>
      <c r="V379" s="1868">
        <v>2.1428599999999998</v>
      </c>
      <c r="W379" s="1868">
        <v>1.5369999999999999</v>
      </c>
      <c r="X379" s="1868">
        <v>1.02467</v>
      </c>
      <c r="Y379" s="1868">
        <v>1.85867</v>
      </c>
      <c r="Z379" s="1868">
        <v>0.86799999999999999</v>
      </c>
      <c r="AA379" s="1868">
        <v>1.84375</v>
      </c>
      <c r="AB379" s="1868">
        <v>1.9</v>
      </c>
      <c r="AC379" s="1868">
        <v>1.605</v>
      </c>
      <c r="AD379" s="1868">
        <v>0.97199999999999998</v>
      </c>
      <c r="AE379" s="1868">
        <v>1.4924999999999999</v>
      </c>
      <c r="AF379" s="1868">
        <v>1.3075000000000001</v>
      </c>
      <c r="AG379" s="1868">
        <v>1.78</v>
      </c>
      <c r="AH379" s="1868">
        <v>1.71</v>
      </c>
      <c r="AI379" s="1868">
        <v>1.5549999999999999</v>
      </c>
      <c r="AJ379" s="1868">
        <v>1.24379</v>
      </c>
      <c r="AK379" s="1868">
        <v>1.07463</v>
      </c>
      <c r="AL379" s="1868">
        <v>1.0452999999999999</v>
      </c>
      <c r="AM379" s="1868">
        <v>1.45455</v>
      </c>
      <c r="AN379" s="1868">
        <v>1.4266700000000001</v>
      </c>
      <c r="AO379" s="1868">
        <v>1.526</v>
      </c>
      <c r="AP379" s="1868">
        <v>2.0033300000000001</v>
      </c>
      <c r="AQ379" s="1868">
        <v>1.47831</v>
      </c>
      <c r="AR379" s="1868">
        <v>1.62999</v>
      </c>
      <c r="AS379" s="1868">
        <v>1.8</v>
      </c>
      <c r="AT379" s="1868">
        <v>2.1273299999999997</v>
      </c>
      <c r="AU379" s="1868">
        <v>2.0765099999999999</v>
      </c>
      <c r="AV379" s="1868">
        <v>2.0946400000000001</v>
      </c>
      <c r="AW379" s="1868">
        <v>2.1088499999999999</v>
      </c>
      <c r="AX379" s="1868">
        <v>2.1156700000000002</v>
      </c>
      <c r="AY379" s="1868">
        <v>2.0979000000000001</v>
      </c>
      <c r="AZ379" s="1868">
        <v>2.0884999999999998</v>
      </c>
      <c r="BA379" s="1868">
        <v>2.3498399999999999</v>
      </c>
    </row>
    <row r="380" spans="1:53">
      <c r="A380" s="1865" t="str">
        <f t="shared" si="5"/>
        <v>Australia &amp; New ZealandOnions, dry</v>
      </c>
      <c r="B380" s="1866" t="s">
        <v>1357</v>
      </c>
      <c r="C380" s="1866" t="s">
        <v>1388</v>
      </c>
      <c r="D380" s="1868">
        <v>15.55763</v>
      </c>
      <c r="E380" s="1868">
        <v>15.55763</v>
      </c>
      <c r="F380" s="1868">
        <v>15.91231</v>
      </c>
      <c r="G380" s="1868">
        <v>16.138529999999999</v>
      </c>
      <c r="H380" s="1868">
        <v>18.029529999999998</v>
      </c>
      <c r="I380" s="1868">
        <v>17.68703</v>
      </c>
      <c r="J380" s="1868">
        <v>20.769850000000002</v>
      </c>
      <c r="K380" s="1868">
        <v>14.904689999999999</v>
      </c>
      <c r="L380" s="1868">
        <v>19.12762</v>
      </c>
      <c r="M380" s="1868">
        <v>20.520150000000001</v>
      </c>
      <c r="N380" s="1868">
        <v>21.464560000000002</v>
      </c>
      <c r="O380" s="1868">
        <v>23.901859999999999</v>
      </c>
      <c r="P380" s="1868">
        <v>20.885750000000002</v>
      </c>
      <c r="Q380" s="1868">
        <v>22.407450000000001</v>
      </c>
      <c r="R380" s="1868">
        <v>24.596589999999999</v>
      </c>
      <c r="S380" s="1868">
        <v>23.549939999999999</v>
      </c>
      <c r="T380" s="1868">
        <v>24.522120000000001</v>
      </c>
      <c r="U380" s="1868">
        <v>28.00367</v>
      </c>
      <c r="V380" s="1868">
        <v>28.101679999999998</v>
      </c>
      <c r="W380" s="1868">
        <v>29.95505</v>
      </c>
      <c r="X380" s="1868">
        <v>28.956600000000002</v>
      </c>
      <c r="Y380" s="1868">
        <v>32.046520000000001</v>
      </c>
      <c r="Z380" s="1868">
        <v>30.425240000000002</v>
      </c>
      <c r="AA380" s="1868">
        <v>30.450490000000002</v>
      </c>
      <c r="AB380" s="1868">
        <v>34.184280000000001</v>
      </c>
      <c r="AC380" s="1868">
        <v>36.029490000000003</v>
      </c>
      <c r="AD380" s="1868">
        <v>37.958529999999996</v>
      </c>
      <c r="AE380" s="1868">
        <v>36.046620000000004</v>
      </c>
      <c r="AF380" s="1868">
        <v>36.435859999999998</v>
      </c>
      <c r="AG380" s="1868">
        <v>37.876449999999998</v>
      </c>
      <c r="AH380" s="1868">
        <v>39.299279999999996</v>
      </c>
      <c r="AI380" s="1868">
        <v>40.474220000000003</v>
      </c>
      <c r="AJ380" s="1868">
        <v>38.196539999999999</v>
      </c>
      <c r="AK380" s="1868">
        <v>40.985390000000002</v>
      </c>
      <c r="AL380" s="1868">
        <v>38.805810000000001</v>
      </c>
      <c r="AM380" s="1868">
        <v>44.516390000000001</v>
      </c>
      <c r="AN380" s="1868">
        <v>41.314340000000001</v>
      </c>
      <c r="AO380" s="1868">
        <v>38.852499999999999</v>
      </c>
      <c r="AP380" s="1868">
        <v>41.859279999999998</v>
      </c>
      <c r="AQ380" s="1868">
        <v>46.748719999999999</v>
      </c>
      <c r="AR380" s="1868">
        <v>44.464240000000004</v>
      </c>
      <c r="AS380" s="1868">
        <v>51.245420000000003</v>
      </c>
      <c r="AT380" s="1868">
        <v>43.436820000000004</v>
      </c>
      <c r="AU380" s="1868">
        <v>41.985250000000001</v>
      </c>
      <c r="AV380" s="1868">
        <v>42.881070000000001</v>
      </c>
      <c r="AW380" s="1868">
        <v>48.91404</v>
      </c>
      <c r="AX380" s="1868">
        <v>45.537779999999998</v>
      </c>
      <c r="AY380" s="1868">
        <v>50.740479999999998</v>
      </c>
      <c r="AZ380" s="1868">
        <v>51.952959999999997</v>
      </c>
      <c r="BA380" s="1868">
        <v>48.779699999999998</v>
      </c>
    </row>
    <row r="381" spans="1:53">
      <c r="A381" s="1865" t="str">
        <f t="shared" si="5"/>
        <v>Australia &amp; New ZealandOranges</v>
      </c>
      <c r="B381" s="1866" t="s">
        <v>1357</v>
      </c>
      <c r="C381" s="1866" t="s">
        <v>1389</v>
      </c>
      <c r="D381" s="1868">
        <v>11.027610000000001</v>
      </c>
      <c r="E381" s="1868">
        <v>11.017539999999999</v>
      </c>
      <c r="F381" s="1868">
        <v>12.153650000000001</v>
      </c>
      <c r="G381" s="1868">
        <v>11.08572</v>
      </c>
      <c r="H381" s="1868">
        <v>13.36565</v>
      </c>
      <c r="I381" s="1868">
        <v>11.03693</v>
      </c>
      <c r="J381" s="1868">
        <v>12.868260000000001</v>
      </c>
      <c r="K381" s="1868">
        <v>11.55678</v>
      </c>
      <c r="L381" s="1868">
        <v>13.377039999999999</v>
      </c>
      <c r="M381" s="1868">
        <v>11.954789999999999</v>
      </c>
      <c r="N381" s="1868">
        <v>16.455110000000001</v>
      </c>
      <c r="O381" s="1868">
        <v>15.106260000000001</v>
      </c>
      <c r="P381" s="1868">
        <v>18.576039999999999</v>
      </c>
      <c r="Q381" s="1868">
        <v>16.815270000000002</v>
      </c>
      <c r="R381" s="1868">
        <v>18.94134</v>
      </c>
      <c r="S381" s="1868">
        <v>20.08201</v>
      </c>
      <c r="T381" s="1868">
        <v>17.59327</v>
      </c>
      <c r="U381" s="1868">
        <v>19.25395</v>
      </c>
      <c r="V381" s="1868">
        <v>19.639429999999997</v>
      </c>
      <c r="W381" s="1868">
        <v>19.889610000000001</v>
      </c>
      <c r="X381" s="1868">
        <v>20.24897</v>
      </c>
      <c r="Y381" s="1868">
        <v>17.478829999999999</v>
      </c>
      <c r="Z381" s="1868">
        <v>18.47823</v>
      </c>
      <c r="AA381" s="1868">
        <v>17.26398</v>
      </c>
      <c r="AB381" s="1868">
        <v>18.851870000000002</v>
      </c>
      <c r="AC381" s="1868">
        <v>21.01323</v>
      </c>
      <c r="AD381" s="1868">
        <v>20.610579999999999</v>
      </c>
      <c r="AE381" s="1868">
        <v>19.4801</v>
      </c>
      <c r="AF381" s="1868">
        <v>16.020570000000003</v>
      </c>
      <c r="AG381" s="1868">
        <v>19.215</v>
      </c>
      <c r="AH381" s="1868">
        <v>17.523989999999998</v>
      </c>
      <c r="AI381" s="1868">
        <v>17.589110000000002</v>
      </c>
      <c r="AJ381" s="1868">
        <v>22.72259</v>
      </c>
      <c r="AK381" s="1868">
        <v>20.86636</v>
      </c>
      <c r="AL381" s="1868">
        <v>19.46133</v>
      </c>
      <c r="AM381" s="1868">
        <v>16.632629999999999</v>
      </c>
      <c r="AN381" s="1868">
        <v>19.23237</v>
      </c>
      <c r="AO381" s="1868">
        <v>18.3857</v>
      </c>
      <c r="AP381" s="1868">
        <v>16.870920000000002</v>
      </c>
      <c r="AQ381" s="1868">
        <v>18.66047</v>
      </c>
      <c r="AR381" s="1868">
        <v>22.673500000000001</v>
      </c>
      <c r="AS381" s="1868">
        <v>17.56429</v>
      </c>
      <c r="AT381" s="1868">
        <v>23.67484</v>
      </c>
      <c r="AU381" s="1868">
        <v>18.054500000000001</v>
      </c>
      <c r="AV381" s="1868">
        <v>22.40859</v>
      </c>
      <c r="AW381" s="1868">
        <v>20.074289999999998</v>
      </c>
      <c r="AX381" s="1868">
        <v>18.117929999999998</v>
      </c>
      <c r="AY381" s="1868">
        <v>18.418710000000001</v>
      </c>
      <c r="AZ381" s="1868">
        <v>18.084489999999999</v>
      </c>
      <c r="BA381" s="1868">
        <v>18.50958</v>
      </c>
    </row>
    <row r="382" spans="1:53">
      <c r="A382" s="1865" t="str">
        <f t="shared" si="5"/>
        <v>Australia &amp; New ZealandPeaches and nectarines</v>
      </c>
      <c r="B382" s="1866" t="s">
        <v>1357</v>
      </c>
      <c r="C382" s="1866" t="s">
        <v>1390</v>
      </c>
      <c r="D382" s="1868">
        <v>8.6427800000000001</v>
      </c>
      <c r="E382" s="1868">
        <v>8.7046799999999998</v>
      </c>
      <c r="F382" s="1868">
        <v>10.81537</v>
      </c>
      <c r="G382" s="1868">
        <v>9.8035700000000006</v>
      </c>
      <c r="H382" s="1868">
        <v>9.93689</v>
      </c>
      <c r="I382" s="1868">
        <v>10.91413</v>
      </c>
      <c r="J382" s="1868">
        <v>11.68662</v>
      </c>
      <c r="K382" s="1868">
        <v>12.39536</v>
      </c>
      <c r="L382" s="1868">
        <v>13.552720000000001</v>
      </c>
      <c r="M382" s="1868">
        <v>12.24184</v>
      </c>
      <c r="N382" s="1868">
        <v>12.324949999999999</v>
      </c>
      <c r="O382" s="1868">
        <v>13.028</v>
      </c>
      <c r="P382" s="1868">
        <v>13.043010000000001</v>
      </c>
      <c r="Q382" s="1868">
        <v>13.777670000000001</v>
      </c>
      <c r="R382" s="1868">
        <v>11.46224</v>
      </c>
      <c r="S382" s="1868">
        <v>13.73325</v>
      </c>
      <c r="T382" s="1868">
        <v>13.28121</v>
      </c>
      <c r="U382" s="1868">
        <v>11.910739999999999</v>
      </c>
      <c r="V382" s="1868">
        <v>12.080169999999999</v>
      </c>
      <c r="W382" s="1868">
        <v>12.697510000000001</v>
      </c>
      <c r="X382" s="1868">
        <v>13.09568</v>
      </c>
      <c r="Y382" s="1868">
        <v>13.49119</v>
      </c>
      <c r="Z382" s="1868">
        <v>10.836919999999999</v>
      </c>
      <c r="AA382" s="1868">
        <v>10.945589999999999</v>
      </c>
      <c r="AB382" s="1868">
        <v>8.3453300000000006</v>
      </c>
      <c r="AC382" s="1868">
        <v>9.6896599999999999</v>
      </c>
      <c r="AD382" s="1868">
        <v>9.6741299999999999</v>
      </c>
      <c r="AE382" s="1868">
        <v>9.0805899999999991</v>
      </c>
      <c r="AF382" s="1868">
        <v>8.8467699999999994</v>
      </c>
      <c r="AG382" s="1868">
        <v>5.9471499999999997</v>
      </c>
      <c r="AH382" s="1868">
        <v>6.1962099999999998</v>
      </c>
      <c r="AI382" s="1868">
        <v>6.1385699999999996</v>
      </c>
      <c r="AJ382" s="1868">
        <v>6.75427</v>
      </c>
      <c r="AK382" s="1868">
        <v>6.6326999999999998</v>
      </c>
      <c r="AL382" s="1868">
        <v>5.9899699999999996</v>
      </c>
      <c r="AM382" s="1868">
        <v>6.1992099999999999</v>
      </c>
      <c r="AN382" s="1868">
        <v>7.5521699999999994</v>
      </c>
      <c r="AO382" s="1868">
        <v>7.1540899999999992</v>
      </c>
      <c r="AP382" s="1868">
        <v>6.735310000000001</v>
      </c>
      <c r="AQ382" s="1868">
        <v>5.5262799999999999</v>
      </c>
      <c r="AR382" s="1868">
        <v>6.3337599999999998</v>
      </c>
      <c r="AS382" s="1868">
        <v>6.02217</v>
      </c>
      <c r="AT382" s="1868">
        <v>5.7717700000000001</v>
      </c>
      <c r="AU382" s="1868">
        <v>5.3650699999999993</v>
      </c>
      <c r="AV382" s="1868">
        <v>6.7756999999999996</v>
      </c>
      <c r="AW382" s="1868">
        <v>7.1455399999999996</v>
      </c>
      <c r="AX382" s="1868">
        <v>6.6549899999999997</v>
      </c>
      <c r="AY382" s="1868">
        <v>6.4976599999999998</v>
      </c>
      <c r="AZ382" s="1868">
        <v>5.7467899999999998</v>
      </c>
      <c r="BA382" s="1868">
        <v>5.8329300000000002</v>
      </c>
    </row>
    <row r="383" spans="1:53">
      <c r="A383" s="1865" t="str">
        <f t="shared" si="5"/>
        <v>Australia &amp; New ZealandPeas, dry</v>
      </c>
      <c r="B383" s="1866" t="s">
        <v>1357</v>
      </c>
      <c r="C383" s="1866" t="s">
        <v>1391</v>
      </c>
      <c r="D383" s="1868">
        <v>1.34738</v>
      </c>
      <c r="E383" s="1868">
        <v>1.26552</v>
      </c>
      <c r="F383" s="1868">
        <v>1.5288299999999999</v>
      </c>
      <c r="G383" s="1868">
        <v>1.6301399999999999</v>
      </c>
      <c r="H383" s="1868">
        <v>1.15394</v>
      </c>
      <c r="I383" s="1868">
        <v>1.36724</v>
      </c>
      <c r="J383" s="1868">
        <v>1.28793</v>
      </c>
      <c r="K383" s="1868">
        <v>1.62287</v>
      </c>
      <c r="L383" s="1868">
        <v>1.6114200000000001</v>
      </c>
      <c r="M383" s="1868">
        <v>1.45187</v>
      </c>
      <c r="N383" s="1868">
        <v>1.5399</v>
      </c>
      <c r="O383" s="1868">
        <v>1.61496</v>
      </c>
      <c r="P383" s="1868">
        <v>1.9564900000000001</v>
      </c>
      <c r="Q383" s="1868">
        <v>1.8844900000000002</v>
      </c>
      <c r="R383" s="1868">
        <v>1.6568900000000002</v>
      </c>
      <c r="S383" s="1868">
        <v>1.88907</v>
      </c>
      <c r="T383" s="1868">
        <v>1.2463899999999999</v>
      </c>
      <c r="U383" s="1868">
        <v>1.8483099999999999</v>
      </c>
      <c r="V383" s="1868">
        <v>1.6799599999999999</v>
      </c>
      <c r="W383" s="1868">
        <v>1.661</v>
      </c>
      <c r="X383" s="1868">
        <v>1.56291</v>
      </c>
      <c r="Y383" s="1868">
        <v>1.9919900000000001</v>
      </c>
      <c r="Z383" s="1868">
        <v>1.8224</v>
      </c>
      <c r="AA383" s="1868">
        <v>1.48749</v>
      </c>
      <c r="AB383" s="1868">
        <v>1.3741700000000001</v>
      </c>
      <c r="AC383" s="1868">
        <v>1.6933900000000002</v>
      </c>
      <c r="AD383" s="1868">
        <v>1.2354000000000001</v>
      </c>
      <c r="AE383" s="1868">
        <v>1.2286999999999999</v>
      </c>
      <c r="AF383" s="1868">
        <v>1.2523299999999999</v>
      </c>
      <c r="AG383" s="1868">
        <v>1.1181099999999999</v>
      </c>
      <c r="AH383" s="1868">
        <v>1.20668</v>
      </c>
      <c r="AI383" s="1868">
        <v>1.31264</v>
      </c>
      <c r="AJ383" s="1868">
        <v>1.4821500000000001</v>
      </c>
      <c r="AK383" s="1868">
        <v>0.62529999999999997</v>
      </c>
      <c r="AL383" s="1868">
        <v>1.46577</v>
      </c>
      <c r="AM383" s="1868">
        <v>1.42628</v>
      </c>
      <c r="AN383" s="1868">
        <v>0.95842999999999989</v>
      </c>
      <c r="AO383" s="1868">
        <v>0.93457000000000012</v>
      </c>
      <c r="AP383" s="1868">
        <v>1.2121600000000001</v>
      </c>
      <c r="AQ383" s="1868">
        <v>1.2470000000000001</v>
      </c>
      <c r="AR383" s="1868">
        <v>1.57057</v>
      </c>
      <c r="AS383" s="1868">
        <v>0.53180000000000005</v>
      </c>
      <c r="AT383" s="1868">
        <v>1.42743</v>
      </c>
      <c r="AU383" s="1868">
        <v>0.75551000000000001</v>
      </c>
      <c r="AV383" s="1868">
        <v>1.6459700000000002</v>
      </c>
      <c r="AW383" s="1868">
        <v>0.436</v>
      </c>
      <c r="AX383" s="1868">
        <v>0.96919</v>
      </c>
      <c r="AY383" s="1868">
        <v>0.84382000000000013</v>
      </c>
      <c r="AZ383" s="1868">
        <v>1.28962</v>
      </c>
      <c r="BA383" s="1868">
        <v>1.09714</v>
      </c>
    </row>
    <row r="384" spans="1:53">
      <c r="A384" s="1865" t="str">
        <f t="shared" si="5"/>
        <v>Australia &amp; New ZealandPeas, green</v>
      </c>
      <c r="B384" s="1866" t="s">
        <v>1357</v>
      </c>
      <c r="C384" s="1866" t="s">
        <v>1392</v>
      </c>
      <c r="D384" s="1868">
        <v>3.4349800000000004</v>
      </c>
      <c r="E384" s="1868">
        <v>3.3922400000000001</v>
      </c>
      <c r="F384" s="1868">
        <v>3.4051400000000003</v>
      </c>
      <c r="G384" s="1868">
        <v>4.1739300000000004</v>
      </c>
      <c r="H384" s="1868">
        <v>3.8091800000000005</v>
      </c>
      <c r="I384" s="1868">
        <v>4.3172300000000003</v>
      </c>
      <c r="J384" s="1868">
        <v>3.9726499999999998</v>
      </c>
      <c r="K384" s="1868">
        <v>4.6476699999999997</v>
      </c>
      <c r="L384" s="1868">
        <v>5.0316000000000001</v>
      </c>
      <c r="M384" s="1868">
        <v>4.4464899999999998</v>
      </c>
      <c r="N384" s="1868">
        <v>4.9914699999999996</v>
      </c>
      <c r="O384" s="1868">
        <v>4.57416</v>
      </c>
      <c r="P384" s="1868">
        <v>5.1408300000000002</v>
      </c>
      <c r="Q384" s="1868">
        <v>5.6699099999999998</v>
      </c>
      <c r="R384" s="1868">
        <v>4.71671</v>
      </c>
      <c r="S384" s="1868">
        <v>5.8792</v>
      </c>
      <c r="T384" s="1868">
        <v>5.0805300000000004</v>
      </c>
      <c r="U384" s="1868">
        <v>5.9507099999999999</v>
      </c>
      <c r="V384" s="1868">
        <v>5.9602399999999998</v>
      </c>
      <c r="W384" s="1868">
        <v>6.0344699999999998</v>
      </c>
      <c r="X384" s="1868">
        <v>6.1605400000000001</v>
      </c>
      <c r="Y384" s="1868">
        <v>6.1111500000000003</v>
      </c>
      <c r="Z384" s="1868">
        <v>6.3174800000000007</v>
      </c>
      <c r="AA384" s="1868">
        <v>5.86632</v>
      </c>
      <c r="AB384" s="1868">
        <v>5.4586399999999999</v>
      </c>
      <c r="AC384" s="1868">
        <v>4.2649499999999998</v>
      </c>
      <c r="AD384" s="1868">
        <v>4.1286899999999997</v>
      </c>
      <c r="AE384" s="1868">
        <v>4.8367800000000001</v>
      </c>
      <c r="AF384" s="1868">
        <v>4.99742</v>
      </c>
      <c r="AG384" s="1868">
        <v>5.1757400000000002</v>
      </c>
      <c r="AH384" s="1868">
        <v>5.3201599999999996</v>
      </c>
      <c r="AI384" s="1868">
        <v>4.8697300000000006</v>
      </c>
      <c r="AJ384" s="1868">
        <v>5.1649500000000002</v>
      </c>
      <c r="AK384" s="1868">
        <v>5.2525599999999999</v>
      </c>
      <c r="AL384" s="1868">
        <v>5.4941800000000001</v>
      </c>
      <c r="AM384" s="1868">
        <v>5.5026299999999999</v>
      </c>
      <c r="AN384" s="1868">
        <v>5.8100899999999998</v>
      </c>
      <c r="AO384" s="1868">
        <v>5.1455199999999994</v>
      </c>
      <c r="AP384" s="1868">
        <v>7.0223800000000001</v>
      </c>
      <c r="AQ384" s="1868">
        <v>7.6909100000000006</v>
      </c>
      <c r="AR384" s="1868">
        <v>7.3537399999999993</v>
      </c>
      <c r="AS384" s="1868">
        <v>5.30375</v>
      </c>
      <c r="AT384" s="1868">
        <v>5.5921000000000003</v>
      </c>
      <c r="AU384" s="1868">
        <v>5.9874999999999998</v>
      </c>
      <c r="AV384" s="1868">
        <v>6.5896999999999997</v>
      </c>
      <c r="AW384" s="1868">
        <v>8.4648099999999999</v>
      </c>
      <c r="AX384" s="1868">
        <v>8.0639000000000003</v>
      </c>
      <c r="AY384" s="1868">
        <v>9.4255100000000009</v>
      </c>
      <c r="AZ384" s="1868">
        <v>8.7912400000000002</v>
      </c>
      <c r="BA384" s="1868">
        <v>8.2815499999999993</v>
      </c>
    </row>
    <row r="385" spans="1:53">
      <c r="A385" s="1865" t="str">
        <f t="shared" si="5"/>
        <v>Australia &amp; New ZealandPineapples</v>
      </c>
      <c r="B385" s="1866" t="s">
        <v>1357</v>
      </c>
      <c r="C385" s="1866" t="s">
        <v>1351</v>
      </c>
      <c r="D385" s="1868">
        <v>25.300539999999998</v>
      </c>
      <c r="E385" s="1868">
        <v>25.300539999999998</v>
      </c>
      <c r="F385" s="1868">
        <v>27.057490000000001</v>
      </c>
      <c r="G385" s="1868">
        <v>27.837609999999998</v>
      </c>
      <c r="H385" s="1868">
        <v>26.377340000000004</v>
      </c>
      <c r="I385" s="1868">
        <v>27.000859999999999</v>
      </c>
      <c r="J385" s="1868">
        <v>29.717300000000002</v>
      </c>
      <c r="K385" s="1868">
        <v>30.898690000000002</v>
      </c>
      <c r="L385" s="1868">
        <v>28.016640000000002</v>
      </c>
      <c r="M385" s="1868">
        <v>27.487379999999998</v>
      </c>
      <c r="N385" s="1868">
        <v>26.871749999999999</v>
      </c>
      <c r="O385" s="1868">
        <v>30.79157</v>
      </c>
      <c r="P385" s="1868">
        <v>30.653320000000001</v>
      </c>
      <c r="Q385" s="1868">
        <v>27.803100000000001</v>
      </c>
      <c r="R385" s="1868">
        <v>28.854229999999998</v>
      </c>
      <c r="S385" s="1868">
        <v>27.102420000000002</v>
      </c>
      <c r="T385" s="1868">
        <v>29.403220000000001</v>
      </c>
      <c r="U385" s="1868">
        <v>26.308879999999998</v>
      </c>
      <c r="V385" s="1868">
        <v>26.888459999999998</v>
      </c>
      <c r="W385" s="1868">
        <v>30.101340000000004</v>
      </c>
      <c r="X385" s="1868">
        <v>30.121949999999998</v>
      </c>
      <c r="Y385" s="1868">
        <v>30.895399999999999</v>
      </c>
      <c r="Z385" s="1868">
        <v>30.297029999999999</v>
      </c>
      <c r="AA385" s="1868">
        <v>31.757109999999997</v>
      </c>
      <c r="AB385" s="1868">
        <v>33.032899999999998</v>
      </c>
      <c r="AC385" s="1868">
        <v>35.101979999999998</v>
      </c>
      <c r="AD385" s="1868">
        <v>37.835990000000002</v>
      </c>
      <c r="AE385" s="1868">
        <v>38.900690000000004</v>
      </c>
      <c r="AF385" s="1868">
        <v>37.825130000000001</v>
      </c>
      <c r="AG385" s="1868">
        <v>35.587590000000006</v>
      </c>
      <c r="AH385" s="1868">
        <v>35.432629999999996</v>
      </c>
      <c r="AI385" s="1868">
        <v>39.587340000000005</v>
      </c>
      <c r="AJ385" s="1868">
        <v>41.654769999999999</v>
      </c>
      <c r="AK385" s="1868">
        <v>42.9223</v>
      </c>
      <c r="AL385" s="1868">
        <v>43.160800000000002</v>
      </c>
      <c r="AM385" s="1868">
        <v>45.277619999999999</v>
      </c>
      <c r="AN385" s="1868">
        <v>46.094830000000002</v>
      </c>
      <c r="AO385" s="1868">
        <v>44.534399999999998</v>
      </c>
      <c r="AP385" s="1868">
        <v>46.5732</v>
      </c>
      <c r="AQ385" s="1868">
        <v>49.444090000000003</v>
      </c>
      <c r="AR385" s="1868">
        <v>43.76802</v>
      </c>
      <c r="AS385" s="1868">
        <v>40.2727</v>
      </c>
      <c r="AT385" s="1868">
        <v>40.039369999999998</v>
      </c>
      <c r="AU385" s="1868">
        <v>41.44782</v>
      </c>
      <c r="AV385" s="1868">
        <v>37.936540000000001</v>
      </c>
      <c r="AW385" s="1868">
        <v>30.862240000000003</v>
      </c>
      <c r="AX385" s="1868">
        <v>32.086480000000002</v>
      </c>
      <c r="AY385" s="1868">
        <v>32.4</v>
      </c>
      <c r="AZ385" s="1868">
        <v>32.73386</v>
      </c>
      <c r="BA385" s="1868">
        <v>33.260870000000004</v>
      </c>
    </row>
    <row r="386" spans="1:53">
      <c r="A386" s="1865" t="str">
        <f t="shared" si="5"/>
        <v>Australia &amp; New ZealandPotatoes</v>
      </c>
      <c r="B386" s="1866" t="s">
        <v>1357</v>
      </c>
      <c r="C386" s="1866" t="s">
        <v>1394</v>
      </c>
      <c r="D386" s="1868">
        <v>14.34958</v>
      </c>
      <c r="E386" s="1868">
        <v>15.577920000000001</v>
      </c>
      <c r="F386" s="1868">
        <v>15.751170000000002</v>
      </c>
      <c r="G386" s="1868">
        <v>15.203760000000001</v>
      </c>
      <c r="H386" s="1868">
        <v>16.488900000000001</v>
      </c>
      <c r="I386" s="1868">
        <v>17.777160000000002</v>
      </c>
      <c r="J386" s="1868">
        <v>18.160489999999999</v>
      </c>
      <c r="K386" s="1868">
        <v>18.1478</v>
      </c>
      <c r="L386" s="1868">
        <v>19.92145</v>
      </c>
      <c r="M386" s="1868">
        <v>19.873059999999999</v>
      </c>
      <c r="N386" s="1868">
        <v>21.819229999999997</v>
      </c>
      <c r="O386" s="1868">
        <v>22.027470000000001</v>
      </c>
      <c r="P386" s="1868">
        <v>21.740359999999999</v>
      </c>
      <c r="Q386" s="1868">
        <v>20.399560000000001</v>
      </c>
      <c r="R386" s="1868">
        <v>20.814720000000001</v>
      </c>
      <c r="S386" s="1868">
        <v>22.017340000000001</v>
      </c>
      <c r="T386" s="1868">
        <v>22.839660000000002</v>
      </c>
      <c r="U386" s="1868">
        <v>22.26267</v>
      </c>
      <c r="V386" s="1868">
        <v>23.672999999999998</v>
      </c>
      <c r="W386" s="1868">
        <v>24.181720000000002</v>
      </c>
      <c r="X386" s="1868">
        <v>24.788039999999999</v>
      </c>
      <c r="Y386" s="1868">
        <v>25.764770000000002</v>
      </c>
      <c r="Z386" s="1868">
        <v>24.05837</v>
      </c>
      <c r="AA386" s="1868">
        <v>27.493379999999998</v>
      </c>
      <c r="AB386" s="1868">
        <v>26.496549999999999</v>
      </c>
      <c r="AC386" s="1868">
        <v>27.694970000000001</v>
      </c>
      <c r="AD386" s="1868">
        <v>28.136490000000002</v>
      </c>
      <c r="AE386" s="1868">
        <v>27.729590000000002</v>
      </c>
      <c r="AF386" s="1868">
        <v>28.333259999999999</v>
      </c>
      <c r="AG386" s="1868">
        <v>29.561679999999999</v>
      </c>
      <c r="AH386" s="1868">
        <v>29.50778</v>
      </c>
      <c r="AI386" s="1868">
        <v>30.718699999999998</v>
      </c>
      <c r="AJ386" s="1868">
        <v>31.838240000000003</v>
      </c>
      <c r="AK386" s="1868">
        <v>32.19171</v>
      </c>
      <c r="AL386" s="1868">
        <v>33.158200000000001</v>
      </c>
      <c r="AM386" s="1868">
        <v>33.962340000000005</v>
      </c>
      <c r="AN386" s="1868">
        <v>33.920050000000003</v>
      </c>
      <c r="AO386" s="1868">
        <v>32.975259999999999</v>
      </c>
      <c r="AP386" s="1868">
        <v>34.274459999999998</v>
      </c>
      <c r="AQ386" s="1868">
        <v>31.487270000000002</v>
      </c>
      <c r="AR386" s="1868">
        <v>35.185690000000001</v>
      </c>
      <c r="AS386" s="1868">
        <v>37.75508</v>
      </c>
      <c r="AT386" s="1868">
        <v>37.311709999999998</v>
      </c>
      <c r="AU386" s="1868">
        <v>38.355719999999998</v>
      </c>
      <c r="AV386" s="1868">
        <v>36.896650000000001</v>
      </c>
      <c r="AW386" s="1868">
        <v>37.25891</v>
      </c>
      <c r="AX386" s="1868">
        <v>37.239840000000001</v>
      </c>
      <c r="AY386" s="1868">
        <v>38.081109999999995</v>
      </c>
      <c r="AZ386" s="1868">
        <v>37.94097</v>
      </c>
      <c r="BA386" s="1868">
        <v>36.863419999999998</v>
      </c>
    </row>
    <row r="387" spans="1:53">
      <c r="A387" s="1865" t="str">
        <f t="shared" si="5"/>
        <v>Australia &amp; New ZealandPulses, nes</v>
      </c>
      <c r="B387" s="1866" t="s">
        <v>1357</v>
      </c>
      <c r="C387" s="1866" t="s">
        <v>1395</v>
      </c>
      <c r="AX387" s="1868">
        <v>2.01667</v>
      </c>
      <c r="AY387" s="1868">
        <v>2.3404500000000001</v>
      </c>
      <c r="AZ387" s="1868">
        <v>2.2863900000000004</v>
      </c>
      <c r="BA387" s="1868">
        <v>2.71041</v>
      </c>
    </row>
    <row r="388" spans="1:53">
      <c r="A388" s="1865" t="str">
        <f t="shared" ref="A388:A451" si="6">CONCATENATE(B388,C388)</f>
        <v>Australia &amp; New ZealandRice, paddy</v>
      </c>
      <c r="B388" s="1866" t="s">
        <v>1357</v>
      </c>
      <c r="C388" s="1866" t="s">
        <v>1396</v>
      </c>
      <c r="D388" s="1868">
        <v>5.9</v>
      </c>
      <c r="E388" s="1868">
        <v>6.8442600000000002</v>
      </c>
      <c r="F388" s="1868">
        <v>6.2980800000000006</v>
      </c>
      <c r="G388" s="1868">
        <v>6.0737199999999998</v>
      </c>
      <c r="H388" s="1868">
        <v>6.3364799999999999</v>
      </c>
      <c r="I388" s="1868">
        <v>7.1754699999999998</v>
      </c>
      <c r="J388" s="1868">
        <v>7.4074100000000005</v>
      </c>
      <c r="K388" s="1868">
        <v>7.4175300000000002</v>
      </c>
      <c r="L388" s="1868">
        <v>7.9237899999999994</v>
      </c>
      <c r="M388" s="1868">
        <v>6.22743</v>
      </c>
      <c r="N388" s="1868">
        <v>7.3917600000000006</v>
      </c>
      <c r="O388" s="1868">
        <v>6.1281499999999998</v>
      </c>
      <c r="P388" s="1868">
        <v>6.8514399999999993</v>
      </c>
      <c r="Q388" s="1868">
        <v>6.0590800000000007</v>
      </c>
      <c r="R388" s="1868">
        <v>5.1216200000000001</v>
      </c>
      <c r="S388" s="1868">
        <v>5.5718899999999998</v>
      </c>
      <c r="T388" s="1868">
        <v>5.7584900000000001</v>
      </c>
      <c r="U388" s="1868">
        <v>5.3557399999999999</v>
      </c>
      <c r="V388" s="1868">
        <v>6.2791499999999996</v>
      </c>
      <c r="W388" s="1868">
        <v>5.2697199999999995</v>
      </c>
      <c r="X388" s="1868">
        <v>7.1698100000000009</v>
      </c>
      <c r="Y388" s="1868">
        <v>6.74803</v>
      </c>
      <c r="Z388" s="1868">
        <v>6.7532500000000004</v>
      </c>
      <c r="AA388" s="1868">
        <v>5.3260300000000003</v>
      </c>
      <c r="AB388" s="1868">
        <v>7.0936000000000003</v>
      </c>
      <c r="AC388" s="1868">
        <v>6.4750199999999998</v>
      </c>
      <c r="AD388" s="1868">
        <v>5.72471</v>
      </c>
      <c r="AE388" s="1868">
        <v>7.2201100000000009</v>
      </c>
      <c r="AF388" s="1868">
        <v>8.2989699999999988</v>
      </c>
      <c r="AG388" s="1868">
        <v>8.8000000000000007</v>
      </c>
      <c r="AH388" s="1868">
        <v>8.8427000000000007</v>
      </c>
      <c r="AI388" s="1868">
        <v>8.8346499999999999</v>
      </c>
      <c r="AJ388" s="1868">
        <v>7.64</v>
      </c>
      <c r="AK388" s="1868">
        <v>8.1537299999999995</v>
      </c>
      <c r="AL388" s="1868">
        <v>8.8003100000000014</v>
      </c>
      <c r="AM388" s="1868">
        <v>6.3540400000000004</v>
      </c>
      <c r="AN388" s="1868">
        <v>8.3263400000000001</v>
      </c>
      <c r="AO388" s="1868">
        <v>9.4256399999999996</v>
      </c>
      <c r="AP388" s="1868">
        <v>9.1615000000000002</v>
      </c>
      <c r="AQ388" s="1868">
        <v>8.2573100000000004</v>
      </c>
      <c r="AR388" s="1868">
        <v>9.2824899999999992</v>
      </c>
      <c r="AS388" s="1868">
        <v>8.2777799999999999</v>
      </c>
      <c r="AT388" s="1868">
        <v>9.5580199999999991</v>
      </c>
      <c r="AU388" s="1868">
        <v>8.3305299999999995</v>
      </c>
      <c r="AV388" s="1868">
        <v>6.6167800000000003</v>
      </c>
      <c r="AW388" s="1868">
        <v>10.131310000000001</v>
      </c>
      <c r="AX388" s="1868">
        <v>8.15</v>
      </c>
      <c r="AY388" s="1868">
        <v>8</v>
      </c>
      <c r="AZ388" s="1868">
        <v>8.15</v>
      </c>
      <c r="BA388" s="1868">
        <v>10.84211</v>
      </c>
    </row>
    <row r="389" spans="1:53">
      <c r="A389" s="1865" t="str">
        <f t="shared" si="6"/>
        <v>Australia &amp; New ZealandRye</v>
      </c>
      <c r="B389" s="1866" t="s">
        <v>1357</v>
      </c>
      <c r="C389" s="1866" t="s">
        <v>1353</v>
      </c>
      <c r="D389" s="1868">
        <v>0.42903999999999998</v>
      </c>
      <c r="E389" s="1868">
        <v>0.41356999999999999</v>
      </c>
      <c r="F389" s="1868">
        <v>0.41253999999999996</v>
      </c>
      <c r="G389" s="1868">
        <v>0.48159999999999997</v>
      </c>
      <c r="H389" s="1868">
        <v>0.40679999999999999</v>
      </c>
      <c r="I389" s="1868">
        <v>0.44478999999999996</v>
      </c>
      <c r="J389" s="1868">
        <v>0.29930999999999996</v>
      </c>
      <c r="K389" s="1868">
        <v>0.51391000000000009</v>
      </c>
      <c r="L389" s="1868">
        <v>0.33141999999999999</v>
      </c>
      <c r="M389" s="1868">
        <v>0.54430000000000001</v>
      </c>
      <c r="N389" s="1868">
        <v>0.52854000000000001</v>
      </c>
      <c r="O389" s="1868">
        <v>0.31917000000000001</v>
      </c>
      <c r="P389" s="1868">
        <v>0.28508</v>
      </c>
      <c r="Q389" s="1868">
        <v>0.30418000000000001</v>
      </c>
      <c r="R389" s="1868">
        <v>0.46665000000000001</v>
      </c>
      <c r="S389" s="1868">
        <v>0.45438000000000001</v>
      </c>
      <c r="T389" s="1868">
        <v>0.31869999999999998</v>
      </c>
      <c r="U389" s="1868">
        <v>0.52234999999999998</v>
      </c>
      <c r="V389" s="1868">
        <v>0.35244000000000003</v>
      </c>
      <c r="W389" s="1868">
        <v>0.43093999999999999</v>
      </c>
      <c r="X389" s="1868">
        <v>0.45937</v>
      </c>
      <c r="Y389" s="1868">
        <v>0.22810999999999998</v>
      </c>
      <c r="Z389" s="1868">
        <v>0.46488000000000002</v>
      </c>
      <c r="AA389" s="1868">
        <v>0.44941999999999999</v>
      </c>
      <c r="AB389" s="1868">
        <v>0.50053000000000003</v>
      </c>
      <c r="AC389" s="1868">
        <v>0.73446</v>
      </c>
      <c r="AD389" s="1868">
        <v>0.61819999999999997</v>
      </c>
      <c r="AE389" s="1868">
        <v>0.49180000000000001</v>
      </c>
      <c r="AF389" s="1868">
        <v>0.56461000000000006</v>
      </c>
      <c r="AG389" s="1868">
        <v>0.70156000000000007</v>
      </c>
      <c r="AH389" s="1868">
        <v>0.79701999999999995</v>
      </c>
      <c r="AI389" s="1868">
        <v>0.67645</v>
      </c>
      <c r="AJ389" s="1868">
        <v>0.78825000000000001</v>
      </c>
      <c r="AK389" s="1868">
        <v>0.57142999999999999</v>
      </c>
      <c r="AL389" s="1868">
        <v>0.57142999999999999</v>
      </c>
      <c r="AM389" s="1868">
        <v>0.57142999999999999</v>
      </c>
      <c r="AN389" s="1868">
        <v>0.57142999999999999</v>
      </c>
      <c r="AO389" s="1868">
        <v>0.57142999999999999</v>
      </c>
      <c r="AP389" s="1868">
        <v>0.57142999999999999</v>
      </c>
      <c r="AQ389" s="1868">
        <v>0.57142999999999999</v>
      </c>
      <c r="AR389" s="1868">
        <v>0.57142999999999999</v>
      </c>
      <c r="AS389" s="1868">
        <v>0.57142999999999999</v>
      </c>
      <c r="AT389" s="1868">
        <v>0.57142999999999999</v>
      </c>
      <c r="AU389" s="1868">
        <v>0.57142999999999999</v>
      </c>
      <c r="AV389" s="1868">
        <v>0.57142999999999999</v>
      </c>
      <c r="AW389" s="1868">
        <v>0.57142999999999999</v>
      </c>
      <c r="AX389" s="1868">
        <v>0.57142999999999999</v>
      </c>
      <c r="AY389" s="1868">
        <v>0.56911</v>
      </c>
      <c r="AZ389" s="1868">
        <v>0.56911</v>
      </c>
      <c r="BA389" s="1868">
        <v>0.58013999999999999</v>
      </c>
    </row>
    <row r="390" spans="1:53">
      <c r="A390" s="1865" t="str">
        <f t="shared" si="6"/>
        <v>Australia &amp; New ZealandSeed cotton</v>
      </c>
      <c r="B390" s="1866" t="s">
        <v>1357</v>
      </c>
      <c r="C390" s="1866" t="s">
        <v>1397</v>
      </c>
      <c r="D390" s="1868">
        <v>0.47333000000000003</v>
      </c>
      <c r="E390" s="1868">
        <v>0.51281999999999994</v>
      </c>
      <c r="F390" s="1868">
        <v>0.32025999999999999</v>
      </c>
      <c r="G390" s="1868">
        <v>0.44231000000000004</v>
      </c>
      <c r="H390" s="1868">
        <v>1.6928099999999999</v>
      </c>
      <c r="I390" s="1868">
        <v>2.3828800000000001</v>
      </c>
      <c r="J390" s="1868">
        <v>2.1627900000000002</v>
      </c>
      <c r="K390" s="1868">
        <v>2.7749200000000003</v>
      </c>
      <c r="L390" s="1868">
        <v>2.7353900000000002</v>
      </c>
      <c r="M390" s="1868">
        <v>2.3028400000000002</v>
      </c>
      <c r="N390" s="1868">
        <v>1.36182</v>
      </c>
      <c r="O390" s="1868">
        <v>2.7157100000000001</v>
      </c>
      <c r="P390" s="1868">
        <v>1.8142200000000002</v>
      </c>
      <c r="Q390" s="1868">
        <v>1.8753</v>
      </c>
      <c r="R390" s="1868">
        <v>2.2519499999999999</v>
      </c>
      <c r="S390" s="1868">
        <v>2.1979900000000003</v>
      </c>
      <c r="T390" s="1868">
        <v>2.1133099999999998</v>
      </c>
      <c r="U390" s="1868">
        <v>2.7956699999999999</v>
      </c>
      <c r="V390" s="1868">
        <v>2.6425700000000001</v>
      </c>
      <c r="W390" s="1868">
        <v>2.92</v>
      </c>
      <c r="X390" s="1868">
        <v>3.1136400000000002</v>
      </c>
      <c r="Y390" s="1868">
        <v>3.4173900000000001</v>
      </c>
      <c r="Z390" s="1868">
        <v>2.6445599999999998</v>
      </c>
      <c r="AA390" s="1868">
        <v>2.4126599999999998</v>
      </c>
      <c r="AB390" s="1868">
        <v>3.5996699999999997</v>
      </c>
      <c r="AC390" s="1868">
        <v>3.6683599999999998</v>
      </c>
      <c r="AD390" s="1868">
        <v>3.5358999999999998</v>
      </c>
      <c r="AE390" s="1868">
        <v>2.8781699999999999</v>
      </c>
      <c r="AF390" s="1868">
        <v>3.6697599999999997</v>
      </c>
      <c r="AG390" s="1868">
        <v>3.3290199999999999</v>
      </c>
      <c r="AH390" s="1868">
        <v>4.0609299999999999</v>
      </c>
      <c r="AI390" s="1868">
        <v>4.1778900000000005</v>
      </c>
      <c r="AJ390" s="1868">
        <v>3.2755200000000002</v>
      </c>
      <c r="AK390" s="1868">
        <v>2.8333300000000001</v>
      </c>
      <c r="AL390" s="1868">
        <v>3.4495900000000002</v>
      </c>
      <c r="AM390" s="1868">
        <v>3.34321</v>
      </c>
      <c r="AN390" s="1868">
        <v>3.7116899999999999</v>
      </c>
      <c r="AO390" s="1868">
        <v>3.6672800000000003</v>
      </c>
      <c r="AP390" s="1868">
        <v>3.0790999999999999</v>
      </c>
      <c r="AQ390" s="1868">
        <v>3.84816</v>
      </c>
      <c r="AR390" s="1868">
        <v>3.71515</v>
      </c>
      <c r="AS390" s="1868">
        <v>4.2953599999999996</v>
      </c>
      <c r="AT390" s="1868">
        <v>4.1554599999999997</v>
      </c>
      <c r="AU390" s="1868">
        <v>4.2544199999999996</v>
      </c>
      <c r="AV390" s="1868">
        <v>4.8532299999999999</v>
      </c>
      <c r="AW390" s="1868">
        <v>4.2962699999999998</v>
      </c>
      <c r="AX390" s="1868">
        <v>4.7994399999999997</v>
      </c>
      <c r="AY390" s="1868">
        <v>5.1132400000000002</v>
      </c>
      <c r="AZ390" s="1868">
        <v>4.8475599999999996</v>
      </c>
      <c r="BA390" s="1868">
        <v>4.5079199999999995</v>
      </c>
    </row>
    <row r="391" spans="1:53">
      <c r="A391" s="1865" t="str">
        <f t="shared" si="6"/>
        <v>Australia &amp; New ZealandSorghum</v>
      </c>
      <c r="B391" s="1866" t="s">
        <v>1357</v>
      </c>
      <c r="C391" s="1866" t="s">
        <v>1399</v>
      </c>
      <c r="D391" s="1868">
        <v>1.5806899999999999</v>
      </c>
      <c r="E391" s="1868">
        <v>1.73584</v>
      </c>
      <c r="F391" s="1868">
        <v>1.7618</v>
      </c>
      <c r="G391" s="1868">
        <v>1.4507299999999999</v>
      </c>
      <c r="H391" s="1868">
        <v>1.3935</v>
      </c>
      <c r="I391" s="1868">
        <v>1.10924</v>
      </c>
      <c r="J391" s="1868">
        <v>1.5680000000000001</v>
      </c>
      <c r="K391" s="1868">
        <v>1.5408999999999999</v>
      </c>
      <c r="L391" s="1868">
        <v>1.4042299999999999</v>
      </c>
      <c r="M391" s="1868">
        <v>1.5258799999999999</v>
      </c>
      <c r="N391" s="1868">
        <v>2.3513199999999999</v>
      </c>
      <c r="O391" s="1868">
        <v>1.9235599999999999</v>
      </c>
      <c r="P391" s="1868">
        <v>1.46021</v>
      </c>
      <c r="Q391" s="1868">
        <v>1.9660099999999998</v>
      </c>
      <c r="R391" s="1868">
        <v>1.7628999999999999</v>
      </c>
      <c r="S391" s="1868">
        <v>2.2301599999999997</v>
      </c>
      <c r="T391" s="1868">
        <v>1.7968299999999999</v>
      </c>
      <c r="U391" s="1868">
        <v>1.8126799999999998</v>
      </c>
      <c r="V391" s="1868">
        <v>2.4004699999999999</v>
      </c>
      <c r="W391" s="1868">
        <v>1.7779200000000002</v>
      </c>
      <c r="X391" s="1868">
        <v>1.8297900000000002</v>
      </c>
      <c r="Y391" s="1868">
        <v>2.02881</v>
      </c>
      <c r="Z391" s="1868">
        <v>1.3559399999999999</v>
      </c>
      <c r="AA391" s="1868">
        <v>2.5817000000000001</v>
      </c>
      <c r="AB391" s="1868">
        <v>1.8934900000000001</v>
      </c>
      <c r="AC391" s="1868">
        <v>1.9282900000000001</v>
      </c>
      <c r="AD391" s="1868">
        <v>1.73438</v>
      </c>
      <c r="AE391" s="1868">
        <v>2.19163</v>
      </c>
      <c r="AF391" s="1868">
        <v>1.9904299999999999</v>
      </c>
      <c r="AG391" s="1868">
        <v>2.48834</v>
      </c>
      <c r="AH391" s="1868">
        <v>1.9865299999999999</v>
      </c>
      <c r="AI391" s="1868">
        <v>2.54311</v>
      </c>
      <c r="AJ391" s="1868">
        <v>1.2834099999999999</v>
      </c>
      <c r="AK391" s="1868">
        <v>2.16974</v>
      </c>
      <c r="AL391" s="1868">
        <v>1.8554599999999999</v>
      </c>
      <c r="AM391" s="1868">
        <v>2.0676900000000002</v>
      </c>
      <c r="AN391" s="1868">
        <v>2.6194700000000002</v>
      </c>
      <c r="AO391" s="1868">
        <v>2.1321500000000002</v>
      </c>
      <c r="AP391" s="1868">
        <v>3.2214700000000001</v>
      </c>
      <c r="AQ391" s="1868">
        <v>3.4003300000000003</v>
      </c>
      <c r="AR391" s="1868">
        <v>2.5527700000000002</v>
      </c>
      <c r="AS391" s="1868">
        <v>2.4556499999999999</v>
      </c>
      <c r="AT391" s="1868">
        <v>2.1964000000000001</v>
      </c>
      <c r="AU391" s="1868">
        <v>2.73706</v>
      </c>
      <c r="AV391" s="1868">
        <v>2.6629</v>
      </c>
      <c r="AW391" s="1868">
        <v>2.51891</v>
      </c>
      <c r="AX391" s="1868">
        <v>2.0918400000000004</v>
      </c>
      <c r="AY391" s="1868">
        <v>4.0251999999999999</v>
      </c>
      <c r="AZ391" s="1868">
        <v>3.5095699999999996</v>
      </c>
      <c r="BA391" s="1868">
        <v>3.0969000000000002</v>
      </c>
    </row>
    <row r="392" spans="1:53">
      <c r="A392" s="1865" t="str">
        <f t="shared" si="6"/>
        <v>Australia &amp; New ZealandSoybeans</v>
      </c>
      <c r="B392" s="1866" t="s">
        <v>1357</v>
      </c>
      <c r="C392" s="1866" t="s">
        <v>1359</v>
      </c>
      <c r="D392" s="1868">
        <v>0.66666999999999998</v>
      </c>
      <c r="E392" s="1868">
        <v>0.77381</v>
      </c>
      <c r="F392" s="1868">
        <v>0.5978</v>
      </c>
      <c r="G392" s="1868">
        <v>0.4471</v>
      </c>
      <c r="H392" s="1868">
        <v>0.60533999999999999</v>
      </c>
      <c r="I392" s="1868">
        <v>0.38577</v>
      </c>
      <c r="J392" s="1868">
        <v>0.66353000000000006</v>
      </c>
      <c r="K392" s="1868">
        <v>0.54786999999999997</v>
      </c>
      <c r="L392" s="1868">
        <v>0.83133999999999997</v>
      </c>
      <c r="M392" s="1868">
        <v>1.0122799999999998</v>
      </c>
      <c r="N392" s="1868">
        <v>1.2567600000000001</v>
      </c>
      <c r="O392" s="1868">
        <v>1.8663099999999999</v>
      </c>
      <c r="P392" s="1868">
        <v>1.35669</v>
      </c>
      <c r="Q392" s="1868">
        <v>1.54159</v>
      </c>
      <c r="R392" s="1868">
        <v>1.6094899999999999</v>
      </c>
      <c r="S392" s="1868">
        <v>1.6972700000000001</v>
      </c>
      <c r="T392" s="1868">
        <v>1.5991</v>
      </c>
      <c r="U392" s="1868">
        <v>1.53365</v>
      </c>
      <c r="V392" s="1868">
        <v>1.8409900000000001</v>
      </c>
      <c r="W392" s="1868">
        <v>1.4512799999999999</v>
      </c>
      <c r="X392" s="1868">
        <v>1.8495599999999999</v>
      </c>
      <c r="Y392" s="1868">
        <v>1.9029200000000002</v>
      </c>
      <c r="Z392" s="1868">
        <v>1.1041299999999998</v>
      </c>
      <c r="AA392" s="1868">
        <v>1.8440599999999998</v>
      </c>
      <c r="AB392" s="1868">
        <v>1.74217</v>
      </c>
      <c r="AC392" s="1868">
        <v>1.4825900000000001</v>
      </c>
      <c r="AD392" s="1868">
        <v>1.6498900000000001</v>
      </c>
      <c r="AE392" s="1868">
        <v>1.5868200000000001</v>
      </c>
      <c r="AF392" s="1868">
        <v>1.8315299999999999</v>
      </c>
      <c r="AG392" s="1868">
        <v>1.5718099999999999</v>
      </c>
      <c r="AH392" s="1868">
        <v>1.5550700000000002</v>
      </c>
      <c r="AI392" s="1868">
        <v>2.11408</v>
      </c>
      <c r="AJ392" s="1868">
        <v>1.6167499999999999</v>
      </c>
      <c r="AK392" s="1868">
        <v>1.99993</v>
      </c>
      <c r="AL392" s="1868">
        <v>1.5318499999999999</v>
      </c>
      <c r="AM392" s="1868">
        <v>1.8739700000000001</v>
      </c>
      <c r="AN392" s="1868">
        <v>1.8974400000000002</v>
      </c>
      <c r="AO392" s="1868">
        <v>1.70347</v>
      </c>
      <c r="AP392" s="1868">
        <v>2.26667</v>
      </c>
      <c r="AQ392" s="1868">
        <v>1.8714299999999999</v>
      </c>
      <c r="AR392" s="1868">
        <v>1.48485</v>
      </c>
      <c r="AS392" s="1868">
        <v>1.96875</v>
      </c>
      <c r="AT392" s="1868">
        <v>1.4760500000000001</v>
      </c>
      <c r="AU392" s="1868">
        <v>2.2136</v>
      </c>
      <c r="AV392" s="1868">
        <v>2.0312200000000002</v>
      </c>
      <c r="AW392" s="1868">
        <v>2.3023199999999999</v>
      </c>
      <c r="AX392" s="1868">
        <v>2.4369800000000001</v>
      </c>
      <c r="AY392" s="1868">
        <v>2.3288599999999997</v>
      </c>
      <c r="AZ392" s="1868">
        <v>1.89245</v>
      </c>
      <c r="BA392" s="1868">
        <v>1.90415</v>
      </c>
    </row>
    <row r="393" spans="1:53">
      <c r="A393" s="1865" t="str">
        <f t="shared" si="6"/>
        <v>Australia &amp; New ZealandStrawberries</v>
      </c>
      <c r="B393" s="1866" t="s">
        <v>1357</v>
      </c>
      <c r="C393" s="1866" t="s">
        <v>1400</v>
      </c>
      <c r="D393" s="1868">
        <v>5.1068899999999999</v>
      </c>
      <c r="E393" s="1868">
        <v>5.7072699999999994</v>
      </c>
      <c r="F393" s="1868">
        <v>6.32918</v>
      </c>
      <c r="G393" s="1868">
        <v>8.0381300000000007</v>
      </c>
      <c r="H393" s="1868">
        <v>8.51356</v>
      </c>
      <c r="I393" s="1868">
        <v>8.5440100000000001</v>
      </c>
      <c r="J393" s="1868">
        <v>9.9628300000000003</v>
      </c>
      <c r="K393" s="1868">
        <v>10.596550000000001</v>
      </c>
      <c r="L393" s="1868">
        <v>11.69688</v>
      </c>
      <c r="M393" s="1868">
        <v>12.340680000000001</v>
      </c>
      <c r="N393" s="1868">
        <v>12.287100000000001</v>
      </c>
      <c r="O393" s="1868">
        <v>12.726469999999999</v>
      </c>
      <c r="P393" s="1868">
        <v>12.46909</v>
      </c>
      <c r="Q393" s="1868">
        <v>12.540800000000001</v>
      </c>
      <c r="R393" s="1868">
        <v>12.74896</v>
      </c>
      <c r="S393" s="1868">
        <v>12.685269999999999</v>
      </c>
      <c r="T393" s="1868">
        <v>12.28937</v>
      </c>
      <c r="U393" s="1868">
        <v>12.45548</v>
      </c>
      <c r="V393" s="1868">
        <v>13.249189999999999</v>
      </c>
      <c r="W393" s="1868">
        <v>13.613</v>
      </c>
      <c r="X393" s="1868">
        <v>11.04448</v>
      </c>
      <c r="Y393" s="1868">
        <v>10.570830000000001</v>
      </c>
      <c r="Z393" s="1868">
        <v>10.90274</v>
      </c>
      <c r="AA393" s="1868">
        <v>11.0093</v>
      </c>
      <c r="AB393" s="1868">
        <v>11.613329999999999</v>
      </c>
      <c r="AC393" s="1868">
        <v>13.313870000000001</v>
      </c>
      <c r="AD393" s="1868">
        <v>13.592120000000001</v>
      </c>
      <c r="AE393" s="1868">
        <v>12.632719999999999</v>
      </c>
      <c r="AF393" s="1868">
        <v>13.909089999999999</v>
      </c>
      <c r="AG393" s="1868">
        <v>12.23577</v>
      </c>
      <c r="AH393" s="1868">
        <v>13.24826</v>
      </c>
      <c r="AI393" s="1868">
        <v>14.33465</v>
      </c>
      <c r="AJ393" s="1868">
        <v>13.509</v>
      </c>
      <c r="AK393" s="1868">
        <v>12.093019999999999</v>
      </c>
      <c r="AL393" s="1868">
        <v>16.22542</v>
      </c>
      <c r="AM393" s="1868">
        <v>19.48387</v>
      </c>
      <c r="AN393" s="1868">
        <v>19.20045</v>
      </c>
      <c r="AO393" s="1868">
        <v>22.01539</v>
      </c>
      <c r="AP393" s="1868">
        <v>23.457910000000002</v>
      </c>
      <c r="AQ393" s="1868">
        <v>19.623620000000003</v>
      </c>
      <c r="AR393" s="1868">
        <v>16.92709</v>
      </c>
      <c r="AS393" s="1868">
        <v>20.569010000000002</v>
      </c>
      <c r="AT393" s="1868">
        <v>16.48348</v>
      </c>
      <c r="AU393" s="1868">
        <v>20.575060000000001</v>
      </c>
      <c r="AV393" s="1868">
        <v>27.53558</v>
      </c>
      <c r="AW393" s="1868">
        <v>18.754939999999998</v>
      </c>
      <c r="AX393" s="1868">
        <v>23.048760000000001</v>
      </c>
      <c r="AY393" s="1868">
        <v>19.51932</v>
      </c>
      <c r="AZ393" s="1868">
        <v>23.712499999999999</v>
      </c>
      <c r="BA393" s="1868">
        <v>21.054069999999999</v>
      </c>
    </row>
    <row r="394" spans="1:53">
      <c r="A394" s="1865" t="str">
        <f t="shared" si="6"/>
        <v>Australia &amp; New ZealandSugar cane</v>
      </c>
      <c r="B394" s="1866" t="s">
        <v>1357</v>
      </c>
      <c r="C394" s="1866" t="s">
        <v>1401</v>
      </c>
      <c r="D394" s="1868">
        <v>62.1661</v>
      </c>
      <c r="E394" s="1868">
        <v>79.62576</v>
      </c>
      <c r="F394" s="1868">
        <v>72.863810000000001</v>
      </c>
      <c r="G394" s="1868">
        <v>80.441280000000006</v>
      </c>
      <c r="H394" s="1868">
        <v>70.627350000000007</v>
      </c>
      <c r="I394" s="1868">
        <v>75.209289999999996</v>
      </c>
      <c r="J394" s="1868">
        <v>76.063419999999994</v>
      </c>
      <c r="K394" s="1868">
        <v>81.322050000000004</v>
      </c>
      <c r="L394" s="1868">
        <v>74.179690000000008</v>
      </c>
      <c r="M394" s="1868">
        <v>80.014150000000001</v>
      </c>
      <c r="N394" s="1868">
        <v>82.958619999999996</v>
      </c>
      <c r="O394" s="1868">
        <v>78.313519999999997</v>
      </c>
      <c r="P394" s="1868">
        <v>85.356030000000004</v>
      </c>
      <c r="Q394" s="1868">
        <v>80.657499999999999</v>
      </c>
      <c r="R394" s="1868">
        <v>85.510130000000004</v>
      </c>
      <c r="S394" s="1868">
        <v>81.001850000000005</v>
      </c>
      <c r="T394" s="1868">
        <v>79.594259999999991</v>
      </c>
      <c r="U394" s="1868">
        <v>85.248310000000004</v>
      </c>
      <c r="V394" s="1868">
        <v>79.159199999999998</v>
      </c>
      <c r="W394" s="1868">
        <v>83.16861999999999</v>
      </c>
      <c r="X394" s="1868">
        <v>79.424840000000003</v>
      </c>
      <c r="Y394" s="1868">
        <v>77.922840000000008</v>
      </c>
      <c r="Z394" s="1868">
        <v>78.758930000000007</v>
      </c>
      <c r="AA394" s="1868">
        <v>81.406049999999993</v>
      </c>
      <c r="AB394" s="1868">
        <v>80.347709999999992</v>
      </c>
      <c r="AC394" s="1868">
        <v>79.556269999999998</v>
      </c>
      <c r="AD394" s="1868">
        <v>80.842619999999997</v>
      </c>
      <c r="AE394" s="1868">
        <v>85.634069999999994</v>
      </c>
      <c r="AF394" s="1868">
        <v>86.071250000000006</v>
      </c>
      <c r="AG394" s="1868">
        <v>73.403310000000005</v>
      </c>
      <c r="AH394" s="1868">
        <v>62.656890000000004</v>
      </c>
      <c r="AI394" s="1868">
        <v>62.738599999999998</v>
      </c>
      <c r="AJ394" s="1868">
        <v>85.240849999999995</v>
      </c>
      <c r="AK394" s="1868">
        <v>92.639049999999997</v>
      </c>
      <c r="AL394" s="1868">
        <v>95.734250000000003</v>
      </c>
      <c r="AM394" s="1868">
        <v>97.744129999999998</v>
      </c>
      <c r="AN394" s="1868">
        <v>99.596009999999993</v>
      </c>
      <c r="AO394" s="1868">
        <v>97.771430000000009</v>
      </c>
      <c r="AP394" s="1868">
        <v>95.891300000000001</v>
      </c>
      <c r="AQ394" s="1868">
        <v>91.0852</v>
      </c>
      <c r="AR394" s="1868">
        <v>69.766750000000002</v>
      </c>
      <c r="AS394" s="1868">
        <v>73.765259999999998</v>
      </c>
      <c r="AT394" s="1868">
        <v>82.578130000000002</v>
      </c>
      <c r="AU394" s="1868">
        <v>82.640450000000001</v>
      </c>
      <c r="AV394" s="1868">
        <v>87.15737</v>
      </c>
      <c r="AW394" s="1868">
        <v>89.465059999999994</v>
      </c>
      <c r="AX394" s="1868">
        <v>89.072109999999995</v>
      </c>
      <c r="AY394" s="1868">
        <v>85.72251</v>
      </c>
      <c r="AZ394" s="1868">
        <v>77.395080000000007</v>
      </c>
      <c r="BA394" s="1868">
        <v>77.671610000000001</v>
      </c>
    </row>
    <row r="395" spans="1:53">
      <c r="A395" s="1865" t="str">
        <f t="shared" si="6"/>
        <v>Australia &amp; New ZealandSunflower seed</v>
      </c>
      <c r="B395" s="1866" t="s">
        <v>1357</v>
      </c>
      <c r="C395" s="1866" t="s">
        <v>1402</v>
      </c>
      <c r="D395" s="1868">
        <v>0.73176000000000008</v>
      </c>
      <c r="E395" s="1868">
        <v>0.66611999999999993</v>
      </c>
      <c r="F395" s="1868">
        <v>0.67742000000000002</v>
      </c>
      <c r="G395" s="1868">
        <v>0.58533000000000002</v>
      </c>
      <c r="H395" s="1868">
        <v>0.63544</v>
      </c>
      <c r="I395" s="1868">
        <v>0.65256999999999998</v>
      </c>
      <c r="J395" s="1868">
        <v>0.49462</v>
      </c>
      <c r="K395" s="1868">
        <v>0.52812000000000003</v>
      </c>
      <c r="L395" s="1868">
        <v>0.45800000000000002</v>
      </c>
      <c r="M395" s="1868">
        <v>0.50995000000000001</v>
      </c>
      <c r="N395" s="1868">
        <v>0.77854999999999996</v>
      </c>
      <c r="O395" s="1868">
        <v>0.50007000000000001</v>
      </c>
      <c r="P395" s="1868">
        <v>0.42204999999999998</v>
      </c>
      <c r="Q395" s="1868">
        <v>0.56000000000000005</v>
      </c>
      <c r="R395" s="1868">
        <v>0.54123999999999994</v>
      </c>
      <c r="S395" s="1868">
        <v>0.58767999999999998</v>
      </c>
      <c r="T395" s="1868">
        <v>0.55616999999999994</v>
      </c>
      <c r="U395" s="1868">
        <v>0.71788999999999992</v>
      </c>
      <c r="V395" s="1868">
        <v>0.71433999999999997</v>
      </c>
      <c r="W395" s="1868">
        <v>0.64066999999999996</v>
      </c>
      <c r="X395" s="1868">
        <v>0.70306000000000002</v>
      </c>
      <c r="Y395" s="1868">
        <v>0.64841000000000004</v>
      </c>
      <c r="Z395" s="1868">
        <v>0.59086000000000005</v>
      </c>
      <c r="AA395" s="1868">
        <v>0.72956999999999994</v>
      </c>
      <c r="AB395" s="1868">
        <v>0.82767999999999997</v>
      </c>
      <c r="AC395" s="1868">
        <v>0.77659</v>
      </c>
      <c r="AD395" s="1868">
        <v>0.71306000000000003</v>
      </c>
      <c r="AE395" s="1868">
        <v>1.0790600000000001</v>
      </c>
      <c r="AF395" s="1868">
        <v>0.92867999999999995</v>
      </c>
      <c r="AG395" s="1868">
        <v>1.10199</v>
      </c>
      <c r="AH395" s="1868">
        <v>0.91042000000000012</v>
      </c>
      <c r="AI395" s="1868">
        <v>1.06802</v>
      </c>
      <c r="AJ395" s="1868">
        <v>0.83520000000000005</v>
      </c>
      <c r="AK395" s="1868">
        <v>0.92913999999999997</v>
      </c>
      <c r="AL395" s="1868">
        <v>0.82382000000000011</v>
      </c>
      <c r="AM395" s="1868">
        <v>0.83111000000000002</v>
      </c>
      <c r="AN395" s="1868">
        <v>1.03026</v>
      </c>
      <c r="AO395" s="1868">
        <v>1.0606100000000001</v>
      </c>
      <c r="AP395" s="1868">
        <v>1.24776</v>
      </c>
      <c r="AQ395" s="1868">
        <v>1.04938</v>
      </c>
      <c r="AR395" s="1868">
        <v>0.93902000000000008</v>
      </c>
      <c r="AS395" s="1868">
        <v>0.88607999999999998</v>
      </c>
      <c r="AT395" s="1868">
        <v>0.54178999999999999</v>
      </c>
      <c r="AU395" s="1868">
        <v>0.78251000000000004</v>
      </c>
      <c r="AV395" s="1868">
        <v>1.27119</v>
      </c>
      <c r="AW395" s="1868">
        <v>1.2642599999999999</v>
      </c>
      <c r="AX395" s="1868">
        <v>1.2411799999999999</v>
      </c>
      <c r="AY395" s="1868">
        <v>1.5082599999999999</v>
      </c>
      <c r="AZ395" s="1868">
        <v>1.0675700000000001</v>
      </c>
      <c r="BA395" s="1868">
        <v>1.54135</v>
      </c>
    </row>
    <row r="396" spans="1:53">
      <c r="A396" s="1865" t="str">
        <f t="shared" si="6"/>
        <v>Australia &amp; New ZealandSweet potatoes</v>
      </c>
      <c r="B396" s="1866" t="s">
        <v>1357</v>
      </c>
      <c r="C396" s="1866" t="s">
        <v>1403</v>
      </c>
      <c r="D396" s="1868">
        <v>12.28693</v>
      </c>
      <c r="E396" s="1868">
        <v>13.597300000000001</v>
      </c>
      <c r="F396" s="1868">
        <v>12.3825</v>
      </c>
      <c r="G396" s="1868">
        <v>13.507729999999999</v>
      </c>
      <c r="H396" s="1868">
        <v>10.481160000000001</v>
      </c>
      <c r="I396" s="1868">
        <v>8.9858399999999996</v>
      </c>
      <c r="J396" s="1868">
        <v>11.04148</v>
      </c>
      <c r="K396" s="1868">
        <v>12.009219999999999</v>
      </c>
      <c r="L396" s="1868">
        <v>11.98762</v>
      </c>
      <c r="M396" s="1868">
        <v>13.831629999999999</v>
      </c>
      <c r="N396" s="1868">
        <v>12.07489</v>
      </c>
      <c r="O396" s="1868">
        <v>14.00671</v>
      </c>
      <c r="P396" s="1868">
        <v>14.61196</v>
      </c>
      <c r="Q396" s="1868">
        <v>15.408339999999999</v>
      </c>
      <c r="R396" s="1868">
        <v>14.514200000000001</v>
      </c>
      <c r="S396" s="1868">
        <v>10.77528</v>
      </c>
      <c r="T396" s="1868">
        <v>11.50704</v>
      </c>
      <c r="U396" s="1868">
        <v>14.213429999999999</v>
      </c>
      <c r="V396" s="1868">
        <v>8.8701500000000006</v>
      </c>
      <c r="W396" s="1868">
        <v>19.198039999999999</v>
      </c>
      <c r="X396" s="1868">
        <v>14.258029999999998</v>
      </c>
      <c r="Y396" s="1868">
        <v>14.280420000000001</v>
      </c>
      <c r="Z396" s="1868">
        <v>14.233929999999999</v>
      </c>
      <c r="AA396" s="1868">
        <v>14.889560000000001</v>
      </c>
      <c r="AB396" s="1868">
        <v>14.849410000000001</v>
      </c>
      <c r="AC396" s="1868">
        <v>14.47541</v>
      </c>
      <c r="AD396" s="1868">
        <v>14.523899999999999</v>
      </c>
      <c r="AE396" s="1868">
        <v>14.224629999999999</v>
      </c>
      <c r="AF396" s="1868">
        <v>15.023539999999999</v>
      </c>
      <c r="AG396" s="1868">
        <v>15.130120000000002</v>
      </c>
      <c r="AH396" s="1868">
        <v>15.201610000000001</v>
      </c>
      <c r="AI396" s="1868">
        <v>16.185939999999999</v>
      </c>
      <c r="AJ396" s="1868">
        <v>17.201429999999998</v>
      </c>
      <c r="AK396" s="1868">
        <v>20.876899999999999</v>
      </c>
      <c r="AL396" s="1868">
        <v>22.037679999999998</v>
      </c>
      <c r="AM396" s="1868">
        <v>22.926549999999999</v>
      </c>
      <c r="AN396" s="1868">
        <v>21.37931</v>
      </c>
      <c r="AO396" s="1868">
        <v>18.62275</v>
      </c>
      <c r="AP396" s="1868">
        <v>21.66667</v>
      </c>
      <c r="AQ396" s="1868">
        <v>21.591460000000001</v>
      </c>
      <c r="AR396" s="1868">
        <v>23.023020000000002</v>
      </c>
      <c r="AS396" s="1868">
        <v>25.323</v>
      </c>
      <c r="AT396" s="1868">
        <v>26.139089999999999</v>
      </c>
      <c r="AU396" s="1868">
        <v>25</v>
      </c>
      <c r="AV396" s="1868">
        <v>21.939529999999998</v>
      </c>
      <c r="AW396" s="1868">
        <v>22.071429999999999</v>
      </c>
      <c r="AX396" s="1868">
        <v>23.977260000000001</v>
      </c>
      <c r="AY396" s="1868">
        <v>20.309720000000002</v>
      </c>
      <c r="AZ396" s="1868">
        <v>20.102599999999999</v>
      </c>
      <c r="BA396" s="1868">
        <v>19.161290000000001</v>
      </c>
    </row>
    <row r="397" spans="1:53">
      <c r="A397" s="1865" t="str">
        <f t="shared" si="6"/>
        <v>Australia &amp; New ZealandTangerines, mandarins, clem.</v>
      </c>
      <c r="B397" s="1866" t="s">
        <v>1357</v>
      </c>
      <c r="C397" s="1866" t="s">
        <v>1404</v>
      </c>
      <c r="D397" s="1868">
        <v>8.9327500000000004</v>
      </c>
      <c r="E397" s="1868">
        <v>8.9633199999999995</v>
      </c>
      <c r="F397" s="1868">
        <v>9.5928899999999988</v>
      </c>
      <c r="G397" s="1868">
        <v>8.2838799999999999</v>
      </c>
      <c r="H397" s="1868">
        <v>9.2177799999999994</v>
      </c>
      <c r="I397" s="1868">
        <v>6.9113600000000002</v>
      </c>
      <c r="J397" s="1868">
        <v>8.5464899999999986</v>
      </c>
      <c r="K397" s="1868">
        <v>9.6660000000000004</v>
      </c>
      <c r="L397" s="1868">
        <v>8.2346000000000004</v>
      </c>
      <c r="M397" s="1868">
        <v>8.8183399999999992</v>
      </c>
      <c r="N397" s="1868">
        <v>9.7516999999999996</v>
      </c>
      <c r="O397" s="1868">
        <v>11.47824</v>
      </c>
      <c r="P397" s="1868">
        <v>11.845649999999999</v>
      </c>
      <c r="Q397" s="1868">
        <v>14.535820000000001</v>
      </c>
      <c r="R397" s="1868">
        <v>13.95059</v>
      </c>
      <c r="S397" s="1868">
        <v>14.749360000000001</v>
      </c>
      <c r="T397" s="1868">
        <v>16.93543</v>
      </c>
      <c r="U397" s="1868">
        <v>15.998389999999999</v>
      </c>
      <c r="V397" s="1868">
        <v>18.252890000000001</v>
      </c>
      <c r="W397" s="1868">
        <v>18.446560000000002</v>
      </c>
      <c r="X397" s="1868">
        <v>19.692429999999998</v>
      </c>
      <c r="Y397" s="1868">
        <v>15.779470000000002</v>
      </c>
      <c r="Z397" s="1868">
        <v>14.993220000000001</v>
      </c>
      <c r="AA397" s="1868">
        <v>16.573320000000002</v>
      </c>
      <c r="AB397" s="1868">
        <v>13.678629999999998</v>
      </c>
      <c r="AC397" s="1868">
        <v>16.33606</v>
      </c>
      <c r="AD397" s="1868">
        <v>16.045059999999999</v>
      </c>
      <c r="AE397" s="1868">
        <v>14.298960000000001</v>
      </c>
      <c r="AF397" s="1868">
        <v>18.33259</v>
      </c>
      <c r="AG397" s="1868">
        <v>15.915770000000002</v>
      </c>
      <c r="AH397" s="1868">
        <v>15.34206</v>
      </c>
      <c r="AI397" s="1868">
        <v>16.682110000000002</v>
      </c>
      <c r="AJ397" s="1868">
        <v>16.383600000000001</v>
      </c>
      <c r="AK397" s="1868">
        <v>16.0306</v>
      </c>
      <c r="AL397" s="1868">
        <v>14.680079999999998</v>
      </c>
      <c r="AM397" s="1868">
        <v>13.59581</v>
      </c>
      <c r="AN397" s="1868">
        <v>15.595260000000001</v>
      </c>
      <c r="AO397" s="1868">
        <v>12.73025</v>
      </c>
      <c r="AP397" s="1868">
        <v>14.212529999999999</v>
      </c>
      <c r="AQ397" s="1868">
        <v>14.342029999999999</v>
      </c>
      <c r="AR397" s="1868">
        <v>16.925879999999999</v>
      </c>
      <c r="AS397" s="1868">
        <v>16.186789999999998</v>
      </c>
      <c r="AT397" s="1868">
        <v>20.10746</v>
      </c>
      <c r="AU397" s="1868">
        <v>20.025779999999997</v>
      </c>
      <c r="AV397" s="1868">
        <v>18.334239999999998</v>
      </c>
      <c r="AW397" s="1868">
        <v>18.892250000000001</v>
      </c>
      <c r="AX397" s="1868">
        <v>20.687479999999997</v>
      </c>
      <c r="AY397" s="1868">
        <v>20.341079999999998</v>
      </c>
      <c r="AZ397" s="1868">
        <v>20.50761</v>
      </c>
      <c r="BA397" s="1868">
        <v>20.37002</v>
      </c>
    </row>
    <row r="398" spans="1:53">
      <c r="A398" s="1865" t="str">
        <f t="shared" si="6"/>
        <v>Australia &amp; New ZealandTobacco, unmanufactured</v>
      </c>
      <c r="B398" s="1866" t="s">
        <v>1357</v>
      </c>
      <c r="C398" s="1866" t="s">
        <v>1347</v>
      </c>
      <c r="D398" s="1868">
        <v>1.34121</v>
      </c>
      <c r="E398" s="1868">
        <v>1.2303999999999999</v>
      </c>
      <c r="F398" s="1868">
        <v>1.2610600000000001</v>
      </c>
      <c r="G398" s="1868">
        <v>1.5253099999999999</v>
      </c>
      <c r="H398" s="1868">
        <v>1.3163</v>
      </c>
      <c r="I398" s="1868">
        <v>1.4615100000000001</v>
      </c>
      <c r="J398" s="1868">
        <v>1.5</v>
      </c>
      <c r="K398" s="1868">
        <v>1.3413999999999999</v>
      </c>
      <c r="L398" s="1868">
        <v>1.6513599999999999</v>
      </c>
      <c r="M398" s="1868">
        <v>1.7276099999999999</v>
      </c>
      <c r="N398" s="1868">
        <v>1.7634099999999999</v>
      </c>
      <c r="O398" s="1868">
        <v>1.6244799999999999</v>
      </c>
      <c r="P398" s="1868">
        <v>1.7645299999999999</v>
      </c>
      <c r="Q398" s="1868">
        <v>1.7783099999999998</v>
      </c>
      <c r="R398" s="1868">
        <v>1.6769000000000001</v>
      </c>
      <c r="S398" s="1868">
        <v>1.66533</v>
      </c>
      <c r="T398" s="1868">
        <v>1.6744299999999999</v>
      </c>
      <c r="U398" s="1868">
        <v>1.7848299999999999</v>
      </c>
      <c r="V398" s="1868">
        <v>1.917</v>
      </c>
      <c r="W398" s="1868">
        <v>2.0295400000000003</v>
      </c>
      <c r="X398" s="1868">
        <v>2.0683099999999999</v>
      </c>
      <c r="Y398" s="1868">
        <v>2.0796999999999999</v>
      </c>
      <c r="Z398" s="1868">
        <v>2.0380599999999998</v>
      </c>
      <c r="AA398" s="1868">
        <v>2.2092000000000001</v>
      </c>
      <c r="AB398" s="1868">
        <v>2.3021099999999999</v>
      </c>
      <c r="AC398" s="1868">
        <v>2.1625099999999997</v>
      </c>
      <c r="AD398" s="1868">
        <v>2.4587500000000002</v>
      </c>
      <c r="AE398" s="1868">
        <v>2.4872799999999997</v>
      </c>
      <c r="AF398" s="1868">
        <v>2.4292799999999999</v>
      </c>
      <c r="AG398" s="1868">
        <v>2.38056</v>
      </c>
      <c r="AH398" s="1868">
        <v>2.53308</v>
      </c>
      <c r="AI398" s="1868">
        <v>2.4005400000000003</v>
      </c>
      <c r="AJ398" s="1868">
        <v>2.4737800000000001</v>
      </c>
      <c r="AK398" s="1868">
        <v>2.6728999999999998</v>
      </c>
      <c r="AL398" s="1868">
        <v>2.2867900000000003</v>
      </c>
      <c r="AM398" s="1868">
        <v>2.7954300000000001</v>
      </c>
      <c r="AN398" s="1868">
        <v>2.7025000000000001</v>
      </c>
      <c r="AO398" s="1868">
        <v>2.9172400000000001</v>
      </c>
      <c r="AP398" s="1868">
        <v>2.5178599999999998</v>
      </c>
      <c r="AQ398" s="1868">
        <v>2.4370500000000002</v>
      </c>
      <c r="AR398" s="1868">
        <v>3</v>
      </c>
      <c r="AS398" s="1868">
        <v>3</v>
      </c>
      <c r="AT398" s="1868">
        <v>2.8018200000000002</v>
      </c>
      <c r="AU398" s="1868">
        <v>2.46224</v>
      </c>
      <c r="AV398" s="1868">
        <v>2.5441099999999999</v>
      </c>
      <c r="AW398" s="1868">
        <v>2.7586200000000001</v>
      </c>
      <c r="AX398" s="1868">
        <v>2.3075900000000003</v>
      </c>
      <c r="AY398" s="1868">
        <v>2.22966</v>
      </c>
      <c r="AZ398" s="1868">
        <v>2.9758599999999999</v>
      </c>
      <c r="BA398" s="1868">
        <v>2.9758599999999999</v>
      </c>
    </row>
    <row r="399" spans="1:53">
      <c r="A399" s="1865" t="str">
        <f t="shared" si="6"/>
        <v>Australia &amp; New ZealandTomatoes</v>
      </c>
      <c r="B399" s="1866" t="s">
        <v>1357</v>
      </c>
      <c r="C399" s="1866" t="s">
        <v>1406</v>
      </c>
      <c r="D399" s="1868">
        <v>22.10765</v>
      </c>
      <c r="E399" s="1868">
        <v>23.798960000000001</v>
      </c>
      <c r="F399" s="1868">
        <v>23.701599999999999</v>
      </c>
      <c r="G399" s="1868">
        <v>23.909010000000002</v>
      </c>
      <c r="H399" s="1868">
        <v>25.953939999999999</v>
      </c>
      <c r="I399" s="1868">
        <v>25.486889999999999</v>
      </c>
      <c r="J399" s="1868">
        <v>25.78389</v>
      </c>
      <c r="K399" s="1868">
        <v>24.67596</v>
      </c>
      <c r="L399" s="1868">
        <v>24.384789999999999</v>
      </c>
      <c r="M399" s="1868">
        <v>24.32985</v>
      </c>
      <c r="N399" s="1868">
        <v>25.351949999999999</v>
      </c>
      <c r="O399" s="1868">
        <v>27.188870000000001</v>
      </c>
      <c r="P399" s="1868">
        <v>27.648409999999998</v>
      </c>
      <c r="Q399" s="1868">
        <v>24.792870000000001</v>
      </c>
      <c r="R399" s="1868">
        <v>24.410640000000001</v>
      </c>
      <c r="S399" s="1868">
        <v>23.422420000000002</v>
      </c>
      <c r="T399" s="1868">
        <v>25.030899999999999</v>
      </c>
      <c r="U399" s="1868">
        <v>25.733039999999999</v>
      </c>
      <c r="V399" s="1868">
        <v>24.536020000000001</v>
      </c>
      <c r="W399" s="1868">
        <v>26.744870000000002</v>
      </c>
      <c r="X399" s="1868">
        <v>26.683800000000002</v>
      </c>
      <c r="Y399" s="1868">
        <v>28.41893</v>
      </c>
      <c r="Z399" s="1868">
        <v>29.24408</v>
      </c>
      <c r="AA399" s="1868">
        <v>31.676059999999996</v>
      </c>
      <c r="AB399" s="1868">
        <v>32.74624</v>
      </c>
      <c r="AC399" s="1868">
        <v>39.065559999999998</v>
      </c>
      <c r="AD399" s="1868">
        <v>36.917050000000003</v>
      </c>
      <c r="AE399" s="1868">
        <v>40.485869999999998</v>
      </c>
      <c r="AF399" s="1868">
        <v>40.370470000000005</v>
      </c>
      <c r="AG399" s="1868">
        <v>38.167840000000005</v>
      </c>
      <c r="AH399" s="1868">
        <v>41.17718</v>
      </c>
      <c r="AI399" s="1868">
        <v>41.202199999999998</v>
      </c>
      <c r="AJ399" s="1868">
        <v>36.556629999999998</v>
      </c>
      <c r="AK399" s="1868">
        <v>42.083829999999999</v>
      </c>
      <c r="AL399" s="1868">
        <v>40.487090000000002</v>
      </c>
      <c r="AM399" s="1868">
        <v>43.20993</v>
      </c>
      <c r="AN399" s="1868">
        <v>43.523119999999999</v>
      </c>
      <c r="AO399" s="1868">
        <v>46.038260000000001</v>
      </c>
      <c r="AP399" s="1868">
        <v>50.410620000000002</v>
      </c>
      <c r="AQ399" s="1868">
        <v>55.365740000000002</v>
      </c>
      <c r="AR399" s="1868">
        <v>60.307519999999997</v>
      </c>
      <c r="AS399" s="1868">
        <v>59.466840000000005</v>
      </c>
      <c r="AT399" s="1868">
        <v>57.357709999999997</v>
      </c>
      <c r="AU399" s="1868">
        <v>61.939059999999998</v>
      </c>
      <c r="AV399" s="1868">
        <v>58.279699999999998</v>
      </c>
      <c r="AW399" s="1868">
        <v>63.856269999999995</v>
      </c>
      <c r="AX399" s="1868">
        <v>49.881450000000001</v>
      </c>
      <c r="AY399" s="1868">
        <v>63.027519999999996</v>
      </c>
      <c r="AZ399" s="1868">
        <v>70.625559999999993</v>
      </c>
      <c r="BA399" s="1868">
        <v>66.458880000000008</v>
      </c>
    </row>
    <row r="400" spans="1:53">
      <c r="A400" s="1865" t="str">
        <f t="shared" si="6"/>
        <v>Australia &amp; New ZealandTriticale</v>
      </c>
      <c r="B400" s="1866" t="s">
        <v>1357</v>
      </c>
      <c r="C400" s="1866" t="s">
        <v>1361</v>
      </c>
      <c r="W400" s="1868">
        <v>0.9230799999999999</v>
      </c>
      <c r="X400" s="1868">
        <v>1.42188</v>
      </c>
      <c r="Y400" s="1868">
        <v>0.89129999999999998</v>
      </c>
      <c r="Z400" s="1868">
        <v>1.60684</v>
      </c>
      <c r="AA400" s="1868">
        <v>1.3731799999999998</v>
      </c>
      <c r="AB400" s="1868">
        <v>1.61954</v>
      </c>
      <c r="AC400" s="1868">
        <v>1.6081099999999999</v>
      </c>
      <c r="AD400" s="1868">
        <v>1.5588200000000001</v>
      </c>
      <c r="AE400" s="1868">
        <v>1.6864400000000002</v>
      </c>
      <c r="AF400" s="1868">
        <v>1.6714500000000001</v>
      </c>
      <c r="AG400" s="1868">
        <v>1.80613</v>
      </c>
      <c r="AH400" s="1868">
        <v>1.7654799999999999</v>
      </c>
      <c r="AI400" s="1868">
        <v>2.32111</v>
      </c>
      <c r="AJ400" s="1868">
        <v>2</v>
      </c>
      <c r="AK400" s="1868">
        <v>1.18954</v>
      </c>
      <c r="AL400" s="1868">
        <v>2.11904</v>
      </c>
      <c r="AM400" s="1868">
        <v>1.9473200000000002</v>
      </c>
      <c r="AN400" s="1868">
        <v>2.5836700000000001</v>
      </c>
      <c r="AO400" s="1868">
        <v>1.8342000000000001</v>
      </c>
      <c r="AP400" s="1868">
        <v>2.1163400000000001</v>
      </c>
      <c r="AQ400" s="1868">
        <v>2.16195</v>
      </c>
      <c r="AR400" s="1868">
        <v>2.1026899999999999</v>
      </c>
      <c r="AS400" s="1868">
        <v>0.80232000000000003</v>
      </c>
      <c r="AT400" s="1868">
        <v>1.8542000000000001</v>
      </c>
      <c r="AU400" s="1868">
        <v>1.56707</v>
      </c>
      <c r="AV400" s="1868">
        <v>1.9481299999999999</v>
      </c>
      <c r="AW400" s="1868">
        <v>0.54069999999999996</v>
      </c>
      <c r="AX400" s="1868">
        <v>1.25</v>
      </c>
      <c r="AY400" s="1868">
        <v>1.1241099999999999</v>
      </c>
      <c r="AZ400" s="1868">
        <v>1.55714</v>
      </c>
      <c r="BA400" s="1868">
        <v>1.5021</v>
      </c>
    </row>
    <row r="401" spans="1:53">
      <c r="A401" s="1865" t="str">
        <f t="shared" si="6"/>
        <v>Australia &amp; New ZealandVegetables fresh nes</v>
      </c>
      <c r="B401" s="1866" t="s">
        <v>1357</v>
      </c>
      <c r="C401" s="1866" t="s">
        <v>1407</v>
      </c>
      <c r="D401" s="1868">
        <v>17.4817</v>
      </c>
      <c r="E401" s="1868">
        <v>16.486429999999999</v>
      </c>
      <c r="F401" s="1868">
        <v>19.12743</v>
      </c>
      <c r="G401" s="1868">
        <v>16.261600000000001</v>
      </c>
      <c r="H401" s="1868">
        <v>14.305420000000002</v>
      </c>
      <c r="I401" s="1868">
        <v>23.874169999999999</v>
      </c>
      <c r="J401" s="1868">
        <v>22.757950000000001</v>
      </c>
      <c r="K401" s="1868">
        <v>23.25047</v>
      </c>
      <c r="L401" s="1868">
        <v>23.3994</v>
      </c>
      <c r="M401" s="1868">
        <v>22.808540000000001</v>
      </c>
      <c r="N401" s="1868">
        <v>25.687820000000002</v>
      </c>
      <c r="O401" s="1868">
        <v>26.049979999999998</v>
      </c>
      <c r="P401" s="1868">
        <v>25.602589999999999</v>
      </c>
      <c r="Q401" s="1868">
        <v>26.756429999999998</v>
      </c>
      <c r="R401" s="1868">
        <v>25.202089999999998</v>
      </c>
      <c r="S401" s="1868">
        <v>26.170909999999999</v>
      </c>
      <c r="T401" s="1868">
        <v>28.905329999999999</v>
      </c>
      <c r="U401" s="1868">
        <v>31.132040000000003</v>
      </c>
      <c r="V401" s="1868">
        <v>30.587150000000001</v>
      </c>
      <c r="W401" s="1868">
        <v>30.851099999999999</v>
      </c>
      <c r="X401" s="1868">
        <v>30.418429999999997</v>
      </c>
      <c r="Y401" s="1868">
        <v>30.661519999999999</v>
      </c>
      <c r="Z401" s="1868">
        <v>29.218679999999999</v>
      </c>
      <c r="AA401" s="1868">
        <v>31.693670000000001</v>
      </c>
      <c r="AB401" s="1868">
        <v>32.19782</v>
      </c>
      <c r="AC401" s="1868">
        <v>31.18628</v>
      </c>
      <c r="AD401" s="1868">
        <v>30.280999999999999</v>
      </c>
      <c r="AE401" s="1868">
        <v>29.931979999999999</v>
      </c>
      <c r="AF401" s="1868">
        <v>29.927240000000001</v>
      </c>
      <c r="AG401" s="1868">
        <v>31.705379999999998</v>
      </c>
      <c r="AH401" s="1868">
        <v>29.399909999999998</v>
      </c>
      <c r="AI401" s="1868">
        <v>28.173909999999999</v>
      </c>
      <c r="AJ401" s="1868">
        <v>31.042549999999999</v>
      </c>
      <c r="AK401" s="1868">
        <v>27.552629999999997</v>
      </c>
      <c r="AL401" s="1868">
        <v>28.285109999999996</v>
      </c>
      <c r="AM401" s="1868">
        <v>30.234290000000001</v>
      </c>
      <c r="AN401" s="1868">
        <v>28.115170000000003</v>
      </c>
      <c r="AO401" s="1868">
        <v>25.969360000000002</v>
      </c>
      <c r="AP401" s="1868">
        <v>26.526520000000001</v>
      </c>
      <c r="AQ401" s="1868">
        <v>26.223209999999998</v>
      </c>
      <c r="AR401" s="1868">
        <v>30.14772</v>
      </c>
      <c r="AS401" s="1868">
        <v>30.028159999999996</v>
      </c>
      <c r="AT401" s="1868">
        <v>28.29562</v>
      </c>
      <c r="AU401" s="1868">
        <v>34.148140000000005</v>
      </c>
      <c r="AV401" s="1868">
        <v>30.618970000000001</v>
      </c>
      <c r="AW401" s="1868">
        <v>38.261920000000003</v>
      </c>
      <c r="AX401" s="1868">
        <v>33.896229999999996</v>
      </c>
      <c r="AY401" s="1868">
        <v>38.789740000000002</v>
      </c>
      <c r="AZ401" s="1868">
        <v>37.457229999999996</v>
      </c>
      <c r="BA401" s="1868">
        <v>35.661290000000001</v>
      </c>
    </row>
    <row r="402" spans="1:53">
      <c r="A402" s="1865" t="str">
        <f t="shared" si="6"/>
        <v>Australia &amp; New ZealandVetches</v>
      </c>
      <c r="B402" s="1866" t="s">
        <v>1357</v>
      </c>
      <c r="C402" s="1866" t="s">
        <v>1408</v>
      </c>
      <c r="D402" s="1868">
        <v>0.67161000000000004</v>
      </c>
      <c r="E402" s="1868">
        <v>0.67161000000000004</v>
      </c>
      <c r="F402" s="1868">
        <v>0.73826999999999998</v>
      </c>
      <c r="G402" s="1868">
        <v>0.13333</v>
      </c>
      <c r="H402" s="1868">
        <v>0.26913999999999999</v>
      </c>
      <c r="I402" s="1868">
        <v>0.33579999999999999</v>
      </c>
      <c r="J402" s="1868">
        <v>0.53827000000000003</v>
      </c>
      <c r="K402" s="1868">
        <v>0.47161000000000003</v>
      </c>
      <c r="L402" s="1868">
        <v>0.10136000000000001</v>
      </c>
      <c r="M402" s="1868">
        <v>0.25</v>
      </c>
      <c r="N402" s="1868">
        <v>0.35970000000000002</v>
      </c>
      <c r="O402" s="1868">
        <v>1.0833299999999999</v>
      </c>
      <c r="P402" s="1868">
        <v>2.25</v>
      </c>
      <c r="Q402" s="1868">
        <v>2.8768400000000001</v>
      </c>
      <c r="R402" s="1868">
        <v>2.9167700000000001</v>
      </c>
      <c r="S402" s="1868">
        <v>2.34762</v>
      </c>
      <c r="T402" s="1868">
        <v>2.6546099999999999</v>
      </c>
      <c r="U402" s="1868">
        <v>2.5466000000000002</v>
      </c>
      <c r="V402" s="1868">
        <v>1.9957900000000002</v>
      </c>
      <c r="W402" s="1868">
        <v>1.73577</v>
      </c>
      <c r="X402" s="1868">
        <v>2.0123500000000001</v>
      </c>
      <c r="Y402" s="1868">
        <v>0.92617000000000005</v>
      </c>
      <c r="Z402" s="1868">
        <v>2.4700199999999999</v>
      </c>
      <c r="AA402" s="1868">
        <v>3.2050000000000001</v>
      </c>
      <c r="AB402" s="1868">
        <v>3.0830900000000003</v>
      </c>
      <c r="AC402" s="1868">
        <v>1.4591700000000001</v>
      </c>
      <c r="AD402" s="1868">
        <v>0.46598000000000001</v>
      </c>
      <c r="AE402" s="1868">
        <v>0.36584</v>
      </c>
      <c r="AF402" s="1868">
        <v>0.76544999999999996</v>
      </c>
      <c r="AG402" s="1868">
        <v>0.58025000000000004</v>
      </c>
      <c r="AH402" s="1868">
        <v>0.86382999999999988</v>
      </c>
      <c r="AI402" s="1868">
        <v>0.69723999999999997</v>
      </c>
      <c r="AJ402" s="1868">
        <v>1.11111</v>
      </c>
      <c r="AK402" s="1868">
        <v>0.52173999999999998</v>
      </c>
      <c r="AL402" s="1868">
        <v>1.1764700000000001</v>
      </c>
      <c r="AM402" s="1868">
        <v>1.05</v>
      </c>
      <c r="AN402" s="1868">
        <v>0.82499999999999996</v>
      </c>
      <c r="AO402" s="1868">
        <v>0.82927000000000006</v>
      </c>
      <c r="AP402" s="1868">
        <v>0.85483999999999993</v>
      </c>
      <c r="AQ402" s="1868">
        <v>0.61538999999999999</v>
      </c>
      <c r="AR402" s="1868">
        <v>0.7</v>
      </c>
      <c r="AS402" s="1868">
        <v>0.75</v>
      </c>
      <c r="AT402" s="1868">
        <v>0.79466000000000003</v>
      </c>
      <c r="AU402" s="1868">
        <v>0.86272000000000004</v>
      </c>
      <c r="AV402" s="1868">
        <v>0.19929000000000002</v>
      </c>
      <c r="AW402" s="1868">
        <v>0.2</v>
      </c>
      <c r="AX402" s="1868">
        <v>0.2</v>
      </c>
      <c r="AY402" s="1868">
        <v>0.2447</v>
      </c>
      <c r="AZ402" s="1868">
        <v>0.16646</v>
      </c>
      <c r="BA402" s="1868">
        <v>0.14539000000000002</v>
      </c>
    </row>
    <row r="403" spans="1:53">
      <c r="A403" s="1865" t="str">
        <f t="shared" si="6"/>
        <v>Australia &amp; New ZealandWheat</v>
      </c>
      <c r="B403" s="1866" t="s">
        <v>1357</v>
      </c>
      <c r="C403" s="1866" t="s">
        <v>1409</v>
      </c>
      <c r="D403" s="1868">
        <v>1.15693</v>
      </c>
      <c r="E403" s="1868">
        <v>1.2709299999999999</v>
      </c>
      <c r="F403" s="1868">
        <v>1.35744</v>
      </c>
      <c r="G403" s="1868">
        <v>1.40591</v>
      </c>
      <c r="H403" s="1868">
        <v>1.02163</v>
      </c>
      <c r="I403" s="1868">
        <v>1.52702</v>
      </c>
      <c r="J403" s="1868">
        <v>0.86043999999999998</v>
      </c>
      <c r="K403" s="1868">
        <v>1.38958</v>
      </c>
      <c r="L403" s="1868">
        <v>1.1444700000000001</v>
      </c>
      <c r="M403" s="1868">
        <v>1.24143</v>
      </c>
      <c r="N403" s="1868">
        <v>1.23444</v>
      </c>
      <c r="O403" s="1868">
        <v>0.90507000000000004</v>
      </c>
      <c r="P403" s="1868">
        <v>1.3651899999999999</v>
      </c>
      <c r="Q403" s="1868">
        <v>1.3816899999999999</v>
      </c>
      <c r="R403" s="1868">
        <v>1.4120600000000001</v>
      </c>
      <c r="S403" s="1868">
        <v>1.34527</v>
      </c>
      <c r="T403" s="1868">
        <v>0.96748999999999996</v>
      </c>
      <c r="U403" s="1868">
        <v>1.7813299999999999</v>
      </c>
      <c r="V403" s="1868">
        <v>1.46648</v>
      </c>
      <c r="W403" s="1868">
        <v>0.98177000000000003</v>
      </c>
      <c r="X403" s="1868">
        <v>1.3944000000000001</v>
      </c>
      <c r="Y403" s="1868">
        <v>0.79091</v>
      </c>
      <c r="Z403" s="1868">
        <v>1.71648</v>
      </c>
      <c r="AA403" s="1868">
        <v>1.5626100000000001</v>
      </c>
      <c r="AB403" s="1868">
        <v>1.38751</v>
      </c>
      <c r="AC403" s="1868">
        <v>1.4696400000000001</v>
      </c>
      <c r="AD403" s="1868">
        <v>1.38907</v>
      </c>
      <c r="AE403" s="1868">
        <v>1.59291</v>
      </c>
      <c r="AF403" s="1868">
        <v>1.5870299999999999</v>
      </c>
      <c r="AG403" s="1868">
        <v>1.6479200000000001</v>
      </c>
      <c r="AH403" s="1868">
        <v>1.4875799999999999</v>
      </c>
      <c r="AI403" s="1868">
        <v>1.79647</v>
      </c>
      <c r="AJ403" s="1868">
        <v>1.9827099999999998</v>
      </c>
      <c r="AK403" s="1868">
        <v>1.16012</v>
      </c>
      <c r="AL403" s="1868">
        <v>1.8066599999999999</v>
      </c>
      <c r="AM403" s="1868">
        <v>2.1830799999999999</v>
      </c>
      <c r="AN403" s="1868">
        <v>1.86158</v>
      </c>
      <c r="AO403" s="1868">
        <v>1.9333099999999999</v>
      </c>
      <c r="AP403" s="1868">
        <v>2.0238400000000003</v>
      </c>
      <c r="AQ403" s="1868">
        <v>1.8398299999999999</v>
      </c>
      <c r="AR403" s="1868">
        <v>2.1301600000000001</v>
      </c>
      <c r="AS403" s="1868">
        <v>0.93054999999999999</v>
      </c>
      <c r="AT403" s="1868">
        <v>2.0177499999999999</v>
      </c>
      <c r="AU403" s="1868">
        <v>1.65377</v>
      </c>
      <c r="AV403" s="1868">
        <v>2.0400999999999998</v>
      </c>
      <c r="AW403" s="1868">
        <v>0.93642999999999987</v>
      </c>
      <c r="AX403" s="1868">
        <v>1.1026200000000002</v>
      </c>
      <c r="AY403" s="1868">
        <v>1.6034999999999999</v>
      </c>
      <c r="AZ403" s="1868">
        <v>1.59368</v>
      </c>
      <c r="BA403" s="1868">
        <v>1.6651900000000002</v>
      </c>
    </row>
    <row r="404" spans="1:53">
      <c r="A404" s="1865" t="str">
        <f t="shared" si="6"/>
        <v>Australia &amp; New ZealandCereals (Rice Milled Eqv</v>
      </c>
      <c r="B404" s="1866" t="s">
        <v>1357</v>
      </c>
      <c r="C404" s="1866" t="s">
        <v>1410</v>
      </c>
      <c r="D404" s="1868">
        <v>1.1089500000000001</v>
      </c>
      <c r="E404" s="1868">
        <v>1.2332100000000001</v>
      </c>
      <c r="F404" s="1868">
        <v>1.3019499999999999</v>
      </c>
      <c r="G404" s="1868">
        <v>1.3464499999999999</v>
      </c>
      <c r="H404" s="1868">
        <v>1.0083600000000001</v>
      </c>
      <c r="I404" s="1868">
        <v>1.46058</v>
      </c>
      <c r="J404" s="1868">
        <v>0.85943999999999998</v>
      </c>
      <c r="K404" s="1868">
        <v>1.3662000000000001</v>
      </c>
      <c r="L404" s="1868">
        <v>1.1512100000000001</v>
      </c>
      <c r="M404" s="1868">
        <v>1.24176</v>
      </c>
      <c r="N404" s="1868">
        <v>1.3011999999999999</v>
      </c>
      <c r="O404" s="1868">
        <v>0.98321000000000003</v>
      </c>
      <c r="P404" s="1868">
        <v>1.3529799999999998</v>
      </c>
      <c r="Q404" s="1868">
        <v>1.4120700000000002</v>
      </c>
      <c r="R404" s="1868">
        <v>1.43424</v>
      </c>
      <c r="S404" s="1868">
        <v>1.38123</v>
      </c>
      <c r="T404" s="1868">
        <v>1.0224500000000001</v>
      </c>
      <c r="U404" s="1868">
        <v>1.7012099999999999</v>
      </c>
      <c r="V404" s="1868">
        <v>1.5271700000000001</v>
      </c>
      <c r="W404" s="1868">
        <v>1.07446</v>
      </c>
      <c r="X404" s="1868">
        <v>1.4187000000000001</v>
      </c>
      <c r="Y404" s="1868">
        <v>0.90162999999999993</v>
      </c>
      <c r="Z404" s="1868">
        <v>1.6662599999999999</v>
      </c>
      <c r="AA404" s="1868">
        <v>1.6389099999999999</v>
      </c>
      <c r="AB404" s="1868">
        <v>1.48309</v>
      </c>
      <c r="AC404" s="1868">
        <v>1.5563499999999999</v>
      </c>
      <c r="AD404" s="1868">
        <v>1.4711299999999998</v>
      </c>
      <c r="AE404" s="1868">
        <v>1.6473500000000001</v>
      </c>
      <c r="AF404" s="1868">
        <v>1.6867599999999998</v>
      </c>
      <c r="AG404" s="1868">
        <v>1.7356499999999999</v>
      </c>
      <c r="AH404" s="1868">
        <v>1.6289200000000001</v>
      </c>
      <c r="AI404" s="1868">
        <v>1.9044299999999998</v>
      </c>
      <c r="AJ404" s="1868">
        <v>1.9934799999999999</v>
      </c>
      <c r="AK404" s="1868">
        <v>1.2908899999999999</v>
      </c>
      <c r="AL404" s="1868">
        <v>1.8779999999999999</v>
      </c>
      <c r="AM404" s="1868">
        <v>2.1445099999999999</v>
      </c>
      <c r="AN404" s="1868">
        <v>1.9656</v>
      </c>
      <c r="AO404" s="1868">
        <v>1.9951700000000001</v>
      </c>
      <c r="AP404" s="1868">
        <v>2.1175599999999997</v>
      </c>
      <c r="AQ404" s="1868">
        <v>1.97478</v>
      </c>
      <c r="AR404" s="1868">
        <v>2.2233299999999998</v>
      </c>
      <c r="AS404" s="1868">
        <v>1.10988</v>
      </c>
      <c r="AT404" s="1868">
        <v>2.1148599999999997</v>
      </c>
      <c r="AU404" s="1868">
        <v>1.72662</v>
      </c>
      <c r="AV404" s="1868">
        <v>2.1140099999999999</v>
      </c>
      <c r="AW404" s="1868">
        <v>1.0751899999999999</v>
      </c>
      <c r="AX404" s="1868">
        <v>1.26786</v>
      </c>
      <c r="AY404" s="1868">
        <v>1.7246900000000001</v>
      </c>
      <c r="AZ404" s="1868">
        <v>1.7317599999999997</v>
      </c>
      <c r="BA404" s="1868">
        <v>1.75647</v>
      </c>
    </row>
    <row r="405" spans="1:53">
      <c r="A405" s="1865" t="str">
        <f t="shared" si="6"/>
        <v>CaribbeanBananas</v>
      </c>
      <c r="B405" s="1866" t="s">
        <v>1415</v>
      </c>
      <c r="C405" s="1866" t="s">
        <v>1362</v>
      </c>
      <c r="D405" s="1868">
        <v>10.02036</v>
      </c>
      <c r="E405" s="1868">
        <v>9.8399199999999993</v>
      </c>
      <c r="F405" s="1868">
        <v>9.3520199999999996</v>
      </c>
      <c r="G405" s="1868">
        <v>9.4220800000000011</v>
      </c>
      <c r="H405" s="1868">
        <v>10.29012</v>
      </c>
      <c r="I405" s="1868">
        <v>11.299200000000001</v>
      </c>
      <c r="J405" s="1868">
        <v>11.130230000000001</v>
      </c>
      <c r="K405" s="1868">
        <v>11.14212</v>
      </c>
      <c r="L405" s="1868">
        <v>10.994199999999999</v>
      </c>
      <c r="M405" s="1868">
        <v>10.57334</v>
      </c>
      <c r="N405" s="1868">
        <v>10.86774</v>
      </c>
      <c r="O405" s="1868">
        <v>11.777749999999999</v>
      </c>
      <c r="P405" s="1868">
        <v>11.41592</v>
      </c>
      <c r="Q405" s="1868">
        <v>11.607510000000001</v>
      </c>
      <c r="R405" s="1868">
        <v>11.35801</v>
      </c>
      <c r="S405" s="1868">
        <v>11.990589999999999</v>
      </c>
      <c r="T405" s="1868">
        <v>12.020569999999999</v>
      </c>
      <c r="U405" s="1868">
        <v>12.35336</v>
      </c>
      <c r="V405" s="1868">
        <v>10.42</v>
      </c>
      <c r="W405" s="1868">
        <v>9.5138999999999996</v>
      </c>
      <c r="X405" s="1868">
        <v>11.35026</v>
      </c>
      <c r="Y405" s="1868">
        <v>11.854810000000001</v>
      </c>
      <c r="Z405" s="1868">
        <v>11.613289999999999</v>
      </c>
      <c r="AA405" s="1868">
        <v>12.231580000000001</v>
      </c>
      <c r="AB405" s="1868">
        <v>11.42272</v>
      </c>
      <c r="AC405" s="1868">
        <v>11.679160000000001</v>
      </c>
      <c r="AD405" s="1868">
        <v>11.36669</v>
      </c>
      <c r="AE405" s="1868">
        <v>12.160160000000001</v>
      </c>
      <c r="AF405" s="1868">
        <v>11.564349999999999</v>
      </c>
      <c r="AG405" s="1868">
        <v>11.6831</v>
      </c>
      <c r="AH405" s="1868">
        <v>11.702310000000001</v>
      </c>
      <c r="AI405" s="1868">
        <v>11.131030000000001</v>
      </c>
      <c r="AJ405" s="1868">
        <v>10.713699999999999</v>
      </c>
      <c r="AK405" s="1868">
        <v>9.8286999999999995</v>
      </c>
      <c r="AL405" s="1868">
        <v>10.08802</v>
      </c>
      <c r="AM405" s="1868">
        <v>11.223599999999999</v>
      </c>
      <c r="AN405" s="1868">
        <v>10.908329999999999</v>
      </c>
      <c r="AO405" s="1868">
        <v>10.62247</v>
      </c>
      <c r="AP405" s="1868">
        <v>10.58347</v>
      </c>
      <c r="AQ405" s="1868">
        <v>10.85586</v>
      </c>
      <c r="AR405" s="1868">
        <v>11.191310000000001</v>
      </c>
      <c r="AS405" s="1868">
        <v>13.147120000000001</v>
      </c>
      <c r="AT405" s="1868">
        <v>12.489519999999999</v>
      </c>
      <c r="AU405" s="1868">
        <v>13.039639999999999</v>
      </c>
      <c r="AV405" s="1868">
        <v>14.8459</v>
      </c>
      <c r="AW405" s="1868">
        <v>13.307550000000001</v>
      </c>
      <c r="AX405" s="1868">
        <v>12.35281</v>
      </c>
      <c r="AY405" s="1868">
        <v>11.48751</v>
      </c>
      <c r="AZ405" s="1868">
        <v>10.98868</v>
      </c>
      <c r="BA405" s="1868">
        <v>12.942789999999999</v>
      </c>
    </row>
    <row r="406" spans="1:53">
      <c r="A406" s="1865" t="str">
        <f t="shared" si="6"/>
        <v>CaribbeanBeans, dry</v>
      </c>
      <c r="B406" s="1866" t="s">
        <v>1415</v>
      </c>
      <c r="C406" s="1866" t="s">
        <v>1364</v>
      </c>
      <c r="D406" s="1868">
        <v>0.48372999999999999</v>
      </c>
      <c r="E406" s="1868">
        <v>0.48326000000000002</v>
      </c>
      <c r="F406" s="1868">
        <v>0.46898000000000001</v>
      </c>
      <c r="G406" s="1868">
        <v>0.47315000000000002</v>
      </c>
      <c r="H406" s="1868">
        <v>0.47136999999999996</v>
      </c>
      <c r="I406" s="1868">
        <v>0.47298999999999997</v>
      </c>
      <c r="J406" s="1868">
        <v>0.46081000000000005</v>
      </c>
      <c r="K406" s="1868">
        <v>0.44406999999999996</v>
      </c>
      <c r="L406" s="1868">
        <v>0.46755000000000002</v>
      </c>
      <c r="M406" s="1868">
        <v>0.49180000000000001</v>
      </c>
      <c r="N406" s="1868">
        <v>0.49841000000000002</v>
      </c>
      <c r="O406" s="1868">
        <v>0.52112999999999998</v>
      </c>
      <c r="P406" s="1868">
        <v>0.56084999999999996</v>
      </c>
      <c r="Q406" s="1868">
        <v>0.57621</v>
      </c>
      <c r="R406" s="1868">
        <v>0.59282000000000001</v>
      </c>
      <c r="S406" s="1868">
        <v>0.53047</v>
      </c>
      <c r="T406" s="1868">
        <v>0.51933000000000007</v>
      </c>
      <c r="U406" s="1868">
        <v>0.52038000000000006</v>
      </c>
      <c r="V406" s="1868">
        <v>0.67158999999999991</v>
      </c>
      <c r="W406" s="1868">
        <v>0.60728000000000004</v>
      </c>
      <c r="X406" s="1868">
        <v>0.61928000000000005</v>
      </c>
      <c r="Y406" s="1868">
        <v>0.64976999999999996</v>
      </c>
      <c r="Z406" s="1868">
        <v>0.65327999999999997</v>
      </c>
      <c r="AA406" s="1868">
        <v>0.68481999999999998</v>
      </c>
      <c r="AB406" s="1868">
        <v>0.54721999999999993</v>
      </c>
      <c r="AC406" s="1868">
        <v>0.7046</v>
      </c>
      <c r="AD406" s="1868">
        <v>0.59894999999999998</v>
      </c>
      <c r="AE406" s="1868">
        <v>0.61116000000000004</v>
      </c>
      <c r="AF406" s="1868">
        <v>0.62353999999999998</v>
      </c>
      <c r="AG406" s="1868">
        <v>0.61492000000000002</v>
      </c>
      <c r="AH406" s="1868">
        <v>0.55468000000000006</v>
      </c>
      <c r="AI406" s="1868">
        <v>0.51954</v>
      </c>
      <c r="AJ406" s="1868">
        <v>0.47162999999999999</v>
      </c>
      <c r="AK406" s="1868">
        <v>0.48478000000000004</v>
      </c>
      <c r="AL406" s="1868">
        <v>0.49164999999999998</v>
      </c>
      <c r="AM406" s="1868">
        <v>0.51454999999999995</v>
      </c>
      <c r="AN406" s="1868">
        <v>0.52163999999999999</v>
      </c>
      <c r="AO406" s="1868">
        <v>0.54510999999999998</v>
      </c>
      <c r="AP406" s="1868">
        <v>0.79727999999999999</v>
      </c>
      <c r="AQ406" s="1868">
        <v>0.82138999999999995</v>
      </c>
      <c r="AR406" s="1868">
        <v>0.8384299999999999</v>
      </c>
      <c r="AS406" s="1868">
        <v>0.87229999999999996</v>
      </c>
      <c r="AT406" s="1868">
        <v>0.96887000000000012</v>
      </c>
      <c r="AU406" s="1868">
        <v>0.97368999999999994</v>
      </c>
      <c r="AV406" s="1868">
        <v>0.89623999999999993</v>
      </c>
      <c r="AW406" s="1868">
        <v>0.84521000000000002</v>
      </c>
      <c r="AX406" s="1868">
        <v>0.86970000000000003</v>
      </c>
      <c r="AY406" s="1868">
        <v>0.81752999999999998</v>
      </c>
      <c r="AZ406" s="1868">
        <v>0.76536000000000004</v>
      </c>
      <c r="BA406" s="1868">
        <v>0.69862999999999997</v>
      </c>
    </row>
    <row r="407" spans="1:53">
      <c r="A407" s="1865" t="str">
        <f t="shared" si="6"/>
        <v>CaribbeanBeans, green</v>
      </c>
      <c r="B407" s="1866" t="s">
        <v>1415</v>
      </c>
      <c r="C407" s="1866" t="s">
        <v>1365</v>
      </c>
      <c r="D407" s="1868">
        <v>7.2671800000000006</v>
      </c>
      <c r="E407" s="1868">
        <v>7.0177300000000002</v>
      </c>
      <c r="F407" s="1868">
        <v>7.0033899999999996</v>
      </c>
      <c r="G407" s="1868">
        <v>6.5791899999999996</v>
      </c>
      <c r="H407" s="1868">
        <v>6.2987000000000002</v>
      </c>
      <c r="I407" s="1868">
        <v>6.9854100000000008</v>
      </c>
      <c r="J407" s="1868">
        <v>6.8319999999999999</v>
      </c>
      <c r="K407" s="1868">
        <v>7.5459699999999996</v>
      </c>
      <c r="L407" s="1868">
        <v>8.00685</v>
      </c>
      <c r="M407" s="1868">
        <v>7.5337800000000001</v>
      </c>
      <c r="N407" s="1868">
        <v>8.2603600000000004</v>
      </c>
      <c r="O407" s="1868">
        <v>8.1225000000000005</v>
      </c>
      <c r="P407" s="1868">
        <v>9.8638100000000009</v>
      </c>
      <c r="Q407" s="1868">
        <v>9.9015800000000009</v>
      </c>
      <c r="R407" s="1868">
        <v>10.142860000000001</v>
      </c>
      <c r="S407" s="1868">
        <v>10.026120000000001</v>
      </c>
      <c r="T407" s="1868">
        <v>9.1803299999999997</v>
      </c>
      <c r="U407" s="1868">
        <v>13.485110000000001</v>
      </c>
      <c r="V407" s="1868">
        <v>11.085189999999999</v>
      </c>
      <c r="W407" s="1868">
        <v>10.931560000000001</v>
      </c>
      <c r="X407" s="1868">
        <v>9.6787899999999993</v>
      </c>
      <c r="Y407" s="1868">
        <v>11.98592</v>
      </c>
      <c r="Z407" s="1868">
        <v>13.588239999999999</v>
      </c>
      <c r="AA407" s="1868">
        <v>12.59483</v>
      </c>
      <c r="AB407" s="1868">
        <v>15.051589999999999</v>
      </c>
      <c r="AC407" s="1868">
        <v>15.788079999999999</v>
      </c>
      <c r="AD407" s="1868">
        <v>10.767860000000001</v>
      </c>
      <c r="AE407" s="1868">
        <v>12.74274</v>
      </c>
      <c r="AF407" s="1868">
        <v>12.757430000000001</v>
      </c>
      <c r="AG407" s="1868">
        <v>9.2233000000000001</v>
      </c>
      <c r="AH407" s="1868">
        <v>10.26667</v>
      </c>
      <c r="AI407" s="1868">
        <v>11.269410000000001</v>
      </c>
      <c r="AJ407" s="1868">
        <v>10.24887</v>
      </c>
      <c r="AK407" s="1868">
        <v>11.319050000000001</v>
      </c>
      <c r="AL407" s="1868">
        <v>11.59113</v>
      </c>
      <c r="AM407" s="1868">
        <v>10.110200000000001</v>
      </c>
      <c r="AN407" s="1868">
        <v>10.69328</v>
      </c>
      <c r="AO407" s="1868">
        <v>8.7200000000000006</v>
      </c>
      <c r="AP407" s="1868">
        <v>10.12853</v>
      </c>
      <c r="AQ407" s="1868">
        <v>9.514660000000001</v>
      </c>
      <c r="AR407" s="1868">
        <v>9.4749300000000005</v>
      </c>
      <c r="AS407" s="1868">
        <v>8.8654399999999995</v>
      </c>
      <c r="AT407" s="1868">
        <v>6.1022400000000001</v>
      </c>
      <c r="AU407" s="1868">
        <v>8.891630000000001</v>
      </c>
      <c r="AV407" s="1868">
        <v>7.2252300000000007</v>
      </c>
      <c r="AW407" s="1868">
        <v>7.5431499999999998</v>
      </c>
      <c r="AX407" s="1868">
        <v>6.7597800000000001</v>
      </c>
      <c r="AY407" s="1868">
        <v>7.031060000000001</v>
      </c>
      <c r="AZ407" s="1868">
        <v>7.5917199999999996</v>
      </c>
      <c r="BA407" s="1868">
        <v>7.1</v>
      </c>
    </row>
    <row r="408" spans="1:53">
      <c r="A408" s="1865" t="str">
        <f t="shared" si="6"/>
        <v>CaribbeanCarrots and turnips</v>
      </c>
      <c r="B408" s="1866" t="s">
        <v>1415</v>
      </c>
      <c r="C408" s="1866" t="s">
        <v>1366</v>
      </c>
      <c r="D408" s="1868">
        <v>9.6574799999999996</v>
      </c>
      <c r="E408" s="1868">
        <v>9.6679899999999996</v>
      </c>
      <c r="F408" s="1868">
        <v>9.5809699999999989</v>
      </c>
      <c r="G408" s="1868">
        <v>8.8569999999999993</v>
      </c>
      <c r="H408" s="1868">
        <v>8.8896100000000011</v>
      </c>
      <c r="I408" s="1868">
        <v>8.7624999999999993</v>
      </c>
      <c r="J408" s="1868">
        <v>7.6070600000000006</v>
      </c>
      <c r="K408" s="1868">
        <v>6.80227</v>
      </c>
      <c r="L408" s="1868">
        <v>6.8935399999999998</v>
      </c>
      <c r="M408" s="1868">
        <v>8.2736100000000015</v>
      </c>
      <c r="N408" s="1868">
        <v>8.2141800000000007</v>
      </c>
      <c r="O408" s="1868">
        <v>8.7626000000000008</v>
      </c>
      <c r="P408" s="1868">
        <v>8.8380799999999997</v>
      </c>
      <c r="Q408" s="1868">
        <v>8.4512399999999985</v>
      </c>
      <c r="R408" s="1868">
        <v>8.1636399999999991</v>
      </c>
      <c r="S408" s="1868">
        <v>8.9638600000000004</v>
      </c>
      <c r="T408" s="1868">
        <v>8.9053599999999999</v>
      </c>
      <c r="U408" s="1868">
        <v>8.60703</v>
      </c>
      <c r="V408" s="1868">
        <v>9.1539000000000001</v>
      </c>
      <c r="W408" s="1868">
        <v>7.9630899999999993</v>
      </c>
      <c r="X408" s="1868">
        <v>8.8356100000000009</v>
      </c>
      <c r="Y408" s="1868">
        <v>8.8536099999999998</v>
      </c>
      <c r="Z408" s="1868">
        <v>8.475439999999999</v>
      </c>
      <c r="AA408" s="1868">
        <v>8.8555200000000003</v>
      </c>
      <c r="AB408" s="1868">
        <v>8.7486999999999995</v>
      </c>
      <c r="AC408" s="1868">
        <v>8.9863400000000002</v>
      </c>
      <c r="AD408" s="1868">
        <v>9.6776199999999992</v>
      </c>
      <c r="AE408" s="1868">
        <v>8.4015399999999989</v>
      </c>
      <c r="AF408" s="1868">
        <v>8.6264199999999995</v>
      </c>
      <c r="AG408" s="1868">
        <v>10.181480000000001</v>
      </c>
      <c r="AH408" s="1868">
        <v>9.9591600000000007</v>
      </c>
      <c r="AI408" s="1868">
        <v>10.53227</v>
      </c>
      <c r="AJ408" s="1868">
        <v>11.589219999999999</v>
      </c>
      <c r="AK408" s="1868">
        <v>12.549539999999999</v>
      </c>
      <c r="AL408" s="1868">
        <v>12.548769999999999</v>
      </c>
      <c r="AM408" s="1868">
        <v>11.090769999999999</v>
      </c>
      <c r="AN408" s="1868">
        <v>12.13494</v>
      </c>
      <c r="AO408" s="1868">
        <v>11.56893</v>
      </c>
      <c r="AP408" s="1868">
        <v>14.269079999999999</v>
      </c>
      <c r="AQ408" s="1868">
        <v>14.095660000000001</v>
      </c>
      <c r="AR408" s="1868">
        <v>16.983070000000001</v>
      </c>
      <c r="AS408" s="1868">
        <v>16.49315</v>
      </c>
      <c r="AT408" s="1868">
        <v>17.028489999999998</v>
      </c>
      <c r="AU408" s="1868">
        <v>16.95871</v>
      </c>
      <c r="AV408" s="1868">
        <v>17.08747</v>
      </c>
      <c r="AW408" s="1868">
        <v>17.57499</v>
      </c>
      <c r="AX408" s="1868">
        <v>17.715009999999999</v>
      </c>
      <c r="AY408" s="1868">
        <v>17.956469999999999</v>
      </c>
      <c r="AZ408" s="1868">
        <v>17.877370000000003</v>
      </c>
      <c r="BA408" s="1868">
        <v>17.737939999999998</v>
      </c>
    </row>
    <row r="409" spans="1:53">
      <c r="A409" s="1865" t="str">
        <f t="shared" si="6"/>
        <v>CaribbeanCashew nuts, with shell</v>
      </c>
      <c r="B409" s="1866" t="s">
        <v>1415</v>
      </c>
      <c r="C409" s="1866" t="s">
        <v>1367</v>
      </c>
      <c r="AB409" s="1868">
        <v>0.18279999999999999</v>
      </c>
      <c r="AC409" s="1868">
        <v>0.18479999999999999</v>
      </c>
      <c r="AD409" s="1868">
        <v>0.18479999999999999</v>
      </c>
      <c r="AE409" s="1868">
        <v>0.184</v>
      </c>
      <c r="AF409" s="1868">
        <v>0.186</v>
      </c>
      <c r="AG409" s="1868">
        <v>0.15245</v>
      </c>
      <c r="AH409" s="1868">
        <v>0.17339000000000002</v>
      </c>
      <c r="AI409" s="1868">
        <v>0.12287999999999999</v>
      </c>
      <c r="AJ409" s="1868">
        <v>0.10555</v>
      </c>
      <c r="AK409" s="1868">
        <v>0.15290999999999999</v>
      </c>
      <c r="AL409" s="1868">
        <v>0.17574999999999999</v>
      </c>
      <c r="AM409" s="1868">
        <v>0.20910000000000001</v>
      </c>
      <c r="AN409" s="1868">
        <v>0.1739</v>
      </c>
      <c r="AO409" s="1868">
        <v>0.12374</v>
      </c>
      <c r="AP409" s="1868">
        <v>0.17272999999999999</v>
      </c>
      <c r="AQ409" s="1868">
        <v>0.15454999999999999</v>
      </c>
      <c r="AR409" s="1868">
        <v>0.14180999999999999</v>
      </c>
      <c r="AS409" s="1868">
        <v>0.18250999999999998</v>
      </c>
      <c r="AT409" s="1868">
        <v>0.17240999999999998</v>
      </c>
      <c r="AU409" s="1868">
        <v>0.17580000000000001</v>
      </c>
      <c r="AV409" s="1868">
        <v>0.14352999999999999</v>
      </c>
      <c r="AW409" s="1868">
        <v>0.19238</v>
      </c>
      <c r="AX409" s="1868">
        <v>0.17373</v>
      </c>
      <c r="AY409" s="1868">
        <v>0.23225000000000001</v>
      </c>
      <c r="AZ409" s="1868">
        <v>0.20985000000000001</v>
      </c>
      <c r="BA409" s="1868">
        <v>0.21033000000000002</v>
      </c>
    </row>
    <row r="410" spans="1:53">
      <c r="A410" s="1865" t="str">
        <f t="shared" si="6"/>
        <v>CaribbeanCassava</v>
      </c>
      <c r="B410" s="1866" t="s">
        <v>1415</v>
      </c>
      <c r="C410" s="1866" t="s">
        <v>1368</v>
      </c>
      <c r="D410" s="1868">
        <v>4.1937600000000002</v>
      </c>
      <c r="E410" s="1868">
        <v>4.2410100000000002</v>
      </c>
      <c r="F410" s="1868">
        <v>4.2388300000000001</v>
      </c>
      <c r="G410" s="1868">
        <v>4.2509100000000002</v>
      </c>
      <c r="H410" s="1868">
        <v>4.3557199999999998</v>
      </c>
      <c r="I410" s="1868">
        <v>4.3651900000000001</v>
      </c>
      <c r="J410" s="1868">
        <v>4.4664099999999998</v>
      </c>
      <c r="K410" s="1868">
        <v>4.4277600000000001</v>
      </c>
      <c r="L410" s="1868">
        <v>4.5053599999999996</v>
      </c>
      <c r="M410" s="1868">
        <v>4.5403199999999995</v>
      </c>
      <c r="N410" s="1868">
        <v>4.46211</v>
      </c>
      <c r="O410" s="1868">
        <v>4.6387199999999993</v>
      </c>
      <c r="P410" s="1868">
        <v>4.3897000000000004</v>
      </c>
      <c r="Q410" s="1868">
        <v>4.0749599999999999</v>
      </c>
      <c r="R410" s="1868">
        <v>4.2784500000000003</v>
      </c>
      <c r="S410" s="1868">
        <v>4.2615499999999997</v>
      </c>
      <c r="T410" s="1868">
        <v>4.9594800000000001</v>
      </c>
      <c r="U410" s="1868">
        <v>4.3624599999999996</v>
      </c>
      <c r="V410" s="1868">
        <v>4.4138999999999999</v>
      </c>
      <c r="W410" s="1868">
        <v>3.8889300000000002</v>
      </c>
      <c r="X410" s="1868">
        <v>4.2208399999999999</v>
      </c>
      <c r="Y410" s="1868">
        <v>4.0701400000000003</v>
      </c>
      <c r="Z410" s="1868">
        <v>4.00753</v>
      </c>
      <c r="AA410" s="1868">
        <v>4.6002199999999993</v>
      </c>
      <c r="AB410" s="1868">
        <v>4.2690199999999994</v>
      </c>
      <c r="AC410" s="1868">
        <v>4.01424</v>
      </c>
      <c r="AD410" s="1868">
        <v>4.0162300000000002</v>
      </c>
      <c r="AE410" s="1868">
        <v>3.9157500000000001</v>
      </c>
      <c r="AF410" s="1868">
        <v>3.7813699999999999</v>
      </c>
      <c r="AG410" s="1868">
        <v>3.9002500000000002</v>
      </c>
      <c r="AH410" s="1868">
        <v>4.1543700000000001</v>
      </c>
      <c r="AI410" s="1868">
        <v>4.5726699999999996</v>
      </c>
      <c r="AJ410" s="1868">
        <v>3.83656</v>
      </c>
      <c r="AK410" s="1868">
        <v>3.5735699999999997</v>
      </c>
      <c r="AL410" s="1868">
        <v>3.9929699999999997</v>
      </c>
      <c r="AM410" s="1868">
        <v>3.93716</v>
      </c>
      <c r="AN410" s="1868">
        <v>3.20878</v>
      </c>
      <c r="AO410" s="1868">
        <v>3.94204</v>
      </c>
      <c r="AP410" s="1868">
        <v>4.5472900000000003</v>
      </c>
      <c r="AQ410" s="1868">
        <v>4.9512999999999998</v>
      </c>
      <c r="AR410" s="1868">
        <v>5.09762</v>
      </c>
      <c r="AS410" s="1868">
        <v>5.2042099999999998</v>
      </c>
      <c r="AT410" s="1868">
        <v>6.1425000000000001</v>
      </c>
      <c r="AU410" s="1868">
        <v>5.5753900000000005</v>
      </c>
      <c r="AV410" s="1868">
        <v>5.1244899999999998</v>
      </c>
      <c r="AW410" s="1868">
        <v>6.1429300000000007</v>
      </c>
      <c r="AX410" s="1868">
        <v>5.5092499999999998</v>
      </c>
      <c r="AY410" s="1868">
        <v>5.3917000000000002</v>
      </c>
      <c r="AZ410" s="1868">
        <v>4.7771099999999995</v>
      </c>
      <c r="BA410" s="1868">
        <v>4.95885</v>
      </c>
    </row>
    <row r="411" spans="1:53">
      <c r="A411" s="1865" t="str">
        <f t="shared" si="6"/>
        <v>CaribbeanCauliflowers and broccoli</v>
      </c>
      <c r="B411" s="1866" t="s">
        <v>1415</v>
      </c>
      <c r="C411" s="1866" t="s">
        <v>1369</v>
      </c>
      <c r="D411" s="1868">
        <v>5.0377400000000003</v>
      </c>
      <c r="E411" s="1868">
        <v>5.1206899999999997</v>
      </c>
      <c r="F411" s="1868">
        <v>5.1724100000000002</v>
      </c>
      <c r="G411" s="1868">
        <v>5.8181799999999999</v>
      </c>
      <c r="H411" s="1868">
        <v>5.3684199999999995</v>
      </c>
      <c r="I411" s="1868">
        <v>5.3157899999999998</v>
      </c>
      <c r="J411" s="1868">
        <v>6.33962</v>
      </c>
      <c r="K411" s="1868">
        <v>7.3384600000000004</v>
      </c>
      <c r="L411" s="1868">
        <v>7.5744699999999998</v>
      </c>
      <c r="M411" s="1868">
        <v>7.7419399999999996</v>
      </c>
      <c r="N411" s="1868">
        <v>7.9852899999999991</v>
      </c>
      <c r="O411" s="1868">
        <v>8.2571399999999997</v>
      </c>
      <c r="P411" s="1868">
        <v>8.51389</v>
      </c>
      <c r="Q411" s="1868">
        <v>8.08108</v>
      </c>
      <c r="R411" s="1868">
        <v>7.78667</v>
      </c>
      <c r="S411" s="1868">
        <v>8.0259699999999992</v>
      </c>
      <c r="T411" s="1868">
        <v>7.5063300000000002</v>
      </c>
      <c r="U411" s="1868">
        <v>7.4634199999999993</v>
      </c>
      <c r="V411" s="1868">
        <v>7.7058800000000005</v>
      </c>
      <c r="W411" s="1868">
        <v>7.5731699999999993</v>
      </c>
      <c r="X411" s="1868">
        <v>7.2857100000000008</v>
      </c>
      <c r="Y411" s="1868">
        <v>6.9375</v>
      </c>
      <c r="Z411" s="1868">
        <v>7.0816300000000005</v>
      </c>
      <c r="AA411" s="1868">
        <v>6.8833299999999999</v>
      </c>
      <c r="AB411" s="1868">
        <v>6.8260899999999998</v>
      </c>
      <c r="AC411" s="1868">
        <v>7.6428600000000007</v>
      </c>
      <c r="AD411" s="1868">
        <v>5.80769</v>
      </c>
      <c r="AE411" s="1868">
        <v>6.2</v>
      </c>
      <c r="AF411" s="1868">
        <v>7.8428600000000008</v>
      </c>
      <c r="AG411" s="1868">
        <v>8.8470600000000008</v>
      </c>
      <c r="AH411" s="1868">
        <v>7.8510600000000004</v>
      </c>
      <c r="AI411" s="1868">
        <v>9.1466700000000003</v>
      </c>
      <c r="AJ411" s="1868">
        <v>10.98795</v>
      </c>
      <c r="AK411" s="1868">
        <v>10.039999999999999</v>
      </c>
      <c r="AL411" s="1868">
        <v>10.259039999999999</v>
      </c>
      <c r="AM411" s="1868">
        <v>9.8160000000000007</v>
      </c>
      <c r="AN411" s="1868">
        <v>9.4173899999999993</v>
      </c>
      <c r="AO411" s="1868">
        <v>10.127269999999999</v>
      </c>
      <c r="AP411" s="1868">
        <v>10.679689999999999</v>
      </c>
      <c r="AQ411" s="1868">
        <v>12.33333</v>
      </c>
      <c r="AR411" s="1868">
        <v>10.428570000000001</v>
      </c>
      <c r="AS411" s="1868">
        <v>10.59172</v>
      </c>
      <c r="AT411" s="1868">
        <v>10.5848</v>
      </c>
      <c r="AU411" s="1868">
        <v>10.36</v>
      </c>
      <c r="AV411" s="1868">
        <v>9.0535700000000006</v>
      </c>
      <c r="AW411" s="1868">
        <v>11.04936</v>
      </c>
      <c r="AX411" s="1868">
        <v>10.035349999999999</v>
      </c>
      <c r="AY411" s="1868">
        <v>8.8729300000000002</v>
      </c>
      <c r="AZ411" s="1868">
        <v>9.2216199999999997</v>
      </c>
      <c r="BA411" s="1868">
        <v>7.2708300000000001</v>
      </c>
    </row>
    <row r="412" spans="1:53">
      <c r="A412" s="1865" t="str">
        <f t="shared" si="6"/>
        <v>CaribbeanCitrus fruit, nes</v>
      </c>
      <c r="B412" s="1866" t="s">
        <v>1415</v>
      </c>
      <c r="C412" s="1866" t="s">
        <v>1372</v>
      </c>
      <c r="AB412" s="1868">
        <v>7.31433</v>
      </c>
      <c r="AC412" s="1868">
        <v>7.4727699999999997</v>
      </c>
      <c r="AD412" s="1868">
        <v>8.6336600000000008</v>
      </c>
      <c r="AE412" s="1868">
        <v>8.0463199999999997</v>
      </c>
      <c r="AF412" s="1868">
        <v>8.1716699999999989</v>
      </c>
      <c r="AG412" s="1868">
        <v>8.2894500000000004</v>
      </c>
      <c r="AH412" s="1868">
        <v>7.5457000000000001</v>
      </c>
      <c r="AI412" s="1868">
        <v>7.6713600000000008</v>
      </c>
      <c r="AJ412" s="1868">
        <v>6.3217999999999996</v>
      </c>
      <c r="AK412" s="1868">
        <v>6.0786699999999998</v>
      </c>
      <c r="AL412" s="1868">
        <v>5.3943900000000005</v>
      </c>
      <c r="AM412" s="1868">
        <v>6.0455800000000002</v>
      </c>
      <c r="AN412" s="1868">
        <v>5.9809199999999993</v>
      </c>
      <c r="AO412" s="1868">
        <v>6.7091399999999997</v>
      </c>
      <c r="AP412" s="1868">
        <v>6.1951499999999999</v>
      </c>
      <c r="AQ412" s="1868">
        <v>7.0206999999999997</v>
      </c>
      <c r="AR412" s="1868">
        <v>7.3089399999999998</v>
      </c>
      <c r="AS412" s="1868">
        <v>8.2070899999999991</v>
      </c>
      <c r="AT412" s="1868">
        <v>8.9687800000000006</v>
      </c>
      <c r="AU412" s="1868">
        <v>8.5632000000000001</v>
      </c>
      <c r="AV412" s="1868">
        <v>8.4404000000000003</v>
      </c>
      <c r="AW412" s="1868">
        <v>6.8767199999999997</v>
      </c>
      <c r="AX412" s="1868">
        <v>7.0246500000000003</v>
      </c>
      <c r="AY412" s="1868">
        <v>6.8129600000000003</v>
      </c>
      <c r="AZ412" s="1868">
        <v>5.9643100000000002</v>
      </c>
      <c r="BA412" s="1868">
        <v>5.9673800000000004</v>
      </c>
    </row>
    <row r="413" spans="1:53">
      <c r="A413" s="1865" t="str">
        <f t="shared" si="6"/>
        <v>CaribbeanCoffee, green</v>
      </c>
      <c r="B413" s="1866" t="s">
        <v>1415</v>
      </c>
      <c r="C413" s="1866" t="s">
        <v>1373</v>
      </c>
      <c r="D413" s="1868">
        <v>0.29683000000000004</v>
      </c>
      <c r="E413" s="1868">
        <v>0.32566000000000001</v>
      </c>
      <c r="F413" s="1868">
        <v>0.29726999999999998</v>
      </c>
      <c r="G413" s="1868">
        <v>0.30986999999999998</v>
      </c>
      <c r="H413" s="1868">
        <v>0.27384000000000003</v>
      </c>
      <c r="I413" s="1868">
        <v>0.27649000000000001</v>
      </c>
      <c r="J413" s="1868">
        <v>0.28086</v>
      </c>
      <c r="K413" s="1868">
        <v>0.27260999999999996</v>
      </c>
      <c r="L413" s="1868">
        <v>0.27088000000000001</v>
      </c>
      <c r="M413" s="1868">
        <v>0.29258000000000001</v>
      </c>
      <c r="N413" s="1868">
        <v>0.28909000000000001</v>
      </c>
      <c r="O413" s="1868">
        <v>0.28683999999999998</v>
      </c>
      <c r="P413" s="1868">
        <v>0.28869</v>
      </c>
      <c r="Q413" s="1868">
        <v>0.28034999999999999</v>
      </c>
      <c r="R413" s="1868">
        <v>0.28981000000000001</v>
      </c>
      <c r="S413" s="1868">
        <v>0.28142</v>
      </c>
      <c r="T413" s="1868">
        <v>0.31714000000000003</v>
      </c>
      <c r="U413" s="1868">
        <v>0.26843</v>
      </c>
      <c r="V413" s="1868">
        <v>0.31845999999999997</v>
      </c>
      <c r="W413" s="1868">
        <v>0.30853000000000003</v>
      </c>
      <c r="X413" s="1868">
        <v>0.30358000000000002</v>
      </c>
      <c r="Y413" s="1868">
        <v>0.34090999999999999</v>
      </c>
      <c r="Z413" s="1868">
        <v>0.33518000000000003</v>
      </c>
      <c r="AA413" s="1868">
        <v>0.33473000000000003</v>
      </c>
      <c r="AB413" s="1868">
        <v>0.35394000000000003</v>
      </c>
      <c r="AC413" s="1868">
        <v>0.38885999999999998</v>
      </c>
      <c r="AD413" s="1868">
        <v>0.38664999999999999</v>
      </c>
      <c r="AE413" s="1868">
        <v>0.39783000000000002</v>
      </c>
      <c r="AF413" s="1868">
        <v>0.39893000000000001</v>
      </c>
      <c r="AG413" s="1868">
        <v>0.43213999999999997</v>
      </c>
      <c r="AH413" s="1868">
        <v>0.34695999999999999</v>
      </c>
      <c r="AI413" s="1868">
        <v>0.31641999999999998</v>
      </c>
      <c r="AJ413" s="1868">
        <v>0.30485000000000001</v>
      </c>
      <c r="AK413" s="1868">
        <v>0.29754999999999998</v>
      </c>
      <c r="AL413" s="1868">
        <v>0.31803000000000003</v>
      </c>
      <c r="AM413" s="1868">
        <v>0.33184000000000002</v>
      </c>
      <c r="AN413" s="1868">
        <v>0.35220999999999997</v>
      </c>
      <c r="AO413" s="1868">
        <v>0.37274000000000002</v>
      </c>
      <c r="AP413" s="1868">
        <v>0.30446999999999996</v>
      </c>
      <c r="AQ413" s="1868">
        <v>0.35546</v>
      </c>
      <c r="AR413" s="1868">
        <v>0.32190999999999997</v>
      </c>
      <c r="AS413" s="1868">
        <v>0.33074999999999999</v>
      </c>
      <c r="AT413" s="1868">
        <v>0.34288000000000002</v>
      </c>
      <c r="AU413" s="1868">
        <v>0.35431000000000001</v>
      </c>
      <c r="AV413" s="1868">
        <v>0.36374000000000001</v>
      </c>
      <c r="AW413" s="1868">
        <v>0.42003000000000001</v>
      </c>
      <c r="AX413" s="1868">
        <v>0.40973999999999994</v>
      </c>
      <c r="AY413" s="1868">
        <v>0.39711999999999997</v>
      </c>
      <c r="AZ413" s="1868">
        <v>0.38350000000000001</v>
      </c>
      <c r="BA413" s="1868">
        <v>0.29094999999999999</v>
      </c>
    </row>
    <row r="414" spans="1:53">
      <c r="A414" s="1865" t="str">
        <f t="shared" si="6"/>
        <v>CaribbeanCow peas, dry</v>
      </c>
      <c r="B414" s="1866" t="s">
        <v>1415</v>
      </c>
      <c r="C414" s="1866" t="s">
        <v>1355</v>
      </c>
      <c r="D414" s="1868">
        <v>0.43385000000000001</v>
      </c>
      <c r="E414" s="1868">
        <v>0.43658999999999998</v>
      </c>
      <c r="F414" s="1868">
        <v>0.44067000000000001</v>
      </c>
      <c r="G414" s="1868">
        <v>0.43303999999999998</v>
      </c>
      <c r="H414" s="1868">
        <v>0.43638999999999994</v>
      </c>
      <c r="I414" s="1868">
        <v>0.43983999999999995</v>
      </c>
      <c r="J414" s="1868">
        <v>0.44130000000000003</v>
      </c>
      <c r="K414" s="1868">
        <v>0.45528999999999997</v>
      </c>
      <c r="L414" s="1868">
        <v>0.47928999999999994</v>
      </c>
      <c r="M414" s="1868">
        <v>0.49326000000000003</v>
      </c>
      <c r="N414" s="1868">
        <v>0.49263999999999997</v>
      </c>
      <c r="O414" s="1868">
        <v>0.50463999999999998</v>
      </c>
      <c r="P414" s="1868">
        <v>0.49238000000000004</v>
      </c>
      <c r="Q414" s="1868">
        <v>0.49396999999999996</v>
      </c>
      <c r="R414" s="1868">
        <v>0.55349999999999999</v>
      </c>
      <c r="S414" s="1868">
        <v>0.57547000000000004</v>
      </c>
      <c r="T414" s="1868">
        <v>0.42721999999999999</v>
      </c>
      <c r="U414" s="1868">
        <v>0.44228000000000001</v>
      </c>
      <c r="V414" s="1868">
        <v>0.37545000000000001</v>
      </c>
      <c r="W414" s="1868">
        <v>0.36164000000000002</v>
      </c>
      <c r="X414" s="1868">
        <v>0.41968999999999995</v>
      </c>
      <c r="Y414" s="1868">
        <v>0.42003000000000001</v>
      </c>
      <c r="Z414" s="1868">
        <v>0.42049999999999998</v>
      </c>
      <c r="AA414" s="1868">
        <v>0.44386000000000003</v>
      </c>
      <c r="AB414" s="1868">
        <v>0.47833999999999999</v>
      </c>
      <c r="AC414" s="1868">
        <v>0.50661999999999996</v>
      </c>
      <c r="AD414" s="1868">
        <v>0.52270000000000005</v>
      </c>
      <c r="AE414" s="1868">
        <v>0.56306999999999996</v>
      </c>
      <c r="AF414" s="1868">
        <v>0.61033000000000004</v>
      </c>
      <c r="AG414" s="1868">
        <v>0.64449999999999996</v>
      </c>
      <c r="AH414" s="1868">
        <v>0.64958000000000005</v>
      </c>
      <c r="AI414" s="1868">
        <v>0.71409999999999996</v>
      </c>
      <c r="AJ414" s="1868">
        <v>0.71013000000000004</v>
      </c>
      <c r="AK414" s="1868">
        <v>0.71582999999999997</v>
      </c>
      <c r="AL414" s="1868">
        <v>0.70909</v>
      </c>
      <c r="AM414" s="1868">
        <v>0.7107</v>
      </c>
      <c r="AN414" s="1868">
        <v>0.70682</v>
      </c>
      <c r="AO414" s="1868">
        <v>0.69762999999999997</v>
      </c>
      <c r="AP414" s="1868">
        <v>0.70630999999999999</v>
      </c>
      <c r="AQ414" s="1868">
        <v>0.69416999999999995</v>
      </c>
      <c r="AR414" s="1868">
        <v>0.70796000000000003</v>
      </c>
      <c r="AS414" s="1868">
        <v>0.83079999999999998</v>
      </c>
      <c r="AT414" s="1868">
        <v>0.70879999999999999</v>
      </c>
      <c r="AU414" s="1868">
        <v>0.70956000000000008</v>
      </c>
      <c r="AV414" s="1868">
        <v>0.70021999999999995</v>
      </c>
      <c r="AW414" s="1868">
        <v>0.71067000000000002</v>
      </c>
      <c r="AX414" s="1868">
        <v>0.70877000000000001</v>
      </c>
      <c r="AY414" s="1868">
        <v>0.71414</v>
      </c>
      <c r="AZ414" s="1868">
        <v>0.71362999999999999</v>
      </c>
      <c r="BA414" s="1868">
        <v>0.68608999999999998</v>
      </c>
    </row>
    <row r="415" spans="1:53">
      <c r="A415" s="1865" t="str">
        <f t="shared" si="6"/>
        <v>CaribbeanEggplants (aubergines)</v>
      </c>
      <c r="B415" s="1866" t="s">
        <v>1415</v>
      </c>
      <c r="C415" s="1866" t="s">
        <v>1375</v>
      </c>
      <c r="D415" s="1868">
        <v>8.1094799999999996</v>
      </c>
      <c r="E415" s="1868">
        <v>8.3592100000000009</v>
      </c>
      <c r="F415" s="1868">
        <v>8.3072999999999997</v>
      </c>
      <c r="G415" s="1868">
        <v>7.9973999999999998</v>
      </c>
      <c r="H415" s="1868">
        <v>7.3517299999999999</v>
      </c>
      <c r="I415" s="1868">
        <v>7.800489999999999</v>
      </c>
      <c r="J415" s="1868">
        <v>8.9816099999999999</v>
      </c>
      <c r="K415" s="1868">
        <v>8.6682600000000001</v>
      </c>
      <c r="L415" s="1868">
        <v>8.3783799999999999</v>
      </c>
      <c r="M415" s="1868">
        <v>9.0611999999999995</v>
      </c>
      <c r="N415" s="1868">
        <v>9.3001000000000005</v>
      </c>
      <c r="O415" s="1868">
        <v>10.84442</v>
      </c>
      <c r="P415" s="1868">
        <v>11.2555</v>
      </c>
      <c r="Q415" s="1868">
        <v>12.69791</v>
      </c>
      <c r="R415" s="1868">
        <v>13.353479999999999</v>
      </c>
      <c r="S415" s="1868">
        <v>12.960100000000001</v>
      </c>
      <c r="T415" s="1868">
        <v>12.09843</v>
      </c>
      <c r="U415" s="1868">
        <v>11.922369999999999</v>
      </c>
      <c r="V415" s="1868">
        <v>11.79293</v>
      </c>
      <c r="W415" s="1868">
        <v>12.04909</v>
      </c>
      <c r="X415" s="1868">
        <v>10.9354</v>
      </c>
      <c r="Y415" s="1868">
        <v>13.071010000000001</v>
      </c>
      <c r="Z415" s="1868">
        <v>11.22564</v>
      </c>
      <c r="AA415" s="1868">
        <v>10.619710000000001</v>
      </c>
      <c r="AB415" s="1868">
        <v>10.77778</v>
      </c>
      <c r="AC415" s="1868">
        <v>6.7915700000000001</v>
      </c>
      <c r="AD415" s="1868">
        <v>7.1718100000000007</v>
      </c>
      <c r="AE415" s="1868">
        <v>5.8940400000000004</v>
      </c>
      <c r="AF415" s="1868">
        <v>5.6721000000000004</v>
      </c>
      <c r="AG415" s="1868">
        <v>5.0937700000000001</v>
      </c>
      <c r="AH415" s="1868">
        <v>4.0492300000000006</v>
      </c>
      <c r="AI415" s="1868">
        <v>6.7851800000000004</v>
      </c>
      <c r="AJ415" s="1868">
        <v>6.3046499999999996</v>
      </c>
      <c r="AK415" s="1868">
        <v>5.09199</v>
      </c>
      <c r="AL415" s="1868">
        <v>4.2157400000000003</v>
      </c>
      <c r="AM415" s="1868">
        <v>4.5979999999999999</v>
      </c>
      <c r="AN415" s="1868">
        <v>6.0265399999999998</v>
      </c>
      <c r="AO415" s="1868">
        <v>6.0148900000000003</v>
      </c>
      <c r="AP415" s="1868">
        <v>7.0017500000000004</v>
      </c>
      <c r="AQ415" s="1868">
        <v>7.277610000000001</v>
      </c>
      <c r="AR415" s="1868">
        <v>6.9469000000000003</v>
      </c>
      <c r="AS415" s="1868">
        <v>7.1181999999999999</v>
      </c>
      <c r="AT415" s="1868">
        <v>7.7327399999999997</v>
      </c>
      <c r="AU415" s="1868">
        <v>5.9464300000000003</v>
      </c>
      <c r="AV415" s="1868">
        <v>6.5419999999999998</v>
      </c>
      <c r="AW415" s="1868">
        <v>7.0805600000000002</v>
      </c>
      <c r="AX415" s="1868">
        <v>6.37127</v>
      </c>
      <c r="AY415" s="1868">
        <v>6.0517400000000006</v>
      </c>
      <c r="AZ415" s="1868">
        <v>7.3095999999999997</v>
      </c>
      <c r="BA415" s="1868">
        <v>8.5724999999999998</v>
      </c>
    </row>
    <row r="416" spans="1:53">
      <c r="A416" s="1865" t="str">
        <f t="shared" si="6"/>
        <v>CaribbeanGrapefruit (inc. pomelos)</v>
      </c>
      <c r="B416" s="1866" t="s">
        <v>1415</v>
      </c>
      <c r="C416" s="1866" t="s">
        <v>1377</v>
      </c>
      <c r="D416" s="1868">
        <v>41.159599999999998</v>
      </c>
      <c r="E416" s="1868">
        <v>40.500399999999999</v>
      </c>
      <c r="F416" s="1868">
        <v>39.261600000000001</v>
      </c>
      <c r="G416" s="1868">
        <v>40.126399999999997</v>
      </c>
      <c r="H416" s="1868">
        <v>49.6068</v>
      </c>
      <c r="I416" s="1868">
        <v>47.6676</v>
      </c>
      <c r="J416" s="1868">
        <v>36.718000000000004</v>
      </c>
      <c r="K416" s="1868">
        <v>36.8964</v>
      </c>
      <c r="L416" s="1868">
        <v>36.3688</v>
      </c>
      <c r="M416" s="1868">
        <v>39.055999999999997</v>
      </c>
      <c r="N416" s="1868">
        <v>38.403599999999997</v>
      </c>
      <c r="O416" s="1868">
        <v>37.993600000000001</v>
      </c>
      <c r="P416" s="1868">
        <v>36.337319999999998</v>
      </c>
      <c r="Q416" s="1868">
        <v>40.532059999999994</v>
      </c>
      <c r="R416" s="1868">
        <v>33.887689999999999</v>
      </c>
      <c r="S416" s="1868">
        <v>42.1768</v>
      </c>
      <c r="T416" s="1868">
        <v>43.505000000000003</v>
      </c>
      <c r="U416" s="1868">
        <v>61.079440000000005</v>
      </c>
      <c r="V416" s="1868">
        <v>68.875330000000005</v>
      </c>
      <c r="W416" s="1868">
        <v>86.14</v>
      </c>
      <c r="X416" s="1868">
        <v>142.07856999999998</v>
      </c>
      <c r="Y416" s="1868">
        <v>183.023</v>
      </c>
      <c r="Z416" s="1868">
        <v>175.22083000000001</v>
      </c>
      <c r="AA416" s="1868">
        <v>162.86500000000001</v>
      </c>
      <c r="AB416" s="1868">
        <v>10.388819999999999</v>
      </c>
      <c r="AC416" s="1868">
        <v>10.46447</v>
      </c>
      <c r="AD416" s="1868">
        <v>10.926110000000001</v>
      </c>
      <c r="AE416" s="1868">
        <v>12.97062</v>
      </c>
      <c r="AF416" s="1868">
        <v>10.76633</v>
      </c>
      <c r="AG416" s="1868">
        <v>11.018689999999999</v>
      </c>
      <c r="AH416" s="1868">
        <v>8.94651</v>
      </c>
      <c r="AI416" s="1868">
        <v>9.7891300000000001</v>
      </c>
      <c r="AJ416" s="1868">
        <v>7.3524500000000002</v>
      </c>
      <c r="AK416" s="1868">
        <v>7.981510000000001</v>
      </c>
      <c r="AL416" s="1868">
        <v>9.4222699999999993</v>
      </c>
      <c r="AM416" s="1868">
        <v>13.037039999999999</v>
      </c>
      <c r="AN416" s="1868">
        <v>11.47611</v>
      </c>
      <c r="AO416" s="1868">
        <v>13.756279999999999</v>
      </c>
      <c r="AP416" s="1868">
        <v>10.84516</v>
      </c>
      <c r="AQ416" s="1868">
        <v>17.773399999999999</v>
      </c>
      <c r="AR416" s="1868">
        <v>13.05392</v>
      </c>
      <c r="AS416" s="1868">
        <v>6.6328699999999996</v>
      </c>
      <c r="AT416" s="1868">
        <v>11.274480000000001</v>
      </c>
      <c r="AU416" s="1868">
        <v>12.14733</v>
      </c>
      <c r="AV416" s="1868">
        <v>7.3798100000000009</v>
      </c>
      <c r="AW416" s="1868">
        <v>10.997199999999999</v>
      </c>
      <c r="AX416" s="1868">
        <v>10.76328</v>
      </c>
      <c r="AY416" s="1868">
        <v>13.080539999999999</v>
      </c>
      <c r="AZ416" s="1868">
        <v>10.792489999999999</v>
      </c>
      <c r="BA416" s="1868">
        <v>11.263530000000001</v>
      </c>
    </row>
    <row r="417" spans="1:53">
      <c r="A417" s="1865" t="str">
        <f t="shared" si="6"/>
        <v>CaribbeanGrapes</v>
      </c>
      <c r="B417" s="1866" t="s">
        <v>1415</v>
      </c>
      <c r="C417" s="1866" t="s">
        <v>1378</v>
      </c>
      <c r="AP417" s="1868">
        <v>11.91489</v>
      </c>
      <c r="AQ417" s="1868">
        <v>12.08333</v>
      </c>
      <c r="AR417" s="1868">
        <v>11.739130000000001</v>
      </c>
      <c r="AS417" s="1868">
        <v>11.66667</v>
      </c>
      <c r="AT417" s="1868">
        <v>11.89189</v>
      </c>
      <c r="AU417" s="1868">
        <v>11.764710000000001</v>
      </c>
      <c r="AV417" s="1868">
        <v>9.9006799999999995</v>
      </c>
      <c r="AW417" s="1868">
        <v>11.875</v>
      </c>
      <c r="AX417" s="1868">
        <v>11.764710000000001</v>
      </c>
      <c r="AY417" s="1868">
        <v>11.502000000000001</v>
      </c>
      <c r="AZ417" s="1868">
        <v>9.0809499999999996</v>
      </c>
      <c r="BA417" s="1868">
        <v>8.7894699999999997</v>
      </c>
    </row>
    <row r="418" spans="1:53">
      <c r="A418" s="1865" t="str">
        <f t="shared" si="6"/>
        <v>CaribbeanGroundnuts, with shell</v>
      </c>
      <c r="B418" s="1866" t="s">
        <v>1415</v>
      </c>
      <c r="C418" s="1866" t="s">
        <v>1379</v>
      </c>
      <c r="D418" s="1868">
        <v>0.876</v>
      </c>
      <c r="E418" s="1868">
        <v>0.99453999999999998</v>
      </c>
      <c r="F418" s="1868">
        <v>0.93906000000000001</v>
      </c>
      <c r="G418" s="1868">
        <v>0.96561000000000008</v>
      </c>
      <c r="H418" s="1868">
        <v>0.90642999999999996</v>
      </c>
      <c r="I418" s="1868">
        <v>1.01085</v>
      </c>
      <c r="J418" s="1868">
        <v>0.96376000000000006</v>
      </c>
      <c r="K418" s="1868">
        <v>0.98085</v>
      </c>
      <c r="L418" s="1868">
        <v>0.98702999999999996</v>
      </c>
      <c r="M418" s="1868">
        <v>1.1148899999999999</v>
      </c>
      <c r="N418" s="1868">
        <v>1.0914700000000002</v>
      </c>
      <c r="O418" s="1868">
        <v>1.0169600000000001</v>
      </c>
      <c r="P418" s="1868">
        <v>0.99880000000000002</v>
      </c>
      <c r="Q418" s="1868">
        <v>0.90077999999999991</v>
      </c>
      <c r="R418" s="1868">
        <v>0.93269000000000002</v>
      </c>
      <c r="S418" s="1868">
        <v>0.76201000000000008</v>
      </c>
      <c r="T418" s="1868">
        <v>0.87721000000000005</v>
      </c>
      <c r="U418" s="1868">
        <v>1.03118</v>
      </c>
      <c r="V418" s="1868">
        <v>0.94891000000000003</v>
      </c>
      <c r="W418" s="1868">
        <v>0.99537999999999993</v>
      </c>
      <c r="X418" s="1868">
        <v>0.96053999999999995</v>
      </c>
      <c r="Y418" s="1868">
        <v>0.98885000000000001</v>
      </c>
      <c r="Z418" s="1868">
        <v>0.97336</v>
      </c>
      <c r="AA418" s="1868">
        <v>1.0378100000000001</v>
      </c>
      <c r="AB418" s="1868">
        <v>1.0841100000000001</v>
      </c>
      <c r="AC418" s="1868">
        <v>0.99</v>
      </c>
      <c r="AD418" s="1868">
        <v>1.0437399999999999</v>
      </c>
      <c r="AE418" s="1868">
        <v>1.00068</v>
      </c>
      <c r="AF418" s="1868">
        <v>1.0785899999999999</v>
      </c>
      <c r="AG418" s="1868">
        <v>0.95840000000000003</v>
      </c>
      <c r="AH418" s="1868">
        <v>0.93500000000000005</v>
      </c>
      <c r="AI418" s="1868">
        <v>0.93881000000000003</v>
      </c>
      <c r="AJ418" s="1868">
        <v>0.90969999999999995</v>
      </c>
      <c r="AK418" s="1868">
        <v>0.8962</v>
      </c>
      <c r="AL418" s="1868">
        <v>0.9438200000000001</v>
      </c>
      <c r="AM418" s="1868">
        <v>0.84012000000000009</v>
      </c>
      <c r="AN418" s="1868">
        <v>0.88157999999999992</v>
      </c>
      <c r="AO418" s="1868">
        <v>0.82545000000000002</v>
      </c>
      <c r="AP418" s="1868">
        <v>0.92362000000000011</v>
      </c>
      <c r="AQ418" s="1868">
        <v>0.9079799999999999</v>
      </c>
      <c r="AR418" s="1868">
        <v>0.93723999999999996</v>
      </c>
      <c r="AS418" s="1868">
        <v>0.91103999999999996</v>
      </c>
      <c r="AT418" s="1868">
        <v>1.0056799999999999</v>
      </c>
      <c r="AU418" s="1868">
        <v>1.0357399999999999</v>
      </c>
      <c r="AV418" s="1868">
        <v>0.93887999999999994</v>
      </c>
      <c r="AW418" s="1868">
        <v>1.03061</v>
      </c>
      <c r="AX418" s="1868">
        <v>0.92838999999999994</v>
      </c>
      <c r="AY418" s="1868">
        <v>0.90862999999999994</v>
      </c>
      <c r="AZ418" s="1868">
        <v>0.93894999999999995</v>
      </c>
      <c r="BA418" s="1868">
        <v>0.90672999999999992</v>
      </c>
    </row>
    <row r="419" spans="1:53">
      <c r="A419" s="1865" t="str">
        <f t="shared" si="6"/>
        <v>CaribbeanMaize</v>
      </c>
      <c r="B419" s="1866" t="s">
        <v>1415</v>
      </c>
      <c r="C419" s="1866" t="s">
        <v>1382</v>
      </c>
      <c r="D419" s="1868">
        <v>1.03843</v>
      </c>
      <c r="E419" s="1868">
        <v>1.0547500000000001</v>
      </c>
      <c r="F419" s="1868">
        <v>1.0592200000000001</v>
      </c>
      <c r="G419" s="1868">
        <v>1.05409</v>
      </c>
      <c r="H419" s="1868">
        <v>1.0567</v>
      </c>
      <c r="I419" s="1868">
        <v>1.05999</v>
      </c>
      <c r="J419" s="1868">
        <v>1.0771899999999999</v>
      </c>
      <c r="K419" s="1868">
        <v>1.0116399999999999</v>
      </c>
      <c r="L419" s="1868">
        <v>1.0633900000000001</v>
      </c>
      <c r="M419" s="1868">
        <v>1.0345500000000001</v>
      </c>
      <c r="N419" s="1868">
        <v>1.0813700000000002</v>
      </c>
      <c r="O419" s="1868">
        <v>1.0503200000000001</v>
      </c>
      <c r="P419" s="1868">
        <v>0.95179999999999998</v>
      </c>
      <c r="Q419" s="1868">
        <v>1.1107499999999999</v>
      </c>
      <c r="R419" s="1868">
        <v>1.08796</v>
      </c>
      <c r="S419" s="1868">
        <v>1.16679</v>
      </c>
      <c r="T419" s="1868">
        <v>1.05104</v>
      </c>
      <c r="U419" s="1868">
        <v>0.88917000000000013</v>
      </c>
      <c r="V419" s="1868">
        <v>0.94317999999999991</v>
      </c>
      <c r="W419" s="1868">
        <v>1.03803</v>
      </c>
      <c r="X419" s="1868">
        <v>1.0810799999999998</v>
      </c>
      <c r="Y419" s="1868">
        <v>1.1045700000000001</v>
      </c>
      <c r="Z419" s="1868">
        <v>1.0641499999999999</v>
      </c>
      <c r="AA419" s="1868">
        <v>1.14829</v>
      </c>
      <c r="AB419" s="1868">
        <v>0.99997999999999998</v>
      </c>
      <c r="AC419" s="1868">
        <v>0.96463999999999994</v>
      </c>
      <c r="AD419" s="1868">
        <v>0.95613999999999999</v>
      </c>
      <c r="AE419" s="1868">
        <v>0.98714999999999997</v>
      </c>
      <c r="AF419" s="1868">
        <v>0.94146000000000007</v>
      </c>
      <c r="AG419" s="1868">
        <v>0.90467999999999993</v>
      </c>
      <c r="AH419" s="1868">
        <v>0.89259999999999995</v>
      </c>
      <c r="AI419" s="1868">
        <v>0.86146</v>
      </c>
      <c r="AJ419" s="1868">
        <v>0.85524</v>
      </c>
      <c r="AK419" s="1868">
        <v>0.87213999999999992</v>
      </c>
      <c r="AL419" s="1868">
        <v>0.92158999999999991</v>
      </c>
      <c r="AM419" s="1868">
        <v>0.96738999999999997</v>
      </c>
      <c r="AN419" s="1868">
        <v>1.0023600000000001</v>
      </c>
      <c r="AO419" s="1868">
        <v>1.00457</v>
      </c>
      <c r="AP419" s="1868">
        <v>1.17639</v>
      </c>
      <c r="AQ419" s="1868">
        <v>1.1945299999999999</v>
      </c>
      <c r="AR419" s="1868">
        <v>1.2451299999999998</v>
      </c>
      <c r="AS419" s="1868">
        <v>1.3511500000000001</v>
      </c>
      <c r="AT419" s="1868">
        <v>1.37277</v>
      </c>
      <c r="AU419" s="1868">
        <v>1.4774700000000001</v>
      </c>
      <c r="AV419" s="1868">
        <v>1.37893</v>
      </c>
      <c r="AW419" s="1868">
        <v>1.3343200000000002</v>
      </c>
      <c r="AX419" s="1868">
        <v>1.3176299999999999</v>
      </c>
      <c r="AY419" s="1868">
        <v>1.3572500000000001</v>
      </c>
      <c r="AZ419" s="1868">
        <v>1.10877</v>
      </c>
      <c r="BA419" s="1868">
        <v>1.06778</v>
      </c>
    </row>
    <row r="420" spans="1:53">
      <c r="A420" s="1865" t="str">
        <f t="shared" si="6"/>
        <v>CaribbeanMaize, green</v>
      </c>
      <c r="B420" s="1866" t="s">
        <v>1415</v>
      </c>
      <c r="C420" s="1866" t="s">
        <v>1383</v>
      </c>
      <c r="D420" s="1868">
        <v>2.5</v>
      </c>
      <c r="E420" s="1868">
        <v>3</v>
      </c>
      <c r="F420" s="1868">
        <v>3.3333300000000001</v>
      </c>
      <c r="G420" s="1868">
        <v>3</v>
      </c>
      <c r="H420" s="1868">
        <v>3</v>
      </c>
      <c r="I420" s="1868">
        <v>3.36</v>
      </c>
      <c r="J420" s="1868">
        <v>4.3333300000000001</v>
      </c>
      <c r="K420" s="1868">
        <v>2.68</v>
      </c>
      <c r="L420" s="1868">
        <v>4.2</v>
      </c>
      <c r="M420" s="1868">
        <v>3.5714300000000003</v>
      </c>
      <c r="N420" s="1868">
        <v>4.2222200000000001</v>
      </c>
      <c r="O420" s="1868">
        <v>4.2941199999999995</v>
      </c>
      <c r="P420" s="1868">
        <v>4</v>
      </c>
      <c r="Q420" s="1868">
        <v>3.3</v>
      </c>
      <c r="R420" s="1868">
        <v>3.125</v>
      </c>
      <c r="T420" s="1868">
        <v>5</v>
      </c>
      <c r="AH420" s="1868">
        <v>2.96923</v>
      </c>
      <c r="AI420" s="1868">
        <v>3.3281300000000003</v>
      </c>
      <c r="AJ420" s="1868">
        <v>3.6190500000000001</v>
      </c>
      <c r="AK420" s="1868">
        <v>3.8133300000000001</v>
      </c>
      <c r="AL420" s="1868">
        <v>4.09239</v>
      </c>
      <c r="AM420" s="1868">
        <v>3.8396199999999996</v>
      </c>
      <c r="AN420" s="1868">
        <v>3.95181</v>
      </c>
      <c r="AO420" s="1868">
        <v>3.8755999999999999</v>
      </c>
      <c r="AP420" s="1868">
        <v>4.4700499999999996</v>
      </c>
      <c r="AQ420" s="1868">
        <v>3.8823500000000002</v>
      </c>
      <c r="AR420" s="1868">
        <v>3.84971</v>
      </c>
      <c r="AS420" s="1868">
        <v>3.8700600000000001</v>
      </c>
      <c r="AT420" s="1868">
        <v>3.1799200000000001</v>
      </c>
      <c r="AU420" s="1868">
        <v>1.1973400000000001</v>
      </c>
      <c r="AV420" s="1868">
        <v>1.52</v>
      </c>
      <c r="AW420" s="1868">
        <v>1.4870099999999999</v>
      </c>
      <c r="AX420" s="1868">
        <v>1.52189</v>
      </c>
      <c r="AY420" s="1868">
        <v>1.32386</v>
      </c>
      <c r="AZ420" s="1868">
        <v>1.2912700000000001</v>
      </c>
      <c r="BA420" s="1868">
        <v>1.2822499999999999</v>
      </c>
    </row>
    <row r="421" spans="1:53">
      <c r="A421" s="1865" t="str">
        <f t="shared" si="6"/>
        <v>CaribbeanMangoes, mangosteens, guavas</v>
      </c>
      <c r="B421" s="1866" t="s">
        <v>1415</v>
      </c>
      <c r="C421" s="1866" t="s">
        <v>1384</v>
      </c>
      <c r="D421" s="1868">
        <v>244.75937999999999</v>
      </c>
      <c r="E421" s="1868">
        <v>253.21187999999998</v>
      </c>
      <c r="F421" s="1868">
        <v>261.12911000000003</v>
      </c>
      <c r="G421" s="1868">
        <v>278.81711000000001</v>
      </c>
      <c r="H421" s="1868">
        <v>194.24834999999999</v>
      </c>
      <c r="I421" s="1868">
        <v>387.2885</v>
      </c>
      <c r="J421" s="1868">
        <v>272.29273999999998</v>
      </c>
      <c r="K421" s="1868">
        <v>269.96877999999998</v>
      </c>
      <c r="L421" s="1868">
        <v>623.33865000000003</v>
      </c>
      <c r="M421" s="1868">
        <v>341.75212999999997</v>
      </c>
      <c r="N421" s="1868">
        <v>390.86194</v>
      </c>
      <c r="O421" s="1868">
        <v>667.02557000000002</v>
      </c>
      <c r="P421" s="1868">
        <v>299.49222000000003</v>
      </c>
      <c r="Q421" s="1868">
        <v>265.43993999999998</v>
      </c>
      <c r="R421" s="1868">
        <v>362.22507000000002</v>
      </c>
      <c r="S421" s="1868">
        <v>164.58303000000001</v>
      </c>
      <c r="T421" s="1868">
        <v>132.07361</v>
      </c>
      <c r="U421" s="1868">
        <v>218.65481</v>
      </c>
      <c r="V421" s="1868">
        <v>262.67892999999998</v>
      </c>
      <c r="W421" s="1868">
        <v>399.95285000000001</v>
      </c>
      <c r="X421" s="1868">
        <v>372.11111</v>
      </c>
      <c r="Y421" s="1868">
        <v>373.02061000000003</v>
      </c>
      <c r="Z421" s="1868">
        <v>312.60309000000001</v>
      </c>
      <c r="AA421" s="1868">
        <v>287.63164999999998</v>
      </c>
      <c r="AB421" s="1868">
        <v>8.2393100000000015</v>
      </c>
      <c r="AC421" s="1868">
        <v>7.7722100000000003</v>
      </c>
      <c r="AD421" s="1868">
        <v>7.84605</v>
      </c>
      <c r="AE421" s="1868">
        <v>8.2670700000000004</v>
      </c>
      <c r="AF421" s="1868">
        <v>6.3024199999999997</v>
      </c>
      <c r="AG421" s="1868">
        <v>6.5773299999999999</v>
      </c>
      <c r="AH421" s="1868">
        <v>6.8613800000000005</v>
      </c>
      <c r="AI421" s="1868">
        <v>5.4168799999999999</v>
      </c>
      <c r="AJ421" s="1868">
        <v>4.7406899999999998</v>
      </c>
      <c r="AK421" s="1868">
        <v>5.7769599999999999</v>
      </c>
      <c r="AL421" s="1868">
        <v>5.1354699999999998</v>
      </c>
      <c r="AM421" s="1868">
        <v>4.8235900000000003</v>
      </c>
      <c r="AN421" s="1868">
        <v>5.0320400000000003</v>
      </c>
      <c r="AO421" s="1868">
        <v>5.2661699999999998</v>
      </c>
      <c r="AP421" s="1868">
        <v>7.6892300000000002</v>
      </c>
      <c r="AQ421" s="1868">
        <v>6.7362500000000001</v>
      </c>
      <c r="AR421" s="1868">
        <v>6.8574800000000007</v>
      </c>
      <c r="AS421" s="1868">
        <v>6.8916600000000008</v>
      </c>
      <c r="AT421" s="1868">
        <v>7.1690600000000009</v>
      </c>
      <c r="AU421" s="1868">
        <v>8.5530799999999996</v>
      </c>
      <c r="AV421" s="1868">
        <v>9.0381699999999991</v>
      </c>
      <c r="AW421" s="1868">
        <v>8.0630800000000011</v>
      </c>
      <c r="AX421" s="1868">
        <v>7.1381500000000004</v>
      </c>
      <c r="AY421" s="1868">
        <v>7.6046600000000009</v>
      </c>
      <c r="AZ421" s="1868">
        <v>7.1966700000000001</v>
      </c>
      <c r="BA421" s="1868">
        <v>7.0250399999999997</v>
      </c>
    </row>
    <row r="422" spans="1:53">
      <c r="A422" s="1865" t="str">
        <f t="shared" si="6"/>
        <v>CaribbeanOil palm fruit</v>
      </c>
      <c r="B422" s="1866" t="s">
        <v>1415</v>
      </c>
      <c r="C422" s="1866" t="s">
        <v>1386</v>
      </c>
      <c r="AF422" s="1868">
        <v>15</v>
      </c>
      <c r="AG422" s="1868">
        <v>16.66667</v>
      </c>
      <c r="AH422" s="1868">
        <v>14</v>
      </c>
      <c r="AI422" s="1868">
        <v>15</v>
      </c>
      <c r="AJ422" s="1868">
        <v>14.375</v>
      </c>
      <c r="AK422" s="1868">
        <v>14.222220000000002</v>
      </c>
      <c r="AL422" s="1868">
        <v>15.11111</v>
      </c>
      <c r="AM422" s="1868">
        <v>15.11111</v>
      </c>
      <c r="AN422" s="1868">
        <v>15.11111</v>
      </c>
      <c r="AO422" s="1868">
        <v>15.11111</v>
      </c>
      <c r="AP422" s="1868">
        <v>15.11111</v>
      </c>
      <c r="AQ422" s="1868">
        <v>15.3</v>
      </c>
      <c r="AR422" s="1868">
        <v>15.3</v>
      </c>
      <c r="AS422" s="1868">
        <v>15.346539999999999</v>
      </c>
      <c r="AT422" s="1868">
        <v>15.346539999999999</v>
      </c>
      <c r="AU422" s="1868">
        <v>15.340949999999999</v>
      </c>
      <c r="AV422" s="1868">
        <v>15.277779999999998</v>
      </c>
      <c r="AW422" s="1868">
        <v>15.277779999999998</v>
      </c>
      <c r="AX422" s="1868">
        <v>15.287039999999999</v>
      </c>
      <c r="AY422" s="1868">
        <v>15.349589999999999</v>
      </c>
      <c r="AZ422" s="1868">
        <v>15.349589999999999</v>
      </c>
      <c r="BA422" s="1868">
        <v>15.349589999999999</v>
      </c>
    </row>
    <row r="423" spans="1:53">
      <c r="A423" s="1865" t="str">
        <f t="shared" si="6"/>
        <v>CaribbeanOnions, dry</v>
      </c>
      <c r="B423" s="1866" t="s">
        <v>1415</v>
      </c>
      <c r="C423" s="1866" t="s">
        <v>1388</v>
      </c>
      <c r="D423" s="1868">
        <v>5.6752000000000002</v>
      </c>
      <c r="E423" s="1868">
        <v>4.2205500000000002</v>
      </c>
      <c r="F423" s="1868">
        <v>4.4878099999999996</v>
      </c>
      <c r="G423" s="1868">
        <v>5.2081400000000002</v>
      </c>
      <c r="H423" s="1868">
        <v>4.7788900000000005</v>
      </c>
      <c r="I423" s="1868">
        <v>4.4753300000000005</v>
      </c>
      <c r="J423" s="1868">
        <v>4.2565400000000002</v>
      </c>
      <c r="K423" s="1868">
        <v>4.2257300000000004</v>
      </c>
      <c r="L423" s="1868">
        <v>5.4214400000000005</v>
      </c>
      <c r="M423" s="1868">
        <v>6.0507</v>
      </c>
      <c r="N423" s="1868">
        <v>6.8886199999999995</v>
      </c>
      <c r="O423" s="1868">
        <v>5.8263600000000002</v>
      </c>
      <c r="P423" s="1868">
        <v>6.4721900000000003</v>
      </c>
      <c r="Q423" s="1868">
        <v>6.1353800000000005</v>
      </c>
      <c r="R423" s="1868">
        <v>6.3934499999999996</v>
      </c>
      <c r="S423" s="1868">
        <v>7.1297399999999991</v>
      </c>
      <c r="T423" s="1868">
        <v>6.0615100000000002</v>
      </c>
      <c r="U423" s="1868">
        <v>6.3640999999999996</v>
      </c>
      <c r="V423" s="1868">
        <v>6.3635999999999999</v>
      </c>
      <c r="W423" s="1868">
        <v>5.9260999999999999</v>
      </c>
      <c r="X423" s="1868">
        <v>4.78477</v>
      </c>
      <c r="Y423" s="1868">
        <v>5.7397599999999995</v>
      </c>
      <c r="Z423" s="1868">
        <v>5.0891099999999998</v>
      </c>
      <c r="AA423" s="1868">
        <v>5.6163099999999995</v>
      </c>
      <c r="AB423" s="1868">
        <v>7.6176100000000009</v>
      </c>
      <c r="AC423" s="1868">
        <v>6.1126899999999997</v>
      </c>
      <c r="AD423" s="1868">
        <v>7.9952500000000004</v>
      </c>
      <c r="AE423" s="1868">
        <v>6.9054800000000007</v>
      </c>
      <c r="AF423" s="1868">
        <v>5.6651800000000003</v>
      </c>
      <c r="AG423" s="1868">
        <v>4.7539800000000003</v>
      </c>
      <c r="AH423" s="1868">
        <v>5.2925399999999998</v>
      </c>
      <c r="AI423" s="1868">
        <v>4.9485700000000001</v>
      </c>
      <c r="AJ423" s="1868">
        <v>5.81656</v>
      </c>
      <c r="AK423" s="1868">
        <v>6.6453300000000004</v>
      </c>
      <c r="AL423" s="1868">
        <v>6.4386199999999993</v>
      </c>
      <c r="AM423" s="1868">
        <v>7.9248500000000002</v>
      </c>
      <c r="AN423" s="1868">
        <v>6.8937300000000006</v>
      </c>
      <c r="AO423" s="1868">
        <v>6.9912300000000007</v>
      </c>
      <c r="AP423" s="1868">
        <v>10.50783</v>
      </c>
      <c r="AQ423" s="1868">
        <v>11.733560000000001</v>
      </c>
      <c r="AR423" s="1868">
        <v>12.29016</v>
      </c>
      <c r="AS423" s="1868">
        <v>11.3736</v>
      </c>
      <c r="AT423" s="1868">
        <v>12.530289999999999</v>
      </c>
      <c r="AU423" s="1868">
        <v>13.79664</v>
      </c>
      <c r="AV423" s="1868">
        <v>13.283829999999998</v>
      </c>
      <c r="AW423" s="1868">
        <v>13.679689999999999</v>
      </c>
      <c r="AX423" s="1868">
        <v>11.61781</v>
      </c>
      <c r="AY423" s="1868">
        <v>12.0055</v>
      </c>
      <c r="AZ423" s="1868">
        <v>11.847380000000001</v>
      </c>
      <c r="BA423" s="1868">
        <v>12.02617</v>
      </c>
    </row>
    <row r="424" spans="1:53">
      <c r="A424" s="1865" t="str">
        <f t="shared" si="6"/>
        <v>CaribbeanOranges</v>
      </c>
      <c r="B424" s="1866" t="s">
        <v>1415</v>
      </c>
      <c r="C424" s="1866" t="s">
        <v>1389</v>
      </c>
      <c r="D424" s="1868">
        <v>26.8169</v>
      </c>
      <c r="E424" s="1868">
        <v>23.221150000000002</v>
      </c>
      <c r="F424" s="1868">
        <v>24.025939999999999</v>
      </c>
      <c r="G424" s="1868">
        <v>25.952100000000002</v>
      </c>
      <c r="H424" s="1868">
        <v>25.18205</v>
      </c>
      <c r="I424" s="1868">
        <v>28.438749999999999</v>
      </c>
      <c r="J424" s="1868">
        <v>26.846890000000002</v>
      </c>
      <c r="K424" s="1868">
        <v>27.385259999999999</v>
      </c>
      <c r="L424" s="1868">
        <v>28.963429999999999</v>
      </c>
      <c r="M424" s="1868">
        <v>32.059080000000002</v>
      </c>
      <c r="N424" s="1868">
        <v>28.77862</v>
      </c>
      <c r="O424" s="1868">
        <v>29.826709999999999</v>
      </c>
      <c r="P424" s="1868">
        <v>48.983170000000001</v>
      </c>
      <c r="Q424" s="1868">
        <v>40.941629999999996</v>
      </c>
      <c r="R424" s="1868">
        <v>42.488199999999999</v>
      </c>
      <c r="S424" s="1868">
        <v>42.34084</v>
      </c>
      <c r="T424" s="1868">
        <v>46.789340000000003</v>
      </c>
      <c r="U424" s="1868">
        <v>46.581389999999999</v>
      </c>
      <c r="V424" s="1868">
        <v>55.954240000000006</v>
      </c>
      <c r="W424" s="1868">
        <v>63.56709</v>
      </c>
      <c r="X424" s="1868">
        <v>65.278530000000003</v>
      </c>
      <c r="Y424" s="1868">
        <v>71.686180000000007</v>
      </c>
      <c r="Z424" s="1868">
        <v>81.903660000000002</v>
      </c>
      <c r="AA424" s="1868">
        <v>77.361319999999992</v>
      </c>
      <c r="AB424" s="1868">
        <v>8.3323800000000006</v>
      </c>
      <c r="AC424" s="1868">
        <v>8.5750600000000006</v>
      </c>
      <c r="AD424" s="1868">
        <v>8.8611899999999988</v>
      </c>
      <c r="AE424" s="1868">
        <v>8.7415899999999986</v>
      </c>
      <c r="AF424" s="1868">
        <v>8.5438100000000006</v>
      </c>
      <c r="AG424" s="1868">
        <v>8.8232300000000006</v>
      </c>
      <c r="AH424" s="1868">
        <v>7.5401100000000003</v>
      </c>
      <c r="AI424" s="1868">
        <v>6.7777699999999994</v>
      </c>
      <c r="AJ424" s="1868">
        <v>6.5361199999999995</v>
      </c>
      <c r="AK424" s="1868">
        <v>5.6881500000000003</v>
      </c>
      <c r="AL424" s="1868">
        <v>5.9619800000000005</v>
      </c>
      <c r="AM424" s="1868">
        <v>7.3431399999999991</v>
      </c>
      <c r="AN424" s="1868">
        <v>10.10148</v>
      </c>
      <c r="AO424" s="1868">
        <v>8.7465200000000003</v>
      </c>
      <c r="AP424" s="1868">
        <v>10.07504</v>
      </c>
      <c r="AQ424" s="1868">
        <v>11.30458</v>
      </c>
      <c r="AR424" s="1868">
        <v>12.278930000000001</v>
      </c>
      <c r="AS424" s="1868">
        <v>7.687689999999999</v>
      </c>
      <c r="AT424" s="1868">
        <v>11.016910000000001</v>
      </c>
      <c r="AU424" s="1868">
        <v>12.418439999999999</v>
      </c>
      <c r="AV424" s="1868">
        <v>11.268280000000001</v>
      </c>
      <c r="AW424" s="1868">
        <v>7.3613300000000006</v>
      </c>
      <c r="AX424" s="1868">
        <v>9.3403700000000001</v>
      </c>
      <c r="AY424" s="1868">
        <v>7.4603999999999999</v>
      </c>
      <c r="AZ424" s="1868">
        <v>8.2815600000000007</v>
      </c>
      <c r="BA424" s="1868">
        <v>7.6162800000000006</v>
      </c>
    </row>
    <row r="425" spans="1:53">
      <c r="A425" s="1865" t="str">
        <f t="shared" si="6"/>
        <v>CaribbeanPeas, dry</v>
      </c>
      <c r="B425" s="1866" t="s">
        <v>1415</v>
      </c>
      <c r="C425" s="1866" t="s">
        <v>1391</v>
      </c>
      <c r="D425" s="1868">
        <v>0.63944000000000001</v>
      </c>
      <c r="E425" s="1868">
        <v>0.65058000000000005</v>
      </c>
      <c r="F425" s="1868">
        <v>0.65393000000000001</v>
      </c>
      <c r="G425" s="1868">
        <v>0.61019999999999996</v>
      </c>
      <c r="H425" s="1868">
        <v>0.63419999999999999</v>
      </c>
      <c r="I425" s="1868">
        <v>0.58698000000000006</v>
      </c>
      <c r="J425" s="1868">
        <v>0.57779999999999998</v>
      </c>
      <c r="K425" s="1868">
        <v>0.50296000000000007</v>
      </c>
      <c r="L425" s="1868">
        <v>0.64826000000000006</v>
      </c>
      <c r="M425" s="1868">
        <v>0.71766000000000008</v>
      </c>
      <c r="N425" s="1868">
        <v>0.73461999999999994</v>
      </c>
      <c r="O425" s="1868">
        <v>0.72138000000000002</v>
      </c>
      <c r="P425" s="1868">
        <v>0.68267</v>
      </c>
      <c r="Q425" s="1868">
        <v>0.70974999999999999</v>
      </c>
      <c r="R425" s="1868">
        <v>0.70752999999999999</v>
      </c>
      <c r="S425" s="1868">
        <v>0.64698</v>
      </c>
      <c r="T425" s="1868">
        <v>0.74936999999999998</v>
      </c>
      <c r="U425" s="1868">
        <v>0.79259000000000002</v>
      </c>
      <c r="V425" s="1868">
        <v>0.85170000000000001</v>
      </c>
      <c r="W425" s="1868">
        <v>0.80356000000000005</v>
      </c>
      <c r="X425" s="1868">
        <v>0.93774000000000002</v>
      </c>
      <c r="Y425" s="1868">
        <v>0.90649999999999997</v>
      </c>
      <c r="Z425" s="1868">
        <v>0.82376000000000005</v>
      </c>
      <c r="AA425" s="1868">
        <v>0.92692000000000008</v>
      </c>
      <c r="AB425" s="1868">
        <v>0.93771000000000004</v>
      </c>
      <c r="AC425" s="1868">
        <v>0.84083999999999992</v>
      </c>
      <c r="AD425" s="1868">
        <v>0.87629999999999997</v>
      </c>
      <c r="AE425" s="1868">
        <v>0.88178999999999996</v>
      </c>
      <c r="AF425" s="1868">
        <v>0.93587999999999993</v>
      </c>
      <c r="AG425" s="1868">
        <v>0.87437999999999994</v>
      </c>
      <c r="AH425" s="1868">
        <v>0.89642999999999995</v>
      </c>
      <c r="AI425" s="1868">
        <v>1.06382</v>
      </c>
      <c r="AJ425" s="1868">
        <v>1.13225</v>
      </c>
      <c r="AK425" s="1868">
        <v>1.13192</v>
      </c>
      <c r="AL425" s="1868">
        <v>1.1196900000000001</v>
      </c>
      <c r="AM425" s="1868">
        <v>1.09388</v>
      </c>
      <c r="AN425" s="1868">
        <v>1.03043</v>
      </c>
      <c r="AO425" s="1868">
        <v>0.98462000000000005</v>
      </c>
      <c r="AP425" s="1868">
        <v>1.0714700000000001</v>
      </c>
      <c r="AQ425" s="1868">
        <v>0.91787999999999992</v>
      </c>
      <c r="AR425" s="1868">
        <v>0.95248999999999995</v>
      </c>
      <c r="AS425" s="1868">
        <v>1.0479700000000001</v>
      </c>
      <c r="AT425" s="1868">
        <v>1.0775600000000001</v>
      </c>
      <c r="AU425" s="1868">
        <v>1.0896299999999999</v>
      </c>
      <c r="AV425" s="1868">
        <v>0.95618999999999998</v>
      </c>
      <c r="AW425" s="1868">
        <v>0.99492000000000003</v>
      </c>
      <c r="AX425" s="1868">
        <v>1.0032799999999999</v>
      </c>
      <c r="AY425" s="1868">
        <v>0.94699999999999995</v>
      </c>
      <c r="AZ425" s="1868">
        <v>1.0225200000000001</v>
      </c>
      <c r="BA425" s="1868">
        <v>0.95340000000000003</v>
      </c>
    </row>
    <row r="426" spans="1:53">
      <c r="A426" s="1865" t="str">
        <f t="shared" si="6"/>
        <v>CaribbeanPineapples</v>
      </c>
      <c r="B426" s="1866" t="s">
        <v>1415</v>
      </c>
      <c r="C426" s="1866" t="s">
        <v>1351</v>
      </c>
      <c r="D426" s="1868">
        <v>25.588639999999998</v>
      </c>
      <c r="E426" s="1868">
        <v>26.865829999999999</v>
      </c>
      <c r="F426" s="1868">
        <v>27.835170000000002</v>
      </c>
      <c r="G426" s="1868">
        <v>30.904979999999998</v>
      </c>
      <c r="H426" s="1868">
        <v>32.436419999999998</v>
      </c>
      <c r="I426" s="1868">
        <v>31.602049999999998</v>
      </c>
      <c r="J426" s="1868">
        <v>34.252780000000001</v>
      </c>
      <c r="K426" s="1868">
        <v>35.004809999999999</v>
      </c>
      <c r="L426" s="1868">
        <v>32.790170000000003</v>
      </c>
      <c r="M426" s="1868">
        <v>30.100240000000003</v>
      </c>
      <c r="N426" s="1868">
        <v>32.372250000000001</v>
      </c>
      <c r="O426" s="1868">
        <v>33.393949999999997</v>
      </c>
      <c r="P426" s="1868">
        <v>26.201910000000002</v>
      </c>
      <c r="Q426" s="1868">
        <v>27.672259999999998</v>
      </c>
      <c r="R426" s="1868">
        <v>27.144220000000001</v>
      </c>
      <c r="S426" s="1868">
        <v>27.412590000000002</v>
      </c>
      <c r="T426" s="1868">
        <v>27.940559999999998</v>
      </c>
      <c r="U426" s="1868">
        <v>27.796440000000004</v>
      </c>
      <c r="V426" s="1868">
        <v>27.807220000000001</v>
      </c>
      <c r="W426" s="1868">
        <v>27.83417</v>
      </c>
      <c r="X426" s="1868">
        <v>26.994290000000003</v>
      </c>
      <c r="Y426" s="1868">
        <v>29.934109999999997</v>
      </c>
      <c r="Z426" s="1868">
        <v>28.767099999999999</v>
      </c>
      <c r="AA426" s="1868">
        <v>30.165640000000003</v>
      </c>
      <c r="AB426" s="1868">
        <v>27.705679999999997</v>
      </c>
      <c r="AC426" s="1868">
        <v>28.238040000000002</v>
      </c>
      <c r="AD426" s="1868">
        <v>25.585149999999999</v>
      </c>
      <c r="AE426" s="1868">
        <v>29.110959999999999</v>
      </c>
      <c r="AF426" s="1868">
        <v>28.183240000000001</v>
      </c>
      <c r="AG426" s="1868">
        <v>29.507270000000002</v>
      </c>
      <c r="AH426" s="1868">
        <v>30.030940000000001</v>
      </c>
      <c r="AI426" s="1868">
        <v>25.072489999999998</v>
      </c>
      <c r="AJ426" s="1868">
        <v>23.767289999999999</v>
      </c>
      <c r="AK426" s="1868">
        <v>24.040659999999999</v>
      </c>
      <c r="AL426" s="1868">
        <v>21.496739999999999</v>
      </c>
      <c r="AM426" s="1868">
        <v>18.814229999999998</v>
      </c>
      <c r="AN426" s="1868">
        <v>21.254839999999998</v>
      </c>
      <c r="AO426" s="1868">
        <v>21.04542</v>
      </c>
      <c r="AP426" s="1868">
        <v>21.731619999999999</v>
      </c>
      <c r="AQ426" s="1868">
        <v>14.253920000000001</v>
      </c>
      <c r="AR426" s="1868">
        <v>16.551349999999999</v>
      </c>
      <c r="AS426" s="1868">
        <v>16.732489999999999</v>
      </c>
      <c r="AT426" s="1868">
        <v>15.309729999999998</v>
      </c>
      <c r="AU426" s="1868">
        <v>15.199179999999998</v>
      </c>
      <c r="AV426" s="1868">
        <v>12.61375</v>
      </c>
      <c r="AW426" s="1868">
        <v>11.668699999999999</v>
      </c>
      <c r="AX426" s="1868">
        <v>12.655139999999999</v>
      </c>
      <c r="AY426" s="1868">
        <v>11.71626</v>
      </c>
      <c r="AZ426" s="1868">
        <v>14.843629999999999</v>
      </c>
      <c r="BA426" s="1868">
        <v>13.79626</v>
      </c>
    </row>
    <row r="427" spans="1:53">
      <c r="A427" s="1865" t="str">
        <f t="shared" si="6"/>
        <v>CaribbeanPlantains</v>
      </c>
      <c r="B427" s="1866" t="s">
        <v>1415</v>
      </c>
      <c r="C427" s="1866" t="s">
        <v>1393</v>
      </c>
      <c r="D427" s="1868">
        <v>7.2447399999999993</v>
      </c>
      <c r="E427" s="1868">
        <v>7.4783300000000006</v>
      </c>
      <c r="F427" s="1868">
        <v>7.5719100000000008</v>
      </c>
      <c r="G427" s="1868">
        <v>7.5732600000000003</v>
      </c>
      <c r="H427" s="1868">
        <v>7.5359100000000003</v>
      </c>
      <c r="I427" s="1868">
        <v>7.7119999999999997</v>
      </c>
      <c r="J427" s="1868">
        <v>7.3704600000000005</v>
      </c>
      <c r="K427" s="1868">
        <v>7.8009300000000001</v>
      </c>
      <c r="L427" s="1868">
        <v>8.510489999999999</v>
      </c>
      <c r="M427" s="1868">
        <v>7.8438100000000004</v>
      </c>
      <c r="N427" s="1868">
        <v>8.2282799999999998</v>
      </c>
      <c r="O427" s="1868">
        <v>8.6889000000000003</v>
      </c>
      <c r="P427" s="1868">
        <v>8.4842399999999998</v>
      </c>
      <c r="Q427" s="1868">
        <v>8.4084000000000003</v>
      </c>
      <c r="R427" s="1868">
        <v>8.2077000000000009</v>
      </c>
      <c r="S427" s="1868">
        <v>8.6678999999999995</v>
      </c>
      <c r="T427" s="1868">
        <v>8.4116199999999992</v>
      </c>
      <c r="U427" s="1868">
        <v>8.8952500000000008</v>
      </c>
      <c r="V427" s="1868">
        <v>8.1886899999999994</v>
      </c>
      <c r="W427" s="1868">
        <v>8.57958</v>
      </c>
      <c r="X427" s="1868">
        <v>8.2230799999999995</v>
      </c>
      <c r="Y427" s="1868">
        <v>8.0788100000000007</v>
      </c>
      <c r="Z427" s="1868">
        <v>8.0901800000000001</v>
      </c>
      <c r="AA427" s="1868">
        <v>8.3668700000000005</v>
      </c>
      <c r="AB427" s="1868">
        <v>8.2361699999999995</v>
      </c>
      <c r="AC427" s="1868">
        <v>8.5503999999999998</v>
      </c>
      <c r="AD427" s="1868">
        <v>8.5541100000000014</v>
      </c>
      <c r="AE427" s="1868">
        <v>8.4984800000000007</v>
      </c>
      <c r="AF427" s="1868">
        <v>8.5662300000000009</v>
      </c>
      <c r="AG427" s="1868">
        <v>8.2682500000000001</v>
      </c>
      <c r="AH427" s="1868">
        <v>7.6631800000000005</v>
      </c>
      <c r="AI427" s="1868">
        <v>7.5219300000000002</v>
      </c>
      <c r="AJ427" s="1868">
        <v>7.4395100000000003</v>
      </c>
      <c r="AK427" s="1868">
        <v>7.1825899999999994</v>
      </c>
      <c r="AL427" s="1868">
        <v>5.9713500000000002</v>
      </c>
      <c r="AM427" s="1868">
        <v>7.0393300000000005</v>
      </c>
      <c r="AN427" s="1868">
        <v>6.0979900000000002</v>
      </c>
      <c r="AO427" s="1868">
        <v>6.7119999999999997</v>
      </c>
      <c r="AP427" s="1868">
        <v>6.3561300000000003</v>
      </c>
      <c r="AQ427" s="1868">
        <v>7.0014100000000008</v>
      </c>
      <c r="AR427" s="1868">
        <v>8.2227800000000002</v>
      </c>
      <c r="AS427" s="1868">
        <v>6.781439999999999</v>
      </c>
      <c r="AT427" s="1868">
        <v>8.4243399999999991</v>
      </c>
      <c r="AU427" s="1868">
        <v>8.4645299999999999</v>
      </c>
      <c r="AV427" s="1868">
        <v>7.8399800000000006</v>
      </c>
      <c r="AW427" s="1868">
        <v>8.7079000000000004</v>
      </c>
      <c r="AX427" s="1868">
        <v>8.8497899999999987</v>
      </c>
      <c r="AY427" s="1868">
        <v>8.70932</v>
      </c>
      <c r="AZ427" s="1868">
        <v>7.9054100000000007</v>
      </c>
      <c r="BA427" s="1868">
        <v>7.0571899999999994</v>
      </c>
    </row>
    <row r="428" spans="1:53">
      <c r="A428" s="1865" t="str">
        <f t="shared" si="6"/>
        <v>CaribbeanPotatoes</v>
      </c>
      <c r="B428" s="1866" t="s">
        <v>1415</v>
      </c>
      <c r="C428" s="1866" t="s">
        <v>1394</v>
      </c>
      <c r="D428" s="1868">
        <v>10.379160000000001</v>
      </c>
      <c r="E428" s="1868">
        <v>10.410489999999999</v>
      </c>
      <c r="F428" s="1868">
        <v>10.79776</v>
      </c>
      <c r="G428" s="1868">
        <v>9.7922999999999991</v>
      </c>
      <c r="H428" s="1868">
        <v>10.23982</v>
      </c>
      <c r="I428" s="1868">
        <v>10.44323</v>
      </c>
      <c r="J428" s="1868">
        <v>10.74057</v>
      </c>
      <c r="K428" s="1868">
        <v>13.301970000000001</v>
      </c>
      <c r="L428" s="1868">
        <v>9.4081299999999999</v>
      </c>
      <c r="M428" s="1868">
        <v>7.3712999999999997</v>
      </c>
      <c r="N428" s="1868">
        <v>6.53315</v>
      </c>
      <c r="O428" s="1868">
        <v>11.35094</v>
      </c>
      <c r="P428" s="1868">
        <v>8.7577699999999989</v>
      </c>
      <c r="Q428" s="1868">
        <v>8.1932100000000005</v>
      </c>
      <c r="R428" s="1868">
        <v>10.644130000000001</v>
      </c>
      <c r="S428" s="1868">
        <v>12.17802</v>
      </c>
      <c r="T428" s="1868">
        <v>11.722770000000001</v>
      </c>
      <c r="U428" s="1868">
        <v>16.084109999999999</v>
      </c>
      <c r="V428" s="1868">
        <v>14.137639999999999</v>
      </c>
      <c r="W428" s="1868">
        <v>15.87856</v>
      </c>
      <c r="X428" s="1868">
        <v>15.640839999999999</v>
      </c>
      <c r="Y428" s="1868">
        <v>16.747959999999999</v>
      </c>
      <c r="Z428" s="1868">
        <v>15.144450000000001</v>
      </c>
      <c r="AA428" s="1868">
        <v>15.08469</v>
      </c>
      <c r="AB428" s="1868">
        <v>19.480270000000001</v>
      </c>
      <c r="AC428" s="1868">
        <v>20.934950000000001</v>
      </c>
      <c r="AD428" s="1868">
        <v>17.312170000000002</v>
      </c>
      <c r="AE428" s="1868">
        <v>17.33474</v>
      </c>
      <c r="AF428" s="1868">
        <v>16.408920000000002</v>
      </c>
      <c r="AG428" s="1868">
        <v>11.96819</v>
      </c>
      <c r="AH428" s="1868">
        <v>13.10121</v>
      </c>
      <c r="AI428" s="1868">
        <v>15.81156</v>
      </c>
      <c r="AJ428" s="1868">
        <v>15.79285</v>
      </c>
      <c r="AK428" s="1868">
        <v>12.84125</v>
      </c>
      <c r="AL428" s="1868">
        <v>18.602070000000001</v>
      </c>
      <c r="AM428" s="1868">
        <v>22.520879999999998</v>
      </c>
      <c r="AN428" s="1868">
        <v>17.56184</v>
      </c>
      <c r="AO428" s="1868">
        <v>15.771820000000002</v>
      </c>
      <c r="AP428" s="1868">
        <v>21.54543</v>
      </c>
      <c r="AQ428" s="1868">
        <v>25.009309999999999</v>
      </c>
      <c r="AR428" s="1868">
        <v>23.445870000000003</v>
      </c>
      <c r="AS428" s="1868">
        <v>23.280010000000001</v>
      </c>
      <c r="AT428" s="1868">
        <v>22.256769999999999</v>
      </c>
      <c r="AU428" s="1868">
        <v>24.178290000000001</v>
      </c>
      <c r="AV428" s="1868">
        <v>23.589320000000001</v>
      </c>
      <c r="AW428" s="1868">
        <v>23.356059999999999</v>
      </c>
      <c r="AX428" s="1868">
        <v>15.606729999999999</v>
      </c>
      <c r="AY428" s="1868">
        <v>19.945339999999998</v>
      </c>
      <c r="AZ428" s="1868">
        <v>21.53876</v>
      </c>
      <c r="BA428" s="1868">
        <v>20.712579999999999</v>
      </c>
    </row>
    <row r="429" spans="1:53">
      <c r="A429" s="1865" t="str">
        <f t="shared" si="6"/>
        <v>CaribbeanPulses, nes</v>
      </c>
      <c r="B429" s="1866" t="s">
        <v>1415</v>
      </c>
      <c r="C429" s="1866" t="s">
        <v>1395</v>
      </c>
      <c r="D429" s="1868">
        <v>0.79038999999999993</v>
      </c>
      <c r="E429" s="1868">
        <v>0.78700999999999999</v>
      </c>
      <c r="F429" s="1868">
        <v>0.78359999999999996</v>
      </c>
      <c r="G429" s="1868">
        <v>0.71288000000000007</v>
      </c>
      <c r="H429" s="1868">
        <v>0.75871</v>
      </c>
      <c r="I429" s="1868">
        <v>0.74434</v>
      </c>
      <c r="J429" s="1868">
        <v>0.83347000000000004</v>
      </c>
      <c r="K429" s="1868">
        <v>0.90731000000000006</v>
      </c>
      <c r="L429" s="1868">
        <v>0.93138999999999994</v>
      </c>
      <c r="M429" s="1868">
        <v>0.91847999999999996</v>
      </c>
      <c r="N429" s="1868">
        <v>0.92476000000000003</v>
      </c>
      <c r="O429" s="1868">
        <v>0.91902000000000006</v>
      </c>
      <c r="P429" s="1868">
        <v>0.87224000000000002</v>
      </c>
      <c r="Q429" s="1868">
        <v>0.85412999999999994</v>
      </c>
      <c r="R429" s="1868">
        <v>0.85847999999999991</v>
      </c>
      <c r="S429" s="1868">
        <v>0.87670000000000003</v>
      </c>
      <c r="T429" s="1868">
        <v>0.85688999999999993</v>
      </c>
      <c r="U429" s="1868">
        <v>0.86224000000000001</v>
      </c>
      <c r="V429" s="1868">
        <v>0.87067000000000005</v>
      </c>
      <c r="W429" s="1868">
        <v>0.87417999999999996</v>
      </c>
      <c r="X429" s="1868">
        <v>0.88932999999999995</v>
      </c>
      <c r="Y429" s="1868">
        <v>0.88754999999999995</v>
      </c>
      <c r="Z429" s="1868">
        <v>0.89970000000000006</v>
      </c>
      <c r="AA429" s="1868">
        <v>0.90862999999999994</v>
      </c>
      <c r="AB429" s="1868">
        <v>0.91602000000000006</v>
      </c>
      <c r="AC429" s="1868">
        <v>0.94722999999999991</v>
      </c>
      <c r="AD429" s="1868">
        <v>0.93907999999999991</v>
      </c>
      <c r="AE429" s="1868">
        <v>0.93513999999999997</v>
      </c>
      <c r="AF429" s="1868">
        <v>0.91832999999999998</v>
      </c>
      <c r="AG429" s="1868">
        <v>1.0310700000000002</v>
      </c>
      <c r="AH429" s="1868">
        <v>0.94564999999999999</v>
      </c>
      <c r="AI429" s="1868">
        <v>0.90342000000000011</v>
      </c>
      <c r="AJ429" s="1868">
        <v>1.1388400000000001</v>
      </c>
      <c r="AK429" s="1868">
        <v>1.01305</v>
      </c>
      <c r="AL429" s="1868">
        <v>0.94453999999999994</v>
      </c>
      <c r="AM429" s="1868">
        <v>0.96533999999999998</v>
      </c>
      <c r="AN429" s="1868">
        <v>1.0051000000000001</v>
      </c>
      <c r="AO429" s="1868">
        <v>0.92562000000000011</v>
      </c>
      <c r="AP429" s="1868">
        <v>1.1497999999999999</v>
      </c>
      <c r="AQ429" s="1868">
        <v>1.09924</v>
      </c>
      <c r="AR429" s="1868">
        <v>1.00501</v>
      </c>
      <c r="AS429" s="1868">
        <v>1.06925</v>
      </c>
      <c r="AT429" s="1868">
        <v>0.96750999999999998</v>
      </c>
      <c r="AU429" s="1868">
        <v>0.93501000000000001</v>
      </c>
      <c r="AV429" s="1868">
        <v>0.92231000000000007</v>
      </c>
      <c r="AW429" s="1868">
        <v>0.90321000000000007</v>
      </c>
      <c r="AX429" s="1868">
        <v>0.90481</v>
      </c>
      <c r="AY429" s="1868">
        <v>0.88142999999999994</v>
      </c>
      <c r="AZ429" s="1868">
        <v>1.0547299999999999</v>
      </c>
      <c r="BA429" s="1868">
        <v>0.93897000000000008</v>
      </c>
    </row>
    <row r="430" spans="1:53">
      <c r="A430" s="1865" t="str">
        <f t="shared" si="6"/>
        <v>CaribbeanRice, paddy</v>
      </c>
      <c r="B430" s="1866" t="s">
        <v>1415</v>
      </c>
      <c r="C430" s="1866" t="s">
        <v>1396</v>
      </c>
      <c r="D430" s="1868">
        <v>1.58202</v>
      </c>
      <c r="E430" s="1868">
        <v>1.5956399999999999</v>
      </c>
      <c r="F430" s="1868">
        <v>1.81959</v>
      </c>
      <c r="G430" s="1868">
        <v>1.9807700000000001</v>
      </c>
      <c r="H430" s="1868">
        <v>1.9935599999999998</v>
      </c>
      <c r="I430" s="1868">
        <v>2.20505</v>
      </c>
      <c r="J430" s="1868">
        <v>1.97112</v>
      </c>
      <c r="K430" s="1868">
        <v>1.9067400000000001</v>
      </c>
      <c r="L430" s="1868">
        <v>2.0282299999999998</v>
      </c>
      <c r="M430" s="1868">
        <v>2.1173299999999999</v>
      </c>
      <c r="N430" s="1868">
        <v>2.3229099999999998</v>
      </c>
      <c r="O430" s="1868">
        <v>2.2565400000000002</v>
      </c>
      <c r="P430" s="1868">
        <v>2.0795499999999998</v>
      </c>
      <c r="Q430" s="1868">
        <v>2.59375</v>
      </c>
      <c r="R430" s="1868">
        <v>2.5004499999999998</v>
      </c>
      <c r="S430" s="1868">
        <v>2.8231700000000002</v>
      </c>
      <c r="T430" s="1868">
        <v>2.8166099999999998</v>
      </c>
      <c r="U430" s="1868">
        <v>3.0180700000000003</v>
      </c>
      <c r="V430" s="1868">
        <v>2.9888400000000002</v>
      </c>
      <c r="W430" s="1868">
        <v>3.2284299999999999</v>
      </c>
      <c r="X430" s="1868">
        <v>3.2109900000000002</v>
      </c>
      <c r="Y430" s="1868">
        <v>3.5674000000000001</v>
      </c>
      <c r="Z430" s="1868">
        <v>3.7676099999999999</v>
      </c>
      <c r="AA430" s="1868">
        <v>3.56725</v>
      </c>
      <c r="AB430" s="1868">
        <v>3.5223400000000002</v>
      </c>
      <c r="AC430" s="1868">
        <v>3.5801500000000002</v>
      </c>
      <c r="AD430" s="1868">
        <v>3.4423699999999999</v>
      </c>
      <c r="AE430" s="1868">
        <v>3.3672</v>
      </c>
      <c r="AF430" s="1868">
        <v>3.4450400000000001</v>
      </c>
      <c r="AG430" s="1868">
        <v>3.3689699999999996</v>
      </c>
      <c r="AH430" s="1868">
        <v>3.3274599999999999</v>
      </c>
      <c r="AI430" s="1868">
        <v>3.1465099999999997</v>
      </c>
      <c r="AJ430" s="1868">
        <v>3.06941</v>
      </c>
      <c r="AK430" s="1868">
        <v>2.8180900000000002</v>
      </c>
      <c r="AL430" s="1868">
        <v>3.21055</v>
      </c>
      <c r="AM430" s="1868">
        <v>3.0468999999999999</v>
      </c>
      <c r="AN430" s="1868">
        <v>3.3659500000000002</v>
      </c>
      <c r="AO430" s="1868">
        <v>2.8569400000000003</v>
      </c>
      <c r="AP430" s="1868">
        <v>3.4988599999999996</v>
      </c>
      <c r="AQ430" s="1868">
        <v>3.3938800000000002</v>
      </c>
      <c r="AR430" s="1868">
        <v>3.7248600000000001</v>
      </c>
      <c r="AS430" s="1868">
        <v>3.8042199999999995</v>
      </c>
      <c r="AT430" s="1868">
        <v>3.6697300000000004</v>
      </c>
      <c r="AU430" s="1868">
        <v>3.4055199999999997</v>
      </c>
      <c r="AV430" s="1868">
        <v>3.6763499999999998</v>
      </c>
      <c r="AW430" s="1868">
        <v>3.6474699999999998</v>
      </c>
      <c r="AX430" s="1868">
        <v>3.7698199999999997</v>
      </c>
      <c r="AY430" s="1868">
        <v>3.5797800000000004</v>
      </c>
      <c r="AZ430" s="1868">
        <v>3.3796800000000005</v>
      </c>
      <c r="BA430" s="1868">
        <v>3.5401400000000001</v>
      </c>
    </row>
    <row r="431" spans="1:53">
      <c r="A431" s="1865" t="str">
        <f t="shared" si="6"/>
        <v>CaribbeanRoots and Tubers, nes</v>
      </c>
      <c r="B431" s="1866" t="s">
        <v>1415</v>
      </c>
      <c r="C431" s="1866" t="s">
        <v>1356</v>
      </c>
      <c r="D431" s="1868">
        <v>4.0387900000000005</v>
      </c>
      <c r="E431" s="1868">
        <v>4.1178300000000005</v>
      </c>
      <c r="F431" s="1868">
        <v>4.3540599999999996</v>
      </c>
      <c r="G431" s="1868">
        <v>4.2453500000000002</v>
      </c>
      <c r="H431" s="1868">
        <v>3.9191699999999998</v>
      </c>
      <c r="I431" s="1868">
        <v>3.5714699999999997</v>
      </c>
      <c r="J431" s="1868">
        <v>3.4054199999999999</v>
      </c>
      <c r="K431" s="1868">
        <v>3.3557699999999997</v>
      </c>
      <c r="L431" s="1868">
        <v>3.36185</v>
      </c>
      <c r="M431" s="1868">
        <v>3.6447699999999998</v>
      </c>
      <c r="N431" s="1868">
        <v>3.6852900000000002</v>
      </c>
      <c r="O431" s="1868">
        <v>3.8811699999999996</v>
      </c>
      <c r="P431" s="1868">
        <v>3.8342900000000002</v>
      </c>
      <c r="Q431" s="1868">
        <v>4.2958600000000002</v>
      </c>
      <c r="R431" s="1868">
        <v>3.9848699999999999</v>
      </c>
      <c r="S431" s="1868">
        <v>4.0821300000000003</v>
      </c>
      <c r="T431" s="1868">
        <v>4.1643300000000005</v>
      </c>
      <c r="U431" s="1868">
        <v>4.0224500000000001</v>
      </c>
      <c r="V431" s="1868">
        <v>4.0034099999999997</v>
      </c>
      <c r="W431" s="1868">
        <v>3.95031</v>
      </c>
      <c r="X431" s="1868">
        <v>3.8693699999999995</v>
      </c>
      <c r="Y431" s="1868">
        <v>3.9275900000000004</v>
      </c>
      <c r="Z431" s="1868">
        <v>4.1093599999999997</v>
      </c>
      <c r="AA431" s="1868">
        <v>4.4528600000000003</v>
      </c>
      <c r="AB431" s="1868">
        <v>4.5526599999999995</v>
      </c>
      <c r="AC431" s="1868">
        <v>4.47384</v>
      </c>
      <c r="AD431" s="1868">
        <v>3.8306800000000001</v>
      </c>
      <c r="AE431" s="1868">
        <v>4.2127699999999999</v>
      </c>
      <c r="AF431" s="1868">
        <v>3.9104199999999998</v>
      </c>
      <c r="AG431" s="1868">
        <v>3.5759500000000002</v>
      </c>
      <c r="AH431" s="1868">
        <v>3.6354900000000003</v>
      </c>
      <c r="AI431" s="1868">
        <v>3.4491699999999996</v>
      </c>
      <c r="AJ431" s="1868">
        <v>3.91344</v>
      </c>
      <c r="AK431" s="1868">
        <v>4.0563099999999999</v>
      </c>
      <c r="AL431" s="1868">
        <v>4.3450199999999999</v>
      </c>
      <c r="AM431" s="1868">
        <v>4.3531199999999997</v>
      </c>
      <c r="AN431" s="1868">
        <v>4.1109499999999999</v>
      </c>
      <c r="AO431" s="1868">
        <v>4.2798099999999994</v>
      </c>
      <c r="AP431" s="1868">
        <v>3.89344</v>
      </c>
      <c r="AQ431" s="1868">
        <v>3.7585199999999999</v>
      </c>
      <c r="AR431" s="1868">
        <v>3.8484400000000001</v>
      </c>
      <c r="AS431" s="1868">
        <v>3.8984199999999998</v>
      </c>
      <c r="AT431" s="1868">
        <v>3.4763000000000002</v>
      </c>
      <c r="AU431" s="1868">
        <v>2.9642900000000001</v>
      </c>
      <c r="AV431" s="1868">
        <v>3.3916300000000001</v>
      </c>
      <c r="AW431" s="1868">
        <v>3.2439100000000001</v>
      </c>
      <c r="AX431" s="1868">
        <v>3.1217999999999999</v>
      </c>
      <c r="AY431" s="1868">
        <v>3.2792500000000002</v>
      </c>
      <c r="AZ431" s="1868">
        <v>3.7676500000000002</v>
      </c>
      <c r="BA431" s="1868">
        <v>3.9163800000000002</v>
      </c>
    </row>
    <row r="432" spans="1:53">
      <c r="A432" s="1865" t="str">
        <f t="shared" si="6"/>
        <v>CaribbeanSeed cotton</v>
      </c>
      <c r="B432" s="1866" t="s">
        <v>1415</v>
      </c>
      <c r="C432" s="1866" t="s">
        <v>1397</v>
      </c>
      <c r="D432" s="1868">
        <v>0.66549999999999998</v>
      </c>
      <c r="E432" s="1868">
        <v>0.56976000000000004</v>
      </c>
      <c r="F432" s="1868">
        <v>0.65878999999999999</v>
      </c>
      <c r="G432" s="1868">
        <v>0.66388999999999998</v>
      </c>
      <c r="H432" s="1868">
        <v>0.63008999999999993</v>
      </c>
      <c r="I432" s="1868">
        <v>0.57796999999999998</v>
      </c>
      <c r="J432" s="1868">
        <v>0.63300000000000001</v>
      </c>
      <c r="K432" s="1868">
        <v>0.61026000000000002</v>
      </c>
      <c r="L432" s="1868">
        <v>0.65412000000000003</v>
      </c>
      <c r="M432" s="1868">
        <v>0.75191000000000008</v>
      </c>
      <c r="N432" s="1868">
        <v>0.60811000000000004</v>
      </c>
      <c r="O432" s="1868">
        <v>0.5948</v>
      </c>
      <c r="P432" s="1868">
        <v>0.5877</v>
      </c>
      <c r="Q432" s="1868">
        <v>0.53261999999999998</v>
      </c>
      <c r="R432" s="1868">
        <v>0.56689000000000001</v>
      </c>
      <c r="S432" s="1868">
        <v>0.54527999999999999</v>
      </c>
      <c r="T432" s="1868">
        <v>0.58133000000000001</v>
      </c>
      <c r="U432" s="1868">
        <v>0.52178000000000002</v>
      </c>
      <c r="V432" s="1868">
        <v>0.53995000000000004</v>
      </c>
      <c r="W432" s="1868">
        <v>0.60943000000000003</v>
      </c>
      <c r="X432" s="1868">
        <v>0.64038000000000006</v>
      </c>
      <c r="Y432" s="1868">
        <v>0.59706999999999999</v>
      </c>
      <c r="Z432" s="1868">
        <v>0.63180000000000003</v>
      </c>
      <c r="AA432" s="1868">
        <v>0.61813999999999991</v>
      </c>
      <c r="AB432" s="1868">
        <v>0.60003000000000006</v>
      </c>
      <c r="AC432" s="1868">
        <v>0.62887999999999999</v>
      </c>
      <c r="AD432" s="1868">
        <v>0.71268999999999993</v>
      </c>
      <c r="AE432" s="1868">
        <v>0.72553999999999996</v>
      </c>
      <c r="AF432" s="1868">
        <v>0.72608000000000006</v>
      </c>
      <c r="AG432" s="1868">
        <v>0.69079000000000002</v>
      </c>
      <c r="AH432" s="1868">
        <v>0.65695000000000003</v>
      </c>
      <c r="AI432" s="1868">
        <v>0.64012999999999998</v>
      </c>
      <c r="AJ432" s="1868">
        <v>0.59126999999999996</v>
      </c>
      <c r="AK432" s="1868">
        <v>0.54154999999999998</v>
      </c>
      <c r="AL432" s="1868">
        <v>0.37051999999999996</v>
      </c>
      <c r="AM432" s="1868">
        <v>0.38001000000000001</v>
      </c>
      <c r="AN432" s="1868">
        <v>0.26450000000000001</v>
      </c>
      <c r="AO432" s="1868">
        <v>0.32656000000000002</v>
      </c>
      <c r="AP432" s="1868">
        <v>0.49563999999999997</v>
      </c>
      <c r="AQ432" s="1868">
        <v>0.38751999999999998</v>
      </c>
      <c r="AR432" s="1868">
        <v>0.32149</v>
      </c>
      <c r="AS432" s="1868">
        <v>0.36309999999999998</v>
      </c>
      <c r="AT432" s="1868">
        <v>0.35720999999999997</v>
      </c>
      <c r="AU432" s="1868">
        <v>0.35253000000000001</v>
      </c>
      <c r="AV432" s="1868">
        <v>0.3377</v>
      </c>
      <c r="AW432" s="1868">
        <v>0.35619000000000001</v>
      </c>
      <c r="AX432" s="1868">
        <v>0.32966000000000001</v>
      </c>
      <c r="AY432" s="1868">
        <v>0.30932999999999999</v>
      </c>
      <c r="AZ432" s="1868">
        <v>0.28655000000000003</v>
      </c>
      <c r="BA432" s="1868">
        <v>0.27132000000000001</v>
      </c>
    </row>
    <row r="433" spans="1:53">
      <c r="A433" s="1865" t="str">
        <f t="shared" si="6"/>
        <v>CaribbeanSesame seed</v>
      </c>
      <c r="B433" s="1866" t="s">
        <v>1415</v>
      </c>
      <c r="C433" s="1866" t="s">
        <v>1345</v>
      </c>
      <c r="D433" s="1868">
        <v>0.34733000000000003</v>
      </c>
      <c r="E433" s="1868">
        <v>0.38929000000000002</v>
      </c>
      <c r="F433" s="1868">
        <v>0.40714</v>
      </c>
      <c r="G433" s="1868">
        <v>0.42443999999999998</v>
      </c>
      <c r="H433" s="1868">
        <v>0.4</v>
      </c>
      <c r="I433" s="1868">
        <v>0.39482</v>
      </c>
      <c r="J433" s="1868">
        <v>0.39036999999999999</v>
      </c>
      <c r="K433" s="1868">
        <v>0.36757000000000001</v>
      </c>
      <c r="L433" s="1868">
        <v>0.34275</v>
      </c>
      <c r="M433" s="1868">
        <v>0.33873000000000003</v>
      </c>
      <c r="N433" s="1868">
        <v>0.32753000000000004</v>
      </c>
      <c r="O433" s="1868">
        <v>0.31603999999999999</v>
      </c>
      <c r="P433" s="1868">
        <v>0.29775000000000001</v>
      </c>
      <c r="Q433" s="1868">
        <v>0.30806</v>
      </c>
      <c r="R433" s="1868">
        <v>0.31151999999999996</v>
      </c>
      <c r="S433" s="1868">
        <v>0.31443000000000004</v>
      </c>
      <c r="T433" s="1868">
        <v>0.30658000000000002</v>
      </c>
      <c r="U433" s="1868">
        <v>0.32740000000000002</v>
      </c>
      <c r="V433" s="1868">
        <v>0.30407000000000001</v>
      </c>
      <c r="W433" s="1868">
        <v>0.30354999999999999</v>
      </c>
      <c r="X433" s="1868">
        <v>0.30685000000000001</v>
      </c>
      <c r="Y433" s="1868">
        <v>0.30685000000000001</v>
      </c>
      <c r="Z433" s="1868">
        <v>0.30330999999999997</v>
      </c>
      <c r="AA433" s="1868">
        <v>0.29966999999999999</v>
      </c>
      <c r="AB433" s="1868">
        <v>0.29974000000000001</v>
      </c>
      <c r="AC433" s="1868">
        <v>0.30109000000000002</v>
      </c>
      <c r="AD433" s="1868">
        <v>0.30127999999999999</v>
      </c>
      <c r="AE433" s="1868">
        <v>0.29801</v>
      </c>
      <c r="AF433" s="1868">
        <v>0.29828000000000005</v>
      </c>
      <c r="AG433" s="1868">
        <v>0.29429</v>
      </c>
      <c r="AH433" s="1868">
        <v>0.30470000000000003</v>
      </c>
      <c r="AI433" s="1868">
        <v>0.29231000000000001</v>
      </c>
      <c r="AJ433" s="1868">
        <v>0.27906999999999998</v>
      </c>
      <c r="AK433" s="1868">
        <v>0.29231000000000001</v>
      </c>
      <c r="AL433" s="1868">
        <v>0.30682999999999999</v>
      </c>
      <c r="AM433" s="1868">
        <v>0.30814000000000002</v>
      </c>
      <c r="AN433" s="1868">
        <v>0.32206000000000001</v>
      </c>
      <c r="AO433" s="1868">
        <v>0.39084000000000002</v>
      </c>
      <c r="AP433" s="1868">
        <v>0.46528000000000003</v>
      </c>
      <c r="AQ433" s="1868">
        <v>0.29231000000000001</v>
      </c>
      <c r="AR433" s="1868">
        <v>0.29231000000000001</v>
      </c>
      <c r="AS433" s="1868">
        <v>0.24074000000000001</v>
      </c>
      <c r="AT433" s="1868">
        <v>0.22857</v>
      </c>
      <c r="AU433" s="1868">
        <v>0.28965999999999997</v>
      </c>
      <c r="AV433" s="1868">
        <v>0.28268000000000004</v>
      </c>
      <c r="AW433" s="1868">
        <v>0.30214000000000002</v>
      </c>
      <c r="AX433" s="1868">
        <v>0.25913000000000003</v>
      </c>
      <c r="AY433" s="1868">
        <v>0.26758000000000004</v>
      </c>
      <c r="AZ433" s="1868">
        <v>0.24769000000000002</v>
      </c>
      <c r="BA433" s="1868">
        <v>0.22900999999999999</v>
      </c>
    </row>
    <row r="434" spans="1:53">
      <c r="A434" s="1865" t="str">
        <f t="shared" si="6"/>
        <v>CaribbeanSisal</v>
      </c>
      <c r="B434" s="1866" t="s">
        <v>1415</v>
      </c>
      <c r="C434" s="1866" t="s">
        <v>1398</v>
      </c>
      <c r="D434" s="1868">
        <v>0.51151000000000002</v>
      </c>
      <c r="E434" s="1868">
        <v>0.51166</v>
      </c>
      <c r="F434" s="1868">
        <v>0.52995999999999999</v>
      </c>
      <c r="G434" s="1868">
        <v>0.51200000000000001</v>
      </c>
      <c r="H434" s="1868">
        <v>0.59714999999999996</v>
      </c>
      <c r="I434" s="1868">
        <v>0.55310999999999999</v>
      </c>
      <c r="J434" s="1868">
        <v>0.54100999999999999</v>
      </c>
      <c r="K434" s="1868">
        <v>0.53521000000000007</v>
      </c>
      <c r="L434" s="1868">
        <v>0.51171</v>
      </c>
      <c r="M434" s="1868">
        <v>0.60114000000000001</v>
      </c>
      <c r="N434" s="1868">
        <v>0.59897</v>
      </c>
      <c r="O434" s="1868">
        <v>0.61741999999999997</v>
      </c>
      <c r="P434" s="1868">
        <v>0.61078999999999994</v>
      </c>
      <c r="Q434" s="1868">
        <v>0.67681999999999998</v>
      </c>
      <c r="R434" s="1868">
        <v>0.68862999999999996</v>
      </c>
      <c r="S434" s="1868">
        <v>0.61007</v>
      </c>
      <c r="T434" s="1868">
        <v>0.54437999999999998</v>
      </c>
      <c r="U434" s="1868">
        <v>0.67515999999999998</v>
      </c>
      <c r="V434" s="1868">
        <v>0.71133999999999997</v>
      </c>
      <c r="W434" s="1868">
        <v>0.87261</v>
      </c>
      <c r="X434" s="1868">
        <v>0.58938999999999997</v>
      </c>
      <c r="Y434" s="1868">
        <v>0.72161999999999993</v>
      </c>
      <c r="Z434" s="1868">
        <v>0.73487999999999998</v>
      </c>
      <c r="AA434" s="1868">
        <v>0.78491</v>
      </c>
      <c r="AB434" s="1868">
        <v>0.74014999999999997</v>
      </c>
      <c r="AC434" s="1868">
        <v>0.76580999999999999</v>
      </c>
      <c r="AD434" s="1868">
        <v>0.85387999999999997</v>
      </c>
      <c r="AE434" s="1868">
        <v>0.70782</v>
      </c>
      <c r="AF434" s="1868">
        <v>0.74408999999999992</v>
      </c>
      <c r="AG434" s="1868">
        <v>0.75612000000000001</v>
      </c>
      <c r="AH434" s="1868">
        <v>0.68896000000000002</v>
      </c>
      <c r="AI434" s="1868">
        <v>0.74043000000000003</v>
      </c>
      <c r="AJ434" s="1868">
        <v>0.78358000000000005</v>
      </c>
      <c r="AK434" s="1868">
        <v>0.70352999999999999</v>
      </c>
      <c r="AL434" s="1868">
        <v>0.71786000000000005</v>
      </c>
      <c r="AM434" s="1868">
        <v>0.76007999999999998</v>
      </c>
      <c r="AN434" s="1868">
        <v>0.78871000000000002</v>
      </c>
      <c r="AO434" s="1868">
        <v>0.74076000000000009</v>
      </c>
      <c r="AP434" s="1868">
        <v>0.51373999999999997</v>
      </c>
      <c r="AQ434" s="1868">
        <v>0.51586999999999994</v>
      </c>
      <c r="AR434" s="1868">
        <v>0.50158000000000003</v>
      </c>
      <c r="AS434" s="1868">
        <v>0.49513000000000001</v>
      </c>
      <c r="AT434" s="1868">
        <v>0.44601999999999997</v>
      </c>
      <c r="AU434" s="1868">
        <v>0.50126999999999999</v>
      </c>
      <c r="AV434" s="1868">
        <v>0.48715000000000003</v>
      </c>
      <c r="AW434" s="1868">
        <v>0.42849999999999999</v>
      </c>
      <c r="AX434" s="1868">
        <v>0.51224999999999998</v>
      </c>
      <c r="AY434" s="1868">
        <v>0.50356000000000001</v>
      </c>
      <c r="AZ434" s="1868">
        <v>0.58374999999999999</v>
      </c>
      <c r="BA434" s="1868">
        <v>0.53434999999999999</v>
      </c>
    </row>
    <row r="435" spans="1:53">
      <c r="A435" s="1865" t="str">
        <f t="shared" si="6"/>
        <v>CaribbeanSorghum</v>
      </c>
      <c r="B435" s="1866" t="s">
        <v>1415</v>
      </c>
      <c r="C435" s="1866" t="s">
        <v>1399</v>
      </c>
      <c r="D435" s="1868">
        <v>0.95951000000000009</v>
      </c>
      <c r="E435" s="1868">
        <v>0.94571000000000005</v>
      </c>
      <c r="F435" s="1868">
        <v>0.95365</v>
      </c>
      <c r="G435" s="1868">
        <v>0.95992999999999995</v>
      </c>
      <c r="H435" s="1868">
        <v>0.97209000000000001</v>
      </c>
      <c r="I435" s="1868">
        <v>0.96855000000000002</v>
      </c>
      <c r="J435" s="1868">
        <v>0.96919</v>
      </c>
      <c r="K435" s="1868">
        <v>0.98324999999999996</v>
      </c>
      <c r="L435" s="1868">
        <v>1.0268700000000002</v>
      </c>
      <c r="M435" s="1868">
        <v>1.0220799999999999</v>
      </c>
      <c r="N435" s="1868">
        <v>1.0325799999999998</v>
      </c>
      <c r="O435" s="1868">
        <v>1.03556</v>
      </c>
      <c r="P435" s="1868">
        <v>0.92228999999999994</v>
      </c>
      <c r="Q435" s="1868">
        <v>1.0130299999999999</v>
      </c>
      <c r="R435" s="1868">
        <v>1.0507500000000001</v>
      </c>
      <c r="S435" s="1868">
        <v>1.13093</v>
      </c>
      <c r="T435" s="1868">
        <v>0.82822999999999991</v>
      </c>
      <c r="U435" s="1868">
        <v>0.65954000000000002</v>
      </c>
      <c r="V435" s="1868">
        <v>0.88826000000000005</v>
      </c>
      <c r="W435" s="1868">
        <v>0.79018999999999995</v>
      </c>
      <c r="X435" s="1868">
        <v>0.85192000000000012</v>
      </c>
      <c r="Y435" s="1868">
        <v>0.77210000000000001</v>
      </c>
      <c r="Z435" s="1868">
        <v>0.92237000000000002</v>
      </c>
      <c r="AA435" s="1868">
        <v>0.93527000000000005</v>
      </c>
      <c r="AB435" s="1868">
        <v>1.0585</v>
      </c>
      <c r="AC435" s="1868">
        <v>0.97607999999999995</v>
      </c>
      <c r="AD435" s="1868">
        <v>0.98487999999999998</v>
      </c>
      <c r="AE435" s="1868">
        <v>0.94435000000000002</v>
      </c>
      <c r="AF435" s="1868">
        <v>1.0092700000000001</v>
      </c>
      <c r="AG435" s="1868">
        <v>0.95007999999999992</v>
      </c>
      <c r="AH435" s="1868">
        <v>0.89939999999999998</v>
      </c>
      <c r="AI435" s="1868">
        <v>0.92469000000000001</v>
      </c>
      <c r="AJ435" s="1868">
        <v>0.74893999999999994</v>
      </c>
      <c r="AK435" s="1868">
        <v>0.81262999999999996</v>
      </c>
      <c r="AL435" s="1868">
        <v>0.86012000000000011</v>
      </c>
      <c r="AM435" s="1868">
        <v>0.85402000000000011</v>
      </c>
      <c r="AN435" s="1868">
        <v>0.88087000000000004</v>
      </c>
      <c r="AO435" s="1868">
        <v>0.85362000000000005</v>
      </c>
      <c r="AP435" s="1868">
        <v>0.81276999999999999</v>
      </c>
      <c r="AQ435" s="1868">
        <v>0.71296000000000004</v>
      </c>
      <c r="AR435" s="1868">
        <v>0.69948999999999995</v>
      </c>
      <c r="AS435" s="1868">
        <v>0.80428999999999995</v>
      </c>
      <c r="AT435" s="1868">
        <v>0.80983000000000005</v>
      </c>
      <c r="AU435" s="1868">
        <v>0.85882000000000003</v>
      </c>
      <c r="AV435" s="1868">
        <v>0.87807000000000013</v>
      </c>
      <c r="AW435" s="1868">
        <v>0.89319999999999999</v>
      </c>
      <c r="AX435" s="1868">
        <v>0.87962000000000007</v>
      </c>
      <c r="AY435" s="1868">
        <v>0.87463999999999997</v>
      </c>
      <c r="AZ435" s="1868">
        <v>0.87983999999999996</v>
      </c>
      <c r="BA435" s="1868">
        <v>0.87939999999999996</v>
      </c>
    </row>
    <row r="436" spans="1:53">
      <c r="A436" s="1865" t="str">
        <f t="shared" si="6"/>
        <v>CaribbeanSugar cane</v>
      </c>
      <c r="B436" s="1866" t="s">
        <v>1415</v>
      </c>
      <c r="C436" s="1866" t="s">
        <v>1401</v>
      </c>
      <c r="D436" s="1868">
        <v>49.620080000000002</v>
      </c>
      <c r="E436" s="1868">
        <v>40.88364</v>
      </c>
      <c r="F436" s="1868">
        <v>41.46219</v>
      </c>
      <c r="G436" s="1868">
        <v>46.76061</v>
      </c>
      <c r="H436" s="1868">
        <v>53.408480000000004</v>
      </c>
      <c r="I436" s="1868">
        <v>46.484729999999999</v>
      </c>
      <c r="J436" s="1868">
        <v>52.301290000000002</v>
      </c>
      <c r="K436" s="1868">
        <v>46.852509999999995</v>
      </c>
      <c r="L436" s="1868">
        <v>50.254420000000003</v>
      </c>
      <c r="M436" s="1868">
        <v>56.803640000000001</v>
      </c>
      <c r="N436" s="1868">
        <v>45.178179999999998</v>
      </c>
      <c r="O436" s="1868">
        <v>42.673290000000001</v>
      </c>
      <c r="P436" s="1868">
        <v>46.738259999999997</v>
      </c>
      <c r="Q436" s="1868">
        <v>47.276649999999997</v>
      </c>
      <c r="R436" s="1868">
        <v>46.941949999999999</v>
      </c>
      <c r="S436" s="1868">
        <v>47.57405</v>
      </c>
      <c r="T436" s="1868">
        <v>54.407800000000002</v>
      </c>
      <c r="U436" s="1868">
        <v>56.954180000000008</v>
      </c>
      <c r="V436" s="1868">
        <v>57.731409999999997</v>
      </c>
      <c r="W436" s="1868">
        <v>46.957500000000003</v>
      </c>
      <c r="X436" s="1868">
        <v>53.582700000000003</v>
      </c>
      <c r="Y436" s="1868">
        <v>55.065480000000008</v>
      </c>
      <c r="Z436" s="1868">
        <v>57.09525</v>
      </c>
      <c r="AA436" s="1868">
        <v>56.031659999999995</v>
      </c>
      <c r="AB436" s="1868">
        <v>49.17548</v>
      </c>
      <c r="AC436" s="1868">
        <v>50.818779999999997</v>
      </c>
      <c r="AD436" s="1868">
        <v>51.246490000000001</v>
      </c>
      <c r="AE436" s="1868">
        <v>55.3705</v>
      </c>
      <c r="AF436" s="1868">
        <v>56.072650000000003</v>
      </c>
      <c r="AG436" s="1868">
        <v>53.879369999999994</v>
      </c>
      <c r="AH436" s="1868">
        <v>52.016199999999998</v>
      </c>
      <c r="AI436" s="1868">
        <v>44.420960000000001</v>
      </c>
      <c r="AJ436" s="1868">
        <v>37.013359999999999</v>
      </c>
      <c r="AK436" s="1868">
        <v>35.550290000000004</v>
      </c>
      <c r="AL436" s="1868">
        <v>29.621840000000002</v>
      </c>
      <c r="AM436" s="1868">
        <v>34.274889999999999</v>
      </c>
      <c r="AN436" s="1868">
        <v>33.20514</v>
      </c>
      <c r="AO436" s="1868">
        <v>32.300750000000001</v>
      </c>
      <c r="AP436" s="1868">
        <v>36.461170000000003</v>
      </c>
      <c r="AQ436" s="1868">
        <v>36.830179999999999</v>
      </c>
      <c r="AR436" s="1868">
        <v>34.692500000000003</v>
      </c>
      <c r="AS436" s="1868">
        <v>35.537709999999997</v>
      </c>
      <c r="AT436" s="1868">
        <v>38.759050000000002</v>
      </c>
      <c r="AU436" s="1868">
        <v>40.917819999999999</v>
      </c>
      <c r="AV436" s="1868">
        <v>30.917159999999999</v>
      </c>
      <c r="AW436" s="1868">
        <v>36.467399999999998</v>
      </c>
      <c r="AX436" s="1868">
        <v>43.54007</v>
      </c>
      <c r="AY436" s="1868">
        <v>45.895240000000001</v>
      </c>
      <c r="AZ436" s="1868">
        <v>40.536120000000004</v>
      </c>
      <c r="BA436" s="1868">
        <v>34.778259999999996</v>
      </c>
    </row>
    <row r="437" spans="1:53">
      <c r="A437" s="1865" t="str">
        <f t="shared" si="6"/>
        <v>CaribbeanSweet potatoes</v>
      </c>
      <c r="B437" s="1866" t="s">
        <v>1415</v>
      </c>
      <c r="C437" s="1866" t="s">
        <v>1403</v>
      </c>
      <c r="D437" s="1868">
        <v>5.2341199999999999</v>
      </c>
      <c r="E437" s="1868">
        <v>5.1475499999999998</v>
      </c>
      <c r="F437" s="1868">
        <v>5.0083299999999999</v>
      </c>
      <c r="G437" s="1868">
        <v>4.9342600000000001</v>
      </c>
      <c r="H437" s="1868">
        <v>4.8832199999999997</v>
      </c>
      <c r="I437" s="1868">
        <v>4.8340800000000002</v>
      </c>
      <c r="J437" s="1868">
        <v>4.7693300000000001</v>
      </c>
      <c r="K437" s="1868">
        <v>4.7584800000000005</v>
      </c>
      <c r="L437" s="1868">
        <v>4.8575599999999994</v>
      </c>
      <c r="M437" s="1868">
        <v>4.7733300000000005</v>
      </c>
      <c r="N437" s="1868">
        <v>4.8830300000000006</v>
      </c>
      <c r="O437" s="1868">
        <v>4.8947199999999995</v>
      </c>
      <c r="P437" s="1868">
        <v>4.7472900000000005</v>
      </c>
      <c r="Q437" s="1868">
        <v>4.8095999999999997</v>
      </c>
      <c r="R437" s="1868">
        <v>4.74892</v>
      </c>
      <c r="S437" s="1868">
        <v>4.7461000000000002</v>
      </c>
      <c r="T437" s="1868">
        <v>4.8114699999999999</v>
      </c>
      <c r="U437" s="1868">
        <v>4.8509699999999993</v>
      </c>
      <c r="V437" s="1868">
        <v>4.4745099999999995</v>
      </c>
      <c r="W437" s="1868">
        <v>4.68466</v>
      </c>
      <c r="X437" s="1868">
        <v>4.6949699999999996</v>
      </c>
      <c r="Y437" s="1868">
        <v>4.41275</v>
      </c>
      <c r="Z437" s="1868">
        <v>4.9367300000000007</v>
      </c>
      <c r="AA437" s="1868">
        <v>5.3106099999999996</v>
      </c>
      <c r="AB437" s="1868">
        <v>4.0989000000000004</v>
      </c>
      <c r="AC437" s="1868">
        <v>4.27034</v>
      </c>
      <c r="AD437" s="1868">
        <v>4.2582500000000003</v>
      </c>
      <c r="AE437" s="1868">
        <v>3.7472699999999999</v>
      </c>
      <c r="AF437" s="1868">
        <v>3.8832300000000002</v>
      </c>
      <c r="AG437" s="1868">
        <v>3.8274499999999998</v>
      </c>
      <c r="AH437" s="1868">
        <v>3.5730800000000005</v>
      </c>
      <c r="AI437" s="1868">
        <v>3.66351</v>
      </c>
      <c r="AJ437" s="1868">
        <v>3.2751799999999998</v>
      </c>
      <c r="AK437" s="1868">
        <v>3.2289099999999999</v>
      </c>
      <c r="AL437" s="1868">
        <v>3.5145</v>
      </c>
      <c r="AM437" s="1868">
        <v>3.5512999999999999</v>
      </c>
      <c r="AN437" s="1868">
        <v>3.4609300000000003</v>
      </c>
      <c r="AO437" s="1868">
        <v>3.6179800000000002</v>
      </c>
      <c r="AP437" s="1868">
        <v>4.3064800000000005</v>
      </c>
      <c r="AQ437" s="1868">
        <v>4.5149400000000002</v>
      </c>
      <c r="AR437" s="1868">
        <v>4.75847</v>
      </c>
      <c r="AS437" s="1868">
        <v>4.8236999999999997</v>
      </c>
      <c r="AT437" s="1868">
        <v>5.2609699999999995</v>
      </c>
      <c r="AU437" s="1868">
        <v>4.9605800000000002</v>
      </c>
      <c r="AV437" s="1868">
        <v>4.7972000000000001</v>
      </c>
      <c r="AW437" s="1868">
        <v>5.8116400000000006</v>
      </c>
      <c r="AX437" s="1868">
        <v>4.8137400000000001</v>
      </c>
      <c r="AY437" s="1868">
        <v>4.6964800000000002</v>
      </c>
      <c r="AZ437" s="1868">
        <v>4.2134999999999998</v>
      </c>
      <c r="BA437" s="1868">
        <v>3.76309</v>
      </c>
    </row>
    <row r="438" spans="1:53">
      <c r="A438" s="1865" t="str">
        <f t="shared" si="6"/>
        <v>CaribbeanTangerines, mandarins, clem.</v>
      </c>
      <c r="B438" s="1866" t="s">
        <v>1415</v>
      </c>
      <c r="C438" s="1866" t="s">
        <v>1404</v>
      </c>
      <c r="D438" s="1868">
        <v>29.449090000000002</v>
      </c>
      <c r="E438" s="1868">
        <v>35.5</v>
      </c>
      <c r="F438" s="1868">
        <v>24.094999999999999</v>
      </c>
      <c r="G438" s="1868">
        <v>23.02553</v>
      </c>
      <c r="H438" s="1868">
        <v>21.35962</v>
      </c>
      <c r="I438" s="1868">
        <v>27.82348</v>
      </c>
      <c r="J438" s="1868">
        <v>20.288329999999998</v>
      </c>
      <c r="K438" s="1868">
        <v>24.911539999999999</v>
      </c>
      <c r="L438" s="1868">
        <v>32.451159999999994</v>
      </c>
      <c r="M438" s="1868">
        <v>23.483079999999998</v>
      </c>
      <c r="N438" s="1868">
        <v>20.763999999999999</v>
      </c>
      <c r="O438" s="1868">
        <v>23.385000000000002</v>
      </c>
      <c r="P438" s="1868">
        <v>20.974710000000002</v>
      </c>
      <c r="Q438" s="1868">
        <v>20.358499999999999</v>
      </c>
      <c r="R438" s="1868">
        <v>19.398</v>
      </c>
      <c r="S438" s="1868">
        <v>24.138950000000001</v>
      </c>
      <c r="T438" s="1868">
        <v>34.228409999999997</v>
      </c>
      <c r="U438" s="1868">
        <v>46.566279999999999</v>
      </c>
      <c r="V438" s="1868">
        <v>83.495000000000005</v>
      </c>
      <c r="W438" s="1868">
        <v>35.247140000000002</v>
      </c>
      <c r="X438" s="1868">
        <v>56.262790000000003</v>
      </c>
      <c r="Y438" s="1868">
        <v>50.35286</v>
      </c>
      <c r="Z438" s="1868">
        <v>53.398930000000007</v>
      </c>
      <c r="AA438" s="1868">
        <v>44.948240000000006</v>
      </c>
      <c r="AB438" s="1868">
        <v>9.9521300000000004</v>
      </c>
      <c r="AC438" s="1868">
        <v>9.2481000000000009</v>
      </c>
      <c r="AD438" s="1868">
        <v>8.8809300000000011</v>
      </c>
      <c r="AE438" s="1868">
        <v>9.3554700000000004</v>
      </c>
      <c r="AF438" s="1868">
        <v>8.6031999999999993</v>
      </c>
      <c r="AG438" s="1868">
        <v>7.4791499999999997</v>
      </c>
      <c r="AH438" s="1868">
        <v>6.1869399999999999</v>
      </c>
      <c r="AI438" s="1868">
        <v>6.9843399999999995</v>
      </c>
      <c r="AJ438" s="1868">
        <v>5.4831300000000001</v>
      </c>
      <c r="AK438" s="1868">
        <v>6.2014199999999997</v>
      </c>
      <c r="AL438" s="1868">
        <v>5.8152499999999998</v>
      </c>
      <c r="AM438" s="1868">
        <v>6.1527799999999999</v>
      </c>
      <c r="AN438" s="1868">
        <v>6.2925900000000006</v>
      </c>
      <c r="AO438" s="1868">
        <v>7.0097199999999997</v>
      </c>
      <c r="AP438" s="1868">
        <v>7.7427999999999999</v>
      </c>
      <c r="AQ438" s="1868">
        <v>9.4321000000000002</v>
      </c>
      <c r="AR438" s="1868">
        <v>10.69013</v>
      </c>
      <c r="AS438" s="1868">
        <v>8.6299499999999991</v>
      </c>
      <c r="AT438" s="1868">
        <v>10.406089999999999</v>
      </c>
      <c r="AU438" s="1868">
        <v>16.481170000000002</v>
      </c>
      <c r="AV438" s="1868">
        <v>8.5447800000000012</v>
      </c>
      <c r="AW438" s="1868">
        <v>7.5465600000000004</v>
      </c>
      <c r="AX438" s="1868">
        <v>8.66371</v>
      </c>
      <c r="AY438" s="1868">
        <v>11.59624</v>
      </c>
      <c r="AZ438" s="1868">
        <v>9.373330000000001</v>
      </c>
      <c r="BA438" s="1868">
        <v>6.8138899999999998</v>
      </c>
    </row>
    <row r="439" spans="1:53">
      <c r="A439" s="1865" t="str">
        <f t="shared" si="6"/>
        <v>CaribbeanTobacco, unmanufactured</v>
      </c>
      <c r="B439" s="1866" t="s">
        <v>1415</v>
      </c>
      <c r="C439" s="1866" t="s">
        <v>1347</v>
      </c>
      <c r="D439" s="1868">
        <v>1.0763400000000001</v>
      </c>
      <c r="E439" s="1868">
        <v>0.80635000000000001</v>
      </c>
      <c r="F439" s="1868">
        <v>0.88903999999999994</v>
      </c>
      <c r="G439" s="1868">
        <v>0.91307999999999989</v>
      </c>
      <c r="H439" s="1868">
        <v>0.82101000000000002</v>
      </c>
      <c r="I439" s="1868">
        <v>0.95337999999999989</v>
      </c>
      <c r="J439" s="1868">
        <v>0.85783999999999994</v>
      </c>
      <c r="K439" s="1868">
        <v>0.84588999999999992</v>
      </c>
      <c r="L439" s="1868">
        <v>0.84433999999999998</v>
      </c>
      <c r="M439" s="1868">
        <v>0.77621000000000007</v>
      </c>
      <c r="N439" s="1868">
        <v>0.73331999999999997</v>
      </c>
      <c r="O439" s="1868">
        <v>0.65068999999999999</v>
      </c>
      <c r="P439" s="1868">
        <v>0.8555799999999999</v>
      </c>
      <c r="Q439" s="1868">
        <v>0.80052999999999996</v>
      </c>
      <c r="R439" s="1868">
        <v>0.84987999999999997</v>
      </c>
      <c r="S439" s="1868">
        <v>1.02443</v>
      </c>
      <c r="T439" s="1868">
        <v>0.85337999999999992</v>
      </c>
      <c r="U439" s="1868">
        <v>1.0034000000000001</v>
      </c>
      <c r="V439" s="1868">
        <v>0.88368999999999998</v>
      </c>
      <c r="W439" s="1868">
        <v>0.56323000000000001</v>
      </c>
      <c r="X439" s="1868">
        <v>0.96683999999999992</v>
      </c>
      <c r="Y439" s="1868">
        <v>0.76331000000000004</v>
      </c>
      <c r="Z439" s="1868">
        <v>0.67327999999999999</v>
      </c>
      <c r="AA439" s="1868">
        <v>0.85391000000000006</v>
      </c>
      <c r="AB439" s="1868">
        <v>0.83712999999999993</v>
      </c>
      <c r="AC439" s="1868">
        <v>0.81747999999999998</v>
      </c>
      <c r="AD439" s="1868">
        <v>0.88022000000000011</v>
      </c>
      <c r="AE439" s="1868">
        <v>0.94157999999999997</v>
      </c>
      <c r="AF439" s="1868">
        <v>0.98063999999999996</v>
      </c>
      <c r="AG439" s="1868">
        <v>0.84019999999999995</v>
      </c>
      <c r="AH439" s="1868">
        <v>0.82909999999999995</v>
      </c>
      <c r="AI439" s="1868">
        <v>0.69461000000000006</v>
      </c>
      <c r="AJ439" s="1868">
        <v>0.68235000000000001</v>
      </c>
      <c r="AK439" s="1868">
        <v>0.69347999999999999</v>
      </c>
      <c r="AL439" s="1868">
        <v>0.79198000000000002</v>
      </c>
      <c r="AM439" s="1868">
        <v>1.01607</v>
      </c>
      <c r="AN439" s="1868">
        <v>1.0451299999999999</v>
      </c>
      <c r="AO439" s="1868">
        <v>1.0293099999999999</v>
      </c>
      <c r="AP439" s="1868">
        <v>0.82199999999999995</v>
      </c>
      <c r="AQ439" s="1868">
        <v>0.86498999999999993</v>
      </c>
      <c r="AR439" s="1868">
        <v>0.92317000000000005</v>
      </c>
      <c r="AS439" s="1868">
        <v>1.0990599999999999</v>
      </c>
      <c r="AT439" s="1868">
        <v>1.2251700000000001</v>
      </c>
      <c r="AU439" s="1868">
        <v>1.1403700000000001</v>
      </c>
      <c r="AV439" s="1868">
        <v>1.2940399999999999</v>
      </c>
      <c r="AW439" s="1868">
        <v>1.1196700000000002</v>
      </c>
      <c r="AX439" s="1868">
        <v>1.29756</v>
      </c>
      <c r="AY439" s="1868">
        <v>1.00742</v>
      </c>
      <c r="AZ439" s="1868">
        <v>1.0461400000000001</v>
      </c>
      <c r="BA439" s="1868">
        <v>1.0430299999999999</v>
      </c>
    </row>
    <row r="440" spans="1:53">
      <c r="A440" s="1865" t="str">
        <f t="shared" si="6"/>
        <v>CaribbeanTomatoes</v>
      </c>
      <c r="B440" s="1866" t="s">
        <v>1415</v>
      </c>
      <c r="C440" s="1866" t="s">
        <v>1406</v>
      </c>
      <c r="D440" s="1868">
        <v>12.816189999999999</v>
      </c>
      <c r="E440" s="1868">
        <v>12.3857</v>
      </c>
      <c r="F440" s="1868">
        <v>11.4796</v>
      </c>
      <c r="G440" s="1868">
        <v>12.895580000000001</v>
      </c>
      <c r="H440" s="1868">
        <v>13.270029999999998</v>
      </c>
      <c r="I440" s="1868">
        <v>13.205260000000001</v>
      </c>
      <c r="J440" s="1868">
        <v>13.556570000000001</v>
      </c>
      <c r="K440" s="1868">
        <v>12.654530000000001</v>
      </c>
      <c r="L440" s="1868">
        <v>11.760899999999999</v>
      </c>
      <c r="M440" s="1868">
        <v>11.17801</v>
      </c>
      <c r="N440" s="1868">
        <v>10.074619999999999</v>
      </c>
      <c r="O440" s="1868">
        <v>7.18058</v>
      </c>
      <c r="P440" s="1868">
        <v>10.881130000000001</v>
      </c>
      <c r="Q440" s="1868">
        <v>16.95318</v>
      </c>
      <c r="R440" s="1868">
        <v>11.76615</v>
      </c>
      <c r="S440" s="1868">
        <v>11.34501</v>
      </c>
      <c r="T440" s="1868">
        <v>8.87303</v>
      </c>
      <c r="U440" s="1868">
        <v>9.5679100000000012</v>
      </c>
      <c r="V440" s="1868">
        <v>9.1037800000000004</v>
      </c>
      <c r="W440" s="1868">
        <v>10.224629999999999</v>
      </c>
      <c r="X440" s="1868">
        <v>11.91282</v>
      </c>
      <c r="Y440" s="1868">
        <v>10.330810000000001</v>
      </c>
      <c r="Z440" s="1868">
        <v>8.0573700000000006</v>
      </c>
      <c r="AA440" s="1868">
        <v>9.4783100000000005</v>
      </c>
      <c r="AB440" s="1868">
        <v>11.1142</v>
      </c>
      <c r="AC440" s="1868">
        <v>9.990260000000001</v>
      </c>
      <c r="AD440" s="1868">
        <v>12.166589999999999</v>
      </c>
      <c r="AE440" s="1868">
        <v>12.27501</v>
      </c>
      <c r="AF440" s="1868">
        <v>10.48972</v>
      </c>
      <c r="AG440" s="1868">
        <v>8.0236800000000006</v>
      </c>
      <c r="AH440" s="1868">
        <v>7.8053100000000004</v>
      </c>
      <c r="AI440" s="1868">
        <v>8.4581900000000001</v>
      </c>
      <c r="AJ440" s="1868">
        <v>7.19862</v>
      </c>
      <c r="AK440" s="1868">
        <v>7.4586199999999998</v>
      </c>
      <c r="AL440" s="1868">
        <v>9.0253499999999995</v>
      </c>
      <c r="AM440" s="1868">
        <v>10.350530000000001</v>
      </c>
      <c r="AN440" s="1868">
        <v>11.261660000000001</v>
      </c>
      <c r="AO440" s="1868">
        <v>12.828860000000001</v>
      </c>
      <c r="AP440" s="1868">
        <v>14.35224</v>
      </c>
      <c r="AQ440" s="1868">
        <v>15.856489999999999</v>
      </c>
      <c r="AR440" s="1868">
        <v>15.585750000000001</v>
      </c>
      <c r="AS440" s="1868">
        <v>16.168500000000002</v>
      </c>
      <c r="AT440" s="1868">
        <v>17.519189999999998</v>
      </c>
      <c r="AU440" s="1868">
        <v>16.520529999999997</v>
      </c>
      <c r="AV440" s="1868">
        <v>15.728339999999999</v>
      </c>
      <c r="AW440" s="1868">
        <v>14.83356</v>
      </c>
      <c r="AX440" s="1868">
        <v>13.31086</v>
      </c>
      <c r="AY440" s="1868">
        <v>12.19017</v>
      </c>
      <c r="AZ440" s="1868">
        <v>13.16516</v>
      </c>
      <c r="BA440" s="1868">
        <v>13.736549999999999</v>
      </c>
    </row>
    <row r="441" spans="1:53">
      <c r="A441" s="1865" t="str">
        <f t="shared" si="6"/>
        <v>CaribbeanVegetables fresh nes</v>
      </c>
      <c r="B441" s="1866" t="s">
        <v>1415</v>
      </c>
      <c r="C441" s="1866" t="s">
        <v>1407</v>
      </c>
      <c r="D441" s="1868">
        <v>5.9296800000000003</v>
      </c>
      <c r="E441" s="1868">
        <v>5.9575500000000003</v>
      </c>
      <c r="F441" s="1868">
        <v>5.9762699999999995</v>
      </c>
      <c r="G441" s="1868">
        <v>5.8449599999999995</v>
      </c>
      <c r="H441" s="1868">
        <v>6.3901699999999995</v>
      </c>
      <c r="I441" s="1868">
        <v>6.3438600000000003</v>
      </c>
      <c r="J441" s="1868">
        <v>6.2672099999999995</v>
      </c>
      <c r="K441" s="1868">
        <v>6.1838800000000003</v>
      </c>
      <c r="L441" s="1868">
        <v>6.2491300000000001</v>
      </c>
      <c r="M441" s="1868">
        <v>6.1777600000000001</v>
      </c>
      <c r="N441" s="1868">
        <v>6.1746999999999996</v>
      </c>
      <c r="O441" s="1868">
        <v>5.64785</v>
      </c>
      <c r="P441" s="1868">
        <v>5.9394400000000003</v>
      </c>
      <c r="Q441" s="1868">
        <v>6.2256999999999998</v>
      </c>
      <c r="R441" s="1868">
        <v>6.09124</v>
      </c>
      <c r="S441" s="1868">
        <v>6.3011200000000001</v>
      </c>
      <c r="T441" s="1868">
        <v>6.2868399999999998</v>
      </c>
      <c r="U441" s="1868">
        <v>6.46061</v>
      </c>
      <c r="V441" s="1868">
        <v>6.5977100000000002</v>
      </c>
      <c r="W441" s="1868">
        <v>6.6456600000000003</v>
      </c>
      <c r="X441" s="1868">
        <v>6.9740899999999995</v>
      </c>
      <c r="Y441" s="1868">
        <v>6.9403499999999996</v>
      </c>
      <c r="Z441" s="1868">
        <v>6.8762899999999991</v>
      </c>
      <c r="AA441" s="1868">
        <v>6.9943800000000005</v>
      </c>
      <c r="AB441" s="1868">
        <v>6.9889700000000001</v>
      </c>
      <c r="AC441" s="1868">
        <v>7.0134699999999999</v>
      </c>
      <c r="AD441" s="1868">
        <v>6.9284399999999993</v>
      </c>
      <c r="AE441" s="1868">
        <v>6.7664200000000001</v>
      </c>
      <c r="AF441" s="1868">
        <v>6.3940299999999999</v>
      </c>
      <c r="AG441" s="1868">
        <v>6.1499499999999996</v>
      </c>
      <c r="AH441" s="1868">
        <v>6.0892999999999997</v>
      </c>
      <c r="AI441" s="1868">
        <v>4.2734899999999998</v>
      </c>
      <c r="AJ441" s="1868">
        <v>4.7367800000000004</v>
      </c>
      <c r="AK441" s="1868">
        <v>5.0415599999999996</v>
      </c>
      <c r="AL441" s="1868">
        <v>7.043260000000001</v>
      </c>
      <c r="AM441" s="1868">
        <v>6.4256099999999998</v>
      </c>
      <c r="AN441" s="1868">
        <v>7.4767899999999994</v>
      </c>
      <c r="AO441" s="1868">
        <v>7.1367000000000003</v>
      </c>
      <c r="AP441" s="1868">
        <v>11.41179</v>
      </c>
      <c r="AQ441" s="1868">
        <v>13.8293</v>
      </c>
      <c r="AR441" s="1868">
        <v>17.030160000000002</v>
      </c>
      <c r="AS441" s="1868">
        <v>16.788139999999999</v>
      </c>
      <c r="AT441" s="1868">
        <v>18.43009</v>
      </c>
      <c r="AU441" s="1868">
        <v>16.772320000000001</v>
      </c>
      <c r="AV441" s="1868">
        <v>17.13139</v>
      </c>
      <c r="AW441" s="1868">
        <v>13.871720000000002</v>
      </c>
      <c r="AX441" s="1868">
        <v>14.086</v>
      </c>
      <c r="AY441" s="1868">
        <v>10.37969</v>
      </c>
      <c r="AZ441" s="1868">
        <v>8.0882699999999996</v>
      </c>
      <c r="BA441" s="1868">
        <v>8.3417499999999993</v>
      </c>
    </row>
    <row r="442" spans="1:53">
      <c r="A442" s="1865" t="str">
        <f t="shared" si="6"/>
        <v>CaribbeanCereals (Rice Milled Eqv</v>
      </c>
      <c r="B442" s="1866" t="s">
        <v>1415</v>
      </c>
      <c r="C442" s="1866" t="s">
        <v>1410</v>
      </c>
      <c r="D442" s="1868">
        <v>1.02294</v>
      </c>
      <c r="E442" s="1868">
        <v>1.02915</v>
      </c>
      <c r="F442" s="1868">
        <v>1.0753999999999999</v>
      </c>
      <c r="G442" s="1868">
        <v>1.0896700000000001</v>
      </c>
      <c r="H442" s="1868">
        <v>1.0900100000000001</v>
      </c>
      <c r="I442" s="1868">
        <v>1.1184100000000001</v>
      </c>
      <c r="J442" s="1868">
        <v>1.1004</v>
      </c>
      <c r="K442" s="1868">
        <v>1.0725799999999999</v>
      </c>
      <c r="L442" s="1868">
        <v>1.1425799999999999</v>
      </c>
      <c r="M442" s="1868">
        <v>1.16456</v>
      </c>
      <c r="N442" s="1868">
        <v>1.2208600000000001</v>
      </c>
      <c r="O442" s="1868">
        <v>1.19028</v>
      </c>
      <c r="P442" s="1868">
        <v>1.1141000000000001</v>
      </c>
      <c r="Q442" s="1868">
        <v>1.3412500000000001</v>
      </c>
      <c r="R442" s="1868">
        <v>1.31955</v>
      </c>
      <c r="S442" s="1868">
        <v>1.46383</v>
      </c>
      <c r="T442" s="1868">
        <v>1.33083</v>
      </c>
      <c r="U442" s="1868">
        <v>1.25037</v>
      </c>
      <c r="V442" s="1868">
        <v>1.3322799999999999</v>
      </c>
      <c r="W442" s="1868">
        <v>1.42347</v>
      </c>
      <c r="X442" s="1868">
        <v>1.4576499999999999</v>
      </c>
      <c r="Y442" s="1868">
        <v>1.55603</v>
      </c>
      <c r="Z442" s="1868">
        <v>1.5933999999999999</v>
      </c>
      <c r="AA442" s="1868">
        <v>1.5915900000000001</v>
      </c>
      <c r="AB442" s="1868">
        <v>1.5296399999999999</v>
      </c>
      <c r="AC442" s="1868">
        <v>1.4934100000000001</v>
      </c>
      <c r="AD442" s="1868">
        <v>1.45075</v>
      </c>
      <c r="AE442" s="1868">
        <v>1.4215799999999998</v>
      </c>
      <c r="AF442" s="1868">
        <v>1.4701500000000001</v>
      </c>
      <c r="AG442" s="1868">
        <v>1.4937200000000002</v>
      </c>
      <c r="AH442" s="1868">
        <v>1.43024</v>
      </c>
      <c r="AI442" s="1868">
        <v>1.3571600000000001</v>
      </c>
      <c r="AJ442" s="1868">
        <v>1.2159200000000001</v>
      </c>
      <c r="AK442" s="1868">
        <v>1.2288299999999999</v>
      </c>
      <c r="AL442" s="1868">
        <v>1.3465799999999999</v>
      </c>
      <c r="AM442" s="1868">
        <v>1.39571</v>
      </c>
      <c r="AN442" s="1868">
        <v>1.4594</v>
      </c>
      <c r="AO442" s="1868">
        <v>1.33064</v>
      </c>
      <c r="AP442" s="1868">
        <v>1.5674700000000001</v>
      </c>
      <c r="AQ442" s="1868">
        <v>1.5457399999999999</v>
      </c>
      <c r="AR442" s="1868">
        <v>1.67598</v>
      </c>
      <c r="AS442" s="1868">
        <v>1.80542</v>
      </c>
      <c r="AT442" s="1868">
        <v>1.7491700000000001</v>
      </c>
      <c r="AU442" s="1868">
        <v>1.6997400000000003</v>
      </c>
      <c r="AV442" s="1868">
        <v>1.6743599999999998</v>
      </c>
      <c r="AW442" s="1868">
        <v>1.7090599999999998</v>
      </c>
      <c r="AX442" s="1868">
        <v>1.6749599999999998</v>
      </c>
      <c r="AY442" s="1868">
        <v>1.71705</v>
      </c>
      <c r="AZ442" s="1868">
        <v>1.5636000000000001</v>
      </c>
      <c r="BA442" s="1868">
        <v>1.5595399999999999</v>
      </c>
    </row>
    <row r="443" spans="1:53">
      <c r="A443" s="1865" t="str">
        <f t="shared" si="6"/>
        <v>Central AmericaBananas</v>
      </c>
      <c r="B443" s="1866" t="s">
        <v>310</v>
      </c>
      <c r="C443" s="1866" t="s">
        <v>1362</v>
      </c>
      <c r="D443" s="1868">
        <v>17.757189999999998</v>
      </c>
      <c r="E443" s="1868">
        <v>17.764939999999999</v>
      </c>
      <c r="F443" s="1868">
        <v>17.79898</v>
      </c>
      <c r="G443" s="1868">
        <v>17.531370000000003</v>
      </c>
      <c r="H443" s="1868">
        <v>17.98667</v>
      </c>
      <c r="I443" s="1868">
        <v>19.67567</v>
      </c>
      <c r="J443" s="1868">
        <v>20.889659999999999</v>
      </c>
      <c r="K443" s="1868">
        <v>23.149550000000001</v>
      </c>
      <c r="L443" s="1868">
        <v>23.879670000000001</v>
      </c>
      <c r="M443" s="1868">
        <v>23.828620000000001</v>
      </c>
      <c r="N443" s="1868">
        <v>24.416589999999999</v>
      </c>
      <c r="O443" s="1868">
        <v>25.098949999999999</v>
      </c>
      <c r="P443" s="1868">
        <v>27.400279999999999</v>
      </c>
      <c r="Q443" s="1868">
        <v>26.445140000000002</v>
      </c>
      <c r="R443" s="1868">
        <v>23.15551</v>
      </c>
      <c r="S443" s="1868">
        <v>24.271920000000001</v>
      </c>
      <c r="T443" s="1868">
        <v>26.543959999999998</v>
      </c>
      <c r="U443" s="1868">
        <v>28.524290000000001</v>
      </c>
      <c r="V443" s="1868">
        <v>31.11787</v>
      </c>
      <c r="W443" s="1868">
        <v>28.873440000000002</v>
      </c>
      <c r="X443" s="1868">
        <v>27.777059999999999</v>
      </c>
      <c r="Y443" s="1868">
        <v>30.79072</v>
      </c>
      <c r="Z443" s="1868">
        <v>30.696120000000001</v>
      </c>
      <c r="AA443" s="1868">
        <v>33.96416</v>
      </c>
      <c r="AB443" s="1868">
        <v>34.096800000000002</v>
      </c>
      <c r="AC443" s="1868">
        <v>31.818370000000002</v>
      </c>
      <c r="AD443" s="1868">
        <v>34.631409999999995</v>
      </c>
      <c r="AE443" s="1868">
        <v>34.154409999999999</v>
      </c>
      <c r="AF443" s="1868">
        <v>35.798699999999997</v>
      </c>
      <c r="AG443" s="1868">
        <v>36.65652</v>
      </c>
      <c r="AH443" s="1868">
        <v>35.662890000000004</v>
      </c>
      <c r="AI443" s="1868">
        <v>36.706470000000003</v>
      </c>
      <c r="AJ443" s="1868">
        <v>33.076979999999999</v>
      </c>
      <c r="AK443" s="1868">
        <v>33.817360000000001</v>
      </c>
      <c r="AL443" s="1868">
        <v>34.409030000000001</v>
      </c>
      <c r="AM443" s="1868">
        <v>39.080599999999997</v>
      </c>
      <c r="AN443" s="1868">
        <v>35.143900000000002</v>
      </c>
      <c r="AO443" s="1868">
        <v>35.200270000000003</v>
      </c>
      <c r="AP443" s="1868">
        <v>33.304390000000005</v>
      </c>
      <c r="AQ443" s="1868">
        <v>34.441229999999997</v>
      </c>
      <c r="AR443" s="1868">
        <v>35.528869999999998</v>
      </c>
      <c r="AS443" s="1868">
        <v>38.710079999999998</v>
      </c>
      <c r="AT443" s="1868">
        <v>38.921459999999996</v>
      </c>
      <c r="AU443" s="1868">
        <v>39.11524</v>
      </c>
      <c r="AV443" s="1868">
        <v>33.681370000000001</v>
      </c>
      <c r="AW443" s="1868">
        <v>38.510649999999998</v>
      </c>
      <c r="AX443" s="1868">
        <v>34.79063</v>
      </c>
      <c r="AY443" s="1868">
        <v>35.12744</v>
      </c>
      <c r="AZ443" s="1868">
        <v>34.411770000000004</v>
      </c>
      <c r="BA443" s="1868">
        <v>34.579979999999999</v>
      </c>
    </row>
    <row r="444" spans="1:53">
      <c r="A444" s="1865" t="str">
        <f t="shared" si="6"/>
        <v>Central AmericaBarley</v>
      </c>
      <c r="B444" s="1866" t="s">
        <v>310</v>
      </c>
      <c r="C444" s="1866" t="s">
        <v>1363</v>
      </c>
      <c r="D444" s="1868">
        <v>0.74713999999999992</v>
      </c>
      <c r="E444" s="1868">
        <v>0.78459000000000001</v>
      </c>
      <c r="F444" s="1868">
        <v>0.79878000000000005</v>
      </c>
      <c r="G444" s="1868">
        <v>0.80586000000000002</v>
      </c>
      <c r="H444" s="1868">
        <v>0.85414999999999996</v>
      </c>
      <c r="I444" s="1868">
        <v>0.91426000000000007</v>
      </c>
      <c r="J444" s="1868">
        <v>0.85302999999999995</v>
      </c>
      <c r="K444" s="1868">
        <v>1.0036499999999999</v>
      </c>
      <c r="L444" s="1868">
        <v>0.86762000000000006</v>
      </c>
      <c r="M444" s="1868">
        <v>1.0605100000000001</v>
      </c>
      <c r="N444" s="1868">
        <v>1.22227</v>
      </c>
      <c r="O444" s="1868">
        <v>1.42631</v>
      </c>
      <c r="P444" s="1868">
        <v>1.4949299999999999</v>
      </c>
      <c r="Q444" s="1868">
        <v>1.4444900000000001</v>
      </c>
      <c r="R444" s="1868">
        <v>1.53684</v>
      </c>
      <c r="S444" s="1868">
        <v>1.51084</v>
      </c>
      <c r="T444" s="1868">
        <v>1.6812099999999999</v>
      </c>
      <c r="U444" s="1868">
        <v>1.7045299999999999</v>
      </c>
      <c r="V444" s="1868">
        <v>1.4684200000000001</v>
      </c>
      <c r="W444" s="1868">
        <v>1.6592799999999999</v>
      </c>
      <c r="X444" s="1868">
        <v>2.0293700000000001</v>
      </c>
      <c r="Y444" s="1868">
        <v>1.84538</v>
      </c>
      <c r="Z444" s="1868">
        <v>1.83558</v>
      </c>
      <c r="AA444" s="1868">
        <v>2.18526</v>
      </c>
      <c r="AB444" s="1868">
        <v>1.91052</v>
      </c>
      <c r="AC444" s="1868">
        <v>1.9214200000000001</v>
      </c>
      <c r="AD444" s="1868">
        <v>2.1569799999999999</v>
      </c>
      <c r="AE444" s="1868">
        <v>1.4978400000000001</v>
      </c>
      <c r="AF444" s="1868">
        <v>1.64862</v>
      </c>
      <c r="AG444" s="1868">
        <v>1.8684000000000001</v>
      </c>
      <c r="AH444" s="1868">
        <v>2.0388599999999997</v>
      </c>
      <c r="AI444" s="1868">
        <v>1.8935500000000001</v>
      </c>
      <c r="AJ444" s="1868">
        <v>2.3027900000000003</v>
      </c>
      <c r="AK444" s="1868">
        <v>2.6377299999999999</v>
      </c>
      <c r="AL444" s="1868">
        <v>1.9712599999999998</v>
      </c>
      <c r="AM444" s="1868">
        <v>2.0637799999999999</v>
      </c>
      <c r="AN444" s="1868">
        <v>1.9282099999999998</v>
      </c>
      <c r="AO444" s="1868">
        <v>1.53267</v>
      </c>
      <c r="AP444" s="1868">
        <v>1.9910599999999998</v>
      </c>
      <c r="AQ444" s="1868">
        <v>2.4447799999999997</v>
      </c>
      <c r="AR444" s="1868">
        <v>2.444</v>
      </c>
      <c r="AS444" s="1868">
        <v>2.5976699999999999</v>
      </c>
      <c r="AT444" s="1868">
        <v>2.9681500000000001</v>
      </c>
      <c r="AU444" s="1868">
        <v>2.8509599999999997</v>
      </c>
      <c r="AV444" s="1868">
        <v>2.4787499999999998</v>
      </c>
      <c r="AW444" s="1868">
        <v>2.75034</v>
      </c>
      <c r="AX444" s="1868">
        <v>2.2790300000000001</v>
      </c>
      <c r="AY444" s="1868">
        <v>2.5109300000000001</v>
      </c>
      <c r="AZ444" s="1868">
        <v>2.1666500000000002</v>
      </c>
      <c r="BA444" s="1868">
        <v>2.5070600000000001</v>
      </c>
    </row>
    <row r="445" spans="1:53">
      <c r="A445" s="1865" t="str">
        <f t="shared" si="6"/>
        <v>Central AmericaBeans, dry</v>
      </c>
      <c r="B445" s="1866" t="s">
        <v>310</v>
      </c>
      <c r="C445" s="1866" t="s">
        <v>1364</v>
      </c>
      <c r="D445" s="1868">
        <v>0.46628999999999998</v>
      </c>
      <c r="E445" s="1868">
        <v>0.41846000000000005</v>
      </c>
      <c r="F445" s="1868">
        <v>0.42626000000000003</v>
      </c>
      <c r="G445" s="1868">
        <v>0.45191999999999999</v>
      </c>
      <c r="H445" s="1868">
        <v>0.43456000000000006</v>
      </c>
      <c r="I445" s="1868">
        <v>0.47566999999999998</v>
      </c>
      <c r="J445" s="1868">
        <v>0.52721000000000007</v>
      </c>
      <c r="K445" s="1868">
        <v>0.50523999999999991</v>
      </c>
      <c r="L445" s="1868">
        <v>0.53126000000000007</v>
      </c>
      <c r="M445" s="1868">
        <v>0.53751000000000004</v>
      </c>
      <c r="N445" s="1868">
        <v>0.49471000000000004</v>
      </c>
      <c r="O445" s="1868">
        <v>0.52546999999999999</v>
      </c>
      <c r="P445" s="1868">
        <v>0.55263999999999991</v>
      </c>
      <c r="Q445" s="1868">
        <v>0.63129000000000002</v>
      </c>
      <c r="R445" s="1868">
        <v>0.58156000000000008</v>
      </c>
      <c r="S445" s="1868">
        <v>0.57056000000000007</v>
      </c>
      <c r="T445" s="1868">
        <v>0.48975000000000002</v>
      </c>
      <c r="U445" s="1868">
        <v>0.61897999999999997</v>
      </c>
      <c r="V445" s="1868">
        <v>0.61956</v>
      </c>
      <c r="W445" s="1868">
        <v>0.61023000000000005</v>
      </c>
      <c r="X445" s="1868">
        <v>0.67879</v>
      </c>
      <c r="Y445" s="1868">
        <v>0.63854999999999995</v>
      </c>
      <c r="Z445" s="1868">
        <v>0.65991999999999995</v>
      </c>
      <c r="AA445" s="1868">
        <v>0.57861000000000007</v>
      </c>
      <c r="AB445" s="1868">
        <v>0.53636000000000006</v>
      </c>
      <c r="AC445" s="1868">
        <v>0.59963</v>
      </c>
      <c r="AD445" s="1868">
        <v>0.56901999999999997</v>
      </c>
      <c r="AE445" s="1868">
        <v>0.48071000000000003</v>
      </c>
      <c r="AF445" s="1868">
        <v>0.51031000000000004</v>
      </c>
      <c r="AG445" s="1868">
        <v>0.63978000000000002</v>
      </c>
      <c r="AH445" s="1868">
        <v>0.69736999999999993</v>
      </c>
      <c r="AI445" s="1868">
        <v>0.59426000000000001</v>
      </c>
      <c r="AJ445" s="1868">
        <v>0.69316</v>
      </c>
      <c r="AK445" s="1868">
        <v>0.65722999999999998</v>
      </c>
      <c r="AL445" s="1868">
        <v>0.63218999999999992</v>
      </c>
      <c r="AM445" s="1868">
        <v>0.66195999999999999</v>
      </c>
      <c r="AN445" s="1868">
        <v>0.60833999999999999</v>
      </c>
      <c r="AO445" s="1868">
        <v>0.61094999999999999</v>
      </c>
      <c r="AP445" s="1868">
        <v>0.62683999999999995</v>
      </c>
      <c r="AQ445" s="1868">
        <v>0.63371999999999995</v>
      </c>
      <c r="AR445" s="1868">
        <v>0.66093999999999997</v>
      </c>
      <c r="AS445" s="1868">
        <v>0.75336000000000003</v>
      </c>
      <c r="AT445" s="1868">
        <v>0.75292000000000003</v>
      </c>
      <c r="AU445" s="1868">
        <v>0.71160000000000001</v>
      </c>
      <c r="AV445" s="1868">
        <v>0.67881999999999998</v>
      </c>
      <c r="AW445" s="1868">
        <v>0.78432999999999997</v>
      </c>
      <c r="AX445" s="1868">
        <v>0.70865</v>
      </c>
      <c r="AY445" s="1868">
        <v>0.75986000000000009</v>
      </c>
      <c r="AZ445" s="1868">
        <v>0.83733999999999997</v>
      </c>
      <c r="BA445" s="1868">
        <v>0.70243</v>
      </c>
    </row>
    <row r="446" spans="1:53">
      <c r="A446" s="1865" t="str">
        <f t="shared" si="6"/>
        <v>Central AmericaBeans, green</v>
      </c>
      <c r="B446" s="1866" t="s">
        <v>310</v>
      </c>
      <c r="C446" s="1866" t="s">
        <v>1365</v>
      </c>
      <c r="D446" s="1868">
        <v>1.4979100000000001</v>
      </c>
      <c r="E446" s="1868">
        <v>1.5585799999999999</v>
      </c>
      <c r="F446" s="1868">
        <v>1.5309600000000001</v>
      </c>
      <c r="G446" s="1868">
        <v>1.5471200000000001</v>
      </c>
      <c r="H446" s="1868">
        <v>1.5962000000000001</v>
      </c>
      <c r="I446" s="1868">
        <v>1.6363799999999999</v>
      </c>
      <c r="J446" s="1868">
        <v>1.5823100000000001</v>
      </c>
      <c r="K446" s="1868">
        <v>1.6169799999999999</v>
      </c>
      <c r="L446" s="1868">
        <v>1.6982700000000002</v>
      </c>
      <c r="M446" s="1868">
        <v>1.7173499999999999</v>
      </c>
      <c r="N446" s="1868">
        <v>2.3814000000000002</v>
      </c>
      <c r="O446" s="1868">
        <v>2.7276400000000001</v>
      </c>
      <c r="P446" s="1868">
        <v>2.8467599999999997</v>
      </c>
      <c r="Q446" s="1868">
        <v>2.59517</v>
      </c>
      <c r="R446" s="1868">
        <v>2.8489</v>
      </c>
      <c r="S446" s="1868">
        <v>2.9251900000000002</v>
      </c>
      <c r="T446" s="1868">
        <v>2.61246</v>
      </c>
      <c r="U446" s="1868">
        <v>3.2533799999999999</v>
      </c>
      <c r="V446" s="1868">
        <v>5.4689800000000002</v>
      </c>
      <c r="W446" s="1868">
        <v>5.45688</v>
      </c>
      <c r="X446" s="1868">
        <v>4.83399</v>
      </c>
      <c r="Y446" s="1868">
        <v>5.8145899999999999</v>
      </c>
      <c r="Z446" s="1868">
        <v>5.3113199999999994</v>
      </c>
      <c r="AA446" s="1868">
        <v>5.7547199999999998</v>
      </c>
      <c r="AB446" s="1868">
        <v>6.2166499999999996</v>
      </c>
      <c r="AC446" s="1868">
        <v>5.4196200000000001</v>
      </c>
      <c r="AD446" s="1868">
        <v>5.8705800000000004</v>
      </c>
      <c r="AE446" s="1868">
        <v>4.7385699999999993</v>
      </c>
      <c r="AF446" s="1868">
        <v>5.2645900000000001</v>
      </c>
      <c r="AG446" s="1868">
        <v>5.6524400000000004</v>
      </c>
      <c r="AH446" s="1868">
        <v>6.0581899999999997</v>
      </c>
      <c r="AI446" s="1868">
        <v>6.1090499999999999</v>
      </c>
      <c r="AJ446" s="1868">
        <v>7.0977499999999996</v>
      </c>
      <c r="AK446" s="1868">
        <v>5.4937899999999997</v>
      </c>
      <c r="AL446" s="1868">
        <v>5.61252</v>
      </c>
      <c r="AM446" s="1868">
        <v>7.6390199999999995</v>
      </c>
      <c r="AN446" s="1868">
        <v>7.6293800000000003</v>
      </c>
      <c r="AO446" s="1868">
        <v>6.81602</v>
      </c>
      <c r="AP446" s="1868">
        <v>10.36157</v>
      </c>
      <c r="AQ446" s="1868">
        <v>8.6954399999999996</v>
      </c>
      <c r="AR446" s="1868">
        <v>9.3495399999999993</v>
      </c>
      <c r="AS446" s="1868">
        <v>9.4979300000000002</v>
      </c>
      <c r="AT446" s="1868">
        <v>9.7555600000000009</v>
      </c>
      <c r="AU446" s="1868">
        <v>10.1454</v>
      </c>
      <c r="AV446" s="1868">
        <v>9.3749300000000009</v>
      </c>
      <c r="AW446" s="1868">
        <v>10.008649999999999</v>
      </c>
      <c r="AX446" s="1868">
        <v>10.143880000000001</v>
      </c>
      <c r="AY446" s="1868">
        <v>10.07982</v>
      </c>
      <c r="AZ446" s="1868">
        <v>9.6437500000000007</v>
      </c>
      <c r="BA446" s="1868">
        <v>10.539819999999999</v>
      </c>
    </row>
    <row r="447" spans="1:53">
      <c r="A447" s="1865" t="str">
        <f t="shared" si="6"/>
        <v>Central AmericaCarrots and turnips</v>
      </c>
      <c r="B447" s="1866" t="s">
        <v>310</v>
      </c>
      <c r="C447" s="1866" t="s">
        <v>1366</v>
      </c>
      <c r="D447" s="1868">
        <v>36.721309999999995</v>
      </c>
      <c r="E447" s="1868">
        <v>36.492540000000005</v>
      </c>
      <c r="F447" s="1868">
        <v>36.301369999999999</v>
      </c>
      <c r="G447" s="1868">
        <v>36.301369999999999</v>
      </c>
      <c r="H447" s="1868">
        <v>36.369430000000001</v>
      </c>
      <c r="I447" s="1868">
        <v>37.64331</v>
      </c>
      <c r="J447" s="1868">
        <v>35.90643</v>
      </c>
      <c r="K447" s="1868">
        <v>34.56</v>
      </c>
      <c r="L447" s="1868">
        <v>32.91771</v>
      </c>
      <c r="M447" s="1868">
        <v>33.5533</v>
      </c>
      <c r="N447" s="1868">
        <v>34.345240000000004</v>
      </c>
      <c r="O447" s="1868">
        <v>30.701890000000002</v>
      </c>
      <c r="P447" s="1868">
        <v>28.594359999999998</v>
      </c>
      <c r="Q447" s="1868">
        <v>27.680779999999999</v>
      </c>
      <c r="R447" s="1868">
        <v>28.201190000000004</v>
      </c>
      <c r="S447" s="1868">
        <v>29.249040000000001</v>
      </c>
      <c r="T447" s="1868">
        <v>18.63616</v>
      </c>
      <c r="U447" s="1868">
        <v>20.8919</v>
      </c>
      <c r="V447" s="1868">
        <v>23.16844</v>
      </c>
      <c r="W447" s="1868">
        <v>22.302489999999999</v>
      </c>
      <c r="X447" s="1868">
        <v>20.1462</v>
      </c>
      <c r="Y447" s="1868">
        <v>21.424139999999998</v>
      </c>
      <c r="Z447" s="1868">
        <v>22.584529999999997</v>
      </c>
      <c r="AA447" s="1868">
        <v>24.523810000000001</v>
      </c>
      <c r="AB447" s="1868">
        <v>23.55799</v>
      </c>
      <c r="AC447" s="1868">
        <v>22.96218</v>
      </c>
      <c r="AD447" s="1868">
        <v>23.48873</v>
      </c>
      <c r="AE447" s="1868">
        <v>21.930020000000003</v>
      </c>
      <c r="AF447" s="1868">
        <v>23.504349999999999</v>
      </c>
      <c r="AG447" s="1868">
        <v>23.736940000000001</v>
      </c>
      <c r="AH447" s="1868">
        <v>23.872039999999998</v>
      </c>
      <c r="AI447" s="1868">
        <v>24.705960000000001</v>
      </c>
      <c r="AJ447" s="1868">
        <v>26.42793</v>
      </c>
      <c r="AK447" s="1868">
        <v>24.34646</v>
      </c>
      <c r="AL447" s="1868">
        <v>22.837679999999999</v>
      </c>
      <c r="AM447" s="1868">
        <v>22.375039999999998</v>
      </c>
      <c r="AN447" s="1868">
        <v>23.51052</v>
      </c>
      <c r="AO447" s="1868">
        <v>22.390529999999998</v>
      </c>
      <c r="AP447" s="1868">
        <v>22.483139999999999</v>
      </c>
      <c r="AQ447" s="1868">
        <v>22.792120000000001</v>
      </c>
      <c r="AR447" s="1868">
        <v>23.460149999999999</v>
      </c>
      <c r="AS447" s="1868">
        <v>23.901329999999998</v>
      </c>
      <c r="AT447" s="1868">
        <v>24.4803</v>
      </c>
      <c r="AU447" s="1868">
        <v>24.04608</v>
      </c>
      <c r="AV447" s="1868">
        <v>24.404949999999999</v>
      </c>
      <c r="AW447" s="1868">
        <v>22.5517</v>
      </c>
      <c r="AX447" s="1868">
        <v>25.96696</v>
      </c>
      <c r="AY447" s="1868">
        <v>25.317720000000001</v>
      </c>
      <c r="AZ447" s="1868">
        <v>25.515409999999999</v>
      </c>
      <c r="BA447" s="1868">
        <v>24.162279999999999</v>
      </c>
    </row>
    <row r="448" spans="1:53">
      <c r="A448" s="1865" t="str">
        <f t="shared" si="6"/>
        <v>Central AmericaCashew nuts, with shell</v>
      </c>
      <c r="B448" s="1866" t="s">
        <v>310</v>
      </c>
      <c r="C448" s="1866" t="s">
        <v>1367</v>
      </c>
      <c r="D448" s="1868">
        <v>0.85714000000000001</v>
      </c>
      <c r="E448" s="1868">
        <v>0.85714000000000001</v>
      </c>
      <c r="F448" s="1868">
        <v>0.86111000000000004</v>
      </c>
      <c r="G448" s="1868">
        <v>0.86111000000000004</v>
      </c>
      <c r="H448" s="1868">
        <v>0.86487000000000003</v>
      </c>
      <c r="I448" s="1868">
        <v>0.86487000000000003</v>
      </c>
      <c r="J448" s="1868">
        <v>0.86842000000000008</v>
      </c>
      <c r="K448" s="1868">
        <v>0.84614999999999996</v>
      </c>
      <c r="L448" s="1868">
        <v>0.85</v>
      </c>
      <c r="M448" s="1868">
        <v>0.82927000000000006</v>
      </c>
      <c r="N448" s="1868">
        <v>0.8333299999999999</v>
      </c>
      <c r="O448" s="1868">
        <v>0.81394999999999995</v>
      </c>
      <c r="P448" s="1868">
        <v>0.81818000000000002</v>
      </c>
      <c r="Q448" s="1868">
        <v>0.82222000000000006</v>
      </c>
      <c r="R448" s="1868">
        <v>0.83023999999999998</v>
      </c>
      <c r="S448" s="1868">
        <v>0.83023999999999998</v>
      </c>
      <c r="T448" s="1868">
        <v>0.81047999999999998</v>
      </c>
      <c r="U448" s="1868">
        <v>0.78842000000000001</v>
      </c>
      <c r="V448" s="1868">
        <v>0.78856999999999999</v>
      </c>
      <c r="W448" s="1868">
        <v>0.8202799999999999</v>
      </c>
      <c r="X448" s="1868">
        <v>0.8202799999999999</v>
      </c>
      <c r="Y448" s="1868">
        <v>0.78856999999999999</v>
      </c>
      <c r="Z448" s="1868">
        <v>0.91162999999999994</v>
      </c>
      <c r="AA448" s="1868">
        <v>0.78393000000000002</v>
      </c>
      <c r="AB448" s="1868">
        <v>1.0368999999999999</v>
      </c>
      <c r="AC448" s="1868">
        <v>0.89292000000000005</v>
      </c>
      <c r="AD448" s="1868">
        <v>0.83745999999999998</v>
      </c>
      <c r="AE448" s="1868">
        <v>0.76144999999999996</v>
      </c>
      <c r="AF448" s="1868">
        <v>0.64649999999999996</v>
      </c>
      <c r="AG448" s="1868">
        <v>0.96292999999999995</v>
      </c>
      <c r="AH448" s="1868">
        <v>1.01193</v>
      </c>
      <c r="AI448" s="1868">
        <v>0.80874999999999997</v>
      </c>
      <c r="AJ448" s="1868">
        <v>0.77298</v>
      </c>
      <c r="AK448" s="1868">
        <v>1.03607</v>
      </c>
      <c r="AL448" s="1868">
        <v>0.64768999999999999</v>
      </c>
      <c r="AM448" s="1868">
        <v>0.70218999999999998</v>
      </c>
      <c r="AN448" s="1868">
        <v>0.70799999999999996</v>
      </c>
      <c r="AO448" s="1868">
        <v>0.68435000000000001</v>
      </c>
      <c r="AP448" s="1868">
        <v>0.87683999999999995</v>
      </c>
      <c r="AQ448" s="1868">
        <v>0.95207999999999993</v>
      </c>
      <c r="AR448" s="1868">
        <v>0.91912000000000005</v>
      </c>
      <c r="AS448" s="1868">
        <v>1.5660499999999999</v>
      </c>
      <c r="AT448" s="1868">
        <v>1.1989000000000001</v>
      </c>
      <c r="AU448" s="1868">
        <v>1.3268899999999999</v>
      </c>
      <c r="AV448" s="1868">
        <v>1.37513</v>
      </c>
      <c r="AW448" s="1868">
        <v>1.4367399999999999</v>
      </c>
      <c r="AX448" s="1868">
        <v>1.17719</v>
      </c>
      <c r="AY448" s="1868">
        <v>1.3502399999999999</v>
      </c>
      <c r="AZ448" s="1868">
        <v>1.23041</v>
      </c>
      <c r="BA448" s="1868">
        <v>1.23868</v>
      </c>
    </row>
    <row r="449" spans="1:53">
      <c r="A449" s="1865" t="str">
        <f t="shared" si="6"/>
        <v>Central AmericaCassava</v>
      </c>
      <c r="B449" s="1866" t="s">
        <v>310</v>
      </c>
      <c r="C449" s="1866" t="s">
        <v>1368</v>
      </c>
      <c r="D449" s="1868">
        <v>6.7729100000000004</v>
      </c>
      <c r="E449" s="1868">
        <v>6.8250999999999999</v>
      </c>
      <c r="F449" s="1868">
        <v>6.8525</v>
      </c>
      <c r="G449" s="1868">
        <v>6.9476899999999997</v>
      </c>
      <c r="H449" s="1868">
        <v>7.0647800000000007</v>
      </c>
      <c r="I449" s="1868">
        <v>7.1423600000000009</v>
      </c>
      <c r="J449" s="1868">
        <v>7.0839999999999996</v>
      </c>
      <c r="K449" s="1868">
        <v>7.3142600000000009</v>
      </c>
      <c r="L449" s="1868">
        <v>7.1467600000000004</v>
      </c>
      <c r="M449" s="1868">
        <v>7.483039999999999</v>
      </c>
      <c r="N449" s="1868">
        <v>7.6302100000000008</v>
      </c>
      <c r="O449" s="1868">
        <v>7.8399300000000007</v>
      </c>
      <c r="P449" s="1868">
        <v>7.3228600000000004</v>
      </c>
      <c r="Q449" s="1868">
        <v>7.2954100000000004</v>
      </c>
      <c r="R449" s="1868">
        <v>7.3010100000000007</v>
      </c>
      <c r="S449" s="1868">
        <v>7.434639999999999</v>
      </c>
      <c r="T449" s="1868">
        <v>7.0880600000000005</v>
      </c>
      <c r="U449" s="1868">
        <v>6.7495399999999997</v>
      </c>
      <c r="V449" s="1868">
        <v>6.9008799999999999</v>
      </c>
      <c r="W449" s="1868">
        <v>6.2288899999999998</v>
      </c>
      <c r="X449" s="1868">
        <v>6.4587000000000003</v>
      </c>
      <c r="Y449" s="1868">
        <v>7.27867</v>
      </c>
      <c r="Z449" s="1868">
        <v>8.0371500000000005</v>
      </c>
      <c r="AA449" s="1868">
        <v>7.6990899999999991</v>
      </c>
      <c r="AB449" s="1868">
        <v>7.7845100000000009</v>
      </c>
      <c r="AC449" s="1868">
        <v>8.0490399999999998</v>
      </c>
      <c r="AD449" s="1868">
        <v>8.4874299999999998</v>
      </c>
      <c r="AE449" s="1868">
        <v>9.0804299999999998</v>
      </c>
      <c r="AF449" s="1868">
        <v>9.1323899999999991</v>
      </c>
      <c r="AG449" s="1868">
        <v>10.378869999999999</v>
      </c>
      <c r="AH449" s="1868">
        <v>11.91947</v>
      </c>
      <c r="AI449" s="1868">
        <v>11.984</v>
      </c>
      <c r="AJ449" s="1868">
        <v>12.00412</v>
      </c>
      <c r="AK449" s="1868">
        <v>12.445139999999999</v>
      </c>
      <c r="AL449" s="1868">
        <v>12.39608</v>
      </c>
      <c r="AM449" s="1868">
        <v>12.37993</v>
      </c>
      <c r="AN449" s="1868">
        <v>11.466419999999999</v>
      </c>
      <c r="AO449" s="1868">
        <v>12.171099999999999</v>
      </c>
      <c r="AP449" s="1868">
        <v>11.37035</v>
      </c>
      <c r="AQ449" s="1868">
        <v>10.654719999999999</v>
      </c>
      <c r="AR449" s="1868">
        <v>12.68019</v>
      </c>
      <c r="AS449" s="1868">
        <v>12.00647</v>
      </c>
      <c r="AT449" s="1868">
        <v>11.736039999999999</v>
      </c>
      <c r="AU449" s="1868">
        <v>10.645960000000001</v>
      </c>
      <c r="AV449" s="1868">
        <v>10.86875</v>
      </c>
      <c r="AW449" s="1868">
        <v>11.53</v>
      </c>
      <c r="AX449" s="1868">
        <v>8.1455099999999998</v>
      </c>
      <c r="AY449" s="1868">
        <v>9.461269999999999</v>
      </c>
      <c r="AZ449" s="1868">
        <v>9.9009199999999993</v>
      </c>
      <c r="BA449" s="1868">
        <v>10.17559</v>
      </c>
    </row>
    <row r="450" spans="1:53">
      <c r="A450" s="1865" t="str">
        <f t="shared" si="6"/>
        <v>Central AmericaCauliflowers and broccoli</v>
      </c>
      <c r="B450" s="1866" t="s">
        <v>310</v>
      </c>
      <c r="C450" s="1866" t="s">
        <v>1369</v>
      </c>
      <c r="D450" s="1868">
        <v>10</v>
      </c>
      <c r="E450" s="1868">
        <v>10</v>
      </c>
      <c r="F450" s="1868">
        <v>10</v>
      </c>
      <c r="G450" s="1868">
        <v>10</v>
      </c>
      <c r="H450" s="1868">
        <v>10</v>
      </c>
      <c r="I450" s="1868">
        <v>10</v>
      </c>
      <c r="J450" s="1868">
        <v>10</v>
      </c>
      <c r="K450" s="1868">
        <v>10</v>
      </c>
      <c r="L450" s="1868">
        <v>10</v>
      </c>
      <c r="M450" s="1868">
        <v>10</v>
      </c>
      <c r="N450" s="1868">
        <v>10</v>
      </c>
      <c r="O450" s="1868">
        <v>10</v>
      </c>
      <c r="P450" s="1868">
        <v>11.81818</v>
      </c>
      <c r="Q450" s="1868">
        <v>11.428570000000001</v>
      </c>
      <c r="R450" s="1868">
        <v>11.36875</v>
      </c>
      <c r="S450" s="1868">
        <v>10.808400000000001</v>
      </c>
      <c r="T450" s="1868">
        <v>9.6720800000000011</v>
      </c>
      <c r="U450" s="1868">
        <v>12.30171</v>
      </c>
      <c r="V450" s="1868">
        <v>10.49235</v>
      </c>
      <c r="W450" s="1868">
        <v>9.5544899999999995</v>
      </c>
      <c r="X450" s="1868">
        <v>13.133329999999999</v>
      </c>
      <c r="Y450" s="1868">
        <v>14.61931</v>
      </c>
      <c r="Z450" s="1868">
        <v>11.50511</v>
      </c>
      <c r="AA450" s="1868">
        <v>11.897069999999999</v>
      </c>
      <c r="AB450" s="1868">
        <v>11.387880000000001</v>
      </c>
      <c r="AC450" s="1868">
        <v>11.04365</v>
      </c>
      <c r="AD450" s="1868">
        <v>10.43953</v>
      </c>
      <c r="AE450" s="1868">
        <v>12.381589999999999</v>
      </c>
      <c r="AF450" s="1868">
        <v>12.639569999999999</v>
      </c>
      <c r="AG450" s="1868">
        <v>11.75393</v>
      </c>
      <c r="AH450" s="1868">
        <v>11.13363</v>
      </c>
      <c r="AI450" s="1868">
        <v>11.464549999999999</v>
      </c>
      <c r="AJ450" s="1868">
        <v>11.421710000000001</v>
      </c>
      <c r="AK450" s="1868">
        <v>11.358360000000001</v>
      </c>
      <c r="AL450" s="1868">
        <v>11.673910000000001</v>
      </c>
      <c r="AM450" s="1868">
        <v>11.59379</v>
      </c>
      <c r="AN450" s="1868">
        <v>12.296810000000001</v>
      </c>
      <c r="AO450" s="1868">
        <v>12.8604</v>
      </c>
      <c r="AP450" s="1868">
        <v>13.234170000000001</v>
      </c>
      <c r="AQ450" s="1868">
        <v>12.39105</v>
      </c>
      <c r="AR450" s="1868">
        <v>13.23574</v>
      </c>
      <c r="AS450" s="1868">
        <v>13.66854</v>
      </c>
      <c r="AT450" s="1868">
        <v>13.304029999999999</v>
      </c>
      <c r="AU450" s="1868">
        <v>13.546049999999999</v>
      </c>
      <c r="AV450" s="1868">
        <v>14.01862</v>
      </c>
      <c r="AW450" s="1868">
        <v>13.70975</v>
      </c>
      <c r="AX450" s="1868">
        <v>14.049370000000001</v>
      </c>
      <c r="AY450" s="1868">
        <v>14.297739999999999</v>
      </c>
      <c r="AZ450" s="1868">
        <v>14.482420000000001</v>
      </c>
      <c r="BA450" s="1868">
        <v>16.118099999999998</v>
      </c>
    </row>
    <row r="451" spans="1:53">
      <c r="A451" s="1865" t="str">
        <f t="shared" si="6"/>
        <v>Central AmericaCitrus fruit, nes</v>
      </c>
      <c r="B451" s="1866" t="s">
        <v>310</v>
      </c>
      <c r="C451" s="1866" t="s">
        <v>1372</v>
      </c>
      <c r="D451" s="1868">
        <v>6.5</v>
      </c>
      <c r="E451" s="1868">
        <v>6.5468800000000007</v>
      </c>
      <c r="F451" s="1868">
        <v>6.8840600000000007</v>
      </c>
      <c r="G451" s="1868">
        <v>6.8831199999999999</v>
      </c>
      <c r="H451" s="1868">
        <v>7.0972200000000001</v>
      </c>
      <c r="I451" s="1868">
        <v>7.1011199999999999</v>
      </c>
      <c r="J451" s="1868">
        <v>6.5319199999999995</v>
      </c>
      <c r="K451" s="1868">
        <v>7.1383000000000001</v>
      </c>
      <c r="L451" s="1868">
        <v>7.390810000000001</v>
      </c>
      <c r="M451" s="1868">
        <v>7.1511600000000008</v>
      </c>
      <c r="N451" s="1868">
        <v>6.8387100000000007</v>
      </c>
      <c r="O451" s="1868">
        <v>7.2</v>
      </c>
      <c r="P451" s="1868">
        <v>7.1028000000000002</v>
      </c>
      <c r="Q451" s="1868">
        <v>6.0434800000000006</v>
      </c>
      <c r="R451" s="1868">
        <v>6.0245899999999999</v>
      </c>
      <c r="S451" s="1868">
        <v>5.8833299999999999</v>
      </c>
      <c r="T451" s="1868">
        <v>6.0481499999999997</v>
      </c>
      <c r="U451" s="1868">
        <v>6.05</v>
      </c>
      <c r="V451" s="1868">
        <v>6.0517199999999995</v>
      </c>
      <c r="W451" s="1868">
        <v>20.8</v>
      </c>
      <c r="X451" s="1868">
        <v>12</v>
      </c>
      <c r="Y451" s="1868">
        <v>10.1</v>
      </c>
      <c r="Z451" s="1868">
        <v>9.1001799999999999</v>
      </c>
      <c r="AA451" s="1868">
        <v>10.6</v>
      </c>
      <c r="AB451" s="1868">
        <v>9.2799999999999994</v>
      </c>
      <c r="AC451" s="1868">
        <v>11.10261</v>
      </c>
      <c r="AD451" s="1868">
        <v>14.946860000000001</v>
      </c>
      <c r="AE451" s="1868">
        <v>17.031359999999999</v>
      </c>
      <c r="AF451" s="1868">
        <v>9.5673100000000009</v>
      </c>
      <c r="AG451" s="1868">
        <v>11.228580000000001</v>
      </c>
      <c r="AH451" s="1868">
        <v>12.148300000000001</v>
      </c>
      <c r="AI451" s="1868">
        <v>9.1689299999999996</v>
      </c>
      <c r="AJ451" s="1868">
        <v>5.33805</v>
      </c>
      <c r="AK451" s="1868">
        <v>6.1671800000000001</v>
      </c>
      <c r="AL451" s="1868">
        <v>4.7636900000000004</v>
      </c>
      <c r="AM451" s="1868">
        <v>5.4658600000000002</v>
      </c>
      <c r="AN451" s="1868">
        <v>4.78362</v>
      </c>
      <c r="AO451" s="1868">
        <v>4.5714699999999997</v>
      </c>
      <c r="AP451" s="1868">
        <v>4.7533000000000003</v>
      </c>
      <c r="AQ451" s="1868">
        <v>5.0236199999999993</v>
      </c>
      <c r="AR451" s="1868">
        <v>5.0542199999999999</v>
      </c>
      <c r="AS451" s="1868">
        <v>5.0190000000000001</v>
      </c>
      <c r="AT451" s="1868">
        <v>4.67042</v>
      </c>
      <c r="AU451" s="1868">
        <v>4.6947099999999997</v>
      </c>
      <c r="AV451" s="1868">
        <v>4.6384600000000002</v>
      </c>
      <c r="AW451" s="1868">
        <v>5.0355800000000004</v>
      </c>
      <c r="AX451" s="1868">
        <v>5.0223699999999996</v>
      </c>
      <c r="AY451" s="1868">
        <v>5.2298499999999999</v>
      </c>
      <c r="AZ451" s="1868">
        <v>5.1688599999999996</v>
      </c>
      <c r="BA451" s="1868">
        <v>5.3021799999999999</v>
      </c>
    </row>
    <row r="452" spans="1:53">
      <c r="A452" s="1865" t="str">
        <f t="shared" ref="A452:A515" si="7">CONCATENATE(B452,C452)</f>
        <v>Central AmericaCoffee, green</v>
      </c>
      <c r="B452" s="1866" t="s">
        <v>310</v>
      </c>
      <c r="C452" s="1866" t="s">
        <v>1373</v>
      </c>
      <c r="D452" s="1868">
        <v>0.50280000000000002</v>
      </c>
      <c r="E452" s="1868">
        <v>0.50603999999999993</v>
      </c>
      <c r="F452" s="1868">
        <v>0.50697000000000003</v>
      </c>
      <c r="G452" s="1868">
        <v>0.50749999999999995</v>
      </c>
      <c r="H452" s="1868">
        <v>0.52346000000000004</v>
      </c>
      <c r="I452" s="1868">
        <v>0.53188999999999997</v>
      </c>
      <c r="J452" s="1868">
        <v>0.58216000000000001</v>
      </c>
      <c r="K452" s="1868">
        <v>0.56968999999999992</v>
      </c>
      <c r="L452" s="1868">
        <v>0.62402999999999997</v>
      </c>
      <c r="M452" s="1868">
        <v>0.61382999999999999</v>
      </c>
      <c r="N452" s="1868">
        <v>0.60787000000000002</v>
      </c>
      <c r="O452" s="1868">
        <v>0.61218000000000006</v>
      </c>
      <c r="P452" s="1868">
        <v>0.62817000000000001</v>
      </c>
      <c r="Q452" s="1868">
        <v>0.66493999999999998</v>
      </c>
      <c r="R452" s="1868">
        <v>0.65781999999999996</v>
      </c>
      <c r="S452" s="1868">
        <v>0.64990000000000003</v>
      </c>
      <c r="T452" s="1868">
        <v>0.63017000000000001</v>
      </c>
      <c r="U452" s="1868">
        <v>0.71750999999999998</v>
      </c>
      <c r="V452" s="1868">
        <v>0.69616</v>
      </c>
      <c r="W452" s="1868">
        <v>0.67068000000000005</v>
      </c>
      <c r="X452" s="1868">
        <v>0.70703000000000005</v>
      </c>
      <c r="Y452" s="1868">
        <v>0.67668000000000006</v>
      </c>
      <c r="Z452" s="1868">
        <v>0.67933999999999994</v>
      </c>
      <c r="AA452" s="1868">
        <v>0.70182</v>
      </c>
      <c r="AB452" s="1868">
        <v>0.67876999999999998</v>
      </c>
      <c r="AC452" s="1868">
        <v>0.70603000000000005</v>
      </c>
      <c r="AD452" s="1868">
        <v>0.71545000000000003</v>
      </c>
      <c r="AE452" s="1868">
        <v>0.7208</v>
      </c>
      <c r="AF452" s="1868">
        <v>0.69181999999999999</v>
      </c>
      <c r="AG452" s="1868">
        <v>0.81015000000000004</v>
      </c>
      <c r="AH452" s="1868">
        <v>0.69047999999999998</v>
      </c>
      <c r="AI452" s="1868">
        <v>0.73286000000000007</v>
      </c>
      <c r="AJ452" s="1868">
        <v>0.67835000000000001</v>
      </c>
      <c r="AK452" s="1868">
        <v>0.63996999999999993</v>
      </c>
      <c r="AL452" s="1868">
        <v>0.65810000000000002</v>
      </c>
      <c r="AM452" s="1868">
        <v>0.7036</v>
      </c>
      <c r="AN452" s="1868">
        <v>0.73471999999999993</v>
      </c>
      <c r="AO452" s="1868">
        <v>0.68901000000000001</v>
      </c>
      <c r="AP452" s="1868">
        <v>0.73161999999999994</v>
      </c>
      <c r="AQ452" s="1868">
        <v>0.76553000000000004</v>
      </c>
      <c r="AR452" s="1868">
        <v>0.68218999999999996</v>
      </c>
      <c r="AS452" s="1868">
        <v>0.63678000000000001</v>
      </c>
      <c r="AT452" s="1868">
        <v>0.63578999999999997</v>
      </c>
      <c r="AU452" s="1868">
        <v>0.62375000000000003</v>
      </c>
      <c r="AV452" s="1868">
        <v>0.63438000000000005</v>
      </c>
      <c r="AW452" s="1868">
        <v>0.59765000000000001</v>
      </c>
      <c r="AX452" s="1868">
        <v>0.62748000000000004</v>
      </c>
      <c r="AY452" s="1868">
        <v>0.60897999999999997</v>
      </c>
      <c r="AZ452" s="1868">
        <v>0.57325000000000004</v>
      </c>
      <c r="BA452" s="1868">
        <v>0.61831000000000003</v>
      </c>
    </row>
    <row r="453" spans="1:53">
      <c r="A453" s="1865" t="str">
        <f t="shared" si="7"/>
        <v>Central AmericaDates</v>
      </c>
      <c r="B453" s="1866" t="s">
        <v>310</v>
      </c>
      <c r="C453" s="1866" t="s">
        <v>1374</v>
      </c>
      <c r="D453" s="1868">
        <v>7.5400700000000001</v>
      </c>
      <c r="E453" s="1868">
        <v>7.8288000000000002</v>
      </c>
      <c r="F453" s="1868">
        <v>9.3364799999999999</v>
      </c>
      <c r="G453" s="1868">
        <v>9.2394400000000001</v>
      </c>
      <c r="H453" s="1868">
        <v>9.6427600000000009</v>
      </c>
      <c r="I453" s="1868">
        <v>9.8666699999999992</v>
      </c>
      <c r="J453" s="1868">
        <v>9.6301699999999997</v>
      </c>
      <c r="K453" s="1868">
        <v>9.8533299999999997</v>
      </c>
      <c r="L453" s="1868">
        <v>4.2916699999999999</v>
      </c>
      <c r="M453" s="1868">
        <v>5.9045500000000004</v>
      </c>
      <c r="N453" s="1868">
        <v>6.1482299999999999</v>
      </c>
      <c r="O453" s="1868">
        <v>5.71828</v>
      </c>
      <c r="P453" s="1868">
        <v>5.71828</v>
      </c>
      <c r="Q453" s="1868">
        <v>5.4462800000000007</v>
      </c>
      <c r="R453" s="1868">
        <v>4.6394699999999993</v>
      </c>
      <c r="S453" s="1868">
        <v>1.16235</v>
      </c>
      <c r="T453" s="1868">
        <v>3.5737699999999997</v>
      </c>
      <c r="U453" s="1868">
        <v>2.6347700000000001</v>
      </c>
      <c r="V453" s="1868">
        <v>2.6518099999999998</v>
      </c>
      <c r="W453" s="1868">
        <v>2.60155</v>
      </c>
      <c r="X453" s="1868">
        <v>2.5851099999999998</v>
      </c>
      <c r="Y453" s="1868">
        <v>3.0933700000000002</v>
      </c>
      <c r="Z453" s="1868">
        <v>2.2229000000000001</v>
      </c>
      <c r="AA453" s="1868">
        <v>2.7526000000000002</v>
      </c>
      <c r="AB453" s="1868">
        <v>3.4625900000000001</v>
      </c>
      <c r="AC453" s="1868">
        <v>3.21828</v>
      </c>
      <c r="AD453" s="1868">
        <v>2.7729900000000001</v>
      </c>
      <c r="AE453" s="1868">
        <v>2.1557400000000002</v>
      </c>
      <c r="AF453" s="1868">
        <v>2.2475299999999998</v>
      </c>
      <c r="AG453" s="1868">
        <v>2.04949</v>
      </c>
      <c r="AH453" s="1868">
        <v>2.0154999999999998</v>
      </c>
      <c r="AI453" s="1868">
        <v>2.6810299999999998</v>
      </c>
      <c r="AJ453" s="1868">
        <v>2.7552099999999999</v>
      </c>
      <c r="AK453" s="1868">
        <v>3.0645799999999999</v>
      </c>
      <c r="AL453" s="1868">
        <v>3.2691599999999998</v>
      </c>
      <c r="AM453" s="1868">
        <v>3.27359</v>
      </c>
      <c r="AN453" s="1868">
        <v>2.6803300000000001</v>
      </c>
      <c r="AO453" s="1868">
        <v>3.6595499999999999</v>
      </c>
      <c r="AP453" s="1868">
        <v>4.1798999999999999</v>
      </c>
      <c r="AQ453" s="1868">
        <v>4.4351199999999995</v>
      </c>
      <c r="AR453" s="1868">
        <v>4.6533499999999997</v>
      </c>
      <c r="AS453" s="1868">
        <v>4.1791800000000006</v>
      </c>
      <c r="AT453" s="1868">
        <v>3.7745500000000001</v>
      </c>
      <c r="AU453" s="1868">
        <v>3.5646</v>
      </c>
      <c r="AV453" s="1868">
        <v>4.5925699999999994</v>
      </c>
      <c r="AW453" s="1868">
        <v>4.7808000000000002</v>
      </c>
      <c r="AX453" s="1868">
        <v>4.6778500000000003</v>
      </c>
      <c r="AY453" s="1868">
        <v>5</v>
      </c>
      <c r="AZ453" s="1868">
        <v>5.1087300000000004</v>
      </c>
      <c r="BA453" s="1868">
        <v>6.2688800000000002</v>
      </c>
    </row>
    <row r="454" spans="1:53">
      <c r="A454" s="1865" t="str">
        <f t="shared" si="7"/>
        <v>Central AmericaEggplants (aubergines)</v>
      </c>
      <c r="B454" s="1866" t="s">
        <v>310</v>
      </c>
      <c r="C454" s="1866" t="s">
        <v>1375</v>
      </c>
      <c r="D454" s="1868">
        <v>8.3942600000000009</v>
      </c>
      <c r="E454" s="1868">
        <v>8.3596899999999987</v>
      </c>
      <c r="F454" s="1868">
        <v>8.2873300000000008</v>
      </c>
      <c r="G454" s="1868">
        <v>8.3575999999999997</v>
      </c>
      <c r="H454" s="1868">
        <v>8.359630000000001</v>
      </c>
      <c r="I454" s="1868">
        <v>8.3510299999999997</v>
      </c>
      <c r="J454" s="1868">
        <v>8.4279100000000007</v>
      </c>
      <c r="K454" s="1868">
        <v>8.7288899999999998</v>
      </c>
      <c r="L454" s="1868">
        <v>15.610520000000001</v>
      </c>
      <c r="M454" s="1868">
        <v>16.442309999999999</v>
      </c>
      <c r="N454" s="1868">
        <v>21.273389999999999</v>
      </c>
      <c r="O454" s="1868">
        <v>19.089200000000002</v>
      </c>
      <c r="P454" s="1868">
        <v>18.61619</v>
      </c>
      <c r="Q454" s="1868">
        <v>19.4206</v>
      </c>
      <c r="R454" s="1868">
        <v>19.5</v>
      </c>
      <c r="S454" s="1868">
        <v>15.616</v>
      </c>
      <c r="T454" s="1868">
        <v>16.093329999999998</v>
      </c>
      <c r="U454" s="1868">
        <v>21.420960000000001</v>
      </c>
      <c r="V454" s="1868">
        <v>24.85033</v>
      </c>
      <c r="W454" s="1868">
        <v>40.920720000000003</v>
      </c>
      <c r="X454" s="1868">
        <v>39.867559999999997</v>
      </c>
      <c r="Y454" s="1868">
        <v>21.690770000000001</v>
      </c>
      <c r="Z454" s="1868">
        <v>25.743320000000001</v>
      </c>
      <c r="AA454" s="1868">
        <v>24.240579999999998</v>
      </c>
      <c r="AB454" s="1868">
        <v>25.524750000000001</v>
      </c>
      <c r="AC454" s="1868">
        <v>28.985509999999998</v>
      </c>
      <c r="AD454" s="1868">
        <v>34.833090000000006</v>
      </c>
      <c r="AE454" s="1868">
        <v>26.871400000000001</v>
      </c>
      <c r="AF454" s="1868">
        <v>23.332460000000001</v>
      </c>
      <c r="AG454" s="1868">
        <v>37.53754</v>
      </c>
      <c r="AH454" s="1868">
        <v>34.403669999999998</v>
      </c>
      <c r="AI454" s="1868">
        <v>28.124490000000002</v>
      </c>
      <c r="AJ454" s="1868">
        <v>27.389359999999996</v>
      </c>
      <c r="AK454" s="1868">
        <v>38.461539999999999</v>
      </c>
      <c r="AL454" s="1868">
        <v>43.164369999999998</v>
      </c>
      <c r="AM454" s="1868">
        <v>35.00226</v>
      </c>
      <c r="AN454" s="1868">
        <v>27.516779999999997</v>
      </c>
      <c r="AO454" s="1868">
        <v>27.045459999999999</v>
      </c>
      <c r="AP454" s="1868">
        <v>21.986969999999999</v>
      </c>
      <c r="AQ454" s="1868">
        <v>26.394850000000002</v>
      </c>
      <c r="AR454" s="1868">
        <v>26.884290000000004</v>
      </c>
      <c r="AS454" s="1868">
        <v>23.71171</v>
      </c>
      <c r="AT454" s="1868">
        <v>24.326750000000001</v>
      </c>
      <c r="AU454" s="1868">
        <v>23.584910000000001</v>
      </c>
      <c r="AV454" s="1868">
        <v>26.30913</v>
      </c>
      <c r="AW454" s="1868">
        <v>27.666520000000002</v>
      </c>
      <c r="AX454" s="1868">
        <v>43.833539999999999</v>
      </c>
      <c r="AY454" s="1868">
        <v>42.621229999999997</v>
      </c>
      <c r="AZ454" s="1868">
        <v>39.09207</v>
      </c>
      <c r="BA454" s="1868">
        <v>51.563009999999998</v>
      </c>
    </row>
    <row r="455" spans="1:53">
      <c r="A455" s="1865" t="str">
        <f t="shared" si="7"/>
        <v>Central AmericaGrapefruit (inc. pomelos)</v>
      </c>
      <c r="B455" s="1866" t="s">
        <v>310</v>
      </c>
      <c r="C455" s="1866" t="s">
        <v>1377</v>
      </c>
      <c r="D455" s="1868">
        <v>15.565220000000002</v>
      </c>
      <c r="E455" s="1868">
        <v>10.92924</v>
      </c>
      <c r="F455" s="1868">
        <v>9.5551499999999994</v>
      </c>
      <c r="G455" s="1868">
        <v>11.414680000000001</v>
      </c>
      <c r="H455" s="1868">
        <v>10.302669999999999</v>
      </c>
      <c r="I455" s="1868">
        <v>10.103249999999999</v>
      </c>
      <c r="J455" s="1868">
        <v>10.180710000000001</v>
      </c>
      <c r="K455" s="1868">
        <v>10.126380000000001</v>
      </c>
      <c r="L455" s="1868">
        <v>14.889870000000002</v>
      </c>
      <c r="M455" s="1868">
        <v>12.04907</v>
      </c>
      <c r="N455" s="1868">
        <v>12.58587</v>
      </c>
      <c r="O455" s="1868">
        <v>12.342280000000001</v>
      </c>
      <c r="P455" s="1868">
        <v>11.69678</v>
      </c>
      <c r="Q455" s="1868">
        <v>13.688039999999999</v>
      </c>
      <c r="R455" s="1868">
        <v>16.104579999999999</v>
      </c>
      <c r="S455" s="1868">
        <v>17.566960000000002</v>
      </c>
      <c r="T455" s="1868">
        <v>13.988320000000002</v>
      </c>
      <c r="U455" s="1868">
        <v>20.214579999999998</v>
      </c>
      <c r="V455" s="1868">
        <v>17.999839999999999</v>
      </c>
      <c r="W455" s="1868">
        <v>15.587639999999999</v>
      </c>
      <c r="X455" s="1868">
        <v>15.192349999999999</v>
      </c>
      <c r="Y455" s="1868">
        <v>16.862210000000001</v>
      </c>
      <c r="Z455" s="1868">
        <v>16.105079999999997</v>
      </c>
      <c r="AA455" s="1868">
        <v>18.535260000000001</v>
      </c>
      <c r="AB455" s="1868">
        <v>15.255879999999999</v>
      </c>
      <c r="AC455" s="1868">
        <v>18.2913</v>
      </c>
      <c r="AD455" s="1868">
        <v>16.238250000000001</v>
      </c>
      <c r="AE455" s="1868">
        <v>16.194289999999999</v>
      </c>
      <c r="AF455" s="1868">
        <v>13.920720000000001</v>
      </c>
      <c r="AG455" s="1868">
        <v>14.907999999999999</v>
      </c>
      <c r="AH455" s="1868">
        <v>11.625019999999999</v>
      </c>
      <c r="AI455" s="1868">
        <v>11.75943</v>
      </c>
      <c r="AJ455" s="1868">
        <v>11.869069999999999</v>
      </c>
      <c r="AK455" s="1868">
        <v>12.803410000000001</v>
      </c>
      <c r="AL455" s="1868">
        <v>13.23034</v>
      </c>
      <c r="AM455" s="1868">
        <v>17.921610000000001</v>
      </c>
      <c r="AN455" s="1868">
        <v>17.923460000000002</v>
      </c>
      <c r="AO455" s="1868">
        <v>14.756729999999999</v>
      </c>
      <c r="AP455" s="1868">
        <v>15.29524</v>
      </c>
      <c r="AQ455" s="1868">
        <v>16.80339</v>
      </c>
      <c r="AR455" s="1868">
        <v>19.6586</v>
      </c>
      <c r="AS455" s="1868">
        <v>18.92286</v>
      </c>
      <c r="AT455" s="1868">
        <v>21.170629999999999</v>
      </c>
      <c r="AU455" s="1868">
        <v>22.850829999999998</v>
      </c>
      <c r="AV455" s="1868">
        <v>21.420920000000002</v>
      </c>
      <c r="AW455" s="1868">
        <v>23.295030000000001</v>
      </c>
      <c r="AX455" s="1868">
        <v>18.449070000000003</v>
      </c>
      <c r="AY455" s="1868">
        <v>22.046770000000002</v>
      </c>
      <c r="AZ455" s="1868">
        <v>21.268090000000001</v>
      </c>
      <c r="BA455" s="1868">
        <v>19.95421</v>
      </c>
    </row>
    <row r="456" spans="1:53">
      <c r="A456" s="1865" t="str">
        <f t="shared" si="7"/>
        <v>Central AmericaGrapes</v>
      </c>
      <c r="B456" s="1866" t="s">
        <v>310</v>
      </c>
      <c r="C456" s="1866" t="s">
        <v>1378</v>
      </c>
      <c r="D456" s="1868">
        <v>5.9674199999999997</v>
      </c>
      <c r="E456" s="1868">
        <v>5.9294199999999995</v>
      </c>
      <c r="F456" s="1868">
        <v>6.2138200000000001</v>
      </c>
      <c r="G456" s="1868">
        <v>6.4778900000000004</v>
      </c>
      <c r="H456" s="1868">
        <v>7.0977699999999997</v>
      </c>
      <c r="I456" s="1868">
        <v>7.2557300000000007</v>
      </c>
      <c r="J456" s="1868">
        <v>6.8964600000000003</v>
      </c>
      <c r="K456" s="1868">
        <v>7.3717300000000003</v>
      </c>
      <c r="L456" s="1868">
        <v>6.8427100000000003</v>
      </c>
      <c r="M456" s="1868">
        <v>8.9896399999999996</v>
      </c>
      <c r="N456" s="1868">
        <v>8.4228300000000011</v>
      </c>
      <c r="O456" s="1868">
        <v>8.8067700000000002</v>
      </c>
      <c r="P456" s="1868">
        <v>9.0240100000000005</v>
      </c>
      <c r="Q456" s="1868">
        <v>9.1454199999999997</v>
      </c>
      <c r="R456" s="1868">
        <v>9.9287600000000005</v>
      </c>
      <c r="S456" s="1868">
        <v>9.6036300000000008</v>
      </c>
      <c r="T456" s="1868">
        <v>9.2825299999999995</v>
      </c>
      <c r="U456" s="1868">
        <v>10.436500000000001</v>
      </c>
      <c r="V456" s="1868">
        <v>10.442680000000001</v>
      </c>
      <c r="W456" s="1868">
        <v>9.43154</v>
      </c>
      <c r="X456" s="1868">
        <v>10.88463</v>
      </c>
      <c r="Y456" s="1868">
        <v>10.544989999999999</v>
      </c>
      <c r="Z456" s="1868">
        <v>10.51712</v>
      </c>
      <c r="AA456" s="1868">
        <v>8.3988899999999997</v>
      </c>
      <c r="AB456" s="1868">
        <v>9.4574699999999989</v>
      </c>
      <c r="AC456" s="1868">
        <v>9.0139999999999993</v>
      </c>
      <c r="AD456" s="1868">
        <v>9.2980800000000006</v>
      </c>
      <c r="AE456" s="1868">
        <v>10.434010000000001</v>
      </c>
      <c r="AF456" s="1868">
        <v>9.8895100000000014</v>
      </c>
      <c r="AG456" s="1868">
        <v>9.0305999999999997</v>
      </c>
      <c r="AH456" s="1868">
        <v>11.409889999999999</v>
      </c>
      <c r="AI456" s="1868">
        <v>12.0883</v>
      </c>
      <c r="AJ456" s="1868">
        <v>10.77942</v>
      </c>
      <c r="AK456" s="1868">
        <v>12.57429</v>
      </c>
      <c r="AL456" s="1868">
        <v>10.9346</v>
      </c>
      <c r="AM456" s="1868">
        <v>9.6722399999999986</v>
      </c>
      <c r="AN456" s="1868">
        <v>11.782030000000001</v>
      </c>
      <c r="AO456" s="1868">
        <v>11.99245</v>
      </c>
      <c r="AP456" s="1868">
        <v>11.80217</v>
      </c>
      <c r="AQ456" s="1868">
        <v>9.3874899999999997</v>
      </c>
      <c r="AR456" s="1868">
        <v>11.434330000000001</v>
      </c>
      <c r="AS456" s="1868">
        <v>10.782260000000001</v>
      </c>
      <c r="AT456" s="1868">
        <v>11.26465</v>
      </c>
      <c r="AU456" s="1868">
        <v>8.9840300000000006</v>
      </c>
      <c r="AV456" s="1868">
        <v>11.63245</v>
      </c>
      <c r="AW456" s="1868">
        <v>8.0367800000000003</v>
      </c>
      <c r="AX456" s="1868">
        <v>11.67732</v>
      </c>
      <c r="AY456" s="1868">
        <v>11.34403</v>
      </c>
      <c r="AZ456" s="1868">
        <v>10.271289999999999</v>
      </c>
      <c r="BA456" s="1868">
        <v>10.973789999999999</v>
      </c>
    </row>
    <row r="457" spans="1:53">
      <c r="A457" s="1865" t="str">
        <f t="shared" si="7"/>
        <v>Central AmericaGroundnuts, with shell</v>
      </c>
      <c r="B457" s="1866" t="s">
        <v>310</v>
      </c>
      <c r="C457" s="1866" t="s">
        <v>1379</v>
      </c>
      <c r="D457" s="1868">
        <v>1.2512700000000001</v>
      </c>
      <c r="E457" s="1868">
        <v>1.2604299999999999</v>
      </c>
      <c r="F457" s="1868">
        <v>1.2405700000000002</v>
      </c>
      <c r="G457" s="1868">
        <v>1.2634399999999999</v>
      </c>
      <c r="H457" s="1868">
        <v>1.3310899999999999</v>
      </c>
      <c r="I457" s="1868">
        <v>1.4364299999999999</v>
      </c>
      <c r="J457" s="1868">
        <v>1.24309</v>
      </c>
      <c r="K457" s="1868">
        <v>1.2854000000000001</v>
      </c>
      <c r="L457" s="1868">
        <v>1.3634999999999999</v>
      </c>
      <c r="M457" s="1868">
        <v>1.3925799999999999</v>
      </c>
      <c r="N457" s="1868">
        <v>1.3536900000000001</v>
      </c>
      <c r="O457" s="1868">
        <v>1.4537200000000001</v>
      </c>
      <c r="P457" s="1868">
        <v>1.4382299999999999</v>
      </c>
      <c r="Q457" s="1868">
        <v>1.35036</v>
      </c>
      <c r="R457" s="1868">
        <v>1.1558600000000001</v>
      </c>
      <c r="S457" s="1868">
        <v>1.3289200000000001</v>
      </c>
      <c r="T457" s="1868">
        <v>1.38174</v>
      </c>
      <c r="U457" s="1868">
        <v>1.5063799999999998</v>
      </c>
      <c r="V457" s="1868">
        <v>1.08155</v>
      </c>
      <c r="W457" s="1868">
        <v>1.2837499999999999</v>
      </c>
      <c r="X457" s="1868">
        <v>1.2511399999999999</v>
      </c>
      <c r="Y457" s="1868">
        <v>1.36432</v>
      </c>
      <c r="Z457" s="1868">
        <v>2.0075799999999999</v>
      </c>
      <c r="AA457" s="1868">
        <v>1.1840899999999999</v>
      </c>
      <c r="AB457" s="1868">
        <v>1.1448799999999999</v>
      </c>
      <c r="AC457" s="1868">
        <v>1.1512500000000001</v>
      </c>
      <c r="AD457" s="1868">
        <v>1.0477299999999998</v>
      </c>
      <c r="AE457" s="1868">
        <v>1.2222999999999999</v>
      </c>
      <c r="AF457" s="1868">
        <v>1.2881</v>
      </c>
      <c r="AG457" s="1868">
        <v>1.30908</v>
      </c>
      <c r="AH457" s="1868">
        <v>1.3334999999999999</v>
      </c>
      <c r="AI457" s="1868">
        <v>1.34114</v>
      </c>
      <c r="AJ457" s="1868">
        <v>1.41256</v>
      </c>
      <c r="AK457" s="1868">
        <v>1.6849099999999999</v>
      </c>
      <c r="AL457" s="1868">
        <v>1.46285</v>
      </c>
      <c r="AM457" s="1868">
        <v>1.5870299999999999</v>
      </c>
      <c r="AN457" s="1868">
        <v>1.58924</v>
      </c>
      <c r="AO457" s="1868">
        <v>1.6069200000000001</v>
      </c>
      <c r="AP457" s="1868">
        <v>1.99891</v>
      </c>
      <c r="AQ457" s="1868">
        <v>2.0758400000000004</v>
      </c>
      <c r="AR457" s="1868">
        <v>2.15924</v>
      </c>
      <c r="AS457" s="1868">
        <v>2.0339</v>
      </c>
      <c r="AT457" s="1868">
        <v>3.0253400000000004</v>
      </c>
      <c r="AU457" s="1868">
        <v>2.6530200000000002</v>
      </c>
      <c r="AV457" s="1868">
        <v>3.0743499999999999</v>
      </c>
      <c r="AW457" s="1868">
        <v>2.9576899999999999</v>
      </c>
      <c r="AX457" s="1868">
        <v>2.9125400000000004</v>
      </c>
      <c r="AY457" s="1868">
        <v>3.0210699999999999</v>
      </c>
      <c r="AZ457" s="1868">
        <v>2.9538099999999998</v>
      </c>
      <c r="BA457" s="1868">
        <v>3.0158200000000002</v>
      </c>
    </row>
    <row r="458" spans="1:53">
      <c r="A458" s="1865" t="str">
        <f t="shared" si="7"/>
        <v>Central AmericaLeguminous vegetables, nes</v>
      </c>
      <c r="B458" s="1866" t="s">
        <v>310</v>
      </c>
      <c r="C458" s="1866" t="s">
        <v>1380</v>
      </c>
      <c r="D458" s="1868">
        <v>5.5</v>
      </c>
      <c r="E458" s="1868">
        <v>5.4705900000000005</v>
      </c>
      <c r="F458" s="1868">
        <v>5.5</v>
      </c>
      <c r="G458" s="1868">
        <v>5.5</v>
      </c>
      <c r="H458" s="1868">
        <v>5.67</v>
      </c>
      <c r="I458" s="1868">
        <v>5.1260900000000005</v>
      </c>
      <c r="J458" s="1868">
        <v>5.1090900000000001</v>
      </c>
      <c r="K458" s="1868">
        <v>5.11111</v>
      </c>
      <c r="L458" s="1868">
        <v>5.0999999999999996</v>
      </c>
      <c r="M458" s="1868">
        <v>5.2439999999999998</v>
      </c>
      <c r="N458" s="1868">
        <v>5.52</v>
      </c>
      <c r="O458" s="1868">
        <v>5.4897999999999998</v>
      </c>
      <c r="P458" s="1868">
        <v>5.5</v>
      </c>
      <c r="Q458" s="1868">
        <v>5.4893599999999996</v>
      </c>
      <c r="R458" s="1868">
        <v>5.4888900000000005</v>
      </c>
      <c r="S458" s="1868">
        <v>5.5116300000000003</v>
      </c>
      <c r="T458" s="1868">
        <v>5.4878099999999996</v>
      </c>
      <c r="U458" s="1868">
        <v>5.5</v>
      </c>
      <c r="V458" s="1868">
        <v>5.5128199999999996</v>
      </c>
      <c r="W458" s="1868">
        <v>5.4054099999999998</v>
      </c>
      <c r="X458" s="1868">
        <v>2.9721500000000001</v>
      </c>
      <c r="Y458" s="1868">
        <v>5.5555599999999998</v>
      </c>
      <c r="Z458" s="1868">
        <v>5.625</v>
      </c>
      <c r="AA458" s="1868">
        <v>5.3333300000000001</v>
      </c>
      <c r="AB458" s="1868">
        <v>5.3571400000000002</v>
      </c>
      <c r="AC458" s="1868">
        <v>5.9857699999999996</v>
      </c>
      <c r="AD458" s="1868">
        <v>4.2632599999999998</v>
      </c>
      <c r="AE458" s="1868">
        <v>5.33786</v>
      </c>
      <c r="AF458" s="1868">
        <v>4.9874300000000007</v>
      </c>
      <c r="AG458" s="1868">
        <v>5.2304399999999998</v>
      </c>
      <c r="AH458" s="1868">
        <v>4.2502199999999997</v>
      </c>
      <c r="AI458" s="1868">
        <v>4.8085199999999997</v>
      </c>
      <c r="AJ458" s="1868">
        <v>2.59911</v>
      </c>
      <c r="AK458" s="1868">
        <v>2.5713900000000001</v>
      </c>
      <c r="AL458" s="1868">
        <v>4.6817699999999993</v>
      </c>
      <c r="AM458" s="1868">
        <v>3.1908300000000001</v>
      </c>
      <c r="AN458" s="1868">
        <v>2.6075200000000001</v>
      </c>
      <c r="AO458" s="1868">
        <v>2.8769999999999998</v>
      </c>
      <c r="AP458" s="1868">
        <v>6.1650800000000006</v>
      </c>
      <c r="AQ458" s="1868">
        <v>6.2590500000000002</v>
      </c>
      <c r="AR458" s="1868">
        <v>5.5173500000000004</v>
      </c>
      <c r="AS458" s="1868">
        <v>6.09734</v>
      </c>
      <c r="AT458" s="1868">
        <v>6.2692199999999998</v>
      </c>
      <c r="AU458" s="1868">
        <v>5.9446099999999999</v>
      </c>
      <c r="AV458" s="1868">
        <v>5.4228399999999999</v>
      </c>
      <c r="AW458" s="1868">
        <v>5.4818499999999997</v>
      </c>
      <c r="AX458" s="1868">
        <v>5.9195000000000002</v>
      </c>
      <c r="AY458" s="1868">
        <v>5.69733</v>
      </c>
      <c r="AZ458" s="1868">
        <v>6.0773199999999994</v>
      </c>
      <c r="BA458" s="1868">
        <v>5.8170999999999999</v>
      </c>
    </row>
    <row r="459" spans="1:53">
      <c r="A459" s="1865" t="str">
        <f t="shared" si="7"/>
        <v>Central AmericaLinseed</v>
      </c>
      <c r="B459" s="1866" t="s">
        <v>310</v>
      </c>
      <c r="C459" s="1866" t="s">
        <v>1381</v>
      </c>
      <c r="D459" s="1868">
        <v>0.74365000000000003</v>
      </c>
      <c r="E459" s="1868">
        <v>0.78661000000000003</v>
      </c>
      <c r="F459" s="1868">
        <v>0.76063000000000003</v>
      </c>
      <c r="G459" s="1868">
        <v>0.79332999999999998</v>
      </c>
      <c r="H459" s="1868">
        <v>0.91792000000000007</v>
      </c>
      <c r="I459" s="1868">
        <v>0.93994999999999995</v>
      </c>
      <c r="J459" s="1868">
        <v>0.92195000000000005</v>
      </c>
      <c r="K459" s="1868">
        <v>0.79771999999999998</v>
      </c>
      <c r="L459" s="1868">
        <v>1.0777600000000001</v>
      </c>
      <c r="M459" s="1868">
        <v>1.4963200000000001</v>
      </c>
      <c r="N459" s="1868">
        <v>1.5048999999999999</v>
      </c>
      <c r="O459" s="1868">
        <v>1.49092</v>
      </c>
      <c r="P459" s="1868">
        <v>1.5319499999999999</v>
      </c>
      <c r="Q459" s="1868">
        <v>1.39673</v>
      </c>
      <c r="R459" s="1868">
        <v>1.7091499999999999</v>
      </c>
      <c r="S459" s="1868">
        <v>1.5845200000000002</v>
      </c>
      <c r="T459" s="1868">
        <v>1.6321399999999999</v>
      </c>
      <c r="U459" s="1868">
        <v>1.6779299999999999</v>
      </c>
      <c r="V459" s="1868">
        <v>0.85261000000000009</v>
      </c>
      <c r="W459" s="1868">
        <v>0.95265</v>
      </c>
      <c r="X459" s="1868">
        <v>0.99302000000000012</v>
      </c>
      <c r="Y459" s="1868">
        <v>0.82701000000000002</v>
      </c>
      <c r="Z459" s="1868">
        <v>1.06105</v>
      </c>
      <c r="AA459" s="1868">
        <v>0.84789999999999999</v>
      </c>
      <c r="AB459" s="1868">
        <v>0.76027</v>
      </c>
      <c r="AC459" s="1868">
        <v>0.68037999999999998</v>
      </c>
      <c r="AD459" s="1868">
        <v>0.35336999999999996</v>
      </c>
      <c r="AE459" s="1868">
        <v>0.42857000000000001</v>
      </c>
      <c r="AF459" s="1868">
        <v>1.8169</v>
      </c>
      <c r="AG459" s="1868">
        <v>2.49057</v>
      </c>
      <c r="AH459" s="1868">
        <v>0.4</v>
      </c>
      <c r="AI459" s="1868">
        <v>0.4</v>
      </c>
      <c r="AJ459" s="1868">
        <v>0.25455</v>
      </c>
      <c r="AK459" s="1868">
        <v>10</v>
      </c>
      <c r="AL459" s="1868">
        <v>6</v>
      </c>
      <c r="AM459" s="1868">
        <v>8</v>
      </c>
      <c r="AN459" s="1868">
        <v>10</v>
      </c>
      <c r="AO459" s="1868">
        <v>8</v>
      </c>
      <c r="AP459" s="1868">
        <v>6.5</v>
      </c>
      <c r="AQ459" s="1868">
        <v>0.625</v>
      </c>
      <c r="AR459" s="1868">
        <v>0.60606000000000004</v>
      </c>
      <c r="AS459" s="1868">
        <v>0.7</v>
      </c>
      <c r="AT459" s="1868">
        <v>0.71111000000000002</v>
      </c>
      <c r="AU459" s="1868">
        <v>0.68966000000000005</v>
      </c>
      <c r="AV459" s="1868">
        <v>0.68571000000000004</v>
      </c>
      <c r="AW459" s="1868">
        <v>0.70588000000000006</v>
      </c>
      <c r="AX459" s="1868">
        <v>0.69903000000000004</v>
      </c>
      <c r="AY459" s="1868">
        <v>0.69862999999999997</v>
      </c>
      <c r="AZ459" s="1868">
        <v>0.64556999999999998</v>
      </c>
      <c r="BA459" s="1868">
        <v>0.68571000000000004</v>
      </c>
    </row>
    <row r="460" spans="1:53">
      <c r="A460" s="1865" t="str">
        <f t="shared" si="7"/>
        <v>Central AmericaMaize</v>
      </c>
      <c r="B460" s="1866" t="s">
        <v>310</v>
      </c>
      <c r="C460" s="1866" t="s">
        <v>1382</v>
      </c>
      <c r="D460" s="1868">
        <v>0.97382000000000002</v>
      </c>
      <c r="E460" s="1868">
        <v>0.98478999999999994</v>
      </c>
      <c r="F460" s="1868">
        <v>0.97996000000000005</v>
      </c>
      <c r="G460" s="1868">
        <v>1.10659</v>
      </c>
      <c r="H460" s="1868">
        <v>1.1316899999999999</v>
      </c>
      <c r="I460" s="1868">
        <v>1.1021000000000001</v>
      </c>
      <c r="J460" s="1868">
        <v>1.1028500000000001</v>
      </c>
      <c r="K460" s="1868">
        <v>1.15998</v>
      </c>
      <c r="L460" s="1868">
        <v>1.16751</v>
      </c>
      <c r="M460" s="1868">
        <v>1.1959</v>
      </c>
      <c r="N460" s="1868">
        <v>1.2596000000000001</v>
      </c>
      <c r="O460" s="1868">
        <v>1.23529</v>
      </c>
      <c r="P460" s="1868">
        <v>1.1749499999999999</v>
      </c>
      <c r="Q460" s="1868">
        <v>1.18523</v>
      </c>
      <c r="R460" s="1868">
        <v>1.2863500000000001</v>
      </c>
      <c r="S460" s="1868">
        <v>1.1847700000000001</v>
      </c>
      <c r="T460" s="1868">
        <v>1.3247899999999999</v>
      </c>
      <c r="U460" s="1868">
        <v>1.48882</v>
      </c>
      <c r="V460" s="1868">
        <v>1.5080899999999999</v>
      </c>
      <c r="W460" s="1868">
        <v>1.74285</v>
      </c>
      <c r="X460" s="1868">
        <v>1.7574400000000001</v>
      </c>
      <c r="Y460" s="1868">
        <v>1.7275900000000002</v>
      </c>
      <c r="Z460" s="1868">
        <v>1.7478900000000002</v>
      </c>
      <c r="AA460" s="1868">
        <v>1.7943200000000001</v>
      </c>
      <c r="AB460" s="1868">
        <v>1.8085</v>
      </c>
      <c r="AC460" s="1868">
        <v>1.7940400000000001</v>
      </c>
      <c r="AD460" s="1868">
        <v>1.68442</v>
      </c>
      <c r="AE460" s="1868">
        <v>1.6453099999999998</v>
      </c>
      <c r="AF460" s="1868">
        <v>1.7129700000000001</v>
      </c>
      <c r="AG460" s="1868">
        <v>1.95418</v>
      </c>
      <c r="AH460" s="1868">
        <v>1.9558599999999999</v>
      </c>
      <c r="AI460" s="1868">
        <v>2.2186599999999999</v>
      </c>
      <c r="AJ460" s="1868">
        <v>2.2948900000000001</v>
      </c>
      <c r="AK460" s="1868">
        <v>2.1240799999999997</v>
      </c>
      <c r="AL460" s="1868">
        <v>2.1993499999999999</v>
      </c>
      <c r="AM460" s="1868">
        <v>2.1509299999999998</v>
      </c>
      <c r="AN460" s="1868">
        <v>2.2312400000000001</v>
      </c>
      <c r="AO460" s="1868">
        <v>2.1922599999999997</v>
      </c>
      <c r="AP460" s="1868">
        <v>2.32395</v>
      </c>
      <c r="AQ460" s="1868">
        <v>2.3140400000000003</v>
      </c>
      <c r="AR460" s="1868">
        <v>2.42109</v>
      </c>
      <c r="AS460" s="1868">
        <v>2.5153699999999999</v>
      </c>
      <c r="AT460" s="1868">
        <v>2.5666099999999998</v>
      </c>
      <c r="AU460" s="1868">
        <v>2.6151299999999997</v>
      </c>
      <c r="AV460" s="1868">
        <v>2.6438099999999998</v>
      </c>
      <c r="AW460" s="1868">
        <v>2.7499700000000002</v>
      </c>
      <c r="AX460" s="1868">
        <v>3.0077199999999999</v>
      </c>
      <c r="AY460" s="1868">
        <v>3.0909900000000001</v>
      </c>
      <c r="AZ460" s="1868">
        <v>2.9527999999999999</v>
      </c>
      <c r="BA460" s="1868">
        <v>2.9753500000000002</v>
      </c>
    </row>
    <row r="461" spans="1:53">
      <c r="A461" s="1865" t="str">
        <f t="shared" si="7"/>
        <v>Central AmericaMaize, green</v>
      </c>
      <c r="B461" s="1866" t="s">
        <v>310</v>
      </c>
      <c r="C461" s="1866" t="s">
        <v>1383</v>
      </c>
      <c r="W461" s="1868">
        <v>9.6209799999999994</v>
      </c>
      <c r="X461" s="1868">
        <v>9.0901399999999999</v>
      </c>
      <c r="Y461" s="1868">
        <v>10.42693</v>
      </c>
      <c r="Z461" s="1868">
        <v>10.701779999999999</v>
      </c>
      <c r="AA461" s="1868">
        <v>10.74892</v>
      </c>
      <c r="AB461" s="1868">
        <v>10.65161</v>
      </c>
      <c r="AC461" s="1868">
        <v>10.979150000000001</v>
      </c>
      <c r="AD461" s="1868">
        <v>9.0078600000000009</v>
      </c>
      <c r="AE461" s="1868">
        <v>9.2918399999999988</v>
      </c>
      <c r="AF461" s="1868">
        <v>10.367360000000001</v>
      </c>
      <c r="AG461" s="1868">
        <v>9.1928699999999992</v>
      </c>
      <c r="AH461" s="1868">
        <v>9.5838199999999993</v>
      </c>
      <c r="AI461" s="1868">
        <v>9.9184900000000003</v>
      </c>
      <c r="AJ461" s="1868">
        <v>9.6053499999999996</v>
      </c>
      <c r="AK461" s="1868">
        <v>9.3232499999999998</v>
      </c>
      <c r="AL461" s="1868">
        <v>9.7337299999999995</v>
      </c>
      <c r="AM461" s="1868">
        <v>10.710129999999999</v>
      </c>
      <c r="AN461" s="1868">
        <v>9.6429100000000005</v>
      </c>
      <c r="AO461" s="1868">
        <v>9.9672199999999993</v>
      </c>
      <c r="AP461" s="1868">
        <v>10.49203</v>
      </c>
      <c r="AQ461" s="1868">
        <v>11.18078</v>
      </c>
      <c r="AR461" s="1868">
        <v>12.539669999999999</v>
      </c>
      <c r="AS461" s="1868">
        <v>11.698960000000001</v>
      </c>
      <c r="AT461" s="1868">
        <v>11.645389999999999</v>
      </c>
      <c r="AU461" s="1868">
        <v>9.773810000000001</v>
      </c>
      <c r="AV461" s="1868">
        <v>8.9723800000000011</v>
      </c>
      <c r="AW461" s="1868">
        <v>9.48841</v>
      </c>
      <c r="AX461" s="1868">
        <v>11.00792</v>
      </c>
      <c r="AY461" s="1868">
        <v>10.81291</v>
      </c>
      <c r="AZ461" s="1868">
        <v>10.760869999999999</v>
      </c>
      <c r="BA461" s="1868">
        <v>11.484730000000001</v>
      </c>
    </row>
    <row r="462" spans="1:53">
      <c r="A462" s="1865" t="str">
        <f t="shared" si="7"/>
        <v>Central AmericaMangoes, mangosteens, guavas</v>
      </c>
      <c r="B462" s="1866" t="s">
        <v>310</v>
      </c>
      <c r="C462" s="1866" t="s">
        <v>1384</v>
      </c>
      <c r="D462" s="1868">
        <v>25.65767</v>
      </c>
      <c r="E462" s="1868">
        <v>27.482540000000004</v>
      </c>
      <c r="F462" s="1868">
        <v>28.444890000000001</v>
      </c>
      <c r="G462" s="1868">
        <v>29.108890000000002</v>
      </c>
      <c r="H462" s="1868">
        <v>29.063679999999998</v>
      </c>
      <c r="I462" s="1868">
        <v>28.864279999999997</v>
      </c>
      <c r="J462" s="1868">
        <v>28.822490000000002</v>
      </c>
      <c r="K462" s="1868">
        <v>29.29965</v>
      </c>
      <c r="L462" s="1868">
        <v>26.836120000000001</v>
      </c>
      <c r="M462" s="1868">
        <v>22.11185</v>
      </c>
      <c r="N462" s="1868">
        <v>14.33544</v>
      </c>
      <c r="O462" s="1868">
        <v>13.389479999999999</v>
      </c>
      <c r="P462" s="1868">
        <v>12.262219999999999</v>
      </c>
      <c r="Q462" s="1868">
        <v>13.805779999999999</v>
      </c>
      <c r="R462" s="1868">
        <v>11.122869999999999</v>
      </c>
      <c r="S462" s="1868">
        <v>11.32878</v>
      </c>
      <c r="T462" s="1868">
        <v>10.170110000000001</v>
      </c>
      <c r="U462" s="1868">
        <v>11.726239999999999</v>
      </c>
      <c r="V462" s="1868">
        <v>10.28575</v>
      </c>
      <c r="W462" s="1868">
        <v>10.434389999999999</v>
      </c>
      <c r="X462" s="1868">
        <v>17.509339999999998</v>
      </c>
      <c r="Y462" s="1868">
        <v>10.955680000000001</v>
      </c>
      <c r="Z462" s="1868">
        <v>10.36252</v>
      </c>
      <c r="AA462" s="1868">
        <v>11.301689999999999</v>
      </c>
      <c r="AB462" s="1868">
        <v>10.19007</v>
      </c>
      <c r="AC462" s="1868">
        <v>10.921669999999999</v>
      </c>
      <c r="AD462" s="1868">
        <v>10.47076</v>
      </c>
      <c r="AE462" s="1868">
        <v>10.10866</v>
      </c>
      <c r="AF462" s="1868">
        <v>9.8896999999999995</v>
      </c>
      <c r="AG462" s="1868">
        <v>9.4889700000000001</v>
      </c>
      <c r="AH462" s="1868">
        <v>9.3123199999999997</v>
      </c>
      <c r="AI462" s="1868">
        <v>8.4462899999999994</v>
      </c>
      <c r="AJ462" s="1868">
        <v>9.2698</v>
      </c>
      <c r="AK462" s="1868">
        <v>8.7309999999999999</v>
      </c>
      <c r="AL462" s="1868">
        <v>10.0517</v>
      </c>
      <c r="AM462" s="1868">
        <v>8.9061899999999987</v>
      </c>
      <c r="AN462" s="1868">
        <v>10.14514</v>
      </c>
      <c r="AO462" s="1868">
        <v>9.7557799999999997</v>
      </c>
      <c r="AP462" s="1868">
        <v>9.8806999999999992</v>
      </c>
      <c r="AQ462" s="1868">
        <v>10.336689999999999</v>
      </c>
      <c r="AR462" s="1868">
        <v>9.3686000000000007</v>
      </c>
      <c r="AS462" s="1868">
        <v>9.0341199999999997</v>
      </c>
      <c r="AT462" s="1868">
        <v>7.6327699999999998</v>
      </c>
      <c r="AU462" s="1868">
        <v>9.0697500000000009</v>
      </c>
      <c r="AV462" s="1868">
        <v>8.8130299999999995</v>
      </c>
      <c r="AW462" s="1868">
        <v>9.9743999999999993</v>
      </c>
      <c r="AX462" s="1868">
        <v>9.5481800000000003</v>
      </c>
      <c r="AY462" s="1868">
        <v>9.9090600000000002</v>
      </c>
      <c r="AZ462" s="1868">
        <v>8.5899699999999992</v>
      </c>
      <c r="BA462" s="1868">
        <v>9.06555</v>
      </c>
    </row>
    <row r="463" spans="1:53">
      <c r="A463" s="1865" t="str">
        <f t="shared" si="7"/>
        <v>Central AmericaMillet</v>
      </c>
      <c r="B463" s="1866" t="s">
        <v>310</v>
      </c>
      <c r="C463" s="1866" t="s">
        <v>1385</v>
      </c>
      <c r="AB463" s="1868">
        <v>0.45455000000000001</v>
      </c>
      <c r="AC463" s="1868">
        <v>0.57142999999999999</v>
      </c>
      <c r="AD463" s="1868">
        <v>0.64706000000000008</v>
      </c>
      <c r="AE463" s="1868">
        <v>0.5</v>
      </c>
      <c r="AF463" s="1868">
        <v>0.82608999999999999</v>
      </c>
      <c r="AG463" s="1868">
        <v>0.5</v>
      </c>
      <c r="AH463" s="1868">
        <v>0.9230799999999999</v>
      </c>
      <c r="AI463" s="1868">
        <v>1.1666700000000001</v>
      </c>
      <c r="AJ463" s="1868">
        <v>1</v>
      </c>
      <c r="AK463" s="1868">
        <v>0.75</v>
      </c>
      <c r="AN463" s="1868">
        <v>0.59091000000000005</v>
      </c>
      <c r="AO463" s="1868">
        <v>0.60714000000000001</v>
      </c>
      <c r="AP463" s="1868">
        <v>0.66666999999999998</v>
      </c>
      <c r="AQ463" s="1868">
        <v>0.875</v>
      </c>
      <c r="AR463" s="1868">
        <v>0.89473999999999998</v>
      </c>
      <c r="AS463" s="1868">
        <v>0.89091000000000009</v>
      </c>
      <c r="AT463" s="1868">
        <v>0.94117999999999991</v>
      </c>
      <c r="AU463" s="1868">
        <v>0.9</v>
      </c>
      <c r="AV463" s="1868">
        <v>1</v>
      </c>
      <c r="AW463" s="1868">
        <v>1</v>
      </c>
      <c r="AX463" s="1868">
        <v>1.1465000000000001</v>
      </c>
      <c r="AY463" s="1868">
        <v>0.94699999999999995</v>
      </c>
      <c r="AZ463" s="1868">
        <v>0.94202000000000008</v>
      </c>
      <c r="BA463" s="1868">
        <v>0.94737000000000005</v>
      </c>
    </row>
    <row r="464" spans="1:53">
      <c r="A464" s="1865" t="str">
        <f t="shared" si="7"/>
        <v>Central AmericaOats</v>
      </c>
      <c r="B464" s="1866" t="s">
        <v>310</v>
      </c>
      <c r="C464" s="1866" t="s">
        <v>1349</v>
      </c>
      <c r="D464" s="1868">
        <v>0.80925000000000002</v>
      </c>
      <c r="E464" s="1868">
        <v>0.86442000000000008</v>
      </c>
      <c r="F464" s="1868">
        <v>0.86808999999999992</v>
      </c>
      <c r="G464" s="1868">
        <v>0.875</v>
      </c>
      <c r="H464" s="1868">
        <v>0.878</v>
      </c>
      <c r="I464" s="1868">
        <v>0.80748999999999993</v>
      </c>
      <c r="J464" s="1868">
        <v>0.90313999999999994</v>
      </c>
      <c r="K464" s="1868">
        <v>1.0074299999999998</v>
      </c>
      <c r="L464" s="1868">
        <v>0.76880999999999999</v>
      </c>
      <c r="M464" s="1868">
        <v>0.79383000000000004</v>
      </c>
      <c r="N464" s="1868">
        <v>0.47458999999999996</v>
      </c>
      <c r="O464" s="1868">
        <v>0.64097999999999999</v>
      </c>
      <c r="P464" s="1868">
        <v>0.84762000000000004</v>
      </c>
      <c r="Q464" s="1868">
        <v>0.85242999999999991</v>
      </c>
      <c r="R464" s="1868">
        <v>1.4730000000000001</v>
      </c>
      <c r="S464" s="1868">
        <v>0.72261000000000009</v>
      </c>
      <c r="T464" s="1868">
        <v>0.77076</v>
      </c>
      <c r="U464" s="1868">
        <v>0.93315999999999999</v>
      </c>
      <c r="V464" s="1868">
        <v>0.92751000000000006</v>
      </c>
      <c r="W464" s="1868">
        <v>1.5756600000000001</v>
      </c>
      <c r="X464" s="1868">
        <v>1.1989100000000001</v>
      </c>
      <c r="Y464" s="1868">
        <v>1.06776</v>
      </c>
      <c r="Z464" s="1868">
        <v>1.2803799999999999</v>
      </c>
      <c r="AA464" s="1868">
        <v>1.58931</v>
      </c>
      <c r="AB464" s="1868">
        <v>1.3921700000000001</v>
      </c>
      <c r="AC464" s="1868">
        <v>1.3104899999999999</v>
      </c>
      <c r="AD464" s="1868">
        <v>1.28566</v>
      </c>
      <c r="AE464" s="1868">
        <v>1.4819899999999999</v>
      </c>
      <c r="AF464" s="1868">
        <v>1.39208</v>
      </c>
      <c r="AG464" s="1868">
        <v>1.5740700000000001</v>
      </c>
      <c r="AH464" s="1868">
        <v>1.7269299999999999</v>
      </c>
      <c r="AI464" s="1868">
        <v>1.11879</v>
      </c>
      <c r="AJ464" s="1868">
        <v>1.19031</v>
      </c>
      <c r="AK464" s="1868">
        <v>1.3129500000000001</v>
      </c>
      <c r="AL464" s="1868">
        <v>1.7903500000000001</v>
      </c>
      <c r="AM464" s="1868">
        <v>1.89293</v>
      </c>
      <c r="AN464" s="1868">
        <v>1.5880799999999999</v>
      </c>
      <c r="AO464" s="1868">
        <v>1.3676999999999999</v>
      </c>
      <c r="AP464" s="1868">
        <v>1.48638</v>
      </c>
      <c r="AQ464" s="1868">
        <v>1.4108000000000001</v>
      </c>
      <c r="AR464" s="1868">
        <v>1.2790999999999999</v>
      </c>
      <c r="AS464" s="1868">
        <v>1.50329</v>
      </c>
      <c r="AT464" s="1868">
        <v>2.0251099999999997</v>
      </c>
      <c r="AU464" s="1868">
        <v>1.5375099999999999</v>
      </c>
      <c r="AV464" s="1868">
        <v>1.6610599999999998</v>
      </c>
      <c r="AW464" s="1868">
        <v>2.00074</v>
      </c>
      <c r="AX464" s="1868">
        <v>1.7244099999999998</v>
      </c>
      <c r="AY464" s="1868">
        <v>1.4688099999999999</v>
      </c>
      <c r="AZ464" s="1868">
        <v>1.8121099999999999</v>
      </c>
      <c r="BA464" s="1868">
        <v>1.6646599999999998</v>
      </c>
    </row>
    <row r="465" spans="1:53">
      <c r="A465" s="1865" t="str">
        <f t="shared" si="7"/>
        <v>Central AmericaOil palm fruit</v>
      </c>
      <c r="B465" s="1866" t="s">
        <v>310</v>
      </c>
      <c r="C465" s="1866" t="s">
        <v>1386</v>
      </c>
      <c r="D465" s="1868">
        <v>12.685420000000001</v>
      </c>
      <c r="E465" s="1868">
        <v>12.84919</v>
      </c>
      <c r="F465" s="1868">
        <v>11.954989999999999</v>
      </c>
      <c r="G465" s="1868">
        <v>12.27351</v>
      </c>
      <c r="H465" s="1868">
        <v>12.519399999999999</v>
      </c>
      <c r="I465" s="1868">
        <v>12.529949999999999</v>
      </c>
      <c r="J465" s="1868">
        <v>12.569610000000001</v>
      </c>
      <c r="K465" s="1868">
        <v>12.30463</v>
      </c>
      <c r="L465" s="1868">
        <v>11.21181</v>
      </c>
      <c r="M465" s="1868">
        <v>11.362639999999999</v>
      </c>
      <c r="N465" s="1868">
        <v>12.847110000000001</v>
      </c>
      <c r="O465" s="1868">
        <v>9.9942299999999999</v>
      </c>
      <c r="P465" s="1868">
        <v>10.637919999999999</v>
      </c>
      <c r="Q465" s="1868">
        <v>10.633660000000001</v>
      </c>
      <c r="R465" s="1868">
        <v>11.17055</v>
      </c>
      <c r="S465" s="1868">
        <v>10.976599999999999</v>
      </c>
      <c r="T465" s="1868">
        <v>10.883510000000001</v>
      </c>
      <c r="U465" s="1868">
        <v>9.8108199999999997</v>
      </c>
      <c r="V465" s="1868">
        <v>8.7090499999999995</v>
      </c>
      <c r="W465" s="1868">
        <v>9.0111399999999993</v>
      </c>
      <c r="X465" s="1868">
        <v>9.2356300000000005</v>
      </c>
      <c r="Y465" s="1868">
        <v>11.2271</v>
      </c>
      <c r="Z465" s="1868">
        <v>11.212639999999999</v>
      </c>
      <c r="AA465" s="1868">
        <v>13.400160000000001</v>
      </c>
      <c r="AB465" s="1868">
        <v>13.15122</v>
      </c>
      <c r="AC465" s="1868">
        <v>14.133729999999998</v>
      </c>
      <c r="AD465" s="1868">
        <v>14.245270000000001</v>
      </c>
      <c r="AE465" s="1868">
        <v>14.680099999999999</v>
      </c>
      <c r="AF465" s="1868">
        <v>13.304460000000001</v>
      </c>
      <c r="AG465" s="1868">
        <v>13.64054</v>
      </c>
      <c r="AH465" s="1868">
        <v>13.156020000000002</v>
      </c>
      <c r="AI465" s="1868">
        <v>13.79166</v>
      </c>
      <c r="AJ465" s="1868">
        <v>14.95665</v>
      </c>
      <c r="AK465" s="1868">
        <v>15.35885</v>
      </c>
      <c r="AL465" s="1868">
        <v>15.73115</v>
      </c>
      <c r="AM465" s="1868">
        <v>15.97889</v>
      </c>
      <c r="AN465" s="1868">
        <v>17.065300000000001</v>
      </c>
      <c r="AO465" s="1868">
        <v>17.528679999999998</v>
      </c>
      <c r="AP465" s="1868">
        <v>16.106870000000001</v>
      </c>
      <c r="AQ465" s="1868">
        <v>17.454239999999999</v>
      </c>
      <c r="AR465" s="1868">
        <v>15.70086</v>
      </c>
      <c r="AS465" s="1868">
        <v>15.62013</v>
      </c>
      <c r="AT465" s="1868">
        <v>15.96476</v>
      </c>
      <c r="AU465" s="1868">
        <v>15.26736</v>
      </c>
      <c r="AV465" s="1868">
        <v>15.07929</v>
      </c>
      <c r="AW465" s="1868">
        <v>18.980799999999999</v>
      </c>
      <c r="AX465" s="1868">
        <v>17.765079999999998</v>
      </c>
      <c r="AY465" s="1868">
        <v>17.304279999999999</v>
      </c>
      <c r="AZ465" s="1868">
        <v>17.341650000000001</v>
      </c>
      <c r="BA465" s="1868">
        <v>17.28763</v>
      </c>
    </row>
    <row r="466" spans="1:53">
      <c r="A466" s="1865" t="str">
        <f t="shared" si="7"/>
        <v>Central AmericaOlives</v>
      </c>
      <c r="B466" s="1866" t="s">
        <v>310</v>
      </c>
      <c r="C466" s="1866" t="s">
        <v>1387</v>
      </c>
      <c r="D466" s="1868">
        <v>1.0593900000000001</v>
      </c>
      <c r="E466" s="1868">
        <v>1.1513599999999999</v>
      </c>
      <c r="F466" s="1868">
        <v>1.1517500000000001</v>
      </c>
      <c r="G466" s="1868">
        <v>1.74437</v>
      </c>
      <c r="H466" s="1868">
        <v>1.8322499999999999</v>
      </c>
      <c r="I466" s="1868">
        <v>1.8363400000000001</v>
      </c>
      <c r="J466" s="1868">
        <v>1.80592</v>
      </c>
      <c r="K466" s="1868">
        <v>1.87205</v>
      </c>
      <c r="L466" s="1868">
        <v>1.95425</v>
      </c>
      <c r="M466" s="1868">
        <v>1.8842599999999998</v>
      </c>
      <c r="N466" s="1868">
        <v>1.8968</v>
      </c>
      <c r="O466" s="1868">
        <v>1.9423700000000002</v>
      </c>
      <c r="P466" s="1868">
        <v>1.42821</v>
      </c>
      <c r="Q466" s="1868">
        <v>1.09724</v>
      </c>
      <c r="R466" s="1868">
        <v>1.0661700000000001</v>
      </c>
      <c r="S466" s="1868">
        <v>1.2693000000000001</v>
      </c>
      <c r="T466" s="1868">
        <v>1.6401700000000001</v>
      </c>
      <c r="U466" s="1868">
        <v>3.4867400000000002</v>
      </c>
      <c r="V466" s="1868">
        <v>2.99831</v>
      </c>
      <c r="W466" s="1868">
        <v>2.8589099999999998</v>
      </c>
      <c r="X466" s="1868">
        <v>1.38015</v>
      </c>
      <c r="Y466" s="1868">
        <v>1.8871799999999999</v>
      </c>
      <c r="Z466" s="1868">
        <v>1.5618700000000001</v>
      </c>
      <c r="AA466" s="1868">
        <v>1.56362</v>
      </c>
      <c r="AB466" s="1868">
        <v>2.6640700000000002</v>
      </c>
      <c r="AC466" s="1868">
        <v>1.71583</v>
      </c>
      <c r="AD466" s="1868">
        <v>1.85565</v>
      </c>
      <c r="AE466" s="1868">
        <v>1.4392399999999999</v>
      </c>
      <c r="AF466" s="1868">
        <v>1.39893</v>
      </c>
      <c r="AG466" s="1868">
        <v>1.7020900000000001</v>
      </c>
      <c r="AH466" s="1868">
        <v>1.6927099999999999</v>
      </c>
      <c r="AI466" s="1868">
        <v>2.7468900000000001</v>
      </c>
      <c r="AJ466" s="1868">
        <v>2.0207999999999999</v>
      </c>
      <c r="AK466" s="1868">
        <v>1.6875</v>
      </c>
      <c r="AL466" s="1868">
        <v>2.5580400000000001</v>
      </c>
      <c r="AM466" s="1868">
        <v>1.7417900000000002</v>
      </c>
      <c r="AN466" s="1868">
        <v>2.3910299999999998</v>
      </c>
      <c r="AO466" s="1868">
        <v>3.3043</v>
      </c>
      <c r="AP466" s="1868">
        <v>2.0874900000000003</v>
      </c>
      <c r="AQ466" s="1868">
        <v>2.1956500000000001</v>
      </c>
      <c r="AR466" s="1868">
        <v>3.0891799999999998</v>
      </c>
      <c r="AS466" s="1868">
        <v>2.4971700000000001</v>
      </c>
      <c r="AT466" s="1868">
        <v>2.0405500000000001</v>
      </c>
      <c r="AU466" s="1868">
        <v>2.3915199999999999</v>
      </c>
      <c r="AV466" s="1868">
        <v>2.9797700000000003</v>
      </c>
      <c r="AW466" s="1868">
        <v>2.6250200000000001</v>
      </c>
      <c r="AX466" s="1868">
        <v>3.0693999999999999</v>
      </c>
      <c r="AY466" s="1868">
        <v>2.8809900000000002</v>
      </c>
      <c r="AZ466" s="1868">
        <v>1.8874500000000001</v>
      </c>
      <c r="BA466" s="1868">
        <v>3.9565199999999998</v>
      </c>
    </row>
    <row r="467" spans="1:53">
      <c r="A467" s="1865" t="str">
        <f t="shared" si="7"/>
        <v>Central AmericaOnions, dry</v>
      </c>
      <c r="B467" s="1866" t="s">
        <v>310</v>
      </c>
      <c r="C467" s="1866" t="s">
        <v>1388</v>
      </c>
      <c r="D467" s="1868">
        <v>4.6178699999999999</v>
      </c>
      <c r="E467" s="1868">
        <v>5.6219599999999996</v>
      </c>
      <c r="F467" s="1868">
        <v>6.2648599999999997</v>
      </c>
      <c r="G467" s="1868">
        <v>6.3761099999999997</v>
      </c>
      <c r="H467" s="1868">
        <v>6.3863699999999994</v>
      </c>
      <c r="I467" s="1868">
        <v>6.4596200000000001</v>
      </c>
      <c r="J467" s="1868">
        <v>9.3660399999999999</v>
      </c>
      <c r="K467" s="1868">
        <v>9.2297999999999991</v>
      </c>
      <c r="L467" s="1868">
        <v>8.3761500000000009</v>
      </c>
      <c r="M467" s="1868">
        <v>7.9989800000000004</v>
      </c>
      <c r="N467" s="1868">
        <v>9.8837799999999998</v>
      </c>
      <c r="O467" s="1868">
        <v>10.18549</v>
      </c>
      <c r="P467" s="1868">
        <v>12.1183</v>
      </c>
      <c r="Q467" s="1868">
        <v>12.10432</v>
      </c>
      <c r="R467" s="1868">
        <v>11.067460000000001</v>
      </c>
      <c r="S467" s="1868">
        <v>12.58109</v>
      </c>
      <c r="T467" s="1868">
        <v>13.41128</v>
      </c>
      <c r="U467" s="1868">
        <v>13.387410000000001</v>
      </c>
      <c r="V467" s="1868">
        <v>13.29096</v>
      </c>
      <c r="W467" s="1868">
        <v>13.528020000000001</v>
      </c>
      <c r="X467" s="1868">
        <v>13.41231</v>
      </c>
      <c r="Y467" s="1868">
        <v>15.48466</v>
      </c>
      <c r="Z467" s="1868">
        <v>15.46515</v>
      </c>
      <c r="AA467" s="1868">
        <v>15.63875</v>
      </c>
      <c r="AB467" s="1868">
        <v>15.961160000000001</v>
      </c>
      <c r="AC467" s="1868">
        <v>15.105229999999999</v>
      </c>
      <c r="AD467" s="1868">
        <v>14.332670000000002</v>
      </c>
      <c r="AE467" s="1868">
        <v>14.474639999999999</v>
      </c>
      <c r="AF467" s="1868">
        <v>15.560070000000001</v>
      </c>
      <c r="AG467" s="1868">
        <v>17.08006</v>
      </c>
      <c r="AH467" s="1868">
        <v>19.44069</v>
      </c>
      <c r="AI467" s="1868">
        <v>16.56917</v>
      </c>
      <c r="AJ467" s="1868">
        <v>17.811910000000001</v>
      </c>
      <c r="AK467" s="1868">
        <v>19.35183</v>
      </c>
      <c r="AL467" s="1868">
        <v>18.63165</v>
      </c>
      <c r="AM467" s="1868">
        <v>18.994859999999999</v>
      </c>
      <c r="AN467" s="1868">
        <v>20.266939999999998</v>
      </c>
      <c r="AO467" s="1868">
        <v>21.32996</v>
      </c>
      <c r="AP467" s="1868">
        <v>22.182739999999999</v>
      </c>
      <c r="AQ467" s="1868">
        <v>20.78951</v>
      </c>
      <c r="AR467" s="1868">
        <v>22.428979999999999</v>
      </c>
      <c r="AS467" s="1868">
        <v>23.4693</v>
      </c>
      <c r="AT467" s="1868">
        <v>26.360479999999999</v>
      </c>
      <c r="AU467" s="1868">
        <v>25.628540000000001</v>
      </c>
      <c r="AV467" s="1868">
        <v>24.172139999999999</v>
      </c>
      <c r="AW467" s="1868">
        <v>25.914909999999999</v>
      </c>
      <c r="AX467" s="1868">
        <v>27.418890000000001</v>
      </c>
      <c r="AY467" s="1868">
        <v>27.620629999999998</v>
      </c>
      <c r="AZ467" s="1868">
        <v>27.27027</v>
      </c>
      <c r="BA467" s="1868">
        <v>26.910529999999998</v>
      </c>
    </row>
    <row r="468" spans="1:53">
      <c r="A468" s="1865" t="str">
        <f t="shared" si="7"/>
        <v>Central AmericaOranges</v>
      </c>
      <c r="B468" s="1866" t="s">
        <v>310</v>
      </c>
      <c r="C468" s="1866" t="s">
        <v>1389</v>
      </c>
      <c r="D468" s="1868">
        <v>10.29716</v>
      </c>
      <c r="E468" s="1868">
        <v>10.654580000000001</v>
      </c>
      <c r="F468" s="1868">
        <v>10.4598</v>
      </c>
      <c r="G468" s="1868">
        <v>10.33243</v>
      </c>
      <c r="H468" s="1868">
        <v>14.134270000000001</v>
      </c>
      <c r="I468" s="1868">
        <v>13.377549999999999</v>
      </c>
      <c r="J468" s="1868">
        <v>12.28471</v>
      </c>
      <c r="K468" s="1868">
        <v>11.449019999999999</v>
      </c>
      <c r="L468" s="1868">
        <v>10.845180000000001</v>
      </c>
      <c r="M468" s="1868">
        <v>8.1321200000000005</v>
      </c>
      <c r="N468" s="1868">
        <v>10.149929999999999</v>
      </c>
      <c r="O468" s="1868">
        <v>10.252310000000001</v>
      </c>
      <c r="P468" s="1868">
        <v>10.54555</v>
      </c>
      <c r="Q468" s="1868">
        <v>8.9789300000000001</v>
      </c>
      <c r="R468" s="1868">
        <v>9.6906400000000001</v>
      </c>
      <c r="S468" s="1868">
        <v>10.83868</v>
      </c>
      <c r="T468" s="1868">
        <v>10.91057</v>
      </c>
      <c r="U468" s="1868">
        <v>11.316460000000001</v>
      </c>
      <c r="V468" s="1868">
        <v>11.137089999999999</v>
      </c>
      <c r="W468" s="1868">
        <v>10.485910000000001</v>
      </c>
      <c r="X468" s="1868">
        <v>10.677289999999999</v>
      </c>
      <c r="Y468" s="1868">
        <v>11.8521</v>
      </c>
      <c r="Z468" s="1868">
        <v>11.09957</v>
      </c>
      <c r="AA468" s="1868">
        <v>10.839039999999999</v>
      </c>
      <c r="AB468" s="1868">
        <v>12.727589999999999</v>
      </c>
      <c r="AC468" s="1868">
        <v>13.210520000000001</v>
      </c>
      <c r="AD468" s="1868">
        <v>10.92338</v>
      </c>
      <c r="AE468" s="1868">
        <v>12.23006</v>
      </c>
      <c r="AF468" s="1868">
        <v>12.45487</v>
      </c>
      <c r="AG468" s="1868">
        <v>11.761569999999999</v>
      </c>
      <c r="AH468" s="1868">
        <v>11.86068</v>
      </c>
      <c r="AI468" s="1868">
        <v>10.8874</v>
      </c>
      <c r="AJ468" s="1868">
        <v>11.3332</v>
      </c>
      <c r="AK468" s="1868">
        <v>11.671669999999999</v>
      </c>
      <c r="AL468" s="1868">
        <v>12.21269</v>
      </c>
      <c r="AM468" s="1868">
        <v>11.88083</v>
      </c>
      <c r="AN468" s="1868">
        <v>12.28598</v>
      </c>
      <c r="AO468" s="1868">
        <v>10.547139999999999</v>
      </c>
      <c r="AP468" s="1868">
        <v>10.6912</v>
      </c>
      <c r="AQ468" s="1868">
        <v>11.65049</v>
      </c>
      <c r="AR468" s="1868">
        <v>12.351419999999999</v>
      </c>
      <c r="AS468" s="1868">
        <v>12.39489</v>
      </c>
      <c r="AT468" s="1868">
        <v>11.644830000000001</v>
      </c>
      <c r="AU468" s="1868">
        <v>12.23115</v>
      </c>
      <c r="AV468" s="1868">
        <v>13.05176</v>
      </c>
      <c r="AW468" s="1868">
        <v>13.34854</v>
      </c>
      <c r="AX468" s="1868">
        <v>12.931480000000001</v>
      </c>
      <c r="AY468" s="1868">
        <v>12.69936</v>
      </c>
      <c r="AZ468" s="1868">
        <v>12.609719999999999</v>
      </c>
      <c r="BA468" s="1868">
        <v>12.107860000000001</v>
      </c>
    </row>
    <row r="469" spans="1:53">
      <c r="A469" s="1865" t="str">
        <f t="shared" si="7"/>
        <v>Central AmericaPeaches and nectarines</v>
      </c>
      <c r="B469" s="1866" t="s">
        <v>310</v>
      </c>
      <c r="C469" s="1866" t="s">
        <v>1390</v>
      </c>
      <c r="D469" s="1868">
        <v>13.672360000000001</v>
      </c>
      <c r="E469" s="1868">
        <v>12.57347</v>
      </c>
      <c r="F469" s="1868">
        <v>13.625160000000001</v>
      </c>
      <c r="G469" s="1868">
        <v>13.6</v>
      </c>
      <c r="H469" s="1868">
        <v>13.726579999999998</v>
      </c>
      <c r="I469" s="1868">
        <v>13.643270000000001</v>
      </c>
      <c r="J469" s="1868">
        <v>13.566700000000001</v>
      </c>
      <c r="K469" s="1868">
        <v>13.62185</v>
      </c>
      <c r="L469" s="1868">
        <v>11.9574</v>
      </c>
      <c r="M469" s="1868">
        <v>11.54621</v>
      </c>
      <c r="N469" s="1868">
        <v>8.7787600000000001</v>
      </c>
      <c r="O469" s="1868">
        <v>8.2851800000000004</v>
      </c>
      <c r="P469" s="1868">
        <v>7.8341000000000003</v>
      </c>
      <c r="Q469" s="1868">
        <v>8.7457799999999999</v>
      </c>
      <c r="R469" s="1868">
        <v>9.4040100000000013</v>
      </c>
      <c r="S469" s="1868">
        <v>7.5395500000000002</v>
      </c>
      <c r="T469" s="1868">
        <v>7.6167600000000002</v>
      </c>
      <c r="U469" s="1868">
        <v>7.3544800000000006</v>
      </c>
      <c r="V469" s="1868">
        <v>6.8842100000000004</v>
      </c>
      <c r="W469" s="1868">
        <v>7.8907699999999998</v>
      </c>
      <c r="X469" s="1868">
        <v>7.4675500000000001</v>
      </c>
      <c r="Y469" s="1868">
        <v>6.4104800000000006</v>
      </c>
      <c r="Z469" s="1868">
        <v>5.3226000000000004</v>
      </c>
      <c r="AA469" s="1868">
        <v>6.1372200000000001</v>
      </c>
      <c r="AB469" s="1868">
        <v>6.0265900000000006</v>
      </c>
      <c r="AC469" s="1868">
        <v>5.33622</v>
      </c>
      <c r="AD469" s="1868">
        <v>4.3619900000000005</v>
      </c>
      <c r="AE469" s="1868">
        <v>5.101</v>
      </c>
      <c r="AF469" s="1868">
        <v>4.5093899999999998</v>
      </c>
      <c r="AG469" s="1868">
        <v>4.6021300000000007</v>
      </c>
      <c r="AH469" s="1868">
        <v>3.4630699999999996</v>
      </c>
      <c r="AI469" s="1868">
        <v>3.3314800000000004</v>
      </c>
      <c r="AJ469" s="1868">
        <v>4.1556300000000004</v>
      </c>
      <c r="AK469" s="1868">
        <v>4.4144600000000001</v>
      </c>
      <c r="AL469" s="1868">
        <v>3.5986199999999999</v>
      </c>
      <c r="AM469" s="1868">
        <v>4.3666400000000003</v>
      </c>
      <c r="AN469" s="1868">
        <v>4.1524800000000006</v>
      </c>
      <c r="AO469" s="1868">
        <v>3.6317199999999996</v>
      </c>
      <c r="AP469" s="1868">
        <v>4.08995</v>
      </c>
      <c r="AQ469" s="1868">
        <v>4.2410500000000004</v>
      </c>
      <c r="AR469" s="1868">
        <v>4.9090300000000004</v>
      </c>
      <c r="AS469" s="1868">
        <v>5.5219300000000002</v>
      </c>
      <c r="AT469" s="1868">
        <v>5.2568699999999993</v>
      </c>
      <c r="AU469" s="1868">
        <v>6.1123199999999995</v>
      </c>
      <c r="AV469" s="1868">
        <v>5.9950599999999996</v>
      </c>
      <c r="AW469" s="1868">
        <v>5.6865199999999998</v>
      </c>
      <c r="AX469" s="1868">
        <v>5.0983300000000007</v>
      </c>
      <c r="AY469" s="1868">
        <v>5.5666599999999997</v>
      </c>
      <c r="AZ469" s="1868">
        <v>5.0388299999999999</v>
      </c>
      <c r="BA469" s="1868">
        <v>5.9691099999999997</v>
      </c>
    </row>
    <row r="470" spans="1:53">
      <c r="A470" s="1865" t="str">
        <f t="shared" si="7"/>
        <v>Central AmericaPeas, dry</v>
      </c>
      <c r="B470" s="1866" t="s">
        <v>310</v>
      </c>
      <c r="C470" s="1866" t="s">
        <v>1391</v>
      </c>
      <c r="D470" s="1868">
        <v>0.70368999999999993</v>
      </c>
      <c r="E470" s="1868">
        <v>0.70894999999999997</v>
      </c>
      <c r="F470" s="1868">
        <v>0.70415000000000005</v>
      </c>
      <c r="G470" s="1868">
        <v>0.71503000000000005</v>
      </c>
      <c r="H470" s="1868">
        <v>0.72031000000000001</v>
      </c>
      <c r="I470" s="1868">
        <v>0.72446999999999995</v>
      </c>
      <c r="J470" s="1868">
        <v>0.62056</v>
      </c>
      <c r="K470" s="1868">
        <v>0.65338999999999992</v>
      </c>
      <c r="L470" s="1868">
        <v>0.59740000000000004</v>
      </c>
      <c r="M470" s="1868">
        <v>0.67608999999999997</v>
      </c>
      <c r="N470" s="1868">
        <v>0.53944999999999999</v>
      </c>
      <c r="O470" s="1868">
        <v>0.56340000000000001</v>
      </c>
      <c r="P470" s="1868">
        <v>0.63061</v>
      </c>
      <c r="Q470" s="1868">
        <v>0.6</v>
      </c>
      <c r="R470" s="1868">
        <v>0.63990000000000002</v>
      </c>
      <c r="S470" s="1868">
        <v>0.62134999999999996</v>
      </c>
      <c r="T470" s="1868">
        <v>0.51071999999999995</v>
      </c>
      <c r="U470" s="1868">
        <v>0.51256000000000002</v>
      </c>
      <c r="V470" s="1868">
        <v>0.57548999999999995</v>
      </c>
      <c r="W470" s="1868">
        <v>0.52070000000000005</v>
      </c>
      <c r="X470" s="1868">
        <v>0.75797999999999999</v>
      </c>
      <c r="Y470" s="1868">
        <v>0.36359999999999998</v>
      </c>
      <c r="Z470" s="1868">
        <v>0.41021999999999997</v>
      </c>
      <c r="AA470" s="1868">
        <v>0.53647</v>
      </c>
      <c r="AB470" s="1868">
        <v>0.54148999999999992</v>
      </c>
      <c r="AC470" s="1868">
        <v>0.57974999999999999</v>
      </c>
      <c r="AD470" s="1868">
        <v>0.65883999999999998</v>
      </c>
      <c r="AE470" s="1868">
        <v>0.64536000000000004</v>
      </c>
      <c r="AF470" s="1868">
        <v>0.66408</v>
      </c>
      <c r="AG470" s="1868">
        <v>0.85347999999999991</v>
      </c>
      <c r="AH470" s="1868">
        <v>0.68873000000000006</v>
      </c>
      <c r="AI470" s="1868">
        <v>0.80254999999999999</v>
      </c>
      <c r="AJ470" s="1868">
        <v>0.88388999999999995</v>
      </c>
      <c r="AK470" s="1868">
        <v>1.0612700000000002</v>
      </c>
      <c r="AL470" s="1868">
        <v>1.06419</v>
      </c>
      <c r="AM470" s="1868">
        <v>1.1008</v>
      </c>
      <c r="AN470" s="1868">
        <v>1.1855200000000001</v>
      </c>
      <c r="AO470" s="1868">
        <v>1.06426</v>
      </c>
      <c r="AP470" s="1868">
        <v>1.10144</v>
      </c>
      <c r="AQ470" s="1868">
        <v>1.2732399999999999</v>
      </c>
      <c r="AR470" s="1868">
        <v>1.2806600000000001</v>
      </c>
      <c r="AS470" s="1868">
        <v>1.29288</v>
      </c>
      <c r="AT470" s="1868">
        <v>1.8952900000000001</v>
      </c>
      <c r="AU470" s="1868">
        <v>1.5697399999999999</v>
      </c>
      <c r="AV470" s="1868">
        <v>1.1815</v>
      </c>
      <c r="AW470" s="1868">
        <v>1.0867500000000001</v>
      </c>
      <c r="AX470" s="1868">
        <v>1.0893200000000001</v>
      </c>
      <c r="AY470" s="1868">
        <v>1.06104</v>
      </c>
      <c r="AZ470" s="1868">
        <v>1.1032500000000001</v>
      </c>
      <c r="BA470" s="1868">
        <v>1</v>
      </c>
    </row>
    <row r="471" spans="1:53">
      <c r="A471" s="1865" t="str">
        <f t="shared" si="7"/>
        <v>Central AmericaPeas, green</v>
      </c>
      <c r="B471" s="1866" t="s">
        <v>310</v>
      </c>
      <c r="C471" s="1866" t="s">
        <v>1392</v>
      </c>
      <c r="D471" s="1868">
        <v>1.2985200000000001</v>
      </c>
      <c r="E471" s="1868">
        <v>1.4441700000000002</v>
      </c>
      <c r="F471" s="1868">
        <v>1.4450000000000001</v>
      </c>
      <c r="G471" s="1868">
        <v>1.4631299999999998</v>
      </c>
      <c r="H471" s="1868">
        <v>1.2067000000000001</v>
      </c>
      <c r="I471" s="1868">
        <v>1.2213799999999999</v>
      </c>
      <c r="J471" s="1868">
        <v>1.7766500000000001</v>
      </c>
      <c r="K471" s="1868">
        <v>2.08087</v>
      </c>
      <c r="L471" s="1868">
        <v>1.7743099999999998</v>
      </c>
      <c r="M471" s="1868">
        <v>2.2084299999999999</v>
      </c>
      <c r="N471" s="1868">
        <v>2.6224400000000001</v>
      </c>
      <c r="O471" s="1868">
        <v>2.7862400000000003</v>
      </c>
      <c r="P471" s="1868">
        <v>2.9659299999999997</v>
      </c>
      <c r="Q471" s="1868">
        <v>3.1181200000000002</v>
      </c>
      <c r="R471" s="1868">
        <v>3.0435099999999999</v>
      </c>
      <c r="S471" s="1868">
        <v>3.1369199999999999</v>
      </c>
      <c r="T471" s="1868">
        <v>2.9455499999999999</v>
      </c>
      <c r="U471" s="1868">
        <v>3.17821</v>
      </c>
      <c r="V471" s="1868">
        <v>2.63008</v>
      </c>
      <c r="W471" s="1868">
        <v>3.1442799999999997</v>
      </c>
      <c r="X471" s="1868">
        <v>4.0161699999999998</v>
      </c>
      <c r="Y471" s="1868">
        <v>4.1128999999999998</v>
      </c>
      <c r="Z471" s="1868">
        <v>3.4365000000000001</v>
      </c>
      <c r="AA471" s="1868">
        <v>3.7796199999999995</v>
      </c>
      <c r="AB471" s="1868">
        <v>3.403</v>
      </c>
      <c r="AC471" s="1868">
        <v>3.4750400000000004</v>
      </c>
      <c r="AD471" s="1868">
        <v>3.9909599999999998</v>
      </c>
      <c r="AE471" s="1868">
        <v>3.8121499999999999</v>
      </c>
      <c r="AF471" s="1868">
        <v>3.8971499999999999</v>
      </c>
      <c r="AG471" s="1868">
        <v>4.4009099999999997</v>
      </c>
      <c r="AH471" s="1868">
        <v>4.1034600000000001</v>
      </c>
      <c r="AI471" s="1868">
        <v>3.90021</v>
      </c>
      <c r="AJ471" s="1868">
        <v>4.6572399999999998</v>
      </c>
      <c r="AK471" s="1868">
        <v>4.4425600000000003</v>
      </c>
      <c r="AL471" s="1868">
        <v>4.5968800000000005</v>
      </c>
      <c r="AM471" s="1868">
        <v>4.9084400000000006</v>
      </c>
      <c r="AN471" s="1868">
        <v>4.9725000000000001</v>
      </c>
      <c r="AO471" s="1868">
        <v>4.9980500000000001</v>
      </c>
      <c r="AP471" s="1868">
        <v>5.63246</v>
      </c>
      <c r="AQ471" s="1868">
        <v>5.5848300000000002</v>
      </c>
      <c r="AR471" s="1868">
        <v>5.7294999999999998</v>
      </c>
      <c r="AS471" s="1868">
        <v>5.4059400000000002</v>
      </c>
      <c r="AT471" s="1868">
        <v>5.6405199999999995</v>
      </c>
      <c r="AU471" s="1868">
        <v>5.8243999999999998</v>
      </c>
      <c r="AV471" s="1868">
        <v>5.8078699999999994</v>
      </c>
      <c r="AW471" s="1868">
        <v>5.1365699999999999</v>
      </c>
      <c r="AX471" s="1868">
        <v>5.5531699999999997</v>
      </c>
      <c r="AY471" s="1868">
        <v>5.5291300000000003</v>
      </c>
      <c r="AZ471" s="1868">
        <v>5.47316</v>
      </c>
      <c r="BA471" s="1868">
        <v>5.7041399999999998</v>
      </c>
    </row>
    <row r="472" spans="1:53">
      <c r="A472" s="1865" t="str">
        <f t="shared" si="7"/>
        <v>Central AmericaPineapples</v>
      </c>
      <c r="B472" s="1866" t="s">
        <v>310</v>
      </c>
      <c r="C472" s="1866" t="s">
        <v>1351</v>
      </c>
      <c r="D472" s="1868">
        <v>20.349450000000001</v>
      </c>
      <c r="E472" s="1868">
        <v>20.08755</v>
      </c>
      <c r="F472" s="1868">
        <v>19.99578</v>
      </c>
      <c r="G472" s="1868">
        <v>20.25226</v>
      </c>
      <c r="H472" s="1868">
        <v>22.479610000000001</v>
      </c>
      <c r="I472" s="1868">
        <v>22.80001</v>
      </c>
      <c r="J472" s="1868">
        <v>22.28097</v>
      </c>
      <c r="K472" s="1868">
        <v>22.034579999999998</v>
      </c>
      <c r="L472" s="1868">
        <v>22.609579999999998</v>
      </c>
      <c r="M472" s="1868">
        <v>21.97148</v>
      </c>
      <c r="N472" s="1868">
        <v>27.419090000000001</v>
      </c>
      <c r="O472" s="1868">
        <v>26.143409999999999</v>
      </c>
      <c r="P472" s="1868">
        <v>27.602879999999999</v>
      </c>
      <c r="Q472" s="1868">
        <v>30.339240000000004</v>
      </c>
      <c r="R472" s="1868">
        <v>27.789079999999998</v>
      </c>
      <c r="S472" s="1868">
        <v>28.282029999999999</v>
      </c>
      <c r="T472" s="1868">
        <v>29.642759999999999</v>
      </c>
      <c r="U472" s="1868">
        <v>30.080809999999996</v>
      </c>
      <c r="V472" s="1868">
        <v>29.743090000000002</v>
      </c>
      <c r="W472" s="1868">
        <v>31.33118</v>
      </c>
      <c r="X472" s="1868">
        <v>30.549190000000003</v>
      </c>
      <c r="Y472" s="1868">
        <v>29.174479999999999</v>
      </c>
      <c r="Z472" s="1868">
        <v>30.302940000000003</v>
      </c>
      <c r="AA472" s="1868">
        <v>30.551829999999999</v>
      </c>
      <c r="AB472" s="1868">
        <v>25.944779999999998</v>
      </c>
      <c r="AC472" s="1868">
        <v>22.62069</v>
      </c>
      <c r="AD472" s="1868">
        <v>25.680050000000001</v>
      </c>
      <c r="AE472" s="1868">
        <v>26.261770000000002</v>
      </c>
      <c r="AF472" s="1868">
        <v>42.313980000000001</v>
      </c>
      <c r="AG472" s="1868">
        <v>41.533619999999999</v>
      </c>
      <c r="AH472" s="1868">
        <v>38.474890000000002</v>
      </c>
      <c r="AI472" s="1868">
        <v>37.342599999999997</v>
      </c>
      <c r="AJ472" s="1868">
        <v>36.068049999999999</v>
      </c>
      <c r="AK472" s="1868">
        <v>40.805019999999999</v>
      </c>
      <c r="AL472" s="1868">
        <v>36.76782</v>
      </c>
      <c r="AM472" s="1868">
        <v>39.712910000000001</v>
      </c>
      <c r="AN472" s="1868">
        <v>41.741459999999996</v>
      </c>
      <c r="AO472" s="1868">
        <v>42.435070000000003</v>
      </c>
      <c r="AP472" s="1868">
        <v>48.925530000000002</v>
      </c>
      <c r="AQ472" s="1868">
        <v>46.06926</v>
      </c>
      <c r="AR472" s="1868">
        <v>47.5471</v>
      </c>
      <c r="AS472" s="1868">
        <v>46.846330000000002</v>
      </c>
      <c r="AT472" s="1868">
        <v>45.37341</v>
      </c>
      <c r="AU472" s="1868">
        <v>47.750340000000001</v>
      </c>
      <c r="AV472" s="1868">
        <v>45.736809999999998</v>
      </c>
      <c r="AW472" s="1868">
        <v>48.271120000000003</v>
      </c>
      <c r="AX472" s="1868">
        <v>43.749749999999999</v>
      </c>
      <c r="AY472" s="1868">
        <v>41.852620000000002</v>
      </c>
      <c r="AZ472" s="1868">
        <v>38.918089999999999</v>
      </c>
      <c r="BA472" s="1868">
        <v>39.680120000000002</v>
      </c>
    </row>
    <row r="473" spans="1:53">
      <c r="A473" s="1865" t="str">
        <f t="shared" si="7"/>
        <v>Central AmericaPlantains</v>
      </c>
      <c r="B473" s="1866" t="s">
        <v>310</v>
      </c>
      <c r="C473" s="1866" t="s">
        <v>1393</v>
      </c>
      <c r="D473" s="1868">
        <v>12.510960000000001</v>
      </c>
      <c r="E473" s="1868">
        <v>12.719389999999999</v>
      </c>
      <c r="F473" s="1868">
        <v>12.520860000000001</v>
      </c>
      <c r="G473" s="1868">
        <v>12.500210000000001</v>
      </c>
      <c r="H473" s="1868">
        <v>12.78769</v>
      </c>
      <c r="I473" s="1868">
        <v>13.251560000000001</v>
      </c>
      <c r="J473" s="1868">
        <v>13.88584</v>
      </c>
      <c r="K473" s="1868">
        <v>14.978660000000001</v>
      </c>
      <c r="L473" s="1868">
        <v>15.574470000000002</v>
      </c>
      <c r="M473" s="1868">
        <v>13.698260000000001</v>
      </c>
      <c r="N473" s="1868">
        <v>13.973870000000002</v>
      </c>
      <c r="O473" s="1868">
        <v>14.33705</v>
      </c>
      <c r="P473" s="1868">
        <v>14.586789999999999</v>
      </c>
      <c r="Q473" s="1868">
        <v>14.14456</v>
      </c>
      <c r="R473" s="1868">
        <v>13.74624</v>
      </c>
      <c r="S473" s="1868">
        <v>13.762829999999999</v>
      </c>
      <c r="T473" s="1868">
        <v>13.295310000000001</v>
      </c>
      <c r="U473" s="1868">
        <v>13.15119</v>
      </c>
      <c r="V473" s="1868">
        <v>13.33061</v>
      </c>
      <c r="W473" s="1868">
        <v>13.92919</v>
      </c>
      <c r="X473" s="1868">
        <v>14.404299999999999</v>
      </c>
      <c r="Y473" s="1868">
        <v>11.50216</v>
      </c>
      <c r="Z473" s="1868">
        <v>10.581480000000001</v>
      </c>
      <c r="AA473" s="1868">
        <v>12.25365</v>
      </c>
      <c r="AB473" s="1868">
        <v>11.2826</v>
      </c>
      <c r="AC473" s="1868">
        <v>11.673919999999999</v>
      </c>
      <c r="AD473" s="1868">
        <v>12.025180000000001</v>
      </c>
      <c r="AE473" s="1868">
        <v>11.07226</v>
      </c>
      <c r="AF473" s="1868">
        <v>16.10249</v>
      </c>
      <c r="AG473" s="1868">
        <v>15.863920000000002</v>
      </c>
      <c r="AH473" s="1868">
        <v>15.546749999999999</v>
      </c>
      <c r="AI473" s="1868">
        <v>15.123279999999999</v>
      </c>
      <c r="AJ473" s="1868">
        <v>15.300239999999999</v>
      </c>
      <c r="AK473" s="1868">
        <v>16.502330000000001</v>
      </c>
      <c r="AL473" s="1868">
        <v>16.030620000000003</v>
      </c>
      <c r="AM473" s="1868">
        <v>15.58961</v>
      </c>
      <c r="AN473" s="1868">
        <v>15.77338</v>
      </c>
      <c r="AO473" s="1868">
        <v>14.959820000000001</v>
      </c>
      <c r="AP473" s="1868">
        <v>14.728860000000001</v>
      </c>
      <c r="AQ473" s="1868">
        <v>16.387119999999999</v>
      </c>
      <c r="AR473" s="1868">
        <v>16.176400000000001</v>
      </c>
      <c r="AS473" s="1868">
        <v>14.969110000000001</v>
      </c>
      <c r="AT473" s="1868">
        <v>14.719879999999998</v>
      </c>
      <c r="AU473" s="1868">
        <v>14.790660000000001</v>
      </c>
      <c r="AV473" s="1868">
        <v>13.623120000000002</v>
      </c>
      <c r="AW473" s="1868">
        <v>12.441000000000001</v>
      </c>
      <c r="AX473" s="1868">
        <v>13.094469999999999</v>
      </c>
      <c r="AY473" s="1868">
        <v>13.605929999999999</v>
      </c>
      <c r="AZ473" s="1868">
        <v>13.430729999999999</v>
      </c>
      <c r="BA473" s="1868">
        <v>13.05925</v>
      </c>
    </row>
    <row r="474" spans="1:53">
      <c r="A474" s="1865" t="str">
        <f t="shared" si="7"/>
        <v>Central AmericaPotatoes</v>
      </c>
      <c r="B474" s="1866" t="s">
        <v>310</v>
      </c>
      <c r="C474" s="1866" t="s">
        <v>1394</v>
      </c>
      <c r="D474" s="1868">
        <v>6.6215699999999993</v>
      </c>
      <c r="E474" s="1868">
        <v>7.89663</v>
      </c>
      <c r="F474" s="1868">
        <v>7.9641899999999994</v>
      </c>
      <c r="G474" s="1868">
        <v>8.150269999999999</v>
      </c>
      <c r="H474" s="1868">
        <v>7.781439999999999</v>
      </c>
      <c r="I474" s="1868">
        <v>8.0801400000000001</v>
      </c>
      <c r="J474" s="1868">
        <v>9.1282899999999998</v>
      </c>
      <c r="K474" s="1868">
        <v>9.03355</v>
      </c>
      <c r="L474" s="1868">
        <v>9.4650199999999991</v>
      </c>
      <c r="M474" s="1868">
        <v>9.7135899999999999</v>
      </c>
      <c r="N474" s="1868">
        <v>10.04219</v>
      </c>
      <c r="O474" s="1868">
        <v>10.396330000000001</v>
      </c>
      <c r="P474" s="1868">
        <v>10.759269999999999</v>
      </c>
      <c r="Q474" s="1868">
        <v>10.03267</v>
      </c>
      <c r="R474" s="1868">
        <v>10.8049</v>
      </c>
      <c r="S474" s="1868">
        <v>10.738329999999999</v>
      </c>
      <c r="T474" s="1868">
        <v>9.9957899999999995</v>
      </c>
      <c r="U474" s="1868">
        <v>11.42723</v>
      </c>
      <c r="V474" s="1868">
        <v>11.070780000000001</v>
      </c>
      <c r="W474" s="1868">
        <v>11.980030000000001</v>
      </c>
      <c r="X474" s="1868">
        <v>10.830410000000001</v>
      </c>
      <c r="Y474" s="1868">
        <v>12.4903</v>
      </c>
      <c r="Z474" s="1868">
        <v>10.71753</v>
      </c>
      <c r="AA474" s="1868">
        <v>12.85605</v>
      </c>
      <c r="AB474" s="1868">
        <v>12.87138</v>
      </c>
      <c r="AC474" s="1868">
        <v>13.316220000000001</v>
      </c>
      <c r="AD474" s="1868">
        <v>12.739050000000001</v>
      </c>
      <c r="AE474" s="1868">
        <v>12.85502</v>
      </c>
      <c r="AF474" s="1868">
        <v>15.18966</v>
      </c>
      <c r="AG474" s="1868">
        <v>16.26868</v>
      </c>
      <c r="AH474" s="1868">
        <v>16.651250000000001</v>
      </c>
      <c r="AI474" s="1868">
        <v>17.327439999999999</v>
      </c>
      <c r="AJ474" s="1868">
        <v>17.255579999999998</v>
      </c>
      <c r="AK474" s="1868">
        <v>18.99033</v>
      </c>
      <c r="AL474" s="1868">
        <v>19.62613</v>
      </c>
      <c r="AM474" s="1868">
        <v>20.131139999999998</v>
      </c>
      <c r="AN474" s="1868">
        <v>20.541910000000001</v>
      </c>
      <c r="AO474" s="1868">
        <v>20.311579999999999</v>
      </c>
      <c r="AP474" s="1868">
        <v>21.65419</v>
      </c>
      <c r="AQ474" s="1868">
        <v>23.246560000000002</v>
      </c>
      <c r="AR474" s="1868">
        <v>23.411379999999998</v>
      </c>
      <c r="AS474" s="1868">
        <v>23.422829999999998</v>
      </c>
      <c r="AT474" s="1868">
        <v>24.458770000000001</v>
      </c>
      <c r="AU474" s="1868">
        <v>24.091089999999998</v>
      </c>
      <c r="AV474" s="1868">
        <v>25.48498</v>
      </c>
      <c r="AW474" s="1868">
        <v>24.37988</v>
      </c>
      <c r="AX474" s="1868">
        <v>25.871770000000001</v>
      </c>
      <c r="AY474" s="1868">
        <v>26.711340000000003</v>
      </c>
      <c r="AZ474" s="1868">
        <v>26.62133</v>
      </c>
      <c r="BA474" s="1868">
        <v>26.604279999999999</v>
      </c>
    </row>
    <row r="475" spans="1:53">
      <c r="A475" s="1865" t="str">
        <f t="shared" si="7"/>
        <v>Central AmericaPulses, nes</v>
      </c>
      <c r="B475" s="1866" t="s">
        <v>310</v>
      </c>
      <c r="C475" s="1866" t="s">
        <v>1395</v>
      </c>
      <c r="AD475" s="1868">
        <v>6.5030900000000003</v>
      </c>
      <c r="AE475" s="1868">
        <v>6.5974399999999997</v>
      </c>
      <c r="AF475" s="1868">
        <v>2.1621799999999998</v>
      </c>
      <c r="AG475" s="1868">
        <v>1.9187000000000001</v>
      </c>
      <c r="AH475" s="1868">
        <v>2.3244799999999999</v>
      </c>
      <c r="AI475" s="1868">
        <v>2.0201500000000001</v>
      </c>
      <c r="AJ475" s="1868">
        <v>2.0064900000000003</v>
      </c>
      <c r="AK475" s="1868">
        <v>2.5724800000000001</v>
      </c>
      <c r="AL475" s="1868">
        <v>3.07233</v>
      </c>
      <c r="AM475" s="1868">
        <v>2.42713</v>
      </c>
      <c r="AN475" s="1868">
        <v>2.3535900000000001</v>
      </c>
      <c r="AO475" s="1868">
        <v>2.6838299999999999</v>
      </c>
      <c r="AP475" s="1868">
        <v>3.3393199999999998</v>
      </c>
      <c r="AQ475" s="1868">
        <v>2.8336299999999999</v>
      </c>
      <c r="AR475" s="1868">
        <v>2.7035299999999998</v>
      </c>
      <c r="AS475" s="1868">
        <v>1.70275</v>
      </c>
      <c r="AT475" s="1868">
        <v>1.9456500000000001</v>
      </c>
      <c r="AU475" s="1868">
        <v>2.4584700000000002</v>
      </c>
      <c r="AV475" s="1868">
        <v>2.4630200000000002</v>
      </c>
      <c r="AW475" s="1868">
        <v>2.4723900000000003</v>
      </c>
      <c r="AX475" s="1868">
        <v>2.6671400000000003</v>
      </c>
      <c r="AY475" s="1868">
        <v>2.6322400000000004</v>
      </c>
      <c r="AZ475" s="1868">
        <v>2.5947100000000001</v>
      </c>
      <c r="BA475" s="1868">
        <v>2.6768700000000001</v>
      </c>
    </row>
    <row r="476" spans="1:53">
      <c r="A476" s="1865" t="str">
        <f t="shared" si="7"/>
        <v>Central AmericaRice, paddy</v>
      </c>
      <c r="B476" s="1866" t="s">
        <v>310</v>
      </c>
      <c r="C476" s="1866" t="s">
        <v>1396</v>
      </c>
      <c r="D476" s="1868">
        <v>1.6845299999999999</v>
      </c>
      <c r="E476" s="1868">
        <v>1.63524</v>
      </c>
      <c r="F476" s="1868">
        <v>1.67587</v>
      </c>
      <c r="G476" s="1868">
        <v>1.61982</v>
      </c>
      <c r="H476" s="1868">
        <v>1.90232</v>
      </c>
      <c r="I476" s="1868">
        <v>1.8429799999999998</v>
      </c>
      <c r="J476" s="1868">
        <v>1.9542700000000002</v>
      </c>
      <c r="K476" s="1868">
        <v>1.99305</v>
      </c>
      <c r="L476" s="1868">
        <v>2.0296400000000001</v>
      </c>
      <c r="M476" s="1868">
        <v>2.2473700000000001</v>
      </c>
      <c r="N476" s="1868">
        <v>2.2362199999999999</v>
      </c>
      <c r="O476" s="1868">
        <v>2.1836099999999998</v>
      </c>
      <c r="P476" s="1868">
        <v>2.3006199999999999</v>
      </c>
      <c r="Q476" s="1868">
        <v>2.19597</v>
      </c>
      <c r="R476" s="1868">
        <v>2.4012199999999999</v>
      </c>
      <c r="S476" s="1868">
        <v>2.0734599999999999</v>
      </c>
      <c r="T476" s="1868">
        <v>2.4954299999999998</v>
      </c>
      <c r="U476" s="1868">
        <v>2.60432</v>
      </c>
      <c r="V476" s="1868">
        <v>2.7326700000000002</v>
      </c>
      <c r="W476" s="1868">
        <v>3.0289099999999998</v>
      </c>
      <c r="X476" s="1868">
        <v>3.1547800000000001</v>
      </c>
      <c r="Y476" s="1868">
        <v>2.6974099999999996</v>
      </c>
      <c r="Z476" s="1868">
        <v>2.9689400000000004</v>
      </c>
      <c r="AA476" s="1868">
        <v>3.08453</v>
      </c>
      <c r="AB476" s="1868">
        <v>3.2132099999999997</v>
      </c>
      <c r="AC476" s="1868">
        <v>3.0224500000000001</v>
      </c>
      <c r="AD476" s="1868">
        <v>3.1627900000000002</v>
      </c>
      <c r="AE476" s="1868">
        <v>3.11504</v>
      </c>
      <c r="AF476" s="1868">
        <v>3.0916099999999997</v>
      </c>
      <c r="AG476" s="1868">
        <v>3.1728800000000001</v>
      </c>
      <c r="AH476" s="1868">
        <v>3.25</v>
      </c>
      <c r="AI476" s="1868">
        <v>3.2772000000000001</v>
      </c>
      <c r="AJ476" s="1868">
        <v>3.4362199999999996</v>
      </c>
      <c r="AK476" s="1868">
        <v>3.3906499999999999</v>
      </c>
      <c r="AL476" s="1868">
        <v>3.37209</v>
      </c>
      <c r="AM476" s="1868">
        <v>3.3875599999999997</v>
      </c>
      <c r="AN476" s="1868">
        <v>3.5016199999999995</v>
      </c>
      <c r="AO476" s="1868">
        <v>3.4593199999999995</v>
      </c>
      <c r="AP476" s="1868">
        <v>3.7102900000000001</v>
      </c>
      <c r="AQ476" s="1868">
        <v>3.3965199999999998</v>
      </c>
      <c r="AR476" s="1868">
        <v>3.0614699999999999</v>
      </c>
      <c r="AS476" s="1868">
        <v>3.1545200000000002</v>
      </c>
      <c r="AT476" s="1868">
        <v>3.1427900000000002</v>
      </c>
      <c r="AU476" s="1868">
        <v>3.01715</v>
      </c>
      <c r="AV476" s="1868">
        <v>3.26674</v>
      </c>
      <c r="AW476" s="1868">
        <v>3.6214599999999999</v>
      </c>
      <c r="AX476" s="1868">
        <v>3.5195300000000005</v>
      </c>
      <c r="AY476" s="1868">
        <v>3.76701</v>
      </c>
      <c r="AZ476" s="1868">
        <v>3.7667999999999999</v>
      </c>
      <c r="BA476" s="1868">
        <v>3.7995999999999999</v>
      </c>
    </row>
    <row r="477" spans="1:53">
      <c r="A477" s="1865" t="str">
        <f t="shared" si="7"/>
        <v>Central AmericaRoots and Tubers, nes</v>
      </c>
      <c r="B477" s="1866" t="s">
        <v>310</v>
      </c>
      <c r="C477" s="1866" t="s">
        <v>1356</v>
      </c>
      <c r="D477" s="1868">
        <v>6.7106000000000003</v>
      </c>
      <c r="E477" s="1868">
        <v>6.7778499999999999</v>
      </c>
      <c r="F477" s="1868">
        <v>7.1773399999999992</v>
      </c>
      <c r="G477" s="1868">
        <v>7.7258699999999996</v>
      </c>
      <c r="H477" s="1868">
        <v>6.8977300000000001</v>
      </c>
      <c r="I477" s="1868">
        <v>7.2728299999999999</v>
      </c>
      <c r="J477" s="1868">
        <v>7.19937</v>
      </c>
      <c r="K477" s="1868">
        <v>6.9513399999999992</v>
      </c>
      <c r="L477" s="1868">
        <v>7.1568199999999997</v>
      </c>
      <c r="M477" s="1868">
        <v>7.4005999999999998</v>
      </c>
      <c r="N477" s="1868">
        <v>9.22072</v>
      </c>
      <c r="O477" s="1868">
        <v>11.224030000000001</v>
      </c>
      <c r="P477" s="1868">
        <v>8.9899500000000003</v>
      </c>
      <c r="Q477" s="1868">
        <v>12.5</v>
      </c>
      <c r="R477" s="1868">
        <v>10.75811</v>
      </c>
      <c r="S477" s="1868">
        <v>10.72842</v>
      </c>
      <c r="T477" s="1868">
        <v>13.82208</v>
      </c>
      <c r="U477" s="1868">
        <v>19.820360000000001</v>
      </c>
      <c r="V477" s="1868">
        <v>11.361499999999999</v>
      </c>
      <c r="W477" s="1868">
        <v>18.787700000000001</v>
      </c>
      <c r="X477" s="1868">
        <v>22.540500000000002</v>
      </c>
      <c r="Y477" s="1868">
        <v>22.255299999999998</v>
      </c>
      <c r="Z477" s="1868">
        <v>25.12068</v>
      </c>
      <c r="AA477" s="1868">
        <v>24.927499999999998</v>
      </c>
      <c r="AB477" s="1868">
        <v>23</v>
      </c>
      <c r="AC477" s="1868">
        <v>25.589779999999998</v>
      </c>
      <c r="AD477" s="1868">
        <v>24.209870000000002</v>
      </c>
      <c r="AE477" s="1868">
        <v>23.669499999999999</v>
      </c>
      <c r="AF477" s="1868">
        <v>20.00647</v>
      </c>
      <c r="AG477" s="1868">
        <v>17.86448</v>
      </c>
      <c r="AH477" s="1868">
        <v>17.040570000000002</v>
      </c>
      <c r="AI477" s="1868">
        <v>17.790659999999999</v>
      </c>
      <c r="AJ477" s="1868">
        <v>19.566029999999998</v>
      </c>
      <c r="AK477" s="1868">
        <v>17.483460000000001</v>
      </c>
      <c r="AL477" s="1868">
        <v>17.458820000000003</v>
      </c>
      <c r="AM477" s="1868">
        <v>17.683499999999999</v>
      </c>
      <c r="AN477" s="1868">
        <v>16.425660000000001</v>
      </c>
      <c r="AO477" s="1868">
        <v>19.876820000000002</v>
      </c>
      <c r="AP477" s="1868">
        <v>16.879570000000001</v>
      </c>
      <c r="AQ477" s="1868">
        <v>17.789920000000002</v>
      </c>
      <c r="AR477" s="1868">
        <v>16.31053</v>
      </c>
      <c r="AS477" s="1868">
        <v>15.600199999999999</v>
      </c>
      <c r="AT477" s="1868">
        <v>17.080279999999998</v>
      </c>
      <c r="AU477" s="1868">
        <v>16.62782</v>
      </c>
      <c r="AV477" s="1868">
        <v>17.02101</v>
      </c>
      <c r="AW477" s="1868">
        <v>18.21001</v>
      </c>
      <c r="AX477" s="1868">
        <v>16.40118</v>
      </c>
      <c r="AY477" s="1868">
        <v>16.721879999999999</v>
      </c>
      <c r="AZ477" s="1868">
        <v>16.051029999999997</v>
      </c>
      <c r="BA477" s="1868">
        <v>19.72147</v>
      </c>
    </row>
    <row r="478" spans="1:53">
      <c r="A478" s="1865" t="str">
        <f t="shared" si="7"/>
        <v>Central AmericaRye</v>
      </c>
      <c r="B478" s="1866" t="s">
        <v>310</v>
      </c>
      <c r="C478" s="1866" t="s">
        <v>1353</v>
      </c>
      <c r="Y478" s="1868">
        <v>1</v>
      </c>
      <c r="AD478" s="1868">
        <v>3.5</v>
      </c>
      <c r="AE478" s="1868">
        <v>3</v>
      </c>
      <c r="AF478" s="1868">
        <v>3.5</v>
      </c>
      <c r="AG478" s="1868">
        <v>3</v>
      </c>
      <c r="AH478" s="1868">
        <v>2.57823</v>
      </c>
      <c r="AI478" s="1868">
        <v>3.35385</v>
      </c>
      <c r="AJ478" s="1868">
        <v>2</v>
      </c>
      <c r="AK478" s="1868">
        <v>4</v>
      </c>
      <c r="AL478" s="1868">
        <v>5</v>
      </c>
      <c r="AM478" s="1868">
        <v>3</v>
      </c>
      <c r="AO478" s="1868">
        <v>2.8571400000000002</v>
      </c>
      <c r="AP478" s="1868">
        <v>2.9230800000000001</v>
      </c>
      <c r="AR478" s="1868">
        <v>2.59091</v>
      </c>
      <c r="AS478" s="1868">
        <v>2.65</v>
      </c>
      <c r="AT478" s="1868">
        <v>1</v>
      </c>
      <c r="AU478" s="1868">
        <v>1.75</v>
      </c>
      <c r="AV478" s="1868">
        <v>1.1200000000000001</v>
      </c>
      <c r="AW478" s="1868">
        <v>1.68</v>
      </c>
      <c r="AX478" s="1868">
        <v>9</v>
      </c>
      <c r="AY478" s="1868">
        <v>1.11765</v>
      </c>
      <c r="AZ478" s="1868">
        <v>1.1764700000000001</v>
      </c>
      <c r="BA478" s="1868">
        <v>1.30952</v>
      </c>
    </row>
    <row r="479" spans="1:53">
      <c r="A479" s="1865" t="str">
        <f t="shared" si="7"/>
        <v>Central AmericaSeed cotton</v>
      </c>
      <c r="B479" s="1866" t="s">
        <v>310</v>
      </c>
      <c r="C479" s="1866" t="s">
        <v>1397</v>
      </c>
      <c r="D479" s="1868">
        <v>1.5466600000000001</v>
      </c>
      <c r="E479" s="1868">
        <v>1.6991700000000001</v>
      </c>
      <c r="F479" s="1868">
        <v>1.78518</v>
      </c>
      <c r="G479" s="1868">
        <v>1.9152099999999999</v>
      </c>
      <c r="H479" s="1868">
        <v>2.0398200000000002</v>
      </c>
      <c r="I479" s="1868">
        <v>2.0649500000000001</v>
      </c>
      <c r="J479" s="1868">
        <v>2.0122900000000001</v>
      </c>
      <c r="K479" s="1868">
        <v>2.1953800000000001</v>
      </c>
      <c r="L479" s="1868">
        <v>2.1273599999999999</v>
      </c>
      <c r="M479" s="1868">
        <v>2.1605500000000002</v>
      </c>
      <c r="N479" s="1868">
        <v>2.2930900000000003</v>
      </c>
      <c r="O479" s="1868">
        <v>2.3258299999999998</v>
      </c>
      <c r="P479" s="1868">
        <v>2.3616900000000003</v>
      </c>
      <c r="Q479" s="1868">
        <v>2.43662</v>
      </c>
      <c r="R479" s="1868">
        <v>2.3676300000000001</v>
      </c>
      <c r="S479" s="1868">
        <v>2.5444299999999997</v>
      </c>
      <c r="T479" s="1868">
        <v>2.61815</v>
      </c>
      <c r="U479" s="1868">
        <v>2.6737599999999997</v>
      </c>
      <c r="V479" s="1868">
        <v>2.6779199999999999</v>
      </c>
      <c r="W479" s="1868">
        <v>2.9172500000000001</v>
      </c>
      <c r="X479" s="1868">
        <v>2.7319299999999997</v>
      </c>
      <c r="Y479" s="1868">
        <v>2.6229100000000001</v>
      </c>
      <c r="Z479" s="1868">
        <v>2.7891900000000001</v>
      </c>
      <c r="AA479" s="1868">
        <v>2.6625900000000002</v>
      </c>
      <c r="AB479" s="1868">
        <v>2.5709200000000001</v>
      </c>
      <c r="AC479" s="1868">
        <v>2.1899599999999997</v>
      </c>
      <c r="AD479" s="1868">
        <v>3.0670799999999998</v>
      </c>
      <c r="AE479" s="1868">
        <v>2.5858599999999998</v>
      </c>
      <c r="AF479" s="1868">
        <v>2.4607200000000002</v>
      </c>
      <c r="AG479" s="1868">
        <v>2.4497800000000001</v>
      </c>
      <c r="AH479" s="1868">
        <v>2.24736</v>
      </c>
      <c r="AI479" s="1868">
        <v>2.27732</v>
      </c>
      <c r="AJ479" s="1868">
        <v>2.1653899999999999</v>
      </c>
      <c r="AK479" s="1868">
        <v>2.0639599999999998</v>
      </c>
      <c r="AL479" s="1868">
        <v>2.2720099999999999</v>
      </c>
      <c r="AM479" s="1868">
        <v>2.4856599999999998</v>
      </c>
      <c r="AN479" s="1868">
        <v>3.0352200000000003</v>
      </c>
      <c r="AO479" s="1868">
        <v>2.8437600000000001</v>
      </c>
      <c r="AP479" s="1868">
        <v>2.9234200000000001</v>
      </c>
      <c r="AQ479" s="1868">
        <v>2.8212099999999998</v>
      </c>
      <c r="AR479" s="1868">
        <v>3.06277</v>
      </c>
      <c r="AS479" s="1868">
        <v>3.0115500000000002</v>
      </c>
      <c r="AT479" s="1868">
        <v>3.3699599999999998</v>
      </c>
      <c r="AU479" s="1868">
        <v>3.4621300000000002</v>
      </c>
      <c r="AV479" s="1868">
        <v>3.0288499999999998</v>
      </c>
      <c r="AW479" s="1868">
        <v>3.7656199999999997</v>
      </c>
      <c r="AX479" s="1868">
        <v>3.4214699999999998</v>
      </c>
      <c r="AY479" s="1868">
        <v>3.5980199999999996</v>
      </c>
      <c r="AZ479" s="1868">
        <v>3.7852900000000003</v>
      </c>
      <c r="BA479" s="1868">
        <v>3.83195</v>
      </c>
    </row>
    <row r="480" spans="1:53">
      <c r="A480" s="1865" t="str">
        <f t="shared" si="7"/>
        <v>Central AmericaSesame seed</v>
      </c>
      <c r="B480" s="1866" t="s">
        <v>310</v>
      </c>
      <c r="C480" s="1866" t="s">
        <v>1345</v>
      </c>
      <c r="D480" s="1868">
        <v>0.67813000000000001</v>
      </c>
      <c r="E480" s="1868">
        <v>0.66333999999999993</v>
      </c>
      <c r="F480" s="1868">
        <v>0.67449999999999999</v>
      </c>
      <c r="G480" s="1868">
        <v>0.65876000000000001</v>
      </c>
      <c r="H480" s="1868">
        <v>0.5857</v>
      </c>
      <c r="I480" s="1868">
        <v>0.66800000000000004</v>
      </c>
      <c r="J480" s="1868">
        <v>0.58456000000000008</v>
      </c>
      <c r="K480" s="1868">
        <v>0.61614999999999998</v>
      </c>
      <c r="L480" s="1868">
        <v>0.66820000000000002</v>
      </c>
      <c r="M480" s="1868">
        <v>0.67101999999999995</v>
      </c>
      <c r="N480" s="1868">
        <v>0.64798999999999995</v>
      </c>
      <c r="O480" s="1868">
        <v>0.60692000000000002</v>
      </c>
      <c r="P480" s="1868">
        <v>0.72536</v>
      </c>
      <c r="Q480" s="1868">
        <v>0.68218999999999996</v>
      </c>
      <c r="R480" s="1868">
        <v>0.54326000000000008</v>
      </c>
      <c r="S480" s="1868">
        <v>0.48616999999999999</v>
      </c>
      <c r="T480" s="1868">
        <v>0.61458999999999997</v>
      </c>
      <c r="U480" s="1868">
        <v>0.58087</v>
      </c>
      <c r="V480" s="1868">
        <v>0.58833000000000002</v>
      </c>
      <c r="W480" s="1868">
        <v>0.54630000000000001</v>
      </c>
      <c r="X480" s="1868">
        <v>0.55164999999999997</v>
      </c>
      <c r="Y480" s="1868">
        <v>0.51588999999999996</v>
      </c>
      <c r="Z480" s="1868">
        <v>0.58091999999999999</v>
      </c>
      <c r="AA480" s="1868">
        <v>0.56973999999999991</v>
      </c>
      <c r="AB480" s="1868">
        <v>0.61380000000000001</v>
      </c>
      <c r="AC480" s="1868">
        <v>0.60314000000000001</v>
      </c>
      <c r="AD480" s="1868">
        <v>0.56137000000000004</v>
      </c>
      <c r="AE480" s="1868">
        <v>0.52981999999999996</v>
      </c>
      <c r="AF480" s="1868">
        <v>0.60934999999999995</v>
      </c>
      <c r="AG480" s="1868">
        <v>0.56253999999999993</v>
      </c>
      <c r="AH480" s="1868">
        <v>0.52181999999999995</v>
      </c>
      <c r="AI480" s="1868">
        <v>0.61060999999999999</v>
      </c>
      <c r="AJ480" s="1868">
        <v>0.64653000000000005</v>
      </c>
      <c r="AK480" s="1868">
        <v>0.66176999999999997</v>
      </c>
      <c r="AL480" s="1868">
        <v>0.64490999999999998</v>
      </c>
      <c r="AM480" s="1868">
        <v>0.63173999999999997</v>
      </c>
      <c r="AN480" s="1868">
        <v>0.51105</v>
      </c>
      <c r="AO480" s="1868">
        <v>0.55484</v>
      </c>
      <c r="AP480" s="1868">
        <v>0.60497000000000001</v>
      </c>
      <c r="AQ480" s="1868">
        <v>0.49756000000000006</v>
      </c>
      <c r="AR480" s="1868">
        <v>0.60838000000000003</v>
      </c>
      <c r="AS480" s="1868">
        <v>0.58238000000000001</v>
      </c>
      <c r="AT480" s="1868">
        <v>0.59640000000000004</v>
      </c>
      <c r="AU480" s="1868">
        <v>0.68771000000000004</v>
      </c>
      <c r="AV480" s="1868">
        <v>0.68735000000000002</v>
      </c>
      <c r="AW480" s="1868">
        <v>0.65151000000000003</v>
      </c>
      <c r="AX480" s="1868">
        <v>0.64544000000000001</v>
      </c>
      <c r="AY480" s="1868">
        <v>0.67256000000000005</v>
      </c>
      <c r="AZ480" s="1868">
        <v>0.63588</v>
      </c>
      <c r="BA480" s="1868">
        <v>0.59736999999999996</v>
      </c>
    </row>
    <row r="481" spans="1:53">
      <c r="A481" s="1865" t="str">
        <f t="shared" si="7"/>
        <v>Central AmericaSisal</v>
      </c>
      <c r="B481" s="1866" t="s">
        <v>310</v>
      </c>
      <c r="C481" s="1866" t="s">
        <v>1398</v>
      </c>
      <c r="D481" s="1868">
        <v>0.89482000000000006</v>
      </c>
      <c r="E481" s="1868">
        <v>0.88317000000000012</v>
      </c>
      <c r="F481" s="1868">
        <v>0.93403999999999998</v>
      </c>
      <c r="G481" s="1868">
        <v>0.92333999999999994</v>
      </c>
      <c r="H481" s="1868">
        <v>0.7339</v>
      </c>
      <c r="I481" s="1868">
        <v>0.69455</v>
      </c>
      <c r="J481" s="1868">
        <v>0.71077000000000001</v>
      </c>
      <c r="K481" s="1868">
        <v>0.73856999999999995</v>
      </c>
      <c r="L481" s="1868">
        <v>0.72936000000000001</v>
      </c>
      <c r="M481" s="1868">
        <v>0.81618999999999997</v>
      </c>
      <c r="N481" s="1868">
        <v>0.78846000000000005</v>
      </c>
      <c r="O481" s="1868">
        <v>0.73311000000000004</v>
      </c>
      <c r="P481" s="1868">
        <v>0.73746</v>
      </c>
      <c r="Q481" s="1868">
        <v>0.77521000000000007</v>
      </c>
      <c r="R481" s="1868">
        <v>0.73624999999999996</v>
      </c>
      <c r="S481" s="1868">
        <v>0.70152000000000003</v>
      </c>
      <c r="T481" s="1868">
        <v>0.57735999999999998</v>
      </c>
      <c r="U481" s="1868">
        <v>0.59255000000000002</v>
      </c>
      <c r="V481" s="1868">
        <v>0.58496999999999999</v>
      </c>
      <c r="W481" s="1868">
        <v>0.61081000000000008</v>
      </c>
      <c r="X481" s="1868">
        <v>0.64673999999999998</v>
      </c>
      <c r="Y481" s="1868">
        <v>0.56028999999999995</v>
      </c>
      <c r="Z481" s="1868">
        <v>0.58311000000000002</v>
      </c>
      <c r="AA481" s="1868">
        <v>0.52031000000000005</v>
      </c>
      <c r="AB481" s="1868">
        <v>0.45900000000000002</v>
      </c>
      <c r="AC481" s="1868">
        <v>0.56068999999999991</v>
      </c>
      <c r="AD481" s="1868">
        <v>0.39429999999999998</v>
      </c>
      <c r="AE481" s="1868">
        <v>0.82452999999999987</v>
      </c>
      <c r="AF481" s="1868">
        <v>0.54851000000000005</v>
      </c>
      <c r="AG481" s="1868">
        <v>0.63917000000000002</v>
      </c>
      <c r="AH481" s="1868">
        <v>0.65616000000000008</v>
      </c>
      <c r="AI481" s="1868">
        <v>0.58641999999999994</v>
      </c>
      <c r="AJ481" s="1868">
        <v>0.57252000000000003</v>
      </c>
      <c r="AK481" s="1868">
        <v>0.59287000000000001</v>
      </c>
      <c r="AL481" s="1868">
        <v>0.61341999999999997</v>
      </c>
      <c r="AM481" s="1868">
        <v>0.63390000000000002</v>
      </c>
      <c r="AN481" s="1868">
        <v>0.89557999999999993</v>
      </c>
      <c r="AO481" s="1868">
        <v>0.73197999999999996</v>
      </c>
      <c r="AP481" s="1868">
        <v>0.58413999999999999</v>
      </c>
      <c r="AQ481" s="1868">
        <v>1.7865</v>
      </c>
      <c r="AR481" s="1868">
        <v>0.57418000000000002</v>
      </c>
      <c r="AS481" s="1868">
        <v>0.67930000000000001</v>
      </c>
      <c r="AT481" s="1868">
        <v>0.73316000000000003</v>
      </c>
      <c r="AU481" s="1868">
        <v>0.65475000000000005</v>
      </c>
      <c r="AV481" s="1868">
        <v>0.60806000000000004</v>
      </c>
      <c r="AW481" s="1868">
        <v>0.65438000000000007</v>
      </c>
      <c r="AX481" s="1868">
        <v>0.63693</v>
      </c>
      <c r="AY481" s="1868">
        <v>0.57306999999999997</v>
      </c>
      <c r="AZ481" s="1868">
        <v>0.42648000000000003</v>
      </c>
      <c r="BA481" s="1868">
        <v>0.39004</v>
      </c>
    </row>
    <row r="482" spans="1:53">
      <c r="A482" s="1865" t="str">
        <f t="shared" si="7"/>
        <v>Central AmericaSorghum</v>
      </c>
      <c r="B482" s="1866" t="s">
        <v>310</v>
      </c>
      <c r="C482" s="1866" t="s">
        <v>1399</v>
      </c>
      <c r="D482" s="1868">
        <v>1.45038</v>
      </c>
      <c r="E482" s="1868">
        <v>1.4919</v>
      </c>
      <c r="F482" s="1868">
        <v>1.4641200000000001</v>
      </c>
      <c r="G482" s="1868">
        <v>1.48003</v>
      </c>
      <c r="H482" s="1868">
        <v>1.76088</v>
      </c>
      <c r="I482" s="1868">
        <v>2.0159500000000001</v>
      </c>
      <c r="J482" s="1868">
        <v>2.0960700000000001</v>
      </c>
      <c r="K482" s="1868">
        <v>2.2203200000000001</v>
      </c>
      <c r="L482" s="1868">
        <v>2.4076299999999997</v>
      </c>
      <c r="M482" s="1868">
        <v>2.4541300000000001</v>
      </c>
      <c r="N482" s="1868">
        <v>2.3270599999999999</v>
      </c>
      <c r="O482" s="1868">
        <v>2.1253500000000001</v>
      </c>
      <c r="P482" s="1868">
        <v>2.48237</v>
      </c>
      <c r="Q482" s="1868">
        <v>2.4491099999999997</v>
      </c>
      <c r="R482" s="1868">
        <v>2.5824099999999999</v>
      </c>
      <c r="S482" s="1868">
        <v>2.81575</v>
      </c>
      <c r="T482" s="1868">
        <v>2.7127400000000002</v>
      </c>
      <c r="U482" s="1868">
        <v>2.6646099999999997</v>
      </c>
      <c r="V482" s="1868">
        <v>2.9395500000000001</v>
      </c>
      <c r="W482" s="1868">
        <v>2.78165</v>
      </c>
      <c r="X482" s="1868">
        <v>3.2788300000000001</v>
      </c>
      <c r="Y482" s="1868">
        <v>3.2760599999999998</v>
      </c>
      <c r="Z482" s="1868">
        <v>2.9048799999999999</v>
      </c>
      <c r="AA482" s="1868">
        <v>2.7982299999999998</v>
      </c>
      <c r="AB482" s="1868">
        <v>3.2318500000000001</v>
      </c>
      <c r="AC482" s="1868">
        <v>2.8549000000000002</v>
      </c>
      <c r="AD482" s="1868">
        <v>3.08819</v>
      </c>
      <c r="AE482" s="1868">
        <v>2.9994400000000003</v>
      </c>
      <c r="AF482" s="1868">
        <v>2.8057799999999999</v>
      </c>
      <c r="AG482" s="1868">
        <v>3.0007999999999999</v>
      </c>
      <c r="AH482" s="1868">
        <v>2.7717099999999997</v>
      </c>
      <c r="AI482" s="1868">
        <v>3.4021499999999998</v>
      </c>
      <c r="AJ482" s="1868">
        <v>2.5110999999999999</v>
      </c>
      <c r="AK482" s="1868">
        <v>2.6255199999999999</v>
      </c>
      <c r="AL482" s="1868">
        <v>2.75244</v>
      </c>
      <c r="AM482" s="1868">
        <v>2.9284400000000002</v>
      </c>
      <c r="AN482" s="1868">
        <v>2.8307500000000001</v>
      </c>
      <c r="AO482" s="1868">
        <v>3.0675300000000001</v>
      </c>
      <c r="AP482" s="1868">
        <v>2.7711900000000003</v>
      </c>
      <c r="AQ482" s="1868">
        <v>2.8809800000000001</v>
      </c>
      <c r="AR482" s="1868">
        <v>3.1590599999999998</v>
      </c>
      <c r="AS482" s="1868">
        <v>2.8186100000000001</v>
      </c>
      <c r="AT482" s="1868">
        <v>3.0929099999999998</v>
      </c>
      <c r="AU482" s="1868">
        <v>3.57104</v>
      </c>
      <c r="AV482" s="1868">
        <v>3.24057</v>
      </c>
      <c r="AW482" s="1868">
        <v>3.2483499999999998</v>
      </c>
      <c r="AX482" s="1868">
        <v>3.3025699999999998</v>
      </c>
      <c r="AY482" s="1868">
        <v>3.3939499999999998</v>
      </c>
      <c r="AZ482" s="1868">
        <v>3.40326</v>
      </c>
      <c r="BA482" s="1868">
        <v>3.6517800000000005</v>
      </c>
    </row>
    <row r="483" spans="1:53">
      <c r="A483" s="1865" t="str">
        <f t="shared" si="7"/>
        <v>Central AmericaSoybeans</v>
      </c>
      <c r="B483" s="1866" t="s">
        <v>310</v>
      </c>
      <c r="C483" s="1866" t="s">
        <v>1359</v>
      </c>
      <c r="D483" s="1868">
        <v>1.98502</v>
      </c>
      <c r="E483" s="1868">
        <v>2.07572</v>
      </c>
      <c r="F483" s="1868">
        <v>2.0512700000000001</v>
      </c>
      <c r="G483" s="1868">
        <v>1.9656900000000002</v>
      </c>
      <c r="H483" s="1868">
        <v>2.1086900000000002</v>
      </c>
      <c r="I483" s="1868">
        <v>1.74858</v>
      </c>
      <c r="J483" s="1868">
        <v>1.8749499999999999</v>
      </c>
      <c r="K483" s="1868">
        <v>2.0691700000000002</v>
      </c>
      <c r="L483" s="1868">
        <v>1.75678</v>
      </c>
      <c r="M483" s="1868">
        <v>1.9199299999999999</v>
      </c>
      <c r="N483" s="1868">
        <v>1.9844400000000002</v>
      </c>
      <c r="O483" s="1868">
        <v>1.7000099999999998</v>
      </c>
      <c r="P483" s="1868">
        <v>1.87703</v>
      </c>
      <c r="Q483" s="1868">
        <v>1.63626</v>
      </c>
      <c r="R483" s="1868">
        <v>1.7379</v>
      </c>
      <c r="S483" s="1868">
        <v>1.75288</v>
      </c>
      <c r="T483" s="1868">
        <v>1.64235</v>
      </c>
      <c r="U483" s="1868">
        <v>1.54267</v>
      </c>
      <c r="V483" s="1868">
        <v>1.86263</v>
      </c>
      <c r="W483" s="1868">
        <v>2.08778</v>
      </c>
      <c r="X483" s="1868">
        <v>1.9501999999999999</v>
      </c>
      <c r="Y483" s="1868">
        <v>1.72593</v>
      </c>
      <c r="Z483" s="1868">
        <v>1.7525200000000001</v>
      </c>
      <c r="AA483" s="1868">
        <v>1.7474000000000001</v>
      </c>
      <c r="AB483" s="1868">
        <v>1.9321599999999999</v>
      </c>
      <c r="AC483" s="1868">
        <v>1.8464</v>
      </c>
      <c r="AD483" s="1868">
        <v>1.7677599999999998</v>
      </c>
      <c r="AE483" s="1868">
        <v>1.66927</v>
      </c>
      <c r="AF483" s="1868">
        <v>2.0307300000000001</v>
      </c>
      <c r="AG483" s="1868">
        <v>2.0380400000000001</v>
      </c>
      <c r="AH483" s="1868">
        <v>2.13429</v>
      </c>
      <c r="AI483" s="1868">
        <v>1.8762900000000002</v>
      </c>
      <c r="AJ483" s="1868">
        <v>2.1307099999999997</v>
      </c>
      <c r="AK483" s="1868">
        <v>1.87198</v>
      </c>
      <c r="AL483" s="1868">
        <v>1.59016</v>
      </c>
      <c r="AM483" s="1868">
        <v>1.6520999999999999</v>
      </c>
      <c r="AN483" s="1868">
        <v>1.7133900000000002</v>
      </c>
      <c r="AO483" s="1868">
        <v>1.7190700000000001</v>
      </c>
      <c r="AP483" s="1868">
        <v>1.8410799999999998</v>
      </c>
      <c r="AQ483" s="1868">
        <v>1.6832799999999999</v>
      </c>
      <c r="AR483" s="1868">
        <v>1.8218599999999998</v>
      </c>
      <c r="AS483" s="1868">
        <v>1.7517900000000002</v>
      </c>
      <c r="AT483" s="1868">
        <v>1.96688</v>
      </c>
      <c r="AU483" s="1868">
        <v>1.6687599999999998</v>
      </c>
      <c r="AV483" s="1868">
        <v>2.02719</v>
      </c>
      <c r="AW483" s="1868">
        <v>1.7363400000000002</v>
      </c>
      <c r="AX483" s="1868">
        <v>1.6539400000000002</v>
      </c>
      <c r="AY483" s="1868">
        <v>2.1110900000000004</v>
      </c>
      <c r="AZ483" s="1868">
        <v>1.9851299999999998</v>
      </c>
      <c r="BA483" s="1868">
        <v>1.2473100000000001</v>
      </c>
    </row>
    <row r="484" spans="1:53">
      <c r="A484" s="1865" t="str">
        <f t="shared" si="7"/>
        <v>Central AmericaStrawberries</v>
      </c>
      <c r="B484" s="1866" t="s">
        <v>310</v>
      </c>
      <c r="C484" s="1866" t="s">
        <v>1400</v>
      </c>
      <c r="D484" s="1868">
        <v>4.71915</v>
      </c>
      <c r="E484" s="1868">
        <v>5.2331199999999995</v>
      </c>
      <c r="F484" s="1868">
        <v>5.2759599999999995</v>
      </c>
      <c r="G484" s="1868">
        <v>13.745729999999998</v>
      </c>
      <c r="H484" s="1868">
        <v>13.68319</v>
      </c>
      <c r="I484" s="1868">
        <v>16.267099999999999</v>
      </c>
      <c r="J484" s="1868">
        <v>15.396289999999999</v>
      </c>
      <c r="K484" s="1868">
        <v>16.481189999999998</v>
      </c>
      <c r="L484" s="1868">
        <v>15.84459</v>
      </c>
      <c r="M484" s="1868">
        <v>16.121679999999998</v>
      </c>
      <c r="N484" s="1868">
        <v>14.98479</v>
      </c>
      <c r="O484" s="1868">
        <v>15.539079999999998</v>
      </c>
      <c r="P484" s="1868">
        <v>15.722799999999999</v>
      </c>
      <c r="Q484" s="1868">
        <v>17.987100000000002</v>
      </c>
      <c r="R484" s="1868">
        <v>12.7636</v>
      </c>
      <c r="S484" s="1868">
        <v>16.602420000000002</v>
      </c>
      <c r="T484" s="1868">
        <v>18.476289999999999</v>
      </c>
      <c r="U484" s="1868">
        <v>15.933779999999999</v>
      </c>
      <c r="V484" s="1868">
        <v>15.02181</v>
      </c>
      <c r="W484" s="1868">
        <v>12.737489999999999</v>
      </c>
      <c r="X484" s="1868">
        <v>14.546950000000001</v>
      </c>
      <c r="Y484" s="1868">
        <v>14.36904</v>
      </c>
      <c r="Z484" s="1868">
        <v>17.928360000000001</v>
      </c>
      <c r="AA484" s="1868">
        <v>17.483179999999997</v>
      </c>
      <c r="AB484" s="1868">
        <v>12.73488</v>
      </c>
      <c r="AC484" s="1868">
        <v>12.96166</v>
      </c>
      <c r="AD484" s="1868">
        <v>17.314959999999999</v>
      </c>
      <c r="AE484" s="1868">
        <v>12.98123</v>
      </c>
      <c r="AF484" s="1868">
        <v>17.796110000000002</v>
      </c>
      <c r="AG484" s="1868">
        <v>20.368110000000001</v>
      </c>
      <c r="AH484" s="1868">
        <v>11.56007</v>
      </c>
      <c r="AI484" s="1868">
        <v>13.467029999999999</v>
      </c>
      <c r="AJ484" s="1868">
        <v>16.187550000000002</v>
      </c>
      <c r="AK484" s="1868">
        <v>18.584120000000002</v>
      </c>
      <c r="AL484" s="1868">
        <v>18.123809999999999</v>
      </c>
      <c r="AM484" s="1868">
        <v>16.430260000000001</v>
      </c>
      <c r="AN484" s="1868">
        <v>15.979170000000002</v>
      </c>
      <c r="AO484" s="1868">
        <v>17.98977</v>
      </c>
      <c r="AP484" s="1868">
        <v>20.020710000000001</v>
      </c>
      <c r="AQ484" s="1868">
        <v>21.603189999999998</v>
      </c>
      <c r="AR484" s="1868">
        <v>22.679639999999999</v>
      </c>
      <c r="AS484" s="1868">
        <v>24.028949999999998</v>
      </c>
      <c r="AT484" s="1868">
        <v>26.754729999999999</v>
      </c>
      <c r="AU484" s="1868">
        <v>27.131320000000002</v>
      </c>
      <c r="AV484" s="1868">
        <v>27.580880000000001</v>
      </c>
      <c r="AW484" s="1868">
        <v>29.393090000000001</v>
      </c>
      <c r="AX484" s="1868">
        <v>27.792149999999999</v>
      </c>
      <c r="AY484" s="1868">
        <v>32.74776</v>
      </c>
      <c r="AZ484" s="1868">
        <v>33.904509999999995</v>
      </c>
      <c r="BA484" s="1868">
        <v>34.951390000000004</v>
      </c>
    </row>
    <row r="485" spans="1:53">
      <c r="A485" s="1865" t="str">
        <f t="shared" si="7"/>
        <v>Central AmericaSugar cane</v>
      </c>
      <c r="B485" s="1866" t="s">
        <v>310</v>
      </c>
      <c r="C485" s="1866" t="s">
        <v>1401</v>
      </c>
      <c r="D485" s="1868">
        <v>51.389290000000003</v>
      </c>
      <c r="E485" s="1868">
        <v>54.078819999999993</v>
      </c>
      <c r="F485" s="1868">
        <v>55.340919999999997</v>
      </c>
      <c r="G485" s="1868">
        <v>57.17371</v>
      </c>
      <c r="H485" s="1868">
        <v>61.118290000000002</v>
      </c>
      <c r="I485" s="1868">
        <v>61.710280000000004</v>
      </c>
      <c r="J485" s="1868">
        <v>62.358530000000002</v>
      </c>
      <c r="K485" s="1868">
        <v>59.616289999999999</v>
      </c>
      <c r="L485" s="1868">
        <v>59.085630000000002</v>
      </c>
      <c r="M485" s="1868">
        <v>60.561859999999996</v>
      </c>
      <c r="N485" s="1868">
        <v>63.286969999999997</v>
      </c>
      <c r="O485" s="1868">
        <v>64.002740000000003</v>
      </c>
      <c r="P485" s="1868">
        <v>62.644269999999999</v>
      </c>
      <c r="Q485" s="1868">
        <v>65.313400000000001</v>
      </c>
      <c r="R485" s="1868">
        <v>66.930490000000006</v>
      </c>
      <c r="S485" s="1868">
        <v>62.954769999999996</v>
      </c>
      <c r="T485" s="1868">
        <v>65.772369999999995</v>
      </c>
      <c r="U485" s="1868">
        <v>65.566719999999989</v>
      </c>
      <c r="V485" s="1868">
        <v>62.862230000000004</v>
      </c>
      <c r="W485" s="1868">
        <v>61.802109999999999</v>
      </c>
      <c r="X485" s="1868">
        <v>60.60774</v>
      </c>
      <c r="Y485" s="1868">
        <v>67.54374</v>
      </c>
      <c r="Z485" s="1868">
        <v>67.815419999999989</v>
      </c>
      <c r="AA485" s="1868">
        <v>67.935569999999998</v>
      </c>
      <c r="AB485" s="1868">
        <v>69.725809999999996</v>
      </c>
      <c r="AC485" s="1868">
        <v>73.657060000000001</v>
      </c>
      <c r="AD485" s="1868">
        <v>71.783900000000003</v>
      </c>
      <c r="AE485" s="1868">
        <v>69.420869999999994</v>
      </c>
      <c r="AF485" s="1868">
        <v>71.217830000000006</v>
      </c>
      <c r="AG485" s="1868">
        <v>71.750979999999998</v>
      </c>
      <c r="AH485" s="1868">
        <v>71.564250000000001</v>
      </c>
      <c r="AI485" s="1868">
        <v>75.234399999999994</v>
      </c>
      <c r="AJ485" s="1868">
        <v>76.191280000000006</v>
      </c>
      <c r="AK485" s="1868">
        <v>71.688040000000001</v>
      </c>
      <c r="AL485" s="1868">
        <v>80.035359999999997</v>
      </c>
      <c r="AM485" s="1868">
        <v>74.347239999999999</v>
      </c>
      <c r="AN485" s="1868">
        <v>79.361450000000005</v>
      </c>
      <c r="AO485" s="1868">
        <v>79.771950000000004</v>
      </c>
      <c r="AP485" s="1868">
        <v>75.343500000000006</v>
      </c>
      <c r="AQ485" s="1868">
        <v>74.635990000000007</v>
      </c>
      <c r="AR485" s="1868">
        <v>78.278590000000008</v>
      </c>
      <c r="AS485" s="1868">
        <v>74.60257</v>
      </c>
      <c r="AT485" s="1868">
        <v>76.400970000000001</v>
      </c>
      <c r="AU485" s="1868">
        <v>77.606230000000011</v>
      </c>
      <c r="AV485" s="1868">
        <v>78.407430000000005</v>
      </c>
      <c r="AW485" s="1868">
        <v>75.834549999999993</v>
      </c>
      <c r="AX485" s="1868">
        <v>76.770130000000009</v>
      </c>
      <c r="AY485" s="1868">
        <v>76.287049999999994</v>
      </c>
      <c r="AZ485" s="1868">
        <v>75.325900000000004</v>
      </c>
      <c r="BA485" s="1868">
        <v>76.040189999999996</v>
      </c>
    </row>
    <row r="486" spans="1:53">
      <c r="A486" s="1865" t="str">
        <f t="shared" si="7"/>
        <v>Central AmericaSunflower seed</v>
      </c>
      <c r="B486" s="1866" t="s">
        <v>310</v>
      </c>
      <c r="C486" s="1866" t="s">
        <v>1402</v>
      </c>
      <c r="N486" s="1868">
        <v>0.52846000000000004</v>
      </c>
      <c r="O486" s="1868">
        <v>0.92325000000000002</v>
      </c>
      <c r="P486" s="1868">
        <v>0.81848999999999994</v>
      </c>
      <c r="Q486" s="1868">
        <v>1.30209</v>
      </c>
      <c r="R486" s="1868">
        <v>1.31576</v>
      </c>
      <c r="S486" s="1868">
        <v>0.74891000000000008</v>
      </c>
      <c r="T486" s="1868">
        <v>0.66361999999999999</v>
      </c>
      <c r="U486" s="1868">
        <v>0.61901000000000006</v>
      </c>
      <c r="V486" s="1868">
        <v>1.00098</v>
      </c>
      <c r="W486" s="1868">
        <v>1.0288200000000001</v>
      </c>
      <c r="X486" s="1868">
        <v>1.8019000000000001</v>
      </c>
      <c r="Y486" s="1868">
        <v>0.62202000000000002</v>
      </c>
      <c r="Z486" s="1868">
        <v>0.71318999999999999</v>
      </c>
      <c r="AA486" s="1868">
        <v>0.64422999999999997</v>
      </c>
      <c r="AB486" s="1868">
        <v>1.3101200000000002</v>
      </c>
      <c r="AC486" s="1868">
        <v>0.55940000000000001</v>
      </c>
      <c r="AD486" s="1868">
        <v>0.83832000000000007</v>
      </c>
      <c r="AE486" s="1868">
        <v>0.72421999999999997</v>
      </c>
      <c r="AF486" s="1868">
        <v>0.49112</v>
      </c>
      <c r="AG486" s="1868">
        <v>0.12912999999999999</v>
      </c>
      <c r="AH486" s="1868">
        <v>0.8269200000000001</v>
      </c>
      <c r="AI486" s="1868">
        <v>0.76191000000000009</v>
      </c>
      <c r="AJ486" s="1868">
        <v>0.83265</v>
      </c>
      <c r="AK486" s="1868">
        <v>1.7623900000000001</v>
      </c>
      <c r="AL486" s="1868">
        <v>1.7735900000000002</v>
      </c>
      <c r="AM486" s="1868">
        <v>0.89826000000000006</v>
      </c>
      <c r="AN486" s="1868">
        <v>1.0165</v>
      </c>
      <c r="AO486" s="1868">
        <v>0.76019999999999999</v>
      </c>
      <c r="AP486" s="1868">
        <v>1.1543000000000001</v>
      </c>
      <c r="AQ486" s="1868">
        <v>0.7</v>
      </c>
      <c r="AR486" s="1868">
        <v>3.6378400000000002</v>
      </c>
      <c r="AS486" s="1868">
        <v>1.1785700000000001</v>
      </c>
      <c r="AT486" s="1868">
        <v>1.25</v>
      </c>
      <c r="AU486" s="1868">
        <v>2.5777799999999997</v>
      </c>
      <c r="AV486" s="1868">
        <v>1.40909</v>
      </c>
      <c r="AW486" s="1868">
        <v>1.0171399999999999</v>
      </c>
      <c r="AX486" s="1868">
        <v>2.3333300000000001</v>
      </c>
      <c r="AY486" s="1868">
        <v>1.25</v>
      </c>
      <c r="AZ486" s="1868">
        <v>1.53704</v>
      </c>
      <c r="BA486" s="1868">
        <v>2.02183</v>
      </c>
    </row>
    <row r="487" spans="1:53">
      <c r="A487" s="1865" t="str">
        <f t="shared" si="7"/>
        <v>Central AmericaSweet potatoes</v>
      </c>
      <c r="B487" s="1866" t="s">
        <v>310</v>
      </c>
      <c r="C487" s="1866" t="s">
        <v>1403</v>
      </c>
      <c r="D487" s="1868">
        <v>6.0217999999999998</v>
      </c>
      <c r="E487" s="1868">
        <v>6.8837399999999995</v>
      </c>
      <c r="F487" s="1868">
        <v>6.92075</v>
      </c>
      <c r="G487" s="1868">
        <v>6.7697899999999995</v>
      </c>
      <c r="H487" s="1868">
        <v>8.0435999999999996</v>
      </c>
      <c r="I487" s="1868">
        <v>8.83629</v>
      </c>
      <c r="J487" s="1868">
        <v>8.9671000000000003</v>
      </c>
      <c r="K487" s="1868">
        <v>8.5363000000000007</v>
      </c>
      <c r="L487" s="1868">
        <v>9.2049099999999999</v>
      </c>
      <c r="M487" s="1868">
        <v>9.427010000000001</v>
      </c>
      <c r="N487" s="1868">
        <v>10.51784</v>
      </c>
      <c r="O487" s="1868">
        <v>11.113300000000001</v>
      </c>
      <c r="P487" s="1868">
        <v>10.15254</v>
      </c>
      <c r="Q487" s="1868">
        <v>10.00193</v>
      </c>
      <c r="R487" s="1868">
        <v>10.402660000000001</v>
      </c>
      <c r="S487" s="1868">
        <v>10.93806</v>
      </c>
      <c r="T487" s="1868">
        <v>9.8342399999999994</v>
      </c>
      <c r="U487" s="1868">
        <v>9.7485699999999991</v>
      </c>
      <c r="V487" s="1868">
        <v>12.642580000000001</v>
      </c>
      <c r="W487" s="1868">
        <v>10.437279999999999</v>
      </c>
      <c r="X487" s="1868">
        <v>13.80294</v>
      </c>
      <c r="Y487" s="1868">
        <v>13.495749999999999</v>
      </c>
      <c r="Z487" s="1868">
        <v>14.225320000000002</v>
      </c>
      <c r="AA487" s="1868">
        <v>13.825060000000001</v>
      </c>
      <c r="AB487" s="1868">
        <v>17.242279999999997</v>
      </c>
      <c r="AC487" s="1868">
        <v>11.90559</v>
      </c>
      <c r="AD487" s="1868">
        <v>16.6663</v>
      </c>
      <c r="AE487" s="1868">
        <v>15.336839999999999</v>
      </c>
      <c r="AF487" s="1868">
        <v>11.993260000000001</v>
      </c>
      <c r="AG487" s="1868">
        <v>15.669560000000001</v>
      </c>
      <c r="AH487" s="1868">
        <v>15.985920000000002</v>
      </c>
      <c r="AI487" s="1868">
        <v>18.526299999999999</v>
      </c>
      <c r="AJ487" s="1868">
        <v>16.987100000000002</v>
      </c>
      <c r="AK487" s="1868">
        <v>17.864979999999999</v>
      </c>
      <c r="AL487" s="1868">
        <v>16.071179999999998</v>
      </c>
      <c r="AM487" s="1868">
        <v>17.130269999999999</v>
      </c>
      <c r="AN487" s="1868">
        <v>19.76079</v>
      </c>
      <c r="AO487" s="1868">
        <v>17.462959999999999</v>
      </c>
      <c r="AP487" s="1868">
        <v>18.247320000000002</v>
      </c>
      <c r="AQ487" s="1868">
        <v>17.870149999999999</v>
      </c>
      <c r="AR487" s="1868">
        <v>18.922699999999999</v>
      </c>
      <c r="AS487" s="1868">
        <v>17.40645</v>
      </c>
      <c r="AT487" s="1868">
        <v>22.12378</v>
      </c>
      <c r="AU487" s="1868">
        <v>20.035039999999999</v>
      </c>
      <c r="AV487" s="1868">
        <v>19.512229999999999</v>
      </c>
      <c r="AW487" s="1868">
        <v>18.101420000000001</v>
      </c>
      <c r="AX487" s="1868">
        <v>16.455770000000001</v>
      </c>
      <c r="AY487" s="1868">
        <v>17.11731</v>
      </c>
      <c r="AZ487" s="1868">
        <v>13.965570000000001</v>
      </c>
      <c r="BA487" s="1868">
        <v>14.514429999999999</v>
      </c>
    </row>
    <row r="488" spans="1:53">
      <c r="A488" s="1865" t="str">
        <f t="shared" si="7"/>
        <v>Central AmericaTangerines, mandarins, clem.</v>
      </c>
      <c r="B488" s="1866" t="s">
        <v>310</v>
      </c>
      <c r="C488" s="1866" t="s">
        <v>1404</v>
      </c>
      <c r="D488" s="1868">
        <v>8.9</v>
      </c>
      <c r="E488" s="1868">
        <v>8.9</v>
      </c>
      <c r="F488" s="1868">
        <v>8.9705899999999996</v>
      </c>
      <c r="G488" s="1868">
        <v>9.0277799999999999</v>
      </c>
      <c r="H488" s="1868">
        <v>9.0842100000000006</v>
      </c>
      <c r="I488" s="1868">
        <v>9.1300000000000008</v>
      </c>
      <c r="J488" s="1868">
        <v>9.2136399999999998</v>
      </c>
      <c r="K488" s="1868">
        <v>9.2136399999999998</v>
      </c>
      <c r="L488" s="1868">
        <v>9.6727299999999996</v>
      </c>
      <c r="M488" s="1868">
        <v>9.6727299999999996</v>
      </c>
      <c r="N488" s="1868">
        <v>9.5863600000000009</v>
      </c>
      <c r="O488" s="1868">
        <v>9.6055600000000005</v>
      </c>
      <c r="P488" s="1868">
        <v>9.5909100000000009</v>
      </c>
      <c r="Q488" s="1868">
        <v>9.5230800000000002</v>
      </c>
      <c r="R488" s="1868">
        <v>9.8150600000000008</v>
      </c>
      <c r="S488" s="1868">
        <v>10.163</v>
      </c>
      <c r="T488" s="1868">
        <v>11.04149</v>
      </c>
      <c r="U488" s="1868">
        <v>9.3454699999999988</v>
      </c>
      <c r="V488" s="1868">
        <v>13.043710000000001</v>
      </c>
      <c r="W488" s="1868">
        <v>11.938510000000001</v>
      </c>
      <c r="X488" s="1868">
        <v>7.14452</v>
      </c>
      <c r="Y488" s="1868">
        <v>12.507569999999999</v>
      </c>
      <c r="Z488" s="1868">
        <v>10.499830000000001</v>
      </c>
      <c r="AA488" s="1868">
        <v>10.077060000000001</v>
      </c>
      <c r="AB488" s="1868">
        <v>8.2139699999999998</v>
      </c>
      <c r="AC488" s="1868">
        <v>7.9645700000000001</v>
      </c>
      <c r="AD488" s="1868">
        <v>9.0331499999999991</v>
      </c>
      <c r="AE488" s="1868">
        <v>9.8469300000000004</v>
      </c>
      <c r="AF488" s="1868">
        <v>11.973850000000001</v>
      </c>
      <c r="AG488" s="1868">
        <v>12.603429999999999</v>
      </c>
      <c r="AH488" s="1868">
        <v>13.295770000000001</v>
      </c>
      <c r="AI488" s="1868">
        <v>10.114319999999999</v>
      </c>
      <c r="AJ488" s="1868">
        <v>11.48321</v>
      </c>
      <c r="AK488" s="1868">
        <v>11.46518</v>
      </c>
      <c r="AL488" s="1868">
        <v>14.377239999999999</v>
      </c>
      <c r="AM488" s="1868">
        <v>18.47278</v>
      </c>
      <c r="AN488" s="1868">
        <v>14.515220000000001</v>
      </c>
      <c r="AO488" s="1868">
        <v>12.118650000000001</v>
      </c>
      <c r="AP488" s="1868">
        <v>11.422779999999999</v>
      </c>
      <c r="AQ488" s="1868">
        <v>12.19633</v>
      </c>
      <c r="AR488" s="1868">
        <v>13.41555</v>
      </c>
      <c r="AS488" s="1868">
        <v>13.28241</v>
      </c>
      <c r="AT488" s="1868">
        <v>12.731350000000001</v>
      </c>
      <c r="AU488" s="1868">
        <v>14.18295</v>
      </c>
      <c r="AV488" s="1868">
        <v>13.821929999999998</v>
      </c>
      <c r="AW488" s="1868">
        <v>12.187519999999999</v>
      </c>
      <c r="AX488" s="1868">
        <v>14.348129999999999</v>
      </c>
      <c r="AY488" s="1868">
        <v>14.033029999999998</v>
      </c>
      <c r="AZ488" s="1868">
        <v>12.742389999999999</v>
      </c>
      <c r="BA488" s="1868">
        <v>11.733169999999999</v>
      </c>
    </row>
    <row r="489" spans="1:53">
      <c r="A489" s="1865" t="str">
        <f t="shared" si="7"/>
        <v>Central AmericaTea</v>
      </c>
      <c r="B489" s="1866" t="s">
        <v>310</v>
      </c>
      <c r="C489" s="1866" t="s">
        <v>1405</v>
      </c>
      <c r="AB489" s="1868">
        <v>0.82667000000000013</v>
      </c>
      <c r="AC489" s="1868">
        <v>0.87114999999999998</v>
      </c>
      <c r="AD489" s="1868">
        <v>0.86</v>
      </c>
      <c r="AE489" s="1868">
        <v>0.9015200000000001</v>
      </c>
      <c r="AF489" s="1868">
        <v>0.89516000000000007</v>
      </c>
      <c r="AG489" s="1868">
        <v>0.89862999999999993</v>
      </c>
      <c r="AH489" s="1868">
        <v>0.91571000000000002</v>
      </c>
      <c r="AI489" s="1868">
        <v>0.94064999999999999</v>
      </c>
      <c r="AJ489" s="1868">
        <v>0.94</v>
      </c>
      <c r="AK489" s="1868">
        <v>0.97755000000000003</v>
      </c>
      <c r="AL489" s="1868">
        <v>0.98762000000000005</v>
      </c>
      <c r="AM489" s="1868">
        <v>1.089</v>
      </c>
      <c r="AN489" s="1868">
        <v>1.11632</v>
      </c>
      <c r="AO489" s="1868">
        <v>1.09476</v>
      </c>
      <c r="AP489" s="1868">
        <v>0.93387000000000009</v>
      </c>
      <c r="AQ489" s="1868">
        <v>0.92857000000000012</v>
      </c>
      <c r="AR489" s="1868">
        <v>0.95369999999999999</v>
      </c>
      <c r="AS489" s="1868">
        <v>0.85687999999999998</v>
      </c>
      <c r="AT489" s="1868">
        <v>1.0458700000000001</v>
      </c>
      <c r="AU489" s="1868">
        <v>1.0066999999999999</v>
      </c>
      <c r="AV489" s="1868">
        <v>0.97202999999999995</v>
      </c>
      <c r="AW489" s="1868">
        <v>0.92343999999999993</v>
      </c>
      <c r="AX489" s="1868">
        <v>0.92592999999999992</v>
      </c>
      <c r="AY489" s="1868">
        <v>0.93703999999999998</v>
      </c>
      <c r="AZ489" s="1868">
        <v>0.94211</v>
      </c>
      <c r="BA489" s="1868">
        <v>1.0410999999999999</v>
      </c>
    </row>
    <row r="490" spans="1:53">
      <c r="A490" s="1865" t="str">
        <f t="shared" si="7"/>
        <v>Central AmericaTobacco, unmanufactured</v>
      </c>
      <c r="B490" s="1866" t="s">
        <v>310</v>
      </c>
      <c r="C490" s="1866" t="s">
        <v>1347</v>
      </c>
      <c r="D490" s="1868">
        <v>1.22563</v>
      </c>
      <c r="E490" s="1868">
        <v>1.2501899999999999</v>
      </c>
      <c r="F490" s="1868">
        <v>1.2463200000000001</v>
      </c>
      <c r="G490" s="1868">
        <v>1.2422200000000001</v>
      </c>
      <c r="H490" s="1868">
        <v>1.32182</v>
      </c>
      <c r="I490" s="1868">
        <v>1.3112600000000001</v>
      </c>
      <c r="J490" s="1868">
        <v>1.3170999999999999</v>
      </c>
      <c r="K490" s="1868">
        <v>1.31901</v>
      </c>
      <c r="L490" s="1868">
        <v>1.5583200000000001</v>
      </c>
      <c r="M490" s="1868">
        <v>1.51718</v>
      </c>
      <c r="N490" s="1868">
        <v>1.4949399999999999</v>
      </c>
      <c r="O490" s="1868">
        <v>1.5214799999999999</v>
      </c>
      <c r="P490" s="1868">
        <v>1.5416799999999999</v>
      </c>
      <c r="Q490" s="1868">
        <v>1.63483</v>
      </c>
      <c r="R490" s="1868">
        <v>1.63609</v>
      </c>
      <c r="S490" s="1868">
        <v>1.6167100000000001</v>
      </c>
      <c r="T490" s="1868">
        <v>1.39184</v>
      </c>
      <c r="U490" s="1868">
        <v>1.5325799999999998</v>
      </c>
      <c r="V490" s="1868">
        <v>1.49769</v>
      </c>
      <c r="W490" s="1868">
        <v>1.8996900000000001</v>
      </c>
      <c r="X490" s="1868">
        <v>1.42357</v>
      </c>
      <c r="Y490" s="1868">
        <v>1.53104</v>
      </c>
      <c r="Z490" s="1868">
        <v>1.3756600000000001</v>
      </c>
      <c r="AA490" s="1868">
        <v>1.3470899999999999</v>
      </c>
      <c r="AB490" s="1868">
        <v>1.35772</v>
      </c>
      <c r="AC490" s="1868">
        <v>1.3892899999999999</v>
      </c>
      <c r="AD490" s="1868">
        <v>1.44072</v>
      </c>
      <c r="AE490" s="1868">
        <v>1.56463</v>
      </c>
      <c r="AF490" s="1868">
        <v>1.62564</v>
      </c>
      <c r="AG490" s="1868">
        <v>1.3245</v>
      </c>
      <c r="AH490" s="1868">
        <v>1.47496</v>
      </c>
      <c r="AI490" s="1868">
        <v>1.4852000000000001</v>
      </c>
      <c r="AJ490" s="1868">
        <v>1.8426200000000001</v>
      </c>
      <c r="AK490" s="1868">
        <v>1.9621599999999999</v>
      </c>
      <c r="AL490" s="1868">
        <v>1.30681</v>
      </c>
      <c r="AM490" s="1868">
        <v>1.7050900000000002</v>
      </c>
      <c r="AN490" s="1868">
        <v>1.5559499999999999</v>
      </c>
      <c r="AO490" s="1868">
        <v>1.4479799999999998</v>
      </c>
      <c r="AP490" s="1868">
        <v>1.6074999999999999</v>
      </c>
      <c r="AQ490" s="1868">
        <v>1.6301399999999999</v>
      </c>
      <c r="AR490" s="1868">
        <v>1.6038399999999999</v>
      </c>
      <c r="AS490" s="1868">
        <v>1.85503</v>
      </c>
      <c r="AT490" s="1868">
        <v>1.78677</v>
      </c>
      <c r="AU490" s="1868">
        <v>1.94347</v>
      </c>
      <c r="AV490" s="1868">
        <v>1.8748799999999999</v>
      </c>
      <c r="AW490" s="1868">
        <v>1.9634</v>
      </c>
      <c r="AX490" s="1868">
        <v>1.9900799999999998</v>
      </c>
      <c r="AY490" s="1868">
        <v>1.9945700000000002</v>
      </c>
      <c r="AZ490" s="1868">
        <v>1.96533</v>
      </c>
      <c r="BA490" s="1868">
        <v>1.8036000000000001</v>
      </c>
    </row>
    <row r="491" spans="1:53">
      <c r="A491" s="1865" t="str">
        <f t="shared" si="7"/>
        <v>Central AmericaTomatoes</v>
      </c>
      <c r="B491" s="1866" t="s">
        <v>310</v>
      </c>
      <c r="C491" s="1866" t="s">
        <v>1406</v>
      </c>
      <c r="D491" s="1868">
        <v>7.0802899999999998</v>
      </c>
      <c r="E491" s="1868">
        <v>6.9503199999999996</v>
      </c>
      <c r="F491" s="1868">
        <v>7.0690899999999992</v>
      </c>
      <c r="G491" s="1868">
        <v>7.0573199999999998</v>
      </c>
      <c r="H491" s="1868">
        <v>10.48362</v>
      </c>
      <c r="I491" s="1868">
        <v>10.416739999999999</v>
      </c>
      <c r="J491" s="1868">
        <v>11.251849999999999</v>
      </c>
      <c r="K491" s="1868">
        <v>11.08573</v>
      </c>
      <c r="L491" s="1868">
        <v>11.16671</v>
      </c>
      <c r="M491" s="1868">
        <v>12.384169999999999</v>
      </c>
      <c r="N491" s="1868">
        <v>13.396460000000001</v>
      </c>
      <c r="O491" s="1868">
        <v>14.4346</v>
      </c>
      <c r="P491" s="1868">
        <v>13.63964</v>
      </c>
      <c r="Q491" s="1868">
        <v>15.072610000000001</v>
      </c>
      <c r="R491" s="1868">
        <v>14.734639999999999</v>
      </c>
      <c r="S491" s="1868">
        <v>13.21139</v>
      </c>
      <c r="T491" s="1868">
        <v>13.0722</v>
      </c>
      <c r="U491" s="1868">
        <v>16.932200000000002</v>
      </c>
      <c r="V491" s="1868">
        <v>16.57931</v>
      </c>
      <c r="W491" s="1868">
        <v>16.10322</v>
      </c>
      <c r="X491" s="1868">
        <v>18.205679999999997</v>
      </c>
      <c r="Y491" s="1868">
        <v>18.819960000000002</v>
      </c>
      <c r="Z491" s="1868">
        <v>19.671879999999998</v>
      </c>
      <c r="AA491" s="1868">
        <v>20.108750000000001</v>
      </c>
      <c r="AB491" s="1868">
        <v>20.143139999999999</v>
      </c>
      <c r="AC491" s="1868">
        <v>23.755689999999998</v>
      </c>
      <c r="AD491" s="1868">
        <v>20.519029999999997</v>
      </c>
      <c r="AE491" s="1868">
        <v>21.053999999999998</v>
      </c>
      <c r="AF491" s="1868">
        <v>21.322199999999999</v>
      </c>
      <c r="AG491" s="1868">
        <v>20.327490000000001</v>
      </c>
      <c r="AH491" s="1868">
        <v>20.286349999999999</v>
      </c>
      <c r="AI491" s="1868">
        <v>16.735600000000002</v>
      </c>
      <c r="AJ491" s="1868">
        <v>19.386949999999999</v>
      </c>
      <c r="AK491" s="1868">
        <v>18.40455</v>
      </c>
      <c r="AL491" s="1868">
        <v>21.507429999999999</v>
      </c>
      <c r="AM491" s="1868">
        <v>22.909559999999999</v>
      </c>
      <c r="AN491" s="1868">
        <v>22.31879</v>
      </c>
      <c r="AO491" s="1868">
        <v>22.779450000000001</v>
      </c>
      <c r="AP491" s="1868">
        <v>23.179560000000002</v>
      </c>
      <c r="AQ491" s="1868">
        <v>21.448329999999999</v>
      </c>
      <c r="AR491" s="1868">
        <v>22.56831</v>
      </c>
      <c r="AS491" s="1868">
        <v>22.809760000000001</v>
      </c>
      <c r="AT491" s="1868">
        <v>24.07546</v>
      </c>
      <c r="AU491" s="1868">
        <v>24.77205</v>
      </c>
      <c r="AV491" s="1868">
        <v>24.309149999999999</v>
      </c>
      <c r="AW491" s="1868">
        <v>24.56869</v>
      </c>
      <c r="AX491" s="1868">
        <v>27.795409999999997</v>
      </c>
      <c r="AY491" s="1868">
        <v>29.52965</v>
      </c>
      <c r="AZ491" s="1868">
        <v>27.517120000000002</v>
      </c>
      <c r="BA491" s="1868">
        <v>31.175390000000004</v>
      </c>
    </row>
    <row r="492" spans="1:53">
      <c r="A492" s="1865" t="str">
        <f t="shared" si="7"/>
        <v>Central AmericaTriticale</v>
      </c>
      <c r="B492" s="1866" t="s">
        <v>310</v>
      </c>
      <c r="C492" s="1866" t="s">
        <v>1361</v>
      </c>
      <c r="W492" s="1868">
        <v>2.5</v>
      </c>
      <c r="X492" s="1868">
        <v>1.375</v>
      </c>
      <c r="Y492" s="1868">
        <v>1.5</v>
      </c>
      <c r="Z492" s="1868">
        <v>3.9117699999999997</v>
      </c>
      <c r="AA492" s="1868">
        <v>1.6403900000000002</v>
      </c>
      <c r="AB492" s="1868">
        <v>2.1569799999999999</v>
      </c>
      <c r="AC492" s="1868">
        <v>1.8451400000000002</v>
      </c>
      <c r="AD492" s="1868">
        <v>1.6978500000000001</v>
      </c>
      <c r="AE492" s="1868">
        <v>3.1670099999999999</v>
      </c>
      <c r="AF492" s="1868">
        <v>2.89655</v>
      </c>
      <c r="AG492" s="1868">
        <v>2.9151500000000001</v>
      </c>
      <c r="AH492" s="1868">
        <v>4.2653099999999995</v>
      </c>
      <c r="AI492" s="1868">
        <v>4.2441900000000006</v>
      </c>
      <c r="AK492" s="1868">
        <v>1.93333</v>
      </c>
      <c r="AM492" s="1868">
        <v>1</v>
      </c>
      <c r="AN492" s="1868">
        <v>4.2061900000000003</v>
      </c>
      <c r="AO492" s="1868">
        <v>1.3819399999999999</v>
      </c>
      <c r="AP492" s="1868">
        <v>1.9230799999999999</v>
      </c>
      <c r="AQ492" s="1868">
        <v>2.2175700000000003</v>
      </c>
      <c r="AR492" s="1868">
        <v>2.1724999999999999</v>
      </c>
      <c r="AS492" s="1868">
        <v>2.8664200000000002</v>
      </c>
      <c r="AT492" s="1868">
        <v>3.5459199999999997</v>
      </c>
      <c r="AU492" s="1868">
        <v>3.6444999999999999</v>
      </c>
      <c r="AV492" s="1868">
        <v>4.1328500000000004</v>
      </c>
      <c r="AW492" s="1868">
        <v>4.5575099999999997</v>
      </c>
      <c r="AX492" s="1868">
        <v>4.7179500000000001</v>
      </c>
      <c r="AY492" s="1868">
        <v>2.5615000000000001</v>
      </c>
      <c r="AZ492" s="1868">
        <v>2.4313700000000003</v>
      </c>
      <c r="BA492" s="1868">
        <v>1.9336099999999998</v>
      </c>
    </row>
    <row r="493" spans="1:53">
      <c r="A493" s="1865" t="str">
        <f t="shared" si="7"/>
        <v>Central AmericaVegetables fresh nes</v>
      </c>
      <c r="B493" s="1866" t="s">
        <v>310</v>
      </c>
      <c r="C493" s="1866" t="s">
        <v>1407</v>
      </c>
      <c r="D493" s="1868">
        <v>7.6490800000000005</v>
      </c>
      <c r="E493" s="1868">
        <v>7.7841800000000001</v>
      </c>
      <c r="F493" s="1868">
        <v>7.7663500000000001</v>
      </c>
      <c r="G493" s="1868">
        <v>7.8180600000000009</v>
      </c>
      <c r="H493" s="1868">
        <v>8.0880700000000001</v>
      </c>
      <c r="I493" s="1868">
        <v>8.1479400000000002</v>
      </c>
      <c r="J493" s="1868">
        <v>8.0450499999999998</v>
      </c>
      <c r="K493" s="1868">
        <v>8.2741100000000003</v>
      </c>
      <c r="L493" s="1868">
        <v>8.2919499999999999</v>
      </c>
      <c r="M493" s="1868">
        <v>8.4640899999999988</v>
      </c>
      <c r="N493" s="1868">
        <v>8.5597899999999996</v>
      </c>
      <c r="O493" s="1868">
        <v>8.84558</v>
      </c>
      <c r="P493" s="1868">
        <v>8.7182300000000001</v>
      </c>
      <c r="Q493" s="1868">
        <v>8.59023</v>
      </c>
      <c r="R493" s="1868">
        <v>8.6291799999999999</v>
      </c>
      <c r="S493" s="1868">
        <v>9.03749</v>
      </c>
      <c r="T493" s="1868">
        <v>9.0808400000000002</v>
      </c>
      <c r="U493" s="1868">
        <v>9.5324600000000004</v>
      </c>
      <c r="V493" s="1868">
        <v>8.9527300000000007</v>
      </c>
      <c r="W493" s="1868">
        <v>6.5431900000000001</v>
      </c>
      <c r="X493" s="1868">
        <v>6.8668600000000009</v>
      </c>
      <c r="Y493" s="1868">
        <v>7.2298200000000001</v>
      </c>
      <c r="Z493" s="1868">
        <v>7.3922800000000004</v>
      </c>
      <c r="AA493" s="1868">
        <v>7.5095300000000007</v>
      </c>
      <c r="AB493" s="1868">
        <v>8.4145500000000002</v>
      </c>
      <c r="AC493" s="1868">
        <v>8.6017899999999994</v>
      </c>
      <c r="AD493" s="1868">
        <v>8.5454899999999991</v>
      </c>
      <c r="AE493" s="1868">
        <v>8.6736699999999995</v>
      </c>
      <c r="AF493" s="1868">
        <v>8.0874500000000005</v>
      </c>
      <c r="AG493" s="1868">
        <v>8.4053000000000004</v>
      </c>
      <c r="AH493" s="1868">
        <v>8.6573600000000006</v>
      </c>
      <c r="AI493" s="1868">
        <v>8.27102</v>
      </c>
      <c r="AJ493" s="1868">
        <v>8.5344499999999996</v>
      </c>
      <c r="AK493" s="1868">
        <v>8.9062900000000003</v>
      </c>
      <c r="AL493" s="1868">
        <v>8.8231899999999985</v>
      </c>
      <c r="AM493" s="1868">
        <v>8.4541000000000004</v>
      </c>
      <c r="AN493" s="1868">
        <v>8.509310000000001</v>
      </c>
      <c r="AO493" s="1868">
        <v>8.77121</v>
      </c>
      <c r="AP493" s="1868">
        <v>8.4510300000000012</v>
      </c>
      <c r="AQ493" s="1868">
        <v>8.4551999999999996</v>
      </c>
      <c r="AR493" s="1868">
        <v>8.5289399999999986</v>
      </c>
      <c r="AS493" s="1868">
        <v>8.5165000000000006</v>
      </c>
      <c r="AT493" s="1868">
        <v>8.6650899999999993</v>
      </c>
      <c r="AU493" s="1868">
        <v>8.4142499999999991</v>
      </c>
      <c r="AV493" s="1868">
        <v>8.6130899999999997</v>
      </c>
      <c r="AW493" s="1868">
        <v>8.7857899999999987</v>
      </c>
      <c r="AX493" s="1868">
        <v>8.7340999999999998</v>
      </c>
      <c r="AY493" s="1868">
        <v>8.3127600000000008</v>
      </c>
      <c r="AZ493" s="1868">
        <v>8.0140499999999992</v>
      </c>
      <c r="BA493" s="1868">
        <v>8.6936199999999992</v>
      </c>
    </row>
    <row r="494" spans="1:53">
      <c r="A494" s="1865" t="str">
        <f t="shared" si="7"/>
        <v>Central AmericaVetches</v>
      </c>
      <c r="B494" s="1866" t="s">
        <v>310</v>
      </c>
      <c r="C494" s="1866" t="s">
        <v>1408</v>
      </c>
      <c r="W494" s="1868">
        <v>15.0968</v>
      </c>
      <c r="X494" s="1868">
        <v>15.312250000000001</v>
      </c>
      <c r="Y494" s="1868">
        <v>17.02777</v>
      </c>
      <c r="Z494" s="1868">
        <v>14.017339999999999</v>
      </c>
      <c r="AB494" s="1868">
        <v>11.275600000000001</v>
      </c>
      <c r="AC494" s="1868">
        <v>13.94581</v>
      </c>
      <c r="AD494" s="1868">
        <v>12.155510000000001</v>
      </c>
      <c r="AE494" s="1868">
        <v>16.81813</v>
      </c>
      <c r="AF494" s="1868">
        <v>13.076080000000001</v>
      </c>
      <c r="AG494" s="1868">
        <v>17.64838</v>
      </c>
      <c r="AH494" s="1868">
        <v>13.672189999999999</v>
      </c>
      <c r="AI494" s="1868">
        <v>12.655250000000001</v>
      </c>
      <c r="AJ494" s="1868">
        <v>13.301170000000001</v>
      </c>
      <c r="AK494" s="1868">
        <v>14.659460000000001</v>
      </c>
      <c r="AL494" s="1868">
        <v>13.581679999999999</v>
      </c>
      <c r="AM494" s="1868">
        <v>14.790229999999999</v>
      </c>
      <c r="AN494" s="1868">
        <v>12.953279999999999</v>
      </c>
      <c r="AO494" s="1868">
        <v>11.350660000000001</v>
      </c>
      <c r="AP494" s="1868">
        <v>12.933019999999999</v>
      </c>
      <c r="AQ494" s="1868">
        <v>12.139669999999999</v>
      </c>
      <c r="AR494" s="1868">
        <v>12.42689</v>
      </c>
      <c r="AS494" s="1868">
        <v>12.80457</v>
      </c>
      <c r="AT494" s="1868">
        <v>11.497630000000001</v>
      </c>
      <c r="AU494" s="1868">
        <v>12.11107</v>
      </c>
      <c r="AV494" s="1868">
        <v>13.538449999999999</v>
      </c>
      <c r="AW494" s="1868">
        <v>12.44833</v>
      </c>
      <c r="AX494" s="1868">
        <v>13.60271</v>
      </c>
      <c r="AY494" s="1868">
        <v>10.667680000000001</v>
      </c>
      <c r="AZ494" s="1868">
        <v>10.975610000000001</v>
      </c>
      <c r="BA494" s="1868">
        <v>9.0275199999999991</v>
      </c>
    </row>
    <row r="495" spans="1:53">
      <c r="A495" s="1865" t="str">
        <f t="shared" si="7"/>
        <v>Central AmericaWheat</v>
      </c>
      <c r="B495" s="1866" t="s">
        <v>310</v>
      </c>
      <c r="C495" s="1866" t="s">
        <v>1409</v>
      </c>
      <c r="D495" s="1868">
        <v>1.6383000000000001</v>
      </c>
      <c r="E495" s="1868">
        <v>1.88897</v>
      </c>
      <c r="F495" s="1868">
        <v>2.02704</v>
      </c>
      <c r="G495" s="1868">
        <v>2.6109499999999999</v>
      </c>
      <c r="H495" s="1868">
        <v>2.45756</v>
      </c>
      <c r="I495" s="1868">
        <v>2.20051</v>
      </c>
      <c r="J495" s="1868">
        <v>2.64249</v>
      </c>
      <c r="K495" s="1868">
        <v>2.5739200000000002</v>
      </c>
      <c r="L495" s="1868">
        <v>2.70295</v>
      </c>
      <c r="M495" s="1868">
        <v>2.9499499999999999</v>
      </c>
      <c r="N495" s="1868">
        <v>2.89378</v>
      </c>
      <c r="O495" s="1868">
        <v>2.5727500000000001</v>
      </c>
      <c r="P495" s="1868">
        <v>3.1958099999999998</v>
      </c>
      <c r="Q495" s="1868">
        <v>3.4714300000000002</v>
      </c>
      <c r="R495" s="1868">
        <v>3.4792900000000002</v>
      </c>
      <c r="S495" s="1868">
        <v>3.6629300000000002</v>
      </c>
      <c r="T495" s="1868">
        <v>3.3304300000000002</v>
      </c>
      <c r="U495" s="1868">
        <v>3.5000400000000003</v>
      </c>
      <c r="V495" s="1868">
        <v>3.77305</v>
      </c>
      <c r="W495" s="1868">
        <v>3.7198500000000001</v>
      </c>
      <c r="X495" s="1868">
        <v>3.6411699999999998</v>
      </c>
      <c r="Y495" s="1868">
        <v>4.2749800000000002</v>
      </c>
      <c r="Z495" s="1868">
        <v>3.9643900000000003</v>
      </c>
      <c r="AA495" s="1868">
        <v>4.3073600000000001</v>
      </c>
      <c r="AB495" s="1868">
        <v>4.2163900000000005</v>
      </c>
      <c r="AC495" s="1868">
        <v>3.9221499999999998</v>
      </c>
      <c r="AD495" s="1868">
        <v>4.40909</v>
      </c>
      <c r="AE495" s="1868">
        <v>3.95729</v>
      </c>
      <c r="AF495" s="1868">
        <v>3.7855800000000004</v>
      </c>
      <c r="AG495" s="1868">
        <v>4.1719200000000001</v>
      </c>
      <c r="AH495" s="1868">
        <v>4.0979900000000002</v>
      </c>
      <c r="AI495" s="1868">
        <v>3.9242800000000004</v>
      </c>
      <c r="AJ495" s="1868">
        <v>4.0482199999999997</v>
      </c>
      <c r="AK495" s="1868">
        <v>4.27027</v>
      </c>
      <c r="AL495" s="1868">
        <v>3.7060699999999995</v>
      </c>
      <c r="AM495" s="1868">
        <v>4.1364800000000006</v>
      </c>
      <c r="AN495" s="1868">
        <v>4.6882099999999998</v>
      </c>
      <c r="AO495" s="1868">
        <v>4.17659</v>
      </c>
      <c r="AP495" s="1868">
        <v>4.6010999999999997</v>
      </c>
      <c r="AQ495" s="1868">
        <v>4.9047300000000007</v>
      </c>
      <c r="AR495" s="1868">
        <v>4.7354599999999998</v>
      </c>
      <c r="AS495" s="1868">
        <v>5.0620199999999995</v>
      </c>
      <c r="AT495" s="1868">
        <v>4.4544699999999997</v>
      </c>
      <c r="AU495" s="1868">
        <v>4.4492500000000001</v>
      </c>
      <c r="AV495" s="1868">
        <v>4.7154300000000005</v>
      </c>
      <c r="AW495" s="1868">
        <v>5.1878400000000005</v>
      </c>
      <c r="AX495" s="1868">
        <v>5.0537300000000007</v>
      </c>
      <c r="AY495" s="1868">
        <v>4.9879499999999997</v>
      </c>
      <c r="AZ495" s="1868">
        <v>4.9385300000000001</v>
      </c>
      <c r="BA495" s="1868">
        <v>5.3761900000000002</v>
      </c>
    </row>
    <row r="496" spans="1:53">
      <c r="A496" s="1865" t="str">
        <f t="shared" si="7"/>
        <v>Central AmericaCereals (Rice Milled Eqv</v>
      </c>
      <c r="B496" s="1866" t="s">
        <v>310</v>
      </c>
      <c r="C496" s="1866" t="s">
        <v>1410</v>
      </c>
      <c r="D496" s="1868">
        <v>1.04986</v>
      </c>
      <c r="E496" s="1868">
        <v>1.0762100000000001</v>
      </c>
      <c r="F496" s="1868">
        <v>1.0860100000000001</v>
      </c>
      <c r="G496" s="1868">
        <v>1.2324299999999999</v>
      </c>
      <c r="H496" s="1868">
        <v>1.2632099999999999</v>
      </c>
      <c r="I496" s="1868">
        <v>1.23207</v>
      </c>
      <c r="J496" s="1868">
        <v>1.28965</v>
      </c>
      <c r="K496" s="1868">
        <v>1.3566799999999999</v>
      </c>
      <c r="L496" s="1868">
        <v>1.4081700000000001</v>
      </c>
      <c r="M496" s="1868">
        <v>1.47017</v>
      </c>
      <c r="N496" s="1868">
        <v>1.4625900000000001</v>
      </c>
      <c r="O496" s="1868">
        <v>1.4331499999999999</v>
      </c>
      <c r="P496" s="1868">
        <v>1.4681999999999999</v>
      </c>
      <c r="Q496" s="1868">
        <v>1.52989</v>
      </c>
      <c r="R496" s="1868">
        <v>1.6562299999999999</v>
      </c>
      <c r="S496" s="1868">
        <v>1.61039</v>
      </c>
      <c r="T496" s="1868">
        <v>1.6548499999999999</v>
      </c>
      <c r="U496" s="1868">
        <v>1.79942</v>
      </c>
      <c r="V496" s="1868">
        <v>1.8756700000000002</v>
      </c>
      <c r="W496" s="1868">
        <v>2.0415299999999998</v>
      </c>
      <c r="X496" s="1868">
        <v>2.1339000000000001</v>
      </c>
      <c r="Y496" s="1868">
        <v>2.2117499999999999</v>
      </c>
      <c r="Z496" s="1868">
        <v>2.0804999999999998</v>
      </c>
      <c r="AA496" s="1868">
        <v>2.1884200000000003</v>
      </c>
      <c r="AB496" s="1868">
        <v>2.2742599999999999</v>
      </c>
      <c r="AC496" s="1868">
        <v>2.1863599999999996</v>
      </c>
      <c r="AD496" s="1868">
        <v>2.16751</v>
      </c>
      <c r="AE496" s="1868">
        <v>2.07856</v>
      </c>
      <c r="AF496" s="1868">
        <v>2.1009500000000001</v>
      </c>
      <c r="AG496" s="1868">
        <v>2.29426</v>
      </c>
      <c r="AH496" s="1868">
        <v>2.2545500000000001</v>
      </c>
      <c r="AI496" s="1868">
        <v>2.50061</v>
      </c>
      <c r="AJ496" s="1868">
        <v>2.4417499999999999</v>
      </c>
      <c r="AK496" s="1868">
        <v>2.3543599999999998</v>
      </c>
      <c r="AL496" s="1868">
        <v>2.3774199999999999</v>
      </c>
      <c r="AM496" s="1868">
        <v>2.4106200000000002</v>
      </c>
      <c r="AN496" s="1868">
        <v>2.4813099999999997</v>
      </c>
      <c r="AO496" s="1868">
        <v>2.4412700000000003</v>
      </c>
      <c r="AP496" s="1868">
        <v>2.5182500000000001</v>
      </c>
      <c r="AQ496" s="1868">
        <v>2.5634299999999999</v>
      </c>
      <c r="AR496" s="1868">
        <v>2.6525699999999999</v>
      </c>
      <c r="AS496" s="1868">
        <v>2.6866500000000002</v>
      </c>
      <c r="AT496" s="1868">
        <v>2.7433299999999998</v>
      </c>
      <c r="AU496" s="1868">
        <v>2.82958</v>
      </c>
      <c r="AV496" s="1868">
        <v>2.8262499999999999</v>
      </c>
      <c r="AW496" s="1868">
        <v>2.9396599999999999</v>
      </c>
      <c r="AX496" s="1868">
        <v>3.1297700000000002</v>
      </c>
      <c r="AY496" s="1868">
        <v>3.2202000000000002</v>
      </c>
      <c r="AZ496" s="1868">
        <v>3.1353800000000001</v>
      </c>
      <c r="BA496" s="1868">
        <v>3.18554</v>
      </c>
    </row>
    <row r="497" spans="1:53">
      <c r="A497" s="1865" t="str">
        <f t="shared" si="7"/>
        <v>Central AsiaBarley</v>
      </c>
      <c r="B497" s="1866" t="s">
        <v>1360</v>
      </c>
      <c r="C497" s="1866" t="s">
        <v>1363</v>
      </c>
      <c r="AI497" s="1868">
        <v>1.5191700000000001</v>
      </c>
      <c r="AJ497" s="1868">
        <v>1.08741</v>
      </c>
      <c r="AK497" s="1868">
        <v>1.00736</v>
      </c>
      <c r="AL497" s="1868">
        <v>0.64658000000000004</v>
      </c>
      <c r="AM497" s="1868">
        <v>0.86045000000000005</v>
      </c>
      <c r="AN497" s="1868">
        <v>0.92076000000000002</v>
      </c>
      <c r="AO497" s="1868">
        <v>0.66105999999999998</v>
      </c>
      <c r="AP497" s="1868">
        <v>1.3246599999999999</v>
      </c>
      <c r="AQ497" s="1868">
        <v>1.04741</v>
      </c>
      <c r="AR497" s="1868">
        <v>1.3244799999999999</v>
      </c>
      <c r="AS497" s="1868">
        <v>1.32124</v>
      </c>
      <c r="AT497" s="1868">
        <v>1.2000299999999999</v>
      </c>
      <c r="AU497" s="1868">
        <v>0.95928999999999998</v>
      </c>
      <c r="AV497" s="1868">
        <v>1.1390200000000001</v>
      </c>
      <c r="AW497" s="1868">
        <v>1.2250799999999999</v>
      </c>
      <c r="AX497" s="1868">
        <v>1.36395</v>
      </c>
      <c r="AY497" s="1868">
        <v>1.08948</v>
      </c>
      <c r="AZ497" s="1868">
        <v>1.5542899999999999</v>
      </c>
      <c r="BA497" s="1868">
        <v>1.1313200000000001</v>
      </c>
    </row>
    <row r="498" spans="1:53">
      <c r="A498" s="1865" t="str">
        <f t="shared" si="7"/>
        <v>Central AsiaBeans, dry</v>
      </c>
      <c r="B498" s="1866" t="s">
        <v>1360</v>
      </c>
      <c r="C498" s="1866" t="s">
        <v>1364</v>
      </c>
      <c r="AI498" s="1868">
        <v>1.0119799999999999</v>
      </c>
      <c r="AJ498" s="1868">
        <v>1.0033100000000001</v>
      </c>
      <c r="AK498" s="1868">
        <v>0.72713000000000005</v>
      </c>
      <c r="AL498" s="1868">
        <v>0.30512</v>
      </c>
      <c r="AM498" s="1868">
        <v>0.60948000000000002</v>
      </c>
      <c r="AN498" s="1868">
        <v>1.01057</v>
      </c>
      <c r="AO498" s="1868">
        <v>0.97716000000000003</v>
      </c>
      <c r="AP498" s="1868">
        <v>1.3019499999999999</v>
      </c>
      <c r="AQ498" s="1868">
        <v>1.6877400000000002</v>
      </c>
      <c r="AR498" s="1868">
        <v>1.7734599999999998</v>
      </c>
      <c r="AS498" s="1868">
        <v>1.7088900000000002</v>
      </c>
      <c r="AT498" s="1868">
        <v>1.7697099999999999</v>
      </c>
      <c r="AU498" s="1868">
        <v>1.8172200000000001</v>
      </c>
      <c r="AV498" s="1868">
        <v>1.8777900000000001</v>
      </c>
      <c r="AW498" s="1868">
        <v>1.667</v>
      </c>
      <c r="AX498" s="1868">
        <v>1.73491</v>
      </c>
      <c r="AY498" s="1868">
        <v>1.74542</v>
      </c>
      <c r="AZ498" s="1868">
        <v>2.6211000000000002</v>
      </c>
      <c r="BA498" s="1868">
        <v>2.4151599999999998</v>
      </c>
    </row>
    <row r="499" spans="1:53">
      <c r="A499" s="1865" t="str">
        <f t="shared" si="7"/>
        <v>Central AsiaBeans, green</v>
      </c>
      <c r="B499" s="1866" t="s">
        <v>1360</v>
      </c>
      <c r="C499" s="1866" t="s">
        <v>1365</v>
      </c>
      <c r="AI499" s="1868">
        <v>3.1944400000000002</v>
      </c>
      <c r="AJ499" s="1868">
        <v>2.9191599999999998</v>
      </c>
      <c r="AK499" s="1868">
        <v>2.7346499999999998</v>
      </c>
      <c r="AL499" s="1868">
        <v>2.80728</v>
      </c>
      <c r="AM499" s="1868">
        <v>2.4205799999999997</v>
      </c>
      <c r="AN499" s="1868">
        <v>2.2069999999999999</v>
      </c>
      <c r="AO499" s="1868">
        <v>2.7840099999999999</v>
      </c>
      <c r="AP499" s="1868">
        <v>3.1906599999999998</v>
      </c>
      <c r="AQ499" s="1868">
        <v>3.5671800000000005</v>
      </c>
      <c r="AR499" s="1868">
        <v>4.75326</v>
      </c>
      <c r="AS499" s="1868">
        <v>4.6028799999999999</v>
      </c>
      <c r="AT499" s="1868">
        <v>4.1188099999999999</v>
      </c>
      <c r="AU499" s="1868">
        <v>5.5342400000000005</v>
      </c>
      <c r="AV499" s="1868">
        <v>4.7726499999999996</v>
      </c>
      <c r="AW499" s="1868">
        <v>5.0333300000000003</v>
      </c>
      <c r="AX499" s="1868">
        <v>5.2823900000000004</v>
      </c>
      <c r="AY499" s="1868">
        <v>4.5806500000000003</v>
      </c>
      <c r="AZ499" s="1868">
        <v>3.5714300000000003</v>
      </c>
      <c r="BA499" s="1868">
        <v>3.8480400000000001</v>
      </c>
    </row>
    <row r="500" spans="1:53">
      <c r="A500" s="1865" t="str">
        <f t="shared" si="7"/>
        <v>Central AsiaCarrots and turnips</v>
      </c>
      <c r="B500" s="1866" t="s">
        <v>1360</v>
      </c>
      <c r="C500" s="1866" t="s">
        <v>1366</v>
      </c>
      <c r="AI500" s="1868">
        <v>12.54546</v>
      </c>
      <c r="AJ500" s="1868">
        <v>11.67046</v>
      </c>
      <c r="AK500" s="1868">
        <v>10.605260000000001</v>
      </c>
      <c r="AL500" s="1868">
        <v>11.08586</v>
      </c>
      <c r="AM500" s="1868">
        <v>13.04278</v>
      </c>
      <c r="AN500" s="1868">
        <v>12.43553</v>
      </c>
      <c r="AO500" s="1868">
        <v>15.30481</v>
      </c>
      <c r="AP500" s="1868">
        <v>17.413699999999999</v>
      </c>
      <c r="AQ500" s="1868">
        <v>19.102910000000001</v>
      </c>
      <c r="AR500" s="1868">
        <v>20.065739999999998</v>
      </c>
      <c r="AS500" s="1868">
        <v>21.922409999999999</v>
      </c>
      <c r="AT500" s="1868">
        <v>24.179129999999997</v>
      </c>
      <c r="AU500" s="1868">
        <v>26.27928</v>
      </c>
      <c r="AV500" s="1868">
        <v>25.741989999999998</v>
      </c>
      <c r="AW500" s="1868">
        <v>29.227370000000001</v>
      </c>
      <c r="AX500" s="1868">
        <v>30.927429999999998</v>
      </c>
      <c r="AY500" s="1868">
        <v>34.551380000000002</v>
      </c>
      <c r="AZ500" s="1868">
        <v>36.459159999999997</v>
      </c>
      <c r="BA500" s="1868">
        <v>34.562519999999999</v>
      </c>
    </row>
    <row r="501" spans="1:53">
      <c r="A501" s="1865" t="str">
        <f t="shared" si="7"/>
        <v>Central AsiaCauliflowers and broccoli</v>
      </c>
      <c r="B501" s="1866" t="s">
        <v>1360</v>
      </c>
      <c r="C501" s="1866" t="s">
        <v>1369</v>
      </c>
      <c r="AI501" s="1868">
        <v>2</v>
      </c>
      <c r="AJ501" s="1868">
        <v>2</v>
      </c>
      <c r="AK501" s="1868">
        <v>1</v>
      </c>
      <c r="AL501" s="1868">
        <v>1</v>
      </c>
      <c r="AM501" s="1868">
        <v>3</v>
      </c>
      <c r="AN501" s="1868">
        <v>4</v>
      </c>
      <c r="AO501" s="1868">
        <v>8</v>
      </c>
      <c r="AP501" s="1868">
        <v>7</v>
      </c>
      <c r="AQ501" s="1868">
        <v>8.1818200000000001</v>
      </c>
      <c r="AR501" s="1868">
        <v>8.3333300000000001</v>
      </c>
      <c r="AS501" s="1868">
        <v>6</v>
      </c>
      <c r="AT501" s="1868">
        <v>5</v>
      </c>
      <c r="AU501" s="1868">
        <v>4.1176500000000003</v>
      </c>
      <c r="AV501" s="1868">
        <v>5.8333300000000001</v>
      </c>
      <c r="AW501" s="1868">
        <v>5.8333300000000001</v>
      </c>
      <c r="AX501" s="1868">
        <v>7.3076899999999991</v>
      </c>
      <c r="AY501" s="1868">
        <v>6.4285699999999997</v>
      </c>
      <c r="AZ501" s="1868">
        <v>4.5454600000000003</v>
      </c>
      <c r="BA501" s="1868">
        <v>4.5454600000000003</v>
      </c>
    </row>
    <row r="502" spans="1:53">
      <c r="A502" s="1865" t="str">
        <f t="shared" si="7"/>
        <v>Central AsiaCereals, nes</v>
      </c>
      <c r="B502" s="1866" t="s">
        <v>1360</v>
      </c>
      <c r="C502" s="1866" t="s">
        <v>1370</v>
      </c>
      <c r="AI502" s="1868">
        <v>1.03529</v>
      </c>
      <c r="AJ502" s="1868">
        <v>0.70174999999999998</v>
      </c>
      <c r="AK502" s="1868">
        <v>1.0249999999999999</v>
      </c>
      <c r="AL502" s="1868">
        <v>0.43911000000000006</v>
      </c>
      <c r="AM502" s="1868">
        <v>0.75218000000000007</v>
      </c>
      <c r="AN502" s="1868">
        <v>1.16788</v>
      </c>
      <c r="AO502" s="1868">
        <v>0.90908999999999995</v>
      </c>
      <c r="AP502" s="1868">
        <v>1.2987600000000001</v>
      </c>
      <c r="AQ502" s="1868">
        <v>0.98814000000000002</v>
      </c>
      <c r="AR502" s="1868">
        <v>1.4920599999999999</v>
      </c>
      <c r="AS502" s="1868">
        <v>1.21543</v>
      </c>
      <c r="AT502" s="1868">
        <v>1.4678899999999999</v>
      </c>
      <c r="AU502" s="1868">
        <v>1.53074</v>
      </c>
      <c r="AV502" s="1868">
        <v>1.425</v>
      </c>
      <c r="AW502" s="1868">
        <v>1.61225</v>
      </c>
      <c r="AX502" s="1868">
        <v>1.87473</v>
      </c>
      <c r="AY502" s="1868">
        <v>1.29745</v>
      </c>
      <c r="AZ502" s="1868">
        <v>0.77922999999999998</v>
      </c>
      <c r="BA502" s="1868">
        <v>1.19774</v>
      </c>
    </row>
    <row r="503" spans="1:53">
      <c r="A503" s="1865" t="str">
        <f t="shared" si="7"/>
        <v>Central AsiaCitrus fruit, nes</v>
      </c>
      <c r="B503" s="1866" t="s">
        <v>1360</v>
      </c>
      <c r="C503" s="1866" t="s">
        <v>1372</v>
      </c>
      <c r="AI503" s="1868">
        <v>9.1666699999999999</v>
      </c>
      <c r="AJ503" s="1868">
        <v>7.6115699999999995</v>
      </c>
      <c r="AK503" s="1868">
        <v>6.0680300000000003</v>
      </c>
      <c r="AL503" s="1868">
        <v>10.489510000000001</v>
      </c>
      <c r="AM503" s="1868">
        <v>10.727889999999999</v>
      </c>
      <c r="AN503" s="1868">
        <v>11.363010000000001</v>
      </c>
      <c r="AO503" s="1868">
        <v>15.333329999999998</v>
      </c>
      <c r="AP503" s="1868">
        <v>12.857139999999999</v>
      </c>
      <c r="AQ503" s="1868">
        <v>11.72414</v>
      </c>
      <c r="AR503" s="1868">
        <v>12.5</v>
      </c>
      <c r="AS503" s="1868">
        <v>12.173910000000001</v>
      </c>
      <c r="AT503" s="1868">
        <v>10.34483</v>
      </c>
      <c r="AU503" s="1868">
        <v>12.2807</v>
      </c>
      <c r="AV503" s="1868">
        <v>11.03448</v>
      </c>
      <c r="AW503" s="1868">
        <v>13.969470000000001</v>
      </c>
      <c r="AX503" s="1868">
        <v>10.412369999999999</v>
      </c>
      <c r="AY503" s="1868">
        <v>14.377050000000001</v>
      </c>
      <c r="AZ503" s="1868">
        <v>12.424239999999999</v>
      </c>
      <c r="BA503" s="1868">
        <v>14.05405</v>
      </c>
    </row>
    <row r="504" spans="1:53">
      <c r="A504" s="1865" t="str">
        <f t="shared" si="7"/>
        <v>Central AsiaEggplants (aubergines)</v>
      </c>
      <c r="B504" s="1866" t="s">
        <v>1360</v>
      </c>
      <c r="C504" s="1866" t="s">
        <v>1375</v>
      </c>
      <c r="AI504" s="1868">
        <v>8.5454600000000003</v>
      </c>
      <c r="AJ504" s="1868">
        <v>8.7931000000000008</v>
      </c>
      <c r="AK504" s="1868">
        <v>10.16667</v>
      </c>
      <c r="AL504" s="1868">
        <v>13.50671</v>
      </c>
      <c r="AM504" s="1868">
        <v>14.2616</v>
      </c>
      <c r="AN504" s="1868">
        <v>11.596639999999999</v>
      </c>
      <c r="AO504" s="1868">
        <v>13.369400000000001</v>
      </c>
      <c r="AP504" s="1868">
        <v>15.692310000000001</v>
      </c>
      <c r="AQ504" s="1868">
        <v>19.117650000000001</v>
      </c>
      <c r="AR504" s="1868">
        <v>18.5</v>
      </c>
      <c r="AS504" s="1868">
        <v>18.21678</v>
      </c>
      <c r="AT504" s="1868">
        <v>15.45168</v>
      </c>
      <c r="AU504" s="1868">
        <v>15.958620000000002</v>
      </c>
      <c r="AV504" s="1868">
        <v>16.242420000000003</v>
      </c>
      <c r="AW504" s="1868">
        <v>16.394670000000001</v>
      </c>
      <c r="AX504" s="1868">
        <v>17.65484</v>
      </c>
      <c r="AY504" s="1868">
        <v>16.889659999999999</v>
      </c>
      <c r="AZ504" s="1868">
        <v>18.3</v>
      </c>
      <c r="BA504" s="1868">
        <v>19.554929999999999</v>
      </c>
    </row>
    <row r="505" spans="1:53">
      <c r="A505" s="1865" t="str">
        <f t="shared" si="7"/>
        <v>Central AsiaGrapefruit (inc. pomelos)</v>
      </c>
      <c r="B505" s="1866" t="s">
        <v>1360</v>
      </c>
      <c r="C505" s="1866" t="s">
        <v>1377</v>
      </c>
      <c r="AM505" s="1868">
        <v>9.77</v>
      </c>
      <c r="AN505" s="1868">
        <v>8.6767699999999994</v>
      </c>
      <c r="AO505" s="1868">
        <v>10</v>
      </c>
      <c r="AQ505" s="1868">
        <v>10</v>
      </c>
      <c r="AS505" s="1868">
        <v>10</v>
      </c>
      <c r="AT505" s="1868">
        <v>10</v>
      </c>
      <c r="AU505" s="1868">
        <v>11</v>
      </c>
      <c r="AV505" s="1868">
        <v>12</v>
      </c>
      <c r="AW505" s="1868">
        <v>12</v>
      </c>
      <c r="AX505" s="1868">
        <v>11.428570000000001</v>
      </c>
      <c r="AY505" s="1868">
        <v>13</v>
      </c>
      <c r="AZ505" s="1868">
        <v>11.66667</v>
      </c>
      <c r="BA505" s="1868">
        <v>12.307689999999999</v>
      </c>
    </row>
    <row r="506" spans="1:53">
      <c r="A506" s="1865" t="str">
        <f t="shared" si="7"/>
        <v>Central AsiaGrapes</v>
      </c>
      <c r="B506" s="1866" t="s">
        <v>1360</v>
      </c>
      <c r="C506" s="1866" t="s">
        <v>1378</v>
      </c>
      <c r="AI506" s="1868">
        <v>4.6445800000000004</v>
      </c>
      <c r="AJ506" s="1868">
        <v>3.8911800000000003</v>
      </c>
      <c r="AK506" s="1868">
        <v>3.83819</v>
      </c>
      <c r="AL506" s="1868">
        <v>5.7467100000000002</v>
      </c>
      <c r="AM506" s="1868">
        <v>4.5942699999999999</v>
      </c>
      <c r="AN506" s="1868">
        <v>5.0243699999999993</v>
      </c>
      <c r="AO506" s="1868">
        <v>3.8841199999999998</v>
      </c>
      <c r="AP506" s="1868">
        <v>3.6148699999999998</v>
      </c>
      <c r="AQ506" s="1868">
        <v>6.1734999999999998</v>
      </c>
      <c r="AR506" s="1868">
        <v>5.8806900000000004</v>
      </c>
      <c r="AS506" s="1868">
        <v>5.6173400000000004</v>
      </c>
      <c r="AT506" s="1868">
        <v>4.9860199999999999</v>
      </c>
      <c r="AU506" s="1868">
        <v>6.667889999999999</v>
      </c>
      <c r="AV506" s="1868">
        <v>6.956739999999999</v>
      </c>
      <c r="AW506" s="1868">
        <v>8.0175100000000015</v>
      </c>
      <c r="AX506" s="1868">
        <v>8.30063</v>
      </c>
      <c r="AY506" s="1868">
        <v>7.0499700000000001</v>
      </c>
      <c r="AZ506" s="1868">
        <v>7.2601199999999997</v>
      </c>
      <c r="BA506" s="1868">
        <v>6.9480000000000004</v>
      </c>
    </row>
    <row r="507" spans="1:53">
      <c r="A507" s="1865" t="str">
        <f t="shared" si="7"/>
        <v>Central AsiaGroundnuts, with shell</v>
      </c>
      <c r="B507" s="1866" t="s">
        <v>1360</v>
      </c>
      <c r="C507" s="1866" t="s">
        <v>1379</v>
      </c>
      <c r="AI507" s="1868">
        <v>1.3423499999999999</v>
      </c>
      <c r="AJ507" s="1868">
        <v>1.60185</v>
      </c>
      <c r="AK507" s="1868">
        <v>1.5599799999999999</v>
      </c>
      <c r="AL507" s="1868">
        <v>1.6155999999999999</v>
      </c>
      <c r="AM507" s="1868">
        <v>1.6034999999999999</v>
      </c>
      <c r="AN507" s="1868">
        <v>1.1221000000000001</v>
      </c>
      <c r="AO507" s="1868">
        <v>1.11687</v>
      </c>
      <c r="AP507" s="1868">
        <v>1.19831</v>
      </c>
      <c r="AQ507" s="1868">
        <v>1.07283</v>
      </c>
      <c r="AR507" s="1868">
        <v>1.1963200000000001</v>
      </c>
      <c r="AS507" s="1868">
        <v>1.77278</v>
      </c>
      <c r="AT507" s="1868">
        <v>1.5127700000000002</v>
      </c>
      <c r="AU507" s="1868">
        <v>1.66465</v>
      </c>
      <c r="AV507" s="1868">
        <v>1.8395900000000001</v>
      </c>
      <c r="AW507" s="1868">
        <v>2.14669</v>
      </c>
      <c r="AX507" s="1868">
        <v>2.1324799999999997</v>
      </c>
      <c r="AY507" s="1868">
        <v>2.07951</v>
      </c>
      <c r="AZ507" s="1868">
        <v>2.6638700000000002</v>
      </c>
      <c r="BA507" s="1868">
        <v>2.5695700000000001</v>
      </c>
    </row>
    <row r="508" spans="1:53">
      <c r="A508" s="1865" t="str">
        <f t="shared" si="7"/>
        <v>Central AsiaLeguminous vegetables, nes</v>
      </c>
      <c r="B508" s="1866" t="s">
        <v>1360</v>
      </c>
      <c r="C508" s="1866" t="s">
        <v>1380</v>
      </c>
      <c r="AI508" s="1868">
        <v>5.0588199999999999</v>
      </c>
      <c r="AJ508" s="1868">
        <v>6.1333299999999999</v>
      </c>
      <c r="AK508" s="1868">
        <v>6.7510000000000003</v>
      </c>
      <c r="AL508" s="1868">
        <v>8.1743899999999989</v>
      </c>
      <c r="AM508" s="1868">
        <v>8.2316199999999995</v>
      </c>
      <c r="AN508" s="1868">
        <v>8.3215800000000009</v>
      </c>
      <c r="AO508" s="1868">
        <v>9.6815600000000011</v>
      </c>
      <c r="AP508" s="1868">
        <v>11.73333</v>
      </c>
      <c r="AQ508" s="1868">
        <v>11.882350000000001</v>
      </c>
      <c r="AR508" s="1868">
        <v>10</v>
      </c>
      <c r="AS508" s="1868">
        <v>9.68</v>
      </c>
      <c r="AT508" s="1868">
        <v>10.08</v>
      </c>
      <c r="AU508" s="1868">
        <v>10.414819999999999</v>
      </c>
      <c r="AV508" s="1868">
        <v>10.27586</v>
      </c>
      <c r="AW508" s="1868">
        <v>10.357139999999999</v>
      </c>
      <c r="AX508" s="1868">
        <v>10.758620000000001</v>
      </c>
      <c r="AY508" s="1868">
        <v>11.793100000000001</v>
      </c>
      <c r="AZ508" s="1868">
        <v>10.395480000000001</v>
      </c>
      <c r="BA508" s="1868">
        <v>10.706519999999999</v>
      </c>
    </row>
    <row r="509" spans="1:53">
      <c r="A509" s="1865" t="str">
        <f t="shared" si="7"/>
        <v>Central AsiaLinseed</v>
      </c>
      <c r="B509" s="1866" t="s">
        <v>1360</v>
      </c>
      <c r="C509" s="1866" t="s">
        <v>1381</v>
      </c>
      <c r="AI509" s="1868">
        <v>0.68306</v>
      </c>
      <c r="AJ509" s="1868">
        <v>0.38298000000000004</v>
      </c>
      <c r="AK509" s="1868">
        <v>0.31858000000000003</v>
      </c>
      <c r="AL509" s="1868">
        <v>0.27</v>
      </c>
      <c r="AM509" s="1868">
        <v>0.2029</v>
      </c>
      <c r="AN509" s="1868">
        <v>0.36956999999999995</v>
      </c>
      <c r="AO509" s="1868">
        <v>0.32</v>
      </c>
      <c r="AP509" s="1868">
        <v>0.5</v>
      </c>
      <c r="AQ509" s="1868">
        <v>0.36136000000000001</v>
      </c>
      <c r="AR509" s="1868">
        <v>0.44664999999999999</v>
      </c>
      <c r="AS509" s="1868">
        <v>0.44742999999999999</v>
      </c>
      <c r="AT509" s="1868">
        <v>0.46826000000000001</v>
      </c>
      <c r="AU509" s="1868">
        <v>0.45629999999999998</v>
      </c>
      <c r="AV509" s="1868">
        <v>0.51331000000000004</v>
      </c>
      <c r="AW509" s="1868">
        <v>0.78271000000000002</v>
      </c>
      <c r="AX509" s="1868">
        <v>0.82701000000000002</v>
      </c>
      <c r="AY509" s="1868">
        <v>0.71535000000000004</v>
      </c>
      <c r="AZ509" s="1868">
        <v>0.79283999999999999</v>
      </c>
      <c r="BA509" s="1868">
        <v>0.41913999999999996</v>
      </c>
    </row>
    <row r="510" spans="1:53">
      <c r="A510" s="1865" t="str">
        <f t="shared" si="7"/>
        <v>Central AsiaMaize</v>
      </c>
      <c r="B510" s="1866" t="s">
        <v>1360</v>
      </c>
      <c r="C510" s="1866" t="s">
        <v>1382</v>
      </c>
      <c r="AI510" s="1868">
        <v>3.7200900000000003</v>
      </c>
      <c r="AJ510" s="1868">
        <v>3.7726699999999997</v>
      </c>
      <c r="AK510" s="1868">
        <v>2.9246400000000001</v>
      </c>
      <c r="AL510" s="1868">
        <v>2.82985</v>
      </c>
      <c r="AM510" s="1868">
        <v>2.68737</v>
      </c>
      <c r="AN510" s="1868">
        <v>2.5775200000000003</v>
      </c>
      <c r="AO510" s="1868">
        <v>3.23739</v>
      </c>
      <c r="AP510" s="1868">
        <v>3.5314999999999999</v>
      </c>
      <c r="AQ510" s="1868">
        <v>3.7075499999999999</v>
      </c>
      <c r="AR510" s="1868">
        <v>4.29854</v>
      </c>
      <c r="AS510" s="1868">
        <v>4.3440300000000001</v>
      </c>
      <c r="AT510" s="1868">
        <v>4.5241899999999999</v>
      </c>
      <c r="AU510" s="1868">
        <v>4.7846299999999999</v>
      </c>
      <c r="AV510" s="1868">
        <v>4.5452300000000001</v>
      </c>
      <c r="AW510" s="1868">
        <v>4.8791199999999995</v>
      </c>
      <c r="AX510" s="1868">
        <v>5.0147000000000004</v>
      </c>
      <c r="AY510" s="1868">
        <v>5.3532800000000007</v>
      </c>
      <c r="AZ510" s="1868">
        <v>5.5174900000000004</v>
      </c>
      <c r="BA510" s="1868">
        <v>5.6088300000000002</v>
      </c>
    </row>
    <row r="511" spans="1:53">
      <c r="A511" s="1865" t="str">
        <f t="shared" si="7"/>
        <v>Central AsiaMaize, green</v>
      </c>
      <c r="B511" s="1866" t="s">
        <v>1360</v>
      </c>
      <c r="C511" s="1866" t="s">
        <v>1383</v>
      </c>
      <c r="AR511" s="1868">
        <v>10</v>
      </c>
      <c r="AS511" s="1868">
        <v>10</v>
      </c>
      <c r="AT511" s="1868">
        <v>10</v>
      </c>
      <c r="AU511" s="1868">
        <v>10</v>
      </c>
      <c r="AV511" s="1868">
        <v>10</v>
      </c>
      <c r="AW511" s="1868">
        <v>10</v>
      </c>
      <c r="AX511" s="1868">
        <v>10</v>
      </c>
      <c r="AY511" s="1868">
        <v>10</v>
      </c>
      <c r="AZ511" s="1868">
        <v>10</v>
      </c>
      <c r="BA511" s="1868">
        <v>10</v>
      </c>
    </row>
    <row r="512" spans="1:53">
      <c r="A512" s="1865" t="str">
        <f t="shared" si="7"/>
        <v>Central AsiaMillet</v>
      </c>
      <c r="B512" s="1866" t="s">
        <v>1360</v>
      </c>
      <c r="C512" s="1866" t="s">
        <v>1385</v>
      </c>
      <c r="AI512" s="1868">
        <v>0.52276</v>
      </c>
      <c r="AJ512" s="1868">
        <v>0.52568999999999999</v>
      </c>
      <c r="AK512" s="1868">
        <v>0.43896000000000002</v>
      </c>
      <c r="AL512" s="1868">
        <v>0.34328999999999998</v>
      </c>
      <c r="AM512" s="1868">
        <v>0.27995999999999999</v>
      </c>
      <c r="AN512" s="1868">
        <v>0.63885999999999998</v>
      </c>
      <c r="AO512" s="1868">
        <v>0.38185000000000002</v>
      </c>
      <c r="AP512" s="1868">
        <v>0.47323000000000004</v>
      </c>
      <c r="AQ512" s="1868">
        <v>0.49711000000000005</v>
      </c>
      <c r="AR512" s="1868">
        <v>0.64461999999999997</v>
      </c>
      <c r="AS512" s="1868">
        <v>0.74508999999999992</v>
      </c>
      <c r="AT512" s="1868">
        <v>0.8898299999999999</v>
      </c>
      <c r="AU512" s="1868">
        <v>0.76222000000000001</v>
      </c>
      <c r="AV512" s="1868">
        <v>0.58921000000000001</v>
      </c>
      <c r="AW512" s="1868">
        <v>0.83417999999999992</v>
      </c>
      <c r="AX512" s="1868">
        <v>0.95402999999999993</v>
      </c>
      <c r="AY512" s="1868">
        <v>1.13897</v>
      </c>
      <c r="AZ512" s="1868">
        <v>1.0407600000000001</v>
      </c>
      <c r="BA512" s="1868">
        <v>0.84214</v>
      </c>
    </row>
    <row r="513" spans="1:53">
      <c r="A513" s="1865" t="str">
        <f t="shared" si="7"/>
        <v>Central AsiaOats</v>
      </c>
      <c r="B513" s="1866" t="s">
        <v>1360</v>
      </c>
      <c r="C513" s="1866" t="s">
        <v>1349</v>
      </c>
      <c r="AI513" s="1868">
        <v>1.6254200000000001</v>
      </c>
      <c r="AJ513" s="1868">
        <v>1.47</v>
      </c>
      <c r="AK513" s="1868">
        <v>1.33785</v>
      </c>
      <c r="AL513" s="1868">
        <v>0.6179</v>
      </c>
      <c r="AM513" s="1868">
        <v>0.85226000000000002</v>
      </c>
      <c r="AN513" s="1868">
        <v>0.85427000000000008</v>
      </c>
      <c r="AO513" s="1868">
        <v>0.43428</v>
      </c>
      <c r="AP513" s="1868">
        <v>1.41124</v>
      </c>
      <c r="AQ513" s="1868">
        <v>0.96550000000000002</v>
      </c>
      <c r="AR513" s="1868">
        <v>1.2145299999999999</v>
      </c>
      <c r="AS513" s="1868">
        <v>1.28857</v>
      </c>
      <c r="AT513" s="1868">
        <v>1.0786100000000001</v>
      </c>
      <c r="AU513" s="1868">
        <v>0.79173000000000004</v>
      </c>
      <c r="AV513" s="1868">
        <v>1.1867099999999999</v>
      </c>
      <c r="AW513" s="1868">
        <v>1.1883600000000001</v>
      </c>
      <c r="AX513" s="1868">
        <v>1.35294</v>
      </c>
      <c r="AY513" s="1868">
        <v>0.94167999999999996</v>
      </c>
      <c r="AZ513" s="1868">
        <v>1.3760399999999999</v>
      </c>
      <c r="BA513" s="1868">
        <v>0.84117000000000008</v>
      </c>
    </row>
    <row r="514" spans="1:53">
      <c r="A514" s="1865" t="str">
        <f t="shared" si="7"/>
        <v>Central AsiaOlives</v>
      </c>
      <c r="B514" s="1866" t="s">
        <v>1360</v>
      </c>
      <c r="C514" s="1866" t="s">
        <v>1387</v>
      </c>
      <c r="AI514" s="1868">
        <v>0.9</v>
      </c>
      <c r="AJ514" s="1868">
        <v>0.79208000000000001</v>
      </c>
      <c r="AK514" s="1868">
        <v>0.76086999999999994</v>
      </c>
      <c r="AL514" s="1868">
        <v>0.72340000000000004</v>
      </c>
      <c r="AM514" s="1868">
        <v>0.8988799999999999</v>
      </c>
      <c r="AN514" s="1868">
        <v>0.98901000000000006</v>
      </c>
      <c r="AO514" s="1868">
        <v>1.0869599999999999</v>
      </c>
      <c r="AP514" s="1868">
        <v>0.75333000000000006</v>
      </c>
      <c r="AQ514" s="1868">
        <v>0.79166999999999998</v>
      </c>
      <c r="AR514" s="1868">
        <v>0.8</v>
      </c>
      <c r="AS514" s="1868">
        <v>0.78351000000000004</v>
      </c>
      <c r="AT514" s="1868">
        <v>1.0416700000000001</v>
      </c>
      <c r="AU514" s="1868">
        <v>1.31579</v>
      </c>
      <c r="AV514" s="1868">
        <v>1.375</v>
      </c>
      <c r="AW514" s="1868">
        <v>1.3473700000000002</v>
      </c>
      <c r="AX514" s="1868">
        <v>1.3936200000000001</v>
      </c>
      <c r="AY514" s="1868">
        <v>1.4623700000000002</v>
      </c>
      <c r="AZ514" s="1868">
        <v>1.34091</v>
      </c>
      <c r="BA514" s="1868">
        <v>1.2</v>
      </c>
    </row>
    <row r="515" spans="1:53">
      <c r="A515" s="1865" t="str">
        <f t="shared" si="7"/>
        <v>Central AsiaOnions, dry</v>
      </c>
      <c r="B515" s="1866" t="s">
        <v>1360</v>
      </c>
      <c r="C515" s="1866" t="s">
        <v>1388</v>
      </c>
      <c r="AI515" s="1868">
        <v>16.63579</v>
      </c>
      <c r="AJ515" s="1868">
        <v>16.481619999999999</v>
      </c>
      <c r="AK515" s="1868">
        <v>15.920129999999999</v>
      </c>
      <c r="AL515" s="1868">
        <v>14.38636</v>
      </c>
      <c r="AM515" s="1868">
        <v>14.939439999999999</v>
      </c>
      <c r="AN515" s="1868">
        <v>14.515879999999999</v>
      </c>
      <c r="AO515" s="1868">
        <v>15.199149999999999</v>
      </c>
      <c r="AP515" s="1868">
        <v>15.7996</v>
      </c>
      <c r="AQ515" s="1868">
        <v>16.932920000000003</v>
      </c>
      <c r="AR515" s="1868">
        <v>18.02486</v>
      </c>
      <c r="AS515" s="1868">
        <v>17.555120000000002</v>
      </c>
      <c r="AT515" s="1868">
        <v>18.512280000000001</v>
      </c>
      <c r="AU515" s="1868">
        <v>19.406389999999998</v>
      </c>
      <c r="AV515" s="1868">
        <v>19.742850000000001</v>
      </c>
      <c r="AW515" s="1868">
        <v>20.15878</v>
      </c>
      <c r="AX515" s="1868">
        <v>20.516950000000001</v>
      </c>
      <c r="AY515" s="1868">
        <v>25.53436</v>
      </c>
      <c r="AZ515" s="1868">
        <v>24.49513</v>
      </c>
      <c r="BA515" s="1868">
        <v>24.24774</v>
      </c>
    </row>
    <row r="516" spans="1:53">
      <c r="A516" s="1865" t="str">
        <f t="shared" ref="A516:A579" si="8">CONCATENATE(B516,C516)</f>
        <v>Central AsiaOranges</v>
      </c>
      <c r="B516" s="1866" t="s">
        <v>1360</v>
      </c>
      <c r="C516" s="1866" t="s">
        <v>1389</v>
      </c>
      <c r="AM516" s="1868">
        <v>14.28571</v>
      </c>
      <c r="AN516" s="1868">
        <v>16.66667</v>
      </c>
      <c r="AO516" s="1868">
        <v>16.66667</v>
      </c>
      <c r="AP516" s="1868">
        <v>11.11111</v>
      </c>
      <c r="AQ516" s="1868">
        <v>9.0909100000000009</v>
      </c>
      <c r="AR516" s="1868">
        <v>6.25</v>
      </c>
      <c r="AS516" s="1868">
        <v>7.5</v>
      </c>
      <c r="AT516" s="1868">
        <v>5</v>
      </c>
      <c r="AU516" s="1868">
        <v>7.5</v>
      </c>
      <c r="AV516" s="1868">
        <v>7.5</v>
      </c>
      <c r="AW516" s="1868">
        <v>11.25</v>
      </c>
      <c r="AX516" s="1868">
        <v>7</v>
      </c>
      <c r="AY516" s="1868">
        <v>12</v>
      </c>
      <c r="AZ516" s="1868">
        <v>10</v>
      </c>
      <c r="BA516" s="1868">
        <v>11</v>
      </c>
    </row>
    <row r="517" spans="1:53">
      <c r="A517" s="1865" t="str">
        <f t="shared" si="8"/>
        <v>Central AsiaPeaches and nectarines</v>
      </c>
      <c r="B517" s="1866" t="s">
        <v>1360</v>
      </c>
      <c r="C517" s="1866" t="s">
        <v>1390</v>
      </c>
      <c r="AI517" s="1868">
        <v>5.2287800000000004</v>
      </c>
      <c r="AJ517" s="1868">
        <v>3.9032300000000002</v>
      </c>
      <c r="AK517" s="1868">
        <v>3.6595400000000002</v>
      </c>
      <c r="AL517" s="1868">
        <v>3.4822699999999998</v>
      </c>
      <c r="AM517" s="1868">
        <v>3.956</v>
      </c>
      <c r="AN517" s="1868">
        <v>3.8297500000000002</v>
      </c>
      <c r="AO517" s="1868">
        <v>2.99451</v>
      </c>
      <c r="AP517" s="1868">
        <v>2.5392200000000003</v>
      </c>
      <c r="AQ517" s="1868">
        <v>3.1320000000000001</v>
      </c>
      <c r="AR517" s="1868">
        <v>4.0141200000000001</v>
      </c>
      <c r="AS517" s="1868">
        <v>3.8830100000000001</v>
      </c>
      <c r="AT517" s="1868">
        <v>3.6808300000000003</v>
      </c>
      <c r="AU517" s="1868">
        <v>4.5951699999999995</v>
      </c>
      <c r="AV517" s="1868">
        <v>4.6489599999999998</v>
      </c>
      <c r="AW517" s="1868">
        <v>5.3368099999999998</v>
      </c>
      <c r="AX517" s="1868">
        <v>5.23705</v>
      </c>
      <c r="AY517" s="1868">
        <v>5.8231699999999993</v>
      </c>
      <c r="AZ517" s="1868">
        <v>5.8112399999999997</v>
      </c>
      <c r="BA517" s="1868">
        <v>5.7556400000000005</v>
      </c>
    </row>
    <row r="518" spans="1:53">
      <c r="A518" s="1865" t="str">
        <f t="shared" si="8"/>
        <v>Central AsiaPeas, dry</v>
      </c>
      <c r="B518" s="1866" t="s">
        <v>1360</v>
      </c>
      <c r="C518" s="1866" t="s">
        <v>1391</v>
      </c>
      <c r="AI518" s="1868">
        <v>0.8383799999999999</v>
      </c>
      <c r="AJ518" s="1868">
        <v>0.69762999999999997</v>
      </c>
      <c r="AK518" s="1868">
        <v>0.65606000000000009</v>
      </c>
      <c r="AL518" s="1868">
        <v>0.5222</v>
      </c>
      <c r="AM518" s="1868">
        <v>0.77464</v>
      </c>
      <c r="AN518" s="1868">
        <v>0.78166000000000002</v>
      </c>
      <c r="AO518" s="1868">
        <v>0.93367000000000011</v>
      </c>
      <c r="AP518" s="1868">
        <v>0.89516000000000007</v>
      </c>
      <c r="AQ518" s="1868">
        <v>0.98570000000000002</v>
      </c>
      <c r="AR518" s="1868">
        <v>0.97194999999999998</v>
      </c>
      <c r="AS518" s="1868">
        <v>1.2467299999999999</v>
      </c>
      <c r="AT518" s="1868">
        <v>1.3222</v>
      </c>
      <c r="AU518" s="1868">
        <v>1.1591200000000002</v>
      </c>
      <c r="AV518" s="1868">
        <v>1.3065100000000001</v>
      </c>
      <c r="AW518" s="1868">
        <v>1.4211</v>
      </c>
      <c r="AX518" s="1868">
        <v>1.4494100000000001</v>
      </c>
      <c r="AY518" s="1868">
        <v>1.13785</v>
      </c>
      <c r="AZ518" s="1868">
        <v>1.1957799999999998</v>
      </c>
      <c r="BA518" s="1868">
        <v>0.89265000000000005</v>
      </c>
    </row>
    <row r="519" spans="1:53">
      <c r="A519" s="1865" t="str">
        <f t="shared" si="8"/>
        <v>Central AsiaPeas, green</v>
      </c>
      <c r="B519" s="1866" t="s">
        <v>1360</v>
      </c>
      <c r="C519" s="1866" t="s">
        <v>1392</v>
      </c>
      <c r="AI519" s="1868">
        <v>2.6</v>
      </c>
      <c r="AJ519" s="1868">
        <v>1.8333299999999999</v>
      </c>
      <c r="AK519" s="1868">
        <v>1.7744599999999999</v>
      </c>
      <c r="AL519" s="1868">
        <v>2.1</v>
      </c>
      <c r="AM519" s="1868">
        <v>2.1549900000000002</v>
      </c>
      <c r="AN519" s="1868">
        <v>2.2543199999999999</v>
      </c>
      <c r="AO519" s="1868">
        <v>4.4282199999999996</v>
      </c>
      <c r="AP519" s="1868">
        <v>2.51111</v>
      </c>
      <c r="AQ519" s="1868">
        <v>2.58</v>
      </c>
      <c r="AR519" s="1868">
        <v>2.7358500000000001</v>
      </c>
      <c r="AS519" s="1868">
        <v>3.2692299999999999</v>
      </c>
      <c r="AT519" s="1868">
        <v>3.03661</v>
      </c>
      <c r="AU519" s="1868">
        <v>3.0158700000000001</v>
      </c>
      <c r="AV519" s="1868">
        <v>2.43824</v>
      </c>
      <c r="AW519" s="1868">
        <v>2.47525</v>
      </c>
      <c r="AX519" s="1868">
        <v>2.6666699999999999</v>
      </c>
      <c r="AY519" s="1868">
        <v>3.3333300000000001</v>
      </c>
      <c r="AZ519" s="1868">
        <v>3.0232600000000001</v>
      </c>
      <c r="BA519" s="1868">
        <v>3.0215799999999997</v>
      </c>
    </row>
    <row r="520" spans="1:53">
      <c r="A520" s="1865" t="str">
        <f t="shared" si="8"/>
        <v>Central AsiaPotatoes</v>
      </c>
      <c r="B520" s="1866" t="s">
        <v>1360</v>
      </c>
      <c r="C520" s="1866" t="s">
        <v>1394</v>
      </c>
      <c r="AI520" s="1868">
        <v>10.645210000000001</v>
      </c>
      <c r="AJ520" s="1868">
        <v>9.9877300000000009</v>
      </c>
      <c r="AK520" s="1868">
        <v>9.4749499999999998</v>
      </c>
      <c r="AL520" s="1868">
        <v>9.0507200000000001</v>
      </c>
      <c r="AM520" s="1868">
        <v>9.7002100000000002</v>
      </c>
      <c r="AN520" s="1868">
        <v>9.7618399999999994</v>
      </c>
      <c r="AO520" s="1868">
        <v>9.7235899999999997</v>
      </c>
      <c r="AP520" s="1868">
        <v>12.10308</v>
      </c>
      <c r="AQ520" s="1868">
        <v>12.038360000000001</v>
      </c>
      <c r="AR520" s="1868">
        <v>13.70255</v>
      </c>
      <c r="AS520" s="1868">
        <v>15.357889999999999</v>
      </c>
      <c r="AT520" s="1868">
        <v>14.467750000000001</v>
      </c>
      <c r="AU520" s="1868">
        <v>14.38822</v>
      </c>
      <c r="AV520" s="1868">
        <v>15.210329999999999</v>
      </c>
      <c r="AW520" s="1868">
        <v>15.576939999999999</v>
      </c>
      <c r="AX520" s="1868">
        <v>15.95945</v>
      </c>
      <c r="AY520" s="1868">
        <v>15.958479999999998</v>
      </c>
      <c r="AZ520" s="1868">
        <v>16.949270000000002</v>
      </c>
      <c r="BA520" s="1868">
        <v>16.21058</v>
      </c>
    </row>
    <row r="521" spans="1:53">
      <c r="A521" s="1865" t="str">
        <f t="shared" si="8"/>
        <v>Central AsiaPulses, nes</v>
      </c>
      <c r="B521" s="1866" t="s">
        <v>1360</v>
      </c>
      <c r="C521" s="1866" t="s">
        <v>1395</v>
      </c>
      <c r="AI521" s="1868">
        <v>0.80596000000000001</v>
      </c>
      <c r="AJ521" s="1868">
        <v>0.52968000000000004</v>
      </c>
      <c r="AK521" s="1868">
        <v>0.60958000000000001</v>
      </c>
      <c r="AL521" s="1868">
        <v>0.63313999999999993</v>
      </c>
      <c r="AM521" s="1868">
        <v>0.84443999999999997</v>
      </c>
      <c r="AN521" s="1868">
        <v>0.89627000000000012</v>
      </c>
      <c r="AO521" s="1868">
        <v>0.81</v>
      </c>
      <c r="AP521" s="1868">
        <v>0.78869999999999996</v>
      </c>
      <c r="AQ521" s="1868">
        <v>0.75866999999999996</v>
      </c>
      <c r="AR521" s="1868">
        <v>0.98167999999999989</v>
      </c>
      <c r="AS521" s="1868">
        <v>1.44282</v>
      </c>
      <c r="AT521" s="1868">
        <v>1.3400399999999999</v>
      </c>
      <c r="AU521" s="1868">
        <v>1.3744700000000001</v>
      </c>
      <c r="AV521" s="1868">
        <v>1.3057799999999999</v>
      </c>
      <c r="AW521" s="1868">
        <v>1.5450700000000002</v>
      </c>
      <c r="AX521" s="1868">
        <v>1.6322299999999998</v>
      </c>
      <c r="AY521" s="1868">
        <v>3.3987300000000005</v>
      </c>
      <c r="AZ521" s="1868">
        <v>4.1946000000000003</v>
      </c>
      <c r="BA521" s="1868">
        <v>4.2489600000000003</v>
      </c>
    </row>
    <row r="522" spans="1:53">
      <c r="A522" s="1865" t="str">
        <f t="shared" si="8"/>
        <v>Central AsiaRice, paddy</v>
      </c>
      <c r="B522" s="1866" t="s">
        <v>1360</v>
      </c>
      <c r="C522" s="1866" t="s">
        <v>1396</v>
      </c>
      <c r="AI522" s="1868">
        <v>3.2240900000000003</v>
      </c>
      <c r="AJ522" s="1868">
        <v>3.0873400000000002</v>
      </c>
      <c r="AK522" s="1868">
        <v>2.7665700000000002</v>
      </c>
      <c r="AL522" s="1868">
        <v>2.0945900000000002</v>
      </c>
      <c r="AM522" s="1868">
        <v>2.3277099999999997</v>
      </c>
      <c r="AN522" s="1868">
        <v>2.1861999999999999</v>
      </c>
      <c r="AO522" s="1868">
        <v>2.45499</v>
      </c>
      <c r="AP522" s="1868">
        <v>2.4657</v>
      </c>
      <c r="AQ522" s="1868">
        <v>1.6482299999999999</v>
      </c>
      <c r="AR522" s="1868">
        <v>2.1997900000000001</v>
      </c>
      <c r="AS522" s="1868">
        <v>2.67435</v>
      </c>
      <c r="AT522" s="1868">
        <v>2.94435</v>
      </c>
      <c r="AU522" s="1868">
        <v>2.9950000000000001</v>
      </c>
      <c r="AV522" s="1868">
        <v>3.01973</v>
      </c>
      <c r="AW522" s="1868">
        <v>3.1472500000000001</v>
      </c>
      <c r="AX522" s="1868">
        <v>3.1345999999999998</v>
      </c>
      <c r="AY522" s="1868">
        <v>3.0899400000000004</v>
      </c>
      <c r="AZ522" s="1868">
        <v>3.2219500000000001</v>
      </c>
      <c r="BA522" s="1868">
        <v>3.4109400000000001</v>
      </c>
    </row>
    <row r="523" spans="1:53">
      <c r="A523" s="1865" t="str">
        <f t="shared" si="8"/>
        <v>Central AsiaRye</v>
      </c>
      <c r="B523" s="1866" t="s">
        <v>1360</v>
      </c>
      <c r="C523" s="1866" t="s">
        <v>1353</v>
      </c>
      <c r="AI523" s="1868">
        <v>0.88254999999999995</v>
      </c>
      <c r="AJ523" s="1868">
        <v>1.3910200000000001</v>
      </c>
      <c r="AK523" s="1868">
        <v>0.90547000000000011</v>
      </c>
      <c r="AL523" s="1868">
        <v>0.63306000000000007</v>
      </c>
      <c r="AM523" s="1868">
        <v>0.42968000000000001</v>
      </c>
      <c r="AN523" s="1868">
        <v>0.81899999999999995</v>
      </c>
      <c r="AO523" s="1868">
        <v>0.38144</v>
      </c>
      <c r="AP523" s="1868">
        <v>0.99139999999999995</v>
      </c>
      <c r="AQ523" s="1868">
        <v>1.79722</v>
      </c>
      <c r="AR523" s="1868">
        <v>1.08978</v>
      </c>
      <c r="AS523" s="1868">
        <v>1.4031</v>
      </c>
      <c r="AT523" s="1868">
        <v>0.8726799999999999</v>
      </c>
      <c r="AU523" s="1868">
        <v>0.77998999999999996</v>
      </c>
      <c r="AV523" s="1868">
        <v>0.86209999999999998</v>
      </c>
      <c r="AW523" s="1868">
        <v>0.85301000000000005</v>
      </c>
      <c r="AX523" s="1868">
        <v>1.4037500000000001</v>
      </c>
      <c r="AY523" s="1868">
        <v>0.89670000000000005</v>
      </c>
      <c r="AZ523" s="1868">
        <v>1.47187</v>
      </c>
      <c r="BA523" s="1868">
        <v>1.2115799999999999</v>
      </c>
    </row>
    <row r="524" spans="1:53">
      <c r="A524" s="1865" t="str">
        <f t="shared" si="8"/>
        <v>Central AsiaSeed cotton</v>
      </c>
      <c r="B524" s="1866" t="s">
        <v>1360</v>
      </c>
      <c r="C524" s="1866" t="s">
        <v>1397</v>
      </c>
      <c r="AI524" s="1868">
        <v>2.32212</v>
      </c>
      <c r="AJ524" s="1868">
        <v>2.3692799999999998</v>
      </c>
      <c r="AK524" s="1868">
        <v>2.3873099999999998</v>
      </c>
      <c r="AL524" s="1868">
        <v>2.3643999999999998</v>
      </c>
      <c r="AM524" s="1868">
        <v>1.8380000000000001</v>
      </c>
      <c r="AN524" s="1868">
        <v>2.0037099999999999</v>
      </c>
      <c r="AO524" s="1868">
        <v>1.8108299999999999</v>
      </c>
      <c r="AP524" s="1868">
        <v>2.2306400000000002</v>
      </c>
      <c r="AQ524" s="1868">
        <v>1.94103</v>
      </c>
      <c r="AR524" s="1868">
        <v>2.1799200000000001</v>
      </c>
      <c r="AS524" s="1868">
        <v>1.9953000000000001</v>
      </c>
      <c r="AT524" s="1868">
        <v>1.9139299999999999</v>
      </c>
      <c r="AU524" s="1868">
        <v>2.23645</v>
      </c>
      <c r="AV524" s="1868">
        <v>2.2090400000000003</v>
      </c>
      <c r="AW524" s="1868">
        <v>2.0766499999999999</v>
      </c>
      <c r="AX524" s="1868">
        <v>2.1806000000000001</v>
      </c>
      <c r="AY524" s="1868">
        <v>2.2232400000000001</v>
      </c>
      <c r="AZ524" s="1868">
        <v>2.0922800000000001</v>
      </c>
      <c r="BA524" s="1868">
        <v>2.2099299999999999</v>
      </c>
    </row>
    <row r="525" spans="1:53">
      <c r="A525" s="1865" t="str">
        <f t="shared" si="8"/>
        <v>Central AsiaSesame seed</v>
      </c>
      <c r="B525" s="1866" t="s">
        <v>1360</v>
      </c>
      <c r="C525" s="1866" t="s">
        <v>1345</v>
      </c>
      <c r="AI525" s="1868">
        <v>0.49738999999999994</v>
      </c>
      <c r="AJ525" s="1868">
        <v>0.49741000000000002</v>
      </c>
      <c r="AK525" s="1868">
        <v>0.51366000000000001</v>
      </c>
      <c r="AL525" s="1868">
        <v>0.59111999999999998</v>
      </c>
      <c r="AM525" s="1868">
        <v>0.50944999999999996</v>
      </c>
      <c r="AN525" s="1868">
        <v>0.59663999999999995</v>
      </c>
      <c r="AO525" s="1868">
        <v>0.60394999999999999</v>
      </c>
      <c r="AP525" s="1868">
        <v>0.61661999999999995</v>
      </c>
      <c r="AQ525" s="1868">
        <v>0.66488999999999998</v>
      </c>
      <c r="AR525" s="1868">
        <v>0.61343999999999999</v>
      </c>
      <c r="AS525" s="1868">
        <v>0.63239000000000001</v>
      </c>
      <c r="AT525" s="1868">
        <v>0.59961999999999993</v>
      </c>
      <c r="AU525" s="1868">
        <v>0.71343000000000001</v>
      </c>
      <c r="AV525" s="1868">
        <v>0.75114999999999998</v>
      </c>
      <c r="AW525" s="1868">
        <v>0.63127</v>
      </c>
      <c r="AX525" s="1868">
        <v>0.60813000000000006</v>
      </c>
      <c r="AY525" s="1868">
        <v>0.6321</v>
      </c>
      <c r="AZ525" s="1868">
        <v>0.59993999999999992</v>
      </c>
      <c r="BA525" s="1868">
        <v>0.59626000000000001</v>
      </c>
    </row>
    <row r="526" spans="1:53">
      <c r="A526" s="1865" t="str">
        <f t="shared" si="8"/>
        <v>Central AsiaSorghum</v>
      </c>
      <c r="B526" s="1866" t="s">
        <v>1360</v>
      </c>
      <c r="C526" s="1866" t="s">
        <v>1399</v>
      </c>
      <c r="AI526" s="1868">
        <v>1.4569099999999999</v>
      </c>
      <c r="AJ526" s="1868">
        <v>1.4522999999999999</v>
      </c>
      <c r="AK526" s="1868">
        <v>1.4742299999999999</v>
      </c>
      <c r="AL526" s="1868">
        <v>1.7032599999999998</v>
      </c>
      <c r="AM526" s="1868">
        <v>1.45678</v>
      </c>
      <c r="AN526" s="1868">
        <v>1.8599900000000003</v>
      </c>
      <c r="AO526" s="1868">
        <v>2.43207</v>
      </c>
      <c r="AP526" s="1868">
        <v>3.4173900000000001</v>
      </c>
      <c r="AQ526" s="1868">
        <v>2.7225900000000003</v>
      </c>
      <c r="AR526" s="1868">
        <v>3.6347900000000002</v>
      </c>
      <c r="AS526" s="1868">
        <v>1.0104200000000001</v>
      </c>
      <c r="AT526" s="1868">
        <v>1.4931700000000001</v>
      </c>
      <c r="AU526" s="1868">
        <v>2.42448</v>
      </c>
      <c r="AV526" s="1868">
        <v>1.6257700000000002</v>
      </c>
      <c r="AW526" s="1868">
        <v>3.0411799999999998</v>
      </c>
      <c r="AX526" s="1868">
        <v>4.4714999999999998</v>
      </c>
      <c r="AY526" s="1868">
        <v>4.1053100000000002</v>
      </c>
      <c r="AZ526" s="1868">
        <v>4.2898500000000004</v>
      </c>
      <c r="BA526" s="1868">
        <v>3.9228699999999996</v>
      </c>
    </row>
    <row r="527" spans="1:53">
      <c r="A527" s="1865" t="str">
        <f t="shared" si="8"/>
        <v>Central AsiaSoybeans</v>
      </c>
      <c r="B527" s="1866" t="s">
        <v>1360</v>
      </c>
      <c r="C527" s="1866" t="s">
        <v>1359</v>
      </c>
      <c r="AI527" s="1868">
        <v>1.1590499999999999</v>
      </c>
      <c r="AJ527" s="1868">
        <v>1.0430200000000001</v>
      </c>
      <c r="AK527" s="1868">
        <v>0.84661000000000008</v>
      </c>
      <c r="AL527" s="1868">
        <v>0.75648000000000004</v>
      </c>
      <c r="AM527" s="1868">
        <v>0.64715</v>
      </c>
      <c r="AN527" s="1868">
        <v>0.85946</v>
      </c>
      <c r="AO527" s="1868">
        <v>1.10555</v>
      </c>
      <c r="AP527" s="1868">
        <v>1.09449</v>
      </c>
      <c r="AQ527" s="1868">
        <v>1.00678</v>
      </c>
      <c r="AR527" s="1868">
        <v>1.0225799999999998</v>
      </c>
      <c r="AS527" s="1868">
        <v>1.4208499999999999</v>
      </c>
      <c r="AT527" s="1868">
        <v>1.3935899999999999</v>
      </c>
      <c r="AU527" s="1868">
        <v>1.44737</v>
      </c>
      <c r="AV527" s="1868">
        <v>2.0415900000000002</v>
      </c>
      <c r="AW527" s="1868">
        <v>1.65255</v>
      </c>
      <c r="AX527" s="1868">
        <v>1.6796799999999998</v>
      </c>
      <c r="AY527" s="1868">
        <v>1.72963</v>
      </c>
      <c r="AZ527" s="1868">
        <v>1.80033</v>
      </c>
      <c r="BA527" s="1868">
        <v>1.8488599999999999</v>
      </c>
    </row>
    <row r="528" spans="1:53">
      <c r="A528" s="1865" t="str">
        <f t="shared" si="8"/>
        <v>Central AsiaStrawberries</v>
      </c>
      <c r="B528" s="1866" t="s">
        <v>1360</v>
      </c>
      <c r="C528" s="1866" t="s">
        <v>1400</v>
      </c>
      <c r="AI528" s="1868">
        <v>2.1800000000000002</v>
      </c>
      <c r="AJ528" s="1868">
        <v>1.9014099999999998</v>
      </c>
      <c r="AK528" s="1868">
        <v>2.2711600000000001</v>
      </c>
      <c r="AL528" s="1868">
        <v>2.2718500000000001</v>
      </c>
      <c r="AM528" s="1868">
        <v>2.2721</v>
      </c>
      <c r="AN528" s="1868">
        <v>2.41046</v>
      </c>
      <c r="AO528" s="1868">
        <v>2.4166699999999999</v>
      </c>
      <c r="AP528" s="1868">
        <v>3.3</v>
      </c>
      <c r="AQ528" s="1868">
        <v>2.8758599999999999</v>
      </c>
      <c r="AR528" s="1868">
        <v>2.9821400000000002</v>
      </c>
      <c r="AS528" s="1868">
        <v>5.0774400000000002</v>
      </c>
      <c r="AT528" s="1868">
        <v>4.88896</v>
      </c>
      <c r="AU528" s="1868">
        <v>5.7067899999999998</v>
      </c>
      <c r="AV528" s="1868">
        <v>4.5853699999999993</v>
      </c>
      <c r="AW528" s="1868">
        <v>5.5772599999999999</v>
      </c>
      <c r="AX528" s="1868">
        <v>5.9476199999999997</v>
      </c>
      <c r="AY528" s="1868">
        <v>6.01</v>
      </c>
      <c r="AZ528" s="1868">
        <v>5.6545500000000004</v>
      </c>
      <c r="BA528" s="1868">
        <v>6.0652200000000001</v>
      </c>
    </row>
    <row r="529" spans="1:53">
      <c r="A529" s="1865" t="str">
        <f t="shared" si="8"/>
        <v>Central AsiaSugar beet</v>
      </c>
      <c r="B529" s="1866" t="s">
        <v>1360</v>
      </c>
      <c r="C529" s="1866" t="s">
        <v>1358</v>
      </c>
      <c r="AI529" s="1868">
        <v>14.129439999999999</v>
      </c>
      <c r="AJ529" s="1868">
        <v>13.21776</v>
      </c>
      <c r="AK529" s="1868">
        <v>8.4230800000000006</v>
      </c>
      <c r="AL529" s="1868">
        <v>9.97166</v>
      </c>
      <c r="AM529" s="1868">
        <v>11.10169</v>
      </c>
      <c r="AN529" s="1868">
        <v>13.355639999999999</v>
      </c>
      <c r="AO529" s="1868">
        <v>15.553770000000002</v>
      </c>
      <c r="AP529" s="1868">
        <v>15.03744</v>
      </c>
      <c r="AQ529" s="1868">
        <v>13.469889999999999</v>
      </c>
      <c r="AR529" s="1868">
        <v>12.59003</v>
      </c>
      <c r="AS529" s="1868">
        <v>17.203340000000001</v>
      </c>
      <c r="AT529" s="1868">
        <v>19.528099999999998</v>
      </c>
      <c r="AU529" s="1868">
        <v>19.115670000000001</v>
      </c>
      <c r="AV529" s="1868">
        <v>16.878260000000001</v>
      </c>
      <c r="AW529" s="1868">
        <v>16.918890000000001</v>
      </c>
      <c r="AX529" s="1868">
        <v>16.55255</v>
      </c>
      <c r="AY529" s="1868">
        <v>13.0565</v>
      </c>
      <c r="AZ529" s="1868">
        <v>13.1555</v>
      </c>
      <c r="BA529" s="1868">
        <v>13.747910000000001</v>
      </c>
    </row>
    <row r="530" spans="1:53">
      <c r="A530" s="1865" t="str">
        <f t="shared" si="8"/>
        <v>Central AsiaSunflower seed</v>
      </c>
      <c r="B530" s="1866" t="s">
        <v>1360</v>
      </c>
      <c r="C530" s="1866" t="s">
        <v>1402</v>
      </c>
      <c r="AI530" s="1868">
        <v>0.39555999999999997</v>
      </c>
      <c r="AJ530" s="1868">
        <v>0.33410000000000001</v>
      </c>
      <c r="AK530" s="1868">
        <v>0.36246</v>
      </c>
      <c r="AL530" s="1868">
        <v>0.33101999999999998</v>
      </c>
      <c r="AM530" s="1868">
        <v>0.26582</v>
      </c>
      <c r="AN530" s="1868">
        <v>0.36365999999999998</v>
      </c>
      <c r="AO530" s="1868">
        <v>0.49793999999999994</v>
      </c>
      <c r="AP530" s="1868">
        <v>0.58094000000000001</v>
      </c>
      <c r="AQ530" s="1868">
        <v>0.49291999999999997</v>
      </c>
      <c r="AR530" s="1868">
        <v>0.68137000000000003</v>
      </c>
      <c r="AS530" s="1868">
        <v>0.67566999999999999</v>
      </c>
      <c r="AT530" s="1868">
        <v>0.73216999999999999</v>
      </c>
      <c r="AU530" s="1868">
        <v>0.66813999999999996</v>
      </c>
      <c r="AV530" s="1868">
        <v>0.70908000000000004</v>
      </c>
      <c r="AW530" s="1868">
        <v>0.66073000000000004</v>
      </c>
      <c r="AX530" s="1868">
        <v>0.66705999999999999</v>
      </c>
      <c r="AY530" s="1868">
        <v>0.49317</v>
      </c>
      <c r="AZ530" s="1868">
        <v>0.62034</v>
      </c>
      <c r="BA530" s="1868">
        <v>0.50705</v>
      </c>
    </row>
    <row r="531" spans="1:53">
      <c r="A531" s="1865" t="str">
        <f t="shared" si="8"/>
        <v>Central AsiaTangerines, mandarins, clem.</v>
      </c>
      <c r="B531" s="1866" t="s">
        <v>1360</v>
      </c>
      <c r="C531" s="1866" t="s">
        <v>1404</v>
      </c>
      <c r="AI531" s="1868">
        <v>4.2857099999999999</v>
      </c>
      <c r="AJ531" s="1868">
        <v>4.0999999999999996</v>
      </c>
      <c r="AK531" s="1868">
        <v>4.74</v>
      </c>
      <c r="AL531" s="1868">
        <v>6.25</v>
      </c>
      <c r="AM531" s="1868">
        <v>5.97959</v>
      </c>
      <c r="AN531" s="1868">
        <v>6</v>
      </c>
      <c r="AO531" s="1868">
        <v>6.6666699999999999</v>
      </c>
      <c r="AP531" s="1868">
        <v>5.7142900000000001</v>
      </c>
      <c r="AQ531" s="1868">
        <v>6</v>
      </c>
      <c r="AR531" s="1868">
        <v>5</v>
      </c>
      <c r="AS531" s="1868">
        <v>5</v>
      </c>
      <c r="AT531" s="1868">
        <v>5</v>
      </c>
      <c r="AU531" s="1868">
        <v>6</v>
      </c>
      <c r="AV531" s="1868">
        <v>6</v>
      </c>
      <c r="AW531" s="1868">
        <v>6.6666699999999999</v>
      </c>
      <c r="AX531" s="1868">
        <v>6.3694300000000004</v>
      </c>
      <c r="AY531" s="1868">
        <v>6.11111</v>
      </c>
      <c r="AZ531" s="1868">
        <v>6.6666699999999999</v>
      </c>
      <c r="BA531" s="1868">
        <v>8.125</v>
      </c>
    </row>
    <row r="532" spans="1:53">
      <c r="A532" s="1865" t="str">
        <f t="shared" si="8"/>
        <v>Central AsiaTobacco, unmanufactured</v>
      </c>
      <c r="B532" s="1866" t="s">
        <v>1360</v>
      </c>
      <c r="C532" s="1866" t="s">
        <v>1347</v>
      </c>
      <c r="AI532" s="1868">
        <v>1.6987400000000001</v>
      </c>
      <c r="AJ532" s="1868">
        <v>1.76475</v>
      </c>
      <c r="AK532" s="1868">
        <v>1.72953</v>
      </c>
      <c r="AL532" s="1868">
        <v>1.97776</v>
      </c>
      <c r="AM532" s="1868">
        <v>1.7173700000000001</v>
      </c>
      <c r="AN532" s="1868">
        <v>2.1658499999999998</v>
      </c>
      <c r="AO532" s="1868">
        <v>2.2540800000000001</v>
      </c>
      <c r="AP532" s="1868">
        <v>2.22905</v>
      </c>
      <c r="AQ532" s="1868">
        <v>2.2670599999999999</v>
      </c>
      <c r="AR532" s="1868">
        <v>2.2381900000000003</v>
      </c>
      <c r="AS532" s="1868">
        <v>2.24404</v>
      </c>
      <c r="AT532" s="1868">
        <v>2.3548299999999998</v>
      </c>
      <c r="AU532" s="1868">
        <v>2.3599099999999997</v>
      </c>
      <c r="AV532" s="1868">
        <v>2.4135200000000001</v>
      </c>
      <c r="AW532" s="1868">
        <v>2.3515200000000003</v>
      </c>
      <c r="AX532" s="1868">
        <v>2.5087999999999999</v>
      </c>
      <c r="AY532" s="1868">
        <v>2.5157700000000003</v>
      </c>
      <c r="AZ532" s="1868">
        <v>2.4792000000000001</v>
      </c>
      <c r="BA532" s="1868">
        <v>2.56365</v>
      </c>
    </row>
    <row r="533" spans="1:53">
      <c r="A533" s="1865" t="str">
        <f t="shared" si="8"/>
        <v>Central AsiaTomatoes</v>
      </c>
      <c r="B533" s="1866" t="s">
        <v>1360</v>
      </c>
      <c r="C533" s="1866" t="s">
        <v>1406</v>
      </c>
      <c r="AI533" s="1868">
        <v>19.559100000000001</v>
      </c>
      <c r="AJ533" s="1868">
        <v>20.221970000000002</v>
      </c>
      <c r="AK533" s="1868">
        <v>18.980560000000001</v>
      </c>
      <c r="AL533" s="1868">
        <v>18.789770000000001</v>
      </c>
      <c r="AM533" s="1868">
        <v>15.770920000000002</v>
      </c>
      <c r="AN533" s="1868">
        <v>16.59038</v>
      </c>
      <c r="AO533" s="1868">
        <v>16.726779999999998</v>
      </c>
      <c r="AP533" s="1868">
        <v>18.069879999999998</v>
      </c>
      <c r="AQ533" s="1868">
        <v>19.455570000000002</v>
      </c>
      <c r="AR533" s="1868">
        <v>20.116670000000003</v>
      </c>
      <c r="AS533" s="1868">
        <v>20.991009999999999</v>
      </c>
      <c r="AT533" s="1868">
        <v>21.559249999999999</v>
      </c>
      <c r="AU533" s="1868">
        <v>21.95064</v>
      </c>
      <c r="AV533" s="1868">
        <v>23.1738</v>
      </c>
      <c r="AW533" s="1868">
        <v>24.774270000000001</v>
      </c>
      <c r="AX533" s="1868">
        <v>25.813660000000002</v>
      </c>
      <c r="AY533" s="1868">
        <v>29.605879999999999</v>
      </c>
      <c r="AZ533" s="1868">
        <v>31.10528</v>
      </c>
      <c r="BA533" s="1868">
        <v>31.11</v>
      </c>
    </row>
    <row r="534" spans="1:53">
      <c r="A534" s="1865" t="str">
        <f t="shared" si="8"/>
        <v>Central AsiaVegetables fresh nes</v>
      </c>
      <c r="B534" s="1866" t="s">
        <v>1360</v>
      </c>
      <c r="C534" s="1866" t="s">
        <v>1407</v>
      </c>
      <c r="AI534" s="1868">
        <v>14.153089999999999</v>
      </c>
      <c r="AJ534" s="1868">
        <v>15.28984</v>
      </c>
      <c r="AK534" s="1868">
        <v>15.037139999999999</v>
      </c>
      <c r="AL534" s="1868">
        <v>14.49929</v>
      </c>
      <c r="AM534" s="1868">
        <v>15.250400000000001</v>
      </c>
      <c r="AN534" s="1868">
        <v>17.067150000000002</v>
      </c>
      <c r="AO534" s="1868">
        <v>17.73237</v>
      </c>
      <c r="AP534" s="1868">
        <v>16.921150000000001</v>
      </c>
      <c r="AQ534" s="1868">
        <v>16.739260000000002</v>
      </c>
      <c r="AR534" s="1868">
        <v>16.913270000000001</v>
      </c>
      <c r="AS534" s="1868">
        <v>19.619540000000001</v>
      </c>
      <c r="AT534" s="1868">
        <v>18.02017</v>
      </c>
      <c r="AU534" s="1868">
        <v>18.008670000000002</v>
      </c>
      <c r="AV534" s="1868">
        <v>15.510810000000001</v>
      </c>
      <c r="AW534" s="1868">
        <v>15.614239999999999</v>
      </c>
      <c r="AX534" s="1868">
        <v>17.090520000000001</v>
      </c>
      <c r="AY534" s="1868">
        <v>20.079029999999999</v>
      </c>
      <c r="AZ534" s="1868">
        <v>20.412189999999999</v>
      </c>
      <c r="BA534" s="1868">
        <v>19.710090000000001</v>
      </c>
    </row>
    <row r="535" spans="1:53">
      <c r="A535" s="1865" t="str">
        <f t="shared" si="8"/>
        <v>Central AsiaWheat</v>
      </c>
      <c r="B535" s="1866" t="s">
        <v>1360</v>
      </c>
      <c r="C535" s="1866" t="s">
        <v>1409</v>
      </c>
      <c r="AI535" s="1868">
        <v>1.3667</v>
      </c>
      <c r="AJ535" s="1868">
        <v>0.98960000000000004</v>
      </c>
      <c r="AK535" s="1868">
        <v>0.85738999999999999</v>
      </c>
      <c r="AL535" s="1868">
        <v>0.76795000000000002</v>
      </c>
      <c r="AM535" s="1868">
        <v>0.87067000000000005</v>
      </c>
      <c r="AN535" s="1868">
        <v>1.0687500000000001</v>
      </c>
      <c r="AO535" s="1868">
        <v>0.93696000000000002</v>
      </c>
      <c r="AP535" s="1868">
        <v>1.54227</v>
      </c>
      <c r="AQ535" s="1868">
        <v>1.2209099999999999</v>
      </c>
      <c r="AR535" s="1868">
        <v>1.4661500000000001</v>
      </c>
      <c r="AS535" s="1868">
        <v>1.49882</v>
      </c>
      <c r="AT535" s="1868">
        <v>1.4701500000000001</v>
      </c>
      <c r="AU535" s="1868">
        <v>1.3202799999999999</v>
      </c>
      <c r="AV535" s="1868">
        <v>1.45431</v>
      </c>
      <c r="AW535" s="1868">
        <v>1.62418</v>
      </c>
      <c r="AX535" s="1868">
        <v>1.7193900000000002</v>
      </c>
      <c r="AY535" s="1868">
        <v>1.4110499999999999</v>
      </c>
      <c r="AZ535" s="1868">
        <v>1.6414</v>
      </c>
      <c r="BA535" s="1868">
        <v>1.30474</v>
      </c>
    </row>
    <row r="536" spans="1:53">
      <c r="A536" s="1865" t="str">
        <f t="shared" si="8"/>
        <v>Central AsiaCereals (Rice Milled Eqv</v>
      </c>
      <c r="B536" s="1866" t="s">
        <v>1360</v>
      </c>
      <c r="C536" s="1866" t="s">
        <v>1410</v>
      </c>
      <c r="AI536" s="1868">
        <v>1.38714</v>
      </c>
      <c r="AJ536" s="1868">
        <v>1.07151</v>
      </c>
      <c r="AK536" s="1868">
        <v>0.93913999999999997</v>
      </c>
      <c r="AL536" s="1868">
        <v>0.75812000000000002</v>
      </c>
      <c r="AM536" s="1868">
        <v>0.88722000000000012</v>
      </c>
      <c r="AN536" s="1868">
        <v>1.0542400000000001</v>
      </c>
      <c r="AO536" s="1868">
        <v>0.92638999999999994</v>
      </c>
      <c r="AP536" s="1868">
        <v>1.53027</v>
      </c>
      <c r="AQ536" s="1868">
        <v>1.2211700000000001</v>
      </c>
      <c r="AR536" s="1868">
        <v>1.4767299999999999</v>
      </c>
      <c r="AS536" s="1868">
        <v>1.5129999999999999</v>
      </c>
      <c r="AT536" s="1868">
        <v>1.4767700000000001</v>
      </c>
      <c r="AU536" s="1868">
        <v>1.3293999999999999</v>
      </c>
      <c r="AV536" s="1868">
        <v>1.4671399999999999</v>
      </c>
      <c r="AW536" s="1868">
        <v>1.61968</v>
      </c>
      <c r="AX536" s="1868">
        <v>1.7133099999999999</v>
      </c>
      <c r="AY536" s="1868">
        <v>1.41791</v>
      </c>
      <c r="AZ536" s="1868">
        <v>1.6752799999999999</v>
      </c>
      <c r="BA536" s="1868">
        <v>1.3468500000000001</v>
      </c>
    </row>
    <row r="537" spans="1:53">
      <c r="A537" s="1865" t="str">
        <f t="shared" si="8"/>
        <v>Eastern AfricaBananas</v>
      </c>
      <c r="B537" s="1866" t="s">
        <v>1416</v>
      </c>
      <c r="C537" s="1866" t="s">
        <v>1362</v>
      </c>
      <c r="D537" s="1868">
        <v>5.34917</v>
      </c>
      <c r="E537" s="1868">
        <v>5.38605</v>
      </c>
      <c r="F537" s="1868">
        <v>5.6014800000000005</v>
      </c>
      <c r="G537" s="1868">
        <v>5.8513999999999999</v>
      </c>
      <c r="H537" s="1868">
        <v>5.7410699999999997</v>
      </c>
      <c r="I537" s="1868">
        <v>5.7805099999999996</v>
      </c>
      <c r="J537" s="1868">
        <v>5.8871699999999993</v>
      </c>
      <c r="K537" s="1868">
        <v>5.8048000000000002</v>
      </c>
      <c r="L537" s="1868">
        <v>5.8618499999999996</v>
      </c>
      <c r="M537" s="1868">
        <v>5.0419999999999998</v>
      </c>
      <c r="N537" s="1868">
        <v>5.5048399999999997</v>
      </c>
      <c r="O537" s="1868">
        <v>5.1496699999999995</v>
      </c>
      <c r="P537" s="1868">
        <v>5.8860700000000001</v>
      </c>
      <c r="Q537" s="1868">
        <v>6.1231</v>
      </c>
      <c r="R537" s="1868">
        <v>5.8342700000000001</v>
      </c>
      <c r="S537" s="1868">
        <v>5.4730499999999997</v>
      </c>
      <c r="T537" s="1868">
        <v>5.5208500000000003</v>
      </c>
      <c r="U537" s="1868">
        <v>5.1926100000000002</v>
      </c>
      <c r="V537" s="1868">
        <v>5.6954199999999995</v>
      </c>
      <c r="W537" s="1868">
        <v>5.3168600000000001</v>
      </c>
      <c r="X537" s="1868">
        <v>6.3352500000000003</v>
      </c>
      <c r="Y537" s="1868">
        <v>5.7064399999999997</v>
      </c>
      <c r="Z537" s="1868">
        <v>5.6238999999999999</v>
      </c>
      <c r="AA537" s="1868">
        <v>5.4606699999999995</v>
      </c>
      <c r="AB537" s="1868">
        <v>5.5451499999999996</v>
      </c>
      <c r="AC537" s="1868">
        <v>5.5892800000000005</v>
      </c>
      <c r="AD537" s="1868">
        <v>5.5850200000000001</v>
      </c>
      <c r="AE537" s="1868">
        <v>5.4409000000000001</v>
      </c>
      <c r="AF537" s="1868">
        <v>5.4817499999999999</v>
      </c>
      <c r="AG537" s="1868">
        <v>5.5406699999999995</v>
      </c>
      <c r="AH537" s="1868">
        <v>5.5730500000000003</v>
      </c>
      <c r="AI537" s="1868">
        <v>5.6725500000000002</v>
      </c>
      <c r="AJ537" s="1868">
        <v>5.6856400000000002</v>
      </c>
      <c r="AK537" s="1868">
        <v>5.4433199999999999</v>
      </c>
      <c r="AL537" s="1868">
        <v>5.8960699999999999</v>
      </c>
      <c r="AM537" s="1868">
        <v>5.242</v>
      </c>
      <c r="AN537" s="1868">
        <v>4.6460099999999995</v>
      </c>
      <c r="AO537" s="1868">
        <v>4.3840000000000003</v>
      </c>
      <c r="AP537" s="1868">
        <v>5.1543000000000001</v>
      </c>
      <c r="AQ537" s="1868">
        <v>4.5640400000000003</v>
      </c>
      <c r="AR537" s="1868">
        <v>5.0052500000000002</v>
      </c>
      <c r="AS537" s="1868">
        <v>6.0699199999999998</v>
      </c>
      <c r="AT537" s="1868">
        <v>5.4709099999999999</v>
      </c>
      <c r="AU537" s="1868">
        <v>6.5240200000000002</v>
      </c>
      <c r="AV537" s="1868">
        <v>7.20845</v>
      </c>
      <c r="AW537" s="1868">
        <v>6.6042500000000004</v>
      </c>
      <c r="AX537" s="1868">
        <v>6.6773399999999992</v>
      </c>
      <c r="AY537" s="1868">
        <v>6.5857999999999999</v>
      </c>
      <c r="AZ537" s="1868">
        <v>5.9376800000000003</v>
      </c>
      <c r="BA537" s="1868">
        <v>6.2415500000000002</v>
      </c>
    </row>
    <row r="538" spans="1:53">
      <c r="A538" s="1865" t="str">
        <f t="shared" si="8"/>
        <v>Eastern AfricaBarley</v>
      </c>
      <c r="B538" s="1866" t="s">
        <v>1416</v>
      </c>
      <c r="C538" s="1866" t="s">
        <v>1363</v>
      </c>
      <c r="D538" s="1868">
        <v>0.80426999999999993</v>
      </c>
      <c r="E538" s="1868">
        <v>0.79990000000000006</v>
      </c>
      <c r="F538" s="1868">
        <v>0.8115</v>
      </c>
      <c r="G538" s="1868">
        <v>0.82247000000000003</v>
      </c>
      <c r="H538" s="1868">
        <v>0.82696000000000003</v>
      </c>
      <c r="I538" s="1868">
        <v>0.83877000000000013</v>
      </c>
      <c r="J538" s="1868">
        <v>0.84252999999999989</v>
      </c>
      <c r="K538" s="1868">
        <v>0.84355000000000002</v>
      </c>
      <c r="L538" s="1868">
        <v>0.85597000000000012</v>
      </c>
      <c r="M538" s="1868">
        <v>0.86699999999999999</v>
      </c>
      <c r="N538" s="1868">
        <v>0.87744</v>
      </c>
      <c r="O538" s="1868">
        <v>0.88117999999999996</v>
      </c>
      <c r="P538" s="1868">
        <v>0.83417000000000008</v>
      </c>
      <c r="Q538" s="1868">
        <v>0.81394</v>
      </c>
      <c r="R538" s="1868">
        <v>0.85462999999999989</v>
      </c>
      <c r="S538" s="1868">
        <v>1.0203100000000001</v>
      </c>
      <c r="T538" s="1868">
        <v>1.2454700000000001</v>
      </c>
      <c r="U538" s="1868">
        <v>0.86642000000000008</v>
      </c>
      <c r="V538" s="1868">
        <v>1.11697</v>
      </c>
      <c r="W538" s="1868">
        <v>1.1886099999999999</v>
      </c>
      <c r="X538" s="1868">
        <v>1.3510200000000001</v>
      </c>
      <c r="Y538" s="1868">
        <v>1.23186</v>
      </c>
      <c r="Z538" s="1868">
        <v>1.32199</v>
      </c>
      <c r="AA538" s="1868">
        <v>1.02634</v>
      </c>
      <c r="AB538" s="1868">
        <v>1.04847</v>
      </c>
      <c r="AC538" s="1868">
        <v>1.0192600000000001</v>
      </c>
      <c r="AD538" s="1868">
        <v>1.1294</v>
      </c>
      <c r="AE538" s="1868">
        <v>1.2233799999999999</v>
      </c>
      <c r="AF538" s="1868">
        <v>1.10816</v>
      </c>
      <c r="AG538" s="1868">
        <v>1.20444</v>
      </c>
      <c r="AH538" s="1868">
        <v>1.1918299999999999</v>
      </c>
      <c r="AI538" s="1868">
        <v>1.0993700000000002</v>
      </c>
      <c r="AJ538" s="1868">
        <v>1.33843</v>
      </c>
      <c r="AK538" s="1868">
        <v>0.98612999999999995</v>
      </c>
      <c r="AL538" s="1868">
        <v>0.88672000000000006</v>
      </c>
      <c r="AM538" s="1868">
        <v>1.0728799999999998</v>
      </c>
      <c r="AN538" s="1868">
        <v>1.0899099999999999</v>
      </c>
      <c r="AO538" s="1868">
        <v>1.1623000000000001</v>
      </c>
      <c r="AP538" s="1868">
        <v>0.95111000000000001</v>
      </c>
      <c r="AQ538" s="1868">
        <v>0.95532000000000006</v>
      </c>
      <c r="AR538" s="1868">
        <v>1.17686</v>
      </c>
      <c r="AS538" s="1868">
        <v>1.4570700000000001</v>
      </c>
      <c r="AT538" s="1868">
        <v>1.03742</v>
      </c>
      <c r="AU538" s="1868">
        <v>1.10572</v>
      </c>
      <c r="AV538" s="1868">
        <v>1.20041</v>
      </c>
      <c r="AW538" s="1868">
        <v>1.4826299999999999</v>
      </c>
      <c r="AX538" s="1868">
        <v>1.2911999999999999</v>
      </c>
      <c r="AY538" s="1868">
        <v>1.3995200000000001</v>
      </c>
      <c r="AZ538" s="1868">
        <v>1.8123099999999999</v>
      </c>
      <c r="BA538" s="1868">
        <v>1.30522</v>
      </c>
    </row>
    <row r="539" spans="1:53">
      <c r="A539" s="1865" t="str">
        <f t="shared" si="8"/>
        <v>Eastern AfricaBeans, dry</v>
      </c>
      <c r="B539" s="1866" t="s">
        <v>1416</v>
      </c>
      <c r="C539" s="1866" t="s">
        <v>1364</v>
      </c>
      <c r="D539" s="1868">
        <v>0.69343999999999995</v>
      </c>
      <c r="E539" s="1868">
        <v>0.69931999999999994</v>
      </c>
      <c r="F539" s="1868">
        <v>0.70428999999999997</v>
      </c>
      <c r="G539" s="1868">
        <v>0.69541999999999993</v>
      </c>
      <c r="H539" s="1868">
        <v>0.71740999999999999</v>
      </c>
      <c r="I539" s="1868">
        <v>0.72598000000000007</v>
      </c>
      <c r="J539" s="1868">
        <v>0.72968</v>
      </c>
      <c r="K539" s="1868">
        <v>0.70335999999999999</v>
      </c>
      <c r="L539" s="1868">
        <v>0.69771000000000005</v>
      </c>
      <c r="M539" s="1868">
        <v>0.69966000000000006</v>
      </c>
      <c r="N539" s="1868">
        <v>0.65700000000000003</v>
      </c>
      <c r="O539" s="1868">
        <v>0.72989999999999999</v>
      </c>
      <c r="P539" s="1868">
        <v>0.64363000000000004</v>
      </c>
      <c r="Q539" s="1868">
        <v>0.61103000000000007</v>
      </c>
      <c r="R539" s="1868">
        <v>0.71665000000000001</v>
      </c>
      <c r="S539" s="1868">
        <v>0.73163</v>
      </c>
      <c r="T539" s="1868">
        <v>0.70651000000000008</v>
      </c>
      <c r="U539" s="1868">
        <v>0.69052000000000002</v>
      </c>
      <c r="V539" s="1868">
        <v>0.68784999999999996</v>
      </c>
      <c r="W539" s="1868">
        <v>0.64466999999999997</v>
      </c>
      <c r="X539" s="1868">
        <v>0.68013000000000001</v>
      </c>
      <c r="Y539" s="1868">
        <v>0.67447000000000001</v>
      </c>
      <c r="Z539" s="1868">
        <v>0.71914</v>
      </c>
      <c r="AA539" s="1868">
        <v>0.70962000000000003</v>
      </c>
      <c r="AB539" s="1868">
        <v>0.73916000000000004</v>
      </c>
      <c r="AC539" s="1868">
        <v>0.72846999999999995</v>
      </c>
      <c r="AD539" s="1868">
        <v>0.73731999999999998</v>
      </c>
      <c r="AE539" s="1868">
        <v>0.72068999999999994</v>
      </c>
      <c r="AF539" s="1868">
        <v>0.71836</v>
      </c>
      <c r="AG539" s="1868">
        <v>0.79371000000000003</v>
      </c>
      <c r="AH539" s="1868">
        <v>0.77338000000000007</v>
      </c>
      <c r="AI539" s="1868">
        <v>0.76766999999999996</v>
      </c>
      <c r="AJ539" s="1868">
        <v>0.72792000000000001</v>
      </c>
      <c r="AK539" s="1868">
        <v>0.59103000000000006</v>
      </c>
      <c r="AL539" s="1868">
        <v>0.65015000000000001</v>
      </c>
      <c r="AM539" s="1868">
        <v>0.56881999999999999</v>
      </c>
      <c r="AN539" s="1868">
        <v>0.52748000000000006</v>
      </c>
      <c r="AO539" s="1868">
        <v>0.61651999999999996</v>
      </c>
      <c r="AP539" s="1868">
        <v>0.62156999999999996</v>
      </c>
      <c r="AQ539" s="1868">
        <v>0.60521999999999998</v>
      </c>
      <c r="AR539" s="1868">
        <v>0.64508999999999994</v>
      </c>
      <c r="AS539" s="1868">
        <v>0.58026</v>
      </c>
      <c r="AT539" s="1868">
        <v>0.62828000000000006</v>
      </c>
      <c r="AU539" s="1868">
        <v>0.59670000000000001</v>
      </c>
      <c r="AV539" s="1868">
        <v>0.58768999999999993</v>
      </c>
      <c r="AW539" s="1868">
        <v>0.64536000000000004</v>
      </c>
      <c r="AX539" s="1868">
        <v>0.66471000000000002</v>
      </c>
      <c r="AY539" s="1868">
        <v>0.65280000000000005</v>
      </c>
      <c r="AZ539" s="1868">
        <v>0.66453000000000007</v>
      </c>
      <c r="BA539" s="1868">
        <v>0.70793000000000006</v>
      </c>
    </row>
    <row r="540" spans="1:53">
      <c r="A540" s="1865" t="str">
        <f t="shared" si="8"/>
        <v>Eastern AfricaBeans, green</v>
      </c>
      <c r="B540" s="1866" t="s">
        <v>1416</v>
      </c>
      <c r="C540" s="1866" t="s">
        <v>1365</v>
      </c>
      <c r="D540" s="1868">
        <v>3.0241500000000001</v>
      </c>
      <c r="E540" s="1868">
        <v>3.1870500000000002</v>
      </c>
      <c r="F540" s="1868">
        <v>3.0730299999999997</v>
      </c>
      <c r="G540" s="1868">
        <v>3.1551</v>
      </c>
      <c r="H540" s="1868">
        <v>3.2526000000000002</v>
      </c>
      <c r="I540" s="1868">
        <v>3.3010099999999998</v>
      </c>
      <c r="J540" s="1868">
        <v>3.3333300000000001</v>
      </c>
      <c r="K540" s="1868">
        <v>3.1849400000000001</v>
      </c>
      <c r="L540" s="1868">
        <v>3.0558799999999997</v>
      </c>
      <c r="M540" s="1868">
        <v>2.8401900000000002</v>
      </c>
      <c r="N540" s="1868">
        <v>2.83711</v>
      </c>
      <c r="O540" s="1868">
        <v>2.9362599999999999</v>
      </c>
      <c r="P540" s="1868">
        <v>2.9234499999999999</v>
      </c>
      <c r="Q540" s="1868">
        <v>2.8980900000000003</v>
      </c>
      <c r="R540" s="1868">
        <v>2.6424099999999999</v>
      </c>
      <c r="S540" s="1868">
        <v>2.6352500000000001</v>
      </c>
      <c r="T540" s="1868">
        <v>3.0674200000000003</v>
      </c>
      <c r="U540" s="1868">
        <v>2.609</v>
      </c>
      <c r="V540" s="1868">
        <v>1.9824299999999999</v>
      </c>
      <c r="W540" s="1868">
        <v>2.2147700000000001</v>
      </c>
      <c r="X540" s="1868">
        <v>2.7093599999999998</v>
      </c>
      <c r="Y540" s="1868">
        <v>2.7528999999999999</v>
      </c>
      <c r="Z540" s="1868">
        <v>2.6796599999999997</v>
      </c>
      <c r="AA540" s="1868">
        <v>2.8359299999999998</v>
      </c>
      <c r="AB540" s="1868">
        <v>2.7619400000000001</v>
      </c>
      <c r="AC540" s="1868">
        <v>2.6351800000000001</v>
      </c>
      <c r="AD540" s="1868">
        <v>2.6295999999999999</v>
      </c>
      <c r="AE540" s="1868">
        <v>2.6149200000000001</v>
      </c>
      <c r="AF540" s="1868">
        <v>2.4436900000000001</v>
      </c>
      <c r="AG540" s="1868">
        <v>3.0147699999999999</v>
      </c>
      <c r="AH540" s="1868">
        <v>2.90279</v>
      </c>
      <c r="AI540" s="1868">
        <v>3.4449099999999997</v>
      </c>
      <c r="AJ540" s="1868">
        <v>3.10859</v>
      </c>
      <c r="AK540" s="1868">
        <v>3.6602000000000001</v>
      </c>
      <c r="AL540" s="1868">
        <v>3.1091000000000002</v>
      </c>
      <c r="AM540" s="1868">
        <v>3.4885699999999997</v>
      </c>
      <c r="AN540" s="1868">
        <v>3.3895400000000002</v>
      </c>
      <c r="AO540" s="1868">
        <v>4.4039999999999999</v>
      </c>
      <c r="AP540" s="1868">
        <v>4.2402699999999998</v>
      </c>
      <c r="AQ540" s="1868">
        <v>3.9915099999999999</v>
      </c>
      <c r="AR540" s="1868">
        <v>4.3125300000000006</v>
      </c>
      <c r="AS540" s="1868">
        <v>4.1718999999999999</v>
      </c>
      <c r="AT540" s="1868">
        <v>4.2069700000000001</v>
      </c>
      <c r="AU540" s="1868">
        <v>4.2481</v>
      </c>
      <c r="AV540" s="1868">
        <v>4.4177300000000006</v>
      </c>
      <c r="AW540" s="1868">
        <v>4.7564299999999999</v>
      </c>
      <c r="AX540" s="1868">
        <v>2.86938</v>
      </c>
      <c r="AY540" s="1868">
        <v>2.4251299999999998</v>
      </c>
      <c r="AZ540" s="1868">
        <v>2.5379099999999997</v>
      </c>
      <c r="BA540" s="1868">
        <v>2.3673299999999999</v>
      </c>
    </row>
    <row r="541" spans="1:53">
      <c r="A541" s="1865" t="str">
        <f t="shared" si="8"/>
        <v>Eastern AfricaCarrots and turnips</v>
      </c>
      <c r="B541" s="1866" t="s">
        <v>1416</v>
      </c>
      <c r="C541" s="1866" t="s">
        <v>1366</v>
      </c>
      <c r="D541" s="1868">
        <v>7.311539999999999</v>
      </c>
      <c r="E541" s="1868">
        <v>7.8785600000000002</v>
      </c>
      <c r="F541" s="1868">
        <v>8.0361200000000004</v>
      </c>
      <c r="G541" s="1868">
        <v>7.7562399999999991</v>
      </c>
      <c r="H541" s="1868">
        <v>8.7761200000000006</v>
      </c>
      <c r="I541" s="1868">
        <v>9.24</v>
      </c>
      <c r="J541" s="1868">
        <v>8.9811999999999994</v>
      </c>
      <c r="K541" s="1868">
        <v>9.1158900000000003</v>
      </c>
      <c r="L541" s="1868">
        <v>9.112169999999999</v>
      </c>
      <c r="M541" s="1868">
        <v>9.9776100000000003</v>
      </c>
      <c r="N541" s="1868">
        <v>10.859780000000001</v>
      </c>
      <c r="O541" s="1868">
        <v>12.348649999999999</v>
      </c>
      <c r="P541" s="1868">
        <v>13.811349999999999</v>
      </c>
      <c r="Q541" s="1868">
        <v>15.353350000000001</v>
      </c>
      <c r="R541" s="1868">
        <v>15.062670000000001</v>
      </c>
      <c r="S541" s="1868">
        <v>18.37077</v>
      </c>
      <c r="T541" s="1868">
        <v>5.3803900000000002</v>
      </c>
      <c r="U541" s="1868">
        <v>4.9840300000000006</v>
      </c>
      <c r="V541" s="1868">
        <v>4.9260099999999998</v>
      </c>
      <c r="W541" s="1868">
        <v>4.8789699999999998</v>
      </c>
      <c r="X541" s="1868">
        <v>4.8311699999999993</v>
      </c>
      <c r="Y541" s="1868">
        <v>4.86782</v>
      </c>
      <c r="Z541" s="1868">
        <v>4.8650900000000004</v>
      </c>
      <c r="AA541" s="1868">
        <v>4.6965000000000003</v>
      </c>
      <c r="AB541" s="1868">
        <v>4.6792499999999997</v>
      </c>
      <c r="AC541" s="1868">
        <v>4.7564500000000001</v>
      </c>
      <c r="AD541" s="1868">
        <v>4.70261</v>
      </c>
      <c r="AE541" s="1868">
        <v>4.8225100000000003</v>
      </c>
      <c r="AF541" s="1868">
        <v>4.6762699999999997</v>
      </c>
      <c r="AG541" s="1868">
        <v>4.5388699999999993</v>
      </c>
      <c r="AH541" s="1868">
        <v>4.3869400000000001</v>
      </c>
      <c r="AI541" s="1868">
        <v>10.13818</v>
      </c>
      <c r="AJ541" s="1868">
        <v>10.07729</v>
      </c>
      <c r="AK541" s="1868">
        <v>9.3386200000000006</v>
      </c>
      <c r="AL541" s="1868">
        <v>10.591229999999999</v>
      </c>
      <c r="AM541" s="1868">
        <v>10.13477</v>
      </c>
      <c r="AN541" s="1868">
        <v>11.448319999999999</v>
      </c>
      <c r="AO541" s="1868">
        <v>10.373900000000001</v>
      </c>
      <c r="AP541" s="1868">
        <v>8.6264699999999994</v>
      </c>
      <c r="AQ541" s="1868">
        <v>9.2911900000000003</v>
      </c>
      <c r="AR541" s="1868">
        <v>11.902480000000001</v>
      </c>
      <c r="AS541" s="1868">
        <v>11.15868</v>
      </c>
      <c r="AT541" s="1868">
        <v>9.0737899999999989</v>
      </c>
      <c r="AU541" s="1868">
        <v>8.8686000000000007</v>
      </c>
      <c r="AV541" s="1868">
        <v>7.8149499999999996</v>
      </c>
      <c r="AW541" s="1868">
        <v>8.95688</v>
      </c>
      <c r="AX541" s="1868">
        <v>9.9075299999999995</v>
      </c>
      <c r="AY541" s="1868">
        <v>12.950979999999999</v>
      </c>
      <c r="AZ541" s="1868">
        <v>12.442349999999999</v>
      </c>
      <c r="BA541" s="1868">
        <v>11.701260000000001</v>
      </c>
    </row>
    <row r="542" spans="1:53">
      <c r="A542" s="1865" t="str">
        <f t="shared" si="8"/>
        <v>Eastern AfricaCashew nuts, with shell</v>
      </c>
      <c r="B542" s="1866" t="s">
        <v>1416</v>
      </c>
      <c r="C542" s="1866" t="s">
        <v>1367</v>
      </c>
      <c r="D542" s="1868">
        <v>0.57103000000000004</v>
      </c>
      <c r="E542" s="1868">
        <v>0.58711000000000002</v>
      </c>
      <c r="F542" s="1868">
        <v>0.61118000000000006</v>
      </c>
      <c r="G542" s="1868">
        <v>0.65081999999999995</v>
      </c>
      <c r="H542" s="1868">
        <v>0.62088999999999994</v>
      </c>
      <c r="I542" s="1868">
        <v>0.61523000000000005</v>
      </c>
      <c r="J542" s="1868">
        <v>0.54559999999999997</v>
      </c>
      <c r="K542" s="1868">
        <v>0.58146000000000009</v>
      </c>
      <c r="L542" s="1868">
        <v>0.56001999999999996</v>
      </c>
      <c r="M542" s="1868">
        <v>0.57026999999999994</v>
      </c>
      <c r="N542" s="1868">
        <v>0.59289999999999998</v>
      </c>
      <c r="O542" s="1868">
        <v>0.60148000000000001</v>
      </c>
      <c r="P542" s="1868">
        <v>0.61473999999999995</v>
      </c>
      <c r="Q542" s="1868">
        <v>0.59375</v>
      </c>
      <c r="R542" s="1868">
        <v>0.58011000000000001</v>
      </c>
      <c r="S542" s="1868">
        <v>0.56476999999999999</v>
      </c>
      <c r="T542" s="1868">
        <v>0.54588999999999999</v>
      </c>
      <c r="U542" s="1868">
        <v>0.53358000000000005</v>
      </c>
      <c r="V542" s="1868">
        <v>0.51778000000000002</v>
      </c>
      <c r="W542" s="1868">
        <v>0.51441000000000003</v>
      </c>
      <c r="X542" s="1868">
        <v>0.54810000000000003</v>
      </c>
      <c r="Y542" s="1868">
        <v>0.52603999999999995</v>
      </c>
      <c r="Z542" s="1868">
        <v>0.51722999999999997</v>
      </c>
      <c r="AA542" s="1868">
        <v>0.46578999999999998</v>
      </c>
      <c r="AB542" s="1868">
        <v>0.50943000000000005</v>
      </c>
      <c r="AC542" s="1868">
        <v>0.47865000000000002</v>
      </c>
      <c r="AD542" s="1868">
        <v>0.50068000000000001</v>
      </c>
      <c r="AE542" s="1868">
        <v>0.53613</v>
      </c>
      <c r="AF542" s="1868">
        <v>0.51678999999999997</v>
      </c>
      <c r="AG542" s="1868">
        <v>0.46826999999999996</v>
      </c>
      <c r="AH542" s="1868">
        <v>0.49990000000000001</v>
      </c>
      <c r="AI542" s="1868">
        <v>0.60782000000000003</v>
      </c>
      <c r="AJ542" s="1868">
        <v>0.56054999999999999</v>
      </c>
      <c r="AK542" s="1868">
        <v>0.61736000000000002</v>
      </c>
      <c r="AL542" s="1868">
        <v>0.74156</v>
      </c>
      <c r="AM542" s="1868">
        <v>0.88227999999999995</v>
      </c>
      <c r="AN542" s="1868">
        <v>0.74360000000000004</v>
      </c>
      <c r="AO542" s="1868">
        <v>0.86481000000000008</v>
      </c>
      <c r="AP542" s="1868">
        <v>0.90918999999999994</v>
      </c>
      <c r="AQ542" s="1868">
        <v>0.94330999999999998</v>
      </c>
      <c r="AR542" s="1868">
        <v>0.89544000000000001</v>
      </c>
      <c r="AS542" s="1868">
        <v>0.63651999999999997</v>
      </c>
      <c r="AT542" s="1868">
        <v>0.79864000000000002</v>
      </c>
      <c r="AU542" s="1868">
        <v>0.71616000000000002</v>
      </c>
      <c r="AV542" s="1868">
        <v>0.75913999999999993</v>
      </c>
      <c r="AW542" s="1868">
        <v>0.78915000000000002</v>
      </c>
      <c r="AX542" s="1868">
        <v>0.78138999999999992</v>
      </c>
      <c r="AY542" s="1868">
        <v>0.79766000000000004</v>
      </c>
      <c r="AZ542" s="1868">
        <v>0.74998999999999993</v>
      </c>
      <c r="BA542" s="1868">
        <v>0.77698</v>
      </c>
    </row>
    <row r="543" spans="1:53">
      <c r="A543" s="1865" t="str">
        <f t="shared" si="8"/>
        <v>Eastern AfricaCassava</v>
      </c>
      <c r="B543" s="1866" t="s">
        <v>1416</v>
      </c>
      <c r="C543" s="1866" t="s">
        <v>1368</v>
      </c>
      <c r="D543" s="1868">
        <v>4.4175500000000003</v>
      </c>
      <c r="E543" s="1868">
        <v>4.6243499999999997</v>
      </c>
      <c r="F543" s="1868">
        <v>4.5615199999999998</v>
      </c>
      <c r="G543" s="1868">
        <v>4.7341699999999998</v>
      </c>
      <c r="H543" s="1868">
        <v>4.7141500000000001</v>
      </c>
      <c r="I543" s="1868">
        <v>4.8158400000000006</v>
      </c>
      <c r="J543" s="1868">
        <v>4.8454899999999999</v>
      </c>
      <c r="K543" s="1868">
        <v>4.8440699999999994</v>
      </c>
      <c r="L543" s="1868">
        <v>4.7706900000000001</v>
      </c>
      <c r="M543" s="1868">
        <v>4.8332899999999999</v>
      </c>
      <c r="N543" s="1868">
        <v>4.8622699999999996</v>
      </c>
      <c r="O543" s="1868">
        <v>5.2557</v>
      </c>
      <c r="P543" s="1868">
        <v>4.8687899999999997</v>
      </c>
      <c r="Q543" s="1868">
        <v>4.9752400000000003</v>
      </c>
      <c r="R543" s="1868">
        <v>5.8254400000000004</v>
      </c>
      <c r="S543" s="1868">
        <v>6.12263</v>
      </c>
      <c r="T543" s="1868">
        <v>6.7016499999999999</v>
      </c>
      <c r="U543" s="1868">
        <v>6.0570900000000005</v>
      </c>
      <c r="V543" s="1868">
        <v>6.6157500000000002</v>
      </c>
      <c r="W543" s="1868">
        <v>6.5940000000000003</v>
      </c>
      <c r="X543" s="1868">
        <v>7.4786899999999994</v>
      </c>
      <c r="Y543" s="1868">
        <v>7.1658300000000006</v>
      </c>
      <c r="Z543" s="1868">
        <v>7.4046799999999999</v>
      </c>
      <c r="AA543" s="1868">
        <v>6.9232800000000001</v>
      </c>
      <c r="AB543" s="1868">
        <v>7.2588100000000004</v>
      </c>
      <c r="AC543" s="1868">
        <v>7.2335399999999996</v>
      </c>
      <c r="AD543" s="1868">
        <v>7.0768100000000009</v>
      </c>
      <c r="AE543" s="1868">
        <v>6.9324500000000002</v>
      </c>
      <c r="AF543" s="1868">
        <v>6.7642699999999998</v>
      </c>
      <c r="AG543" s="1868">
        <v>7.4667300000000001</v>
      </c>
      <c r="AH543" s="1868">
        <v>6.8672899999999997</v>
      </c>
      <c r="AI543" s="1868">
        <v>6.40144</v>
      </c>
      <c r="AJ543" s="1868">
        <v>6.8478199999999996</v>
      </c>
      <c r="AK543" s="1868">
        <v>6.1931099999999999</v>
      </c>
      <c r="AL543" s="1868">
        <v>6.37629</v>
      </c>
      <c r="AM543" s="1868">
        <v>6.6301600000000009</v>
      </c>
      <c r="AN543" s="1868">
        <v>6.5722699999999996</v>
      </c>
      <c r="AO543" s="1868">
        <v>6.5368699999999995</v>
      </c>
      <c r="AP543" s="1868">
        <v>7.3874100000000009</v>
      </c>
      <c r="AQ543" s="1868">
        <v>7.6122300000000003</v>
      </c>
      <c r="AR543" s="1868">
        <v>8.4441500000000005</v>
      </c>
      <c r="AS543" s="1868">
        <v>7.8805699999999996</v>
      </c>
      <c r="AT543" s="1868">
        <v>6.9153100000000007</v>
      </c>
      <c r="AU543" s="1868">
        <v>7.0222600000000002</v>
      </c>
      <c r="AV543" s="1868">
        <v>7.0930499999999999</v>
      </c>
      <c r="AW543" s="1868">
        <v>8.4212399999999992</v>
      </c>
      <c r="AX543" s="1868">
        <v>8.7992000000000008</v>
      </c>
      <c r="AY543" s="1868">
        <v>8.8062199999999997</v>
      </c>
      <c r="AZ543" s="1868">
        <v>7.9340000000000002</v>
      </c>
      <c r="BA543" s="1868">
        <v>8.0940399999999997</v>
      </c>
    </row>
    <row r="544" spans="1:53">
      <c r="A544" s="1865" t="str">
        <f t="shared" si="8"/>
        <v>Eastern AfricaCauliflowers and broccoli</v>
      </c>
      <c r="B544" s="1866" t="s">
        <v>1416</v>
      </c>
      <c r="C544" s="1866" t="s">
        <v>1369</v>
      </c>
      <c r="D544" s="1868">
        <v>10.38462</v>
      </c>
      <c r="E544" s="1868">
        <v>14.28571</v>
      </c>
      <c r="F544" s="1868">
        <v>15.722220000000002</v>
      </c>
      <c r="G544" s="1868">
        <v>10.42647</v>
      </c>
      <c r="H544" s="1868">
        <v>11.68702</v>
      </c>
      <c r="I544" s="1868">
        <v>11.128210000000001</v>
      </c>
      <c r="J544" s="1868">
        <v>11.556339999999999</v>
      </c>
      <c r="K544" s="1868">
        <v>11.8</v>
      </c>
      <c r="L544" s="1868">
        <v>11.016529999999999</v>
      </c>
      <c r="M544" s="1868">
        <v>11.466670000000001</v>
      </c>
      <c r="N544" s="1868">
        <v>12.076189999999999</v>
      </c>
      <c r="O544" s="1868">
        <v>14.333329999999998</v>
      </c>
      <c r="P544" s="1868">
        <v>15.455879999999999</v>
      </c>
      <c r="Q544" s="1868">
        <v>13.762789999999999</v>
      </c>
      <c r="R544" s="1868">
        <v>14.424579999999999</v>
      </c>
      <c r="S544" s="1868">
        <v>16.384620000000002</v>
      </c>
      <c r="T544" s="1868">
        <v>15.188120000000001</v>
      </c>
      <c r="U544" s="1868">
        <v>15.072729999999998</v>
      </c>
      <c r="V544" s="1868">
        <v>9.2168700000000001</v>
      </c>
      <c r="W544" s="1868">
        <v>11.651160000000001</v>
      </c>
      <c r="X544" s="1868">
        <v>8.6145800000000001</v>
      </c>
      <c r="Y544" s="1868">
        <v>7.9910699999999997</v>
      </c>
      <c r="Z544" s="1868">
        <v>8.0970200000000006</v>
      </c>
      <c r="AA544" s="1868">
        <v>9.751380000000001</v>
      </c>
      <c r="AB544" s="1868">
        <v>7.7480899999999995</v>
      </c>
      <c r="AC544" s="1868">
        <v>6.87927</v>
      </c>
      <c r="AD544" s="1868">
        <v>6.5399199999999995</v>
      </c>
      <c r="AE544" s="1868">
        <v>7.2803899999999997</v>
      </c>
      <c r="AF544" s="1868">
        <v>7.1275199999999996</v>
      </c>
      <c r="AG544" s="1868">
        <v>8.4954100000000015</v>
      </c>
      <c r="AH544" s="1868">
        <v>7.6716699999999998</v>
      </c>
      <c r="AI544" s="1868">
        <v>9.6035699999999995</v>
      </c>
      <c r="AJ544" s="1868">
        <v>6.4554999999999998</v>
      </c>
      <c r="AK544" s="1868">
        <v>8.1900399999999998</v>
      </c>
      <c r="AL544" s="1868">
        <v>7.3183800000000003</v>
      </c>
      <c r="AM544" s="1868">
        <v>8.8247999999999998</v>
      </c>
      <c r="AN544" s="1868">
        <v>19.321820000000002</v>
      </c>
      <c r="AO544" s="1868">
        <v>18.12989</v>
      </c>
      <c r="AP544" s="1868">
        <v>16.832079999999998</v>
      </c>
      <c r="AQ544" s="1868">
        <v>16.771320000000003</v>
      </c>
      <c r="AR544" s="1868">
        <v>15.023879999999998</v>
      </c>
      <c r="AS544" s="1868">
        <v>14.122589999999999</v>
      </c>
      <c r="AT544" s="1868">
        <v>16.544119999999999</v>
      </c>
      <c r="AU544" s="1868">
        <v>17.232700000000001</v>
      </c>
      <c r="AV544" s="1868">
        <v>21.669409999999999</v>
      </c>
      <c r="AW544" s="1868">
        <v>23.615960000000001</v>
      </c>
      <c r="AX544" s="1868">
        <v>17.766500000000001</v>
      </c>
      <c r="AY544" s="1868">
        <v>19.441379999999999</v>
      </c>
      <c r="AZ544" s="1868">
        <v>18.161909999999999</v>
      </c>
      <c r="BA544" s="1868">
        <v>17.720510000000001</v>
      </c>
    </row>
    <row r="545" spans="1:53">
      <c r="A545" s="1865" t="str">
        <f t="shared" si="8"/>
        <v>Eastern AfricaCereals, nes</v>
      </c>
      <c r="B545" s="1866" t="s">
        <v>1416</v>
      </c>
      <c r="C545" s="1866" t="s">
        <v>1370</v>
      </c>
      <c r="D545" s="1868">
        <v>0.57576000000000005</v>
      </c>
      <c r="E545" s="1868">
        <v>0.54852000000000001</v>
      </c>
      <c r="F545" s="1868">
        <v>0.57142999999999999</v>
      </c>
      <c r="G545" s="1868">
        <v>0.58999000000000001</v>
      </c>
      <c r="H545" s="1868">
        <v>0.59501999999999999</v>
      </c>
      <c r="I545" s="1868">
        <v>0.60002</v>
      </c>
      <c r="J545" s="1868">
        <v>0.60276000000000007</v>
      </c>
      <c r="K545" s="1868">
        <v>0.60553000000000001</v>
      </c>
      <c r="L545" s="1868">
        <v>0.60826999999999998</v>
      </c>
      <c r="M545" s="1868">
        <v>0.61102000000000001</v>
      </c>
      <c r="N545" s="1868">
        <v>0.61421000000000003</v>
      </c>
      <c r="O545" s="1868">
        <v>0.61709999999999998</v>
      </c>
      <c r="P545" s="1868">
        <v>0.72</v>
      </c>
      <c r="Q545" s="1868">
        <v>0.7</v>
      </c>
      <c r="R545" s="1868">
        <v>0.69638999999999995</v>
      </c>
      <c r="S545" s="1868">
        <v>0.69683000000000006</v>
      </c>
      <c r="T545" s="1868">
        <v>0.74376000000000009</v>
      </c>
      <c r="U545" s="1868">
        <v>0.78403</v>
      </c>
      <c r="V545" s="1868">
        <v>0.82011000000000001</v>
      </c>
      <c r="W545" s="1868">
        <v>0.94408999999999998</v>
      </c>
      <c r="X545" s="1868">
        <v>0.96353999999999995</v>
      </c>
      <c r="Y545" s="1868">
        <v>0.81489</v>
      </c>
      <c r="Z545" s="1868">
        <v>0.9815299999999999</v>
      </c>
      <c r="AA545" s="1868">
        <v>0.82899999999999996</v>
      </c>
      <c r="AB545" s="1868">
        <v>0.67993999999999999</v>
      </c>
      <c r="AC545" s="1868">
        <v>0.74913999999999992</v>
      </c>
      <c r="AD545" s="1868">
        <v>0.80513000000000001</v>
      </c>
      <c r="AE545" s="1868">
        <v>0.79973000000000005</v>
      </c>
      <c r="AF545" s="1868">
        <v>0.83494999999999997</v>
      </c>
      <c r="AG545" s="1868">
        <v>0.85376000000000007</v>
      </c>
      <c r="AH545" s="1868">
        <v>1.41917</v>
      </c>
      <c r="AI545" s="1868">
        <v>0.86671000000000009</v>
      </c>
      <c r="AJ545" s="1868">
        <v>0.96499000000000001</v>
      </c>
      <c r="AK545" s="1868">
        <v>0.87216000000000005</v>
      </c>
      <c r="AL545" s="1868">
        <v>0.70108999999999999</v>
      </c>
      <c r="AM545" s="1868">
        <v>0.82581000000000004</v>
      </c>
      <c r="AN545" s="1868">
        <v>0.90707999999999989</v>
      </c>
      <c r="AO545" s="1868">
        <v>0.73366000000000009</v>
      </c>
      <c r="AP545" s="1868">
        <v>0.77261000000000002</v>
      </c>
      <c r="AQ545" s="1868">
        <v>0.79953999999999992</v>
      </c>
      <c r="AR545" s="1868">
        <v>0.79200000000000004</v>
      </c>
      <c r="AS545" s="1868">
        <v>0.87622000000000011</v>
      </c>
      <c r="AT545" s="1868">
        <v>0.69955000000000001</v>
      </c>
      <c r="AU545" s="1868">
        <v>0.72008000000000005</v>
      </c>
      <c r="AV545" s="1868">
        <v>0.96963999999999995</v>
      </c>
      <c r="AW545" s="1868">
        <v>1.0304</v>
      </c>
      <c r="AX545" s="1868">
        <v>0.98293999999999992</v>
      </c>
      <c r="AY545" s="1868">
        <v>0.85288999999999993</v>
      </c>
      <c r="AZ545" s="1868">
        <v>1.22298</v>
      </c>
      <c r="BA545" s="1868">
        <v>1.1719700000000002</v>
      </c>
    </row>
    <row r="546" spans="1:53">
      <c r="A546" s="1865" t="str">
        <f t="shared" si="8"/>
        <v>Eastern AfricaCitrus fruit, nes</v>
      </c>
      <c r="B546" s="1866" t="s">
        <v>1416</v>
      </c>
      <c r="C546" s="1866" t="s">
        <v>1372</v>
      </c>
      <c r="D546" s="1868">
        <v>1.26623</v>
      </c>
      <c r="E546" s="1868">
        <v>1.4285700000000001</v>
      </c>
      <c r="F546" s="1868">
        <v>1.6019399999999999</v>
      </c>
      <c r="G546" s="1868">
        <v>1.2356</v>
      </c>
      <c r="H546" s="1868">
        <v>1.4793100000000001</v>
      </c>
      <c r="I546" s="1868">
        <v>1.6506900000000002</v>
      </c>
      <c r="J546" s="1868">
        <v>1.5467200000000001</v>
      </c>
      <c r="K546" s="1868">
        <v>1.0340499999999999</v>
      </c>
      <c r="L546" s="1868">
        <v>1.13826</v>
      </c>
      <c r="M546" s="1868">
        <v>0.67466999999999999</v>
      </c>
      <c r="N546" s="1868">
        <v>1.16808</v>
      </c>
      <c r="O546" s="1868">
        <v>1.9757</v>
      </c>
      <c r="P546" s="1868">
        <v>2.19692</v>
      </c>
      <c r="Q546" s="1868">
        <v>2.4755700000000003</v>
      </c>
      <c r="R546" s="1868">
        <v>2.7626499999999998</v>
      </c>
      <c r="S546" s="1868">
        <v>2.8464</v>
      </c>
      <c r="T546" s="1868">
        <v>3.0855399999999999</v>
      </c>
      <c r="U546" s="1868">
        <v>3.2168900000000002</v>
      </c>
      <c r="V546" s="1868">
        <v>3.4869800000000004</v>
      </c>
      <c r="W546" s="1868">
        <v>3.6228400000000001</v>
      </c>
      <c r="X546" s="1868">
        <v>3.9118599999999999</v>
      </c>
      <c r="Y546" s="1868">
        <v>4.0582699999999994</v>
      </c>
      <c r="Z546" s="1868">
        <v>4.2037800000000001</v>
      </c>
      <c r="AA546" s="1868">
        <v>4.16798</v>
      </c>
      <c r="AB546" s="1868">
        <v>4.25183</v>
      </c>
      <c r="AC546" s="1868">
        <v>4.4020800000000007</v>
      </c>
      <c r="AD546" s="1868">
        <v>4.5527499999999996</v>
      </c>
      <c r="AE546" s="1868">
        <v>4.7031599999999996</v>
      </c>
      <c r="AF546" s="1868">
        <v>4.8383000000000003</v>
      </c>
      <c r="AG546" s="1868">
        <v>4.8193800000000007</v>
      </c>
      <c r="AH546" s="1868">
        <v>4.8382800000000001</v>
      </c>
      <c r="AI546" s="1868">
        <v>6.6816000000000004</v>
      </c>
      <c r="AJ546" s="1868">
        <v>8.1337700000000002</v>
      </c>
      <c r="AK546" s="1868">
        <v>8.51966</v>
      </c>
      <c r="AL546" s="1868">
        <v>8.4987899999999996</v>
      </c>
      <c r="AM546" s="1868">
        <v>7.859560000000001</v>
      </c>
      <c r="AN546" s="1868">
        <v>7.5471600000000008</v>
      </c>
      <c r="AO546" s="1868">
        <v>6.8591399999999991</v>
      </c>
      <c r="AP546" s="1868">
        <v>7.8198300000000005</v>
      </c>
      <c r="AQ546" s="1868">
        <v>7.4412500000000001</v>
      </c>
      <c r="AR546" s="1868">
        <v>7.2759</v>
      </c>
      <c r="AS546" s="1868">
        <v>5.9930599999999998</v>
      </c>
      <c r="AT546" s="1868">
        <v>5.6863199999999994</v>
      </c>
      <c r="AU546" s="1868">
        <v>5.7573499999999997</v>
      </c>
      <c r="AV546" s="1868">
        <v>5.4579599999999999</v>
      </c>
      <c r="AW546" s="1868">
        <v>6.0217800000000006</v>
      </c>
      <c r="AX546" s="1868">
        <v>5.8658900000000003</v>
      </c>
      <c r="AY546" s="1868">
        <v>6.6269200000000001</v>
      </c>
      <c r="AZ546" s="1868">
        <v>6.1313699999999995</v>
      </c>
      <c r="BA546" s="1868">
        <v>6.0853800000000007</v>
      </c>
    </row>
    <row r="547" spans="1:53">
      <c r="A547" s="1865" t="str">
        <f t="shared" si="8"/>
        <v>Eastern AfricaCoffee, green</v>
      </c>
      <c r="B547" s="1866" t="s">
        <v>1416</v>
      </c>
      <c r="C547" s="1866" t="s">
        <v>1373</v>
      </c>
      <c r="D547" s="1868">
        <v>0.37062</v>
      </c>
      <c r="E547" s="1868">
        <v>0.35951</v>
      </c>
      <c r="F547" s="1868">
        <v>0.37006999999999995</v>
      </c>
      <c r="G547" s="1868">
        <v>0.41571999999999998</v>
      </c>
      <c r="H547" s="1868">
        <v>0.36193999999999998</v>
      </c>
      <c r="I547" s="1868">
        <v>0.36976999999999999</v>
      </c>
      <c r="J547" s="1868">
        <v>0.37879000000000002</v>
      </c>
      <c r="K547" s="1868">
        <v>0.38020999999999999</v>
      </c>
      <c r="L547" s="1868">
        <v>0.45906999999999998</v>
      </c>
      <c r="M547" s="1868">
        <v>0.44731000000000004</v>
      </c>
      <c r="N547" s="1868">
        <v>0.43573999999999996</v>
      </c>
      <c r="O547" s="1868">
        <v>0.44858000000000003</v>
      </c>
      <c r="P547" s="1868">
        <v>0.47411000000000003</v>
      </c>
      <c r="Q547" s="1868">
        <v>0.50023000000000006</v>
      </c>
      <c r="R547" s="1868">
        <v>0.50434999999999997</v>
      </c>
      <c r="S547" s="1868">
        <v>0.47470000000000001</v>
      </c>
      <c r="T547" s="1868">
        <v>0.51783000000000001</v>
      </c>
      <c r="U547" s="1868">
        <v>0.47018999999999994</v>
      </c>
      <c r="V547" s="1868">
        <v>0.4607</v>
      </c>
      <c r="W547" s="1868">
        <v>0.499</v>
      </c>
      <c r="X547" s="1868">
        <v>0.50568000000000002</v>
      </c>
      <c r="Y547" s="1868">
        <v>0.52513999999999994</v>
      </c>
      <c r="Z547" s="1868">
        <v>0.53044999999999998</v>
      </c>
      <c r="AA547" s="1868">
        <v>0.56203000000000003</v>
      </c>
      <c r="AB547" s="1868">
        <v>0.54703000000000002</v>
      </c>
      <c r="AC547" s="1868">
        <v>0.60663999999999996</v>
      </c>
      <c r="AD547" s="1868">
        <v>0.61065000000000003</v>
      </c>
      <c r="AE547" s="1868">
        <v>0.60943999999999998</v>
      </c>
      <c r="AF547" s="1868">
        <v>0.60341999999999996</v>
      </c>
      <c r="AG547" s="1868">
        <v>0.55484999999999995</v>
      </c>
      <c r="AH547" s="1868">
        <v>0.57472000000000001</v>
      </c>
      <c r="AI547" s="1868">
        <v>0.54669000000000001</v>
      </c>
      <c r="AJ547" s="1868">
        <v>0.53869999999999996</v>
      </c>
      <c r="AK547" s="1868">
        <v>0.65517000000000003</v>
      </c>
      <c r="AL547" s="1868">
        <v>0.64341000000000004</v>
      </c>
      <c r="AM547" s="1868">
        <v>0.73058000000000001</v>
      </c>
      <c r="AN547" s="1868">
        <v>0.63014999999999999</v>
      </c>
      <c r="AO547" s="1868">
        <v>0.60246</v>
      </c>
      <c r="AP547" s="1868">
        <v>0.66271000000000002</v>
      </c>
      <c r="AQ547" s="1868">
        <v>0.58162999999999998</v>
      </c>
      <c r="AR547" s="1868">
        <v>0.61819000000000002</v>
      </c>
      <c r="AS547" s="1868">
        <v>0.67498999999999998</v>
      </c>
      <c r="AT547" s="1868">
        <v>0.58794999999999997</v>
      </c>
      <c r="AU547" s="1868">
        <v>0.49904999999999999</v>
      </c>
      <c r="AV547" s="1868">
        <v>0.51949000000000001</v>
      </c>
      <c r="AW547" s="1868">
        <v>0.57110000000000005</v>
      </c>
      <c r="AX547" s="1868">
        <v>0.66783999999999999</v>
      </c>
      <c r="AY547" s="1868">
        <v>0.52453000000000005</v>
      </c>
      <c r="AZ547" s="1868">
        <v>0.55713999999999997</v>
      </c>
      <c r="BA547" s="1868">
        <v>0.54661999999999999</v>
      </c>
    </row>
    <row r="548" spans="1:53">
      <c r="A548" s="1865" t="str">
        <f t="shared" si="8"/>
        <v>Eastern AfricaCow peas, dry</v>
      </c>
      <c r="B548" s="1866" t="s">
        <v>1416</v>
      </c>
      <c r="C548" s="1866" t="s">
        <v>1355</v>
      </c>
      <c r="D548" s="1868">
        <v>0.57152999999999998</v>
      </c>
      <c r="E548" s="1868">
        <v>0.58633000000000002</v>
      </c>
      <c r="F548" s="1868">
        <v>0.54879999999999995</v>
      </c>
      <c r="G548" s="1868">
        <v>0.58143999999999996</v>
      </c>
      <c r="H548" s="1868">
        <v>0.53848999999999991</v>
      </c>
      <c r="I548" s="1868">
        <v>0.45848999999999995</v>
      </c>
      <c r="J548" s="1868">
        <v>0.66632999999999998</v>
      </c>
      <c r="K548" s="1868">
        <v>0.64922999999999997</v>
      </c>
      <c r="L548" s="1868">
        <v>0.58456000000000008</v>
      </c>
      <c r="M548" s="1868">
        <v>0.64464999999999995</v>
      </c>
      <c r="N548" s="1868">
        <v>0.69626999999999994</v>
      </c>
      <c r="O548" s="1868">
        <v>0.69031000000000009</v>
      </c>
      <c r="P548" s="1868">
        <v>0.67308999999999997</v>
      </c>
      <c r="Q548" s="1868">
        <v>0.66532000000000002</v>
      </c>
      <c r="R548" s="1868">
        <v>0.58376000000000006</v>
      </c>
      <c r="S548" s="1868">
        <v>0.39274999999999999</v>
      </c>
      <c r="T548" s="1868">
        <v>0.41736000000000001</v>
      </c>
      <c r="U548" s="1868">
        <v>0.40915000000000001</v>
      </c>
      <c r="V548" s="1868">
        <v>0.43086999999999998</v>
      </c>
      <c r="W548" s="1868">
        <v>0.40823000000000004</v>
      </c>
      <c r="X548" s="1868">
        <v>0.41598999999999997</v>
      </c>
      <c r="Y548" s="1868">
        <v>0.42861000000000005</v>
      </c>
      <c r="Z548" s="1868">
        <v>0.47960000000000003</v>
      </c>
      <c r="AA548" s="1868">
        <v>0.46123999999999998</v>
      </c>
      <c r="AB548" s="1868">
        <v>0.44518000000000002</v>
      </c>
      <c r="AC548" s="1868">
        <v>0.48448000000000002</v>
      </c>
      <c r="AD548" s="1868">
        <v>0.48091999999999996</v>
      </c>
      <c r="AE548" s="1868">
        <v>0.48335</v>
      </c>
      <c r="AF548" s="1868">
        <v>0.47736999999999996</v>
      </c>
      <c r="AG548" s="1868">
        <v>0.49357000000000001</v>
      </c>
      <c r="AH548" s="1868">
        <v>0.49216000000000004</v>
      </c>
      <c r="AI548" s="1868">
        <v>0.47956000000000004</v>
      </c>
      <c r="AJ548" s="1868">
        <v>0.53256000000000003</v>
      </c>
      <c r="AK548" s="1868">
        <v>0.52688000000000001</v>
      </c>
      <c r="AL548" s="1868">
        <v>0.45483999999999997</v>
      </c>
      <c r="AM548" s="1868">
        <v>0.51056000000000001</v>
      </c>
      <c r="AN548" s="1868">
        <v>0.46886000000000005</v>
      </c>
      <c r="AO548" s="1868">
        <v>0.44713999999999998</v>
      </c>
      <c r="AP548" s="1868">
        <v>0.52413999999999994</v>
      </c>
      <c r="AQ548" s="1868">
        <v>0.51626000000000005</v>
      </c>
      <c r="AR548" s="1868">
        <v>0.47996000000000005</v>
      </c>
      <c r="AS548" s="1868">
        <v>0.47965000000000002</v>
      </c>
      <c r="AT548" s="1868">
        <v>0.51593999999999995</v>
      </c>
      <c r="AU548" s="1868">
        <v>0.61068999999999996</v>
      </c>
      <c r="AV548" s="1868">
        <v>0.58396999999999999</v>
      </c>
      <c r="AW548" s="1868">
        <v>0.59782000000000002</v>
      </c>
      <c r="AX548" s="1868">
        <v>0.68657000000000001</v>
      </c>
      <c r="AY548" s="1868">
        <v>0.57921999999999996</v>
      </c>
      <c r="AZ548" s="1868">
        <v>0.68326999999999993</v>
      </c>
      <c r="BA548" s="1868">
        <v>0.62818999999999992</v>
      </c>
    </row>
    <row r="549" spans="1:53">
      <c r="A549" s="1865" t="str">
        <f t="shared" si="8"/>
        <v>Eastern AfricaDates</v>
      </c>
      <c r="B549" s="1866" t="s">
        <v>1416</v>
      </c>
      <c r="C549" s="1866" t="s">
        <v>1374</v>
      </c>
      <c r="D549" s="1868">
        <v>3.5862099999999999</v>
      </c>
      <c r="E549" s="1868">
        <v>3.6</v>
      </c>
      <c r="F549" s="1868">
        <v>3.6666699999999999</v>
      </c>
      <c r="G549" s="1868">
        <v>3.7333300000000005</v>
      </c>
      <c r="H549" s="1868">
        <v>3.5625</v>
      </c>
      <c r="I549" s="1868">
        <v>3.625</v>
      </c>
      <c r="J549" s="1868">
        <v>3.6875</v>
      </c>
      <c r="K549" s="1868">
        <v>3.6363599999999998</v>
      </c>
      <c r="L549" s="1868">
        <v>3.6969699999999999</v>
      </c>
      <c r="M549" s="1868">
        <v>3.6969699999999999</v>
      </c>
      <c r="N549" s="1868">
        <v>3.7575800000000004</v>
      </c>
      <c r="O549" s="1868">
        <v>3.7575800000000004</v>
      </c>
      <c r="P549" s="1868">
        <v>3.8181800000000004</v>
      </c>
      <c r="Q549" s="1868">
        <v>3.8181800000000004</v>
      </c>
      <c r="R549" s="1868">
        <v>3.8181800000000004</v>
      </c>
      <c r="S549" s="1868">
        <v>3.7209300000000001</v>
      </c>
      <c r="T549" s="1868">
        <v>3.8723400000000003</v>
      </c>
      <c r="U549" s="1868">
        <v>3.7561</v>
      </c>
      <c r="V549" s="1868">
        <v>3.77359</v>
      </c>
      <c r="W549" s="1868">
        <v>3.8113199999999998</v>
      </c>
      <c r="X549" s="1868">
        <v>3.8113199999999998</v>
      </c>
      <c r="Y549" s="1868">
        <v>3.8113199999999998</v>
      </c>
      <c r="Z549" s="1868">
        <v>3.88679</v>
      </c>
      <c r="AA549" s="1868">
        <v>3.7956199999999995</v>
      </c>
      <c r="AB549" s="1868">
        <v>3.8615699999999995</v>
      </c>
      <c r="AC549" s="1868">
        <v>3.8980000000000001</v>
      </c>
      <c r="AD549" s="1868">
        <v>3.9344300000000003</v>
      </c>
      <c r="AE549" s="1868">
        <v>4.0072900000000002</v>
      </c>
      <c r="AF549" s="1868">
        <v>4.0437199999999995</v>
      </c>
      <c r="AG549" s="1868">
        <v>3.81019</v>
      </c>
      <c r="AH549" s="1868">
        <v>3.4460699999999997</v>
      </c>
      <c r="AI549" s="1868">
        <v>3.1819099999999998</v>
      </c>
      <c r="AJ549" s="1868">
        <v>3.4022099999999997</v>
      </c>
      <c r="AK549" s="1868">
        <v>3.4261699999999995</v>
      </c>
      <c r="AL549" s="1868">
        <v>4.1880699999999997</v>
      </c>
      <c r="AM549" s="1868">
        <v>4.2346699999999995</v>
      </c>
      <c r="AN549" s="1868">
        <v>4.0196199999999997</v>
      </c>
      <c r="AO549" s="1868">
        <v>3.1858400000000002</v>
      </c>
      <c r="AP549" s="1868">
        <v>3.3345800000000003</v>
      </c>
      <c r="AQ549" s="1868">
        <v>4.0556800000000006</v>
      </c>
      <c r="AR549" s="1868">
        <v>4.1356699999999993</v>
      </c>
      <c r="AS549" s="1868">
        <v>4.0662099999999999</v>
      </c>
      <c r="AT549" s="1868">
        <v>4.2091099999999999</v>
      </c>
      <c r="AU549" s="1868">
        <v>4.25387</v>
      </c>
      <c r="AV549" s="1868">
        <v>4.01417</v>
      </c>
      <c r="AW549" s="1868">
        <v>4.2151399999999999</v>
      </c>
      <c r="AX549" s="1868">
        <v>4.3749199999999995</v>
      </c>
      <c r="AY549" s="1868">
        <v>4.4018800000000002</v>
      </c>
      <c r="AZ549" s="1868">
        <v>4.1819899999999999</v>
      </c>
      <c r="BA549" s="1868">
        <v>3.8338800000000002</v>
      </c>
    </row>
    <row r="550" spans="1:53">
      <c r="A550" s="1865" t="str">
        <f t="shared" si="8"/>
        <v>Eastern AfricaEggplants (aubergines)</v>
      </c>
      <c r="B550" s="1866" t="s">
        <v>1416</v>
      </c>
      <c r="C550" s="1866" t="s">
        <v>1375</v>
      </c>
      <c r="D550" s="1868">
        <v>10.438460000000001</v>
      </c>
      <c r="E550" s="1868">
        <v>11.81143</v>
      </c>
      <c r="F550" s="1868">
        <v>12.137139999999999</v>
      </c>
      <c r="G550" s="1868">
        <v>9.6760600000000014</v>
      </c>
      <c r="H550" s="1868">
        <v>10.25</v>
      </c>
      <c r="I550" s="1868">
        <v>11.227030000000001</v>
      </c>
      <c r="J550" s="1868">
        <v>10.5404</v>
      </c>
      <c r="K550" s="1868">
        <v>10.79275</v>
      </c>
      <c r="L550" s="1868">
        <v>12.021189999999999</v>
      </c>
      <c r="M550" s="1868">
        <v>12.713569999999999</v>
      </c>
      <c r="N550" s="1868">
        <v>11.52713</v>
      </c>
      <c r="O550" s="1868">
        <v>9.45946</v>
      </c>
      <c r="P550" s="1868">
        <v>7.6588199999999995</v>
      </c>
      <c r="Q550" s="1868">
        <v>6.4961800000000007</v>
      </c>
      <c r="R550" s="1868">
        <v>4.3093199999999996</v>
      </c>
      <c r="S550" s="1868">
        <v>6.7409600000000003</v>
      </c>
      <c r="T550" s="1868">
        <v>6.4805800000000007</v>
      </c>
      <c r="U550" s="1868">
        <v>6.9596</v>
      </c>
      <c r="V550" s="1868">
        <v>14.376239999999999</v>
      </c>
      <c r="W550" s="1868">
        <v>10.84426</v>
      </c>
      <c r="X550" s="1868">
        <v>10.697560000000001</v>
      </c>
      <c r="Y550" s="1868">
        <v>8.9867799999999995</v>
      </c>
      <c r="Z550" s="1868">
        <v>8.8909800000000008</v>
      </c>
      <c r="AA550" s="1868">
        <v>7.8593299999999999</v>
      </c>
      <c r="AB550" s="1868">
        <v>8.2337000000000007</v>
      </c>
      <c r="AC550" s="1868">
        <v>7.9682199999999996</v>
      </c>
      <c r="AD550" s="1868">
        <v>7.8950600000000009</v>
      </c>
      <c r="AE550" s="1868">
        <v>8.1707800000000006</v>
      </c>
      <c r="AF550" s="1868">
        <v>7.2215800000000003</v>
      </c>
      <c r="AG550" s="1868">
        <v>9.0374199999999991</v>
      </c>
      <c r="AH550" s="1868">
        <v>8.988389999999999</v>
      </c>
      <c r="AI550" s="1868">
        <v>8.2240899999999986</v>
      </c>
      <c r="AJ550" s="1868">
        <v>8.6606300000000012</v>
      </c>
      <c r="AK550" s="1868">
        <v>8.2832299999999996</v>
      </c>
      <c r="AL550" s="1868">
        <v>8.3864699999999992</v>
      </c>
      <c r="AM550" s="1868">
        <v>9.819939999999999</v>
      </c>
      <c r="AN550" s="1868">
        <v>9.514289999999999</v>
      </c>
      <c r="AO550" s="1868">
        <v>9.6591699999999996</v>
      </c>
      <c r="AP550" s="1868">
        <v>9.3480799999999995</v>
      </c>
      <c r="AQ550" s="1868">
        <v>7.79657</v>
      </c>
      <c r="AR550" s="1868">
        <v>7.8994800000000005</v>
      </c>
      <c r="AS550" s="1868">
        <v>7.233410000000001</v>
      </c>
      <c r="AT550" s="1868">
        <v>7.5835899999999992</v>
      </c>
      <c r="AU550" s="1868">
        <v>7.4842000000000004</v>
      </c>
      <c r="AV550" s="1868">
        <v>6.9752700000000001</v>
      </c>
      <c r="AW550" s="1868">
        <v>7.1552300000000004</v>
      </c>
      <c r="AX550" s="1868">
        <v>7.3042899999999991</v>
      </c>
      <c r="AY550" s="1868">
        <v>7.1439399999999997</v>
      </c>
      <c r="AZ550" s="1868">
        <v>7.2774100000000006</v>
      </c>
      <c r="BA550" s="1868">
        <v>6.9482300000000006</v>
      </c>
    </row>
    <row r="551" spans="1:53">
      <c r="A551" s="1865" t="str">
        <f t="shared" si="8"/>
        <v>Eastern AfricaFibre Crops Nes</v>
      </c>
      <c r="B551" s="1866" t="s">
        <v>1416</v>
      </c>
      <c r="C551" s="1866" t="s">
        <v>1376</v>
      </c>
      <c r="D551" s="1868">
        <v>0.17323</v>
      </c>
      <c r="E551" s="1868">
        <v>0.1638</v>
      </c>
      <c r="F551" s="1868">
        <v>0.17029</v>
      </c>
      <c r="G551" s="1868">
        <v>0.16985</v>
      </c>
      <c r="H551" s="1868">
        <v>0.16984000000000002</v>
      </c>
      <c r="I551" s="1868">
        <v>0.17147000000000001</v>
      </c>
      <c r="J551" s="1868">
        <v>0.16927</v>
      </c>
      <c r="K551" s="1868">
        <v>0.16621</v>
      </c>
      <c r="L551" s="1868">
        <v>0.15592</v>
      </c>
      <c r="M551" s="1868">
        <v>0.15570000000000001</v>
      </c>
      <c r="N551" s="1868">
        <v>0.15625</v>
      </c>
      <c r="O551" s="1868">
        <v>0.15397</v>
      </c>
      <c r="P551" s="1868">
        <v>0.15690999999999999</v>
      </c>
      <c r="Q551" s="1868">
        <v>0.15345999999999999</v>
      </c>
      <c r="R551" s="1868">
        <v>0.15709999999999999</v>
      </c>
      <c r="S551" s="1868">
        <v>0.13722999999999999</v>
      </c>
      <c r="T551" s="1868">
        <v>0.13936999999999999</v>
      </c>
      <c r="U551" s="1868">
        <v>0.13402999999999998</v>
      </c>
      <c r="V551" s="1868">
        <v>0.13871</v>
      </c>
      <c r="W551" s="1868">
        <v>0.14069000000000001</v>
      </c>
      <c r="X551" s="1868">
        <v>0.14099</v>
      </c>
      <c r="Y551" s="1868">
        <v>0.14351</v>
      </c>
      <c r="Z551" s="1868">
        <v>0.14388000000000001</v>
      </c>
      <c r="AA551" s="1868">
        <v>0.14632000000000001</v>
      </c>
      <c r="AB551" s="1868">
        <v>0.14731</v>
      </c>
      <c r="AC551" s="1868">
        <v>0.14812</v>
      </c>
      <c r="AD551" s="1868">
        <v>0.14920999999999998</v>
      </c>
      <c r="AE551" s="1868">
        <v>0.14946999999999999</v>
      </c>
      <c r="AF551" s="1868">
        <v>0.15049999999999999</v>
      </c>
      <c r="AG551" s="1868">
        <v>0.15089</v>
      </c>
      <c r="AH551" s="1868">
        <v>0.14377999999999999</v>
      </c>
      <c r="AI551" s="1868">
        <v>0.13302</v>
      </c>
      <c r="AJ551" s="1868">
        <v>0.1258</v>
      </c>
      <c r="AK551" s="1868">
        <v>0.15820000000000001</v>
      </c>
      <c r="AL551" s="1868">
        <v>0.15620999999999999</v>
      </c>
      <c r="AM551" s="1868">
        <v>0.15590999999999999</v>
      </c>
      <c r="AN551" s="1868">
        <v>0.15701999999999999</v>
      </c>
      <c r="AO551" s="1868">
        <v>0.16500000000000001</v>
      </c>
      <c r="AP551" s="1868">
        <v>0.14163000000000001</v>
      </c>
      <c r="AQ551" s="1868">
        <v>0.15325999999999998</v>
      </c>
      <c r="AR551" s="1868">
        <v>0.14522000000000002</v>
      </c>
      <c r="AS551" s="1868">
        <v>0.1389</v>
      </c>
      <c r="AT551" s="1868">
        <v>0.12455999999999999</v>
      </c>
      <c r="AU551" s="1868">
        <v>0.15594</v>
      </c>
      <c r="AV551" s="1868">
        <v>0.14577999999999999</v>
      </c>
      <c r="AW551" s="1868">
        <v>0.12025</v>
      </c>
      <c r="AX551" s="1868">
        <v>9.9770000000000011E-2</v>
      </c>
      <c r="AY551" s="1868">
        <v>0.11810999999999999</v>
      </c>
      <c r="AZ551" s="1868">
        <v>0.11912</v>
      </c>
      <c r="BA551" s="1868">
        <v>0.1963</v>
      </c>
    </row>
    <row r="552" spans="1:53">
      <c r="A552" s="1865" t="str">
        <f t="shared" si="8"/>
        <v>Eastern AfricaGrapefruit (inc. pomelos)</v>
      </c>
      <c r="B552" s="1866" t="s">
        <v>1416</v>
      </c>
      <c r="C552" s="1866" t="s">
        <v>1377</v>
      </c>
      <c r="D552" s="1868">
        <v>6.6315800000000005</v>
      </c>
      <c r="E552" s="1868">
        <v>6.7017499999999997</v>
      </c>
      <c r="F552" s="1868">
        <v>6.7936500000000004</v>
      </c>
      <c r="G552" s="1868">
        <v>7.3913000000000002</v>
      </c>
      <c r="H552" s="1868">
        <v>6.7076899999999995</v>
      </c>
      <c r="I552" s="1868">
        <v>6.588239999999999</v>
      </c>
      <c r="J552" s="1868">
        <v>6.6764700000000001</v>
      </c>
      <c r="K552" s="1868">
        <v>6.9142899999999994</v>
      </c>
      <c r="L552" s="1868">
        <v>7.1553899999999997</v>
      </c>
      <c r="M552" s="1868">
        <v>7.4816600000000006</v>
      </c>
      <c r="N552" s="1868">
        <v>7.84483</v>
      </c>
      <c r="O552" s="1868">
        <v>7.9741399999999993</v>
      </c>
      <c r="P552" s="1868">
        <v>8.0383800000000001</v>
      </c>
      <c r="Q552" s="1868">
        <v>8.2089600000000011</v>
      </c>
      <c r="R552" s="1868">
        <v>8.3184899999999988</v>
      </c>
      <c r="S552" s="1868">
        <v>8.1247199999999999</v>
      </c>
      <c r="T552" s="1868">
        <v>8.1194500000000005</v>
      </c>
      <c r="U552" s="1868">
        <v>8.1795100000000005</v>
      </c>
      <c r="V552" s="1868">
        <v>8.4771000000000001</v>
      </c>
      <c r="W552" s="1868">
        <v>8.4958899999999993</v>
      </c>
      <c r="X552" s="1868">
        <v>7.3279199999999998</v>
      </c>
      <c r="Y552" s="1868">
        <v>7.5567100000000007</v>
      </c>
      <c r="Z552" s="1868">
        <v>7.6621399999999991</v>
      </c>
      <c r="AA552" s="1868">
        <v>7.7542899999999992</v>
      </c>
      <c r="AB552" s="1868">
        <v>7.5354600000000005</v>
      </c>
      <c r="AC552" s="1868">
        <v>7.8680199999999996</v>
      </c>
      <c r="AD552" s="1868">
        <v>8.2528399999999991</v>
      </c>
      <c r="AE552" s="1868">
        <v>8.225810000000001</v>
      </c>
      <c r="AF552" s="1868">
        <v>8.3313299999999995</v>
      </c>
      <c r="AG552" s="1868">
        <v>7.9365899999999998</v>
      </c>
      <c r="AH552" s="1868">
        <v>7.1648300000000003</v>
      </c>
      <c r="AI552" s="1868">
        <v>7.4293699999999996</v>
      </c>
      <c r="AJ552" s="1868">
        <v>7.862610000000001</v>
      </c>
      <c r="AK552" s="1868">
        <v>7.9260199999999994</v>
      </c>
      <c r="AL552" s="1868">
        <v>7.8202800000000003</v>
      </c>
      <c r="AM552" s="1868">
        <v>8.0559999999999992</v>
      </c>
      <c r="AN552" s="1868">
        <v>7.8256199999999998</v>
      </c>
      <c r="AO552" s="1868">
        <v>7.9255399999999998</v>
      </c>
      <c r="AP552" s="1868">
        <v>7.7269699999999997</v>
      </c>
      <c r="AQ552" s="1868">
        <v>6.8323899999999993</v>
      </c>
      <c r="AR552" s="1868">
        <v>6.2097199999999999</v>
      </c>
      <c r="AS552" s="1868">
        <v>6.0415000000000001</v>
      </c>
      <c r="AT552" s="1868">
        <v>5.8224599999999995</v>
      </c>
      <c r="AU552" s="1868">
        <v>6.5328099999999996</v>
      </c>
      <c r="AV552" s="1868">
        <v>6.2183299999999999</v>
      </c>
      <c r="AW552" s="1868">
        <v>6.1353300000000006</v>
      </c>
      <c r="AX552" s="1868">
        <v>6.4099000000000004</v>
      </c>
      <c r="AY552" s="1868">
        <v>6.7678399999999996</v>
      </c>
      <c r="AZ552" s="1868">
        <v>6.4397500000000001</v>
      </c>
      <c r="BA552" s="1868">
        <v>6.1426800000000004</v>
      </c>
    </row>
    <row r="553" spans="1:53">
      <c r="A553" s="1865" t="str">
        <f t="shared" si="8"/>
        <v>Eastern AfricaGrapes</v>
      </c>
      <c r="B553" s="1866" t="s">
        <v>1416</v>
      </c>
      <c r="C553" s="1866" t="s">
        <v>1378</v>
      </c>
      <c r="D553" s="1868">
        <v>6.40625</v>
      </c>
      <c r="E553" s="1868">
        <v>6.40625</v>
      </c>
      <c r="F553" s="1868">
        <v>6.875</v>
      </c>
      <c r="G553" s="1868">
        <v>6.4864899999999999</v>
      </c>
      <c r="H553" s="1868">
        <v>6.4864899999999999</v>
      </c>
      <c r="I553" s="1868">
        <v>7.837839999999999</v>
      </c>
      <c r="J553" s="1868">
        <v>7.5675699999999999</v>
      </c>
      <c r="K553" s="1868">
        <v>8.2432400000000001</v>
      </c>
      <c r="L553" s="1868">
        <v>4.6237900000000005</v>
      </c>
      <c r="M553" s="1868">
        <v>4.6403099999999995</v>
      </c>
      <c r="N553" s="1868">
        <v>5.0805099999999994</v>
      </c>
      <c r="O553" s="1868">
        <v>5.0231699999999995</v>
      </c>
      <c r="P553" s="1868">
        <v>4.9081299999999999</v>
      </c>
      <c r="Q553" s="1868">
        <v>4.9517899999999999</v>
      </c>
      <c r="R553" s="1868">
        <v>6.2493300000000005</v>
      </c>
      <c r="S553" s="1868">
        <v>6.0814900000000005</v>
      </c>
      <c r="T553" s="1868">
        <v>6.2626999999999997</v>
      </c>
      <c r="U553" s="1868">
        <v>6.4260800000000007</v>
      </c>
      <c r="V553" s="1868">
        <v>5.11015</v>
      </c>
      <c r="W553" s="1868">
        <v>5.2344800000000005</v>
      </c>
      <c r="X553" s="1868">
        <v>5.2061400000000004</v>
      </c>
      <c r="Y553" s="1868">
        <v>5.3767100000000001</v>
      </c>
      <c r="Z553" s="1868">
        <v>5.3984399999999999</v>
      </c>
      <c r="AA553" s="1868">
        <v>5.4668000000000001</v>
      </c>
      <c r="AB553" s="1868">
        <v>5.4954199999999993</v>
      </c>
      <c r="AC553" s="1868">
        <v>5.4043400000000004</v>
      </c>
      <c r="AD553" s="1868">
        <v>5.2138200000000001</v>
      </c>
      <c r="AE553" s="1868">
        <v>5.3754</v>
      </c>
      <c r="AF553" s="1868">
        <v>5.3467599999999997</v>
      </c>
      <c r="AG553" s="1868">
        <v>5.2652900000000002</v>
      </c>
      <c r="AH553" s="1868">
        <v>4.9849899999999998</v>
      </c>
      <c r="AI553" s="1868">
        <v>4.9260400000000004</v>
      </c>
      <c r="AJ553" s="1868">
        <v>5.0036500000000004</v>
      </c>
      <c r="AK553" s="1868">
        <v>4.77963</v>
      </c>
      <c r="AL553" s="1868">
        <v>4.9739300000000002</v>
      </c>
      <c r="AM553" s="1868">
        <v>4.9499500000000003</v>
      </c>
      <c r="AN553" s="1868">
        <v>4.7940300000000002</v>
      </c>
      <c r="AO553" s="1868">
        <v>4.6645000000000003</v>
      </c>
      <c r="AP553" s="1868">
        <v>4.77562</v>
      </c>
      <c r="AQ553" s="1868">
        <v>4.7299300000000004</v>
      </c>
      <c r="AR553" s="1868">
        <v>4.6600099999999998</v>
      </c>
      <c r="AS553" s="1868">
        <v>4.6518499999999996</v>
      </c>
      <c r="AT553" s="1868">
        <v>4.1963599999999994</v>
      </c>
      <c r="AU553" s="1868">
        <v>4.9472300000000002</v>
      </c>
      <c r="AV553" s="1868">
        <v>4.8683399999999999</v>
      </c>
      <c r="AW553" s="1868">
        <v>4.9351400000000005</v>
      </c>
      <c r="AX553" s="1868">
        <v>4.9141500000000002</v>
      </c>
      <c r="AY553" s="1868">
        <v>4.5771899999999999</v>
      </c>
      <c r="AZ553" s="1868">
        <v>4.26004</v>
      </c>
      <c r="BA553" s="1868">
        <v>3.9741699999999995</v>
      </c>
    </row>
    <row r="554" spans="1:53">
      <c r="A554" s="1865" t="str">
        <f t="shared" si="8"/>
        <v>Eastern AfricaGroundnuts, with shell</v>
      </c>
      <c r="B554" s="1866" t="s">
        <v>1416</v>
      </c>
      <c r="C554" s="1866" t="s">
        <v>1379</v>
      </c>
      <c r="D554" s="1868">
        <v>0.53468000000000004</v>
      </c>
      <c r="E554" s="1868">
        <v>0.58801999999999999</v>
      </c>
      <c r="F554" s="1868">
        <v>0.58496999999999999</v>
      </c>
      <c r="G554" s="1868">
        <v>0.55918999999999996</v>
      </c>
      <c r="H554" s="1868">
        <v>0.54053000000000007</v>
      </c>
      <c r="I554" s="1868">
        <v>0.59772000000000003</v>
      </c>
      <c r="J554" s="1868">
        <v>0.63748000000000005</v>
      </c>
      <c r="K554" s="1868">
        <v>0.62346999999999997</v>
      </c>
      <c r="L554" s="1868">
        <v>0.66403000000000001</v>
      </c>
      <c r="M554" s="1868">
        <v>0.67547000000000001</v>
      </c>
      <c r="N554" s="1868">
        <v>0.73592999999999997</v>
      </c>
      <c r="O554" s="1868">
        <v>0.7248</v>
      </c>
      <c r="P554" s="1868">
        <v>0.66171000000000002</v>
      </c>
      <c r="Q554" s="1868">
        <v>0.66893999999999998</v>
      </c>
      <c r="R554" s="1868">
        <v>0.63493999999999995</v>
      </c>
      <c r="S554" s="1868">
        <v>0.68401000000000001</v>
      </c>
      <c r="T554" s="1868">
        <v>0.64602999999999999</v>
      </c>
      <c r="U554" s="1868">
        <v>0.59348000000000001</v>
      </c>
      <c r="V554" s="1868">
        <v>0.59456000000000009</v>
      </c>
      <c r="W554" s="1868">
        <v>0.57755000000000001</v>
      </c>
      <c r="X554" s="1868">
        <v>0.58911000000000002</v>
      </c>
      <c r="Y554" s="1868">
        <v>0.57783000000000007</v>
      </c>
      <c r="Z554" s="1868">
        <v>0.51839000000000002</v>
      </c>
      <c r="AA554" s="1868">
        <v>0.51705000000000001</v>
      </c>
      <c r="AB554" s="1868">
        <v>0.60214999999999996</v>
      </c>
      <c r="AC554" s="1868">
        <v>0.60821000000000003</v>
      </c>
      <c r="AD554" s="1868">
        <v>0.57064999999999999</v>
      </c>
      <c r="AE554" s="1868">
        <v>0.60514000000000001</v>
      </c>
      <c r="AF554" s="1868">
        <v>0.54674</v>
      </c>
      <c r="AG554" s="1868">
        <v>0.57946999999999993</v>
      </c>
      <c r="AH554" s="1868">
        <v>0.56056000000000006</v>
      </c>
      <c r="AI554" s="1868">
        <v>0.48481000000000002</v>
      </c>
      <c r="AJ554" s="1868">
        <v>0.61133999999999999</v>
      </c>
      <c r="AK554" s="1868">
        <v>0.51073999999999997</v>
      </c>
      <c r="AL554" s="1868">
        <v>0.50785000000000002</v>
      </c>
      <c r="AM554" s="1868">
        <v>0.56491000000000002</v>
      </c>
      <c r="AN554" s="1868">
        <v>0.60493999999999992</v>
      </c>
      <c r="AO554" s="1868">
        <v>0.54991999999999996</v>
      </c>
      <c r="AP554" s="1868">
        <v>0.59909999999999997</v>
      </c>
      <c r="AQ554" s="1868">
        <v>0.61616000000000004</v>
      </c>
      <c r="AR554" s="1868">
        <v>0.69105000000000005</v>
      </c>
      <c r="AS554" s="1868">
        <v>0.67351000000000005</v>
      </c>
      <c r="AT554" s="1868">
        <v>0.57582</v>
      </c>
      <c r="AU554" s="1868">
        <v>0.65964</v>
      </c>
      <c r="AV554" s="1868">
        <v>0.58968999999999994</v>
      </c>
      <c r="AW554" s="1868">
        <v>0.66685000000000005</v>
      </c>
      <c r="AX554" s="1868">
        <v>0.67351000000000005</v>
      </c>
      <c r="AY554" s="1868">
        <v>0.65890000000000004</v>
      </c>
      <c r="AZ554" s="1868">
        <v>0.66971000000000003</v>
      </c>
      <c r="BA554" s="1868">
        <v>0.63703999999999994</v>
      </c>
    </row>
    <row r="555" spans="1:53">
      <c r="A555" s="1865" t="str">
        <f t="shared" si="8"/>
        <v>Eastern AfricaLeguminous vegetables, nes</v>
      </c>
      <c r="B555" s="1866" t="s">
        <v>1416</v>
      </c>
      <c r="C555" s="1866" t="s">
        <v>1380</v>
      </c>
      <c r="AK555" s="1868">
        <v>12.125</v>
      </c>
      <c r="AL555" s="1868">
        <v>7.4335699999999996</v>
      </c>
      <c r="AM555" s="1868">
        <v>7.9766699999999995</v>
      </c>
      <c r="AN555" s="1868">
        <v>6.3855399999999998</v>
      </c>
      <c r="AO555" s="1868">
        <v>6.1813099999999999</v>
      </c>
      <c r="AP555" s="1868">
        <v>6.0076800000000006</v>
      </c>
      <c r="AQ555" s="1868">
        <v>5.73733</v>
      </c>
      <c r="AR555" s="1868">
        <v>5.6556800000000003</v>
      </c>
      <c r="AS555" s="1868">
        <v>5.45472</v>
      </c>
      <c r="AT555" s="1868">
        <v>5.5586800000000007</v>
      </c>
      <c r="AU555" s="1868">
        <v>5.4217300000000002</v>
      </c>
      <c r="AV555" s="1868">
        <v>4.9304300000000003</v>
      </c>
      <c r="AW555" s="1868">
        <v>5.2038099999999998</v>
      </c>
      <c r="AX555" s="1868">
        <v>5.4326400000000001</v>
      </c>
      <c r="AY555" s="1868">
        <v>5.1839599999999999</v>
      </c>
      <c r="AZ555" s="1868">
        <v>5.2614800000000006</v>
      </c>
      <c r="BA555" s="1868">
        <v>5.6224099999999995</v>
      </c>
    </row>
    <row r="556" spans="1:53">
      <c r="A556" s="1865" t="str">
        <f t="shared" si="8"/>
        <v>Eastern AfricaLinseed</v>
      </c>
      <c r="B556" s="1866" t="s">
        <v>1416</v>
      </c>
      <c r="C556" s="1866" t="s">
        <v>1381</v>
      </c>
      <c r="D556" s="1868">
        <v>0.50218000000000007</v>
      </c>
      <c r="E556" s="1868">
        <v>0.50349999999999995</v>
      </c>
      <c r="F556" s="1868">
        <v>0.50112000000000001</v>
      </c>
      <c r="G556" s="1868">
        <v>0.50065000000000004</v>
      </c>
      <c r="H556" s="1868">
        <v>0.50107999999999997</v>
      </c>
      <c r="I556" s="1868">
        <v>0.50107999999999997</v>
      </c>
      <c r="J556" s="1868">
        <v>0.50106000000000006</v>
      </c>
      <c r="K556" s="1868">
        <v>0.50580000000000003</v>
      </c>
      <c r="L556" s="1868">
        <v>0.51205000000000001</v>
      </c>
      <c r="M556" s="1868">
        <v>0.51846000000000003</v>
      </c>
      <c r="N556" s="1868">
        <v>0.52706999999999993</v>
      </c>
      <c r="O556" s="1868">
        <v>0.53615000000000002</v>
      </c>
      <c r="P556" s="1868">
        <v>0.37161</v>
      </c>
      <c r="Q556" s="1868">
        <v>0.35010999999999998</v>
      </c>
      <c r="R556" s="1868">
        <v>0.35131999999999997</v>
      </c>
      <c r="S556" s="1868">
        <v>0.37573000000000001</v>
      </c>
      <c r="T556" s="1868">
        <v>0.42265000000000003</v>
      </c>
      <c r="U556" s="1868">
        <v>0.48126000000000002</v>
      </c>
      <c r="V556" s="1868">
        <v>0.49878999999999996</v>
      </c>
      <c r="W556" s="1868">
        <v>0.48331000000000002</v>
      </c>
      <c r="X556" s="1868">
        <v>0.42964999999999998</v>
      </c>
      <c r="Y556" s="1868">
        <v>0.48448999999999998</v>
      </c>
      <c r="Z556" s="1868">
        <v>0.38214000000000004</v>
      </c>
      <c r="AA556" s="1868">
        <v>0.40963999999999995</v>
      </c>
      <c r="AB556" s="1868">
        <v>0.35915999999999998</v>
      </c>
      <c r="AC556" s="1868">
        <v>0.47489999999999999</v>
      </c>
      <c r="AD556" s="1868">
        <v>0.42008999999999996</v>
      </c>
      <c r="AE556" s="1868">
        <v>0.43056000000000005</v>
      </c>
      <c r="AF556" s="1868">
        <v>0.38680999999999999</v>
      </c>
      <c r="AG556" s="1868">
        <v>0.49423999999999996</v>
      </c>
      <c r="AH556" s="1868">
        <v>0.46738000000000002</v>
      </c>
      <c r="AI556" s="1868">
        <v>0.47298999999999997</v>
      </c>
      <c r="AJ556" s="1868">
        <v>0.45168999999999998</v>
      </c>
      <c r="AK556" s="1868">
        <v>0.49781999999999998</v>
      </c>
      <c r="AL556" s="1868">
        <v>0.50224999999999997</v>
      </c>
      <c r="AM556" s="1868">
        <v>0.68526000000000009</v>
      </c>
      <c r="AN556" s="1868">
        <v>0.49735000000000001</v>
      </c>
      <c r="AO556" s="1868">
        <v>0.46466000000000002</v>
      </c>
      <c r="AP556" s="1868">
        <v>0.40394999999999998</v>
      </c>
      <c r="AQ556" s="1868">
        <v>0.43538999999999994</v>
      </c>
      <c r="AR556" s="1868">
        <v>0.49548000000000003</v>
      </c>
      <c r="AS556" s="1868">
        <v>0.49813000000000002</v>
      </c>
      <c r="AT556" s="1868">
        <v>0.54258000000000006</v>
      </c>
      <c r="AU556" s="1868">
        <v>0.59253999999999996</v>
      </c>
      <c r="AV556" s="1868">
        <v>0.58636999999999995</v>
      </c>
      <c r="AW556" s="1868">
        <v>0.58651999999999993</v>
      </c>
      <c r="AX556" s="1868">
        <v>0.62381000000000009</v>
      </c>
      <c r="AY556" s="1868">
        <v>1.1176600000000001</v>
      </c>
      <c r="AZ556" s="1868">
        <v>0.83247999999999989</v>
      </c>
      <c r="BA556" s="1868">
        <v>1.0619799999999999</v>
      </c>
    </row>
    <row r="557" spans="1:53">
      <c r="A557" s="1865" t="str">
        <f t="shared" si="8"/>
        <v>Eastern AfricaMaize</v>
      </c>
      <c r="B557" s="1866" t="s">
        <v>1416</v>
      </c>
      <c r="C557" s="1866" t="s">
        <v>1382</v>
      </c>
      <c r="D557" s="1868">
        <v>1.00552</v>
      </c>
      <c r="E557" s="1868">
        <v>0.99712999999999996</v>
      </c>
      <c r="F557" s="1868">
        <v>0.96247000000000005</v>
      </c>
      <c r="G557" s="1868">
        <v>0.98775000000000002</v>
      </c>
      <c r="H557" s="1868">
        <v>0.95230000000000004</v>
      </c>
      <c r="I557" s="1868">
        <v>0.97473999999999994</v>
      </c>
      <c r="J557" s="1868">
        <v>1.1510899999999999</v>
      </c>
      <c r="K557" s="1868">
        <v>1.0190399999999999</v>
      </c>
      <c r="L557" s="1868">
        <v>1.08463</v>
      </c>
      <c r="M557" s="1868">
        <v>0.95873999999999993</v>
      </c>
      <c r="N557" s="1868">
        <v>1.1694500000000001</v>
      </c>
      <c r="O557" s="1868">
        <v>1.24061</v>
      </c>
      <c r="P557" s="1868">
        <v>1.07497</v>
      </c>
      <c r="Q557" s="1868">
        <v>1.1439999999999999</v>
      </c>
      <c r="R557" s="1868">
        <v>1.24061</v>
      </c>
      <c r="S557" s="1868">
        <v>1.3976500000000001</v>
      </c>
      <c r="T557" s="1868">
        <v>1.4230399999999999</v>
      </c>
      <c r="U557" s="1868">
        <v>1.29653</v>
      </c>
      <c r="V557" s="1868">
        <v>1.2936799999999999</v>
      </c>
      <c r="W557" s="1868">
        <v>1.25668</v>
      </c>
      <c r="X557" s="1868">
        <v>1.42048</v>
      </c>
      <c r="Y557" s="1868">
        <v>1.3594200000000001</v>
      </c>
      <c r="Z557" s="1868">
        <v>1.25969</v>
      </c>
      <c r="AA557" s="1868">
        <v>1.2104700000000002</v>
      </c>
      <c r="AB557" s="1868">
        <v>1.4136899999999999</v>
      </c>
      <c r="AC557" s="1868">
        <v>1.38392</v>
      </c>
      <c r="AD557" s="1868">
        <v>1.23838</v>
      </c>
      <c r="AE557" s="1868">
        <v>1.49349</v>
      </c>
      <c r="AF557" s="1868">
        <v>1.45912</v>
      </c>
      <c r="AG557" s="1868">
        <v>1.35307</v>
      </c>
      <c r="AH557" s="1868">
        <v>1.26806</v>
      </c>
      <c r="AI557" s="1868">
        <v>1.0046299999999999</v>
      </c>
      <c r="AJ557" s="1868">
        <v>1.4799</v>
      </c>
      <c r="AK557" s="1868">
        <v>1.3046799999999998</v>
      </c>
      <c r="AL557" s="1868">
        <v>1.3507200000000001</v>
      </c>
      <c r="AM557" s="1868">
        <v>1.52942</v>
      </c>
      <c r="AN557" s="1868">
        <v>1.3020499999999999</v>
      </c>
      <c r="AO557" s="1868">
        <v>1.3165799999999999</v>
      </c>
      <c r="AP557" s="1868">
        <v>1.5367899999999999</v>
      </c>
      <c r="AQ557" s="1868">
        <v>1.5223599999999999</v>
      </c>
      <c r="AR557" s="1868">
        <v>1.55738</v>
      </c>
      <c r="AS557" s="1868">
        <v>1.4503999999999999</v>
      </c>
      <c r="AT557" s="1868">
        <v>1.1737200000000001</v>
      </c>
      <c r="AU557" s="1868">
        <v>1.2601599999999999</v>
      </c>
      <c r="AV557" s="1868">
        <v>1.1990499999999999</v>
      </c>
      <c r="AW557" s="1868">
        <v>1.45374</v>
      </c>
      <c r="AX557" s="1868">
        <v>1.5105999999999999</v>
      </c>
      <c r="AY557" s="1868">
        <v>1.31054</v>
      </c>
      <c r="AZ557" s="1868">
        <v>1.4319200000000001</v>
      </c>
      <c r="BA557" s="1868">
        <v>1.6929099999999999</v>
      </c>
    </row>
    <row r="558" spans="1:53">
      <c r="A558" s="1865" t="str">
        <f t="shared" si="8"/>
        <v>Eastern AfricaMaize, green</v>
      </c>
      <c r="B558" s="1866" t="s">
        <v>1416</v>
      </c>
      <c r="C558" s="1866" t="s">
        <v>1383</v>
      </c>
      <c r="D558" s="1868">
        <v>3.4615400000000003</v>
      </c>
      <c r="E558" s="1868">
        <v>3.5185199999999996</v>
      </c>
      <c r="F558" s="1868">
        <v>3.4883699999999997</v>
      </c>
      <c r="G558" s="1868">
        <v>3.5294099999999999</v>
      </c>
      <c r="H558" s="1868">
        <v>3.5714300000000003</v>
      </c>
      <c r="I558" s="1868">
        <v>3.5897399999999999</v>
      </c>
      <c r="J558" s="1868">
        <v>3.5897399999999999</v>
      </c>
      <c r="K558" s="1868">
        <v>3.5897399999999999</v>
      </c>
      <c r="L558" s="1868">
        <v>3.5714300000000003</v>
      </c>
      <c r="M558" s="1868">
        <v>3.5555599999999998</v>
      </c>
      <c r="N558" s="1868">
        <v>3.5416699999999999</v>
      </c>
      <c r="O558" s="1868">
        <v>3.5294099999999999</v>
      </c>
      <c r="P558" s="1868">
        <v>3.5087699999999997</v>
      </c>
      <c r="Q558" s="1868">
        <v>3.2941199999999995</v>
      </c>
      <c r="R558" s="1868">
        <v>3.4285699999999997</v>
      </c>
      <c r="S558" s="1868">
        <v>3.6363599999999998</v>
      </c>
      <c r="T558" s="1868">
        <v>3.6666699999999999</v>
      </c>
      <c r="U558" s="1868">
        <v>3.6666699999999999</v>
      </c>
      <c r="V558" s="1868">
        <v>3.7096800000000001</v>
      </c>
      <c r="W558" s="1868">
        <v>3.75</v>
      </c>
      <c r="X558" s="1868">
        <v>3.75</v>
      </c>
      <c r="Y558" s="1868">
        <v>3.7096800000000001</v>
      </c>
      <c r="Z558" s="1868">
        <v>3.7903199999999999</v>
      </c>
      <c r="AA558" s="1868">
        <v>3.8095199999999996</v>
      </c>
      <c r="AB558" s="1868">
        <v>3.8281300000000003</v>
      </c>
      <c r="AC558" s="1868">
        <v>3.8461500000000002</v>
      </c>
      <c r="AD558" s="1868">
        <v>3.8636400000000002</v>
      </c>
      <c r="AE558" s="1868">
        <v>3.8805999999999998</v>
      </c>
      <c r="AF558" s="1868">
        <v>3.8970599999999997</v>
      </c>
      <c r="AG558" s="1868">
        <v>3.6255699999999997</v>
      </c>
      <c r="AH558" s="1868">
        <v>3.6562600000000001</v>
      </c>
      <c r="AI558" s="1868">
        <v>3.6487599999999998</v>
      </c>
      <c r="AJ558" s="1868">
        <v>3.6811099999999999</v>
      </c>
      <c r="AK558" s="1868">
        <v>3.3246300000000004</v>
      </c>
      <c r="AL558" s="1868">
        <v>3.4130400000000001</v>
      </c>
      <c r="AM558" s="1868">
        <v>3.2936199999999998</v>
      </c>
      <c r="AN558" s="1868">
        <v>3.5294800000000004</v>
      </c>
      <c r="AO558" s="1868">
        <v>3.5954699999999997</v>
      </c>
      <c r="AP558" s="1868">
        <v>3.5329999999999999</v>
      </c>
      <c r="AQ558" s="1868">
        <v>3.5997300000000001</v>
      </c>
      <c r="AR558" s="1868">
        <v>3.6835800000000001</v>
      </c>
      <c r="AS558" s="1868">
        <v>3.6975099999999999</v>
      </c>
      <c r="AT558" s="1868">
        <v>4.2016400000000003</v>
      </c>
      <c r="AU558" s="1868">
        <v>3.4701499999999998</v>
      </c>
      <c r="AV558" s="1868">
        <v>3.56799</v>
      </c>
      <c r="AW558" s="1868">
        <v>3.2918599999999998</v>
      </c>
      <c r="AX558" s="1868">
        <v>3.8667500000000001</v>
      </c>
      <c r="AY558" s="1868">
        <v>3.1770499999999999</v>
      </c>
      <c r="AZ558" s="1868">
        <v>3.2351900000000002</v>
      </c>
      <c r="BA558" s="1868">
        <v>3.2945300000000004</v>
      </c>
    </row>
    <row r="559" spans="1:53">
      <c r="A559" s="1865" t="str">
        <f t="shared" si="8"/>
        <v>Eastern AfricaMangoes, mangosteens, guavas</v>
      </c>
      <c r="B559" s="1866" t="s">
        <v>1416</v>
      </c>
      <c r="C559" s="1866" t="s">
        <v>1384</v>
      </c>
      <c r="D559" s="1868">
        <v>11.01816</v>
      </c>
      <c r="E559" s="1868">
        <v>11.22959</v>
      </c>
      <c r="F559" s="1868">
        <v>11.374169999999999</v>
      </c>
      <c r="G559" s="1868">
        <v>11.55522</v>
      </c>
      <c r="H559" s="1868">
        <v>11.6182</v>
      </c>
      <c r="I559" s="1868">
        <v>11.376710000000001</v>
      </c>
      <c r="J559" s="1868">
        <v>11.447929999999999</v>
      </c>
      <c r="K559" s="1868">
        <v>11.536539999999999</v>
      </c>
      <c r="L559" s="1868">
        <v>12.442819999999999</v>
      </c>
      <c r="M559" s="1868">
        <v>12.311689999999999</v>
      </c>
      <c r="N559" s="1868">
        <v>11.656080000000001</v>
      </c>
      <c r="O559" s="1868">
        <v>11.3879</v>
      </c>
      <c r="P559" s="1868">
        <v>11.54317</v>
      </c>
      <c r="Q559" s="1868">
        <v>13.07226</v>
      </c>
      <c r="R559" s="1868">
        <v>11.2613</v>
      </c>
      <c r="S559" s="1868">
        <v>11.912750000000001</v>
      </c>
      <c r="T559" s="1868">
        <v>10.91423</v>
      </c>
      <c r="U559" s="1868">
        <v>10.424300000000001</v>
      </c>
      <c r="V559" s="1868">
        <v>9.6904899999999987</v>
      </c>
      <c r="W559" s="1868">
        <v>9.7338300000000011</v>
      </c>
      <c r="X559" s="1868">
        <v>9.4557300000000009</v>
      </c>
      <c r="Y559" s="1868">
        <v>9.3046600000000002</v>
      </c>
      <c r="Z559" s="1868">
        <v>9.2203999999999997</v>
      </c>
      <c r="AA559" s="1868">
        <v>9.1525300000000005</v>
      </c>
      <c r="AB559" s="1868">
        <v>9.0868399999999987</v>
      </c>
      <c r="AC559" s="1868">
        <v>9.1652300000000011</v>
      </c>
      <c r="AD559" s="1868">
        <v>9.334719999999999</v>
      </c>
      <c r="AE559" s="1868">
        <v>9.4909400000000002</v>
      </c>
      <c r="AF559" s="1868">
        <v>9.3069199999999999</v>
      </c>
      <c r="AG559" s="1868">
        <v>9.1416800000000009</v>
      </c>
      <c r="AH559" s="1868">
        <v>10.057180000000001</v>
      </c>
      <c r="AI559" s="1868">
        <v>8.6741799999999998</v>
      </c>
      <c r="AJ559" s="1868">
        <v>8.6766000000000005</v>
      </c>
      <c r="AK559" s="1868">
        <v>8.6539900000000003</v>
      </c>
      <c r="AL559" s="1868">
        <v>8.4459199999999992</v>
      </c>
      <c r="AM559" s="1868">
        <v>8.7697199999999995</v>
      </c>
      <c r="AN559" s="1868">
        <v>7.7582500000000003</v>
      </c>
      <c r="AO559" s="1868">
        <v>8.9478000000000009</v>
      </c>
      <c r="AP559" s="1868">
        <v>9.1314700000000002</v>
      </c>
      <c r="AQ559" s="1868">
        <v>9.1221899999999998</v>
      </c>
      <c r="AR559" s="1868">
        <v>10.74328</v>
      </c>
      <c r="AS559" s="1868">
        <v>10.87384</v>
      </c>
      <c r="AT559" s="1868">
        <v>10.14202</v>
      </c>
      <c r="AU559" s="1868">
        <v>10.00319</v>
      </c>
      <c r="AV559" s="1868">
        <v>9.6924399999999995</v>
      </c>
      <c r="AW559" s="1868">
        <v>10.26938</v>
      </c>
      <c r="AX559" s="1868">
        <v>12.058639999999999</v>
      </c>
      <c r="AY559" s="1868">
        <v>11.575950000000001</v>
      </c>
      <c r="AZ559" s="1868">
        <v>11.284410000000001</v>
      </c>
      <c r="BA559" s="1868">
        <v>11.332130000000001</v>
      </c>
    </row>
    <row r="560" spans="1:53">
      <c r="A560" s="1865" t="str">
        <f t="shared" si="8"/>
        <v>Eastern AfricaMillet</v>
      </c>
      <c r="B560" s="1866" t="s">
        <v>1416</v>
      </c>
      <c r="C560" s="1866" t="s">
        <v>1385</v>
      </c>
      <c r="D560" s="1868">
        <v>0.68737000000000004</v>
      </c>
      <c r="E560" s="1868">
        <v>0.71466000000000007</v>
      </c>
      <c r="F560" s="1868">
        <v>0.71788000000000007</v>
      </c>
      <c r="G560" s="1868">
        <v>0.70093000000000005</v>
      </c>
      <c r="H560" s="1868">
        <v>0.75802000000000003</v>
      </c>
      <c r="I560" s="1868">
        <v>0.73809999999999998</v>
      </c>
      <c r="J560" s="1868">
        <v>0.73502000000000001</v>
      </c>
      <c r="K560" s="1868">
        <v>0.77107999999999999</v>
      </c>
      <c r="L560" s="1868">
        <v>0.82171000000000005</v>
      </c>
      <c r="M560" s="1868">
        <v>0.89265000000000005</v>
      </c>
      <c r="N560" s="1868">
        <v>0.73033999999999999</v>
      </c>
      <c r="O560" s="1868">
        <v>0.77956999999999999</v>
      </c>
      <c r="P560" s="1868">
        <v>0.78743999999999992</v>
      </c>
      <c r="Q560" s="1868">
        <v>0.82589999999999997</v>
      </c>
      <c r="R560" s="1868">
        <v>0.95033999999999996</v>
      </c>
      <c r="S560" s="1868">
        <v>0.95201000000000002</v>
      </c>
      <c r="T560" s="1868">
        <v>0.84417999999999993</v>
      </c>
      <c r="U560" s="1868">
        <v>0.86516000000000004</v>
      </c>
      <c r="V560" s="1868">
        <v>0.91742999999999997</v>
      </c>
      <c r="W560" s="1868">
        <v>0.89336000000000004</v>
      </c>
      <c r="X560" s="1868">
        <v>0.84770000000000001</v>
      </c>
      <c r="Y560" s="1868">
        <v>1.0160200000000001</v>
      </c>
      <c r="Z560" s="1868">
        <v>1.0969100000000001</v>
      </c>
      <c r="AA560" s="1868">
        <v>0.86031000000000002</v>
      </c>
      <c r="AB560" s="1868">
        <v>1.12399</v>
      </c>
      <c r="AC560" s="1868">
        <v>0.84519</v>
      </c>
      <c r="AD560" s="1868">
        <v>0.89258999999999999</v>
      </c>
      <c r="AE560" s="1868">
        <v>0.99017000000000011</v>
      </c>
      <c r="AF560" s="1868">
        <v>0.98122999999999994</v>
      </c>
      <c r="AG560" s="1868">
        <v>1.02525</v>
      </c>
      <c r="AH560" s="1868">
        <v>0.95328999999999997</v>
      </c>
      <c r="AI560" s="1868">
        <v>0.92987000000000009</v>
      </c>
      <c r="AJ560" s="1868">
        <v>0.82368999999999992</v>
      </c>
      <c r="AK560" s="1868">
        <v>0.86647999999999992</v>
      </c>
      <c r="AL560" s="1868">
        <v>0.84294999999999998</v>
      </c>
      <c r="AM560" s="1868">
        <v>0.80403000000000002</v>
      </c>
      <c r="AN560" s="1868">
        <v>0.85172000000000003</v>
      </c>
      <c r="AO560" s="1868">
        <v>0.88053999999999999</v>
      </c>
      <c r="AP560" s="1868">
        <v>0.93494999999999995</v>
      </c>
      <c r="AQ560" s="1868">
        <v>0.87076000000000009</v>
      </c>
      <c r="AR560" s="1868">
        <v>0.94668999999999992</v>
      </c>
      <c r="AS560" s="1868">
        <v>0.88790000000000002</v>
      </c>
      <c r="AT560" s="1868">
        <v>0.91805999999999999</v>
      </c>
      <c r="AU560" s="1868">
        <v>0.90529999999999999</v>
      </c>
      <c r="AV560" s="1868">
        <v>0.98573999999999995</v>
      </c>
      <c r="AW560" s="1868">
        <v>0.99777000000000005</v>
      </c>
      <c r="AX560" s="1868">
        <v>0.99038999999999999</v>
      </c>
      <c r="AY560" s="1868">
        <v>1.0338499999999999</v>
      </c>
      <c r="AZ560" s="1868">
        <v>1.04247</v>
      </c>
      <c r="BA560" s="1868">
        <v>1.0735700000000001</v>
      </c>
    </row>
    <row r="561" spans="1:53">
      <c r="A561" s="1865" t="str">
        <f t="shared" si="8"/>
        <v>Eastern AfricaOats</v>
      </c>
      <c r="B561" s="1866" t="s">
        <v>1416</v>
      </c>
      <c r="C561" s="1866" t="s">
        <v>1349</v>
      </c>
      <c r="D561" s="1868">
        <v>0.45824999999999999</v>
      </c>
      <c r="E561" s="1868">
        <v>0.31590999999999997</v>
      </c>
      <c r="F561" s="1868">
        <v>0.37480999999999998</v>
      </c>
      <c r="G561" s="1868">
        <v>0.35978000000000004</v>
      </c>
      <c r="H561" s="1868">
        <v>0.41639999999999999</v>
      </c>
      <c r="I561" s="1868">
        <v>0.41408</v>
      </c>
      <c r="J561" s="1868">
        <v>0.40547</v>
      </c>
      <c r="K561" s="1868">
        <v>0.58228000000000002</v>
      </c>
      <c r="L561" s="1868">
        <v>0.59531999999999996</v>
      </c>
      <c r="M561" s="1868">
        <v>0.57999999999999996</v>
      </c>
      <c r="N561" s="1868">
        <v>0.57999999999999996</v>
      </c>
      <c r="O561" s="1868">
        <v>0.62812999999999997</v>
      </c>
      <c r="P561" s="1868">
        <v>0.73683999999999994</v>
      </c>
      <c r="Q561" s="1868">
        <v>0.76191000000000009</v>
      </c>
      <c r="R561" s="1868">
        <v>0.76086999999999994</v>
      </c>
      <c r="S561" s="1868">
        <v>0.78261000000000003</v>
      </c>
      <c r="T561" s="1868">
        <v>0.81896999999999998</v>
      </c>
      <c r="U561" s="1868">
        <v>0.83111000000000002</v>
      </c>
      <c r="V561" s="1868">
        <v>0.92342999999999997</v>
      </c>
      <c r="W561" s="1868">
        <v>1.0153399999999999</v>
      </c>
      <c r="X561" s="1868">
        <v>1.2692700000000001</v>
      </c>
      <c r="Y561" s="1868">
        <v>0.84268999999999994</v>
      </c>
      <c r="Z561" s="1868">
        <v>1.1033200000000001</v>
      </c>
      <c r="AA561" s="1868">
        <v>0.88675999999999999</v>
      </c>
      <c r="AB561" s="1868">
        <v>0.76941000000000004</v>
      </c>
      <c r="AC561" s="1868">
        <v>0.85429999999999995</v>
      </c>
      <c r="AD561" s="1868">
        <v>0.90185000000000004</v>
      </c>
      <c r="AE561" s="1868">
        <v>0.94635000000000002</v>
      </c>
      <c r="AF561" s="1868">
        <v>1.13245</v>
      </c>
      <c r="AG561" s="1868">
        <v>1.1447499999999999</v>
      </c>
      <c r="AH561" s="1868">
        <v>1.4104700000000001</v>
      </c>
      <c r="AI561" s="1868">
        <v>1.00495</v>
      </c>
      <c r="AJ561" s="1868">
        <v>1.2280200000000001</v>
      </c>
      <c r="AK561" s="1868">
        <v>1.0919299999999998</v>
      </c>
      <c r="AL561" s="1868">
        <v>0.96467000000000003</v>
      </c>
      <c r="AM561" s="1868">
        <v>1.3010200000000001</v>
      </c>
      <c r="AN561" s="1868">
        <v>1.0758700000000001</v>
      </c>
      <c r="AO561" s="1868">
        <v>1.0228200000000001</v>
      </c>
      <c r="AP561" s="1868">
        <v>0.92767000000000011</v>
      </c>
      <c r="AQ561" s="1868">
        <v>0.93337999999999988</v>
      </c>
      <c r="AR561" s="1868">
        <v>1.1102100000000001</v>
      </c>
      <c r="AS561" s="1868">
        <v>0.84527000000000008</v>
      </c>
      <c r="AT561" s="1868">
        <v>0.95107999999999993</v>
      </c>
      <c r="AU561" s="1868">
        <v>1.0389200000000001</v>
      </c>
      <c r="AV561" s="1868">
        <v>0.9372299999999999</v>
      </c>
      <c r="AW561" s="1868">
        <v>1.3045500000000001</v>
      </c>
      <c r="AX561" s="1868">
        <v>0.85477999999999987</v>
      </c>
      <c r="AY561" s="1868">
        <v>0.86936000000000002</v>
      </c>
      <c r="AZ561" s="1868">
        <v>1.3539700000000001</v>
      </c>
      <c r="BA561" s="1868">
        <v>1.69645</v>
      </c>
    </row>
    <row r="562" spans="1:53">
      <c r="A562" s="1865" t="str">
        <f t="shared" si="8"/>
        <v>Eastern AfricaOil palm fruit</v>
      </c>
      <c r="B562" s="1866" t="s">
        <v>1416</v>
      </c>
      <c r="C562" s="1866" t="s">
        <v>1386</v>
      </c>
      <c r="D562" s="1868">
        <v>7.8947399999999996</v>
      </c>
      <c r="E562" s="1868">
        <v>8.9285700000000006</v>
      </c>
      <c r="F562" s="1868">
        <v>8.2352899999999991</v>
      </c>
      <c r="G562" s="1868">
        <v>8.2352899999999991</v>
      </c>
      <c r="H562" s="1868">
        <v>8</v>
      </c>
      <c r="I562" s="1868">
        <v>8</v>
      </c>
      <c r="J562" s="1868">
        <v>8</v>
      </c>
      <c r="K562" s="1868">
        <v>8.5714299999999994</v>
      </c>
      <c r="L562" s="1868">
        <v>8.6956500000000005</v>
      </c>
      <c r="M562" s="1868">
        <v>9</v>
      </c>
      <c r="N562" s="1868">
        <v>9.9807699999999997</v>
      </c>
      <c r="O562" s="1868">
        <v>9.941180000000001</v>
      </c>
      <c r="P562" s="1868">
        <v>9.4144100000000002</v>
      </c>
      <c r="Q562" s="1868">
        <v>9.6018399999999993</v>
      </c>
      <c r="R562" s="1868">
        <v>10.01539</v>
      </c>
      <c r="S562" s="1868">
        <v>9.1580700000000004</v>
      </c>
      <c r="T562" s="1868">
        <v>9.9920600000000004</v>
      </c>
      <c r="U562" s="1868">
        <v>10.52239</v>
      </c>
      <c r="V562" s="1868">
        <v>10.539680000000001</v>
      </c>
      <c r="W562" s="1868">
        <v>10.50769</v>
      </c>
      <c r="X562" s="1868">
        <v>10.461539999999999</v>
      </c>
      <c r="Y562" s="1868">
        <v>10.518520000000001</v>
      </c>
      <c r="Z562" s="1868">
        <v>10.518520000000001</v>
      </c>
      <c r="AA562" s="1868">
        <v>10.518520000000001</v>
      </c>
      <c r="AB562" s="1868">
        <v>10.808819999999999</v>
      </c>
      <c r="AC562" s="1868">
        <v>10.71429</v>
      </c>
      <c r="AD562" s="1868">
        <v>11.042860000000001</v>
      </c>
      <c r="AE562" s="1868">
        <v>11.442860000000001</v>
      </c>
      <c r="AF562" s="1868">
        <v>10.78912</v>
      </c>
      <c r="AG562" s="1868">
        <v>11.64865</v>
      </c>
      <c r="AH562" s="1868">
        <v>11.95946</v>
      </c>
      <c r="AI562" s="1868">
        <v>12.053330000000001</v>
      </c>
      <c r="AJ562" s="1868">
        <v>12.18543</v>
      </c>
      <c r="AK562" s="1868">
        <v>11.879200000000001</v>
      </c>
      <c r="AL562" s="1868">
        <v>12.147650000000001</v>
      </c>
      <c r="AM562" s="1868">
        <v>12.147650000000001</v>
      </c>
      <c r="AN562" s="1868">
        <v>12.21477</v>
      </c>
      <c r="AO562" s="1868">
        <v>12.38411</v>
      </c>
      <c r="AP562" s="1868">
        <v>12.980130000000001</v>
      </c>
      <c r="AQ562" s="1868">
        <v>13.06667</v>
      </c>
      <c r="AR562" s="1868">
        <v>13.03448</v>
      </c>
      <c r="AS562" s="1868">
        <v>13.10811</v>
      </c>
      <c r="AT562" s="1868">
        <v>13.2</v>
      </c>
      <c r="AU562" s="1868">
        <v>13.2</v>
      </c>
      <c r="AV562" s="1868">
        <v>13.2</v>
      </c>
      <c r="AW562" s="1868">
        <v>13.2</v>
      </c>
      <c r="AX562" s="1868">
        <v>13.4</v>
      </c>
      <c r="AY562" s="1868">
        <v>13.506489999999999</v>
      </c>
      <c r="AZ562" s="1868">
        <v>13.483870000000001</v>
      </c>
      <c r="BA562" s="1868">
        <v>13.50319</v>
      </c>
    </row>
    <row r="563" spans="1:53">
      <c r="A563" s="1865" t="str">
        <f t="shared" si="8"/>
        <v>Eastern AfricaOnions, dry</v>
      </c>
      <c r="B563" s="1866" t="s">
        <v>1416</v>
      </c>
      <c r="C563" s="1866" t="s">
        <v>1388</v>
      </c>
      <c r="D563" s="1868">
        <v>3.9797699999999998</v>
      </c>
      <c r="E563" s="1868">
        <v>4.2970899999999999</v>
      </c>
      <c r="F563" s="1868">
        <v>4.33894</v>
      </c>
      <c r="G563" s="1868">
        <v>4.3086199999999995</v>
      </c>
      <c r="H563" s="1868">
        <v>4.4311199999999999</v>
      </c>
      <c r="I563" s="1868">
        <v>4.1437499999999998</v>
      </c>
      <c r="J563" s="1868">
        <v>4.35968</v>
      </c>
      <c r="K563" s="1868">
        <v>4.3326099999999999</v>
      </c>
      <c r="L563" s="1868">
        <v>4.8261400000000005</v>
      </c>
      <c r="M563" s="1868">
        <v>3.8257199999999996</v>
      </c>
      <c r="N563" s="1868">
        <v>3.89879</v>
      </c>
      <c r="O563" s="1868">
        <v>3.7643599999999999</v>
      </c>
      <c r="P563" s="1868">
        <v>3.6460499999999998</v>
      </c>
      <c r="Q563" s="1868">
        <v>3.6353400000000002</v>
      </c>
      <c r="R563" s="1868">
        <v>3.8572699999999998</v>
      </c>
      <c r="S563" s="1868">
        <v>3.7922300000000004</v>
      </c>
      <c r="T563" s="1868">
        <v>3.7498</v>
      </c>
      <c r="U563" s="1868">
        <v>3.9114300000000002</v>
      </c>
      <c r="V563" s="1868">
        <v>4.3203899999999997</v>
      </c>
      <c r="W563" s="1868">
        <v>4.6662600000000003</v>
      </c>
      <c r="X563" s="1868">
        <v>4.9453300000000002</v>
      </c>
      <c r="Y563" s="1868">
        <v>5.1377499999999996</v>
      </c>
      <c r="Z563" s="1868">
        <v>4.64351</v>
      </c>
      <c r="AA563" s="1868">
        <v>4.7055099999999994</v>
      </c>
      <c r="AB563" s="1868">
        <v>4.7520600000000002</v>
      </c>
      <c r="AC563" s="1868">
        <v>4.8379599999999998</v>
      </c>
      <c r="AD563" s="1868">
        <v>4.7801</v>
      </c>
      <c r="AE563" s="1868">
        <v>4.8683300000000003</v>
      </c>
      <c r="AF563" s="1868">
        <v>5.0635199999999996</v>
      </c>
      <c r="AG563" s="1868">
        <v>5.2588099999999995</v>
      </c>
      <c r="AH563" s="1868">
        <v>5.3064</v>
      </c>
      <c r="AI563" s="1868">
        <v>5.5336999999999996</v>
      </c>
      <c r="AJ563" s="1868">
        <v>5.6419899999999998</v>
      </c>
      <c r="AK563" s="1868">
        <v>5.4432499999999999</v>
      </c>
      <c r="AL563" s="1868">
        <v>5.4367900000000002</v>
      </c>
      <c r="AM563" s="1868">
        <v>5.4436</v>
      </c>
      <c r="AN563" s="1868">
        <v>5.2381000000000002</v>
      </c>
      <c r="AO563" s="1868">
        <v>5.5908800000000003</v>
      </c>
      <c r="AP563" s="1868">
        <v>5.3443699999999996</v>
      </c>
      <c r="AQ563" s="1868">
        <v>5.8649199999999997</v>
      </c>
      <c r="AR563" s="1868">
        <v>6.0521199999999995</v>
      </c>
      <c r="AS563" s="1868">
        <v>5.82728</v>
      </c>
      <c r="AT563" s="1868">
        <v>6.4439199999999994</v>
      </c>
      <c r="AU563" s="1868">
        <v>6.2909800000000002</v>
      </c>
      <c r="AV563" s="1868">
        <v>5.74411</v>
      </c>
      <c r="AW563" s="1868">
        <v>5.3812699999999998</v>
      </c>
      <c r="AX563" s="1868">
        <v>5.4587599999999998</v>
      </c>
      <c r="AY563" s="1868">
        <v>5.6931900000000004</v>
      </c>
      <c r="AZ563" s="1868">
        <v>5.7162499999999996</v>
      </c>
      <c r="BA563" s="1868">
        <v>5.8474300000000001</v>
      </c>
    </row>
    <row r="564" spans="1:53">
      <c r="A564" s="1865" t="str">
        <f t="shared" si="8"/>
        <v>Eastern AfricaOranges</v>
      </c>
      <c r="B564" s="1866" t="s">
        <v>1416</v>
      </c>
      <c r="C564" s="1866" t="s">
        <v>1389</v>
      </c>
      <c r="D564" s="1868">
        <v>3.6760300000000004</v>
      </c>
      <c r="E564" s="1868">
        <v>3.79861</v>
      </c>
      <c r="F564" s="1868">
        <v>3.7071300000000003</v>
      </c>
      <c r="G564" s="1868">
        <v>3.7947099999999998</v>
      </c>
      <c r="H564" s="1868">
        <v>3.7912800000000004</v>
      </c>
      <c r="I564" s="1868">
        <v>3.7745199999999999</v>
      </c>
      <c r="J564" s="1868">
        <v>3.59165</v>
      </c>
      <c r="K564" s="1868">
        <v>4.1177099999999998</v>
      </c>
      <c r="L564" s="1868">
        <v>4.5241499999999997</v>
      </c>
      <c r="M564" s="1868">
        <v>4.7930400000000004</v>
      </c>
      <c r="N564" s="1868">
        <v>4.4285399999999999</v>
      </c>
      <c r="O564" s="1868">
        <v>5.2195400000000003</v>
      </c>
      <c r="P564" s="1868">
        <v>5.15726</v>
      </c>
      <c r="Q564" s="1868">
        <v>5.3062300000000002</v>
      </c>
      <c r="R564" s="1868">
        <v>5.3829599999999997</v>
      </c>
      <c r="S564" s="1868">
        <v>4.2851300000000005</v>
      </c>
      <c r="T564" s="1868">
        <v>4.69658</v>
      </c>
      <c r="U564" s="1868">
        <v>4.4772400000000001</v>
      </c>
      <c r="V564" s="1868">
        <v>4.8839399999999999</v>
      </c>
      <c r="W564" s="1868">
        <v>4.8928500000000001</v>
      </c>
      <c r="X564" s="1868">
        <v>5.1219700000000001</v>
      </c>
      <c r="Y564" s="1868">
        <v>4.9697399999999998</v>
      </c>
      <c r="Z564" s="1868">
        <v>4.9673400000000001</v>
      </c>
      <c r="AA564" s="1868">
        <v>4.9982600000000001</v>
      </c>
      <c r="AB564" s="1868">
        <v>5.08338</v>
      </c>
      <c r="AC564" s="1868">
        <v>5.3257699999999994</v>
      </c>
      <c r="AD564" s="1868">
        <v>5.37059</v>
      </c>
      <c r="AE564" s="1868">
        <v>5.5937800000000006</v>
      </c>
      <c r="AF564" s="1868">
        <v>5.3865400000000001</v>
      </c>
      <c r="AG564" s="1868">
        <v>5.2780500000000004</v>
      </c>
      <c r="AH564" s="1868">
        <v>5.09232</v>
      </c>
      <c r="AI564" s="1868">
        <v>5.1976599999999999</v>
      </c>
      <c r="AJ564" s="1868">
        <v>5.43377</v>
      </c>
      <c r="AK564" s="1868">
        <v>5.0679499999999997</v>
      </c>
      <c r="AL564" s="1868">
        <v>5.4742300000000004</v>
      </c>
      <c r="AM564" s="1868">
        <v>5.4189499999999997</v>
      </c>
      <c r="AN564" s="1868">
        <v>4.9693399999999999</v>
      </c>
      <c r="AO564" s="1868">
        <v>5.3899800000000004</v>
      </c>
      <c r="AP564" s="1868">
        <v>5.4450199999999995</v>
      </c>
      <c r="AQ564" s="1868">
        <v>5.5161100000000003</v>
      </c>
      <c r="AR564" s="1868">
        <v>6.5520500000000004</v>
      </c>
      <c r="AS564" s="1868">
        <v>6.3501500000000002</v>
      </c>
      <c r="AT564" s="1868">
        <v>6.4932600000000003</v>
      </c>
      <c r="AU564" s="1868">
        <v>5.7599900000000002</v>
      </c>
      <c r="AV564" s="1868">
        <v>6.1859999999999999</v>
      </c>
      <c r="AW564" s="1868">
        <v>6.8430800000000005</v>
      </c>
      <c r="AX564" s="1868">
        <v>6.4913400000000001</v>
      </c>
      <c r="AY564" s="1868">
        <v>6.4096000000000002</v>
      </c>
      <c r="AZ564" s="1868">
        <v>6.3097199999999996</v>
      </c>
      <c r="BA564" s="1868">
        <v>5.1313900000000006</v>
      </c>
    </row>
    <row r="565" spans="1:53">
      <c r="A565" s="1865" t="str">
        <f t="shared" si="8"/>
        <v>Eastern AfricaPeaches and nectarines</v>
      </c>
      <c r="B565" s="1866" t="s">
        <v>1416</v>
      </c>
      <c r="C565" s="1866" t="s">
        <v>1390</v>
      </c>
      <c r="D565" s="1868">
        <v>2.5</v>
      </c>
      <c r="E565" s="1868">
        <v>2.5</v>
      </c>
      <c r="F565" s="1868">
        <v>2.5</v>
      </c>
      <c r="G565" s="1868">
        <v>2.5</v>
      </c>
      <c r="H565" s="1868">
        <v>2.5</v>
      </c>
      <c r="I565" s="1868">
        <v>2.5</v>
      </c>
      <c r="J565" s="1868">
        <v>2.5</v>
      </c>
      <c r="K565" s="1868">
        <v>2.5</v>
      </c>
      <c r="L565" s="1868">
        <v>2.9714299999999998</v>
      </c>
      <c r="M565" s="1868">
        <v>3.2766999999999999</v>
      </c>
      <c r="N565" s="1868">
        <v>3.2953300000000003</v>
      </c>
      <c r="O565" s="1868">
        <v>4.1673099999999996</v>
      </c>
      <c r="P565" s="1868">
        <v>4.9612099999999995</v>
      </c>
      <c r="Q565" s="1868">
        <v>5.1368800000000006</v>
      </c>
      <c r="R565" s="1868">
        <v>3.84429</v>
      </c>
      <c r="S565" s="1868">
        <v>5.2</v>
      </c>
      <c r="T565" s="1868">
        <v>4.0352600000000001</v>
      </c>
      <c r="U565" s="1868">
        <v>3.9964400000000002</v>
      </c>
      <c r="V565" s="1868">
        <v>4.07836</v>
      </c>
      <c r="W565" s="1868">
        <v>2.8675900000000003</v>
      </c>
      <c r="X565" s="1868">
        <v>2.5953300000000001</v>
      </c>
      <c r="Y565" s="1868">
        <v>2.59</v>
      </c>
      <c r="Z565" s="1868">
        <v>2.5979900000000002</v>
      </c>
      <c r="AA565" s="1868">
        <v>2.6691500000000001</v>
      </c>
      <c r="AB565" s="1868">
        <v>2.6467000000000001</v>
      </c>
      <c r="AC565" s="1868">
        <v>2.6594599999999997</v>
      </c>
      <c r="AD565" s="1868">
        <v>2.7151000000000001</v>
      </c>
      <c r="AE565" s="1868">
        <v>2.7114099999999999</v>
      </c>
      <c r="AF565" s="1868">
        <v>2.68241</v>
      </c>
      <c r="AG565" s="1868">
        <v>2.69353</v>
      </c>
      <c r="AH565" s="1868">
        <v>2.7543799999999998</v>
      </c>
      <c r="AI565" s="1868">
        <v>2.9221699999999999</v>
      </c>
      <c r="AJ565" s="1868">
        <v>2.8530700000000002</v>
      </c>
      <c r="AK565" s="1868">
        <v>2.59077</v>
      </c>
      <c r="AL565" s="1868">
        <v>2.6774200000000001</v>
      </c>
      <c r="AM565" s="1868">
        <v>2.6989999999999998</v>
      </c>
      <c r="AN565" s="1868">
        <v>2.4647399999999999</v>
      </c>
      <c r="AO565" s="1868">
        <v>2.34219</v>
      </c>
      <c r="AP565" s="1868">
        <v>2.2896299999999998</v>
      </c>
      <c r="AQ565" s="1868">
        <v>2.1926700000000001</v>
      </c>
      <c r="AR565" s="1868">
        <v>2.21943</v>
      </c>
      <c r="AS565" s="1868">
        <v>2.4126500000000002</v>
      </c>
      <c r="AT565" s="1868">
        <v>2.2650900000000003</v>
      </c>
      <c r="AU565" s="1868">
        <v>2.4732599999999998</v>
      </c>
      <c r="AV565" s="1868">
        <v>2.3260099999999997</v>
      </c>
      <c r="AW565" s="1868">
        <v>2.8071700000000002</v>
      </c>
      <c r="AX565" s="1868">
        <v>2.7194400000000001</v>
      </c>
      <c r="AY565" s="1868">
        <v>2.97139</v>
      </c>
      <c r="AZ565" s="1868">
        <v>2.82301</v>
      </c>
      <c r="BA565" s="1868">
        <v>2.5632200000000003</v>
      </c>
    </row>
    <row r="566" spans="1:53">
      <c r="A566" s="1865" t="str">
        <f t="shared" si="8"/>
        <v>Eastern AfricaPeas, dry</v>
      </c>
      <c r="B566" s="1866" t="s">
        <v>1416</v>
      </c>
      <c r="C566" s="1866" t="s">
        <v>1391</v>
      </c>
      <c r="D566" s="1868">
        <v>0.74170000000000003</v>
      </c>
      <c r="E566" s="1868">
        <v>0.76058999999999999</v>
      </c>
      <c r="F566" s="1868">
        <v>0.72873999999999994</v>
      </c>
      <c r="G566" s="1868">
        <v>0.75639000000000001</v>
      </c>
      <c r="H566" s="1868">
        <v>0.71411999999999998</v>
      </c>
      <c r="I566" s="1868">
        <v>0.74883999999999995</v>
      </c>
      <c r="J566" s="1868">
        <v>0.74958000000000002</v>
      </c>
      <c r="K566" s="1868">
        <v>0.71767999999999998</v>
      </c>
      <c r="L566" s="1868">
        <v>0.77878000000000003</v>
      </c>
      <c r="M566" s="1868">
        <v>0.80846000000000007</v>
      </c>
      <c r="N566" s="1868">
        <v>0.81091999999999997</v>
      </c>
      <c r="O566" s="1868">
        <v>0.75861000000000001</v>
      </c>
      <c r="P566" s="1868">
        <v>0.57599</v>
      </c>
      <c r="Q566" s="1868">
        <v>0.51885999999999999</v>
      </c>
      <c r="R566" s="1868">
        <v>0.55803000000000003</v>
      </c>
      <c r="S566" s="1868">
        <v>0.55101999999999995</v>
      </c>
      <c r="T566" s="1868">
        <v>0.69176000000000004</v>
      </c>
      <c r="U566" s="1868">
        <v>0.65312999999999999</v>
      </c>
      <c r="V566" s="1868">
        <v>0.79553999999999991</v>
      </c>
      <c r="W566" s="1868">
        <v>0.89351000000000003</v>
      </c>
      <c r="X566" s="1868">
        <v>0.71568999999999994</v>
      </c>
      <c r="Y566" s="1868">
        <v>0.73253999999999997</v>
      </c>
      <c r="Z566" s="1868">
        <v>0.68613999999999997</v>
      </c>
      <c r="AA566" s="1868">
        <v>0.60498000000000007</v>
      </c>
      <c r="AB566" s="1868">
        <v>0.53595000000000004</v>
      </c>
      <c r="AC566" s="1868">
        <v>0.51086999999999994</v>
      </c>
      <c r="AD566" s="1868">
        <v>0.58748</v>
      </c>
      <c r="AE566" s="1868">
        <v>0.53627999999999998</v>
      </c>
      <c r="AF566" s="1868">
        <v>0.56133999999999995</v>
      </c>
      <c r="AG566" s="1868">
        <v>0.61055999999999999</v>
      </c>
      <c r="AH566" s="1868">
        <v>0.79381000000000002</v>
      </c>
      <c r="AI566" s="1868">
        <v>0.56123000000000001</v>
      </c>
      <c r="AJ566" s="1868">
        <v>0.57396999999999998</v>
      </c>
      <c r="AK566" s="1868">
        <v>0.52753000000000005</v>
      </c>
      <c r="AL566" s="1868">
        <v>0.71243000000000001</v>
      </c>
      <c r="AM566" s="1868">
        <v>0.57241999999999993</v>
      </c>
      <c r="AN566" s="1868">
        <v>0.66410000000000002</v>
      </c>
      <c r="AO566" s="1868">
        <v>0.59335000000000004</v>
      </c>
      <c r="AP566" s="1868">
        <v>0.58818999999999999</v>
      </c>
      <c r="AQ566" s="1868">
        <v>0.65243999999999991</v>
      </c>
      <c r="AR566" s="1868">
        <v>0.60421000000000002</v>
      </c>
      <c r="AS566" s="1868">
        <v>0.79479</v>
      </c>
      <c r="AT566" s="1868">
        <v>0.65146999999999999</v>
      </c>
      <c r="AU566" s="1868">
        <v>0.73303000000000007</v>
      </c>
      <c r="AV566" s="1868">
        <v>0.69586000000000003</v>
      </c>
      <c r="AW566" s="1868">
        <v>0.70913000000000004</v>
      </c>
      <c r="AX566" s="1868">
        <v>0.78696999999999995</v>
      </c>
      <c r="AY566" s="1868">
        <v>0.86447000000000007</v>
      </c>
      <c r="AZ566" s="1868">
        <v>0.85958999999999997</v>
      </c>
      <c r="BA566" s="1868">
        <v>0.86386000000000007</v>
      </c>
    </row>
    <row r="567" spans="1:53">
      <c r="A567" s="1865" t="str">
        <f t="shared" si="8"/>
        <v>Eastern AfricaPeas, green</v>
      </c>
      <c r="B567" s="1866" t="s">
        <v>1416</v>
      </c>
      <c r="C567" s="1866" t="s">
        <v>1392</v>
      </c>
      <c r="D567" s="1868">
        <v>1.05769</v>
      </c>
      <c r="E567" s="1868">
        <v>1.0545500000000001</v>
      </c>
      <c r="F567" s="1868">
        <v>1.09091</v>
      </c>
      <c r="G567" s="1868">
        <v>1.06897</v>
      </c>
      <c r="H567" s="1868">
        <v>1.0669</v>
      </c>
      <c r="I567" s="1868">
        <v>1.0415299999999998</v>
      </c>
      <c r="J567" s="1868">
        <v>1.0704899999999999</v>
      </c>
      <c r="K567" s="1868">
        <v>1.0423899999999999</v>
      </c>
      <c r="L567" s="1868">
        <v>1.0410700000000002</v>
      </c>
      <c r="M567" s="1868">
        <v>1.2028299999999998</v>
      </c>
      <c r="N567" s="1868">
        <v>1.3207599999999999</v>
      </c>
      <c r="O567" s="1868">
        <v>1.6256700000000002</v>
      </c>
      <c r="P567" s="1868">
        <v>2.1842099999999998</v>
      </c>
      <c r="Q567" s="1868">
        <v>2.0604800000000001</v>
      </c>
      <c r="R567" s="1868">
        <v>1.9893599999999998</v>
      </c>
      <c r="S567" s="1868">
        <v>1.9609900000000002</v>
      </c>
      <c r="T567" s="1868">
        <v>1.14561</v>
      </c>
      <c r="U567" s="1868">
        <v>1.06823</v>
      </c>
      <c r="V567" s="1868">
        <v>1.12039</v>
      </c>
      <c r="W567" s="1868">
        <v>1.1124399999999999</v>
      </c>
      <c r="X567" s="1868">
        <v>1.0456700000000001</v>
      </c>
      <c r="Y567" s="1868">
        <v>1.1013999999999999</v>
      </c>
      <c r="Z567" s="1868">
        <v>1.0367200000000001</v>
      </c>
      <c r="AA567" s="1868">
        <v>1.0742200000000002</v>
      </c>
      <c r="AB567" s="1868">
        <v>1.13208</v>
      </c>
      <c r="AC567" s="1868">
        <v>1.0227299999999999</v>
      </c>
      <c r="AD567" s="1868">
        <v>0.99437000000000009</v>
      </c>
      <c r="AE567" s="1868">
        <v>0.99442000000000008</v>
      </c>
      <c r="AF567" s="1868">
        <v>0.99462000000000006</v>
      </c>
      <c r="AG567" s="1868">
        <v>4.0089499999999996</v>
      </c>
      <c r="AH567" s="1868">
        <v>3.8805999999999998</v>
      </c>
      <c r="AI567" s="1868">
        <v>3.8406099999999999</v>
      </c>
      <c r="AJ567" s="1868">
        <v>3.9392099999999997</v>
      </c>
      <c r="AK567" s="1868">
        <v>6.0784400000000005</v>
      </c>
      <c r="AL567" s="1868">
        <v>5.64269</v>
      </c>
      <c r="AM567" s="1868">
        <v>4.5747800000000005</v>
      </c>
      <c r="AN567" s="1868">
        <v>5.3551299999999999</v>
      </c>
      <c r="AO567" s="1868">
        <v>5.6597900000000001</v>
      </c>
      <c r="AP567" s="1868">
        <v>5.42509</v>
      </c>
      <c r="AQ567" s="1868">
        <v>4.7808900000000003</v>
      </c>
      <c r="AR567" s="1868">
        <v>4.4885599999999997</v>
      </c>
      <c r="AS567" s="1868">
        <v>4.1842499999999996</v>
      </c>
      <c r="AT567" s="1868">
        <v>4.5695899999999998</v>
      </c>
      <c r="AU567" s="1868">
        <v>4.3078900000000004</v>
      </c>
      <c r="AV567" s="1868">
        <v>3.2474799999999999</v>
      </c>
      <c r="AW567" s="1868">
        <v>3.2331500000000002</v>
      </c>
      <c r="AX567" s="1868">
        <v>4.3563499999999999</v>
      </c>
      <c r="AY567" s="1868">
        <v>4.6238299999999999</v>
      </c>
      <c r="AZ567" s="1868">
        <v>5.8188000000000004</v>
      </c>
      <c r="BA567" s="1868">
        <v>4.2792000000000003</v>
      </c>
    </row>
    <row r="568" spans="1:53">
      <c r="A568" s="1865" t="str">
        <f t="shared" si="8"/>
        <v>Eastern AfricaPineapples</v>
      </c>
      <c r="B568" s="1866" t="s">
        <v>1416</v>
      </c>
      <c r="C568" s="1866" t="s">
        <v>1351</v>
      </c>
      <c r="D568" s="1868">
        <v>6.7417899999999991</v>
      </c>
      <c r="E568" s="1868">
        <v>7.4660399999999996</v>
      </c>
      <c r="F568" s="1868">
        <v>7.6756399999999996</v>
      </c>
      <c r="G568" s="1868">
        <v>8.1596700000000002</v>
      </c>
      <c r="H568" s="1868">
        <v>7.3899499999999998</v>
      </c>
      <c r="I568" s="1868">
        <v>6.8427199999999999</v>
      </c>
      <c r="J568" s="1868">
        <v>5.5049800000000007</v>
      </c>
      <c r="K568" s="1868">
        <v>5.7591099999999997</v>
      </c>
      <c r="L568" s="1868">
        <v>5.9653599999999996</v>
      </c>
      <c r="M568" s="1868">
        <v>6.2880199999999995</v>
      </c>
      <c r="N568" s="1868">
        <v>6.6914100000000003</v>
      </c>
      <c r="O568" s="1868">
        <v>6.9142800000000006</v>
      </c>
      <c r="P568" s="1868">
        <v>7.5601399999999996</v>
      </c>
      <c r="Q568" s="1868">
        <v>7.3853200000000001</v>
      </c>
      <c r="R568" s="1868">
        <v>8.7308599999999998</v>
      </c>
      <c r="S568" s="1868">
        <v>10.462010000000001</v>
      </c>
      <c r="T568" s="1868">
        <v>11.61758</v>
      </c>
      <c r="U568" s="1868">
        <v>11.9107</v>
      </c>
      <c r="V568" s="1868">
        <v>13.280610000000001</v>
      </c>
      <c r="W568" s="1868">
        <v>14.591620000000001</v>
      </c>
      <c r="X568" s="1868">
        <v>14.459379999999999</v>
      </c>
      <c r="Y568" s="1868">
        <v>15.162470000000001</v>
      </c>
      <c r="Z568" s="1868">
        <v>12.0747</v>
      </c>
      <c r="AA568" s="1868">
        <v>13.185600000000001</v>
      </c>
      <c r="AB568" s="1868">
        <v>13.141929999999999</v>
      </c>
      <c r="AC568" s="1868">
        <v>15.535550000000001</v>
      </c>
      <c r="AD568" s="1868">
        <v>14.9412</v>
      </c>
      <c r="AE568" s="1868">
        <v>14.099110000000001</v>
      </c>
      <c r="AF568" s="1868">
        <v>14.516910000000001</v>
      </c>
      <c r="AG568" s="1868">
        <v>12.29608</v>
      </c>
      <c r="AH568" s="1868">
        <v>13.94736</v>
      </c>
      <c r="AI568" s="1868">
        <v>18.865600000000001</v>
      </c>
      <c r="AJ568" s="1868">
        <v>22.71705</v>
      </c>
      <c r="AK568" s="1868">
        <v>18.470839999999999</v>
      </c>
      <c r="AL568" s="1868">
        <v>21.67409</v>
      </c>
      <c r="AM568" s="1868">
        <v>19.706529999999997</v>
      </c>
      <c r="AN568" s="1868">
        <v>13.478639999999999</v>
      </c>
      <c r="AO568" s="1868">
        <v>20.14723</v>
      </c>
      <c r="AP568" s="1868">
        <v>22.026289999999999</v>
      </c>
      <c r="AQ568" s="1868">
        <v>21.018039999999999</v>
      </c>
      <c r="AR568" s="1868">
        <v>19.788970000000003</v>
      </c>
      <c r="AS568" s="1868">
        <v>22.089459999999999</v>
      </c>
      <c r="AT568" s="1868">
        <v>16.001839999999998</v>
      </c>
      <c r="AU568" s="1868">
        <v>20.073520000000002</v>
      </c>
      <c r="AV568" s="1868">
        <v>19.609970000000001</v>
      </c>
      <c r="AW568" s="1868">
        <v>14.64289</v>
      </c>
      <c r="AX568" s="1868">
        <v>15.19389</v>
      </c>
      <c r="AY568" s="1868">
        <v>14.87679</v>
      </c>
      <c r="AZ568" s="1868">
        <v>12.182839999999999</v>
      </c>
      <c r="BA568" s="1868">
        <v>12.299439999999999</v>
      </c>
    </row>
    <row r="569" spans="1:53">
      <c r="A569" s="1865" t="str">
        <f t="shared" si="8"/>
        <v>Eastern AfricaPlantains</v>
      </c>
      <c r="B569" s="1866" t="s">
        <v>1416</v>
      </c>
      <c r="C569" s="1866" t="s">
        <v>1393</v>
      </c>
      <c r="D569" s="1868">
        <v>5.9439900000000003</v>
      </c>
      <c r="E569" s="1868">
        <v>6.1700400000000002</v>
      </c>
      <c r="F569" s="1868">
        <v>5.93018</v>
      </c>
      <c r="G569" s="1868">
        <v>5.9605199999999998</v>
      </c>
      <c r="H569" s="1868">
        <v>6.4954900000000002</v>
      </c>
      <c r="I569" s="1868">
        <v>6.5476300000000007</v>
      </c>
      <c r="J569" s="1868">
        <v>7.1035000000000004</v>
      </c>
      <c r="K569" s="1868">
        <v>6.7529300000000001</v>
      </c>
      <c r="L569" s="1868">
        <v>7.2958800000000004</v>
      </c>
      <c r="M569" s="1868">
        <v>7.70627</v>
      </c>
      <c r="N569" s="1868">
        <v>7.9551399999999992</v>
      </c>
      <c r="O569" s="1868">
        <v>8.0238600000000009</v>
      </c>
      <c r="P569" s="1868">
        <v>8.1180099999999999</v>
      </c>
      <c r="Q569" s="1868">
        <v>7.8333100000000009</v>
      </c>
      <c r="R569" s="1868">
        <v>7.8149300000000004</v>
      </c>
      <c r="S569" s="1868">
        <v>6.5790100000000002</v>
      </c>
      <c r="T569" s="1868">
        <v>6.5763600000000002</v>
      </c>
      <c r="U569" s="1868">
        <v>6.6267600000000009</v>
      </c>
      <c r="V569" s="1868">
        <v>5.1766399999999999</v>
      </c>
      <c r="W569" s="1868">
        <v>5.2400699999999993</v>
      </c>
      <c r="X569" s="1868">
        <v>5.4251800000000001</v>
      </c>
      <c r="Y569" s="1868">
        <v>5.7807000000000004</v>
      </c>
      <c r="Z569" s="1868">
        <v>5.6711099999999997</v>
      </c>
      <c r="AA569" s="1868">
        <v>5.3384099999999997</v>
      </c>
      <c r="AB569" s="1868">
        <v>5.6661999999999999</v>
      </c>
      <c r="AC569" s="1868">
        <v>5.6763399999999997</v>
      </c>
      <c r="AD569" s="1868">
        <v>5.8663600000000002</v>
      </c>
      <c r="AE569" s="1868">
        <v>5.5969100000000003</v>
      </c>
      <c r="AF569" s="1868">
        <v>5.7264499999999998</v>
      </c>
      <c r="AG569" s="1868">
        <v>5.5988699999999998</v>
      </c>
      <c r="AH569" s="1868">
        <v>5.5775800000000002</v>
      </c>
      <c r="AI569" s="1868">
        <v>5.4140600000000001</v>
      </c>
      <c r="AJ569" s="1868">
        <v>5.3881500000000004</v>
      </c>
      <c r="AK569" s="1868">
        <v>5.4863</v>
      </c>
      <c r="AL569" s="1868">
        <v>5.7169999999999996</v>
      </c>
      <c r="AM569" s="1868">
        <v>5.7722800000000003</v>
      </c>
      <c r="AN569" s="1868">
        <v>5.8876099999999996</v>
      </c>
      <c r="AO569" s="1868">
        <v>5.7754599999999998</v>
      </c>
      <c r="AP569" s="1868">
        <v>5.83528</v>
      </c>
      <c r="AQ569" s="1868">
        <v>5.6827300000000003</v>
      </c>
      <c r="AR569" s="1868">
        <v>5.4549900000000004</v>
      </c>
      <c r="AS569" s="1868">
        <v>5.8890699999999994</v>
      </c>
      <c r="AT569" s="1868">
        <v>5.5628099999999998</v>
      </c>
      <c r="AU569" s="1868">
        <v>5.7677699999999996</v>
      </c>
      <c r="AV569" s="1868">
        <v>5.5286499999999998</v>
      </c>
      <c r="AW569" s="1868">
        <v>5.5509000000000004</v>
      </c>
      <c r="AX569" s="1868">
        <v>5.6057699999999997</v>
      </c>
      <c r="AY569" s="1868">
        <v>5.7207400000000002</v>
      </c>
      <c r="AZ569" s="1868">
        <v>6.01241</v>
      </c>
      <c r="BA569" s="1868">
        <v>5.8710199999999997</v>
      </c>
    </row>
    <row r="570" spans="1:53">
      <c r="A570" s="1865" t="str">
        <f t="shared" si="8"/>
        <v>Eastern AfricaPotatoes</v>
      </c>
      <c r="B570" s="1866" t="s">
        <v>1416</v>
      </c>
      <c r="C570" s="1866" t="s">
        <v>1394</v>
      </c>
      <c r="D570" s="1868">
        <v>6.6245600000000007</v>
      </c>
      <c r="E570" s="1868">
        <v>6.5652300000000006</v>
      </c>
      <c r="F570" s="1868">
        <v>6.2102599999999999</v>
      </c>
      <c r="G570" s="1868">
        <v>6.5003000000000002</v>
      </c>
      <c r="H570" s="1868">
        <v>6.6020100000000008</v>
      </c>
      <c r="I570" s="1868">
        <v>6.9830500000000004</v>
      </c>
      <c r="J570" s="1868">
        <v>6.9932999999999996</v>
      </c>
      <c r="K570" s="1868">
        <v>6.6273</v>
      </c>
      <c r="L570" s="1868">
        <v>7.00047</v>
      </c>
      <c r="M570" s="1868">
        <v>6.8607600000000009</v>
      </c>
      <c r="N570" s="1868">
        <v>6.6979399999999991</v>
      </c>
      <c r="O570" s="1868">
        <v>6.7044699999999997</v>
      </c>
      <c r="P570" s="1868">
        <v>6.6078600000000005</v>
      </c>
      <c r="Q570" s="1868">
        <v>6.3899699999999999</v>
      </c>
      <c r="R570" s="1868">
        <v>6.49369</v>
      </c>
      <c r="S570" s="1868">
        <v>6.9222700000000001</v>
      </c>
      <c r="T570" s="1868">
        <v>7.0971899999999994</v>
      </c>
      <c r="U570" s="1868">
        <v>7.2893699999999999</v>
      </c>
      <c r="V570" s="1868">
        <v>7.1933300000000004</v>
      </c>
      <c r="W570" s="1868">
        <v>6.6466699999999994</v>
      </c>
      <c r="X570" s="1868">
        <v>6.6315899999999992</v>
      </c>
      <c r="Y570" s="1868">
        <v>7.0031800000000004</v>
      </c>
      <c r="Z570" s="1868">
        <v>6.73942</v>
      </c>
      <c r="AA570" s="1868">
        <v>6.2469199999999994</v>
      </c>
      <c r="AB570" s="1868">
        <v>6.9099000000000004</v>
      </c>
      <c r="AC570" s="1868">
        <v>6.9340299999999999</v>
      </c>
      <c r="AD570" s="1868">
        <v>7.0698699999999999</v>
      </c>
      <c r="AE570" s="1868">
        <v>6.89358</v>
      </c>
      <c r="AF570" s="1868">
        <v>7.6182699999999999</v>
      </c>
      <c r="AG570" s="1868">
        <v>7.8883800000000006</v>
      </c>
      <c r="AH570" s="1868">
        <v>7.7542399999999994</v>
      </c>
      <c r="AI570" s="1868">
        <v>7.7668200000000001</v>
      </c>
      <c r="AJ570" s="1868">
        <v>7.9598600000000008</v>
      </c>
      <c r="AK570" s="1868">
        <v>7.8556399999999993</v>
      </c>
      <c r="AL570" s="1868">
        <v>7.3513999999999999</v>
      </c>
      <c r="AM570" s="1868">
        <v>7.1626199999999995</v>
      </c>
      <c r="AN570" s="1868">
        <v>7.2967000000000004</v>
      </c>
      <c r="AO570" s="1868">
        <v>8.0419199999999993</v>
      </c>
      <c r="AP570" s="1868">
        <v>8.7070600000000002</v>
      </c>
      <c r="AQ570" s="1868">
        <v>8.3962399999999988</v>
      </c>
      <c r="AR570" s="1868">
        <v>9.6261399999999995</v>
      </c>
      <c r="AS570" s="1868">
        <v>8.7343600000000006</v>
      </c>
      <c r="AT570" s="1868">
        <v>8.8529100000000014</v>
      </c>
      <c r="AU570" s="1868">
        <v>8.9268300000000007</v>
      </c>
      <c r="AV570" s="1868">
        <v>7.7706899999999992</v>
      </c>
      <c r="AW570" s="1868">
        <v>8.4985499999999998</v>
      </c>
      <c r="AX570" s="1868">
        <v>8.8032399999999988</v>
      </c>
      <c r="AY570" s="1868">
        <v>8.6872799999999994</v>
      </c>
      <c r="AZ570" s="1868">
        <v>8.9752799999999997</v>
      </c>
      <c r="BA570" s="1868">
        <v>10.42727</v>
      </c>
    </row>
    <row r="571" spans="1:53">
      <c r="A571" s="1865" t="str">
        <f t="shared" si="8"/>
        <v>Eastern AfricaPulses, nes</v>
      </c>
      <c r="B571" s="1866" t="s">
        <v>1416</v>
      </c>
      <c r="C571" s="1866" t="s">
        <v>1395</v>
      </c>
      <c r="D571" s="1868">
        <v>0.45373000000000002</v>
      </c>
      <c r="E571" s="1868">
        <v>0.46862999999999999</v>
      </c>
      <c r="F571" s="1868">
        <v>0.46820000000000001</v>
      </c>
      <c r="G571" s="1868">
        <v>0.46875</v>
      </c>
      <c r="H571" s="1868">
        <v>0.47673999999999994</v>
      </c>
      <c r="I571" s="1868">
        <v>0.46598999999999996</v>
      </c>
      <c r="J571" s="1868">
        <v>0.45942</v>
      </c>
      <c r="K571" s="1868">
        <v>0.49753999999999998</v>
      </c>
      <c r="L571" s="1868">
        <v>0.51070000000000004</v>
      </c>
      <c r="M571" s="1868">
        <v>0.51828999999999992</v>
      </c>
      <c r="N571" s="1868">
        <v>0.51924999999999999</v>
      </c>
      <c r="O571" s="1868">
        <v>0.54313</v>
      </c>
      <c r="P571" s="1868">
        <v>0.53483999999999998</v>
      </c>
      <c r="Q571" s="1868">
        <v>0.51305000000000001</v>
      </c>
      <c r="R571" s="1868">
        <v>0.54268000000000005</v>
      </c>
      <c r="S571" s="1868">
        <v>0.53676000000000001</v>
      </c>
      <c r="T571" s="1868">
        <v>0.50588999999999995</v>
      </c>
      <c r="U571" s="1868">
        <v>0.48608999999999997</v>
      </c>
      <c r="V571" s="1868">
        <v>0.44666000000000006</v>
      </c>
      <c r="W571" s="1868">
        <v>0.46151000000000003</v>
      </c>
      <c r="X571" s="1868">
        <v>0.43356999999999996</v>
      </c>
      <c r="Y571" s="1868">
        <v>0.52444000000000002</v>
      </c>
      <c r="Z571" s="1868">
        <v>0.62196000000000007</v>
      </c>
      <c r="AA571" s="1868">
        <v>0.41547000000000001</v>
      </c>
      <c r="AB571" s="1868">
        <v>0.37813000000000002</v>
      </c>
      <c r="AC571" s="1868">
        <v>0.53851000000000004</v>
      </c>
      <c r="AD571" s="1868">
        <v>0.40404000000000001</v>
      </c>
      <c r="AE571" s="1868">
        <v>0.35258</v>
      </c>
      <c r="AF571" s="1868">
        <v>0.38338</v>
      </c>
      <c r="AG571" s="1868">
        <v>0.34610999999999997</v>
      </c>
      <c r="AH571" s="1868">
        <v>0.31885000000000002</v>
      </c>
      <c r="AI571" s="1868">
        <v>0.31975999999999999</v>
      </c>
      <c r="AJ571" s="1868">
        <v>0.26029999999999998</v>
      </c>
      <c r="AK571" s="1868">
        <v>0.36346999999999996</v>
      </c>
      <c r="AL571" s="1868">
        <v>0.38272</v>
      </c>
      <c r="AM571" s="1868">
        <v>0.42326000000000003</v>
      </c>
      <c r="AN571" s="1868">
        <v>0.43086000000000002</v>
      </c>
      <c r="AO571" s="1868">
        <v>0.41538000000000003</v>
      </c>
      <c r="AP571" s="1868">
        <v>0.53408999999999995</v>
      </c>
      <c r="AQ571" s="1868">
        <v>0.53400999999999998</v>
      </c>
      <c r="AR571" s="1868">
        <v>0.47949999999999998</v>
      </c>
      <c r="AS571" s="1868">
        <v>0.72131000000000001</v>
      </c>
      <c r="AT571" s="1868">
        <v>0.71123999999999998</v>
      </c>
      <c r="AU571" s="1868">
        <v>0.54301999999999995</v>
      </c>
      <c r="AV571" s="1868">
        <v>0.60540000000000005</v>
      </c>
      <c r="AW571" s="1868">
        <v>0.65298999999999996</v>
      </c>
      <c r="AX571" s="1868">
        <v>0.67441000000000006</v>
      </c>
      <c r="AY571" s="1868">
        <v>0.63297000000000003</v>
      </c>
      <c r="AZ571" s="1868">
        <v>0.69430000000000003</v>
      </c>
      <c r="BA571" s="1868">
        <v>0.71462999999999999</v>
      </c>
    </row>
    <row r="572" spans="1:53">
      <c r="A572" s="1865" t="str">
        <f t="shared" si="8"/>
        <v>Eastern AfricaRice, paddy</v>
      </c>
      <c r="B572" s="1866" t="s">
        <v>1416</v>
      </c>
      <c r="C572" s="1866" t="s">
        <v>1396</v>
      </c>
      <c r="D572" s="1868">
        <v>1.7221500000000001</v>
      </c>
      <c r="E572" s="1868">
        <v>1.73403</v>
      </c>
      <c r="F572" s="1868">
        <v>1.7816700000000001</v>
      </c>
      <c r="G572" s="1868">
        <v>1.8372400000000002</v>
      </c>
      <c r="H572" s="1868">
        <v>1.8082799999999999</v>
      </c>
      <c r="I572" s="1868">
        <v>1.5525599999999999</v>
      </c>
      <c r="J572" s="1868">
        <v>1.6208400000000001</v>
      </c>
      <c r="K572" s="1868">
        <v>1.6304700000000001</v>
      </c>
      <c r="L572" s="1868">
        <v>1.7314200000000002</v>
      </c>
      <c r="M572" s="1868">
        <v>1.7621099999999998</v>
      </c>
      <c r="N572" s="1868">
        <v>1.7418</v>
      </c>
      <c r="O572" s="1868">
        <v>1.7459099999999999</v>
      </c>
      <c r="P572" s="1868">
        <v>1.85273</v>
      </c>
      <c r="Q572" s="1868">
        <v>1.7986200000000001</v>
      </c>
      <c r="R572" s="1868">
        <v>1.7303599999999999</v>
      </c>
      <c r="S572" s="1868">
        <v>1.7460500000000001</v>
      </c>
      <c r="T572" s="1868">
        <v>1.65219</v>
      </c>
      <c r="U572" s="1868">
        <v>1.6141799999999999</v>
      </c>
      <c r="V572" s="1868">
        <v>1.56755</v>
      </c>
      <c r="W572" s="1868">
        <v>1.6080000000000001</v>
      </c>
      <c r="X572" s="1868">
        <v>1.4857</v>
      </c>
      <c r="Y572" s="1868">
        <v>1.51711</v>
      </c>
      <c r="Z572" s="1868">
        <v>1.70872</v>
      </c>
      <c r="AA572" s="1868">
        <v>1.6796799999999998</v>
      </c>
      <c r="AB572" s="1868">
        <v>1.7736299999999998</v>
      </c>
      <c r="AC572" s="1868">
        <v>1.8378400000000001</v>
      </c>
      <c r="AD572" s="1868">
        <v>1.86988</v>
      </c>
      <c r="AE572" s="1868">
        <v>1.83507</v>
      </c>
      <c r="AF572" s="1868">
        <v>1.9514400000000001</v>
      </c>
      <c r="AG572" s="1868">
        <v>1.9487299999999999</v>
      </c>
      <c r="AH572" s="1868">
        <v>1.87565</v>
      </c>
      <c r="AI572" s="1868">
        <v>1.80393</v>
      </c>
      <c r="AJ572" s="1868">
        <v>1.9219099999999998</v>
      </c>
      <c r="AK572" s="1868">
        <v>1.8973200000000001</v>
      </c>
      <c r="AL572" s="1868">
        <v>1.8898099999999998</v>
      </c>
      <c r="AM572" s="1868">
        <v>1.9117099999999998</v>
      </c>
      <c r="AN572" s="1868">
        <v>1.8412099999999998</v>
      </c>
      <c r="AO572" s="1868">
        <v>1.7116200000000001</v>
      </c>
      <c r="AP572" s="1868">
        <v>1.95733</v>
      </c>
      <c r="AQ572" s="1868">
        <v>1.89619</v>
      </c>
      <c r="AR572" s="1868">
        <v>2.0475400000000001</v>
      </c>
      <c r="AS572" s="1868">
        <v>1.94878</v>
      </c>
      <c r="AT572" s="1868">
        <v>2.0327900000000003</v>
      </c>
      <c r="AU572" s="1868">
        <v>2.11286</v>
      </c>
      <c r="AV572" s="1868">
        <v>2.2511700000000001</v>
      </c>
      <c r="AW572" s="1868">
        <v>2.32456</v>
      </c>
      <c r="AX572" s="1868">
        <v>2.58927</v>
      </c>
      <c r="AY572" s="1868">
        <v>2.5213000000000001</v>
      </c>
      <c r="AZ572" s="1868">
        <v>2.4445999999999999</v>
      </c>
      <c r="BA572" s="1868">
        <v>2.6156200000000003</v>
      </c>
    </row>
    <row r="573" spans="1:53">
      <c r="A573" s="1865" t="str">
        <f t="shared" si="8"/>
        <v>Eastern AfricaRoots and Tubers, nes</v>
      </c>
      <c r="B573" s="1866" t="s">
        <v>1416</v>
      </c>
      <c r="C573" s="1866" t="s">
        <v>1356</v>
      </c>
      <c r="D573" s="1868">
        <v>2.4146900000000002</v>
      </c>
      <c r="E573" s="1868">
        <v>2.4146900000000002</v>
      </c>
      <c r="F573" s="1868">
        <v>2.4156400000000002</v>
      </c>
      <c r="G573" s="1868">
        <v>2.4083900000000003</v>
      </c>
      <c r="H573" s="1868">
        <v>2.4203099999999997</v>
      </c>
      <c r="I573" s="1868">
        <v>2.43737</v>
      </c>
      <c r="J573" s="1868">
        <v>2.4361099999999998</v>
      </c>
      <c r="K573" s="1868">
        <v>2.4347799999999999</v>
      </c>
      <c r="L573" s="1868">
        <v>2.4327799999999997</v>
      </c>
      <c r="M573" s="1868">
        <v>2.4330500000000002</v>
      </c>
      <c r="N573" s="1868">
        <v>2.4319199999999999</v>
      </c>
      <c r="O573" s="1868">
        <v>2.4313099999999999</v>
      </c>
      <c r="P573" s="1868">
        <v>2.77915</v>
      </c>
      <c r="Q573" s="1868">
        <v>3.1208800000000001</v>
      </c>
      <c r="R573" s="1868">
        <v>3.65049</v>
      </c>
      <c r="S573" s="1868">
        <v>4.1001799999999999</v>
      </c>
      <c r="T573" s="1868">
        <v>4.7833199999999998</v>
      </c>
      <c r="U573" s="1868">
        <v>5.6426099999999995</v>
      </c>
      <c r="V573" s="1868">
        <v>5.9912999999999998</v>
      </c>
      <c r="W573" s="1868">
        <v>6.14297</v>
      </c>
      <c r="X573" s="1868">
        <v>6.2842500000000001</v>
      </c>
      <c r="Y573" s="1868">
        <v>6.4155499999999996</v>
      </c>
      <c r="Z573" s="1868">
        <v>6.7682000000000002</v>
      </c>
      <c r="AA573" s="1868">
        <v>6.28294</v>
      </c>
      <c r="AB573" s="1868">
        <v>6.4208999999999996</v>
      </c>
      <c r="AC573" s="1868">
        <v>6.6606199999999998</v>
      </c>
      <c r="AD573" s="1868">
        <v>6.9901100000000005</v>
      </c>
      <c r="AE573" s="1868">
        <v>7.18255</v>
      </c>
      <c r="AF573" s="1868">
        <v>6.8782500000000004</v>
      </c>
      <c r="AG573" s="1868">
        <v>7.1545800000000002</v>
      </c>
      <c r="AH573" s="1868">
        <v>7.0639500000000002</v>
      </c>
      <c r="AI573" s="1868">
        <v>7.0535300000000003</v>
      </c>
      <c r="AJ573" s="1868">
        <v>6.7271000000000001</v>
      </c>
      <c r="AK573" s="1868">
        <v>6.8599800000000002</v>
      </c>
      <c r="AL573" s="1868">
        <v>7.1511800000000001</v>
      </c>
      <c r="AM573" s="1868">
        <v>7.2954699999999999</v>
      </c>
      <c r="AN573" s="1868">
        <v>7.0331399999999995</v>
      </c>
      <c r="AO573" s="1868">
        <v>7.4926899999999996</v>
      </c>
      <c r="AP573" s="1868">
        <v>7.4660399999999996</v>
      </c>
      <c r="AQ573" s="1868">
        <v>7.4841499999999996</v>
      </c>
      <c r="AR573" s="1868">
        <v>7.4585399999999993</v>
      </c>
      <c r="AS573" s="1868">
        <v>7.4667000000000003</v>
      </c>
      <c r="AT573" s="1868">
        <v>7.5231199999999996</v>
      </c>
      <c r="AU573" s="1868">
        <v>7.4477500000000001</v>
      </c>
      <c r="AV573" s="1868">
        <v>7.50082</v>
      </c>
      <c r="AW573" s="1868">
        <v>7.6940100000000005</v>
      </c>
      <c r="AX573" s="1868">
        <v>6.9667600000000007</v>
      </c>
      <c r="AY573" s="1868">
        <v>7.6945699999999997</v>
      </c>
      <c r="AZ573" s="1868">
        <v>7.7320000000000002</v>
      </c>
      <c r="BA573" s="1868">
        <v>10.68829</v>
      </c>
    </row>
    <row r="574" spans="1:53">
      <c r="A574" s="1865" t="str">
        <f t="shared" si="8"/>
        <v>Eastern AfricaSeed cotton</v>
      </c>
      <c r="B574" s="1866" t="s">
        <v>1416</v>
      </c>
      <c r="C574" s="1866" t="s">
        <v>1397</v>
      </c>
      <c r="D574" s="1868">
        <v>0.31719000000000003</v>
      </c>
      <c r="E574" s="1868">
        <v>0.27842</v>
      </c>
      <c r="F574" s="1868">
        <v>0.32173000000000002</v>
      </c>
      <c r="G574" s="1868">
        <v>0.34581999999999996</v>
      </c>
      <c r="H574" s="1868">
        <v>0.33552999999999999</v>
      </c>
      <c r="I574" s="1868">
        <v>0.38264000000000004</v>
      </c>
      <c r="J574" s="1868">
        <v>0.39211999999999997</v>
      </c>
      <c r="K574" s="1868">
        <v>0.35572999999999999</v>
      </c>
      <c r="L574" s="1868">
        <v>0.45653999999999995</v>
      </c>
      <c r="M574" s="1868">
        <v>0.44377</v>
      </c>
      <c r="N574" s="1868">
        <v>0.38635000000000003</v>
      </c>
      <c r="O574" s="1868">
        <v>0.42103000000000002</v>
      </c>
      <c r="P574" s="1868">
        <v>0.38574000000000003</v>
      </c>
      <c r="Q574" s="1868">
        <v>0.53266000000000002</v>
      </c>
      <c r="R574" s="1868">
        <v>0.45501999999999998</v>
      </c>
      <c r="S574" s="1868">
        <v>0.46348</v>
      </c>
      <c r="T574" s="1868">
        <v>0.46118999999999999</v>
      </c>
      <c r="U574" s="1868">
        <v>0.37818000000000002</v>
      </c>
      <c r="V574" s="1868">
        <v>0.4461</v>
      </c>
      <c r="W574" s="1868">
        <v>0.48799999999999999</v>
      </c>
      <c r="X574" s="1868">
        <v>0.55363999999999991</v>
      </c>
      <c r="Y574" s="1868">
        <v>0.50107000000000002</v>
      </c>
      <c r="Z574" s="1868">
        <v>0.44273999999999997</v>
      </c>
      <c r="AA574" s="1868">
        <v>0.52491999999999994</v>
      </c>
      <c r="AB574" s="1868">
        <v>0.54526000000000008</v>
      </c>
      <c r="AC574" s="1868">
        <v>0.58457999999999999</v>
      </c>
      <c r="AD574" s="1868">
        <v>0.56786999999999999</v>
      </c>
      <c r="AE574" s="1868">
        <v>0.65437000000000001</v>
      </c>
      <c r="AF574" s="1868">
        <v>0.58378999999999992</v>
      </c>
      <c r="AG574" s="1868">
        <v>0.56551000000000007</v>
      </c>
      <c r="AH574" s="1868">
        <v>0.59026999999999996</v>
      </c>
      <c r="AI574" s="1868">
        <v>0.47225</v>
      </c>
      <c r="AJ574" s="1868">
        <v>0.53034999999999999</v>
      </c>
      <c r="AK574" s="1868">
        <v>0.55811999999999995</v>
      </c>
      <c r="AL574" s="1868">
        <v>0.60956999999999995</v>
      </c>
      <c r="AM574" s="1868">
        <v>0.71956999999999993</v>
      </c>
      <c r="AN574" s="1868">
        <v>0.65696999999999994</v>
      </c>
      <c r="AO574" s="1868">
        <v>0.66028999999999993</v>
      </c>
      <c r="AP574" s="1868">
        <v>0.69421999999999995</v>
      </c>
      <c r="AQ574" s="1868">
        <v>0.65556000000000003</v>
      </c>
      <c r="AR574" s="1868">
        <v>0.61587999999999998</v>
      </c>
      <c r="AS574" s="1868">
        <v>0.51638000000000006</v>
      </c>
      <c r="AT574" s="1868">
        <v>0.58694000000000002</v>
      </c>
      <c r="AU574" s="1868">
        <v>0.73902999999999996</v>
      </c>
      <c r="AV574" s="1868">
        <v>0.66669999999999996</v>
      </c>
      <c r="AW574" s="1868">
        <v>0.66061999999999999</v>
      </c>
      <c r="AX574" s="1868">
        <v>0.69701999999999997</v>
      </c>
      <c r="AY574" s="1868">
        <v>0.76396999999999993</v>
      </c>
      <c r="AZ574" s="1868">
        <v>0.69681000000000004</v>
      </c>
      <c r="BA574" s="1868">
        <v>0.69103999999999999</v>
      </c>
    </row>
    <row r="575" spans="1:53">
      <c r="A575" s="1865" t="str">
        <f t="shared" si="8"/>
        <v>Eastern AfricaSesame seed</v>
      </c>
      <c r="B575" s="1866" t="s">
        <v>1416</v>
      </c>
      <c r="C575" s="1866" t="s">
        <v>1345</v>
      </c>
      <c r="D575" s="1868">
        <v>0.35799999999999998</v>
      </c>
      <c r="E575" s="1868">
        <v>0.39077000000000001</v>
      </c>
      <c r="F575" s="1868">
        <v>0.38279000000000002</v>
      </c>
      <c r="G575" s="1868">
        <v>0.3332</v>
      </c>
      <c r="H575" s="1868">
        <v>0.34961999999999999</v>
      </c>
      <c r="I575" s="1868">
        <v>0.35028000000000004</v>
      </c>
      <c r="J575" s="1868">
        <v>0.33996999999999999</v>
      </c>
      <c r="K575" s="1868">
        <v>0.36846999999999996</v>
      </c>
      <c r="L575" s="1868">
        <v>0.39438000000000001</v>
      </c>
      <c r="M575" s="1868">
        <v>0.42368999999999996</v>
      </c>
      <c r="N575" s="1868">
        <v>0.44153999999999999</v>
      </c>
      <c r="O575" s="1868">
        <v>0.45258000000000004</v>
      </c>
      <c r="P575" s="1868">
        <v>0.46016999999999997</v>
      </c>
      <c r="Q575" s="1868">
        <v>0.49881000000000003</v>
      </c>
      <c r="R575" s="1868">
        <v>0.46551999999999999</v>
      </c>
      <c r="S575" s="1868">
        <v>0.50522</v>
      </c>
      <c r="T575" s="1868">
        <v>0.42398999999999998</v>
      </c>
      <c r="U575" s="1868">
        <v>0.40151999999999999</v>
      </c>
      <c r="V575" s="1868">
        <v>0.41347</v>
      </c>
      <c r="W575" s="1868">
        <v>0.41092000000000001</v>
      </c>
      <c r="X575" s="1868">
        <v>0.46616000000000002</v>
      </c>
      <c r="Y575" s="1868">
        <v>0.48223999999999995</v>
      </c>
      <c r="Z575" s="1868">
        <v>0.40345999999999999</v>
      </c>
      <c r="AA575" s="1868">
        <v>0.42661000000000004</v>
      </c>
      <c r="AB575" s="1868">
        <v>0.45123999999999997</v>
      </c>
      <c r="AC575" s="1868">
        <v>0.45351000000000002</v>
      </c>
      <c r="AD575" s="1868">
        <v>0.43206999999999995</v>
      </c>
      <c r="AE575" s="1868">
        <v>0.43036000000000002</v>
      </c>
      <c r="AF575" s="1868">
        <v>0.45606999999999998</v>
      </c>
      <c r="AG575" s="1868">
        <v>0.45833000000000002</v>
      </c>
      <c r="AH575" s="1868">
        <v>0.43157000000000001</v>
      </c>
      <c r="AI575" s="1868">
        <v>0.45584999999999998</v>
      </c>
      <c r="AJ575" s="1868">
        <v>0.41666000000000003</v>
      </c>
      <c r="AK575" s="1868">
        <v>0.41302</v>
      </c>
      <c r="AL575" s="1868">
        <v>0.43313000000000001</v>
      </c>
      <c r="AM575" s="1868">
        <v>0.42221000000000003</v>
      </c>
      <c r="AN575" s="1868">
        <v>0.41961000000000004</v>
      </c>
      <c r="AO575" s="1868">
        <v>0.42698000000000003</v>
      </c>
      <c r="AP575" s="1868">
        <v>0.44883000000000001</v>
      </c>
      <c r="AQ575" s="1868">
        <v>0.44161999999999996</v>
      </c>
      <c r="AR575" s="1868">
        <v>0.45896999999999999</v>
      </c>
      <c r="AS575" s="1868">
        <v>0.48661000000000004</v>
      </c>
      <c r="AT575" s="1868">
        <v>0.47716999999999998</v>
      </c>
      <c r="AU575" s="1868">
        <v>0.53343000000000007</v>
      </c>
      <c r="AV575" s="1868">
        <v>0.57396999999999998</v>
      </c>
      <c r="AW575" s="1868">
        <v>0.61207</v>
      </c>
      <c r="AX575" s="1868">
        <v>0.60397000000000001</v>
      </c>
      <c r="AY575" s="1868">
        <v>0.69168000000000007</v>
      </c>
      <c r="AZ575" s="1868">
        <v>0.6552</v>
      </c>
      <c r="BA575" s="1868">
        <v>0.74506000000000006</v>
      </c>
    </row>
    <row r="576" spans="1:53">
      <c r="A576" s="1865" t="str">
        <f t="shared" si="8"/>
        <v>Eastern AfricaSisal</v>
      </c>
      <c r="B576" s="1866" t="s">
        <v>1416</v>
      </c>
      <c r="C576" s="1866" t="s">
        <v>1398</v>
      </c>
      <c r="D576" s="1868">
        <v>0.84242000000000006</v>
      </c>
      <c r="E576" s="1868">
        <v>0.89002000000000003</v>
      </c>
      <c r="F576" s="1868">
        <v>0.90698999999999996</v>
      </c>
      <c r="G576" s="1868">
        <v>0.93758999999999992</v>
      </c>
      <c r="H576" s="1868">
        <v>0.91736000000000006</v>
      </c>
      <c r="I576" s="1868">
        <v>0.89154</v>
      </c>
      <c r="J576" s="1868">
        <v>0.84217000000000009</v>
      </c>
      <c r="K576" s="1868">
        <v>0.79458000000000006</v>
      </c>
      <c r="L576" s="1868">
        <v>0.82713999999999999</v>
      </c>
      <c r="M576" s="1868">
        <v>0.81462000000000001</v>
      </c>
      <c r="N576" s="1868">
        <v>0.82796000000000003</v>
      </c>
      <c r="O576" s="1868">
        <v>0.75413999999999992</v>
      </c>
      <c r="P576" s="1868">
        <v>0.83707999999999994</v>
      </c>
      <c r="Q576" s="1868">
        <v>0.86851</v>
      </c>
      <c r="R576" s="1868">
        <v>0.75323999999999991</v>
      </c>
      <c r="S576" s="1868">
        <v>0.82427000000000006</v>
      </c>
      <c r="T576" s="1868">
        <v>0.81183000000000005</v>
      </c>
      <c r="U576" s="1868">
        <v>0.66847000000000001</v>
      </c>
      <c r="V576" s="1868">
        <v>0.71104999999999996</v>
      </c>
      <c r="W576" s="1868">
        <v>0.69168000000000007</v>
      </c>
      <c r="X576" s="1868">
        <v>0.68831999999999993</v>
      </c>
      <c r="Y576" s="1868">
        <v>0.75839999999999996</v>
      </c>
      <c r="Z576" s="1868">
        <v>0.69031999999999993</v>
      </c>
      <c r="AA576" s="1868">
        <v>0.74931999999999999</v>
      </c>
      <c r="AB576" s="1868">
        <v>0.74326000000000003</v>
      </c>
      <c r="AC576" s="1868">
        <v>0.66200999999999999</v>
      </c>
      <c r="AD576" s="1868">
        <v>0.65968000000000004</v>
      </c>
      <c r="AE576" s="1868">
        <v>0.82671000000000006</v>
      </c>
      <c r="AF576" s="1868">
        <v>0.77947</v>
      </c>
      <c r="AG576" s="1868">
        <v>0.76670000000000005</v>
      </c>
      <c r="AH576" s="1868">
        <v>0.81594</v>
      </c>
      <c r="AI576" s="1868">
        <v>0.79022000000000003</v>
      </c>
      <c r="AJ576" s="1868">
        <v>0.87744999999999995</v>
      </c>
      <c r="AK576" s="1868">
        <v>0.86672999999999989</v>
      </c>
      <c r="AL576" s="1868">
        <v>0.82096000000000002</v>
      </c>
      <c r="AM576" s="1868">
        <v>0.77418999999999993</v>
      </c>
      <c r="AN576" s="1868">
        <v>0.91437999999999997</v>
      </c>
      <c r="AO576" s="1868">
        <v>0.67233999999999994</v>
      </c>
      <c r="AP576" s="1868">
        <v>0.70938999999999997</v>
      </c>
      <c r="AQ576" s="1868">
        <v>0.67228999999999994</v>
      </c>
      <c r="AR576" s="1868">
        <v>0.69486000000000003</v>
      </c>
      <c r="AS576" s="1868">
        <v>0.77786</v>
      </c>
      <c r="AT576" s="1868">
        <v>0.70994000000000002</v>
      </c>
      <c r="AU576" s="1868">
        <v>0.8589</v>
      </c>
      <c r="AV576" s="1868">
        <v>0.69693000000000005</v>
      </c>
      <c r="AW576" s="1868">
        <v>0.97245000000000004</v>
      </c>
      <c r="AX576" s="1868">
        <v>0.8672200000000001</v>
      </c>
      <c r="AY576" s="1868">
        <v>0.71477000000000002</v>
      </c>
      <c r="AZ576" s="1868">
        <v>0.58567000000000002</v>
      </c>
      <c r="BA576" s="1868">
        <v>0.74553000000000003</v>
      </c>
    </row>
    <row r="577" spans="1:53">
      <c r="A577" s="1865" t="str">
        <f t="shared" si="8"/>
        <v>Eastern AfricaSorghum</v>
      </c>
      <c r="B577" s="1866" t="s">
        <v>1416</v>
      </c>
      <c r="C577" s="1866" t="s">
        <v>1399</v>
      </c>
      <c r="D577" s="1868">
        <v>0.75286000000000008</v>
      </c>
      <c r="E577" s="1868">
        <v>0.79576999999999998</v>
      </c>
      <c r="F577" s="1868">
        <v>0.79173000000000004</v>
      </c>
      <c r="G577" s="1868">
        <v>0.77322000000000002</v>
      </c>
      <c r="H577" s="1868">
        <v>0.77316000000000007</v>
      </c>
      <c r="I577" s="1868">
        <v>0.76112999999999997</v>
      </c>
      <c r="J577" s="1868">
        <v>0.75773999999999997</v>
      </c>
      <c r="K577" s="1868">
        <v>0.70115000000000005</v>
      </c>
      <c r="L577" s="1868">
        <v>0.72370000000000001</v>
      </c>
      <c r="M577" s="1868">
        <v>0.80778000000000005</v>
      </c>
      <c r="N577" s="1868">
        <v>0.80036000000000007</v>
      </c>
      <c r="O577" s="1868">
        <v>0.82533999999999996</v>
      </c>
      <c r="P577" s="1868">
        <v>0.82741000000000009</v>
      </c>
      <c r="Q577" s="1868">
        <v>0.78268000000000004</v>
      </c>
      <c r="R577" s="1868">
        <v>0.78373999999999999</v>
      </c>
      <c r="S577" s="1868">
        <v>0.82372000000000012</v>
      </c>
      <c r="T577" s="1868">
        <v>0.78495000000000004</v>
      </c>
      <c r="U577" s="1868">
        <v>0.79171999999999998</v>
      </c>
      <c r="V577" s="1868">
        <v>0.97824</v>
      </c>
      <c r="W577" s="1868">
        <v>1.01654</v>
      </c>
      <c r="X577" s="1868">
        <v>0.95018999999999998</v>
      </c>
      <c r="Y577" s="1868">
        <v>1.02481</v>
      </c>
      <c r="Z577" s="1868">
        <v>0.98483999999999994</v>
      </c>
      <c r="AA577" s="1868">
        <v>0.88922999999999996</v>
      </c>
      <c r="AB577" s="1868">
        <v>0.8505299999999999</v>
      </c>
      <c r="AC577" s="1868">
        <v>0.89342999999999995</v>
      </c>
      <c r="AD577" s="1868">
        <v>0.87807000000000013</v>
      </c>
      <c r="AE577" s="1868">
        <v>0.86393999999999993</v>
      </c>
      <c r="AF577" s="1868">
        <v>0.94838999999999996</v>
      </c>
      <c r="AG577" s="1868">
        <v>0.97009999999999996</v>
      </c>
      <c r="AH577" s="1868">
        <v>0.91559000000000001</v>
      </c>
      <c r="AI577" s="1868">
        <v>0.79316999999999993</v>
      </c>
      <c r="AJ577" s="1868">
        <v>0.62392999999999998</v>
      </c>
      <c r="AK577" s="1868">
        <v>0.74414999999999998</v>
      </c>
      <c r="AL577" s="1868">
        <v>0.94804999999999995</v>
      </c>
      <c r="AM577" s="1868">
        <v>1.02098</v>
      </c>
      <c r="AN577" s="1868">
        <v>0.94942999999999989</v>
      </c>
      <c r="AO577" s="1868">
        <v>0.93632000000000004</v>
      </c>
      <c r="AP577" s="1868">
        <v>0.9468700000000001</v>
      </c>
      <c r="AQ577" s="1868">
        <v>0.86060000000000003</v>
      </c>
      <c r="AR577" s="1868">
        <v>0.95672000000000013</v>
      </c>
      <c r="AS577" s="1868">
        <v>0.98477999999999988</v>
      </c>
      <c r="AT577" s="1868">
        <v>0.90072999999999992</v>
      </c>
      <c r="AU577" s="1868">
        <v>0.95492999999999995</v>
      </c>
      <c r="AV577" s="1868">
        <v>1.05904</v>
      </c>
      <c r="AW577" s="1868">
        <v>1.0544</v>
      </c>
      <c r="AX577" s="1868">
        <v>1.1439900000000001</v>
      </c>
      <c r="AY577" s="1868">
        <v>1.0124200000000001</v>
      </c>
      <c r="AZ577" s="1868">
        <v>1.07178</v>
      </c>
      <c r="BA577" s="1868">
        <v>1.1232200000000001</v>
      </c>
    </row>
    <row r="578" spans="1:53">
      <c r="A578" s="1865" t="str">
        <f t="shared" si="8"/>
        <v>Eastern AfricaSoybeans</v>
      </c>
      <c r="B578" s="1866" t="s">
        <v>1416</v>
      </c>
      <c r="C578" s="1866" t="s">
        <v>1359</v>
      </c>
      <c r="D578" s="1868">
        <v>0.55347999999999997</v>
      </c>
      <c r="E578" s="1868">
        <v>0.66531000000000007</v>
      </c>
      <c r="F578" s="1868">
        <v>0.59448000000000001</v>
      </c>
      <c r="G578" s="1868">
        <v>0.77490999999999999</v>
      </c>
      <c r="H578" s="1868">
        <v>0.85367000000000004</v>
      </c>
      <c r="I578" s="1868">
        <v>1.40621</v>
      </c>
      <c r="J578" s="1868">
        <v>1.41086</v>
      </c>
      <c r="K578" s="1868">
        <v>1.36772</v>
      </c>
      <c r="L578" s="1868">
        <v>1.15646</v>
      </c>
      <c r="M578" s="1868">
        <v>1.60066</v>
      </c>
      <c r="N578" s="1868">
        <v>1.20743</v>
      </c>
      <c r="O578" s="1868">
        <v>1.33582</v>
      </c>
      <c r="P578" s="1868">
        <v>1.2232299999999998</v>
      </c>
      <c r="Q578" s="1868">
        <v>1.40947</v>
      </c>
      <c r="R578" s="1868">
        <v>1.3848799999999999</v>
      </c>
      <c r="S578" s="1868">
        <v>1.7590299999999999</v>
      </c>
      <c r="T578" s="1868">
        <v>1.5485599999999999</v>
      </c>
      <c r="U578" s="1868">
        <v>2.1341399999999999</v>
      </c>
      <c r="V578" s="1868">
        <v>1.7079099999999998</v>
      </c>
      <c r="W578" s="1868">
        <v>1.6349400000000001</v>
      </c>
      <c r="X578" s="1868">
        <v>1.6306200000000002</v>
      </c>
      <c r="Y578" s="1868">
        <v>1.66988</v>
      </c>
      <c r="Z578" s="1868">
        <v>1.3847200000000002</v>
      </c>
      <c r="AA578" s="1868">
        <v>1.42835</v>
      </c>
      <c r="AB578" s="1868">
        <v>1.62852</v>
      </c>
      <c r="AC578" s="1868">
        <v>1.34114</v>
      </c>
      <c r="AD578" s="1868">
        <v>1.57308</v>
      </c>
      <c r="AE578" s="1868">
        <v>1.5814900000000001</v>
      </c>
      <c r="AF578" s="1868">
        <v>1.6576299999999999</v>
      </c>
      <c r="AG578" s="1868">
        <v>1.3480099999999999</v>
      </c>
      <c r="AH578" s="1868">
        <v>1.3299099999999999</v>
      </c>
      <c r="AI578" s="1868">
        <v>0.92605000000000004</v>
      </c>
      <c r="AJ578" s="1868">
        <v>1.28145</v>
      </c>
      <c r="AK578" s="1868">
        <v>1.3614200000000001</v>
      </c>
      <c r="AL578" s="1868">
        <v>1.0394399999999999</v>
      </c>
      <c r="AM578" s="1868">
        <v>1.36497</v>
      </c>
      <c r="AN578" s="1868">
        <v>1.22906</v>
      </c>
      <c r="AO578" s="1868">
        <v>1.25197</v>
      </c>
      <c r="AP578" s="1868">
        <v>1.4117600000000001</v>
      </c>
      <c r="AQ578" s="1868">
        <v>1.3692899999999999</v>
      </c>
      <c r="AR578" s="1868">
        <v>1.3686499999999999</v>
      </c>
      <c r="AS578" s="1868">
        <v>1.0764100000000001</v>
      </c>
      <c r="AT578" s="1868">
        <v>1.0641499999999999</v>
      </c>
      <c r="AU578" s="1868">
        <v>1.0088200000000001</v>
      </c>
      <c r="AV578" s="1868">
        <v>0.94292000000000009</v>
      </c>
      <c r="AW578" s="1868">
        <v>1.0509999999999999</v>
      </c>
      <c r="AX578" s="1868">
        <v>1.1267399999999999</v>
      </c>
      <c r="AY578" s="1868">
        <v>1.1154700000000002</v>
      </c>
      <c r="AZ578" s="1868">
        <v>1.2088000000000001</v>
      </c>
      <c r="BA578" s="1868">
        <v>0.99245000000000005</v>
      </c>
    </row>
    <row r="579" spans="1:53">
      <c r="A579" s="1865" t="str">
        <f t="shared" si="8"/>
        <v>Eastern AfricaStrawberries</v>
      </c>
      <c r="B579" s="1866" t="s">
        <v>1416</v>
      </c>
      <c r="C579" s="1866" t="s">
        <v>1400</v>
      </c>
      <c r="Q579" s="1868">
        <v>11.428570000000001</v>
      </c>
      <c r="R579" s="1868">
        <v>12.5</v>
      </c>
      <c r="S579" s="1868">
        <v>12.5</v>
      </c>
      <c r="T579" s="1868">
        <v>12.5</v>
      </c>
      <c r="U579" s="1868">
        <v>13.333329999999998</v>
      </c>
      <c r="V579" s="1868">
        <v>13.75</v>
      </c>
      <c r="W579" s="1868">
        <v>13.75</v>
      </c>
      <c r="X579" s="1868">
        <v>14.333329999999998</v>
      </c>
      <c r="Y579" s="1868">
        <v>14.722220000000002</v>
      </c>
      <c r="Z579" s="1868">
        <v>13.333329999999998</v>
      </c>
      <c r="AA579" s="1868">
        <v>14</v>
      </c>
      <c r="AB579" s="1868">
        <v>14.705879999999999</v>
      </c>
      <c r="AC579" s="1868">
        <v>15</v>
      </c>
      <c r="AD579" s="1868">
        <v>17</v>
      </c>
      <c r="AE579" s="1868">
        <v>18.5</v>
      </c>
      <c r="AF579" s="1868">
        <v>18.5</v>
      </c>
      <c r="AG579" s="1868">
        <v>11.84615</v>
      </c>
      <c r="AH579" s="1868">
        <v>11.549300000000001</v>
      </c>
      <c r="AI579" s="1868">
        <v>9.9530200000000004</v>
      </c>
      <c r="AJ579" s="1868">
        <v>7.2647100000000009</v>
      </c>
      <c r="AK579" s="1868">
        <v>7.5675699999999999</v>
      </c>
      <c r="AL579" s="1868">
        <v>9.1772200000000002</v>
      </c>
      <c r="AM579" s="1868">
        <v>10.05917</v>
      </c>
      <c r="AN579" s="1868">
        <v>10.142160000000001</v>
      </c>
      <c r="AO579" s="1868">
        <v>11.83562</v>
      </c>
      <c r="AP579" s="1868">
        <v>12.80702</v>
      </c>
      <c r="AQ579" s="1868">
        <v>10.526719999999999</v>
      </c>
      <c r="AR579" s="1868">
        <v>10.376150000000001</v>
      </c>
      <c r="AS579" s="1868">
        <v>8.8181799999999999</v>
      </c>
      <c r="AT579" s="1868">
        <v>8.2016100000000005</v>
      </c>
      <c r="AU579" s="1868">
        <v>9.2184899999999992</v>
      </c>
      <c r="AV579" s="1868">
        <v>8.4628100000000011</v>
      </c>
      <c r="AW579" s="1868">
        <v>8.7016100000000005</v>
      </c>
      <c r="AX579" s="1868">
        <v>7.5416699999999999</v>
      </c>
      <c r="AY579" s="1868">
        <v>9.3361300000000007</v>
      </c>
      <c r="AZ579" s="1868">
        <v>7.6693600000000002</v>
      </c>
      <c r="BA579" s="1868">
        <v>6.9918699999999996</v>
      </c>
    </row>
    <row r="580" spans="1:53">
      <c r="A580" s="1865" t="str">
        <f t="shared" ref="A580:A643" si="9">CONCATENATE(B580,C580)</f>
        <v>Eastern AfricaSugar cane</v>
      </c>
      <c r="B580" s="1866" t="s">
        <v>1416</v>
      </c>
      <c r="C580" s="1866" t="s">
        <v>1401</v>
      </c>
      <c r="D580" s="1868">
        <v>58.044980000000002</v>
      </c>
      <c r="E580" s="1868">
        <v>53.594719999999995</v>
      </c>
      <c r="F580" s="1868">
        <v>60.182159999999996</v>
      </c>
      <c r="G580" s="1868">
        <v>54.545569999999998</v>
      </c>
      <c r="H580" s="1868">
        <v>62.359680000000004</v>
      </c>
      <c r="I580" s="1868">
        <v>57.425780000000003</v>
      </c>
      <c r="J580" s="1868">
        <v>61.364040000000003</v>
      </c>
      <c r="K580" s="1868">
        <v>59.176499999999997</v>
      </c>
      <c r="L580" s="1868">
        <v>63.545310000000001</v>
      </c>
      <c r="M580" s="1868">
        <v>59.133839999999999</v>
      </c>
      <c r="N580" s="1868">
        <v>60.921599999999998</v>
      </c>
      <c r="O580" s="1868">
        <v>63.947590000000005</v>
      </c>
      <c r="P580" s="1868">
        <v>64.558759999999992</v>
      </c>
      <c r="Q580" s="1868">
        <v>63.835880000000003</v>
      </c>
      <c r="R580" s="1868">
        <v>57.055130000000005</v>
      </c>
      <c r="S580" s="1868">
        <v>60.724730000000008</v>
      </c>
      <c r="T580" s="1868">
        <v>64.407229999999998</v>
      </c>
      <c r="U580" s="1868">
        <v>65.579709999999992</v>
      </c>
      <c r="V580" s="1868">
        <v>67.28546</v>
      </c>
      <c r="W580" s="1868">
        <v>64.770560000000003</v>
      </c>
      <c r="X580" s="1868">
        <v>66.290859999999995</v>
      </c>
      <c r="Y580" s="1868">
        <v>69.582880000000003</v>
      </c>
      <c r="Z580" s="1868">
        <v>64.760390000000001</v>
      </c>
      <c r="AA580" s="1868">
        <v>64.874560000000002</v>
      </c>
      <c r="AB580" s="1868">
        <v>62.738069999999993</v>
      </c>
      <c r="AC580" s="1868">
        <v>67.962280000000007</v>
      </c>
      <c r="AD580" s="1868">
        <v>67.916740000000004</v>
      </c>
      <c r="AE580" s="1868">
        <v>67.342190000000002</v>
      </c>
      <c r="AF580" s="1868">
        <v>68.559749999999994</v>
      </c>
      <c r="AG580" s="1868">
        <v>66.569090000000003</v>
      </c>
      <c r="AH580" s="1868">
        <v>68.435450000000003</v>
      </c>
      <c r="AI580" s="1868">
        <v>69.671040000000005</v>
      </c>
      <c r="AJ580" s="1868">
        <v>65.099930000000001</v>
      </c>
      <c r="AK580" s="1868">
        <v>65.466589999999997</v>
      </c>
      <c r="AL580" s="1868">
        <v>69.342259999999996</v>
      </c>
      <c r="AM580" s="1868">
        <v>68.752080000000007</v>
      </c>
      <c r="AN580" s="1868">
        <v>71.944479999999999</v>
      </c>
      <c r="AO580" s="1868">
        <v>72.202849999999998</v>
      </c>
      <c r="AP580" s="1868">
        <v>67.656540000000007</v>
      </c>
      <c r="AQ580" s="1868">
        <v>67.940960000000004</v>
      </c>
      <c r="AR580" s="1868">
        <v>69.059049999999999</v>
      </c>
      <c r="AS580" s="1868">
        <v>60.230380000000004</v>
      </c>
      <c r="AT580" s="1868">
        <v>57.012340000000002</v>
      </c>
      <c r="AU580" s="1868">
        <v>58.657260000000001</v>
      </c>
      <c r="AV580" s="1868">
        <v>54.311930000000004</v>
      </c>
      <c r="AW580" s="1868">
        <v>56.846530000000001</v>
      </c>
      <c r="AX580" s="1868">
        <v>55.343090000000004</v>
      </c>
      <c r="AY580" s="1868">
        <v>55.238609999999994</v>
      </c>
      <c r="AZ580" s="1868">
        <v>57.609319999999997</v>
      </c>
      <c r="BA580" s="1868">
        <v>53.943419999999996</v>
      </c>
    </row>
    <row r="581" spans="1:53">
      <c r="A581" s="1865" t="str">
        <f t="shared" si="9"/>
        <v>Eastern AfricaSunflower seed</v>
      </c>
      <c r="B581" s="1866" t="s">
        <v>1416</v>
      </c>
      <c r="C581" s="1866" t="s">
        <v>1402</v>
      </c>
      <c r="D581" s="1868">
        <v>0.37008000000000002</v>
      </c>
      <c r="E581" s="1868">
        <v>0.36612</v>
      </c>
      <c r="F581" s="1868">
        <v>0.38277</v>
      </c>
      <c r="G581" s="1868">
        <v>0.42378999999999994</v>
      </c>
      <c r="H581" s="1868">
        <v>0.35559000000000002</v>
      </c>
      <c r="I581" s="1868">
        <v>0.38270999999999999</v>
      </c>
      <c r="J581" s="1868">
        <v>0.43635000000000002</v>
      </c>
      <c r="K581" s="1868">
        <v>0.47926999999999997</v>
      </c>
      <c r="L581" s="1868">
        <v>0.45496000000000003</v>
      </c>
      <c r="M581" s="1868">
        <v>0.48581000000000002</v>
      </c>
      <c r="N581" s="1868">
        <v>0.50333000000000006</v>
      </c>
      <c r="O581" s="1868">
        <v>0.57751000000000008</v>
      </c>
      <c r="P581" s="1868">
        <v>0.51254999999999995</v>
      </c>
      <c r="Q581" s="1868">
        <v>0.54237000000000002</v>
      </c>
      <c r="R581" s="1868">
        <v>0.55086000000000002</v>
      </c>
      <c r="S581" s="1868">
        <v>0.64086999999999994</v>
      </c>
      <c r="T581" s="1868">
        <v>0.62276000000000009</v>
      </c>
      <c r="U581" s="1868">
        <v>0.58211999999999997</v>
      </c>
      <c r="V581" s="1868">
        <v>0.57279999999999998</v>
      </c>
      <c r="W581" s="1868">
        <v>0.67925000000000002</v>
      </c>
      <c r="X581" s="1868">
        <v>0.57472999999999996</v>
      </c>
      <c r="Y581" s="1868">
        <v>0.58796000000000004</v>
      </c>
      <c r="Z581" s="1868">
        <v>0.60445000000000004</v>
      </c>
      <c r="AA581" s="1868">
        <v>0.54910999999999999</v>
      </c>
      <c r="AB581" s="1868">
        <v>0.57750000000000001</v>
      </c>
      <c r="AC581" s="1868">
        <v>0.56130000000000002</v>
      </c>
      <c r="AD581" s="1868">
        <v>0.52648000000000006</v>
      </c>
      <c r="AE581" s="1868">
        <v>0.57403000000000004</v>
      </c>
      <c r="AF581" s="1868">
        <v>0.4662</v>
      </c>
      <c r="AG581" s="1868">
        <v>0.56928000000000001</v>
      </c>
      <c r="AH581" s="1868">
        <v>0.52116000000000007</v>
      </c>
      <c r="AI581" s="1868">
        <v>0.40759000000000001</v>
      </c>
      <c r="AJ581" s="1868">
        <v>0.53776000000000002</v>
      </c>
      <c r="AK581" s="1868">
        <v>0.49413000000000001</v>
      </c>
      <c r="AL581" s="1868">
        <v>0.38988</v>
      </c>
      <c r="AM581" s="1868">
        <v>0.54411999999999994</v>
      </c>
      <c r="AN581" s="1868">
        <v>0.53922000000000003</v>
      </c>
      <c r="AO581" s="1868">
        <v>0.55079999999999996</v>
      </c>
      <c r="AP581" s="1868">
        <v>0.58916000000000002</v>
      </c>
      <c r="AQ581" s="1868">
        <v>0.64356000000000002</v>
      </c>
      <c r="AR581" s="1868">
        <v>0.73223000000000005</v>
      </c>
      <c r="AS581" s="1868">
        <v>0.74895</v>
      </c>
      <c r="AT581" s="1868">
        <v>0.85927000000000009</v>
      </c>
      <c r="AU581" s="1868">
        <v>0.75206000000000006</v>
      </c>
      <c r="AV581" s="1868">
        <v>0.79471999999999998</v>
      </c>
      <c r="AW581" s="1868">
        <v>0.73976000000000008</v>
      </c>
      <c r="AX581" s="1868">
        <v>0.74881000000000009</v>
      </c>
      <c r="AY581" s="1868">
        <v>0.79863000000000006</v>
      </c>
      <c r="AZ581" s="1868">
        <v>0.75836000000000003</v>
      </c>
      <c r="BA581" s="1868">
        <v>0.81423000000000001</v>
      </c>
    </row>
    <row r="582" spans="1:53">
      <c r="A582" s="1865" t="str">
        <f t="shared" si="9"/>
        <v>Eastern AfricaSweet potatoes</v>
      </c>
      <c r="B582" s="1866" t="s">
        <v>1416</v>
      </c>
      <c r="C582" s="1866" t="s">
        <v>1403</v>
      </c>
      <c r="D582" s="1868">
        <v>5.3652600000000001</v>
      </c>
      <c r="E582" s="1868">
        <v>5.4662800000000002</v>
      </c>
      <c r="F582" s="1868">
        <v>5.1038699999999997</v>
      </c>
      <c r="G582" s="1868">
        <v>4.8310300000000002</v>
      </c>
      <c r="H582" s="1868">
        <v>4.8574599999999997</v>
      </c>
      <c r="I582" s="1868">
        <v>5.4495300000000002</v>
      </c>
      <c r="J582" s="1868">
        <v>6.683860000000001</v>
      </c>
      <c r="K582" s="1868">
        <v>6.3977399999999998</v>
      </c>
      <c r="L582" s="1868">
        <v>4.6923699999999995</v>
      </c>
      <c r="M582" s="1868">
        <v>4.66845</v>
      </c>
      <c r="N582" s="1868">
        <v>4.0223100000000001</v>
      </c>
      <c r="O582" s="1868">
        <v>3.5461400000000003</v>
      </c>
      <c r="P582" s="1868">
        <v>4.0573600000000001</v>
      </c>
      <c r="Q582" s="1868">
        <v>4.28775</v>
      </c>
      <c r="R582" s="1868">
        <v>4.3475199999999994</v>
      </c>
      <c r="S582" s="1868">
        <v>4.39764</v>
      </c>
      <c r="T582" s="1868">
        <v>4.4293199999999997</v>
      </c>
      <c r="U582" s="1868">
        <v>4.68187</v>
      </c>
      <c r="V582" s="1868">
        <v>5.3578099999999997</v>
      </c>
      <c r="W582" s="1868">
        <v>5.3806599999999998</v>
      </c>
      <c r="X582" s="1868">
        <v>4.9990399999999999</v>
      </c>
      <c r="Y582" s="1868">
        <v>5.1578599999999994</v>
      </c>
      <c r="Z582" s="1868">
        <v>4.7786099999999996</v>
      </c>
      <c r="AA582" s="1868">
        <v>4.8850699999999998</v>
      </c>
      <c r="AB582" s="1868">
        <v>4.4931099999999997</v>
      </c>
      <c r="AC582" s="1868">
        <v>4.7166199999999998</v>
      </c>
      <c r="AD582" s="1868">
        <v>4.4821499999999999</v>
      </c>
      <c r="AE582" s="1868">
        <v>4.6315</v>
      </c>
      <c r="AF582" s="1868">
        <v>4.3422999999999998</v>
      </c>
      <c r="AG582" s="1868">
        <v>3.9816199999999995</v>
      </c>
      <c r="AH582" s="1868">
        <v>4.3590900000000001</v>
      </c>
      <c r="AI582" s="1868">
        <v>4.3757599999999996</v>
      </c>
      <c r="AJ582" s="1868">
        <v>4.3538300000000003</v>
      </c>
      <c r="AK582" s="1868">
        <v>4.4009300000000007</v>
      </c>
      <c r="AL582" s="1868">
        <v>4.2920400000000001</v>
      </c>
      <c r="AM582" s="1868">
        <v>3.6276199999999998</v>
      </c>
      <c r="AN582" s="1868">
        <v>4.12662</v>
      </c>
      <c r="AO582" s="1868">
        <v>3.9922699999999995</v>
      </c>
      <c r="AP582" s="1868">
        <v>4.6673099999999996</v>
      </c>
      <c r="AQ582" s="1868">
        <v>4.12256</v>
      </c>
      <c r="AR582" s="1868">
        <v>4.4371700000000001</v>
      </c>
      <c r="AS582" s="1868">
        <v>4.9649400000000004</v>
      </c>
      <c r="AT582" s="1868">
        <v>5.2743599999999997</v>
      </c>
      <c r="AU582" s="1868">
        <v>4.8151400000000004</v>
      </c>
      <c r="AV582" s="1868">
        <v>4.9592300000000007</v>
      </c>
      <c r="AW582" s="1868">
        <v>5.0654199999999996</v>
      </c>
      <c r="AX582" s="1868">
        <v>5.1871400000000003</v>
      </c>
      <c r="AY582" s="1868">
        <v>5.21143</v>
      </c>
      <c r="AZ582" s="1868">
        <v>5.1792699999999998</v>
      </c>
      <c r="BA582" s="1868">
        <v>4.87622</v>
      </c>
    </row>
    <row r="583" spans="1:53">
      <c r="A583" s="1865" t="str">
        <f t="shared" si="9"/>
        <v>Eastern AfricaTangerines, mandarins, clem.</v>
      </c>
      <c r="B583" s="1866" t="s">
        <v>1416</v>
      </c>
      <c r="C583" s="1866" t="s">
        <v>1404</v>
      </c>
      <c r="D583" s="1868">
        <v>5</v>
      </c>
      <c r="E583" s="1868">
        <v>5</v>
      </c>
      <c r="F583" s="1868">
        <v>5.05</v>
      </c>
      <c r="G583" s="1868">
        <v>5.0232599999999996</v>
      </c>
      <c r="H583" s="1868">
        <v>5.0222199999999999</v>
      </c>
      <c r="I583" s="1868">
        <v>5.11111</v>
      </c>
      <c r="J583" s="1868">
        <v>5.11111</v>
      </c>
      <c r="K583" s="1868">
        <v>5.11111</v>
      </c>
      <c r="L583" s="1868">
        <v>5.1063800000000006</v>
      </c>
      <c r="M583" s="1868">
        <v>5.1063800000000006</v>
      </c>
      <c r="N583" s="1868">
        <v>5.1020400000000006</v>
      </c>
      <c r="O583" s="1868">
        <v>5.0980400000000001</v>
      </c>
      <c r="P583" s="1868">
        <v>5.0980400000000001</v>
      </c>
      <c r="Q583" s="1868">
        <v>5.1372599999999995</v>
      </c>
      <c r="R583" s="1868">
        <v>5.1372599999999995</v>
      </c>
      <c r="S583" s="1868">
        <v>5.16981</v>
      </c>
      <c r="T583" s="1868">
        <v>5.16981</v>
      </c>
      <c r="U583" s="1868">
        <v>5.2075500000000003</v>
      </c>
      <c r="V583" s="1868">
        <v>5.2075500000000003</v>
      </c>
      <c r="W583" s="1868">
        <v>5.1428599999999998</v>
      </c>
      <c r="X583" s="1868">
        <v>5.1785699999999997</v>
      </c>
      <c r="Y583" s="1868">
        <v>5.1578999999999997</v>
      </c>
      <c r="Z583" s="1868">
        <v>5.2280699999999998</v>
      </c>
      <c r="AA583" s="1868">
        <v>5.2982500000000003</v>
      </c>
      <c r="AB583" s="1868">
        <v>5.3684199999999995</v>
      </c>
      <c r="AC583" s="1868">
        <v>5.4736799999999999</v>
      </c>
      <c r="AD583" s="1868">
        <v>5.5594400000000004</v>
      </c>
      <c r="AE583" s="1868">
        <v>5.6770800000000001</v>
      </c>
      <c r="AF583" s="1868">
        <v>5.7930999999999999</v>
      </c>
      <c r="AG583" s="1868">
        <v>5.7467199999999998</v>
      </c>
      <c r="AH583" s="1868">
        <v>5.6876800000000003</v>
      </c>
      <c r="AI583" s="1868">
        <v>5.0531499999999996</v>
      </c>
      <c r="AJ583" s="1868">
        <v>6.6093899999999994</v>
      </c>
      <c r="AK583" s="1868">
        <v>6.1990800000000004</v>
      </c>
      <c r="AL583" s="1868">
        <v>6.1041499999999997</v>
      </c>
      <c r="AM583" s="1868">
        <v>6.2728900000000003</v>
      </c>
      <c r="AN583" s="1868">
        <v>6.0493899999999998</v>
      </c>
      <c r="AO583" s="1868">
        <v>7.5461800000000006</v>
      </c>
      <c r="AP583" s="1868">
        <v>7.8630699999999996</v>
      </c>
      <c r="AQ583" s="1868">
        <v>7.1780200000000001</v>
      </c>
      <c r="AR583" s="1868">
        <v>6.3214300000000003</v>
      </c>
      <c r="AS583" s="1868">
        <v>6.1139000000000001</v>
      </c>
      <c r="AT583" s="1868">
        <v>6.2566699999999997</v>
      </c>
      <c r="AU583" s="1868">
        <v>6.70913</v>
      </c>
      <c r="AV583" s="1868">
        <v>7.2806499999999996</v>
      </c>
      <c r="AW583" s="1868">
        <v>6.6698600000000008</v>
      </c>
      <c r="AX583" s="1868">
        <v>6.3766300000000005</v>
      </c>
      <c r="AY583" s="1868">
        <v>5.6123799999999999</v>
      </c>
      <c r="AZ583" s="1868">
        <v>5.01363</v>
      </c>
      <c r="BA583" s="1868">
        <v>5.6274600000000001</v>
      </c>
    </row>
    <row r="584" spans="1:53">
      <c r="A584" s="1865" t="str">
        <f t="shared" si="9"/>
        <v>Eastern AfricaTea</v>
      </c>
      <c r="B584" s="1866" t="s">
        <v>1416</v>
      </c>
      <c r="C584" s="1866" t="s">
        <v>1405</v>
      </c>
      <c r="D584" s="1868">
        <v>0.85157999999999989</v>
      </c>
      <c r="E584" s="1868">
        <v>0.84799999999999998</v>
      </c>
      <c r="F584" s="1868">
        <v>0.82912999999999992</v>
      </c>
      <c r="G584" s="1868">
        <v>0.84392000000000011</v>
      </c>
      <c r="H584" s="1868">
        <v>0.8656299999999999</v>
      </c>
      <c r="I584" s="1868">
        <v>1.02359</v>
      </c>
      <c r="J584" s="1868">
        <v>0.97332000000000007</v>
      </c>
      <c r="K584" s="1868">
        <v>1.0299100000000001</v>
      </c>
      <c r="L584" s="1868">
        <v>1.08616</v>
      </c>
      <c r="M584" s="1868">
        <v>1.10755</v>
      </c>
      <c r="N584" s="1868">
        <v>0.98634999999999995</v>
      </c>
      <c r="O584" s="1868">
        <v>1.1750700000000001</v>
      </c>
      <c r="P584" s="1868">
        <v>1.1473200000000001</v>
      </c>
      <c r="Q584" s="1868">
        <v>1.07338</v>
      </c>
      <c r="R584" s="1868">
        <v>1.0574299999999999</v>
      </c>
      <c r="S584" s="1868">
        <v>1.03234</v>
      </c>
      <c r="T584" s="1868">
        <v>1.1983700000000002</v>
      </c>
      <c r="U584" s="1868">
        <v>1.17062</v>
      </c>
      <c r="V584" s="1868">
        <v>1.2717799999999999</v>
      </c>
      <c r="W584" s="1868">
        <v>1.1824399999999999</v>
      </c>
      <c r="X584" s="1868">
        <v>1.2136200000000001</v>
      </c>
      <c r="Y584" s="1868">
        <v>1.30464</v>
      </c>
      <c r="Z584" s="1868">
        <v>1.36226</v>
      </c>
      <c r="AA584" s="1868">
        <v>1.41004</v>
      </c>
      <c r="AB584" s="1868">
        <v>1.6197600000000001</v>
      </c>
      <c r="AC584" s="1868">
        <v>1.5649500000000001</v>
      </c>
      <c r="AD584" s="1868">
        <v>1.6178399999999999</v>
      </c>
      <c r="AE584" s="1868">
        <v>1.6972400000000001</v>
      </c>
      <c r="AF584" s="1868">
        <v>1.8265799999999999</v>
      </c>
      <c r="AG584" s="1868">
        <v>1.7701499999999999</v>
      </c>
      <c r="AH584" s="1868">
        <v>1.6836</v>
      </c>
      <c r="AI584" s="1868">
        <v>1.5458000000000001</v>
      </c>
      <c r="AJ584" s="1868">
        <v>1.7378900000000002</v>
      </c>
      <c r="AK584" s="1868">
        <v>1.6341299999999999</v>
      </c>
      <c r="AL584" s="1868">
        <v>1.7847099999999998</v>
      </c>
      <c r="AM584" s="1868">
        <v>1.8626200000000002</v>
      </c>
      <c r="AN584" s="1868">
        <v>1.67258</v>
      </c>
      <c r="AO584" s="1868">
        <v>2.0780400000000001</v>
      </c>
      <c r="AP584" s="1868">
        <v>1.8752799999999998</v>
      </c>
      <c r="AQ584" s="1868">
        <v>1.84676</v>
      </c>
      <c r="AR584" s="1868">
        <v>2.0800700000000001</v>
      </c>
      <c r="AS584" s="1868">
        <v>1.91934</v>
      </c>
      <c r="AT584" s="1868">
        <v>2.00427</v>
      </c>
      <c r="AU584" s="1868">
        <v>2.10616</v>
      </c>
      <c r="AV584" s="1868">
        <v>2.0511699999999999</v>
      </c>
      <c r="AW584" s="1868">
        <v>1.9407099999999999</v>
      </c>
      <c r="AX584" s="1868">
        <v>2.2235299999999998</v>
      </c>
      <c r="AY584" s="1868">
        <v>2.0141800000000001</v>
      </c>
      <c r="AZ584" s="1868">
        <v>1.9069200000000002</v>
      </c>
      <c r="BA584" s="1868">
        <v>2.11985</v>
      </c>
    </row>
    <row r="585" spans="1:53">
      <c r="A585" s="1865" t="str">
        <f t="shared" si="9"/>
        <v>Eastern AfricaTobacco, unmanufactured</v>
      </c>
      <c r="B585" s="1866" t="s">
        <v>1416</v>
      </c>
      <c r="C585" s="1866" t="s">
        <v>1347</v>
      </c>
      <c r="D585" s="1868">
        <v>0.8387</v>
      </c>
      <c r="E585" s="1868">
        <v>0.81838</v>
      </c>
      <c r="F585" s="1868">
        <v>0.62512000000000001</v>
      </c>
      <c r="G585" s="1868">
        <v>0.98047000000000006</v>
      </c>
      <c r="H585" s="1868">
        <v>0.83982000000000012</v>
      </c>
      <c r="I585" s="1868">
        <v>1.09483</v>
      </c>
      <c r="J585" s="1868">
        <v>0.97928999999999999</v>
      </c>
      <c r="K585" s="1868">
        <v>0.79444999999999999</v>
      </c>
      <c r="L585" s="1868">
        <v>1.2094499999999999</v>
      </c>
      <c r="M585" s="1868">
        <v>0.81443999999999994</v>
      </c>
      <c r="N585" s="1868">
        <v>0.91633999999999993</v>
      </c>
      <c r="O585" s="1868">
        <v>0.87237999999999993</v>
      </c>
      <c r="P585" s="1868">
        <v>0.93042999999999998</v>
      </c>
      <c r="Q585" s="1868">
        <v>0.86275000000000002</v>
      </c>
      <c r="R585" s="1868">
        <v>0.92908999999999997</v>
      </c>
      <c r="S585" s="1868">
        <v>1.0279100000000001</v>
      </c>
      <c r="T585" s="1868">
        <v>0.97278999999999993</v>
      </c>
      <c r="U585" s="1868">
        <v>0.90722000000000003</v>
      </c>
      <c r="V585" s="1868">
        <v>1.0539799999999999</v>
      </c>
      <c r="W585" s="1868">
        <v>1.1955200000000001</v>
      </c>
      <c r="X585" s="1868">
        <v>1.0437799999999999</v>
      </c>
      <c r="Y585" s="1868">
        <v>1.16038</v>
      </c>
      <c r="Z585" s="1868">
        <v>1.0422400000000001</v>
      </c>
      <c r="AA585" s="1868">
        <v>1.2280599999999999</v>
      </c>
      <c r="AB585" s="1868">
        <v>1.0948200000000001</v>
      </c>
      <c r="AC585" s="1868">
        <v>1.0926899999999999</v>
      </c>
      <c r="AD585" s="1868">
        <v>1.13022</v>
      </c>
      <c r="AE585" s="1868">
        <v>1.15818</v>
      </c>
      <c r="AF585" s="1868">
        <v>1.3086200000000001</v>
      </c>
      <c r="AG585" s="1868">
        <v>1.3233700000000002</v>
      </c>
      <c r="AH585" s="1868">
        <v>1.37151</v>
      </c>
      <c r="AI585" s="1868">
        <v>1.3332700000000002</v>
      </c>
      <c r="AJ585" s="1868">
        <v>1.2968600000000001</v>
      </c>
      <c r="AK585" s="1868">
        <v>1.47692</v>
      </c>
      <c r="AL585" s="1868">
        <v>1.50841</v>
      </c>
      <c r="AM585" s="1868">
        <v>1.50851</v>
      </c>
      <c r="AN585" s="1868">
        <v>1.54115</v>
      </c>
      <c r="AO585" s="1868">
        <v>1.60605</v>
      </c>
      <c r="AP585" s="1868">
        <v>1.2321600000000001</v>
      </c>
      <c r="AQ585" s="1868">
        <v>1.35724</v>
      </c>
      <c r="AR585" s="1868">
        <v>1.3116700000000001</v>
      </c>
      <c r="AS585" s="1868">
        <v>1.2672399999999999</v>
      </c>
      <c r="AT585" s="1868">
        <v>1.1450100000000001</v>
      </c>
      <c r="AU585" s="1868">
        <v>1.0889200000000001</v>
      </c>
      <c r="AV585" s="1868">
        <v>1.1502299999999999</v>
      </c>
      <c r="AW585" s="1868">
        <v>1.03915</v>
      </c>
      <c r="AX585" s="1868">
        <v>1.27745</v>
      </c>
      <c r="AY585" s="1868">
        <v>1.07647</v>
      </c>
      <c r="AZ585" s="1868">
        <v>1.16208</v>
      </c>
      <c r="BA585" s="1868">
        <v>1.2730299999999999</v>
      </c>
    </row>
    <row r="586" spans="1:53">
      <c r="A586" s="1865" t="str">
        <f t="shared" si="9"/>
        <v>Eastern AfricaTomatoes</v>
      </c>
      <c r="B586" s="1866" t="s">
        <v>1416</v>
      </c>
      <c r="C586" s="1866" t="s">
        <v>1406</v>
      </c>
      <c r="D586" s="1868">
        <v>9.3589699999999993</v>
      </c>
      <c r="E586" s="1868">
        <v>9.4686500000000002</v>
      </c>
      <c r="F586" s="1868">
        <v>9.4455899999999993</v>
      </c>
      <c r="G586" s="1868">
        <v>9.4830800000000011</v>
      </c>
      <c r="H586" s="1868">
        <v>9.5716699999999992</v>
      </c>
      <c r="I586" s="1868">
        <v>9.7988400000000002</v>
      </c>
      <c r="J586" s="1868">
        <v>10.13608</v>
      </c>
      <c r="K586" s="1868">
        <v>10.141970000000001</v>
      </c>
      <c r="L586" s="1868">
        <v>10.04941</v>
      </c>
      <c r="M586" s="1868">
        <v>9.8927899999999998</v>
      </c>
      <c r="N586" s="1868">
        <v>10.022589999999999</v>
      </c>
      <c r="O586" s="1868">
        <v>10.051489999999999</v>
      </c>
      <c r="P586" s="1868">
        <v>10.32418</v>
      </c>
      <c r="Q586" s="1868">
        <v>10.227819999999999</v>
      </c>
      <c r="R586" s="1868">
        <v>10.006500000000001</v>
      </c>
      <c r="S586" s="1868">
        <v>10.139380000000001</v>
      </c>
      <c r="T586" s="1868">
        <v>9.9885399999999986</v>
      </c>
      <c r="U586" s="1868">
        <v>10.327010000000001</v>
      </c>
      <c r="V586" s="1868">
        <v>10.04585</v>
      </c>
      <c r="W586" s="1868">
        <v>9.8592100000000009</v>
      </c>
      <c r="X586" s="1868">
        <v>9.5815300000000008</v>
      </c>
      <c r="Y586" s="1868">
        <v>9.5232500000000009</v>
      </c>
      <c r="Z586" s="1868">
        <v>7.7666100000000009</v>
      </c>
      <c r="AA586" s="1868">
        <v>7.7920100000000003</v>
      </c>
      <c r="AB586" s="1868">
        <v>8.0456699999999994</v>
      </c>
      <c r="AC586" s="1868">
        <v>8.7279699999999991</v>
      </c>
      <c r="AD586" s="1868">
        <v>9.4152500000000003</v>
      </c>
      <c r="AE586" s="1868">
        <v>9.2534399999999994</v>
      </c>
      <c r="AF586" s="1868">
        <v>9.5570500000000003</v>
      </c>
      <c r="AG586" s="1868">
        <v>9.2864599999999999</v>
      </c>
      <c r="AH586" s="1868">
        <v>9.6445299999999996</v>
      </c>
      <c r="AI586" s="1868">
        <v>10.4215</v>
      </c>
      <c r="AJ586" s="1868">
        <v>10.39649</v>
      </c>
      <c r="AK586" s="1868">
        <v>9.6592899999999986</v>
      </c>
      <c r="AL586" s="1868">
        <v>9.7397899999999993</v>
      </c>
      <c r="AM586" s="1868">
        <v>9.8378199999999989</v>
      </c>
      <c r="AN586" s="1868">
        <v>9.8552400000000002</v>
      </c>
      <c r="AO586" s="1868">
        <v>10.27122</v>
      </c>
      <c r="AP586" s="1868">
        <v>10.475669999999999</v>
      </c>
      <c r="AQ586" s="1868">
        <v>10.636189999999999</v>
      </c>
      <c r="AR586" s="1868">
        <v>10.56277</v>
      </c>
      <c r="AS586" s="1868">
        <v>9.0763100000000012</v>
      </c>
      <c r="AT586" s="1868">
        <v>9.3754600000000003</v>
      </c>
      <c r="AU586" s="1868">
        <v>9.7084600000000005</v>
      </c>
      <c r="AV586" s="1868">
        <v>8.0759899999999991</v>
      </c>
      <c r="AW586" s="1868">
        <v>11.18886</v>
      </c>
      <c r="AX586" s="1868">
        <v>12.29988</v>
      </c>
      <c r="AY586" s="1868">
        <v>10.166639999999999</v>
      </c>
      <c r="AZ586" s="1868">
        <v>11.65002</v>
      </c>
      <c r="BA586" s="1868">
        <v>11.77594</v>
      </c>
    </row>
    <row r="587" spans="1:53">
      <c r="A587" s="1865" t="str">
        <f t="shared" si="9"/>
        <v>Eastern AfricaVegetables fresh nes</v>
      </c>
      <c r="B587" s="1866" t="s">
        <v>1416</v>
      </c>
      <c r="C587" s="1866" t="s">
        <v>1407</v>
      </c>
      <c r="D587" s="1868">
        <v>5.1450500000000003</v>
      </c>
      <c r="E587" s="1868">
        <v>5.1417400000000004</v>
      </c>
      <c r="F587" s="1868">
        <v>5.1494499999999999</v>
      </c>
      <c r="G587" s="1868">
        <v>5.1497800000000007</v>
      </c>
      <c r="H587" s="1868">
        <v>5.1514600000000002</v>
      </c>
      <c r="I587" s="1868">
        <v>5.0562399999999998</v>
      </c>
      <c r="J587" s="1868">
        <v>5.1688099999999997</v>
      </c>
      <c r="K587" s="1868">
        <v>5.1776999999999997</v>
      </c>
      <c r="L587" s="1868">
        <v>5.1862199999999996</v>
      </c>
      <c r="M587" s="1868">
        <v>5.1789399999999999</v>
      </c>
      <c r="N587" s="1868">
        <v>5.21122</v>
      </c>
      <c r="O587" s="1868">
        <v>5.1453899999999999</v>
      </c>
      <c r="P587" s="1868">
        <v>5.1972300000000002</v>
      </c>
      <c r="Q587" s="1868">
        <v>5.2260599999999995</v>
      </c>
      <c r="R587" s="1868">
        <v>5.2751700000000001</v>
      </c>
      <c r="S587" s="1868">
        <v>5.2907400000000004</v>
      </c>
      <c r="T587" s="1868">
        <v>5.3284199999999995</v>
      </c>
      <c r="U587" s="1868">
        <v>5.3351800000000003</v>
      </c>
      <c r="V587" s="1868">
        <v>5.3361900000000002</v>
      </c>
      <c r="W587" s="1868">
        <v>5.3874500000000003</v>
      </c>
      <c r="X587" s="1868">
        <v>5.4769500000000004</v>
      </c>
      <c r="Y587" s="1868">
        <v>5.4594800000000001</v>
      </c>
      <c r="Z587" s="1868">
        <v>5.4242099999999995</v>
      </c>
      <c r="AA587" s="1868">
        <v>5.3996000000000004</v>
      </c>
      <c r="AB587" s="1868">
        <v>5.2975699999999994</v>
      </c>
      <c r="AC587" s="1868">
        <v>5.3925800000000006</v>
      </c>
      <c r="AD587" s="1868">
        <v>5.5111099999999995</v>
      </c>
      <c r="AE587" s="1868">
        <v>5.6425000000000001</v>
      </c>
      <c r="AF587" s="1868">
        <v>5.7976599999999996</v>
      </c>
      <c r="AG587" s="1868">
        <v>5.5065599999999995</v>
      </c>
      <c r="AH587" s="1868">
        <v>5.8635800000000007</v>
      </c>
      <c r="AI587" s="1868">
        <v>5.7044100000000002</v>
      </c>
      <c r="AJ587" s="1868">
        <v>5.8718900000000005</v>
      </c>
      <c r="AK587" s="1868">
        <v>5.4394900000000002</v>
      </c>
      <c r="AL587" s="1868">
        <v>5.96347</v>
      </c>
      <c r="AM587" s="1868">
        <v>5.8753400000000005</v>
      </c>
      <c r="AN587" s="1868">
        <v>5.5765699999999994</v>
      </c>
      <c r="AO587" s="1868">
        <v>5.5524500000000003</v>
      </c>
      <c r="AP587" s="1868">
        <v>5.3955299999999999</v>
      </c>
      <c r="AQ587" s="1868">
        <v>5.8070699999999995</v>
      </c>
      <c r="AR587" s="1868">
        <v>5.7481300000000006</v>
      </c>
      <c r="AS587" s="1868">
        <v>5.2179099999999998</v>
      </c>
      <c r="AT587" s="1868">
        <v>5.9999400000000005</v>
      </c>
      <c r="AU587" s="1868">
        <v>5.3616599999999996</v>
      </c>
      <c r="AV587" s="1868">
        <v>4.4966499999999998</v>
      </c>
      <c r="AW587" s="1868">
        <v>5.1780099999999996</v>
      </c>
      <c r="AX587" s="1868">
        <v>5.72675</v>
      </c>
      <c r="AY587" s="1868">
        <v>5.0636299999999999</v>
      </c>
      <c r="AZ587" s="1868">
        <v>5.0367899999999999</v>
      </c>
      <c r="BA587" s="1868">
        <v>5.0440699999999996</v>
      </c>
    </row>
    <row r="588" spans="1:53">
      <c r="A588" s="1865" t="str">
        <f t="shared" si="9"/>
        <v>Eastern AfricaVetches</v>
      </c>
      <c r="B588" s="1866" t="s">
        <v>1416</v>
      </c>
      <c r="C588" s="1866" t="s">
        <v>1408</v>
      </c>
      <c r="D588" s="1868">
        <v>0.66666999999999998</v>
      </c>
      <c r="E588" s="1868">
        <v>0.66666999999999998</v>
      </c>
      <c r="F588" s="1868">
        <v>0.64516000000000007</v>
      </c>
      <c r="G588" s="1868">
        <v>0.65625</v>
      </c>
      <c r="H588" s="1868">
        <v>0.66666999999999998</v>
      </c>
      <c r="I588" s="1868">
        <v>0.62856999999999996</v>
      </c>
      <c r="J588" s="1868">
        <v>0.62856999999999996</v>
      </c>
      <c r="K588" s="1868">
        <v>0.60606000000000004</v>
      </c>
      <c r="L588" s="1868">
        <v>0.60606000000000004</v>
      </c>
      <c r="M588" s="1868">
        <v>0.60606000000000004</v>
      </c>
      <c r="N588" s="1868">
        <v>0.57142999999999999</v>
      </c>
      <c r="O588" s="1868">
        <v>0.60526000000000002</v>
      </c>
      <c r="P588" s="1868">
        <v>0.625</v>
      </c>
      <c r="Q588" s="1868">
        <v>0.5</v>
      </c>
      <c r="R588" s="1868">
        <v>0.42857000000000001</v>
      </c>
      <c r="S588" s="1868">
        <v>0.52698</v>
      </c>
      <c r="T588" s="1868">
        <v>0.53048000000000006</v>
      </c>
      <c r="U588" s="1868">
        <v>0.66126000000000007</v>
      </c>
      <c r="V588" s="1868">
        <v>0.92661000000000004</v>
      </c>
      <c r="W588" s="1868">
        <v>1.00993</v>
      </c>
      <c r="X588" s="1868">
        <v>0.83616000000000001</v>
      </c>
      <c r="Y588" s="1868">
        <v>0.66188000000000002</v>
      </c>
      <c r="Z588" s="1868">
        <v>1.0447200000000001</v>
      </c>
      <c r="AA588" s="1868">
        <v>0.84462000000000004</v>
      </c>
      <c r="AB588" s="1868">
        <v>0.55410999999999999</v>
      </c>
      <c r="AC588" s="1868">
        <v>0.63753000000000004</v>
      </c>
      <c r="AD588" s="1868">
        <v>0.75339</v>
      </c>
      <c r="AE588" s="1868">
        <v>0.70588000000000006</v>
      </c>
      <c r="AF588" s="1868">
        <v>0.69931999999999994</v>
      </c>
      <c r="AG588" s="1868">
        <v>1.0887799999999999</v>
      </c>
      <c r="AH588" s="1868">
        <v>1.2384299999999999</v>
      </c>
      <c r="AI588" s="1868">
        <v>0.71898000000000006</v>
      </c>
      <c r="AJ588" s="1868">
        <v>0.61061999999999994</v>
      </c>
      <c r="AK588" s="1868">
        <v>0.55358000000000007</v>
      </c>
      <c r="AL588" s="1868">
        <v>0.71768999999999994</v>
      </c>
      <c r="AM588" s="1868">
        <v>0.97747000000000006</v>
      </c>
      <c r="AN588" s="1868">
        <v>1.0925400000000001</v>
      </c>
      <c r="AO588" s="1868">
        <v>0.9230799999999999</v>
      </c>
      <c r="AP588" s="1868">
        <v>0.79603999999999997</v>
      </c>
      <c r="AQ588" s="1868">
        <v>0.89754</v>
      </c>
      <c r="AR588" s="1868">
        <v>0.77803999999999995</v>
      </c>
      <c r="AS588" s="1868">
        <v>0.98468999999999995</v>
      </c>
      <c r="AT588" s="1868">
        <v>0.86668999999999996</v>
      </c>
      <c r="AU588" s="1868">
        <v>0.99147999999999992</v>
      </c>
      <c r="AV588" s="1868">
        <v>1.11615</v>
      </c>
      <c r="AW588" s="1868">
        <v>1.15638</v>
      </c>
      <c r="AX588" s="1868">
        <v>1.45184</v>
      </c>
      <c r="AY588" s="1868">
        <v>1.25844</v>
      </c>
      <c r="AZ588" s="1868">
        <v>1.26275</v>
      </c>
      <c r="BA588" s="1868">
        <v>1.47739</v>
      </c>
    </row>
    <row r="589" spans="1:53">
      <c r="A589" s="1865" t="str">
        <f t="shared" si="9"/>
        <v>Eastern AfricaWheat</v>
      </c>
      <c r="B589" s="1866" t="s">
        <v>1416</v>
      </c>
      <c r="C589" s="1866" t="s">
        <v>1409</v>
      </c>
      <c r="D589" s="1868">
        <v>0.74831999999999999</v>
      </c>
      <c r="E589" s="1868">
        <v>0.73823000000000005</v>
      </c>
      <c r="F589" s="1868">
        <v>0.76271999999999995</v>
      </c>
      <c r="G589" s="1868">
        <v>0.77116000000000007</v>
      </c>
      <c r="H589" s="1868">
        <v>0.81257999999999997</v>
      </c>
      <c r="I589" s="1868">
        <v>0.79257</v>
      </c>
      <c r="J589" s="1868">
        <v>0.81568000000000007</v>
      </c>
      <c r="K589" s="1868">
        <v>0.86891000000000007</v>
      </c>
      <c r="L589" s="1868">
        <v>0.89057000000000008</v>
      </c>
      <c r="M589" s="1868">
        <v>0.89093999999999995</v>
      </c>
      <c r="N589" s="1868">
        <v>0.90987999999999991</v>
      </c>
      <c r="O589" s="1868">
        <v>0.90407000000000004</v>
      </c>
      <c r="P589" s="1868">
        <v>0.96692000000000011</v>
      </c>
      <c r="Q589" s="1868">
        <v>1.0078</v>
      </c>
      <c r="R589" s="1868">
        <v>1.09626</v>
      </c>
      <c r="S589" s="1868">
        <v>1.2645200000000001</v>
      </c>
      <c r="T589" s="1868">
        <v>1.3464100000000001</v>
      </c>
      <c r="U589" s="1868">
        <v>1.2312100000000001</v>
      </c>
      <c r="V589" s="1868">
        <v>1.30592</v>
      </c>
      <c r="W589" s="1868">
        <v>1.39741</v>
      </c>
      <c r="X589" s="1868">
        <v>1.48722</v>
      </c>
      <c r="Y589" s="1868">
        <v>1.3580000000000001</v>
      </c>
      <c r="Z589" s="1868">
        <v>1.50488</v>
      </c>
      <c r="AA589" s="1868">
        <v>1.2440500000000001</v>
      </c>
      <c r="AB589" s="1868">
        <v>1.3705399999999999</v>
      </c>
      <c r="AC589" s="1868">
        <v>1.3616600000000001</v>
      </c>
      <c r="AD589" s="1868">
        <v>1.4460500000000001</v>
      </c>
      <c r="AE589" s="1868">
        <v>1.5061500000000001</v>
      </c>
      <c r="AF589" s="1868">
        <v>1.58253</v>
      </c>
      <c r="AG589" s="1868">
        <v>1.7286999999999999</v>
      </c>
      <c r="AH589" s="1868">
        <v>1.7761499999999999</v>
      </c>
      <c r="AI589" s="1868">
        <v>1.54423</v>
      </c>
      <c r="AJ589" s="1868">
        <v>1.73675</v>
      </c>
      <c r="AK589" s="1868">
        <v>1.4947600000000001</v>
      </c>
      <c r="AL589" s="1868">
        <v>1.4738599999999999</v>
      </c>
      <c r="AM589" s="1868">
        <v>1.4940100000000001</v>
      </c>
      <c r="AN589" s="1868">
        <v>1.5268899999999999</v>
      </c>
      <c r="AO589" s="1868">
        <v>1.58874</v>
      </c>
      <c r="AP589" s="1868">
        <v>1.3705100000000001</v>
      </c>
      <c r="AQ589" s="1868">
        <v>1.3251500000000001</v>
      </c>
      <c r="AR589" s="1868">
        <v>1.52898</v>
      </c>
      <c r="AS589" s="1868">
        <v>1.6542700000000001</v>
      </c>
      <c r="AT589" s="1868">
        <v>1.6114999999999999</v>
      </c>
      <c r="AU589" s="1868">
        <v>1.66645</v>
      </c>
      <c r="AV589" s="1868">
        <v>1.6758299999999999</v>
      </c>
      <c r="AW589" s="1868">
        <v>1.9973599999999998</v>
      </c>
      <c r="AX589" s="1868">
        <v>1.64652</v>
      </c>
      <c r="AY589" s="1868">
        <v>1.8450099999999998</v>
      </c>
      <c r="AZ589" s="1868">
        <v>2.13171</v>
      </c>
      <c r="BA589" s="1868">
        <v>1.9463900000000001</v>
      </c>
    </row>
    <row r="590" spans="1:53">
      <c r="A590" s="1865" t="str">
        <f t="shared" si="9"/>
        <v>Eastern AfricaCereals (Rice Milled Eqv</v>
      </c>
      <c r="B590" s="1866" t="s">
        <v>1416</v>
      </c>
      <c r="C590" s="1866" t="s">
        <v>1410</v>
      </c>
      <c r="D590" s="1868">
        <v>0.84686000000000006</v>
      </c>
      <c r="E590" s="1868">
        <v>0.84840000000000004</v>
      </c>
      <c r="F590" s="1868">
        <v>0.84562000000000004</v>
      </c>
      <c r="G590" s="1868">
        <v>0.85709000000000002</v>
      </c>
      <c r="H590" s="1868">
        <v>0.85404999999999998</v>
      </c>
      <c r="I590" s="1868">
        <v>0.85021000000000002</v>
      </c>
      <c r="J590" s="1868">
        <v>0.92274999999999996</v>
      </c>
      <c r="K590" s="1868">
        <v>0.8716799999999999</v>
      </c>
      <c r="L590" s="1868">
        <v>0.91198999999999997</v>
      </c>
      <c r="M590" s="1868">
        <v>0.88678999999999997</v>
      </c>
      <c r="N590" s="1868">
        <v>0.95304999999999995</v>
      </c>
      <c r="O590" s="1868">
        <v>0.99897000000000002</v>
      </c>
      <c r="P590" s="1868">
        <v>0.96404000000000001</v>
      </c>
      <c r="Q590" s="1868">
        <v>0.99332000000000009</v>
      </c>
      <c r="R590" s="1868">
        <v>1.05914</v>
      </c>
      <c r="S590" s="1868">
        <v>1.15323</v>
      </c>
      <c r="T590" s="1868">
        <v>1.155</v>
      </c>
      <c r="U590" s="1868">
        <v>1.0812299999999999</v>
      </c>
      <c r="V590" s="1868">
        <v>1.12897</v>
      </c>
      <c r="W590" s="1868">
        <v>1.1376899999999999</v>
      </c>
      <c r="X590" s="1868">
        <v>1.2042299999999999</v>
      </c>
      <c r="Y590" s="1868">
        <v>1.1910700000000001</v>
      </c>
      <c r="Z590" s="1868">
        <v>1.18354</v>
      </c>
      <c r="AA590" s="1868">
        <v>1.0808200000000001</v>
      </c>
      <c r="AB590" s="1868">
        <v>1.2019899999999999</v>
      </c>
      <c r="AC590" s="1868">
        <v>1.18197</v>
      </c>
      <c r="AD590" s="1868">
        <v>1.12592</v>
      </c>
      <c r="AE590" s="1868">
        <v>1.27118</v>
      </c>
      <c r="AF590" s="1868">
        <v>1.2771600000000001</v>
      </c>
      <c r="AG590" s="1868">
        <v>1.2476100000000001</v>
      </c>
      <c r="AH590" s="1868">
        <v>1.2231799999999999</v>
      </c>
      <c r="AI590" s="1868">
        <v>1.00728</v>
      </c>
      <c r="AJ590" s="1868">
        <v>1.2060200000000001</v>
      </c>
      <c r="AK590" s="1868">
        <v>1.13025</v>
      </c>
      <c r="AL590" s="1868">
        <v>1.1586799999999999</v>
      </c>
      <c r="AM590" s="1868">
        <v>1.27864</v>
      </c>
      <c r="AN590" s="1868">
        <v>1.1621700000000001</v>
      </c>
      <c r="AO590" s="1868">
        <v>1.16577</v>
      </c>
      <c r="AP590" s="1868">
        <v>1.2579400000000001</v>
      </c>
      <c r="AQ590" s="1868">
        <v>1.23522</v>
      </c>
      <c r="AR590" s="1868">
        <v>1.3012299999999999</v>
      </c>
      <c r="AS590" s="1868">
        <v>1.2848600000000001</v>
      </c>
      <c r="AT590" s="1868">
        <v>1.10436</v>
      </c>
      <c r="AU590" s="1868">
        <v>1.1650399999999999</v>
      </c>
      <c r="AV590" s="1868">
        <v>1.1974</v>
      </c>
      <c r="AW590" s="1868">
        <v>1.3707799999999999</v>
      </c>
      <c r="AX590" s="1868">
        <v>1.38296</v>
      </c>
      <c r="AY590" s="1868">
        <v>1.2638200000000002</v>
      </c>
      <c r="AZ590" s="1868">
        <v>1.4035899999999999</v>
      </c>
      <c r="BA590" s="1868">
        <v>1.5191399999999999</v>
      </c>
    </row>
    <row r="591" spans="1:53">
      <c r="A591" s="1865" t="str">
        <f t="shared" si="9"/>
        <v>Eastern AsiaBananas</v>
      </c>
      <c r="B591" s="1866" t="s">
        <v>1354</v>
      </c>
      <c r="C591" s="1866" t="s">
        <v>1362</v>
      </c>
      <c r="D591" s="1868">
        <v>13.395879999999998</v>
      </c>
      <c r="E591" s="1868">
        <v>12.510589999999999</v>
      </c>
      <c r="F591" s="1868">
        <v>9.3648199999999999</v>
      </c>
      <c r="G591" s="1868">
        <v>15.16901</v>
      </c>
      <c r="H591" s="1868">
        <v>17.008770000000002</v>
      </c>
      <c r="I591" s="1868">
        <v>14.197829999999998</v>
      </c>
      <c r="J591" s="1868">
        <v>14.435510000000001</v>
      </c>
      <c r="K591" s="1868">
        <v>14.1668</v>
      </c>
      <c r="L591" s="1868">
        <v>14.87435</v>
      </c>
      <c r="M591" s="1868">
        <v>12.05115</v>
      </c>
      <c r="N591" s="1868">
        <v>14.798389999999999</v>
      </c>
      <c r="O591" s="1868">
        <v>14.583960000000001</v>
      </c>
      <c r="P591" s="1868">
        <v>17.390220000000003</v>
      </c>
      <c r="Q591" s="1868">
        <v>17.203039999999998</v>
      </c>
      <c r="R591" s="1868">
        <v>15.758710000000001</v>
      </c>
      <c r="S591" s="1868">
        <v>18.464739999999999</v>
      </c>
      <c r="T591" s="1868">
        <v>21.57621</v>
      </c>
      <c r="U591" s="1868">
        <v>18.18655</v>
      </c>
      <c r="V591" s="1868">
        <v>20.249179999999999</v>
      </c>
      <c r="W591" s="1868">
        <v>19.23264</v>
      </c>
      <c r="X591" s="1868">
        <v>17.467140000000001</v>
      </c>
      <c r="Y591" s="1868">
        <v>18.62275</v>
      </c>
      <c r="Z591" s="1868">
        <v>18.162279999999999</v>
      </c>
      <c r="AA591" s="1868">
        <v>17.58878</v>
      </c>
      <c r="AB591" s="1868">
        <v>15.010450000000001</v>
      </c>
      <c r="AC591" s="1868">
        <v>17.617650000000001</v>
      </c>
      <c r="AD591" s="1868">
        <v>13.841089999999999</v>
      </c>
      <c r="AE591" s="1868">
        <v>13.640979999999999</v>
      </c>
      <c r="AF591" s="1868">
        <v>13.44519</v>
      </c>
      <c r="AG591" s="1868">
        <v>14.172599999999999</v>
      </c>
      <c r="AH591" s="1868">
        <v>15.30212</v>
      </c>
      <c r="AI591" s="1868">
        <v>13.809699999999999</v>
      </c>
      <c r="AJ591" s="1868">
        <v>14.183029999999999</v>
      </c>
      <c r="AK591" s="1868">
        <v>19.367470000000001</v>
      </c>
      <c r="AL591" s="1868">
        <v>16.641590000000001</v>
      </c>
      <c r="AM591" s="1868">
        <v>14.7003</v>
      </c>
      <c r="AN591" s="1868">
        <v>16.378250000000001</v>
      </c>
      <c r="AO591" s="1868">
        <v>19.930489999999999</v>
      </c>
      <c r="AP591" s="1868">
        <v>20.811879999999999</v>
      </c>
      <c r="AQ591" s="1868">
        <v>19.90869</v>
      </c>
      <c r="AR591" s="1868">
        <v>21.562170000000002</v>
      </c>
      <c r="AS591" s="1868">
        <v>22.4575</v>
      </c>
      <c r="AT591" s="1868">
        <v>23.106059999999999</v>
      </c>
      <c r="AU591" s="1868">
        <v>22.69134</v>
      </c>
      <c r="AV591" s="1868">
        <v>23.376439999999999</v>
      </c>
      <c r="AW591" s="1868">
        <v>24.050149999999999</v>
      </c>
      <c r="AX591" s="1868">
        <v>25.291799999999999</v>
      </c>
      <c r="AY591" s="1868">
        <v>24.448270000000001</v>
      </c>
      <c r="AZ591" s="1868">
        <v>25.712700000000002</v>
      </c>
      <c r="BA591" s="1868">
        <v>23.795590000000001</v>
      </c>
    </row>
    <row r="592" spans="1:53">
      <c r="A592" s="1865" t="str">
        <f t="shared" si="9"/>
        <v>Eastern AsiaBarley</v>
      </c>
      <c r="B592" s="1866" t="s">
        <v>1354</v>
      </c>
      <c r="C592" s="1866" t="s">
        <v>1363</v>
      </c>
      <c r="D592" s="1868">
        <v>1.5164600000000001</v>
      </c>
      <c r="E592" s="1868">
        <v>1.4288000000000001</v>
      </c>
      <c r="F592" s="1868">
        <v>1.3426200000000001</v>
      </c>
      <c r="G592" s="1868">
        <v>1.5566200000000001</v>
      </c>
      <c r="H592" s="1868">
        <v>1.7909700000000002</v>
      </c>
      <c r="I592" s="1868">
        <v>1.6114700000000002</v>
      </c>
      <c r="J592" s="1868">
        <v>1.89862</v>
      </c>
      <c r="K592" s="1868">
        <v>1.6990700000000001</v>
      </c>
      <c r="L592" s="1868">
        <v>1.6443099999999999</v>
      </c>
      <c r="M592" s="1868">
        <v>1.63815</v>
      </c>
      <c r="N592" s="1868">
        <v>1.7487400000000002</v>
      </c>
      <c r="O592" s="1868">
        <v>1.74258</v>
      </c>
      <c r="P592" s="1868">
        <v>1.48732</v>
      </c>
      <c r="Q592" s="1868">
        <v>1.8168799999999998</v>
      </c>
      <c r="R592" s="1868">
        <v>2.19807</v>
      </c>
      <c r="S592" s="1868">
        <v>2.4066700000000001</v>
      </c>
      <c r="T592" s="1868">
        <v>1.99973</v>
      </c>
      <c r="U592" s="1868">
        <v>2.4684400000000002</v>
      </c>
      <c r="V592" s="1868">
        <v>2.84348</v>
      </c>
      <c r="W592" s="1868">
        <v>2.3581500000000002</v>
      </c>
      <c r="X592" s="1868">
        <v>2.6430500000000001</v>
      </c>
      <c r="Y592" s="1868">
        <v>2.8604099999999999</v>
      </c>
      <c r="Z592" s="1868">
        <v>2.66079</v>
      </c>
      <c r="AA592" s="1868">
        <v>2.8124500000000001</v>
      </c>
      <c r="AB592" s="1868">
        <v>2.7214099999999997</v>
      </c>
      <c r="AC592" s="1868">
        <v>2.4309500000000002</v>
      </c>
      <c r="AD592" s="1868">
        <v>2.8103400000000001</v>
      </c>
      <c r="AE592" s="1868">
        <v>3.05315</v>
      </c>
      <c r="AF592" s="1868">
        <v>2.7095700000000003</v>
      </c>
      <c r="AG592" s="1868">
        <v>2.7987599999999997</v>
      </c>
      <c r="AH592" s="1868">
        <v>2.58988</v>
      </c>
      <c r="AI592" s="1868">
        <v>2.7901099999999999</v>
      </c>
      <c r="AJ592" s="1868">
        <v>2.8015599999999998</v>
      </c>
      <c r="AK592" s="1868">
        <v>2.8454999999999999</v>
      </c>
      <c r="AL592" s="1868">
        <v>2.7035400000000003</v>
      </c>
      <c r="AM592" s="1868">
        <v>2.7775599999999998</v>
      </c>
      <c r="AN592" s="1868">
        <v>2.7305999999999999</v>
      </c>
      <c r="AO592" s="1868">
        <v>2.5039799999999999</v>
      </c>
      <c r="AP592" s="1868">
        <v>2.6103900000000002</v>
      </c>
      <c r="AQ592" s="1868">
        <v>2.5414699999999999</v>
      </c>
      <c r="AR592" s="1868">
        <v>3.7016199999999997</v>
      </c>
      <c r="AS592" s="1868">
        <v>3.5572599999999999</v>
      </c>
      <c r="AT592" s="1868">
        <v>3.4457100000000001</v>
      </c>
      <c r="AU592" s="1868">
        <v>3.9872400000000003</v>
      </c>
      <c r="AV592" s="1868">
        <v>4.0717300000000005</v>
      </c>
      <c r="AW592" s="1868">
        <v>3.7515400000000003</v>
      </c>
      <c r="AX592" s="1868">
        <v>3.53206</v>
      </c>
      <c r="AY592" s="1868">
        <v>3.5139999999999998</v>
      </c>
      <c r="AZ592" s="1868">
        <v>3.5479699999999998</v>
      </c>
      <c r="BA592" s="1868">
        <v>3.6374599999999999</v>
      </c>
    </row>
    <row r="593" spans="1:53">
      <c r="A593" s="1865" t="str">
        <f t="shared" si="9"/>
        <v>Eastern AsiaBeans, dry</v>
      </c>
      <c r="B593" s="1866" t="s">
        <v>1354</v>
      </c>
      <c r="C593" s="1866" t="s">
        <v>1364</v>
      </c>
      <c r="D593" s="1868">
        <v>0.72116000000000002</v>
      </c>
      <c r="E593" s="1868">
        <v>0.82191000000000003</v>
      </c>
      <c r="F593" s="1868">
        <v>0.79281999999999997</v>
      </c>
      <c r="G593" s="1868">
        <v>0.79135</v>
      </c>
      <c r="H593" s="1868">
        <v>0.83163999999999993</v>
      </c>
      <c r="I593" s="1868">
        <v>0.71251999999999993</v>
      </c>
      <c r="J593" s="1868">
        <v>0.74812000000000001</v>
      </c>
      <c r="K593" s="1868">
        <v>0.70063999999999993</v>
      </c>
      <c r="L593" s="1868">
        <v>0.72138999999999998</v>
      </c>
      <c r="M593" s="1868">
        <v>0.83972000000000002</v>
      </c>
      <c r="N593" s="1868">
        <v>0.85322999999999993</v>
      </c>
      <c r="O593" s="1868">
        <v>0.90334999999999999</v>
      </c>
      <c r="P593" s="1868">
        <v>0.94494999999999996</v>
      </c>
      <c r="Q593" s="1868">
        <v>0.98658999999999997</v>
      </c>
      <c r="R593" s="1868">
        <v>0.97357999999999989</v>
      </c>
      <c r="S593" s="1868">
        <v>0.9600200000000001</v>
      </c>
      <c r="T593" s="1868">
        <v>0.95912999999999993</v>
      </c>
      <c r="U593" s="1868">
        <v>1.09154</v>
      </c>
      <c r="V593" s="1868">
        <v>1.00088</v>
      </c>
      <c r="W593" s="1868">
        <v>0.98806000000000005</v>
      </c>
      <c r="X593" s="1868">
        <v>0.98752999999999991</v>
      </c>
      <c r="Y593" s="1868">
        <v>1.10443</v>
      </c>
      <c r="Z593" s="1868">
        <v>1.0765899999999999</v>
      </c>
      <c r="AA593" s="1868">
        <v>1.16964</v>
      </c>
      <c r="AB593" s="1868">
        <v>1.1190899999999999</v>
      </c>
      <c r="AC593" s="1868">
        <v>1.06382</v>
      </c>
      <c r="AD593" s="1868">
        <v>1.0360200000000002</v>
      </c>
      <c r="AE593" s="1868">
        <v>1.2228700000000001</v>
      </c>
      <c r="AF593" s="1868">
        <v>1.01867</v>
      </c>
      <c r="AG593" s="1868">
        <v>1.3817900000000001</v>
      </c>
      <c r="AH593" s="1868">
        <v>1.01895</v>
      </c>
      <c r="AI593" s="1868">
        <v>0.97068999999999994</v>
      </c>
      <c r="AJ593" s="1868">
        <v>1.02319</v>
      </c>
      <c r="AK593" s="1868">
        <v>1.0544799999999999</v>
      </c>
      <c r="AL593" s="1868">
        <v>1.0885</v>
      </c>
      <c r="AM593" s="1868">
        <v>1.2071000000000001</v>
      </c>
      <c r="AN593" s="1868">
        <v>1.1801900000000001</v>
      </c>
      <c r="AO593" s="1868">
        <v>1.2335399999999999</v>
      </c>
      <c r="AP593" s="1868">
        <v>1.3441399999999999</v>
      </c>
      <c r="AQ593" s="1868">
        <v>1.27738</v>
      </c>
      <c r="AR593" s="1868">
        <v>1.25997</v>
      </c>
      <c r="AS593" s="1868">
        <v>1.3332600000000001</v>
      </c>
      <c r="AT593" s="1868">
        <v>1.42553</v>
      </c>
      <c r="AU593" s="1868">
        <v>1.4092799999999999</v>
      </c>
      <c r="AV593" s="1868">
        <v>1.3598600000000001</v>
      </c>
      <c r="AW593" s="1868">
        <v>1.4931099999999999</v>
      </c>
      <c r="AX593" s="1868">
        <v>1.4198899999999999</v>
      </c>
      <c r="AY593" s="1868">
        <v>1.55942</v>
      </c>
      <c r="AZ593" s="1868">
        <v>1.49122</v>
      </c>
      <c r="BA593" s="1868">
        <v>1.48959</v>
      </c>
    </row>
    <row r="594" spans="1:53">
      <c r="A594" s="1865" t="str">
        <f t="shared" si="9"/>
        <v>Eastern AsiaBeans, green</v>
      </c>
      <c r="B594" s="1866" t="s">
        <v>1354</v>
      </c>
      <c r="C594" s="1866" t="s">
        <v>1365</v>
      </c>
      <c r="D594" s="1868">
        <v>7.912939999999999</v>
      </c>
      <c r="E594" s="1868">
        <v>8.0147200000000005</v>
      </c>
      <c r="F594" s="1868">
        <v>7.7450100000000006</v>
      </c>
      <c r="G594" s="1868">
        <v>7.6448399999999994</v>
      </c>
      <c r="H594" s="1868">
        <v>7.6511500000000003</v>
      </c>
      <c r="I594" s="1868">
        <v>7.7044399999999991</v>
      </c>
      <c r="J594" s="1868">
        <v>7.7088899999999994</v>
      </c>
      <c r="K594" s="1868">
        <v>7.4920100000000005</v>
      </c>
      <c r="L594" s="1868">
        <v>7.4396800000000001</v>
      </c>
      <c r="M594" s="1868">
        <v>7.2926000000000002</v>
      </c>
      <c r="N594" s="1868">
        <v>7.1470500000000001</v>
      </c>
      <c r="O594" s="1868">
        <v>7.4181800000000004</v>
      </c>
      <c r="P594" s="1868">
        <v>7.6608800000000006</v>
      </c>
      <c r="Q594" s="1868">
        <v>7.7054800000000006</v>
      </c>
      <c r="R594" s="1868">
        <v>7.7511899999999994</v>
      </c>
      <c r="S594" s="1868">
        <v>7.8683600000000009</v>
      </c>
      <c r="T594" s="1868">
        <v>7.8464399999999994</v>
      </c>
      <c r="U594" s="1868">
        <v>8.4148800000000001</v>
      </c>
      <c r="V594" s="1868">
        <v>9.0144399999999987</v>
      </c>
      <c r="W594" s="1868">
        <v>10.092189999999999</v>
      </c>
      <c r="X594" s="1868">
        <v>9.4721899999999994</v>
      </c>
      <c r="Y594" s="1868">
        <v>9.5842899999999993</v>
      </c>
      <c r="Z594" s="1868">
        <v>9.1046999999999993</v>
      </c>
      <c r="AA594" s="1868">
        <v>9.5093199999999989</v>
      </c>
      <c r="AB594" s="1868">
        <v>9.7513500000000004</v>
      </c>
      <c r="AC594" s="1868">
        <v>8.6381499999999996</v>
      </c>
      <c r="AD594" s="1868">
        <v>8.2359799999999996</v>
      </c>
      <c r="AE594" s="1868">
        <v>8.81738</v>
      </c>
      <c r="AF594" s="1868">
        <v>9.2735099999999999</v>
      </c>
      <c r="AG594" s="1868">
        <v>9.3116699999999994</v>
      </c>
      <c r="AH594" s="1868">
        <v>9.8210499999999996</v>
      </c>
      <c r="AI594" s="1868">
        <v>10.21205</v>
      </c>
      <c r="AJ594" s="1868">
        <v>13.895629999999999</v>
      </c>
      <c r="AK594" s="1868">
        <v>13.930429999999999</v>
      </c>
      <c r="AL594" s="1868">
        <v>15.58591</v>
      </c>
      <c r="AM594" s="1868">
        <v>15.864189999999999</v>
      </c>
      <c r="AN594" s="1868">
        <v>16.012350000000001</v>
      </c>
      <c r="AO594" s="1868">
        <v>15.82499</v>
      </c>
      <c r="AP594" s="1868">
        <v>16.29421</v>
      </c>
      <c r="AQ594" s="1868">
        <v>15.126079999999998</v>
      </c>
      <c r="AR594" s="1868">
        <v>15.794689999999999</v>
      </c>
      <c r="AS594" s="1868">
        <v>16.277000000000001</v>
      </c>
      <c r="AT594" s="1868">
        <v>17.81118</v>
      </c>
      <c r="AU594" s="1868">
        <v>18.3354</v>
      </c>
      <c r="AV594" s="1868">
        <v>20.511610000000001</v>
      </c>
      <c r="AW594" s="1868">
        <v>22.464320000000001</v>
      </c>
      <c r="AX594" s="1868">
        <v>23.539639999999999</v>
      </c>
      <c r="AY594" s="1868">
        <v>24.376059999999999</v>
      </c>
      <c r="AZ594" s="1868">
        <v>25.247339999999998</v>
      </c>
      <c r="BA594" s="1868">
        <v>23.994529999999997</v>
      </c>
    </row>
    <row r="595" spans="1:53">
      <c r="A595" s="1865" t="str">
        <f t="shared" si="9"/>
        <v>Eastern AsiaCarrots and turnips</v>
      </c>
      <c r="B595" s="1866" t="s">
        <v>1354</v>
      </c>
      <c r="C595" s="1866" t="s">
        <v>1366</v>
      </c>
      <c r="D595" s="1868">
        <v>12.862019999999999</v>
      </c>
      <c r="E595" s="1868">
        <v>13.375539999999999</v>
      </c>
      <c r="F595" s="1868">
        <v>13.96895</v>
      </c>
      <c r="G595" s="1868">
        <v>13.66344</v>
      </c>
      <c r="H595" s="1868">
        <v>13.609639999999999</v>
      </c>
      <c r="I595" s="1868">
        <v>14.261670000000001</v>
      </c>
      <c r="J595" s="1868">
        <v>14.34886</v>
      </c>
      <c r="K595" s="1868">
        <v>15.043010000000001</v>
      </c>
      <c r="L595" s="1868">
        <v>15.17775</v>
      </c>
      <c r="M595" s="1868">
        <v>15.670210000000001</v>
      </c>
      <c r="N595" s="1868">
        <v>16.05817</v>
      </c>
      <c r="O595" s="1868">
        <v>16.53032</v>
      </c>
      <c r="P595" s="1868">
        <v>16.518039999999999</v>
      </c>
      <c r="Q595" s="1868">
        <v>17.253270000000001</v>
      </c>
      <c r="R595" s="1868">
        <v>17.308689999999999</v>
      </c>
      <c r="S595" s="1868">
        <v>18.163329999999998</v>
      </c>
      <c r="T595" s="1868">
        <v>19.005700000000001</v>
      </c>
      <c r="U595" s="1868">
        <v>19.29795</v>
      </c>
      <c r="V595" s="1868">
        <v>19.978870000000001</v>
      </c>
      <c r="W595" s="1868">
        <v>20.332190000000001</v>
      </c>
      <c r="X595" s="1868">
        <v>20.006250000000001</v>
      </c>
      <c r="Y595" s="1868">
        <v>20.299889999999998</v>
      </c>
      <c r="Z595" s="1868">
        <v>20.724879999999999</v>
      </c>
      <c r="AA595" s="1868">
        <v>21.712870000000002</v>
      </c>
      <c r="AB595" s="1868">
        <v>22.436209999999999</v>
      </c>
      <c r="AC595" s="1868">
        <v>22.5746</v>
      </c>
      <c r="AD595" s="1868">
        <v>22.770210000000002</v>
      </c>
      <c r="AE595" s="1868">
        <v>22.686429999999998</v>
      </c>
      <c r="AF595" s="1868">
        <v>22.985939999999999</v>
      </c>
      <c r="AG595" s="1868">
        <v>22.86195</v>
      </c>
      <c r="AH595" s="1868">
        <v>23.15118</v>
      </c>
      <c r="AI595" s="1868">
        <v>24.173820000000003</v>
      </c>
      <c r="AJ595" s="1868">
        <v>24.03612</v>
      </c>
      <c r="AK595" s="1868">
        <v>23.820180000000001</v>
      </c>
      <c r="AL595" s="1868">
        <v>24.006729999999997</v>
      </c>
      <c r="AM595" s="1868">
        <v>24.119020000000003</v>
      </c>
      <c r="AN595" s="1868">
        <v>21.430060000000001</v>
      </c>
      <c r="AO595" s="1868">
        <v>18.824390000000001</v>
      </c>
      <c r="AP595" s="1868">
        <v>18.76587</v>
      </c>
      <c r="AQ595" s="1868">
        <v>18.87689</v>
      </c>
      <c r="AR595" s="1868">
        <v>18.828499999999998</v>
      </c>
      <c r="AS595" s="1868">
        <v>19.849870000000003</v>
      </c>
      <c r="AT595" s="1868">
        <v>20.922810000000002</v>
      </c>
      <c r="AU595" s="1868">
        <v>20.322110000000002</v>
      </c>
      <c r="AV595" s="1868">
        <v>22.726320000000001</v>
      </c>
      <c r="AW595" s="1868">
        <v>24.907329999999998</v>
      </c>
      <c r="AX595" s="1868">
        <v>27.620140000000003</v>
      </c>
      <c r="AY595" s="1868">
        <v>34.213560000000001</v>
      </c>
      <c r="AZ595" s="1868">
        <v>34.686520000000002</v>
      </c>
      <c r="BA595" s="1868">
        <v>34.037680000000002</v>
      </c>
    </row>
    <row r="596" spans="1:53">
      <c r="A596" s="1865" t="str">
        <f t="shared" si="9"/>
        <v>Eastern AsiaCashew nuts, with shell</v>
      </c>
      <c r="B596" s="1866" t="s">
        <v>1354</v>
      </c>
      <c r="C596" s="1866" t="s">
        <v>1367</v>
      </c>
      <c r="AB596" s="1868">
        <v>0.54166999999999998</v>
      </c>
      <c r="AC596" s="1868">
        <v>0.51428999999999991</v>
      </c>
      <c r="AD596" s="1868">
        <v>0.48749999999999999</v>
      </c>
      <c r="AE596" s="1868">
        <v>0.5</v>
      </c>
      <c r="AF596" s="1868">
        <v>1.5</v>
      </c>
      <c r="AG596" s="1868">
        <v>0.66666999999999998</v>
      </c>
      <c r="AH596" s="1868">
        <v>0.26666999999999996</v>
      </c>
      <c r="AI596" s="1868">
        <v>0.22950999999999999</v>
      </c>
      <c r="AJ596" s="1868">
        <v>0.24285999999999999</v>
      </c>
      <c r="AK596" s="1868">
        <v>0.25</v>
      </c>
      <c r="AL596" s="1868">
        <v>0.18837000000000001</v>
      </c>
      <c r="AM596" s="1868">
        <v>0.24</v>
      </c>
      <c r="AN596" s="1868">
        <v>0.26083000000000001</v>
      </c>
      <c r="AO596" s="1868">
        <v>0.22015999999999999</v>
      </c>
      <c r="AP596" s="1868">
        <v>0.29188999999999998</v>
      </c>
      <c r="AQ596" s="1868">
        <v>0.36843999999999999</v>
      </c>
      <c r="AR596" s="1868">
        <v>0.48608999999999997</v>
      </c>
      <c r="AS596" s="1868">
        <v>0.38406999999999997</v>
      </c>
      <c r="AT596" s="1868">
        <v>0.48320000000000002</v>
      </c>
      <c r="AU596" s="1868">
        <v>0.29333000000000004</v>
      </c>
      <c r="AV596" s="1868">
        <v>0.24374999999999999</v>
      </c>
      <c r="AW596" s="1868">
        <v>0.26124999999999998</v>
      </c>
      <c r="AX596" s="1868">
        <v>0.30688000000000004</v>
      </c>
      <c r="AY596" s="1868">
        <v>0.30303000000000002</v>
      </c>
      <c r="AZ596" s="1868">
        <v>0.36459000000000003</v>
      </c>
      <c r="BA596" s="1868">
        <v>0.4</v>
      </c>
    </row>
    <row r="597" spans="1:53">
      <c r="A597" s="1865" t="str">
        <f t="shared" si="9"/>
        <v>Eastern AsiaCassava</v>
      </c>
      <c r="B597" s="1866" t="s">
        <v>1354</v>
      </c>
      <c r="C597" s="1866" t="s">
        <v>1368</v>
      </c>
      <c r="D597" s="1868">
        <v>12.400460000000001</v>
      </c>
      <c r="E597" s="1868">
        <v>12.23537</v>
      </c>
      <c r="F597" s="1868">
        <v>11.40499</v>
      </c>
      <c r="G597" s="1868">
        <v>11.57199</v>
      </c>
      <c r="H597" s="1868">
        <v>12.5891</v>
      </c>
      <c r="I597" s="1868">
        <v>12.13377</v>
      </c>
      <c r="J597" s="1868">
        <v>12.58629</v>
      </c>
      <c r="K597" s="1868">
        <v>12.354189999999999</v>
      </c>
      <c r="L597" s="1868">
        <v>11.97645</v>
      </c>
      <c r="M597" s="1868">
        <v>11.875</v>
      </c>
      <c r="N597" s="1868">
        <v>12.31606</v>
      </c>
      <c r="O597" s="1868">
        <v>12.305439999999999</v>
      </c>
      <c r="P597" s="1868">
        <v>12.21095</v>
      </c>
      <c r="Q597" s="1868">
        <v>12.275550000000001</v>
      </c>
      <c r="R597" s="1868">
        <v>11.98123</v>
      </c>
      <c r="S597" s="1868">
        <v>12.59308</v>
      </c>
      <c r="T597" s="1868">
        <v>12.40049</v>
      </c>
      <c r="U597" s="1868">
        <v>12.692769999999999</v>
      </c>
      <c r="V597" s="1868">
        <v>14.089589999999999</v>
      </c>
      <c r="W597" s="1868">
        <v>14.619229999999998</v>
      </c>
      <c r="X597" s="1868">
        <v>15.16128</v>
      </c>
      <c r="Y597" s="1868">
        <v>15.278829999999999</v>
      </c>
      <c r="Z597" s="1868">
        <v>15.81049</v>
      </c>
      <c r="AA597" s="1868">
        <v>15.807220000000001</v>
      </c>
      <c r="AB597" s="1868">
        <v>14.995900000000001</v>
      </c>
      <c r="AC597" s="1868">
        <v>15.184760000000001</v>
      </c>
      <c r="AD597" s="1868">
        <v>14.34441</v>
      </c>
      <c r="AE597" s="1868">
        <v>14.13175</v>
      </c>
      <c r="AF597" s="1868">
        <v>14.665820000000002</v>
      </c>
      <c r="AG597" s="1868">
        <v>13.913539999999999</v>
      </c>
      <c r="AH597" s="1868">
        <v>14.409079999999999</v>
      </c>
      <c r="AI597" s="1868">
        <v>14.375079999999999</v>
      </c>
      <c r="AJ597" s="1868">
        <v>14.499829999999999</v>
      </c>
      <c r="AK597" s="1868">
        <v>14.984160000000001</v>
      </c>
      <c r="AL597" s="1868">
        <v>15.73006</v>
      </c>
      <c r="AM597" s="1868">
        <v>14.587339999999999</v>
      </c>
      <c r="AN597" s="1868">
        <v>14.81066</v>
      </c>
      <c r="AO597" s="1868">
        <v>14.661960000000001</v>
      </c>
      <c r="AP597" s="1868">
        <v>15.974689999999999</v>
      </c>
      <c r="AQ597" s="1868">
        <v>15.976050000000001</v>
      </c>
      <c r="AR597" s="1868">
        <v>16.055900000000001</v>
      </c>
      <c r="AS597" s="1868">
        <v>16.821200000000001</v>
      </c>
      <c r="AT597" s="1868">
        <v>16.016400000000001</v>
      </c>
      <c r="AU597" s="1868">
        <v>15.52549</v>
      </c>
      <c r="AV597" s="1868">
        <v>15.400070000000001</v>
      </c>
      <c r="AW597" s="1868">
        <v>16.236470000000001</v>
      </c>
      <c r="AX597" s="1868">
        <v>16.239380000000001</v>
      </c>
      <c r="AY597" s="1868">
        <v>16.296489999999999</v>
      </c>
      <c r="AZ597" s="1868">
        <v>16.357120000000002</v>
      </c>
      <c r="BA597" s="1868">
        <v>16.82169</v>
      </c>
    </row>
    <row r="598" spans="1:53">
      <c r="A598" s="1865" t="str">
        <f t="shared" si="9"/>
        <v>Eastern AsiaCauliflowers and broccoli</v>
      </c>
      <c r="B598" s="1866" t="s">
        <v>1354</v>
      </c>
      <c r="C598" s="1866" t="s">
        <v>1369</v>
      </c>
      <c r="D598" s="1868">
        <v>10.87533</v>
      </c>
      <c r="E598" s="1868">
        <v>11.422930000000001</v>
      </c>
      <c r="F598" s="1868">
        <v>10.12163</v>
      </c>
      <c r="G598" s="1868">
        <v>10.353999999999999</v>
      </c>
      <c r="H598" s="1868">
        <v>10.62383</v>
      </c>
      <c r="I598" s="1868">
        <v>10.83352</v>
      </c>
      <c r="J598" s="1868">
        <v>10.685560000000001</v>
      </c>
      <c r="K598" s="1868">
        <v>11.027010000000001</v>
      </c>
      <c r="L598" s="1868">
        <v>11.040380000000001</v>
      </c>
      <c r="M598" s="1868">
        <v>11.22242</v>
      </c>
      <c r="N598" s="1868">
        <v>11.09605</v>
      </c>
      <c r="O598" s="1868">
        <v>11.50239</v>
      </c>
      <c r="P598" s="1868">
        <v>11.661820000000001</v>
      </c>
      <c r="Q598" s="1868">
        <v>11.956149999999999</v>
      </c>
      <c r="R598" s="1868">
        <v>12.253739999999999</v>
      </c>
      <c r="S598" s="1868">
        <v>12.366910000000001</v>
      </c>
      <c r="T598" s="1868">
        <v>12.518239999999999</v>
      </c>
      <c r="U598" s="1868">
        <v>13.227270000000001</v>
      </c>
      <c r="V598" s="1868">
        <v>13.407420000000002</v>
      </c>
      <c r="W598" s="1868">
        <v>14.145370000000002</v>
      </c>
      <c r="X598" s="1868">
        <v>15.7576</v>
      </c>
      <c r="Y598" s="1868">
        <v>17.152229999999999</v>
      </c>
      <c r="Z598" s="1868">
        <v>18.268910000000002</v>
      </c>
      <c r="AA598" s="1868">
        <v>18.5107</v>
      </c>
      <c r="AB598" s="1868">
        <v>17.766470000000002</v>
      </c>
      <c r="AC598" s="1868">
        <v>18.341670000000001</v>
      </c>
      <c r="AD598" s="1868">
        <v>18.954350000000002</v>
      </c>
      <c r="AE598" s="1868">
        <v>20.286349999999999</v>
      </c>
      <c r="AF598" s="1868">
        <v>20.10228</v>
      </c>
      <c r="AG598" s="1868">
        <v>21.576740000000001</v>
      </c>
      <c r="AH598" s="1868">
        <v>22.661439999999999</v>
      </c>
      <c r="AI598" s="1868">
        <v>24.25667</v>
      </c>
      <c r="AJ598" s="1868">
        <v>24.621729999999999</v>
      </c>
      <c r="AK598" s="1868">
        <v>24.585379999999997</v>
      </c>
      <c r="AL598" s="1868">
        <v>24.521129999999999</v>
      </c>
      <c r="AM598" s="1868">
        <v>23.83944</v>
      </c>
      <c r="AN598" s="1868">
        <v>22.836129999999997</v>
      </c>
      <c r="AO598" s="1868">
        <v>22.35209</v>
      </c>
      <c r="AP598" s="1868">
        <v>21.476970000000001</v>
      </c>
      <c r="AQ598" s="1868">
        <v>22.404050000000002</v>
      </c>
      <c r="AR598" s="1868">
        <v>22.626360000000002</v>
      </c>
      <c r="AS598" s="1868">
        <v>21.333970000000001</v>
      </c>
      <c r="AT598" s="1868">
        <v>22.202400000000001</v>
      </c>
      <c r="AU598" s="1868">
        <v>20.420470000000002</v>
      </c>
      <c r="AV598" s="1868">
        <v>19.999459999999999</v>
      </c>
      <c r="AW598" s="1868">
        <v>20.015970000000003</v>
      </c>
      <c r="AX598" s="1868">
        <v>19.744770000000003</v>
      </c>
      <c r="AY598" s="1868">
        <v>21.663260000000001</v>
      </c>
      <c r="AZ598" s="1868">
        <v>19.85511</v>
      </c>
      <c r="BA598" s="1868">
        <v>19.016159999999999</v>
      </c>
    </row>
    <row r="599" spans="1:53">
      <c r="A599" s="1865" t="str">
        <f t="shared" si="9"/>
        <v>Eastern AsiaCereals, nes</v>
      </c>
      <c r="B599" s="1866" t="s">
        <v>1354</v>
      </c>
      <c r="C599" s="1866" t="s">
        <v>1370</v>
      </c>
      <c r="D599" s="1868">
        <v>0.85106000000000004</v>
      </c>
      <c r="E599" s="1868">
        <v>0.70174999999999998</v>
      </c>
      <c r="F599" s="1868">
        <v>0.75675999999999999</v>
      </c>
      <c r="G599" s="1868">
        <v>0.71277000000000001</v>
      </c>
      <c r="H599" s="1868">
        <v>0.64864999999999995</v>
      </c>
      <c r="I599" s="1868">
        <v>0.92</v>
      </c>
      <c r="J599" s="1868">
        <v>1.0112399999999999</v>
      </c>
      <c r="K599" s="1868">
        <v>1.25</v>
      </c>
      <c r="L599" s="1868">
        <v>1.2541</v>
      </c>
      <c r="M599" s="1868">
        <v>1.2370399999999999</v>
      </c>
      <c r="N599" s="1868">
        <v>1.24</v>
      </c>
      <c r="O599" s="1868">
        <v>1.1299999999999999</v>
      </c>
      <c r="P599" s="1868">
        <v>1.17822</v>
      </c>
      <c r="Q599" s="1868">
        <v>0.9375</v>
      </c>
      <c r="R599" s="1868">
        <v>0.94105000000000005</v>
      </c>
      <c r="S599" s="1868">
        <v>0.81157000000000001</v>
      </c>
      <c r="T599" s="1868">
        <v>0.79830000000000001</v>
      </c>
      <c r="U599" s="1868">
        <v>0.68254999999999999</v>
      </c>
      <c r="V599" s="1868">
        <v>0.62897000000000003</v>
      </c>
      <c r="W599" s="1868">
        <v>0.55613999999999997</v>
      </c>
      <c r="X599" s="1868">
        <v>0.49836000000000003</v>
      </c>
      <c r="Y599" s="1868">
        <v>1.1770399999999999</v>
      </c>
      <c r="Z599" s="1868">
        <v>1.29217</v>
      </c>
      <c r="AA599" s="1868">
        <v>0.72792999999999997</v>
      </c>
      <c r="AB599" s="1868">
        <v>0.9149799999999999</v>
      </c>
      <c r="AC599" s="1868">
        <v>0.9311299999999999</v>
      </c>
      <c r="AD599" s="1868">
        <v>1.0493700000000001</v>
      </c>
      <c r="AE599" s="1868">
        <v>0.79458000000000006</v>
      </c>
      <c r="AF599" s="1868">
        <v>0.95086000000000004</v>
      </c>
      <c r="AG599" s="1868">
        <v>0.93322999999999989</v>
      </c>
      <c r="AH599" s="1868">
        <v>0.81547000000000003</v>
      </c>
      <c r="AI599" s="1868">
        <v>0.72938999999999998</v>
      </c>
      <c r="AJ599" s="1868">
        <v>1.44496</v>
      </c>
      <c r="AK599" s="1868">
        <v>1.30952</v>
      </c>
      <c r="AL599" s="1868">
        <v>1.5230299999999999</v>
      </c>
      <c r="AM599" s="1868">
        <v>1.4211200000000002</v>
      </c>
      <c r="AN599" s="1868">
        <v>1.4661799999999998</v>
      </c>
      <c r="AO599" s="1868">
        <v>1.36131</v>
      </c>
      <c r="AP599" s="1868">
        <v>2.2548499999999998</v>
      </c>
      <c r="AQ599" s="1868">
        <v>2.3138200000000002</v>
      </c>
      <c r="AR599" s="1868">
        <v>2.2545999999999999</v>
      </c>
      <c r="AS599" s="1868">
        <v>2.5505800000000001</v>
      </c>
      <c r="AT599" s="1868">
        <v>2.1667700000000001</v>
      </c>
      <c r="AU599" s="1868">
        <v>2.0005500000000001</v>
      </c>
      <c r="AV599" s="1868">
        <v>1.8232999999999999</v>
      </c>
      <c r="AW599" s="1868">
        <v>1.24444</v>
      </c>
      <c r="AX599" s="1868">
        <v>2.07822</v>
      </c>
      <c r="AY599" s="1868">
        <v>1.5064200000000001</v>
      </c>
      <c r="AZ599" s="1868">
        <v>1.04759</v>
      </c>
      <c r="BA599" s="1868">
        <v>1.11826</v>
      </c>
    </row>
    <row r="600" spans="1:53">
      <c r="A600" s="1865" t="str">
        <f t="shared" si="9"/>
        <v>Eastern AsiaChestnuts</v>
      </c>
      <c r="B600" s="1866" t="s">
        <v>1354</v>
      </c>
      <c r="C600" s="1866" t="s">
        <v>1371</v>
      </c>
      <c r="D600" s="1868">
        <v>11.947569999999999</v>
      </c>
      <c r="E600" s="1868">
        <v>11.01707</v>
      </c>
      <c r="F600" s="1868">
        <v>8.5645199999999999</v>
      </c>
      <c r="G600" s="1868">
        <v>6.5714300000000003</v>
      </c>
      <c r="H600" s="1868">
        <v>5.5570500000000003</v>
      </c>
      <c r="I600" s="1868">
        <v>5.3445999999999998</v>
      </c>
      <c r="J600" s="1868">
        <v>5.0275800000000004</v>
      </c>
      <c r="K600" s="1868">
        <v>4.8666599999999995</v>
      </c>
      <c r="L600" s="1868">
        <v>4.7616899999999998</v>
      </c>
      <c r="M600" s="1868">
        <v>4.6426300000000005</v>
      </c>
      <c r="N600" s="1868">
        <v>4.5265399999999998</v>
      </c>
      <c r="O600" s="1868">
        <v>4.5749500000000003</v>
      </c>
      <c r="P600" s="1868">
        <v>4.6291799999999999</v>
      </c>
      <c r="Q600" s="1868">
        <v>4.3079099999999997</v>
      </c>
      <c r="R600" s="1868">
        <v>4.1331499999999997</v>
      </c>
      <c r="S600" s="1868">
        <v>4.0254099999999999</v>
      </c>
      <c r="T600" s="1868">
        <v>3.6751199999999997</v>
      </c>
      <c r="U600" s="1868">
        <v>3.5642400000000003</v>
      </c>
      <c r="V600" s="1868">
        <v>3.3548900000000001</v>
      </c>
      <c r="W600" s="1868">
        <v>2.97837</v>
      </c>
      <c r="X600" s="1868">
        <v>3.0850900000000001</v>
      </c>
      <c r="Y600" s="1868">
        <v>2.8310499999999998</v>
      </c>
      <c r="Z600" s="1868">
        <v>2.7722799999999999</v>
      </c>
      <c r="AA600" s="1868">
        <v>2.67475</v>
      </c>
      <c r="AB600" s="1868">
        <v>1.7683099999999998</v>
      </c>
      <c r="AC600" s="1868">
        <v>1.86002</v>
      </c>
      <c r="AD600" s="1868">
        <v>1.8890499999999999</v>
      </c>
      <c r="AE600" s="1868">
        <v>1.9356900000000001</v>
      </c>
      <c r="AF600" s="1868">
        <v>1.87191</v>
      </c>
      <c r="AG600" s="1868">
        <v>2.03308</v>
      </c>
      <c r="AH600" s="1868">
        <v>2.79413</v>
      </c>
      <c r="AI600" s="1868">
        <v>2.9718299999999997</v>
      </c>
      <c r="AJ600" s="1868">
        <v>2.9337</v>
      </c>
      <c r="AK600" s="1868">
        <v>3.1460499999999998</v>
      </c>
      <c r="AL600" s="1868">
        <v>3.3313300000000003</v>
      </c>
      <c r="AM600" s="1868">
        <v>2.93553</v>
      </c>
      <c r="AN600" s="1868">
        <v>3.4194699999999996</v>
      </c>
      <c r="AO600" s="1868">
        <v>3.57951</v>
      </c>
      <c r="AP600" s="1868">
        <v>3.7668599999999999</v>
      </c>
      <c r="AQ600" s="1868">
        <v>4.0392599999999996</v>
      </c>
      <c r="AR600" s="1868">
        <v>4.88042</v>
      </c>
      <c r="AS600" s="1868">
        <v>4.1453899999999999</v>
      </c>
      <c r="AT600" s="1868">
        <v>4.2584099999999996</v>
      </c>
      <c r="AU600" s="1868">
        <v>4.3458500000000004</v>
      </c>
      <c r="AV600" s="1868">
        <v>4.5767199999999999</v>
      </c>
      <c r="AW600" s="1868">
        <v>4.3389899999999999</v>
      </c>
      <c r="AX600" s="1868">
        <v>4.4947999999999997</v>
      </c>
      <c r="AY600" s="1868">
        <v>4.7876900000000004</v>
      </c>
      <c r="AZ600" s="1868">
        <v>4.7935300000000005</v>
      </c>
      <c r="BA600" s="1868">
        <v>4.8448699999999993</v>
      </c>
    </row>
    <row r="601" spans="1:53">
      <c r="A601" s="1865" t="str">
        <f t="shared" si="9"/>
        <v>Eastern AsiaCitrus fruit, nes</v>
      </c>
      <c r="B601" s="1866" t="s">
        <v>1354</v>
      </c>
      <c r="C601" s="1866" t="s">
        <v>1372</v>
      </c>
      <c r="D601" s="1868">
        <v>6.5080200000000001</v>
      </c>
      <c r="E601" s="1868">
        <v>5.8829900000000004</v>
      </c>
      <c r="F601" s="1868">
        <v>5.8181199999999995</v>
      </c>
      <c r="G601" s="1868">
        <v>6.5691499999999996</v>
      </c>
      <c r="H601" s="1868">
        <v>6.3272399999999998</v>
      </c>
      <c r="I601" s="1868">
        <v>4.8502599999999996</v>
      </c>
      <c r="J601" s="1868">
        <v>7.4797199999999995</v>
      </c>
      <c r="K601" s="1868">
        <v>9.4157200000000003</v>
      </c>
      <c r="L601" s="1868">
        <v>8.3399399999999986</v>
      </c>
      <c r="M601" s="1868">
        <v>9.6199499999999993</v>
      </c>
      <c r="N601" s="1868">
        <v>10.575200000000001</v>
      </c>
      <c r="O601" s="1868">
        <v>11.58126</v>
      </c>
      <c r="P601" s="1868">
        <v>12.4922</v>
      </c>
      <c r="Q601" s="1868">
        <v>13.18384</v>
      </c>
      <c r="R601" s="1868">
        <v>14.041070000000001</v>
      </c>
      <c r="S601" s="1868">
        <v>13.392239999999999</v>
      </c>
      <c r="T601" s="1868">
        <v>13.60005</v>
      </c>
      <c r="U601" s="1868">
        <v>14.047639999999999</v>
      </c>
      <c r="V601" s="1868">
        <v>13.733670000000002</v>
      </c>
      <c r="W601" s="1868">
        <v>11.72756</v>
      </c>
      <c r="X601" s="1868">
        <v>10.24347</v>
      </c>
      <c r="Y601" s="1868">
        <v>11.62674</v>
      </c>
      <c r="Z601" s="1868">
        <v>10.686019999999999</v>
      </c>
      <c r="AA601" s="1868">
        <v>9.1707000000000001</v>
      </c>
      <c r="AB601" s="1868">
        <v>8.0907699999999991</v>
      </c>
      <c r="AC601" s="1868">
        <v>9.0114800000000006</v>
      </c>
      <c r="AD601" s="1868">
        <v>9.1959499999999998</v>
      </c>
      <c r="AE601" s="1868">
        <v>9.4335300000000011</v>
      </c>
      <c r="AF601" s="1868">
        <v>7.0648</v>
      </c>
      <c r="AG601" s="1868">
        <v>8.4523899999999994</v>
      </c>
      <c r="AH601" s="1868">
        <v>9.0938300000000005</v>
      </c>
      <c r="AI601" s="1868">
        <v>8.3224999999999998</v>
      </c>
      <c r="AJ601" s="1868">
        <v>8.5293899999999994</v>
      </c>
      <c r="AK601" s="1868">
        <v>10.116589999999999</v>
      </c>
      <c r="AL601" s="1868">
        <v>9.7965400000000002</v>
      </c>
      <c r="AM601" s="1868">
        <v>10.057460000000001</v>
      </c>
      <c r="AN601" s="1868">
        <v>10.867560000000001</v>
      </c>
      <c r="AO601" s="1868">
        <v>13.618829999999999</v>
      </c>
      <c r="AP601" s="1868">
        <v>15.680820000000001</v>
      </c>
      <c r="AQ601" s="1868">
        <v>13.618679999999999</v>
      </c>
      <c r="AR601" s="1868">
        <v>15.457379999999999</v>
      </c>
      <c r="AS601" s="1868">
        <v>15.03346</v>
      </c>
      <c r="AT601" s="1868">
        <v>13.97146</v>
      </c>
      <c r="AU601" s="1868">
        <v>14.85319</v>
      </c>
      <c r="AV601" s="1868">
        <v>14.342839999999999</v>
      </c>
      <c r="AW601" s="1868">
        <v>13.925670000000002</v>
      </c>
      <c r="AX601" s="1868">
        <v>19.888560000000002</v>
      </c>
      <c r="AY601" s="1868">
        <v>22.06766</v>
      </c>
      <c r="AZ601" s="1868">
        <v>25.21902</v>
      </c>
      <c r="BA601" s="1868">
        <v>27.565470000000001</v>
      </c>
    </row>
    <row r="602" spans="1:53">
      <c r="A602" s="1865" t="str">
        <f t="shared" si="9"/>
        <v>Eastern AsiaCoffee, green</v>
      </c>
      <c r="B602" s="1866" t="s">
        <v>1354</v>
      </c>
      <c r="C602" s="1866" t="s">
        <v>1373</v>
      </c>
      <c r="D602" s="1868">
        <v>0.51749999999999996</v>
      </c>
      <c r="E602" s="1868">
        <v>0.50824999999999998</v>
      </c>
      <c r="F602" s="1868">
        <v>0.50507000000000002</v>
      </c>
      <c r="G602" s="1868">
        <v>0.50375999999999999</v>
      </c>
      <c r="H602" s="1868">
        <v>0.50728000000000006</v>
      </c>
      <c r="I602" s="1868">
        <v>0.49953999999999998</v>
      </c>
      <c r="J602" s="1868">
        <v>0.50373999999999997</v>
      </c>
      <c r="K602" s="1868">
        <v>0.5</v>
      </c>
      <c r="L602" s="1868">
        <v>0.50146999999999997</v>
      </c>
      <c r="M602" s="1868">
        <v>0.49967</v>
      </c>
      <c r="N602" s="1868">
        <v>0.49891999999999997</v>
      </c>
      <c r="O602" s="1868">
        <v>0.58586000000000005</v>
      </c>
      <c r="P602" s="1868">
        <v>0.79254999999999998</v>
      </c>
      <c r="Q602" s="1868">
        <v>0.79853000000000007</v>
      </c>
      <c r="R602" s="1868">
        <v>0.53661999999999999</v>
      </c>
      <c r="S602" s="1868">
        <v>0.49801000000000006</v>
      </c>
      <c r="T602" s="1868">
        <v>0.50203999999999993</v>
      </c>
      <c r="U602" s="1868">
        <v>0.50118000000000007</v>
      </c>
      <c r="V602" s="1868">
        <v>0.55493000000000003</v>
      </c>
      <c r="W602" s="1868">
        <v>0.50134000000000001</v>
      </c>
      <c r="X602" s="1868">
        <v>0.50116000000000005</v>
      </c>
      <c r="Y602" s="1868">
        <v>0.50124000000000002</v>
      </c>
      <c r="Z602" s="1868">
        <v>0.46153999999999995</v>
      </c>
      <c r="AA602" s="1868">
        <v>0.5625</v>
      </c>
      <c r="AB602" s="1868">
        <v>0.53846000000000005</v>
      </c>
      <c r="AC602" s="1868">
        <v>0.55000000000000004</v>
      </c>
      <c r="AD602" s="1868">
        <v>0.57333000000000001</v>
      </c>
      <c r="AE602" s="1868">
        <v>0.55556000000000005</v>
      </c>
      <c r="AF602" s="1868">
        <v>0.53332999999999997</v>
      </c>
      <c r="AG602" s="1868">
        <v>0.52500000000000002</v>
      </c>
      <c r="AH602" s="1868">
        <v>0.53846000000000005</v>
      </c>
      <c r="AI602" s="1868">
        <v>0.54286000000000001</v>
      </c>
      <c r="AJ602" s="1868">
        <v>0.54593000000000003</v>
      </c>
      <c r="AK602" s="1868">
        <v>0.51917000000000002</v>
      </c>
      <c r="AL602" s="1868">
        <v>0.53266999999999998</v>
      </c>
      <c r="AM602" s="1868">
        <v>0.54964000000000002</v>
      </c>
      <c r="AN602" s="1868">
        <v>0.48283999999999994</v>
      </c>
      <c r="AO602" s="1868">
        <v>1.4175</v>
      </c>
      <c r="AP602" s="1868">
        <v>1.2490000000000001</v>
      </c>
      <c r="AQ602" s="1868">
        <v>1.2050000000000001</v>
      </c>
      <c r="AR602" s="1868">
        <v>1.17822</v>
      </c>
      <c r="AS602" s="1868">
        <v>1.24718</v>
      </c>
      <c r="AT602" s="1868">
        <v>1.4464999999999999</v>
      </c>
      <c r="AU602" s="1868">
        <v>1.8049200000000001</v>
      </c>
      <c r="AV602" s="1868">
        <v>1.4141299999999999</v>
      </c>
      <c r="AW602" s="1868">
        <v>1.7816000000000001</v>
      </c>
      <c r="AX602" s="1868">
        <v>1.72072</v>
      </c>
      <c r="AY602" s="1868">
        <v>1.6277600000000001</v>
      </c>
      <c r="AZ602" s="1868">
        <v>1.6875</v>
      </c>
      <c r="BA602" s="1868">
        <v>1.67442</v>
      </c>
    </row>
    <row r="603" spans="1:53">
      <c r="A603" s="1865" t="str">
        <f t="shared" si="9"/>
        <v>Eastern AsiaDates</v>
      </c>
      <c r="B603" s="1866" t="s">
        <v>1354</v>
      </c>
      <c r="C603" s="1866" t="s">
        <v>1374</v>
      </c>
      <c r="D603" s="1868">
        <v>4</v>
      </c>
      <c r="E603" s="1868">
        <v>4</v>
      </c>
      <c r="F603" s="1868">
        <v>4.2</v>
      </c>
      <c r="G603" s="1868">
        <v>4.09091</v>
      </c>
      <c r="H603" s="1868">
        <v>4</v>
      </c>
      <c r="I603" s="1868">
        <v>4</v>
      </c>
      <c r="J603" s="1868">
        <v>4</v>
      </c>
      <c r="K603" s="1868">
        <v>4.3478300000000001</v>
      </c>
      <c r="L603" s="1868">
        <v>4.3478300000000001</v>
      </c>
      <c r="M603" s="1868">
        <v>4.3478300000000001</v>
      </c>
      <c r="N603" s="1868">
        <v>4.5217400000000003</v>
      </c>
      <c r="O603" s="1868">
        <v>4.7391300000000003</v>
      </c>
      <c r="P603" s="1868">
        <v>4.78261</v>
      </c>
      <c r="Q603" s="1868">
        <v>4.78261</v>
      </c>
      <c r="R603" s="1868">
        <v>4.78261</v>
      </c>
      <c r="S603" s="1868">
        <v>5.0434800000000006</v>
      </c>
      <c r="T603" s="1868">
        <v>4</v>
      </c>
      <c r="U603" s="1868">
        <v>3.8666699999999996</v>
      </c>
      <c r="V603" s="1868">
        <v>4</v>
      </c>
      <c r="W603" s="1868">
        <v>3.7222199999999996</v>
      </c>
      <c r="X603" s="1868">
        <v>3.7777800000000004</v>
      </c>
      <c r="Y603" s="1868">
        <v>3.88889</v>
      </c>
      <c r="Z603" s="1868">
        <v>4.4444400000000002</v>
      </c>
      <c r="AA603" s="1868">
        <v>5</v>
      </c>
      <c r="AB603" s="1868">
        <v>6</v>
      </c>
      <c r="AC603" s="1868">
        <v>6</v>
      </c>
      <c r="AD603" s="1868">
        <v>6.25</v>
      </c>
      <c r="AE603" s="1868">
        <v>6.4705900000000005</v>
      </c>
      <c r="AF603" s="1868">
        <v>5.625</v>
      </c>
      <c r="AG603" s="1868">
        <v>6</v>
      </c>
      <c r="AH603" s="1868">
        <v>6.2264200000000001</v>
      </c>
      <c r="AI603" s="1868">
        <v>8.0357099999999999</v>
      </c>
      <c r="AJ603" s="1868">
        <v>8.3333300000000001</v>
      </c>
      <c r="AK603" s="1868">
        <v>7.5</v>
      </c>
      <c r="AL603" s="1868">
        <v>10</v>
      </c>
      <c r="AM603" s="1868">
        <v>10</v>
      </c>
      <c r="AN603" s="1868">
        <v>5.4285699999999997</v>
      </c>
      <c r="AO603" s="1868">
        <v>17.8</v>
      </c>
      <c r="AP603" s="1868">
        <v>19.16667</v>
      </c>
      <c r="AQ603" s="1868">
        <v>20.83333</v>
      </c>
      <c r="AR603" s="1868">
        <v>19.5</v>
      </c>
      <c r="AS603" s="1868">
        <v>18.571429999999999</v>
      </c>
      <c r="AT603" s="1868">
        <v>17.142859999999999</v>
      </c>
      <c r="AU603" s="1868">
        <v>18.571429999999999</v>
      </c>
      <c r="AV603" s="1868">
        <v>16.66667</v>
      </c>
      <c r="AW603" s="1868">
        <v>15.625</v>
      </c>
      <c r="AX603" s="1868">
        <v>15.294120000000001</v>
      </c>
      <c r="AY603" s="1868">
        <v>15</v>
      </c>
      <c r="AZ603" s="1868">
        <v>14</v>
      </c>
      <c r="BA603" s="1868">
        <v>14.76</v>
      </c>
    </row>
    <row r="604" spans="1:53">
      <c r="A604" s="1865" t="str">
        <f t="shared" si="9"/>
        <v>Eastern AsiaEggplants (aubergines)</v>
      </c>
      <c r="B604" s="1866" t="s">
        <v>1354</v>
      </c>
      <c r="C604" s="1866" t="s">
        <v>1375</v>
      </c>
      <c r="D604" s="1868">
        <v>9.0217700000000001</v>
      </c>
      <c r="E604" s="1868">
        <v>9.8896999999999995</v>
      </c>
      <c r="F604" s="1868">
        <v>10.49183</v>
      </c>
      <c r="G604" s="1868">
        <v>10.56972</v>
      </c>
      <c r="H604" s="1868">
        <v>10.97418</v>
      </c>
      <c r="I604" s="1868">
        <v>11.450760000000001</v>
      </c>
      <c r="J604" s="1868">
        <v>11.786769999999999</v>
      </c>
      <c r="K604" s="1868">
        <v>12.74854</v>
      </c>
      <c r="L604" s="1868">
        <v>13.024839999999999</v>
      </c>
      <c r="M604" s="1868">
        <v>14.232320000000001</v>
      </c>
      <c r="N604" s="1868">
        <v>14.2866</v>
      </c>
      <c r="O604" s="1868">
        <v>13.65391</v>
      </c>
      <c r="P604" s="1868">
        <v>14.959210000000001</v>
      </c>
      <c r="Q604" s="1868">
        <v>15.477270000000001</v>
      </c>
      <c r="R604" s="1868">
        <v>15.058539999999999</v>
      </c>
      <c r="S604" s="1868">
        <v>13.765420000000001</v>
      </c>
      <c r="T604" s="1868">
        <v>13.876520000000001</v>
      </c>
      <c r="U604" s="1868">
        <v>13.48991</v>
      </c>
      <c r="V604" s="1868">
        <v>14.145060000000001</v>
      </c>
      <c r="W604" s="1868">
        <v>13.64676</v>
      </c>
      <c r="X604" s="1868">
        <v>14.338170000000002</v>
      </c>
      <c r="Y604" s="1868">
        <v>13.830170000000001</v>
      </c>
      <c r="Z604" s="1868">
        <v>14.05875</v>
      </c>
      <c r="AA604" s="1868">
        <v>14.200629999999999</v>
      </c>
      <c r="AB604" s="1868">
        <v>14.2981</v>
      </c>
      <c r="AC604" s="1868">
        <v>14.547329999999999</v>
      </c>
      <c r="AD604" s="1868">
        <v>14.222779999999998</v>
      </c>
      <c r="AE604" s="1868">
        <v>14.440899999999999</v>
      </c>
      <c r="AF604" s="1868">
        <v>14.870510000000001</v>
      </c>
      <c r="AG604" s="1868">
        <v>15.890889999999999</v>
      </c>
      <c r="AH604" s="1868">
        <v>16.95421</v>
      </c>
      <c r="AI604" s="1868">
        <v>18.295660000000002</v>
      </c>
      <c r="AJ604" s="1868">
        <v>17.446579999999997</v>
      </c>
      <c r="AK604" s="1868">
        <v>17.474339999999998</v>
      </c>
      <c r="AL604" s="1868">
        <v>17.712720000000001</v>
      </c>
      <c r="AM604" s="1868">
        <v>17.932259999999999</v>
      </c>
      <c r="AN604" s="1868">
        <v>17.591560000000001</v>
      </c>
      <c r="AO604" s="1868">
        <v>17.793759999999999</v>
      </c>
      <c r="AP604" s="1868">
        <v>21.116759999999999</v>
      </c>
      <c r="AQ604" s="1868">
        <v>18.984000000000002</v>
      </c>
      <c r="AR604" s="1868">
        <v>18.178339999999999</v>
      </c>
      <c r="AS604" s="1868">
        <v>18.928320000000003</v>
      </c>
      <c r="AT604" s="1868">
        <v>18.971970000000002</v>
      </c>
      <c r="AU604" s="1868">
        <v>18.487159999999999</v>
      </c>
      <c r="AV604" s="1868">
        <v>18.054819999999999</v>
      </c>
      <c r="AW604" s="1868">
        <v>17.994900000000001</v>
      </c>
      <c r="AX604" s="1868">
        <v>29.243909999999996</v>
      </c>
      <c r="AY604" s="1868">
        <v>33.655279999999998</v>
      </c>
      <c r="AZ604" s="1868">
        <v>34.868850000000002</v>
      </c>
      <c r="BA604" s="1868">
        <v>33.299840000000003</v>
      </c>
    </row>
    <row r="605" spans="1:53">
      <c r="A605" s="1865" t="str">
        <f t="shared" si="9"/>
        <v>Eastern AsiaFibre Crops Nes</v>
      </c>
      <c r="B605" s="1866" t="s">
        <v>1354</v>
      </c>
      <c r="C605" s="1866" t="s">
        <v>1376</v>
      </c>
      <c r="D605" s="1868">
        <v>12.79161</v>
      </c>
      <c r="E605" s="1868">
        <v>13.05035</v>
      </c>
      <c r="F605" s="1868">
        <v>11.92816</v>
      </c>
      <c r="G605" s="1868">
        <v>13.152920000000002</v>
      </c>
      <c r="H605" s="1868">
        <v>13</v>
      </c>
      <c r="I605" s="1868">
        <v>13.503589999999999</v>
      </c>
      <c r="J605" s="1868">
        <v>12.615769999999999</v>
      </c>
      <c r="K605" s="1868">
        <v>12.226319999999999</v>
      </c>
      <c r="L605" s="1868">
        <v>11.22175</v>
      </c>
      <c r="M605" s="1868">
        <v>11.375830000000001</v>
      </c>
      <c r="N605" s="1868">
        <v>10.931510000000001</v>
      </c>
      <c r="O605" s="1868">
        <v>9.6631800000000005</v>
      </c>
      <c r="P605" s="1868">
        <v>11.613760000000001</v>
      </c>
      <c r="Q605" s="1868">
        <v>10.994010000000001</v>
      </c>
      <c r="R605" s="1868">
        <v>5.0138199999999999</v>
      </c>
      <c r="S605" s="1868">
        <v>6.5687300000000004</v>
      </c>
      <c r="T605" s="1868">
        <v>7.1380499999999998</v>
      </c>
      <c r="U605" s="1868">
        <v>12.150639999999999</v>
      </c>
      <c r="V605" s="1868">
        <v>14.77474</v>
      </c>
      <c r="W605" s="1868">
        <v>13.34</v>
      </c>
      <c r="X605" s="1868">
        <v>12.95614</v>
      </c>
      <c r="Y605" s="1868">
        <v>13.042249999999999</v>
      </c>
      <c r="Z605" s="1868">
        <v>13.43493</v>
      </c>
      <c r="AA605" s="1868">
        <v>12.49789</v>
      </c>
      <c r="AB605" s="1868">
        <v>14.559320000000001</v>
      </c>
      <c r="AC605" s="1868">
        <v>12.71429</v>
      </c>
      <c r="AD605" s="1868">
        <v>8.2637499999999999</v>
      </c>
      <c r="AE605" s="1868">
        <v>7.6965699999999995</v>
      </c>
      <c r="AF605" s="1868">
        <v>6.6707100000000006</v>
      </c>
      <c r="AG605" s="1868">
        <v>6.3663800000000004</v>
      </c>
      <c r="AH605" s="1868">
        <v>11.84158</v>
      </c>
      <c r="AI605" s="1868">
        <v>10.63636</v>
      </c>
      <c r="AJ605" s="1868">
        <v>12.122450000000001</v>
      </c>
      <c r="AK605" s="1868">
        <v>12.391299999999999</v>
      </c>
      <c r="AL605" s="1868">
        <v>12.5</v>
      </c>
      <c r="AM605" s="1868">
        <v>11.66667</v>
      </c>
      <c r="AN605" s="1868">
        <v>12.5</v>
      </c>
      <c r="AO605" s="1868">
        <v>12</v>
      </c>
      <c r="AP605" s="1868">
        <v>11.456519999999999</v>
      </c>
      <c r="AQ605" s="1868">
        <v>10.52632</v>
      </c>
      <c r="AR605" s="1868">
        <v>10.25714</v>
      </c>
      <c r="AS605" s="1868">
        <v>9.6712299999999995</v>
      </c>
      <c r="AT605" s="1868">
        <v>9.31081</v>
      </c>
      <c r="AU605" s="1868">
        <v>13.30303</v>
      </c>
      <c r="AV605" s="1868">
        <v>11.06757</v>
      </c>
      <c r="AW605" s="1868">
        <v>15.116670000000001</v>
      </c>
      <c r="AX605" s="1868">
        <v>17.714289999999998</v>
      </c>
      <c r="AY605" s="1868">
        <v>20.16667</v>
      </c>
      <c r="AZ605" s="1868">
        <v>19.76191</v>
      </c>
      <c r="BA605" s="1868">
        <v>25.33333</v>
      </c>
    </row>
    <row r="606" spans="1:53">
      <c r="A606" s="1865" t="str">
        <f t="shared" si="9"/>
        <v>Eastern AsiaGrapefruit (inc. pomelos)</v>
      </c>
      <c r="B606" s="1866" t="s">
        <v>1354</v>
      </c>
      <c r="C606" s="1866" t="s">
        <v>1377</v>
      </c>
      <c r="D606" s="1868">
        <v>3.5913800000000005</v>
      </c>
      <c r="E606" s="1868">
        <v>4.2963300000000002</v>
      </c>
      <c r="F606" s="1868">
        <v>4.38429</v>
      </c>
      <c r="G606" s="1868">
        <v>4.72621</v>
      </c>
      <c r="H606" s="1868">
        <v>4.2834199999999996</v>
      </c>
      <c r="I606" s="1868">
        <v>4.2236199999999995</v>
      </c>
      <c r="J606" s="1868">
        <v>4.7746199999999996</v>
      </c>
      <c r="K606" s="1868">
        <v>5.06419</v>
      </c>
      <c r="L606" s="1868">
        <v>4.5083599999999997</v>
      </c>
      <c r="M606" s="1868">
        <v>5.78</v>
      </c>
      <c r="N606" s="1868">
        <v>5.4210099999999999</v>
      </c>
      <c r="O606" s="1868">
        <v>6.0768000000000004</v>
      </c>
      <c r="P606" s="1868">
        <v>5.9660299999999999</v>
      </c>
      <c r="Q606" s="1868">
        <v>5.44</v>
      </c>
      <c r="R606" s="1868">
        <v>5.3066699999999996</v>
      </c>
      <c r="S606" s="1868">
        <v>5.2987000000000002</v>
      </c>
      <c r="T606" s="1868">
        <v>5.8648699999999998</v>
      </c>
      <c r="U606" s="1868">
        <v>5.5460000000000003</v>
      </c>
      <c r="V606" s="1868">
        <v>5.0855600000000001</v>
      </c>
      <c r="W606" s="1868">
        <v>4.8304499999999999</v>
      </c>
      <c r="X606" s="1868">
        <v>4.8169000000000004</v>
      </c>
      <c r="Y606" s="1868">
        <v>4.4987699999999995</v>
      </c>
      <c r="Z606" s="1868">
        <v>4.3749699999999994</v>
      </c>
      <c r="AA606" s="1868">
        <v>4.24437</v>
      </c>
      <c r="AB606" s="1868">
        <v>4.0509000000000004</v>
      </c>
      <c r="AC606" s="1868">
        <v>4.2272600000000002</v>
      </c>
      <c r="AD606" s="1868">
        <v>4.5400300000000007</v>
      </c>
      <c r="AE606" s="1868">
        <v>5.1440900000000003</v>
      </c>
      <c r="AF606" s="1868">
        <v>4.51586</v>
      </c>
      <c r="AG606" s="1868">
        <v>4.6706099999999999</v>
      </c>
      <c r="AH606" s="1868">
        <v>6.671689999999999</v>
      </c>
      <c r="AI606" s="1868">
        <v>5.5289699999999993</v>
      </c>
      <c r="AJ606" s="1868">
        <v>6.3718399999999997</v>
      </c>
      <c r="AK606" s="1868">
        <v>6.9095899999999997</v>
      </c>
      <c r="AL606" s="1868">
        <v>8.2095300000000009</v>
      </c>
      <c r="AM606" s="1868">
        <v>7.8564699999999998</v>
      </c>
      <c r="AN606" s="1868">
        <v>7.8115199999999998</v>
      </c>
      <c r="AO606" s="1868">
        <v>7.8377699999999999</v>
      </c>
      <c r="AP606" s="1868">
        <v>8.67103</v>
      </c>
      <c r="AQ606" s="1868">
        <v>6.3739800000000004</v>
      </c>
      <c r="AR606" s="1868">
        <v>7.1440299999999999</v>
      </c>
      <c r="AS606" s="1868">
        <v>7.7521699999999996</v>
      </c>
      <c r="AT606" s="1868">
        <v>7.9635999999999996</v>
      </c>
      <c r="AU606" s="1868">
        <v>8.2711299999999994</v>
      </c>
      <c r="AV606" s="1868">
        <v>8.0593599999999999</v>
      </c>
      <c r="AW606" s="1868">
        <v>8.67075</v>
      </c>
      <c r="AX606" s="1868">
        <v>39.16545</v>
      </c>
      <c r="AY606" s="1868">
        <v>41.948009999999996</v>
      </c>
      <c r="AZ606" s="1868">
        <v>43.847439999999999</v>
      </c>
      <c r="BA606" s="1868">
        <v>47.19115</v>
      </c>
    </row>
    <row r="607" spans="1:53">
      <c r="A607" s="1865" t="str">
        <f t="shared" si="9"/>
        <v>Eastern AsiaGrapes</v>
      </c>
      <c r="B607" s="1866" t="s">
        <v>1354</v>
      </c>
      <c r="C607" s="1866" t="s">
        <v>1378</v>
      </c>
      <c r="D607" s="1868">
        <v>8.8331400000000002</v>
      </c>
      <c r="E607" s="1868">
        <v>8.7857399999999988</v>
      </c>
      <c r="F607" s="1868">
        <v>7.9194800000000001</v>
      </c>
      <c r="G607" s="1868">
        <v>8.65123</v>
      </c>
      <c r="H607" s="1868">
        <v>8.3692700000000002</v>
      </c>
      <c r="I607" s="1868">
        <v>8.0312199999999994</v>
      </c>
      <c r="J607" s="1868">
        <v>8.5530600000000003</v>
      </c>
      <c r="K607" s="1868">
        <v>8.9267599999999998</v>
      </c>
      <c r="L607" s="1868">
        <v>8.1159999999999997</v>
      </c>
      <c r="M607" s="1868">
        <v>7.5361500000000001</v>
      </c>
      <c r="N607" s="1868">
        <v>7.9211300000000007</v>
      </c>
      <c r="O607" s="1868">
        <v>8.3666100000000014</v>
      </c>
      <c r="P607" s="1868">
        <v>8.2830700000000004</v>
      </c>
      <c r="Q607" s="1868">
        <v>8.3963300000000007</v>
      </c>
      <c r="R607" s="1868">
        <v>8.3175799999999995</v>
      </c>
      <c r="S607" s="1868">
        <v>8.6475000000000009</v>
      </c>
      <c r="T607" s="1868">
        <v>8.3710300000000011</v>
      </c>
      <c r="U607" s="1868">
        <v>7.9644199999999996</v>
      </c>
      <c r="V607" s="1868">
        <v>8.1736599999999999</v>
      </c>
      <c r="W607" s="1868">
        <v>7.4344299999999999</v>
      </c>
      <c r="X607" s="1868">
        <v>7.5243500000000001</v>
      </c>
      <c r="Y607" s="1868">
        <v>7.3974199999999994</v>
      </c>
      <c r="Z607" s="1868">
        <v>7.4337899999999992</v>
      </c>
      <c r="AA607" s="1868">
        <v>7.0845500000000001</v>
      </c>
      <c r="AB607" s="1868">
        <v>6.6563300000000005</v>
      </c>
      <c r="AC607" s="1868">
        <v>5.9273400000000001</v>
      </c>
      <c r="AD607" s="1868">
        <v>6.0967199999999995</v>
      </c>
      <c r="AE607" s="1868">
        <v>6.8529499999999999</v>
      </c>
      <c r="AF607" s="1868">
        <v>7.6784899999999991</v>
      </c>
      <c r="AG607" s="1868">
        <v>8.23292</v>
      </c>
      <c r="AH607" s="1868">
        <v>9.2571700000000003</v>
      </c>
      <c r="AI607" s="1868">
        <v>9.2245600000000003</v>
      </c>
      <c r="AJ607" s="1868">
        <v>10.833550000000001</v>
      </c>
      <c r="AK607" s="1868">
        <v>10.91864</v>
      </c>
      <c r="AL607" s="1868">
        <v>11.938419999999999</v>
      </c>
      <c r="AM607" s="1868">
        <v>12.62148</v>
      </c>
      <c r="AN607" s="1868">
        <v>13.05965</v>
      </c>
      <c r="AO607" s="1868">
        <v>13.220620000000002</v>
      </c>
      <c r="AP607" s="1868">
        <v>12.492749999999999</v>
      </c>
      <c r="AQ607" s="1868">
        <v>12.178750000000001</v>
      </c>
      <c r="AR607" s="1868">
        <v>11.56948</v>
      </c>
      <c r="AS607" s="1868">
        <v>11.82888</v>
      </c>
      <c r="AT607" s="1868">
        <v>12.52524</v>
      </c>
      <c r="AU607" s="1868">
        <v>13.829360000000001</v>
      </c>
      <c r="AV607" s="1868">
        <v>14.294889999999999</v>
      </c>
      <c r="AW607" s="1868">
        <v>15.025160000000001</v>
      </c>
      <c r="AX607" s="1868">
        <v>15.288110000000001</v>
      </c>
      <c r="AY607" s="1868">
        <v>15.824020000000001</v>
      </c>
      <c r="AZ607" s="1868">
        <v>11.5433</v>
      </c>
      <c r="BA607" s="1868">
        <v>13.503739999999999</v>
      </c>
    </row>
    <row r="608" spans="1:53">
      <c r="A608" s="1865" t="str">
        <f t="shared" si="9"/>
        <v>Eastern AsiaGroundnuts, with shell</v>
      </c>
      <c r="B608" s="1866" t="s">
        <v>1354</v>
      </c>
      <c r="C608" s="1866" t="s">
        <v>1379</v>
      </c>
      <c r="D608" s="1868">
        <v>0.95007000000000008</v>
      </c>
      <c r="E608" s="1868">
        <v>0.91577999999999993</v>
      </c>
      <c r="F608" s="1868">
        <v>1.02766</v>
      </c>
      <c r="G608" s="1868">
        <v>1.0158499999999999</v>
      </c>
      <c r="H608" s="1868">
        <v>1.0864200000000002</v>
      </c>
      <c r="I608" s="1868">
        <v>1.2358</v>
      </c>
      <c r="J608" s="1868">
        <v>1.1779899999999999</v>
      </c>
      <c r="K608" s="1868">
        <v>1.1334600000000001</v>
      </c>
      <c r="L608" s="1868">
        <v>1.0922100000000001</v>
      </c>
      <c r="M608" s="1868">
        <v>1.2900499999999999</v>
      </c>
      <c r="N608" s="1868">
        <v>1.2640100000000001</v>
      </c>
      <c r="O608" s="1868">
        <v>1.1477700000000002</v>
      </c>
      <c r="P608" s="1868">
        <v>1.2376200000000002</v>
      </c>
      <c r="Q608" s="1868">
        <v>1.2948600000000001</v>
      </c>
      <c r="R608" s="1868">
        <v>1.2266700000000001</v>
      </c>
      <c r="S608" s="1868">
        <v>1.0469299999999999</v>
      </c>
      <c r="T608" s="1868">
        <v>1.1970299999999998</v>
      </c>
      <c r="U608" s="1868">
        <v>1.36015</v>
      </c>
      <c r="V608" s="1868">
        <v>1.3752500000000001</v>
      </c>
      <c r="W608" s="1868">
        <v>1.54142</v>
      </c>
      <c r="X608" s="1868">
        <v>1.5524200000000001</v>
      </c>
      <c r="Y608" s="1868">
        <v>1.61964</v>
      </c>
      <c r="Z608" s="1868">
        <v>1.7831999999999999</v>
      </c>
      <c r="AA608" s="1868">
        <v>1.9785999999999999</v>
      </c>
      <c r="AB608" s="1868">
        <v>2.0002499999999999</v>
      </c>
      <c r="AC608" s="1868">
        <v>1.8043200000000001</v>
      </c>
      <c r="AD608" s="1868">
        <v>2.03159</v>
      </c>
      <c r="AE608" s="1868">
        <v>1.9075299999999999</v>
      </c>
      <c r="AF608" s="1868">
        <v>1.8211599999999999</v>
      </c>
      <c r="AG608" s="1868">
        <v>2.1844399999999999</v>
      </c>
      <c r="AH608" s="1868">
        <v>2.1831099999999997</v>
      </c>
      <c r="AI608" s="1868">
        <v>2.0002200000000001</v>
      </c>
      <c r="AJ608" s="1868">
        <v>2.4841099999999998</v>
      </c>
      <c r="AK608" s="1868">
        <v>2.5597699999999999</v>
      </c>
      <c r="AL608" s="1868">
        <v>2.6788099999999999</v>
      </c>
      <c r="AM608" s="1868">
        <v>2.7967900000000001</v>
      </c>
      <c r="AN608" s="1868">
        <v>2.5902099999999999</v>
      </c>
      <c r="AO608" s="1868">
        <v>2.9328400000000001</v>
      </c>
      <c r="AP608" s="1868">
        <v>2.9552700000000001</v>
      </c>
      <c r="AQ608" s="1868">
        <v>2.9694400000000001</v>
      </c>
      <c r="AR608" s="1868">
        <v>2.8827500000000001</v>
      </c>
      <c r="AS608" s="1868">
        <v>3.0091999999999999</v>
      </c>
      <c r="AT608" s="1868">
        <v>2.6537799999999998</v>
      </c>
      <c r="AU608" s="1868">
        <v>3.0213700000000001</v>
      </c>
      <c r="AV608" s="1868">
        <v>3.0708000000000002</v>
      </c>
      <c r="AW608" s="1868">
        <v>3.2155</v>
      </c>
      <c r="AX608" s="1868">
        <v>3.2930800000000002</v>
      </c>
      <c r="AY608" s="1868">
        <v>3.3572099999999998</v>
      </c>
      <c r="AZ608" s="1868">
        <v>3.3546400000000003</v>
      </c>
      <c r="BA608" s="1868">
        <v>3.4508099999999997</v>
      </c>
    </row>
    <row r="609" spans="1:53">
      <c r="A609" s="1865" t="str">
        <f t="shared" si="9"/>
        <v>Eastern AsiaLeguminous vegetables, nes</v>
      </c>
      <c r="B609" s="1866" t="s">
        <v>1354</v>
      </c>
      <c r="C609" s="1866" t="s">
        <v>1380</v>
      </c>
      <c r="D609" s="1868">
        <v>6.6924800000000007</v>
      </c>
      <c r="E609" s="1868">
        <v>4.28</v>
      </c>
      <c r="F609" s="1868">
        <v>2.5528499999999998</v>
      </c>
      <c r="G609" s="1868">
        <v>4.4298299999999999</v>
      </c>
      <c r="H609" s="1868">
        <v>4.3783799999999999</v>
      </c>
      <c r="I609" s="1868">
        <v>4.7692300000000003</v>
      </c>
      <c r="J609" s="1868">
        <v>4.0236099999999997</v>
      </c>
      <c r="K609" s="1868">
        <v>4.7882400000000001</v>
      </c>
      <c r="L609" s="1868">
        <v>4.8734199999999994</v>
      </c>
      <c r="M609" s="1868">
        <v>4</v>
      </c>
      <c r="N609" s="1868">
        <v>1.5734399999999999</v>
      </c>
      <c r="O609" s="1868">
        <v>1.6666700000000001</v>
      </c>
      <c r="P609" s="1868">
        <v>2</v>
      </c>
      <c r="Q609" s="1868">
        <v>2.6666699999999999</v>
      </c>
      <c r="R609" s="1868">
        <v>3.3333300000000001</v>
      </c>
      <c r="S609" s="1868">
        <v>4</v>
      </c>
      <c r="T609" s="1868">
        <v>4.6666699999999999</v>
      </c>
      <c r="U609" s="1868">
        <v>5</v>
      </c>
      <c r="V609" s="1868">
        <v>5.3333300000000001</v>
      </c>
      <c r="W609" s="1868">
        <v>5.4838699999999996</v>
      </c>
      <c r="X609" s="1868">
        <v>6</v>
      </c>
      <c r="Y609" s="1868">
        <v>6.9097200000000001</v>
      </c>
      <c r="Z609" s="1868">
        <v>5.5193500000000002</v>
      </c>
      <c r="AA609" s="1868">
        <v>5.4626400000000004</v>
      </c>
      <c r="AB609" s="1868">
        <v>5.7040499999999996</v>
      </c>
      <c r="AC609" s="1868">
        <v>5.8849</v>
      </c>
      <c r="AD609" s="1868">
        <v>6.1417800000000007</v>
      </c>
      <c r="AE609" s="1868">
        <v>5.6726400000000003</v>
      </c>
      <c r="AF609" s="1868">
        <v>5.6352599999999997</v>
      </c>
      <c r="AG609" s="1868">
        <v>5.5691499999999996</v>
      </c>
      <c r="AH609" s="1868">
        <v>6.1251100000000003</v>
      </c>
      <c r="AI609" s="1868">
        <v>6.9506899999999998</v>
      </c>
      <c r="AJ609" s="1868">
        <v>7.8282399999999992</v>
      </c>
      <c r="AK609" s="1868">
        <v>8.8697999999999997</v>
      </c>
      <c r="AL609" s="1868">
        <v>8.9397300000000008</v>
      </c>
      <c r="AM609" s="1868">
        <v>8.3192899999999987</v>
      </c>
      <c r="AN609" s="1868">
        <v>8.8369800000000005</v>
      </c>
      <c r="AO609" s="1868">
        <v>8.0517800000000008</v>
      </c>
      <c r="AP609" s="1868">
        <v>8.4376800000000003</v>
      </c>
      <c r="AQ609" s="1868">
        <v>8.5378299999999996</v>
      </c>
      <c r="AR609" s="1868">
        <v>7.7250100000000002</v>
      </c>
      <c r="AS609" s="1868">
        <v>10.28641</v>
      </c>
      <c r="AT609" s="1868">
        <v>9.8139699999999994</v>
      </c>
      <c r="AU609" s="1868">
        <v>9.9182899999999989</v>
      </c>
      <c r="AV609" s="1868">
        <v>9.6850300000000011</v>
      </c>
      <c r="AW609" s="1868">
        <v>10.00676</v>
      </c>
      <c r="AX609" s="1868">
        <v>10.78102</v>
      </c>
      <c r="AY609" s="1868">
        <v>10.699339999999999</v>
      </c>
      <c r="AZ609" s="1868">
        <v>11.42445</v>
      </c>
      <c r="BA609" s="1868">
        <v>11.07194</v>
      </c>
    </row>
    <row r="610" spans="1:53">
      <c r="A610" s="1865" t="str">
        <f t="shared" si="9"/>
        <v>Eastern AsiaLinseed</v>
      </c>
      <c r="B610" s="1866" t="s">
        <v>1354</v>
      </c>
      <c r="C610" s="1866" t="s">
        <v>1381</v>
      </c>
      <c r="D610" s="1868">
        <v>0.50519999999999998</v>
      </c>
      <c r="E610" s="1868">
        <v>0.49785000000000001</v>
      </c>
      <c r="F610" s="1868">
        <v>0.53253000000000006</v>
      </c>
      <c r="G610" s="1868">
        <v>0.48286999999999997</v>
      </c>
      <c r="H610" s="1868">
        <v>0.53822000000000003</v>
      </c>
      <c r="I610" s="1868">
        <v>0.59650999999999998</v>
      </c>
      <c r="J610" s="1868">
        <v>0.64278999999999997</v>
      </c>
      <c r="K610" s="1868">
        <v>0.62101000000000006</v>
      </c>
      <c r="L610" s="1868">
        <v>0.69767000000000001</v>
      </c>
      <c r="M610" s="1868">
        <v>0.71111000000000002</v>
      </c>
      <c r="N610" s="1868">
        <v>0.77273000000000003</v>
      </c>
      <c r="O610" s="1868">
        <v>0.83721000000000001</v>
      </c>
      <c r="P610" s="1868">
        <v>0.82222000000000006</v>
      </c>
      <c r="Q610" s="1868">
        <v>0.80435000000000001</v>
      </c>
      <c r="R610" s="1868">
        <v>0.79166999999999998</v>
      </c>
      <c r="S610" s="1868">
        <v>0.8</v>
      </c>
      <c r="T610" s="1868">
        <v>0.78431000000000006</v>
      </c>
      <c r="U610" s="1868">
        <v>0.94697000000000009</v>
      </c>
      <c r="V610" s="1868">
        <v>1.1666700000000001</v>
      </c>
      <c r="W610" s="1868">
        <v>1</v>
      </c>
      <c r="X610" s="1868">
        <v>0.85</v>
      </c>
      <c r="Y610" s="1868">
        <v>0.79166999999999998</v>
      </c>
      <c r="Z610" s="1868">
        <v>0.74399999999999999</v>
      </c>
      <c r="AA610" s="1868">
        <v>0.74219000000000002</v>
      </c>
      <c r="AB610" s="1868">
        <v>0.81818000000000002</v>
      </c>
      <c r="AC610" s="1868">
        <v>0.94117999999999991</v>
      </c>
      <c r="AD610" s="1868">
        <v>0.90280000000000005</v>
      </c>
      <c r="AE610" s="1868">
        <v>0.89951000000000003</v>
      </c>
      <c r="AF610" s="1868">
        <v>0.89805000000000001</v>
      </c>
      <c r="AG610" s="1868">
        <v>0.89937000000000011</v>
      </c>
      <c r="AH610" s="1868">
        <v>0.89473999999999998</v>
      </c>
      <c r="AI610" s="1868">
        <v>0.85942000000000007</v>
      </c>
      <c r="AJ610" s="1868">
        <v>0.72726999999999997</v>
      </c>
      <c r="AK610" s="1868">
        <v>0.76576</v>
      </c>
      <c r="AL610" s="1868">
        <v>0.58584999999999998</v>
      </c>
      <c r="AM610" s="1868">
        <v>0.85842000000000007</v>
      </c>
      <c r="AN610" s="1868">
        <v>0.65343999999999991</v>
      </c>
      <c r="AO610" s="1868">
        <v>0.91522999999999988</v>
      </c>
      <c r="AP610" s="1868">
        <v>0.73187999999999998</v>
      </c>
      <c r="AQ610" s="1868">
        <v>0.69043999999999994</v>
      </c>
      <c r="AR610" s="1868">
        <v>0.62816000000000005</v>
      </c>
      <c r="AS610" s="1868">
        <v>0.90287000000000006</v>
      </c>
      <c r="AT610" s="1868">
        <v>1.00223</v>
      </c>
      <c r="AU610" s="1868">
        <v>0.92</v>
      </c>
      <c r="AV610" s="1868">
        <v>0.96938999999999997</v>
      </c>
      <c r="AW610" s="1868">
        <v>0.98968999999999996</v>
      </c>
      <c r="AX610" s="1868">
        <v>0.78935</v>
      </c>
      <c r="AY610" s="1868">
        <v>1.0350999999999999</v>
      </c>
      <c r="AZ610" s="1868">
        <v>0.94422000000000006</v>
      </c>
      <c r="BA610" s="1868">
        <v>1.0294099999999999</v>
      </c>
    </row>
    <row r="611" spans="1:53">
      <c r="A611" s="1865" t="str">
        <f t="shared" si="9"/>
        <v>Eastern AsiaMaize</v>
      </c>
      <c r="B611" s="1866" t="s">
        <v>1354</v>
      </c>
      <c r="C611" s="1866" t="s">
        <v>1382</v>
      </c>
      <c r="D611" s="1868">
        <v>1.2275799999999999</v>
      </c>
      <c r="E611" s="1868">
        <v>1.3202499999999999</v>
      </c>
      <c r="F611" s="1868">
        <v>1.38733</v>
      </c>
      <c r="G611" s="1868">
        <v>1.52399</v>
      </c>
      <c r="H611" s="1868">
        <v>1.5423100000000001</v>
      </c>
      <c r="I611" s="1868">
        <v>1.74394</v>
      </c>
      <c r="J611" s="1868">
        <v>1.9524099999999998</v>
      </c>
      <c r="K611" s="1868">
        <v>1.8369099999999998</v>
      </c>
      <c r="L611" s="1868">
        <v>1.8143499999999999</v>
      </c>
      <c r="M611" s="1868">
        <v>2.1129700000000002</v>
      </c>
      <c r="N611" s="1868">
        <v>2.16831</v>
      </c>
      <c r="O611" s="1868">
        <v>1.9494599999999997</v>
      </c>
      <c r="P611" s="1868">
        <v>2.35127</v>
      </c>
      <c r="Q611" s="1868">
        <v>2.4840299999999997</v>
      </c>
      <c r="R611" s="1868">
        <v>2.5562299999999998</v>
      </c>
      <c r="S611" s="1868">
        <v>2.53172</v>
      </c>
      <c r="T611" s="1868">
        <v>2.5437599999999998</v>
      </c>
      <c r="U611" s="1868">
        <v>2.8262999999999998</v>
      </c>
      <c r="V611" s="1868">
        <v>3.0086400000000002</v>
      </c>
      <c r="W611" s="1868">
        <v>3.10785</v>
      </c>
      <c r="X611" s="1868">
        <v>3.0872999999999999</v>
      </c>
      <c r="Y611" s="1868">
        <v>3.30321</v>
      </c>
      <c r="Z611" s="1868">
        <v>3.6509800000000001</v>
      </c>
      <c r="AA611" s="1868">
        <v>3.9868099999999997</v>
      </c>
      <c r="AB611" s="1868">
        <v>3.6560300000000003</v>
      </c>
      <c r="AC611" s="1868">
        <v>3.7527699999999995</v>
      </c>
      <c r="AD611" s="1868">
        <v>3.9638100000000001</v>
      </c>
      <c r="AE611" s="1868">
        <v>3.9807099999999997</v>
      </c>
      <c r="AF611" s="1868">
        <v>3.9336599999999997</v>
      </c>
      <c r="AG611" s="1868">
        <v>4.5668899999999999</v>
      </c>
      <c r="AH611" s="1868">
        <v>4.6349499999999999</v>
      </c>
      <c r="AI611" s="1868">
        <v>4.5711599999999999</v>
      </c>
      <c r="AJ611" s="1868">
        <v>5.0016999999999996</v>
      </c>
      <c r="AK611" s="1868">
        <v>4.7197100000000001</v>
      </c>
      <c r="AL611" s="1868">
        <v>4.8351600000000001</v>
      </c>
      <c r="AM611" s="1868">
        <v>5.1140800000000004</v>
      </c>
      <c r="AN611" s="1868">
        <v>4.3233199999999998</v>
      </c>
      <c r="AO611" s="1868">
        <v>5.2078699999999998</v>
      </c>
      <c r="AP611" s="1868">
        <v>4.8843500000000004</v>
      </c>
      <c r="AQ611" s="1868">
        <v>4.5462499999999997</v>
      </c>
      <c r="AR611" s="1868">
        <v>4.6651300000000004</v>
      </c>
      <c r="AS611" s="1868">
        <v>4.8945999999999996</v>
      </c>
      <c r="AT611" s="1868">
        <v>4.7874300000000005</v>
      </c>
      <c r="AU611" s="1868">
        <v>5.0898900000000005</v>
      </c>
      <c r="AV611" s="1868">
        <v>5.2404800000000007</v>
      </c>
      <c r="AW611" s="1868">
        <v>5.2991900000000003</v>
      </c>
      <c r="AX611" s="1868">
        <v>5.1345300000000007</v>
      </c>
      <c r="AY611" s="1868">
        <v>5.5103900000000001</v>
      </c>
      <c r="AZ611" s="1868">
        <v>5.2294700000000001</v>
      </c>
      <c r="BA611" s="1868">
        <v>5.4272800000000005</v>
      </c>
    </row>
    <row r="612" spans="1:53">
      <c r="A612" s="1865" t="str">
        <f t="shared" si="9"/>
        <v>Eastern AsiaMaize, green</v>
      </c>
      <c r="B612" s="1866" t="s">
        <v>1354</v>
      </c>
      <c r="C612" s="1866" t="s">
        <v>1383</v>
      </c>
      <c r="D612" s="1868">
        <v>10.53585</v>
      </c>
      <c r="E612" s="1868">
        <v>10.10487</v>
      </c>
      <c r="F612" s="1868">
        <v>10.914060000000001</v>
      </c>
      <c r="G612" s="1868">
        <v>10.232560000000001</v>
      </c>
      <c r="H612" s="1868">
        <v>10.09266</v>
      </c>
      <c r="I612" s="1868">
        <v>10.285169999999999</v>
      </c>
      <c r="J612" s="1868">
        <v>11.21923</v>
      </c>
      <c r="K612" s="1868">
        <v>11.39344</v>
      </c>
      <c r="L612" s="1868">
        <v>11.117410000000001</v>
      </c>
      <c r="M612" s="1868">
        <v>11.084250000000001</v>
      </c>
      <c r="N612" s="1868">
        <v>10.661769999999999</v>
      </c>
      <c r="O612" s="1868">
        <v>11.415389999999999</v>
      </c>
      <c r="P612" s="1868">
        <v>10.904060000000001</v>
      </c>
      <c r="Q612" s="1868">
        <v>11.03636</v>
      </c>
      <c r="R612" s="1868">
        <v>11.05475</v>
      </c>
      <c r="S612" s="1868">
        <v>10.94506</v>
      </c>
      <c r="T612" s="1868">
        <v>10.945210000000001</v>
      </c>
      <c r="U612" s="1868">
        <v>10.91475</v>
      </c>
      <c r="V612" s="1868">
        <v>10.51568</v>
      </c>
      <c r="W612" s="1868">
        <v>10.259869999999999</v>
      </c>
      <c r="X612" s="1868">
        <v>9.5850100000000005</v>
      </c>
      <c r="Y612" s="1868">
        <v>10.138589999999999</v>
      </c>
      <c r="Z612" s="1868">
        <v>9.1010600000000004</v>
      </c>
      <c r="AA612" s="1868">
        <v>10.200530000000001</v>
      </c>
      <c r="AB612" s="1868">
        <v>9.8791200000000003</v>
      </c>
      <c r="AC612" s="1868">
        <v>10.47697</v>
      </c>
      <c r="AD612" s="1868">
        <v>10.235439999999999</v>
      </c>
      <c r="AE612" s="1868">
        <v>9.7608100000000011</v>
      </c>
      <c r="AF612" s="1868">
        <v>9.8371499999999994</v>
      </c>
      <c r="AG612" s="1868">
        <v>10.27913</v>
      </c>
      <c r="AH612" s="1868">
        <v>10.02068</v>
      </c>
      <c r="AI612" s="1868">
        <v>9.9115500000000001</v>
      </c>
      <c r="AJ612" s="1868">
        <v>9.2530099999999997</v>
      </c>
      <c r="AK612" s="1868">
        <v>10.32579</v>
      </c>
      <c r="AL612" s="1868">
        <v>9.6689899999999991</v>
      </c>
      <c r="AM612" s="1868">
        <v>9.225810000000001</v>
      </c>
      <c r="AN612" s="1868">
        <v>9.4375</v>
      </c>
      <c r="AO612" s="1868">
        <v>9.225810000000001</v>
      </c>
      <c r="AP612" s="1868">
        <v>9.8019999999999996</v>
      </c>
      <c r="AQ612" s="1868">
        <v>9.9655199999999997</v>
      </c>
      <c r="AR612" s="1868">
        <v>9.5534999999999997</v>
      </c>
      <c r="AS612" s="1868">
        <v>9.6771799999999999</v>
      </c>
      <c r="AT612" s="1868">
        <v>9.5996399999999991</v>
      </c>
      <c r="AU612" s="1868">
        <v>9.8669799999999999</v>
      </c>
      <c r="AV612" s="1868">
        <v>9.7011699999999994</v>
      </c>
      <c r="AW612" s="1868">
        <v>9.1491399999999992</v>
      </c>
      <c r="AX612" s="1868">
        <v>10.02298</v>
      </c>
      <c r="AY612" s="1868">
        <v>10.20168</v>
      </c>
      <c r="AZ612" s="1868">
        <v>9.3990100000000005</v>
      </c>
      <c r="BA612" s="1868">
        <v>9.0903100000000006</v>
      </c>
    </row>
    <row r="613" spans="1:53">
      <c r="A613" s="1865" t="str">
        <f t="shared" si="9"/>
        <v>Eastern AsiaMangoes, mangosteens, guavas</v>
      </c>
      <c r="B613" s="1866" t="s">
        <v>1354</v>
      </c>
      <c r="C613" s="1866" t="s">
        <v>1384</v>
      </c>
      <c r="D613" s="1868">
        <v>6.4130199999999995</v>
      </c>
      <c r="E613" s="1868">
        <v>5.83108</v>
      </c>
      <c r="F613" s="1868">
        <v>6.1553500000000003</v>
      </c>
      <c r="G613" s="1868">
        <v>5.7904599999999995</v>
      </c>
      <c r="H613" s="1868">
        <v>6.4114599999999999</v>
      </c>
      <c r="I613" s="1868">
        <v>4.5374099999999995</v>
      </c>
      <c r="J613" s="1868">
        <v>4.8590599999999995</v>
      </c>
      <c r="K613" s="1868">
        <v>3.9023500000000002</v>
      </c>
      <c r="L613" s="1868">
        <v>4.22837</v>
      </c>
      <c r="M613" s="1868">
        <v>3.9709099999999999</v>
      </c>
      <c r="N613" s="1868">
        <v>4.1200900000000003</v>
      </c>
      <c r="O613" s="1868">
        <v>5.0195400000000001</v>
      </c>
      <c r="P613" s="1868">
        <v>6.18973</v>
      </c>
      <c r="Q613" s="1868">
        <v>4.78172</v>
      </c>
      <c r="R613" s="1868">
        <v>4.3155400000000004</v>
      </c>
      <c r="S613" s="1868">
        <v>4.3460800000000006</v>
      </c>
      <c r="T613" s="1868">
        <v>4.1755300000000002</v>
      </c>
      <c r="U613" s="1868">
        <v>4.1205400000000001</v>
      </c>
      <c r="V613" s="1868">
        <v>5.8818299999999999</v>
      </c>
      <c r="W613" s="1868">
        <v>5.9865199999999996</v>
      </c>
      <c r="X613" s="1868">
        <v>6.7113300000000002</v>
      </c>
      <c r="Y613" s="1868">
        <v>5.7438900000000004</v>
      </c>
      <c r="Z613" s="1868">
        <v>5.45235</v>
      </c>
      <c r="AA613" s="1868">
        <v>5.5514800000000006</v>
      </c>
      <c r="AB613" s="1868">
        <v>5.76952</v>
      </c>
      <c r="AC613" s="1868">
        <v>6.1084699999999996</v>
      </c>
      <c r="AD613" s="1868">
        <v>7.0740999999999996</v>
      </c>
      <c r="AE613" s="1868">
        <v>6.8227500000000001</v>
      </c>
      <c r="AF613" s="1868">
        <v>6.6615000000000002</v>
      </c>
      <c r="AG613" s="1868">
        <v>8.1239500000000007</v>
      </c>
      <c r="AH613" s="1868">
        <v>9.26004</v>
      </c>
      <c r="AI613" s="1868">
        <v>7.6170999999999998</v>
      </c>
      <c r="AJ613" s="1868">
        <v>8.4542199999999994</v>
      </c>
      <c r="AK613" s="1868">
        <v>8.5006000000000004</v>
      </c>
      <c r="AL613" s="1868">
        <v>7.0179199999999993</v>
      </c>
      <c r="AM613" s="1868">
        <v>6.4923400000000004</v>
      </c>
      <c r="AN613" s="1868">
        <v>7.6965399999999997</v>
      </c>
      <c r="AO613" s="1868">
        <v>6.4208400000000001</v>
      </c>
      <c r="AP613" s="1868">
        <v>7.468160000000001</v>
      </c>
      <c r="AQ613" s="1868">
        <v>6.7037300000000002</v>
      </c>
      <c r="AR613" s="1868">
        <v>8.423</v>
      </c>
      <c r="AS613" s="1868">
        <v>8.9169499999999999</v>
      </c>
      <c r="AT613" s="1868">
        <v>8.7305499999999991</v>
      </c>
      <c r="AU613" s="1868">
        <v>9.1776</v>
      </c>
      <c r="AV613" s="1868">
        <v>9.8160500000000006</v>
      </c>
      <c r="AW613" s="1868">
        <v>9.3898499999999991</v>
      </c>
      <c r="AX613" s="1868">
        <v>8.3883299999999998</v>
      </c>
      <c r="AY613" s="1868">
        <v>8.7835099999999997</v>
      </c>
      <c r="AZ613" s="1868">
        <v>8.8719199999999994</v>
      </c>
      <c r="BA613" s="1868">
        <v>9.3498000000000001</v>
      </c>
    </row>
    <row r="614" spans="1:53">
      <c r="A614" s="1865" t="str">
        <f t="shared" si="9"/>
        <v>Eastern AsiaMillet</v>
      </c>
      <c r="B614" s="1866" t="s">
        <v>1354</v>
      </c>
      <c r="C614" s="1866" t="s">
        <v>1385</v>
      </c>
      <c r="D614" s="1868">
        <v>0.96762000000000004</v>
      </c>
      <c r="E614" s="1868">
        <v>0.82108999999999999</v>
      </c>
      <c r="F614" s="1868">
        <v>0.87846000000000002</v>
      </c>
      <c r="G614" s="1868">
        <v>0.97907999999999995</v>
      </c>
      <c r="H614" s="1868">
        <v>0.93956000000000006</v>
      </c>
      <c r="I614" s="1868">
        <v>1.2724799999999998</v>
      </c>
      <c r="J614" s="1868">
        <v>1.27084</v>
      </c>
      <c r="K614" s="1868">
        <v>1.2373299999999998</v>
      </c>
      <c r="L614" s="1868">
        <v>1.2239799999999998</v>
      </c>
      <c r="M614" s="1868">
        <v>1.40069</v>
      </c>
      <c r="N614" s="1868">
        <v>1.34874</v>
      </c>
      <c r="O614" s="1868">
        <v>1.07433</v>
      </c>
      <c r="P614" s="1868">
        <v>1.16215</v>
      </c>
      <c r="Q614" s="1868">
        <v>1.24475</v>
      </c>
      <c r="R614" s="1868">
        <v>1.22241</v>
      </c>
      <c r="S614" s="1868">
        <v>1.22973</v>
      </c>
      <c r="T614" s="1868">
        <v>1.36714</v>
      </c>
      <c r="U614" s="1868">
        <v>1.5261499999999999</v>
      </c>
      <c r="V614" s="1868">
        <v>1.46709</v>
      </c>
      <c r="W614" s="1868">
        <v>1.4007499999999999</v>
      </c>
      <c r="X614" s="1868">
        <v>1.47529</v>
      </c>
      <c r="Y614" s="1868">
        <v>1.62147</v>
      </c>
      <c r="Z614" s="1868">
        <v>1.83463</v>
      </c>
      <c r="AA614" s="1868">
        <v>1.8410500000000001</v>
      </c>
      <c r="AB614" s="1868">
        <v>1.7945200000000001</v>
      </c>
      <c r="AC614" s="1868">
        <v>1.5245600000000001</v>
      </c>
      <c r="AD614" s="1868">
        <v>1.68815</v>
      </c>
      <c r="AE614" s="1868">
        <v>1.7580799999999999</v>
      </c>
      <c r="AF614" s="1868">
        <v>1.57074</v>
      </c>
      <c r="AG614" s="1868">
        <v>1.9875400000000001</v>
      </c>
      <c r="AH614" s="1868">
        <v>1.6269100000000001</v>
      </c>
      <c r="AI614" s="1868">
        <v>1.7836799999999999</v>
      </c>
      <c r="AJ614" s="1868">
        <v>2.1856</v>
      </c>
      <c r="AK614" s="1868">
        <v>2.2171799999999999</v>
      </c>
      <c r="AL614" s="1868">
        <v>1.9856599999999998</v>
      </c>
      <c r="AM614" s="1868">
        <v>2.34538</v>
      </c>
      <c r="AN614" s="1868">
        <v>1.5953600000000001</v>
      </c>
      <c r="AO614" s="1868">
        <v>2.1927400000000001</v>
      </c>
      <c r="AP614" s="1868">
        <v>1.7547299999999999</v>
      </c>
      <c r="AQ614" s="1868">
        <v>1.7166099999999997</v>
      </c>
      <c r="AR614" s="1868">
        <v>1.7372000000000001</v>
      </c>
      <c r="AS614" s="1868">
        <v>1.9442299999999999</v>
      </c>
      <c r="AT614" s="1868">
        <v>1.95878</v>
      </c>
      <c r="AU614" s="1868">
        <v>2.0091799999999997</v>
      </c>
      <c r="AV614" s="1868">
        <v>2.1397300000000001</v>
      </c>
      <c r="AW614" s="1868">
        <v>2.1627900000000002</v>
      </c>
      <c r="AX614" s="1868">
        <v>1.8413099999999998</v>
      </c>
      <c r="AY614" s="1868">
        <v>1.62839</v>
      </c>
      <c r="AZ614" s="1868">
        <v>1.6070599999999999</v>
      </c>
      <c r="BA614" s="1868">
        <v>1.7345700000000002</v>
      </c>
    </row>
    <row r="615" spans="1:53">
      <c r="A615" s="1865" t="str">
        <f t="shared" si="9"/>
        <v>Eastern AsiaOats</v>
      </c>
      <c r="B615" s="1866" t="s">
        <v>1354</v>
      </c>
      <c r="C615" s="1866" t="s">
        <v>1349</v>
      </c>
      <c r="D615" s="1868">
        <v>1.00525</v>
      </c>
      <c r="E615" s="1868">
        <v>0.77951000000000004</v>
      </c>
      <c r="F615" s="1868">
        <v>1.00074</v>
      </c>
      <c r="G615" s="1868">
        <v>1.06037</v>
      </c>
      <c r="H615" s="1868">
        <v>1.06867</v>
      </c>
      <c r="I615" s="1868">
        <v>0.97691000000000006</v>
      </c>
      <c r="J615" s="1868">
        <v>1.06677</v>
      </c>
      <c r="K615" s="1868">
        <v>1.0614600000000001</v>
      </c>
      <c r="L615" s="1868">
        <v>0.85540000000000005</v>
      </c>
      <c r="M615" s="1868">
        <v>0.99560000000000004</v>
      </c>
      <c r="N615" s="1868">
        <v>0.94950000000000001</v>
      </c>
      <c r="O615" s="1868">
        <v>0.85902999999999996</v>
      </c>
      <c r="P615" s="1868">
        <v>0.88242999999999994</v>
      </c>
      <c r="Q615" s="1868">
        <v>1.13696</v>
      </c>
      <c r="R615" s="1868">
        <v>1.30043</v>
      </c>
      <c r="S615" s="1868">
        <v>1.4907299999999999</v>
      </c>
      <c r="T615" s="1868">
        <v>1.2078899999999999</v>
      </c>
      <c r="U615" s="1868">
        <v>1.34439</v>
      </c>
      <c r="V615" s="1868">
        <v>1.5707799999999998</v>
      </c>
      <c r="W615" s="1868">
        <v>1.48054</v>
      </c>
      <c r="X615" s="1868">
        <v>1.5692900000000001</v>
      </c>
      <c r="Y615" s="1868">
        <v>1.5949899999999999</v>
      </c>
      <c r="Z615" s="1868">
        <v>1.6204499999999999</v>
      </c>
      <c r="AA615" s="1868">
        <v>1.7737099999999999</v>
      </c>
      <c r="AB615" s="1868">
        <v>1.7542500000000001</v>
      </c>
      <c r="AC615" s="1868">
        <v>1.40707</v>
      </c>
      <c r="AD615" s="1868">
        <v>1.3120000000000001</v>
      </c>
      <c r="AE615" s="1868">
        <v>1.3513299999999999</v>
      </c>
      <c r="AF615" s="1868">
        <v>1.41669</v>
      </c>
      <c r="AG615" s="1868">
        <v>1.7686200000000001</v>
      </c>
      <c r="AH615" s="1868">
        <v>1.42936</v>
      </c>
      <c r="AI615" s="1868">
        <v>1.8772400000000002</v>
      </c>
      <c r="AJ615" s="1868">
        <v>1.7507400000000002</v>
      </c>
      <c r="AK615" s="1868">
        <v>2.3742099999999997</v>
      </c>
      <c r="AL615" s="1868">
        <v>1.9916200000000002</v>
      </c>
      <c r="AM615" s="1868">
        <v>2.3827799999999999</v>
      </c>
      <c r="AN615" s="1868">
        <v>2.57674</v>
      </c>
      <c r="AO615" s="1868">
        <v>2.5617700000000001</v>
      </c>
      <c r="AP615" s="1868">
        <v>2.3884699999999999</v>
      </c>
      <c r="AQ615" s="1868">
        <v>2.0869200000000001</v>
      </c>
      <c r="AR615" s="1868">
        <v>2.2216999999999998</v>
      </c>
      <c r="AS615" s="1868">
        <v>1.7718099999999999</v>
      </c>
      <c r="AT615" s="1868">
        <v>2.46611</v>
      </c>
      <c r="AU615" s="1868">
        <v>2.1871200000000002</v>
      </c>
      <c r="AV615" s="1868">
        <v>3.0713400000000002</v>
      </c>
      <c r="AW615" s="1868">
        <v>1.6412900000000001</v>
      </c>
      <c r="AX615" s="1868">
        <v>2.3425099999999999</v>
      </c>
      <c r="AY615" s="1868">
        <v>2.5691299999999999</v>
      </c>
      <c r="AZ615" s="1868">
        <v>2.83182</v>
      </c>
      <c r="BA615" s="1868">
        <v>2.9829699999999999</v>
      </c>
    </row>
    <row r="616" spans="1:53">
      <c r="A616" s="1865" t="str">
        <f t="shared" si="9"/>
        <v>Eastern AsiaOil palm fruit</v>
      </c>
      <c r="B616" s="1866" t="s">
        <v>1354</v>
      </c>
      <c r="C616" s="1866" t="s">
        <v>1386</v>
      </c>
      <c r="AB616" s="1868">
        <v>13.090910000000001</v>
      </c>
      <c r="AC616" s="1868">
        <v>13.584910000000001</v>
      </c>
      <c r="AD616" s="1868">
        <v>13.267329999999999</v>
      </c>
      <c r="AE616" s="1868">
        <v>12.67327</v>
      </c>
      <c r="AF616" s="1868">
        <v>12.978719999999999</v>
      </c>
      <c r="AG616" s="1868">
        <v>12.32558</v>
      </c>
      <c r="AH616" s="1868">
        <v>13.658539999999999</v>
      </c>
      <c r="AI616" s="1868">
        <v>14.024389999999999</v>
      </c>
      <c r="AJ616" s="1868">
        <v>14.63415</v>
      </c>
      <c r="AK616" s="1868">
        <v>14.63415</v>
      </c>
      <c r="AL616" s="1868">
        <v>14.63415</v>
      </c>
      <c r="AM616" s="1868">
        <v>14.476189999999999</v>
      </c>
      <c r="AN616" s="1868">
        <v>14.642860000000001</v>
      </c>
      <c r="AO616" s="1868">
        <v>14.465120000000001</v>
      </c>
      <c r="AP616" s="1868">
        <v>14.651160000000001</v>
      </c>
      <c r="AQ616" s="1868">
        <v>14.222220000000002</v>
      </c>
      <c r="AR616" s="1868">
        <v>13.829789999999999</v>
      </c>
      <c r="AS616" s="1868">
        <v>14.04255</v>
      </c>
      <c r="AT616" s="1868">
        <v>14.255320000000001</v>
      </c>
      <c r="AU616" s="1868">
        <v>14.361700000000001</v>
      </c>
      <c r="AV616" s="1868">
        <v>14.361700000000001</v>
      </c>
      <c r="AW616" s="1868">
        <v>14.44444</v>
      </c>
      <c r="AX616" s="1868">
        <v>13.854170000000002</v>
      </c>
      <c r="AY616" s="1868">
        <v>13.916670000000002</v>
      </c>
      <c r="AZ616" s="1868">
        <v>13.4</v>
      </c>
      <c r="BA616" s="1868">
        <v>13.4</v>
      </c>
    </row>
    <row r="617" spans="1:53">
      <c r="A617" s="1865" t="str">
        <f t="shared" si="9"/>
        <v>Eastern AsiaOlives</v>
      </c>
      <c r="B617" s="1866" t="s">
        <v>1354</v>
      </c>
      <c r="C617" s="1866" t="s">
        <v>1387</v>
      </c>
      <c r="D617" s="1868">
        <v>6.86022</v>
      </c>
      <c r="E617" s="1868">
        <v>10.471910000000001</v>
      </c>
      <c r="F617" s="1868">
        <v>9.7801100000000005</v>
      </c>
      <c r="G617" s="1868">
        <v>13.8377</v>
      </c>
      <c r="H617" s="1868">
        <v>8.5313999999999997</v>
      </c>
      <c r="I617" s="1868">
        <v>8.3168299999999995</v>
      </c>
      <c r="J617" s="1868">
        <v>9.0402000000000005</v>
      </c>
      <c r="K617" s="1868">
        <v>15.01961</v>
      </c>
      <c r="L617" s="1868">
        <v>12.36571</v>
      </c>
      <c r="M617" s="1868">
        <v>7.8631000000000002</v>
      </c>
      <c r="N617" s="1868">
        <v>8.4459499999999998</v>
      </c>
      <c r="O617" s="1868">
        <v>6.7910500000000003</v>
      </c>
      <c r="P617" s="1868">
        <v>9.8684200000000004</v>
      </c>
      <c r="Q617" s="1868">
        <v>8.7798199999999991</v>
      </c>
      <c r="R617" s="1868">
        <v>7.2190500000000002</v>
      </c>
      <c r="S617" s="1868">
        <v>8.8920899999999996</v>
      </c>
      <c r="T617" s="1868">
        <v>11.103899999999999</v>
      </c>
      <c r="U617" s="1868">
        <v>8.7692300000000003</v>
      </c>
      <c r="V617" s="1868">
        <v>9.2545500000000001</v>
      </c>
      <c r="W617" s="1868">
        <v>8.15625</v>
      </c>
      <c r="X617" s="1868">
        <v>5.3114800000000004</v>
      </c>
      <c r="Y617" s="1868">
        <v>10.70213</v>
      </c>
      <c r="Z617" s="1868">
        <v>13.595750000000001</v>
      </c>
      <c r="AA617" s="1868">
        <v>13.5</v>
      </c>
      <c r="AB617" s="1868">
        <v>9.22105</v>
      </c>
      <c r="AC617" s="1868">
        <v>7.3611100000000009</v>
      </c>
      <c r="AD617" s="1868">
        <v>7.7628899999999996</v>
      </c>
      <c r="AE617" s="1868">
        <v>6.5517199999999995</v>
      </c>
      <c r="AF617" s="1868">
        <v>11.636049999999999</v>
      </c>
      <c r="AG617" s="1868">
        <v>10.118499999999999</v>
      </c>
      <c r="AH617" s="1868">
        <v>10.199350000000001</v>
      </c>
      <c r="AI617" s="1868">
        <v>7.577560000000001</v>
      </c>
      <c r="AJ617" s="1868">
        <v>8.1625800000000002</v>
      </c>
      <c r="AK617" s="1868">
        <v>8.2607300000000006</v>
      </c>
      <c r="AL617" s="1868">
        <v>9.1010799999999996</v>
      </c>
      <c r="AM617" s="1868">
        <v>7.410260000000001</v>
      </c>
      <c r="AN617" s="1868">
        <v>8.078339999999999</v>
      </c>
      <c r="AO617" s="1868">
        <v>6.9285699999999997</v>
      </c>
      <c r="AP617" s="1868">
        <v>7.8867199999999995</v>
      </c>
      <c r="AQ617" s="1868">
        <v>8.2929899999999996</v>
      </c>
      <c r="AR617" s="1868">
        <v>8.2293599999999998</v>
      </c>
      <c r="AS617" s="1868">
        <v>8.2475899999999989</v>
      </c>
      <c r="AT617" s="1868">
        <v>8.1881199999999996</v>
      </c>
      <c r="AU617" s="1868">
        <v>8.6133299999999995</v>
      </c>
      <c r="AV617" s="1868">
        <v>7.9470199999999993</v>
      </c>
      <c r="AW617" s="1868">
        <v>8.33</v>
      </c>
      <c r="AX617" s="1868">
        <v>8.2926099999999998</v>
      </c>
      <c r="AY617" s="1868">
        <v>8.17333</v>
      </c>
      <c r="AZ617" s="1868">
        <v>8.61</v>
      </c>
      <c r="BA617" s="1868">
        <v>10.357139999999999</v>
      </c>
    </row>
    <row r="618" spans="1:53">
      <c r="A618" s="1865" t="str">
        <f t="shared" si="9"/>
        <v>Eastern AsiaOnions, dry</v>
      </c>
      <c r="B618" s="1866" t="s">
        <v>1354</v>
      </c>
      <c r="C618" s="1866" t="s">
        <v>1388</v>
      </c>
      <c r="D618" s="1868">
        <v>14.813560000000001</v>
      </c>
      <c r="E618" s="1868">
        <v>15.13659</v>
      </c>
      <c r="F618" s="1868">
        <v>15.134539999999999</v>
      </c>
      <c r="G618" s="1868">
        <v>16.06766</v>
      </c>
      <c r="H618" s="1868">
        <v>16.46922</v>
      </c>
      <c r="I618" s="1868">
        <v>17.561309999999999</v>
      </c>
      <c r="J618" s="1868">
        <v>17.531320000000001</v>
      </c>
      <c r="K618" s="1868">
        <v>19.468800000000002</v>
      </c>
      <c r="L618" s="1868">
        <v>20.40382</v>
      </c>
      <c r="M618" s="1868">
        <v>21.619779999999999</v>
      </c>
      <c r="N618" s="1868">
        <v>22.077179999999998</v>
      </c>
      <c r="O618" s="1868">
        <v>21.433599999999998</v>
      </c>
      <c r="P618" s="1868">
        <v>20.610520000000001</v>
      </c>
      <c r="Q618" s="1868">
        <v>21.46996</v>
      </c>
      <c r="R618" s="1868">
        <v>21.33381</v>
      </c>
      <c r="S618" s="1868">
        <v>22.00808</v>
      </c>
      <c r="T618" s="1868">
        <v>21.686959999999999</v>
      </c>
      <c r="U618" s="1868">
        <v>20.626839999999998</v>
      </c>
      <c r="V618" s="1868">
        <v>22.164439999999999</v>
      </c>
      <c r="W618" s="1868">
        <v>21.167579999999997</v>
      </c>
      <c r="X618" s="1868">
        <v>21.259810000000002</v>
      </c>
      <c r="Y618" s="1868">
        <v>21.59076</v>
      </c>
      <c r="Z618" s="1868">
        <v>21.72289</v>
      </c>
      <c r="AA618" s="1868">
        <v>20.68967</v>
      </c>
      <c r="AB618" s="1868">
        <v>23.01464</v>
      </c>
      <c r="AC618" s="1868">
        <v>22.78999</v>
      </c>
      <c r="AD618" s="1868">
        <v>23.41742</v>
      </c>
      <c r="AE618" s="1868">
        <v>23.370520000000003</v>
      </c>
      <c r="AF618" s="1868">
        <v>23.421189999999999</v>
      </c>
      <c r="AG618" s="1868">
        <v>23.549109999999999</v>
      </c>
      <c r="AH618" s="1868">
        <v>23.72955</v>
      </c>
      <c r="AI618" s="1868">
        <v>25.18347</v>
      </c>
      <c r="AJ618" s="1868">
        <v>23.049039999999998</v>
      </c>
      <c r="AK618" s="1868">
        <v>23.430150000000001</v>
      </c>
      <c r="AL618" s="1868">
        <v>24.770240000000001</v>
      </c>
      <c r="AM618" s="1868">
        <v>24.130240000000001</v>
      </c>
      <c r="AN618" s="1868">
        <v>22.134539999999998</v>
      </c>
      <c r="AO618" s="1868">
        <v>22.846810000000001</v>
      </c>
      <c r="AP618" s="1868">
        <v>22.479189999999999</v>
      </c>
      <c r="AQ618" s="1868">
        <v>22.76558</v>
      </c>
      <c r="AR618" s="1868">
        <v>22.566310000000001</v>
      </c>
      <c r="AS618" s="1868">
        <v>23.022379999999998</v>
      </c>
      <c r="AT618" s="1868">
        <v>23.15559</v>
      </c>
      <c r="AU618" s="1868">
        <v>22.526510000000002</v>
      </c>
      <c r="AV618" s="1868">
        <v>22.41244</v>
      </c>
      <c r="AW618" s="1868">
        <v>21.793329999999997</v>
      </c>
      <c r="AX618" s="1868">
        <v>22.018370000000001</v>
      </c>
      <c r="AY618" s="1868">
        <v>23.726329999999997</v>
      </c>
      <c r="AZ618" s="1868">
        <v>23.71538</v>
      </c>
      <c r="BA618" s="1868">
        <v>23.422979999999999</v>
      </c>
    </row>
    <row r="619" spans="1:53">
      <c r="A619" s="1865" t="str">
        <f t="shared" si="9"/>
        <v>Eastern AsiaOranges</v>
      </c>
      <c r="B619" s="1866" t="s">
        <v>1354</v>
      </c>
      <c r="C619" s="1866" t="s">
        <v>1389</v>
      </c>
      <c r="D619" s="1868">
        <v>7.98353</v>
      </c>
      <c r="E619" s="1868">
        <v>7.7668399999999993</v>
      </c>
      <c r="F619" s="1868">
        <v>5.8981300000000001</v>
      </c>
      <c r="G619" s="1868">
        <v>7.405289999999999</v>
      </c>
      <c r="H619" s="1868">
        <v>7.8175600000000003</v>
      </c>
      <c r="I619" s="1868">
        <v>7.8704399999999994</v>
      </c>
      <c r="J619" s="1868">
        <v>7.2755399999999995</v>
      </c>
      <c r="K619" s="1868">
        <v>7.5473300000000005</v>
      </c>
      <c r="L619" s="1868">
        <v>9.4807899999999989</v>
      </c>
      <c r="M619" s="1868">
        <v>7.3376199999999994</v>
      </c>
      <c r="N619" s="1868">
        <v>9.2446900000000003</v>
      </c>
      <c r="O619" s="1868">
        <v>8.4722799999999996</v>
      </c>
      <c r="P619" s="1868">
        <v>10.505469999999999</v>
      </c>
      <c r="Q619" s="1868">
        <v>9.1236999999999995</v>
      </c>
      <c r="R619" s="1868">
        <v>10.15432</v>
      </c>
      <c r="S619" s="1868">
        <v>9.5795600000000007</v>
      </c>
      <c r="T619" s="1868">
        <v>8.4653399999999994</v>
      </c>
      <c r="U619" s="1868">
        <v>9.3576999999999995</v>
      </c>
      <c r="V619" s="1868">
        <v>7.8448899999999995</v>
      </c>
      <c r="W619" s="1868">
        <v>8.2296899999999997</v>
      </c>
      <c r="X619" s="1868">
        <v>6.6128899999999993</v>
      </c>
      <c r="Y619" s="1868">
        <v>7.3211899999999996</v>
      </c>
      <c r="Z619" s="1868">
        <v>8.1444399999999995</v>
      </c>
      <c r="AA619" s="1868">
        <v>7.6547399999999994</v>
      </c>
      <c r="AB619" s="1868">
        <v>6.4751900000000004</v>
      </c>
      <c r="AC619" s="1868">
        <v>5.7890899999999998</v>
      </c>
      <c r="AD619" s="1868">
        <v>5.7240199999999994</v>
      </c>
      <c r="AE619" s="1868">
        <v>4.3917699999999993</v>
      </c>
      <c r="AF619" s="1868">
        <v>5.7459499999999997</v>
      </c>
      <c r="AG619" s="1868">
        <v>5.6717900000000006</v>
      </c>
      <c r="AH619" s="1868">
        <v>6.8495699999999999</v>
      </c>
      <c r="AI619" s="1868">
        <v>5.6620599999999994</v>
      </c>
      <c r="AJ619" s="1868">
        <v>6.564960000000001</v>
      </c>
      <c r="AK619" s="1868">
        <v>6.7078199999999999</v>
      </c>
      <c r="AL619" s="1868">
        <v>7.4346800000000002</v>
      </c>
      <c r="AM619" s="1868">
        <v>7.4147699999999999</v>
      </c>
      <c r="AN619" s="1868">
        <v>6.93283</v>
      </c>
      <c r="AO619" s="1868">
        <v>5.2944399999999998</v>
      </c>
      <c r="AP619" s="1868">
        <v>5.5069599999999994</v>
      </c>
      <c r="AQ619" s="1868">
        <v>4.86972</v>
      </c>
      <c r="AR619" s="1868">
        <v>5.9457900000000006</v>
      </c>
      <c r="AS619" s="1868">
        <v>6.0300199999999995</v>
      </c>
      <c r="AT619" s="1868">
        <v>6.9230399999999994</v>
      </c>
      <c r="AU619" s="1868">
        <v>7.0331600000000005</v>
      </c>
      <c r="AV619" s="1868">
        <v>7.7267299999999999</v>
      </c>
      <c r="AW619" s="1868">
        <v>8.5067399999999989</v>
      </c>
      <c r="AX619" s="1868">
        <v>9.2380100000000009</v>
      </c>
      <c r="AY619" s="1868">
        <v>10.800410000000001</v>
      </c>
      <c r="AZ619" s="1868">
        <v>11.97847</v>
      </c>
      <c r="BA619" s="1868">
        <v>13.30991</v>
      </c>
    </row>
    <row r="620" spans="1:53">
      <c r="A620" s="1865" t="str">
        <f t="shared" si="9"/>
        <v>Eastern AsiaPeaches and nectarines</v>
      </c>
      <c r="B620" s="1866" t="s">
        <v>1354</v>
      </c>
      <c r="C620" s="1866" t="s">
        <v>1390</v>
      </c>
      <c r="D620" s="1868">
        <v>7.7640199999999995</v>
      </c>
      <c r="E620" s="1868">
        <v>6.8072699999999999</v>
      </c>
      <c r="F620" s="1868">
        <v>7.1500500000000002</v>
      </c>
      <c r="G620" s="1868">
        <v>6.5524300000000002</v>
      </c>
      <c r="H620" s="1868">
        <v>6.5902100000000008</v>
      </c>
      <c r="I620" s="1868">
        <v>5.4468399999999999</v>
      </c>
      <c r="J620" s="1868">
        <v>5.5467300000000002</v>
      </c>
      <c r="K620" s="1868">
        <v>5.02217</v>
      </c>
      <c r="L620" s="1868">
        <v>5.5641600000000002</v>
      </c>
      <c r="M620" s="1868">
        <v>5.3318400000000006</v>
      </c>
      <c r="N620" s="1868">
        <v>5.0147500000000003</v>
      </c>
      <c r="O620" s="1868">
        <v>6.2003300000000001</v>
      </c>
      <c r="P620" s="1868">
        <v>7.22567</v>
      </c>
      <c r="Q620" s="1868">
        <v>5.9514699999999996</v>
      </c>
      <c r="R620" s="1868">
        <v>5.7072699999999994</v>
      </c>
      <c r="S620" s="1868">
        <v>5.4893300000000007</v>
      </c>
      <c r="T620" s="1868">
        <v>4.7701599999999997</v>
      </c>
      <c r="U620" s="1868">
        <v>5.5708400000000005</v>
      </c>
      <c r="V620" s="1868">
        <v>6.8444000000000003</v>
      </c>
      <c r="W620" s="1868">
        <v>6.2166499999999996</v>
      </c>
      <c r="X620" s="1868">
        <v>6.3962199999999996</v>
      </c>
      <c r="Y620" s="1868">
        <v>5.5389800000000005</v>
      </c>
      <c r="Z620" s="1868">
        <v>6.0473099999999995</v>
      </c>
      <c r="AA620" s="1868">
        <v>5.5949599999999995</v>
      </c>
      <c r="AB620" s="1868">
        <v>3.5462699999999998</v>
      </c>
      <c r="AC620" s="1868">
        <v>3.0884099999999997</v>
      </c>
      <c r="AD620" s="1868">
        <v>3.0119400000000001</v>
      </c>
      <c r="AE620" s="1868">
        <v>2.33847</v>
      </c>
      <c r="AF620" s="1868">
        <v>1.9643999999999999</v>
      </c>
      <c r="AG620" s="1868">
        <v>3.02488</v>
      </c>
      <c r="AH620" s="1868">
        <v>3.3395300000000003</v>
      </c>
      <c r="AI620" s="1868">
        <v>3.3430400000000002</v>
      </c>
      <c r="AJ620" s="1868">
        <v>3.9931000000000001</v>
      </c>
      <c r="AK620" s="1868">
        <v>4.5579499999999999</v>
      </c>
      <c r="AL620" s="1868">
        <v>5.3460199999999993</v>
      </c>
      <c r="AM620" s="1868">
        <v>5.9719499999999996</v>
      </c>
      <c r="AN620" s="1868">
        <v>7.3314100000000009</v>
      </c>
      <c r="AO620" s="1868">
        <v>7.6995800000000001</v>
      </c>
      <c r="AP620" s="1868">
        <v>8.4440799999999996</v>
      </c>
      <c r="AQ620" s="1868">
        <v>8.4882299999999997</v>
      </c>
      <c r="AR620" s="1868">
        <v>10.197280000000001</v>
      </c>
      <c r="AS620" s="1868">
        <v>9.7035699999999991</v>
      </c>
      <c r="AT620" s="1868">
        <v>10.196480000000001</v>
      </c>
      <c r="AU620" s="1868">
        <v>10.6289</v>
      </c>
      <c r="AV620" s="1868">
        <v>11.27549</v>
      </c>
      <c r="AW620" s="1868">
        <v>12.16907</v>
      </c>
      <c r="AX620" s="1868">
        <v>12.846869999999999</v>
      </c>
      <c r="AY620" s="1868">
        <v>13.569089999999999</v>
      </c>
      <c r="AZ620" s="1868">
        <v>14.238729999999999</v>
      </c>
      <c r="BA620" s="1868">
        <v>14.31306</v>
      </c>
    </row>
    <row r="621" spans="1:53">
      <c r="A621" s="1865" t="str">
        <f t="shared" si="9"/>
        <v>Eastern AsiaPeas, dry</v>
      </c>
      <c r="B621" s="1866" t="s">
        <v>1354</v>
      </c>
      <c r="C621" s="1866" t="s">
        <v>1391</v>
      </c>
      <c r="D621" s="1868">
        <v>0.98902000000000012</v>
      </c>
      <c r="E621" s="1868">
        <v>1.1803900000000001</v>
      </c>
      <c r="F621" s="1868">
        <v>1.1062000000000001</v>
      </c>
      <c r="G621" s="1868">
        <v>1.23967</v>
      </c>
      <c r="H621" s="1868">
        <v>1.2401200000000001</v>
      </c>
      <c r="I621" s="1868">
        <v>0.99944</v>
      </c>
      <c r="J621" s="1868">
        <v>1.00031</v>
      </c>
      <c r="K621" s="1868">
        <v>0.91392999999999991</v>
      </c>
      <c r="L621" s="1868">
        <v>0.90966000000000002</v>
      </c>
      <c r="M621" s="1868">
        <v>1.04508</v>
      </c>
      <c r="N621" s="1868">
        <v>1.1578600000000001</v>
      </c>
      <c r="O621" s="1868">
        <v>1.0533399999999999</v>
      </c>
      <c r="P621" s="1868">
        <v>1.10561</v>
      </c>
      <c r="Q621" s="1868">
        <v>1.16645</v>
      </c>
      <c r="R621" s="1868">
        <v>1.1658999999999999</v>
      </c>
      <c r="S621" s="1868">
        <v>1.2213499999999999</v>
      </c>
      <c r="T621" s="1868">
        <v>1.1109200000000001</v>
      </c>
      <c r="U621" s="1868">
        <v>1.5692999999999999</v>
      </c>
      <c r="V621" s="1868">
        <v>1.5313399999999999</v>
      </c>
      <c r="W621" s="1868">
        <v>1.6412</v>
      </c>
      <c r="X621" s="1868">
        <v>1.5694700000000001</v>
      </c>
      <c r="Y621" s="1868">
        <v>1.4276799999999998</v>
      </c>
      <c r="Z621" s="1868">
        <v>1.4091400000000001</v>
      </c>
      <c r="AA621" s="1868">
        <v>1.50742</v>
      </c>
      <c r="AB621" s="1868">
        <v>1.3146</v>
      </c>
      <c r="AC621" s="1868">
        <v>1.31572</v>
      </c>
      <c r="AD621" s="1868">
        <v>1.31677</v>
      </c>
      <c r="AE621" s="1868">
        <v>1.4377599999999999</v>
      </c>
      <c r="AF621" s="1868">
        <v>1.09514</v>
      </c>
      <c r="AG621" s="1868">
        <v>1.5366</v>
      </c>
      <c r="AH621" s="1868">
        <v>1.3787</v>
      </c>
      <c r="AI621" s="1868">
        <v>1.3421399999999999</v>
      </c>
      <c r="AJ621" s="1868">
        <v>1.60039</v>
      </c>
      <c r="AK621" s="1868">
        <v>1.5802</v>
      </c>
      <c r="AL621" s="1868">
        <v>1.5553999999999999</v>
      </c>
      <c r="AM621" s="1868">
        <v>1.6210100000000001</v>
      </c>
      <c r="AN621" s="1868">
        <v>1.4927600000000001</v>
      </c>
      <c r="AO621" s="1868">
        <v>1.60199</v>
      </c>
      <c r="AP621" s="1868">
        <v>1.25349</v>
      </c>
      <c r="AQ621" s="1868">
        <v>1.2145700000000001</v>
      </c>
      <c r="AR621" s="1868">
        <v>1.1893899999999999</v>
      </c>
      <c r="AS621" s="1868">
        <v>1.5791999999999999</v>
      </c>
      <c r="AT621" s="1868">
        <v>1.48969</v>
      </c>
      <c r="AU621" s="1868">
        <v>1.2077899999999999</v>
      </c>
      <c r="AV621" s="1868">
        <v>1.1555200000000001</v>
      </c>
      <c r="AW621" s="1868">
        <v>1.12622</v>
      </c>
      <c r="AX621" s="1868">
        <v>1.1016299999999999</v>
      </c>
      <c r="AY621" s="1868">
        <v>1.18984</v>
      </c>
      <c r="AZ621" s="1868">
        <v>1.0978299999999999</v>
      </c>
      <c r="BA621" s="1868">
        <v>1.1238700000000001</v>
      </c>
    </row>
    <row r="622" spans="1:53">
      <c r="A622" s="1865" t="str">
        <f t="shared" si="9"/>
        <v>Eastern AsiaPeas, green</v>
      </c>
      <c r="B622" s="1866" t="s">
        <v>1354</v>
      </c>
      <c r="C622" s="1866" t="s">
        <v>1392</v>
      </c>
      <c r="D622" s="1868">
        <v>5.89276</v>
      </c>
      <c r="E622" s="1868">
        <v>5.8502800000000006</v>
      </c>
      <c r="F622" s="1868">
        <v>4.9050599999999998</v>
      </c>
      <c r="G622" s="1868">
        <v>5.4844999999999997</v>
      </c>
      <c r="H622" s="1868">
        <v>5.4693100000000001</v>
      </c>
      <c r="I622" s="1868">
        <v>5.3369200000000001</v>
      </c>
      <c r="J622" s="1868">
        <v>5.1912400000000005</v>
      </c>
      <c r="K622" s="1868">
        <v>5.2564099999999998</v>
      </c>
      <c r="L622" s="1868">
        <v>5.3494199999999994</v>
      </c>
      <c r="M622" s="1868">
        <v>5.3094800000000006</v>
      </c>
      <c r="N622" s="1868">
        <v>5.7007599999999998</v>
      </c>
      <c r="O622" s="1868">
        <v>5.6852499999999999</v>
      </c>
      <c r="P622" s="1868">
        <v>5.5782800000000003</v>
      </c>
      <c r="Q622" s="1868">
        <v>5.7702999999999998</v>
      </c>
      <c r="R622" s="1868">
        <v>5.6828799999999999</v>
      </c>
      <c r="S622" s="1868">
        <v>5.3948199999999993</v>
      </c>
      <c r="T622" s="1868">
        <v>5.4561000000000002</v>
      </c>
      <c r="U622" s="1868">
        <v>5.4554499999999999</v>
      </c>
      <c r="V622" s="1868">
        <v>5.3653599999999999</v>
      </c>
      <c r="W622" s="1868">
        <v>5.2157999999999998</v>
      </c>
      <c r="X622" s="1868">
        <v>5.2673300000000003</v>
      </c>
      <c r="Y622" s="1868">
        <v>5.4917999999999996</v>
      </c>
      <c r="Z622" s="1868">
        <v>5.4673699999999998</v>
      </c>
      <c r="AA622" s="1868">
        <v>5.9341099999999996</v>
      </c>
      <c r="AB622" s="1868">
        <v>5.9661999999999997</v>
      </c>
      <c r="AC622" s="1868">
        <v>6.26877</v>
      </c>
      <c r="AD622" s="1868">
        <v>6.2418300000000002</v>
      </c>
      <c r="AE622" s="1868">
        <v>7.5603399999999992</v>
      </c>
      <c r="AF622" s="1868">
        <v>7.6573899999999995</v>
      </c>
      <c r="AG622" s="1868">
        <v>7.7698499999999999</v>
      </c>
      <c r="AH622" s="1868">
        <v>7.7976300000000007</v>
      </c>
      <c r="AI622" s="1868">
        <v>7.7586699999999995</v>
      </c>
      <c r="AJ622" s="1868">
        <v>7.8988199999999997</v>
      </c>
      <c r="AK622" s="1868">
        <v>7.9705100000000009</v>
      </c>
      <c r="AL622" s="1868">
        <v>7.7402699999999998</v>
      </c>
      <c r="AM622" s="1868">
        <v>7.9879800000000003</v>
      </c>
      <c r="AN622" s="1868">
        <v>7.9151100000000003</v>
      </c>
      <c r="AO622" s="1868">
        <v>7.9497300000000006</v>
      </c>
      <c r="AP622" s="1868">
        <v>7.8717800000000002</v>
      </c>
      <c r="AQ622" s="1868">
        <v>7.8037600000000005</v>
      </c>
      <c r="AR622" s="1868">
        <v>7.9119199999999994</v>
      </c>
      <c r="AS622" s="1868">
        <v>7.9199199999999994</v>
      </c>
      <c r="AT622" s="1868">
        <v>7.7186300000000001</v>
      </c>
      <c r="AU622" s="1868">
        <v>7.9257300000000006</v>
      </c>
      <c r="AV622" s="1868">
        <v>7.5906799999999999</v>
      </c>
      <c r="AW622" s="1868">
        <v>7.9919799999999999</v>
      </c>
      <c r="AX622" s="1868">
        <v>7.7338500000000003</v>
      </c>
      <c r="AY622" s="1868">
        <v>7.9894300000000005</v>
      </c>
      <c r="AZ622" s="1868">
        <v>7.988760000000001</v>
      </c>
      <c r="BA622" s="1868">
        <v>8.0028399999999991</v>
      </c>
    </row>
    <row r="623" spans="1:53">
      <c r="A623" s="1865" t="str">
        <f t="shared" si="9"/>
        <v>Eastern AsiaPineapples</v>
      </c>
      <c r="B623" s="1866" t="s">
        <v>1354</v>
      </c>
      <c r="C623" s="1866" t="s">
        <v>1351</v>
      </c>
      <c r="D623" s="1868">
        <v>15.543839999999999</v>
      </c>
      <c r="E623" s="1868">
        <v>15.34131</v>
      </c>
      <c r="F623" s="1868">
        <v>13.908429999999999</v>
      </c>
      <c r="G623" s="1868">
        <v>16.48958</v>
      </c>
      <c r="H623" s="1868">
        <v>16.584329999999998</v>
      </c>
      <c r="I623" s="1868">
        <v>18.259129999999999</v>
      </c>
      <c r="J623" s="1868">
        <v>19.190370000000001</v>
      </c>
      <c r="K623" s="1868">
        <v>19.486470000000001</v>
      </c>
      <c r="L623" s="1868">
        <v>20.607060000000001</v>
      </c>
      <c r="M623" s="1868">
        <v>19.46067</v>
      </c>
      <c r="N623" s="1868">
        <v>19.850770000000001</v>
      </c>
      <c r="O623" s="1868">
        <v>18.916</v>
      </c>
      <c r="P623" s="1868">
        <v>19.786020000000001</v>
      </c>
      <c r="Q623" s="1868">
        <v>18.567510000000002</v>
      </c>
      <c r="R623" s="1868">
        <v>19.585100000000001</v>
      </c>
      <c r="S623" s="1868">
        <v>19.25067</v>
      </c>
      <c r="T623" s="1868">
        <v>20.362590000000001</v>
      </c>
      <c r="U623" s="1868">
        <v>19.00891</v>
      </c>
      <c r="V623" s="1868">
        <v>19.984929999999999</v>
      </c>
      <c r="W623" s="1868">
        <v>19.953689999999998</v>
      </c>
      <c r="X623" s="1868">
        <v>17.813579999999998</v>
      </c>
      <c r="Y623" s="1868">
        <v>17.59318</v>
      </c>
      <c r="Z623" s="1868">
        <v>16.433340000000001</v>
      </c>
      <c r="AA623" s="1868">
        <v>16.780390000000001</v>
      </c>
      <c r="AB623" s="1868">
        <v>18.837579999999999</v>
      </c>
      <c r="AC623" s="1868">
        <v>24.254660000000001</v>
      </c>
      <c r="AD623" s="1868">
        <v>25.075329999999997</v>
      </c>
      <c r="AE623" s="1868">
        <v>26.714279999999999</v>
      </c>
      <c r="AF623" s="1868">
        <v>26.149000000000001</v>
      </c>
      <c r="AG623" s="1868">
        <v>26.289859999999997</v>
      </c>
      <c r="AH623" s="1868">
        <v>27.02338</v>
      </c>
      <c r="AI623" s="1868">
        <v>25.76962</v>
      </c>
      <c r="AJ623" s="1868">
        <v>29.531300000000002</v>
      </c>
      <c r="AK623" s="1868">
        <v>27.002609999999997</v>
      </c>
      <c r="AL623" s="1868">
        <v>27.253270000000001</v>
      </c>
      <c r="AM623" s="1868">
        <v>24.943920000000002</v>
      </c>
      <c r="AN623" s="1868">
        <v>22.600189999999998</v>
      </c>
      <c r="AO623" s="1868">
        <v>25.821249999999999</v>
      </c>
      <c r="AP623" s="1868">
        <v>26.01587</v>
      </c>
      <c r="AQ623" s="1868">
        <v>22.937729999999998</v>
      </c>
      <c r="AR623" s="1868">
        <v>18.209250000000001</v>
      </c>
      <c r="AS623" s="1868">
        <v>19.110020000000002</v>
      </c>
      <c r="AT623" s="1868">
        <v>20.356059999999999</v>
      </c>
      <c r="AU623" s="1868">
        <v>20.683689999999999</v>
      </c>
      <c r="AV623" s="1868">
        <v>20.756329999999998</v>
      </c>
      <c r="AW623" s="1868">
        <v>21.574539999999999</v>
      </c>
      <c r="AX623" s="1868">
        <v>20.847860000000001</v>
      </c>
      <c r="AY623" s="1868">
        <v>21.667460000000002</v>
      </c>
      <c r="AZ623" s="1868">
        <v>23.109310000000001</v>
      </c>
      <c r="BA623" s="1868">
        <v>26.462109999999999</v>
      </c>
    </row>
    <row r="624" spans="1:53">
      <c r="A624" s="1865" t="str">
        <f t="shared" si="9"/>
        <v>Eastern AsiaPotatoes</v>
      </c>
      <c r="B624" s="1866" t="s">
        <v>1354</v>
      </c>
      <c r="C624" s="1866" t="s">
        <v>1394</v>
      </c>
      <c r="D624" s="1868">
        <v>10.99361</v>
      </c>
      <c r="E624" s="1868">
        <v>10.141589999999999</v>
      </c>
      <c r="F624" s="1868">
        <v>9.0437499999999993</v>
      </c>
      <c r="G624" s="1868">
        <v>9.9180899999999994</v>
      </c>
      <c r="H624" s="1868">
        <v>10.46813</v>
      </c>
      <c r="I624" s="1868">
        <v>9.7994800000000009</v>
      </c>
      <c r="J624" s="1868">
        <v>9.8754600000000003</v>
      </c>
      <c r="K624" s="1868">
        <v>10.00854</v>
      </c>
      <c r="L624" s="1868">
        <v>10.995460000000001</v>
      </c>
      <c r="M624" s="1868">
        <v>11.59928</v>
      </c>
      <c r="N624" s="1868">
        <v>11.18801</v>
      </c>
      <c r="O624" s="1868">
        <v>11.003550000000001</v>
      </c>
      <c r="P624" s="1868">
        <v>14.04241</v>
      </c>
      <c r="Q624" s="1868">
        <v>13.41511</v>
      </c>
      <c r="R624" s="1868">
        <v>12.304739999999999</v>
      </c>
      <c r="S624" s="1868">
        <v>12.29815</v>
      </c>
      <c r="T624" s="1868">
        <v>13.950439999999999</v>
      </c>
      <c r="U624" s="1868">
        <v>13.336889999999999</v>
      </c>
      <c r="V624" s="1868">
        <v>11.94285</v>
      </c>
      <c r="W624" s="1868">
        <v>12.06621</v>
      </c>
      <c r="X624" s="1868">
        <v>11.04777</v>
      </c>
      <c r="Y624" s="1868">
        <v>11.903739999999999</v>
      </c>
      <c r="Z624" s="1868">
        <v>12.227069999999999</v>
      </c>
      <c r="AA624" s="1868">
        <v>12.54848</v>
      </c>
      <c r="AB624" s="1868">
        <v>11.78894</v>
      </c>
      <c r="AC624" s="1868">
        <v>11.200950000000001</v>
      </c>
      <c r="AD624" s="1868">
        <v>11.39756</v>
      </c>
      <c r="AE624" s="1868">
        <v>12.376510000000001</v>
      </c>
      <c r="AF624" s="1868">
        <v>11.910600000000001</v>
      </c>
      <c r="AG624" s="1868">
        <v>12.13855</v>
      </c>
      <c r="AH624" s="1868">
        <v>11.44828</v>
      </c>
      <c r="AI624" s="1868">
        <v>13.339429999999998</v>
      </c>
      <c r="AJ624" s="1868">
        <v>15.41291</v>
      </c>
      <c r="AK624" s="1868">
        <v>14.20566</v>
      </c>
      <c r="AL624" s="1868">
        <v>13.94661</v>
      </c>
      <c r="AM624" s="1868">
        <v>14.62006</v>
      </c>
      <c r="AN624" s="1868">
        <v>15.392029999999998</v>
      </c>
      <c r="AO624" s="1868">
        <v>16.125720000000001</v>
      </c>
      <c r="AP624" s="1868">
        <v>12.93158</v>
      </c>
      <c r="AQ624" s="1868">
        <v>14.241020000000001</v>
      </c>
      <c r="AR624" s="1868">
        <v>13.999579999999998</v>
      </c>
      <c r="AS624" s="1868">
        <v>15.197889999999999</v>
      </c>
      <c r="AT624" s="1868">
        <v>15.25883</v>
      </c>
      <c r="AU624" s="1868">
        <v>15.873070000000002</v>
      </c>
      <c r="AV624" s="1868">
        <v>14.74475</v>
      </c>
      <c r="AW624" s="1868">
        <v>13.204470000000001</v>
      </c>
      <c r="AX624" s="1868">
        <v>14.890320000000001</v>
      </c>
      <c r="AY624" s="1868">
        <v>15.277139999999999</v>
      </c>
      <c r="AZ624" s="1868">
        <v>14.631110000000001</v>
      </c>
      <c r="BA624" s="1868">
        <v>14.887549999999999</v>
      </c>
    </row>
    <row r="625" spans="1:53">
      <c r="A625" s="1865" t="str">
        <f t="shared" si="9"/>
        <v>Eastern AsiaPulses, nes</v>
      </c>
      <c r="B625" s="1866" t="s">
        <v>1354</v>
      </c>
      <c r="C625" s="1866" t="s">
        <v>1395</v>
      </c>
      <c r="D625" s="1868">
        <v>0.41597000000000001</v>
      </c>
      <c r="E625" s="1868">
        <v>0.38996999999999998</v>
      </c>
      <c r="F625" s="1868">
        <v>0.32747999999999999</v>
      </c>
      <c r="G625" s="1868">
        <v>0.35091999999999995</v>
      </c>
      <c r="H625" s="1868">
        <v>0.34609000000000001</v>
      </c>
      <c r="I625" s="1868">
        <v>0.57256000000000007</v>
      </c>
      <c r="J625" s="1868">
        <v>0.42873</v>
      </c>
      <c r="K625" s="1868">
        <v>0.51746000000000003</v>
      </c>
      <c r="L625" s="1868">
        <v>0.53526000000000007</v>
      </c>
      <c r="M625" s="1868">
        <v>0.58030999999999999</v>
      </c>
      <c r="N625" s="1868">
        <v>0.63418999999999992</v>
      </c>
      <c r="O625" s="1868">
        <v>0.51937</v>
      </c>
      <c r="P625" s="1868">
        <v>0.61158999999999997</v>
      </c>
      <c r="Q625" s="1868">
        <v>0.54259999999999997</v>
      </c>
      <c r="R625" s="1868">
        <v>0.69305000000000005</v>
      </c>
      <c r="S625" s="1868">
        <v>0.72350000000000003</v>
      </c>
      <c r="T625" s="1868">
        <v>0.78641000000000005</v>
      </c>
      <c r="U625" s="1868">
        <v>0.74656</v>
      </c>
      <c r="V625" s="1868">
        <v>0.86202999999999996</v>
      </c>
      <c r="W625" s="1868">
        <v>0.95651000000000008</v>
      </c>
      <c r="X625" s="1868">
        <v>0.99102999999999997</v>
      </c>
      <c r="Y625" s="1868">
        <v>1.02325</v>
      </c>
      <c r="Z625" s="1868">
        <v>1.0183899999999999</v>
      </c>
      <c r="AA625" s="1868">
        <v>1.0436799999999999</v>
      </c>
      <c r="AB625" s="1868">
        <v>1.10561</v>
      </c>
      <c r="AC625" s="1868">
        <v>1.08971</v>
      </c>
      <c r="AD625" s="1868">
        <v>1.09988</v>
      </c>
      <c r="AE625" s="1868">
        <v>1.13584</v>
      </c>
      <c r="AF625" s="1868">
        <v>1.1241299999999999</v>
      </c>
      <c r="AG625" s="1868">
        <v>1.0869599999999999</v>
      </c>
      <c r="AH625" s="1868">
        <v>1.0085299999999999</v>
      </c>
      <c r="AI625" s="1868">
        <v>1.1573899999999999</v>
      </c>
      <c r="AJ625" s="1868">
        <v>2.8509599999999997</v>
      </c>
      <c r="AK625" s="1868">
        <v>1.49573</v>
      </c>
      <c r="AL625" s="1868">
        <v>1.88212</v>
      </c>
      <c r="AM625" s="1868">
        <v>1.88358</v>
      </c>
      <c r="AN625" s="1868">
        <v>1.8754299999999999</v>
      </c>
      <c r="AO625" s="1868">
        <v>2.0458099999999999</v>
      </c>
      <c r="AP625" s="1868">
        <v>1.5955700000000002</v>
      </c>
      <c r="AQ625" s="1868">
        <v>1.68703</v>
      </c>
      <c r="AR625" s="1868">
        <v>1.6653200000000001</v>
      </c>
      <c r="AS625" s="1868">
        <v>1.6087499999999999</v>
      </c>
      <c r="AT625" s="1868">
        <v>2.0554700000000001</v>
      </c>
      <c r="AU625" s="1868">
        <v>2.3140099999999997</v>
      </c>
      <c r="AV625" s="1868">
        <v>2.0533299999999999</v>
      </c>
      <c r="AW625" s="1868">
        <v>2.09633</v>
      </c>
      <c r="AX625" s="1868">
        <v>2.08751</v>
      </c>
      <c r="AY625" s="1868">
        <v>2.42205</v>
      </c>
      <c r="AZ625" s="1868">
        <v>2.1812</v>
      </c>
      <c r="BA625" s="1868">
        <v>2.2204299999999999</v>
      </c>
    </row>
    <row r="626" spans="1:53">
      <c r="A626" s="1865" t="str">
        <f t="shared" si="9"/>
        <v>Eastern AsiaRice, paddy</v>
      </c>
      <c r="B626" s="1866" t="s">
        <v>1354</v>
      </c>
      <c r="C626" s="1866" t="s">
        <v>1396</v>
      </c>
      <c r="D626" s="1868">
        <v>2.4719199999999999</v>
      </c>
      <c r="E626" s="1868">
        <v>2.7181999999999999</v>
      </c>
      <c r="F626" s="1868">
        <v>3.00407</v>
      </c>
      <c r="G626" s="1868">
        <v>3.1095900000000003</v>
      </c>
      <c r="H626" s="1868">
        <v>3.1964099999999998</v>
      </c>
      <c r="I626" s="1868">
        <v>3.3774099999999998</v>
      </c>
      <c r="J626" s="1868">
        <v>3.3839900000000003</v>
      </c>
      <c r="K626" s="1868">
        <v>3.45106</v>
      </c>
      <c r="L626" s="1868">
        <v>3.4294899999999999</v>
      </c>
      <c r="M626" s="1868">
        <v>3.6379699999999997</v>
      </c>
      <c r="N626" s="1868">
        <v>3.5009900000000003</v>
      </c>
      <c r="O626" s="1868">
        <v>3.4734300000000005</v>
      </c>
      <c r="P626" s="1868">
        <v>3.7059199999999999</v>
      </c>
      <c r="Q626" s="1868">
        <v>3.7235400000000003</v>
      </c>
      <c r="R626" s="1868">
        <v>3.7750900000000001</v>
      </c>
      <c r="S626" s="1868">
        <v>3.7175099999999999</v>
      </c>
      <c r="T626" s="1868">
        <v>3.9195900000000004</v>
      </c>
      <c r="U626" s="1868">
        <v>4.2225800000000007</v>
      </c>
      <c r="V626" s="1868">
        <v>4.4348000000000001</v>
      </c>
      <c r="W626" s="1868">
        <v>4.2078699999999998</v>
      </c>
      <c r="X626" s="1868">
        <v>4.4613500000000004</v>
      </c>
      <c r="Y626" s="1868">
        <v>4.9466700000000001</v>
      </c>
      <c r="Z626" s="1868">
        <v>5.1317500000000003</v>
      </c>
      <c r="AA626" s="1868">
        <v>5.4301599999999999</v>
      </c>
      <c r="AB626" s="1868">
        <v>5.3141300000000005</v>
      </c>
      <c r="AC626" s="1868">
        <v>5.3956099999999996</v>
      </c>
      <c r="AD626" s="1868">
        <v>5.4360300000000006</v>
      </c>
      <c r="AE626" s="1868">
        <v>5.3257599999999998</v>
      </c>
      <c r="AF626" s="1868">
        <v>5.5345500000000003</v>
      </c>
      <c r="AG626" s="1868">
        <v>5.7231899999999998</v>
      </c>
      <c r="AH626" s="1868">
        <v>5.6724399999999999</v>
      </c>
      <c r="AI626" s="1868">
        <v>5.8694899999999999</v>
      </c>
      <c r="AJ626" s="1868">
        <v>5.8029500000000001</v>
      </c>
      <c r="AK626" s="1868">
        <v>5.8959800000000007</v>
      </c>
      <c r="AL626" s="1868">
        <v>5.9988299999999999</v>
      </c>
      <c r="AM626" s="1868">
        <v>6.1796199999999999</v>
      </c>
      <c r="AN626" s="1868">
        <v>6.2706099999999996</v>
      </c>
      <c r="AO626" s="1868">
        <v>6.3085900000000006</v>
      </c>
      <c r="AP626" s="1868">
        <v>6.3085199999999997</v>
      </c>
      <c r="AQ626" s="1868">
        <v>6.2521000000000004</v>
      </c>
      <c r="AR626" s="1868">
        <v>6.1556899999999999</v>
      </c>
      <c r="AS626" s="1868">
        <v>6.1674199999999999</v>
      </c>
      <c r="AT626" s="1868">
        <v>6.00108</v>
      </c>
      <c r="AU626" s="1868">
        <v>6.2864000000000004</v>
      </c>
      <c r="AV626" s="1868">
        <v>6.2501899999999999</v>
      </c>
      <c r="AW626" s="1868">
        <v>6.2557599999999995</v>
      </c>
      <c r="AX626" s="1868">
        <v>6.36693</v>
      </c>
      <c r="AY626" s="1868">
        <v>6.5619600000000009</v>
      </c>
      <c r="AZ626" s="1868">
        <v>6.5647399999999996</v>
      </c>
      <c r="BA626" s="1868">
        <v>6.5059300000000002</v>
      </c>
    </row>
    <row r="627" spans="1:53">
      <c r="A627" s="1865" t="str">
        <f t="shared" si="9"/>
        <v>Eastern AsiaRoots and Tubers, nes</v>
      </c>
      <c r="B627" s="1866" t="s">
        <v>1354</v>
      </c>
      <c r="C627" s="1866" t="s">
        <v>1356</v>
      </c>
      <c r="D627" s="1868">
        <v>14.713479999999999</v>
      </c>
      <c r="E627" s="1868">
        <v>15.273420000000002</v>
      </c>
      <c r="F627" s="1868">
        <v>16.210249999999998</v>
      </c>
      <c r="G627" s="1868">
        <v>16.905010000000001</v>
      </c>
      <c r="H627" s="1868">
        <v>15.935979999999999</v>
      </c>
      <c r="I627" s="1868">
        <v>16.82957</v>
      </c>
      <c r="J627" s="1868">
        <v>17.822470000000003</v>
      </c>
      <c r="K627" s="1868">
        <v>16.179939999999998</v>
      </c>
      <c r="L627" s="1868">
        <v>15.162570000000001</v>
      </c>
      <c r="M627" s="1868">
        <v>14.21936</v>
      </c>
      <c r="N627" s="1868">
        <v>14.67329</v>
      </c>
      <c r="O627" s="1868">
        <v>15.60295</v>
      </c>
      <c r="P627" s="1868">
        <v>17.003550000000001</v>
      </c>
      <c r="Q627" s="1868">
        <v>16.74682</v>
      </c>
      <c r="R627" s="1868">
        <v>16.565260000000002</v>
      </c>
      <c r="S627" s="1868">
        <v>15.200329999999999</v>
      </c>
      <c r="T627" s="1868">
        <v>16.243220000000001</v>
      </c>
      <c r="U627" s="1868">
        <v>16.447960000000002</v>
      </c>
      <c r="V627" s="1868">
        <v>16.50066</v>
      </c>
      <c r="W627" s="1868">
        <v>14.71003</v>
      </c>
      <c r="X627" s="1868">
        <v>14.865500000000001</v>
      </c>
      <c r="Y627" s="1868">
        <v>12.64498</v>
      </c>
      <c r="Z627" s="1868">
        <v>14.00285</v>
      </c>
      <c r="AA627" s="1868">
        <v>14.25239</v>
      </c>
      <c r="AB627" s="1868">
        <v>14.297939999999999</v>
      </c>
      <c r="AC627" s="1868">
        <v>14.40601</v>
      </c>
      <c r="AD627" s="1868">
        <v>12.58832</v>
      </c>
      <c r="AE627" s="1868">
        <v>12.816660000000001</v>
      </c>
      <c r="AF627" s="1868">
        <v>13.034649999999999</v>
      </c>
      <c r="AG627" s="1868">
        <v>13.699910000000001</v>
      </c>
      <c r="AH627" s="1868">
        <v>12.13429</v>
      </c>
      <c r="AI627" s="1868">
        <v>12.22359</v>
      </c>
      <c r="AJ627" s="1868">
        <v>9.48949</v>
      </c>
      <c r="AK627" s="1868">
        <v>14.902570000000001</v>
      </c>
      <c r="AL627" s="1868">
        <v>14.296879999999998</v>
      </c>
      <c r="AM627" s="1868">
        <v>13.0768</v>
      </c>
      <c r="AN627" s="1868">
        <v>13.244960000000001</v>
      </c>
      <c r="AO627" s="1868">
        <v>14.309620000000001</v>
      </c>
      <c r="AP627" s="1868">
        <v>15.05158</v>
      </c>
      <c r="AQ627" s="1868">
        <v>15.479370000000001</v>
      </c>
      <c r="AR627" s="1868">
        <v>15.871329999999999</v>
      </c>
      <c r="AS627" s="1868">
        <v>15.814120000000001</v>
      </c>
      <c r="AT627" s="1868">
        <v>13.682460000000001</v>
      </c>
      <c r="AU627" s="1868">
        <v>14.22701</v>
      </c>
      <c r="AV627" s="1868">
        <v>15.081300000000001</v>
      </c>
      <c r="AW627" s="1868">
        <v>13.77111</v>
      </c>
      <c r="AX627" s="1868">
        <v>13.936570000000001</v>
      </c>
      <c r="AY627" s="1868">
        <v>14.964589999999999</v>
      </c>
      <c r="AZ627" s="1868">
        <v>14.96827</v>
      </c>
      <c r="BA627" s="1868">
        <v>13.415089999999999</v>
      </c>
    </row>
    <row r="628" spans="1:53">
      <c r="A628" s="1865" t="str">
        <f t="shared" si="9"/>
        <v>Eastern AsiaRye</v>
      </c>
      <c r="B628" s="1866" t="s">
        <v>1354</v>
      </c>
      <c r="C628" s="1866" t="s">
        <v>1353</v>
      </c>
      <c r="D628" s="1868">
        <v>1.0031099999999999</v>
      </c>
      <c r="E628" s="1868">
        <v>0.83622000000000007</v>
      </c>
      <c r="F628" s="1868">
        <v>0.86829999999999996</v>
      </c>
      <c r="G628" s="1868">
        <v>1.0024999999999999</v>
      </c>
      <c r="H628" s="1868">
        <v>1.1538299999999999</v>
      </c>
      <c r="I628" s="1868">
        <v>0.93515000000000004</v>
      </c>
      <c r="J628" s="1868">
        <v>1.0034399999999999</v>
      </c>
      <c r="K628" s="1868">
        <v>1.0037499999999999</v>
      </c>
      <c r="L628" s="1868">
        <v>1.0042599999999999</v>
      </c>
      <c r="M628" s="1868">
        <v>1.0413700000000001</v>
      </c>
      <c r="N628" s="1868">
        <v>1.02624</v>
      </c>
      <c r="O628" s="1868">
        <v>1.0181899999999999</v>
      </c>
      <c r="P628" s="1868">
        <v>1.12673</v>
      </c>
      <c r="Q628" s="1868">
        <v>1.1671400000000001</v>
      </c>
      <c r="R628" s="1868">
        <v>1.36466</v>
      </c>
      <c r="S628" s="1868">
        <v>1.4538799999999998</v>
      </c>
      <c r="T628" s="1868">
        <v>1.09101</v>
      </c>
      <c r="U628" s="1868">
        <v>1.37419</v>
      </c>
      <c r="V628" s="1868">
        <v>1.8005799999999998</v>
      </c>
      <c r="W628" s="1868">
        <v>1.5557399999999999</v>
      </c>
      <c r="X628" s="1868">
        <v>1.56308</v>
      </c>
      <c r="Y628" s="1868">
        <v>1.7504500000000001</v>
      </c>
      <c r="Z628" s="1868">
        <v>1.9366900000000002</v>
      </c>
      <c r="AA628" s="1868">
        <v>2.2650200000000003</v>
      </c>
      <c r="AB628" s="1868">
        <v>1.8325799999999999</v>
      </c>
      <c r="AC628" s="1868">
        <v>1.56237</v>
      </c>
      <c r="AD628" s="1868">
        <v>1.6961200000000001</v>
      </c>
      <c r="AE628" s="1868">
        <v>1.5936399999999999</v>
      </c>
      <c r="AF628" s="1868">
        <v>1.4938499999999999</v>
      </c>
      <c r="AG628" s="1868">
        <v>1.4615400000000001</v>
      </c>
      <c r="AH628" s="1868">
        <v>1.4855200000000002</v>
      </c>
      <c r="AI628" s="1868">
        <v>1.6473</v>
      </c>
      <c r="AJ628" s="1868">
        <v>1.5935299999999999</v>
      </c>
      <c r="AK628" s="1868">
        <v>1.7625299999999999</v>
      </c>
      <c r="AL628" s="1868">
        <v>1.55108</v>
      </c>
      <c r="AM628" s="1868">
        <v>2.09809</v>
      </c>
      <c r="AN628" s="1868">
        <v>1.9752299999999998</v>
      </c>
      <c r="AO628" s="1868">
        <v>1.65008</v>
      </c>
      <c r="AP628" s="1868">
        <v>1.7327099999999998</v>
      </c>
      <c r="AQ628" s="1868">
        <v>1.5194299999999998</v>
      </c>
      <c r="AR628" s="1868">
        <v>1.32348</v>
      </c>
      <c r="AS628" s="1868">
        <v>1.4235500000000001</v>
      </c>
      <c r="AT628" s="1868">
        <v>2.1182799999999999</v>
      </c>
      <c r="AU628" s="1868">
        <v>2.0003199999999999</v>
      </c>
      <c r="AV628" s="1868">
        <v>1.8523099999999999</v>
      </c>
      <c r="AW628" s="1868">
        <v>1.2626600000000001</v>
      </c>
      <c r="AX628" s="1868">
        <v>2.2459799999999999</v>
      </c>
      <c r="AY628" s="1868">
        <v>2.73048</v>
      </c>
      <c r="AZ628" s="1868">
        <v>2.97634</v>
      </c>
      <c r="BA628" s="1868">
        <v>3.1331599999999997</v>
      </c>
    </row>
    <row r="629" spans="1:53">
      <c r="A629" s="1865" t="str">
        <f t="shared" si="9"/>
        <v>Eastern AsiaSeed cotton</v>
      </c>
      <c r="B629" s="1866" t="s">
        <v>1354</v>
      </c>
      <c r="C629" s="1866" t="s">
        <v>1397</v>
      </c>
      <c r="D629" s="1868">
        <v>0.62023000000000006</v>
      </c>
      <c r="E629" s="1868">
        <v>0.63939999999999997</v>
      </c>
      <c r="F629" s="1868">
        <v>0.81468999999999991</v>
      </c>
      <c r="G629" s="1868">
        <v>1.00847</v>
      </c>
      <c r="H629" s="1868">
        <v>1.25485</v>
      </c>
      <c r="I629" s="1868">
        <v>1.4198200000000001</v>
      </c>
      <c r="J629" s="1868">
        <v>1.3818600000000001</v>
      </c>
      <c r="K629" s="1868">
        <v>1.4131899999999999</v>
      </c>
      <c r="L629" s="1868">
        <v>1.2886799999999998</v>
      </c>
      <c r="M629" s="1868">
        <v>1.3644100000000001</v>
      </c>
      <c r="N629" s="1868">
        <v>1.2807899999999999</v>
      </c>
      <c r="O629" s="1868">
        <v>1.1982700000000002</v>
      </c>
      <c r="P629" s="1868">
        <v>1.5519399999999999</v>
      </c>
      <c r="Q629" s="1868">
        <v>1.4703299999999999</v>
      </c>
      <c r="R629" s="1868">
        <v>1.4397799999999998</v>
      </c>
      <c r="S629" s="1868">
        <v>1.24953</v>
      </c>
      <c r="T629" s="1868">
        <v>1.2676799999999999</v>
      </c>
      <c r="U629" s="1868">
        <v>1.3344200000000002</v>
      </c>
      <c r="V629" s="1868">
        <v>1.4652100000000001</v>
      </c>
      <c r="W629" s="1868">
        <v>1.6476500000000001</v>
      </c>
      <c r="X629" s="1868">
        <v>1.7150700000000001</v>
      </c>
      <c r="Y629" s="1868">
        <v>1.8497700000000001</v>
      </c>
      <c r="Z629" s="1868">
        <v>2.2863900000000004</v>
      </c>
      <c r="AA629" s="1868">
        <v>2.7094099999999997</v>
      </c>
      <c r="AB629" s="1868">
        <v>2.4152900000000002</v>
      </c>
      <c r="AC629" s="1868">
        <v>2.4609900000000002</v>
      </c>
      <c r="AD629" s="1868">
        <v>2.6247199999999999</v>
      </c>
      <c r="AE629" s="1868">
        <v>2.2488999999999999</v>
      </c>
      <c r="AF629" s="1868">
        <v>2.1819900000000003</v>
      </c>
      <c r="AG629" s="1868">
        <v>2.4172599999999997</v>
      </c>
      <c r="AH629" s="1868">
        <v>2.60006</v>
      </c>
      <c r="AI629" s="1868">
        <v>1.9782</v>
      </c>
      <c r="AJ629" s="1868">
        <v>2.24865</v>
      </c>
      <c r="AK629" s="1868">
        <v>2.3542799999999997</v>
      </c>
      <c r="AL629" s="1868">
        <v>2.6349299999999998</v>
      </c>
      <c r="AM629" s="1868">
        <v>2.66675</v>
      </c>
      <c r="AN629" s="1868">
        <v>3.0689900000000003</v>
      </c>
      <c r="AO629" s="1868">
        <v>3.0227499999999998</v>
      </c>
      <c r="AP629" s="1868">
        <v>3.0777999999999999</v>
      </c>
      <c r="AQ629" s="1868">
        <v>3.2724099999999998</v>
      </c>
      <c r="AR629" s="1868">
        <v>3.3152499999999998</v>
      </c>
      <c r="AS629" s="1868">
        <v>3.5173199999999998</v>
      </c>
      <c r="AT629" s="1868">
        <v>2.8489900000000001</v>
      </c>
      <c r="AU629" s="1868">
        <v>3.3275300000000003</v>
      </c>
      <c r="AV629" s="1868">
        <v>3.3807</v>
      </c>
      <c r="AW629" s="1868">
        <v>3.47464</v>
      </c>
      <c r="AX629" s="1868">
        <v>3.8539500000000002</v>
      </c>
      <c r="AY629" s="1868">
        <v>3.9000599999999999</v>
      </c>
      <c r="AZ629" s="1868">
        <v>3.8553999999999999</v>
      </c>
      <c r="BA629" s="1868">
        <v>3.6858800000000005</v>
      </c>
    </row>
    <row r="630" spans="1:53">
      <c r="A630" s="1865" t="str">
        <f t="shared" si="9"/>
        <v>Eastern AsiaSesame seed</v>
      </c>
      <c r="B630" s="1866" t="s">
        <v>1354</v>
      </c>
      <c r="C630" s="1866" t="s">
        <v>1345</v>
      </c>
      <c r="D630" s="1868">
        <v>0.29953000000000002</v>
      </c>
      <c r="E630" s="1868">
        <v>0.36130999999999996</v>
      </c>
      <c r="F630" s="1868">
        <v>0.32861000000000001</v>
      </c>
      <c r="G630" s="1868">
        <v>0.39241999999999999</v>
      </c>
      <c r="H630" s="1868">
        <v>0.38955000000000001</v>
      </c>
      <c r="I630" s="1868">
        <v>0.42818000000000001</v>
      </c>
      <c r="J630" s="1868">
        <v>0.45138999999999996</v>
      </c>
      <c r="K630" s="1868">
        <v>0.39624999999999999</v>
      </c>
      <c r="L630" s="1868">
        <v>0.42913999999999997</v>
      </c>
      <c r="M630" s="1868">
        <v>0.47156999999999999</v>
      </c>
      <c r="N630" s="1868">
        <v>0.47423000000000004</v>
      </c>
      <c r="O630" s="1868">
        <v>0.43421999999999999</v>
      </c>
      <c r="P630" s="1868">
        <v>0.44527</v>
      </c>
      <c r="Q630" s="1868">
        <v>0.42543999999999998</v>
      </c>
      <c r="R630" s="1868">
        <v>0.39890999999999999</v>
      </c>
      <c r="S630" s="1868">
        <v>0.42293999999999998</v>
      </c>
      <c r="T630" s="1868">
        <v>0.44140000000000001</v>
      </c>
      <c r="U630" s="1868">
        <v>0.50018999999999991</v>
      </c>
      <c r="V630" s="1868">
        <v>0.48338000000000003</v>
      </c>
      <c r="W630" s="1868">
        <v>0.32368000000000002</v>
      </c>
      <c r="X630" s="1868">
        <v>0.61292999999999997</v>
      </c>
      <c r="Y630" s="1868">
        <v>0.35333999999999999</v>
      </c>
      <c r="Z630" s="1868">
        <v>0.44695000000000001</v>
      </c>
      <c r="AA630" s="1868">
        <v>0.55620000000000003</v>
      </c>
      <c r="AB630" s="1868">
        <v>0.65051999999999999</v>
      </c>
      <c r="AC630" s="1868">
        <v>0.60808000000000006</v>
      </c>
      <c r="AD630" s="1868">
        <v>0.59098000000000006</v>
      </c>
      <c r="AE630" s="1868">
        <v>0.58401000000000003</v>
      </c>
      <c r="AF630" s="1868">
        <v>0.47926999999999997</v>
      </c>
      <c r="AG630" s="1868">
        <v>0.69736999999999993</v>
      </c>
      <c r="AH630" s="1868">
        <v>0.63173000000000001</v>
      </c>
      <c r="AI630" s="1868">
        <v>0.68759999999999999</v>
      </c>
      <c r="AJ630" s="1868">
        <v>0.72396000000000005</v>
      </c>
      <c r="AK630" s="1868">
        <v>0.78786999999999996</v>
      </c>
      <c r="AL630" s="1868">
        <v>0.88527000000000011</v>
      </c>
      <c r="AM630" s="1868">
        <v>0.94989999999999997</v>
      </c>
      <c r="AN630" s="1868">
        <v>0.97440000000000004</v>
      </c>
      <c r="AO630" s="1868">
        <v>1.00084</v>
      </c>
      <c r="AP630" s="1868">
        <v>1.0271600000000001</v>
      </c>
      <c r="AQ630" s="1868">
        <v>1.01654</v>
      </c>
      <c r="AR630" s="1868">
        <v>1.0410999999999999</v>
      </c>
      <c r="AS630" s="1868">
        <v>1.1441700000000001</v>
      </c>
      <c r="AT630" s="1868">
        <v>0.83742000000000005</v>
      </c>
      <c r="AU630" s="1868">
        <v>1.1039299999999999</v>
      </c>
      <c r="AV630" s="1868">
        <v>1.03352</v>
      </c>
      <c r="AW630" s="1868">
        <v>1.1286</v>
      </c>
      <c r="AX630" s="1868">
        <v>1.1103299999999998</v>
      </c>
      <c r="AY630" s="1868">
        <v>1.2089299999999998</v>
      </c>
      <c r="AZ630" s="1868">
        <v>1.2421</v>
      </c>
      <c r="BA630" s="1868">
        <v>1.1812499999999999</v>
      </c>
    </row>
    <row r="631" spans="1:53">
      <c r="A631" s="1865" t="str">
        <f t="shared" si="9"/>
        <v>Eastern AsiaSisal</v>
      </c>
      <c r="B631" s="1866" t="s">
        <v>1354</v>
      </c>
      <c r="C631" s="1866" t="s">
        <v>1398</v>
      </c>
      <c r="D631" s="1868">
        <v>1.11389</v>
      </c>
      <c r="E631" s="1868">
        <v>1.01946</v>
      </c>
      <c r="F631" s="1868">
        <v>1.1213500000000001</v>
      </c>
      <c r="G631" s="1868">
        <v>1.16858</v>
      </c>
      <c r="H631" s="1868">
        <v>1.15483</v>
      </c>
      <c r="I631" s="1868">
        <v>1.1585299999999998</v>
      </c>
      <c r="J631" s="1868">
        <v>1.1999899999999999</v>
      </c>
      <c r="K631" s="1868">
        <v>1.17171</v>
      </c>
      <c r="L631" s="1868">
        <v>1.18791</v>
      </c>
      <c r="M631" s="1868">
        <v>1.2182500000000001</v>
      </c>
      <c r="N631" s="1868">
        <v>1.2037799999999999</v>
      </c>
      <c r="O631" s="1868">
        <v>1.1884399999999999</v>
      </c>
      <c r="P631" s="1868">
        <v>1.1509799999999999</v>
      </c>
      <c r="Q631" s="1868">
        <v>1.2637100000000001</v>
      </c>
      <c r="R631" s="1868">
        <v>1.1567399999999999</v>
      </c>
      <c r="S631" s="1868">
        <v>1.19783</v>
      </c>
      <c r="T631" s="1868">
        <v>1.16046</v>
      </c>
      <c r="U631" s="1868">
        <v>1.2706899999999999</v>
      </c>
      <c r="V631" s="1868">
        <v>1.3441100000000001</v>
      </c>
      <c r="W631" s="1868">
        <v>1.35555</v>
      </c>
      <c r="X631" s="1868">
        <v>1.35486</v>
      </c>
      <c r="Y631" s="1868">
        <v>1.2570299999999999</v>
      </c>
      <c r="Z631" s="1868">
        <v>1.2899700000000001</v>
      </c>
      <c r="AA631" s="1868">
        <v>1.34585</v>
      </c>
      <c r="AB631" s="1868">
        <v>1.2391099999999999</v>
      </c>
      <c r="AC631" s="1868">
        <v>1.2676399999999999</v>
      </c>
      <c r="AD631" s="1868">
        <v>1.3298299999999998</v>
      </c>
      <c r="AE631" s="1868">
        <v>1.2978499999999999</v>
      </c>
      <c r="AF631" s="1868">
        <v>1.4122299999999999</v>
      </c>
      <c r="AG631" s="1868">
        <v>2.2578999999999998</v>
      </c>
      <c r="AH631" s="1868">
        <v>2.1741999999999999</v>
      </c>
      <c r="AI631" s="1868">
        <v>2.2200500000000001</v>
      </c>
      <c r="AJ631" s="1868">
        <v>2.4216099999999998</v>
      </c>
      <c r="AK631" s="1868">
        <v>2.7233000000000001</v>
      </c>
      <c r="AL631" s="1868">
        <v>3.4921199999999999</v>
      </c>
      <c r="AM631" s="1868">
        <v>2.4245200000000002</v>
      </c>
      <c r="AN631" s="1868">
        <v>2.7016200000000001</v>
      </c>
      <c r="AO631" s="1868">
        <v>3.0238999999999998</v>
      </c>
      <c r="AP631" s="1868">
        <v>3.2523</v>
      </c>
      <c r="AQ631" s="1868">
        <v>3.7889699999999995</v>
      </c>
      <c r="AR631" s="1868">
        <v>3.2437499999999999</v>
      </c>
      <c r="AS631" s="1868">
        <v>4.2105300000000003</v>
      </c>
      <c r="AT631" s="1868">
        <v>5.6666699999999999</v>
      </c>
      <c r="AU631" s="1868">
        <v>6.4285699999999997</v>
      </c>
      <c r="AV631" s="1868">
        <v>4.1935500000000001</v>
      </c>
      <c r="AW631" s="1868">
        <v>4.1666699999999999</v>
      </c>
      <c r="AX631" s="1868">
        <v>4.375</v>
      </c>
      <c r="AY631" s="1868">
        <v>4.84849</v>
      </c>
      <c r="AZ631" s="1868">
        <v>4.8529400000000003</v>
      </c>
      <c r="BA631" s="1868">
        <v>5.5357099999999999</v>
      </c>
    </row>
    <row r="632" spans="1:53">
      <c r="A632" s="1865" t="str">
        <f t="shared" si="9"/>
        <v>Eastern AsiaSorghum</v>
      </c>
      <c r="B632" s="1866" t="s">
        <v>1354</v>
      </c>
      <c r="C632" s="1866" t="s">
        <v>1399</v>
      </c>
      <c r="D632" s="1868">
        <v>0.92657000000000012</v>
      </c>
      <c r="E632" s="1868">
        <v>0.90969</v>
      </c>
      <c r="F632" s="1868">
        <v>1.0757299999999999</v>
      </c>
      <c r="G632" s="1868">
        <v>1.2194200000000002</v>
      </c>
      <c r="H632" s="1868">
        <v>1.153</v>
      </c>
      <c r="I632" s="1868">
        <v>1.38182</v>
      </c>
      <c r="J632" s="1868">
        <v>1.3825799999999999</v>
      </c>
      <c r="K632" s="1868">
        <v>1.41448</v>
      </c>
      <c r="L632" s="1868">
        <v>1.3771599999999999</v>
      </c>
      <c r="M632" s="1868">
        <v>1.6819</v>
      </c>
      <c r="N632" s="1868">
        <v>1.7266599999999999</v>
      </c>
      <c r="O632" s="1868">
        <v>1.59779</v>
      </c>
      <c r="P632" s="1868">
        <v>1.7962599999999997</v>
      </c>
      <c r="Q632" s="1868">
        <v>1.7683500000000001</v>
      </c>
      <c r="R632" s="1868">
        <v>1.8853400000000002</v>
      </c>
      <c r="S632" s="1868">
        <v>2.0043700000000002</v>
      </c>
      <c r="T632" s="1868">
        <v>2.0452300000000001</v>
      </c>
      <c r="U632" s="1868">
        <v>2.3213300000000001</v>
      </c>
      <c r="V632" s="1868">
        <v>2.4047000000000001</v>
      </c>
      <c r="W632" s="1868">
        <v>2.50909</v>
      </c>
      <c r="X632" s="1868">
        <v>2.5418400000000001</v>
      </c>
      <c r="Y632" s="1868">
        <v>2.5049000000000001</v>
      </c>
      <c r="Z632" s="1868">
        <v>3.0780500000000002</v>
      </c>
      <c r="AA632" s="1868">
        <v>3.1428599999999998</v>
      </c>
      <c r="AB632" s="1868">
        <v>2.8902700000000001</v>
      </c>
      <c r="AC632" s="1868">
        <v>2.8781599999999998</v>
      </c>
      <c r="AD632" s="1868">
        <v>2.9231799999999999</v>
      </c>
      <c r="AE632" s="1868">
        <v>3.1431499999999999</v>
      </c>
      <c r="AF632" s="1868">
        <v>2.7691499999999998</v>
      </c>
      <c r="AG632" s="1868">
        <v>3.6617199999999999</v>
      </c>
      <c r="AH632" s="1868">
        <v>3.5575999999999999</v>
      </c>
      <c r="AI632" s="1868">
        <v>3.5905300000000002</v>
      </c>
      <c r="AJ632" s="1868">
        <v>4.0898400000000006</v>
      </c>
      <c r="AK632" s="1868">
        <v>4.5971400000000004</v>
      </c>
      <c r="AL632" s="1868">
        <v>3.9065199999999995</v>
      </c>
      <c r="AM632" s="1868">
        <v>4.3838099999999995</v>
      </c>
      <c r="AN632" s="1868">
        <v>3.3588800000000001</v>
      </c>
      <c r="AO632" s="1868">
        <v>4.1952300000000005</v>
      </c>
      <c r="AP632" s="1868">
        <v>3.3087599999999999</v>
      </c>
      <c r="AQ632" s="1868">
        <v>2.9009900000000002</v>
      </c>
      <c r="AR632" s="1868">
        <v>3.4286599999999998</v>
      </c>
      <c r="AS632" s="1868">
        <v>3.9110999999999998</v>
      </c>
      <c r="AT632" s="1868">
        <v>3.90401</v>
      </c>
      <c r="AU632" s="1868">
        <v>4.0448599999999999</v>
      </c>
      <c r="AV632" s="1868">
        <v>4.3607800000000001</v>
      </c>
      <c r="AW632" s="1868">
        <v>4.7119400000000002</v>
      </c>
      <c r="AX632" s="1868">
        <v>3.7511900000000002</v>
      </c>
      <c r="AY632" s="1868">
        <v>3.67056</v>
      </c>
      <c r="AZ632" s="1868">
        <v>2.94997</v>
      </c>
      <c r="BA632" s="1868">
        <v>3.1173500000000001</v>
      </c>
    </row>
    <row r="633" spans="1:53">
      <c r="A633" s="1865" t="str">
        <f t="shared" si="9"/>
        <v>Eastern AsiaSoybeans</v>
      </c>
      <c r="B633" s="1866" t="s">
        <v>1354</v>
      </c>
      <c r="C633" s="1866" t="s">
        <v>1359</v>
      </c>
      <c r="D633" s="1868">
        <v>0.64207999999999998</v>
      </c>
      <c r="E633" s="1868">
        <v>0.69447000000000003</v>
      </c>
      <c r="F633" s="1868">
        <v>0.72428999999999999</v>
      </c>
      <c r="G633" s="1868">
        <v>0.78328999999999993</v>
      </c>
      <c r="H633" s="1868">
        <v>0.71896000000000004</v>
      </c>
      <c r="I633" s="1868">
        <v>0.97032999999999991</v>
      </c>
      <c r="J633" s="1868">
        <v>0.96738999999999997</v>
      </c>
      <c r="K633" s="1868">
        <v>0.96227999999999991</v>
      </c>
      <c r="L633" s="1868">
        <v>0.91818999999999995</v>
      </c>
      <c r="M633" s="1868">
        <v>1.0805</v>
      </c>
      <c r="N633" s="1868">
        <v>1.09511</v>
      </c>
      <c r="O633" s="1868">
        <v>0.86160000000000003</v>
      </c>
      <c r="P633" s="1868">
        <v>1.11066</v>
      </c>
      <c r="Q633" s="1868">
        <v>1.0374399999999999</v>
      </c>
      <c r="R633" s="1868">
        <v>1.0439399999999999</v>
      </c>
      <c r="S633" s="1868">
        <v>1.00647</v>
      </c>
      <c r="T633" s="1868">
        <v>1.07378</v>
      </c>
      <c r="U633" s="1868">
        <v>1.07283</v>
      </c>
      <c r="V633" s="1868">
        <v>1.0474399999999999</v>
      </c>
      <c r="W633" s="1868">
        <v>1.10568</v>
      </c>
      <c r="X633" s="1868">
        <v>1.171</v>
      </c>
      <c r="Y633" s="1868">
        <v>1.08873</v>
      </c>
      <c r="Z633" s="1868">
        <v>1.29084</v>
      </c>
      <c r="AA633" s="1868">
        <v>1.3402399999999999</v>
      </c>
      <c r="AB633" s="1868">
        <v>1.36608</v>
      </c>
      <c r="AC633" s="1868">
        <v>1.4032500000000001</v>
      </c>
      <c r="AD633" s="1868">
        <v>1.4420500000000001</v>
      </c>
      <c r="AE633" s="1868">
        <v>1.43855</v>
      </c>
      <c r="AF633" s="1868">
        <v>1.2835399999999999</v>
      </c>
      <c r="AG633" s="1868">
        <v>1.4565399999999999</v>
      </c>
      <c r="AH633" s="1868">
        <v>1.38679</v>
      </c>
      <c r="AI633" s="1868">
        <v>1.42933</v>
      </c>
      <c r="AJ633" s="1868">
        <v>1.60059</v>
      </c>
      <c r="AK633" s="1868">
        <v>1.7126400000000002</v>
      </c>
      <c r="AL633" s="1868">
        <v>1.6459599999999999</v>
      </c>
      <c r="AM633" s="1868">
        <v>1.7502599999999999</v>
      </c>
      <c r="AN633" s="1868">
        <v>1.7426099999999998</v>
      </c>
      <c r="AO633" s="1868">
        <v>1.75315</v>
      </c>
      <c r="AP633" s="1868">
        <v>1.7604299999999999</v>
      </c>
      <c r="AQ633" s="1868">
        <v>1.63957</v>
      </c>
      <c r="AR633" s="1868">
        <v>1.61517</v>
      </c>
      <c r="AS633" s="1868">
        <v>1.8623700000000001</v>
      </c>
      <c r="AT633" s="1868">
        <v>1.6324100000000001</v>
      </c>
      <c r="AU633" s="1868">
        <v>1.7870400000000002</v>
      </c>
      <c r="AV633" s="1868">
        <v>1.6882200000000001</v>
      </c>
      <c r="AW633" s="1868">
        <v>1.65</v>
      </c>
      <c r="AX633" s="1868">
        <v>1.44696</v>
      </c>
      <c r="AY633" s="1868">
        <v>1.6878099999999998</v>
      </c>
      <c r="AZ633" s="1868">
        <v>1.6176299999999999</v>
      </c>
      <c r="BA633" s="1868">
        <v>1.7463299999999999</v>
      </c>
    </row>
    <row r="634" spans="1:53">
      <c r="A634" s="1865" t="str">
        <f t="shared" si="9"/>
        <v>Eastern AsiaStrawberries</v>
      </c>
      <c r="B634" s="1866" t="s">
        <v>1354</v>
      </c>
      <c r="C634" s="1866" t="s">
        <v>1400</v>
      </c>
      <c r="D634" s="1868">
        <v>7.1479300000000006</v>
      </c>
      <c r="E634" s="1868">
        <v>7.1479300000000006</v>
      </c>
      <c r="F634" s="1868">
        <v>7.1478899999999994</v>
      </c>
      <c r="G634" s="1868">
        <v>8.0997899999999987</v>
      </c>
      <c r="H634" s="1868">
        <v>7.8680199999999996</v>
      </c>
      <c r="I634" s="1868">
        <v>9.2769999999999992</v>
      </c>
      <c r="J634" s="1868">
        <v>8.9083299999999994</v>
      </c>
      <c r="K634" s="1868">
        <v>9.8838200000000001</v>
      </c>
      <c r="L634" s="1868">
        <v>10.183210000000001</v>
      </c>
      <c r="M634" s="1868">
        <v>10.29851</v>
      </c>
      <c r="N634" s="1868">
        <v>11.42099</v>
      </c>
      <c r="O634" s="1868">
        <v>12.141680000000001</v>
      </c>
      <c r="P634" s="1868">
        <v>13.369249999999999</v>
      </c>
      <c r="Q634" s="1868">
        <v>12.250529999999999</v>
      </c>
      <c r="R634" s="1868">
        <v>13.03553</v>
      </c>
      <c r="S634" s="1868">
        <v>13.392939999999999</v>
      </c>
      <c r="T634" s="1868">
        <v>13.409089999999999</v>
      </c>
      <c r="U634" s="1868">
        <v>14.304879999999999</v>
      </c>
      <c r="V634" s="1868">
        <v>14.521039999999999</v>
      </c>
      <c r="W634" s="1868">
        <v>13.75675</v>
      </c>
      <c r="X634" s="1868">
        <v>13.94936</v>
      </c>
      <c r="Y634" s="1868">
        <v>14.430829999999998</v>
      </c>
      <c r="Z634" s="1868">
        <v>14.703060000000001</v>
      </c>
      <c r="AA634" s="1868">
        <v>15.64386</v>
      </c>
      <c r="AB634" s="1868">
        <v>15.771289999999999</v>
      </c>
      <c r="AC634" s="1868">
        <v>16.257089999999998</v>
      </c>
      <c r="AD634" s="1868">
        <v>16.622669999999999</v>
      </c>
      <c r="AE634" s="1868">
        <v>18.04766</v>
      </c>
      <c r="AF634" s="1868">
        <v>18.521339999999999</v>
      </c>
      <c r="AG634" s="1868">
        <v>18.933579999999999</v>
      </c>
      <c r="AH634" s="1868">
        <v>19.606729999999999</v>
      </c>
      <c r="AI634" s="1868">
        <v>20.287610000000001</v>
      </c>
      <c r="AJ634" s="1868">
        <v>20.757899999999999</v>
      </c>
      <c r="AK634" s="1868">
        <v>21.31607</v>
      </c>
      <c r="AL634" s="1868">
        <v>22.952950000000001</v>
      </c>
      <c r="AM634" s="1868">
        <v>24.215499999999999</v>
      </c>
      <c r="AN634" s="1868">
        <v>23.572570000000002</v>
      </c>
      <c r="AO634" s="1868">
        <v>22.883129999999998</v>
      </c>
      <c r="AP634" s="1868">
        <v>24.550509999999999</v>
      </c>
      <c r="AQ634" s="1868">
        <v>25.530709999999999</v>
      </c>
      <c r="AR634" s="1868">
        <v>26.749840000000003</v>
      </c>
      <c r="AS634" s="1868">
        <v>27.078579999999999</v>
      </c>
      <c r="AT634" s="1868">
        <v>27.034849999999999</v>
      </c>
      <c r="AU634" s="1868">
        <v>27.2788</v>
      </c>
      <c r="AV634" s="1868">
        <v>27.430240000000001</v>
      </c>
      <c r="AW634" s="1868">
        <v>27.73067</v>
      </c>
      <c r="AX634" s="1868">
        <v>27.941949999999999</v>
      </c>
      <c r="AY634" s="1868">
        <v>28.350440000000003</v>
      </c>
      <c r="AZ634" s="1868">
        <v>29.093429999999998</v>
      </c>
      <c r="BA634" s="1868">
        <v>31.065200000000001</v>
      </c>
    </row>
    <row r="635" spans="1:53">
      <c r="A635" s="1865" t="str">
        <f t="shared" si="9"/>
        <v>Eastern AsiaSugar beet</v>
      </c>
      <c r="B635" s="1866" t="s">
        <v>1354</v>
      </c>
      <c r="C635" s="1866" t="s">
        <v>1358</v>
      </c>
      <c r="D635" s="1868">
        <v>7.5881399999999992</v>
      </c>
      <c r="E635" s="1868">
        <v>11.816839999999999</v>
      </c>
      <c r="F635" s="1868">
        <v>13.453829999999998</v>
      </c>
      <c r="G635" s="1868">
        <v>14.432929999999999</v>
      </c>
      <c r="H635" s="1868">
        <v>16.41591</v>
      </c>
      <c r="I635" s="1868">
        <v>16.722850000000001</v>
      </c>
      <c r="J635" s="1868">
        <v>18.752559999999999</v>
      </c>
      <c r="K635" s="1868">
        <v>18.96265</v>
      </c>
      <c r="L635" s="1868">
        <v>18.3018</v>
      </c>
      <c r="M635" s="1868">
        <v>17.542720000000003</v>
      </c>
      <c r="N635" s="1868">
        <v>15.79715</v>
      </c>
      <c r="O635" s="1868">
        <v>15.696110000000001</v>
      </c>
      <c r="P635" s="1868">
        <v>16.218669999999999</v>
      </c>
      <c r="Q635" s="1868">
        <v>13.260660000000001</v>
      </c>
      <c r="R635" s="1868">
        <v>12.073549999999999</v>
      </c>
      <c r="S635" s="1868">
        <v>12.78767</v>
      </c>
      <c r="T635" s="1868">
        <v>11.93967</v>
      </c>
      <c r="U635" s="1868">
        <v>14.370979999999999</v>
      </c>
      <c r="V635" s="1868">
        <v>16.80125</v>
      </c>
      <c r="W635" s="1868">
        <v>19.43404</v>
      </c>
      <c r="X635" s="1868">
        <v>19.071460000000002</v>
      </c>
      <c r="Y635" s="1868">
        <v>20.368980000000001</v>
      </c>
      <c r="Z635" s="1868">
        <v>20.379070000000002</v>
      </c>
      <c r="AA635" s="1868">
        <v>21.369859999999999</v>
      </c>
      <c r="AB635" s="1868">
        <v>20.299779999999998</v>
      </c>
      <c r="AC635" s="1868">
        <v>20.55753</v>
      </c>
      <c r="AD635" s="1868">
        <v>21.042729999999999</v>
      </c>
      <c r="AE635" s="1868">
        <v>20.39461</v>
      </c>
      <c r="AF635" s="1868">
        <v>20.135649999999998</v>
      </c>
      <c r="AG635" s="1868">
        <v>24.948460000000001</v>
      </c>
      <c r="AH635" s="1868">
        <v>23.852910000000001</v>
      </c>
      <c r="AI635" s="1868">
        <v>25.526959999999999</v>
      </c>
      <c r="AJ635" s="1868">
        <v>23.069800000000001</v>
      </c>
      <c r="AK635" s="1868">
        <v>21.32075</v>
      </c>
      <c r="AL635" s="1868">
        <v>23.264050000000001</v>
      </c>
      <c r="AM635" s="1868">
        <v>27.56288</v>
      </c>
      <c r="AN635" s="1868">
        <v>29.745200000000001</v>
      </c>
      <c r="AO635" s="1868">
        <v>32.485620000000004</v>
      </c>
      <c r="AP635" s="1868">
        <v>30.231040000000004</v>
      </c>
      <c r="AQ635" s="1868">
        <v>29.487120000000001</v>
      </c>
      <c r="AR635" s="1868">
        <v>31.098259999999996</v>
      </c>
      <c r="AS635" s="1868">
        <v>34.484310000000001</v>
      </c>
      <c r="AT635" s="1868">
        <v>32.740299999999998</v>
      </c>
      <c r="AU635" s="1868">
        <v>40.748609999999999</v>
      </c>
      <c r="AV635" s="1868">
        <v>43.523060000000001</v>
      </c>
      <c r="AW635" s="1868">
        <v>44.582679999999996</v>
      </c>
      <c r="AX635" s="1868">
        <v>46.808209999999995</v>
      </c>
      <c r="AY635" s="1868">
        <v>45.807049999999997</v>
      </c>
      <c r="AZ635" s="1868">
        <v>43.15992</v>
      </c>
      <c r="BA635" s="1868">
        <v>43.984380000000002</v>
      </c>
    </row>
    <row r="636" spans="1:53">
      <c r="A636" s="1865" t="str">
        <f t="shared" si="9"/>
        <v>Eastern AsiaSugar cane</v>
      </c>
      <c r="B636" s="1866" t="s">
        <v>1354</v>
      </c>
      <c r="C636" s="1866" t="s">
        <v>1401</v>
      </c>
      <c r="D636" s="1868">
        <v>44.192830000000001</v>
      </c>
      <c r="E636" s="1868">
        <v>42.449159999999999</v>
      </c>
      <c r="F636" s="1868">
        <v>51.740850000000002</v>
      </c>
      <c r="G636" s="1868">
        <v>50.041849999999997</v>
      </c>
      <c r="H636" s="1868">
        <v>50.740079999999999</v>
      </c>
      <c r="I636" s="1868">
        <v>46.559080000000002</v>
      </c>
      <c r="J636" s="1868">
        <v>47.096170000000001</v>
      </c>
      <c r="K636" s="1868">
        <v>46.761809999999997</v>
      </c>
      <c r="L636" s="1868">
        <v>43.656929999999996</v>
      </c>
      <c r="M636" s="1868">
        <v>43.21407</v>
      </c>
      <c r="N636" s="1868">
        <v>41.937290000000004</v>
      </c>
      <c r="O636" s="1868">
        <v>42.701830000000001</v>
      </c>
      <c r="P636" s="1868">
        <v>42.043459999999996</v>
      </c>
      <c r="Q636" s="1868">
        <v>43.716340000000002</v>
      </c>
      <c r="R636" s="1868">
        <v>40.405700000000003</v>
      </c>
      <c r="S636" s="1868">
        <v>40.244529999999997</v>
      </c>
      <c r="T636" s="1868">
        <v>47.370909999999995</v>
      </c>
      <c r="U636" s="1868">
        <v>46.072369999999999</v>
      </c>
      <c r="V636" s="1868">
        <v>50.94153</v>
      </c>
      <c r="W636" s="1868">
        <v>54.506190000000004</v>
      </c>
      <c r="X636" s="1868">
        <v>58.604230000000001</v>
      </c>
      <c r="Y636" s="1868">
        <v>60.244119999999995</v>
      </c>
      <c r="Z636" s="1868">
        <v>52.486340000000006</v>
      </c>
      <c r="AA636" s="1868">
        <v>57.677269999999993</v>
      </c>
      <c r="AB636" s="1868">
        <v>56.378990000000002</v>
      </c>
      <c r="AC636" s="1868">
        <v>55.7896</v>
      </c>
      <c r="AD636" s="1868">
        <v>57.475080000000005</v>
      </c>
      <c r="AE636" s="1868">
        <v>56.517659999999999</v>
      </c>
      <c r="AF636" s="1868">
        <v>54.848459999999996</v>
      </c>
      <c r="AG636" s="1868">
        <v>58.93486</v>
      </c>
      <c r="AH636" s="1868">
        <v>59.327819999999996</v>
      </c>
      <c r="AI636" s="1868">
        <v>60.292859999999997</v>
      </c>
      <c r="AJ636" s="1868">
        <v>59.933080000000004</v>
      </c>
      <c r="AK636" s="1868">
        <v>59.458040000000004</v>
      </c>
      <c r="AL636" s="1868">
        <v>59.439059999999998</v>
      </c>
      <c r="AM636" s="1868">
        <v>57.498150000000003</v>
      </c>
      <c r="AN636" s="1868">
        <v>74.686719999999994</v>
      </c>
      <c r="AO636" s="1868">
        <v>73.484780000000001</v>
      </c>
      <c r="AP636" s="1868">
        <v>74.803569999999993</v>
      </c>
      <c r="AQ636" s="1868">
        <v>58.342890000000004</v>
      </c>
      <c r="AR636" s="1868">
        <v>60.948149999999998</v>
      </c>
      <c r="AS636" s="1868">
        <v>64.736040000000003</v>
      </c>
      <c r="AT636" s="1868">
        <v>64.176599999999993</v>
      </c>
      <c r="AU636" s="1868">
        <v>65.12191</v>
      </c>
      <c r="AV636" s="1868">
        <v>64.013900000000007</v>
      </c>
      <c r="AW636" s="1868">
        <v>67.071380000000005</v>
      </c>
      <c r="AX636" s="1868">
        <v>71.186049999999994</v>
      </c>
      <c r="AY636" s="1868">
        <v>71.227380000000011</v>
      </c>
      <c r="AZ636" s="1868">
        <v>68.0501</v>
      </c>
      <c r="BA636" s="1868">
        <v>65.711510000000004</v>
      </c>
    </row>
    <row r="637" spans="1:53">
      <c r="A637" s="1865" t="str">
        <f t="shared" si="9"/>
        <v>Eastern AsiaSunflower seed</v>
      </c>
      <c r="B637" s="1866" t="s">
        <v>1354</v>
      </c>
      <c r="C637" s="1866" t="s">
        <v>1402</v>
      </c>
      <c r="D637" s="1868">
        <v>1.2448999999999999</v>
      </c>
      <c r="E637" s="1868">
        <v>1.2452799999999999</v>
      </c>
      <c r="F637" s="1868">
        <v>1.2452799999999999</v>
      </c>
      <c r="G637" s="1868">
        <v>1.2452799999999999</v>
      </c>
      <c r="H637" s="1868">
        <v>1.2452799999999999</v>
      </c>
      <c r="I637" s="1868">
        <v>0.86842000000000008</v>
      </c>
      <c r="J637" s="1868">
        <v>0.875</v>
      </c>
      <c r="K637" s="1868">
        <v>0.875</v>
      </c>
      <c r="L637" s="1868">
        <v>0.86904999999999999</v>
      </c>
      <c r="M637" s="1868">
        <v>0.875</v>
      </c>
      <c r="N637" s="1868">
        <v>0.875</v>
      </c>
      <c r="O637" s="1868">
        <v>0.82278999999999991</v>
      </c>
      <c r="P637" s="1868">
        <v>0.86419999999999997</v>
      </c>
      <c r="Q637" s="1868">
        <v>0.85366000000000009</v>
      </c>
      <c r="R637" s="1868">
        <v>0.84211000000000003</v>
      </c>
      <c r="S637" s="1868">
        <v>0.86957000000000007</v>
      </c>
      <c r="T637" s="1868">
        <v>0.98837000000000008</v>
      </c>
      <c r="U637" s="1868">
        <v>0.87187999999999988</v>
      </c>
      <c r="V637" s="1868">
        <v>0.92435</v>
      </c>
      <c r="W637" s="1868">
        <v>1.0791200000000001</v>
      </c>
      <c r="X637" s="1868">
        <v>1.28077</v>
      </c>
      <c r="Y637" s="1868">
        <v>1.5291299999999999</v>
      </c>
      <c r="Z637" s="1868">
        <v>1.8291400000000002</v>
      </c>
      <c r="AA637" s="1868">
        <v>1.68232</v>
      </c>
      <c r="AB637" s="1868">
        <v>1.1752200000000002</v>
      </c>
      <c r="AC637" s="1868">
        <v>1.39479</v>
      </c>
      <c r="AD637" s="1868">
        <v>1.39917</v>
      </c>
      <c r="AE637" s="1868">
        <v>1.4212200000000001</v>
      </c>
      <c r="AF637" s="1868">
        <v>1.4861500000000001</v>
      </c>
      <c r="AG637" s="1868">
        <v>1.87845</v>
      </c>
      <c r="AH637" s="1868">
        <v>1.7987799999999998</v>
      </c>
      <c r="AI637" s="1868">
        <v>1.8261799999999999</v>
      </c>
      <c r="AJ637" s="1868">
        <v>1.7731700000000001</v>
      </c>
      <c r="AK637" s="1868">
        <v>1.6988900000000002</v>
      </c>
      <c r="AL637" s="1868">
        <v>1.5608899999999999</v>
      </c>
      <c r="AM637" s="1868">
        <v>2.0599400000000001</v>
      </c>
      <c r="AN637" s="1868">
        <v>1.64306</v>
      </c>
      <c r="AO637" s="1868">
        <v>1.6466900000000002</v>
      </c>
      <c r="AP637" s="1868">
        <v>1.56057</v>
      </c>
      <c r="AQ637" s="1868">
        <v>1.5899099999999999</v>
      </c>
      <c r="AR637" s="1868">
        <v>1.45482</v>
      </c>
      <c r="AS637" s="1868">
        <v>1.72072</v>
      </c>
      <c r="AT637" s="1868">
        <v>1.48593</v>
      </c>
      <c r="AU637" s="1868">
        <v>1.6595799999999998</v>
      </c>
      <c r="AV637" s="1868">
        <v>1.88968</v>
      </c>
      <c r="AW637" s="1868">
        <v>1.8252700000000002</v>
      </c>
      <c r="AX637" s="1868">
        <v>1.6501299999999999</v>
      </c>
      <c r="AY637" s="1868">
        <v>1.8580700000000001</v>
      </c>
      <c r="AZ637" s="1868">
        <v>2.0398200000000002</v>
      </c>
      <c r="BA637" s="1868">
        <v>1.7628900000000001</v>
      </c>
    </row>
    <row r="638" spans="1:53">
      <c r="A638" s="1865" t="str">
        <f t="shared" si="9"/>
        <v>Eastern AsiaSweet potatoes</v>
      </c>
      <c r="B638" s="1866" t="s">
        <v>1354</v>
      </c>
      <c r="C638" s="1866" t="s">
        <v>1403</v>
      </c>
      <c r="D638" s="1868">
        <v>7.5338100000000008</v>
      </c>
      <c r="E638" s="1868">
        <v>8.0211000000000006</v>
      </c>
      <c r="F638" s="1868">
        <v>8.6757100000000005</v>
      </c>
      <c r="G638" s="1868">
        <v>7.6020500000000002</v>
      </c>
      <c r="H638" s="1868">
        <v>9.7869399999999995</v>
      </c>
      <c r="I638" s="1868">
        <v>10.310960000000001</v>
      </c>
      <c r="J638" s="1868">
        <v>11.163410000000001</v>
      </c>
      <c r="K638" s="1868">
        <v>11.604410000000001</v>
      </c>
      <c r="L638" s="1868">
        <v>12.149339999999999</v>
      </c>
      <c r="M638" s="1868">
        <v>13.065519999999999</v>
      </c>
      <c r="N638" s="1868">
        <v>12.70796</v>
      </c>
      <c r="O638" s="1868">
        <v>11.2286</v>
      </c>
      <c r="P638" s="1868">
        <v>14.198310000000001</v>
      </c>
      <c r="Q638" s="1868">
        <v>12.87842</v>
      </c>
      <c r="R638" s="1868">
        <v>13.540699999999999</v>
      </c>
      <c r="S638" s="1868">
        <v>13.395229999999998</v>
      </c>
      <c r="T638" s="1868">
        <v>13.36922</v>
      </c>
      <c r="U638" s="1868">
        <v>13.770799999999999</v>
      </c>
      <c r="V638" s="1868">
        <v>13.648420000000002</v>
      </c>
      <c r="W638" s="1868">
        <v>15.107679999999998</v>
      </c>
      <c r="X638" s="1868">
        <v>14.71054</v>
      </c>
      <c r="Y638" s="1868">
        <v>15.718920000000001</v>
      </c>
      <c r="Z638" s="1868">
        <v>17.108810000000002</v>
      </c>
      <c r="AA638" s="1868">
        <v>17.44481</v>
      </c>
      <c r="AB638" s="1868">
        <v>17.062850000000001</v>
      </c>
      <c r="AC638" s="1868">
        <v>16.537979999999997</v>
      </c>
      <c r="AD638" s="1868">
        <v>18.262610000000002</v>
      </c>
      <c r="AE638" s="1868">
        <v>16.432829999999999</v>
      </c>
      <c r="AF638" s="1868">
        <v>16.886229999999998</v>
      </c>
      <c r="AG638" s="1868">
        <v>16.711660000000002</v>
      </c>
      <c r="AH638" s="1868">
        <v>17.040649999999999</v>
      </c>
      <c r="AI638" s="1868">
        <v>16.769929999999999</v>
      </c>
      <c r="AJ638" s="1868">
        <v>18.19557</v>
      </c>
      <c r="AK638" s="1868">
        <v>17.77346</v>
      </c>
      <c r="AL638" s="1868">
        <v>19.286100000000001</v>
      </c>
      <c r="AM638" s="1868">
        <v>20.429950000000002</v>
      </c>
      <c r="AN638" s="1868">
        <v>17.21659</v>
      </c>
      <c r="AO638" s="1868">
        <v>19.445399999999999</v>
      </c>
      <c r="AP638" s="1868">
        <v>21.17877</v>
      </c>
      <c r="AQ638" s="1868">
        <v>20.29674</v>
      </c>
      <c r="AR638" s="1868">
        <v>20.660550000000001</v>
      </c>
      <c r="AS638" s="1868">
        <v>21.674410000000002</v>
      </c>
      <c r="AT638" s="1868">
        <v>20.74916</v>
      </c>
      <c r="AU638" s="1868">
        <v>21.71557</v>
      </c>
      <c r="AV638" s="1868">
        <v>22.14228</v>
      </c>
      <c r="AW638" s="1868">
        <v>22.075700000000001</v>
      </c>
      <c r="AX638" s="1868">
        <v>20.69725</v>
      </c>
      <c r="AY638" s="1868">
        <v>20.75797</v>
      </c>
      <c r="AZ638" s="1868">
        <v>21.511039999999998</v>
      </c>
      <c r="BA638" s="1868">
        <v>21.93338</v>
      </c>
    </row>
    <row r="639" spans="1:53">
      <c r="A639" s="1865" t="str">
        <f t="shared" si="9"/>
        <v>Eastern AsiaTangerines, mandarins, clem.</v>
      </c>
      <c r="B639" s="1866" t="s">
        <v>1354</v>
      </c>
      <c r="C639" s="1866" t="s">
        <v>1404</v>
      </c>
      <c r="D639" s="1868">
        <v>8.3243299999999998</v>
      </c>
      <c r="E639" s="1868">
        <v>7.8197399999999995</v>
      </c>
      <c r="F639" s="1868">
        <v>7.69693</v>
      </c>
      <c r="G639" s="1868">
        <v>8.556280000000001</v>
      </c>
      <c r="H639" s="1868">
        <v>8.4114899999999988</v>
      </c>
      <c r="I639" s="1868">
        <v>9.9672300000000007</v>
      </c>
      <c r="J639" s="1868">
        <v>8.579089999999999</v>
      </c>
      <c r="K639" s="1868">
        <v>11.28875</v>
      </c>
      <c r="L639" s="1868">
        <v>9.5843699999999998</v>
      </c>
      <c r="M639" s="1868">
        <v>11.113519999999999</v>
      </c>
      <c r="N639" s="1868">
        <v>10.67441</v>
      </c>
      <c r="O639" s="1868">
        <v>14.43271</v>
      </c>
      <c r="P639" s="1868">
        <v>13.65274</v>
      </c>
      <c r="Q639" s="1868">
        <v>13.53471</v>
      </c>
      <c r="R639" s="1868">
        <v>14.762650000000001</v>
      </c>
      <c r="S639" s="1868">
        <v>12.70712</v>
      </c>
      <c r="T639" s="1868">
        <v>14.886520000000001</v>
      </c>
      <c r="U639" s="1868">
        <v>13.09578</v>
      </c>
      <c r="V639" s="1868">
        <v>13.823639999999999</v>
      </c>
      <c r="W639" s="1868">
        <v>11.35317</v>
      </c>
      <c r="X639" s="1868">
        <v>11.40419</v>
      </c>
      <c r="Y639" s="1868">
        <v>11.23156</v>
      </c>
      <c r="Z639" s="1868">
        <v>11.732560000000001</v>
      </c>
      <c r="AA639" s="1868">
        <v>8.9167100000000001</v>
      </c>
      <c r="AB639" s="1868">
        <v>8.8316499999999998</v>
      </c>
      <c r="AC639" s="1868">
        <v>7.4497</v>
      </c>
      <c r="AD639" s="1868">
        <v>7.4199800000000007</v>
      </c>
      <c r="AE639" s="1868">
        <v>5.6199699999999995</v>
      </c>
      <c r="AF639" s="1868">
        <v>7.4890800000000004</v>
      </c>
      <c r="AG639" s="1868">
        <v>6.8003399999999994</v>
      </c>
      <c r="AH639" s="1868">
        <v>7.3794000000000004</v>
      </c>
      <c r="AI639" s="1868">
        <v>7.2352899999999991</v>
      </c>
      <c r="AJ639" s="1868">
        <v>7.6409500000000001</v>
      </c>
      <c r="AK639" s="1868">
        <v>7.438089999999999</v>
      </c>
      <c r="AL639" s="1868">
        <v>8.1926899999999989</v>
      </c>
      <c r="AM639" s="1868">
        <v>7.6029399999999994</v>
      </c>
      <c r="AN639" s="1868">
        <v>9.7545199999999994</v>
      </c>
      <c r="AO639" s="1868">
        <v>8.1827300000000012</v>
      </c>
      <c r="AP639" s="1868">
        <v>10.3629</v>
      </c>
      <c r="AQ639" s="1868">
        <v>8.5453299999999999</v>
      </c>
      <c r="AR639" s="1868">
        <v>10.58103</v>
      </c>
      <c r="AS639" s="1868">
        <v>9.9512100000000014</v>
      </c>
      <c r="AT639" s="1868">
        <v>10.287139999999999</v>
      </c>
      <c r="AU639" s="1868">
        <v>10.4129</v>
      </c>
      <c r="AV639" s="1868">
        <v>10.290850000000001</v>
      </c>
      <c r="AW639" s="1868">
        <v>10.86068</v>
      </c>
      <c r="AX639" s="1868">
        <v>6.7446999999999999</v>
      </c>
      <c r="AY639" s="1868">
        <v>6.9537899999999997</v>
      </c>
      <c r="AZ639" s="1868">
        <v>7.9687199999999994</v>
      </c>
      <c r="BA639" s="1868">
        <v>8.1875499999999999</v>
      </c>
    </row>
    <row r="640" spans="1:53">
      <c r="A640" s="1865" t="str">
        <f t="shared" si="9"/>
        <v>Eastern AsiaTea</v>
      </c>
      <c r="B640" s="1866" t="s">
        <v>1354</v>
      </c>
      <c r="C640" s="1866" t="s">
        <v>1405</v>
      </c>
      <c r="D640" s="1868">
        <v>0.44224999999999998</v>
      </c>
      <c r="E640" s="1868">
        <v>0.42821000000000004</v>
      </c>
      <c r="F640" s="1868">
        <v>0.45982000000000001</v>
      </c>
      <c r="G640" s="1868">
        <v>0.46798999999999996</v>
      </c>
      <c r="H640" s="1868">
        <v>0.47567999999999999</v>
      </c>
      <c r="I640" s="1868">
        <v>0.49841000000000002</v>
      </c>
      <c r="J640" s="1868">
        <v>0.48094999999999999</v>
      </c>
      <c r="K640" s="1868">
        <v>0.46136000000000005</v>
      </c>
      <c r="L640" s="1868">
        <v>0.45488000000000001</v>
      </c>
      <c r="M640" s="1868">
        <v>0.44663999999999998</v>
      </c>
      <c r="N640" s="1868">
        <v>0.42898000000000003</v>
      </c>
      <c r="O640" s="1868">
        <v>0.42352000000000001</v>
      </c>
      <c r="P640" s="1868">
        <v>0.39515</v>
      </c>
      <c r="Q640" s="1868">
        <v>0.35670999999999997</v>
      </c>
      <c r="R640" s="1868">
        <v>0.34589999999999999</v>
      </c>
      <c r="S640" s="1868">
        <v>0.34063000000000004</v>
      </c>
      <c r="T640" s="1868">
        <v>0.34573000000000004</v>
      </c>
      <c r="U640" s="1868">
        <v>0.35115999999999997</v>
      </c>
      <c r="V640" s="1868">
        <v>0.35331999999999997</v>
      </c>
      <c r="W640" s="1868">
        <v>0.38161999999999996</v>
      </c>
      <c r="X640" s="1868">
        <v>0.40978000000000003</v>
      </c>
      <c r="Y640" s="1868">
        <v>0.43890000000000001</v>
      </c>
      <c r="Z640" s="1868">
        <v>0.44268999999999997</v>
      </c>
      <c r="AA640" s="1868">
        <v>0.45593</v>
      </c>
      <c r="AB640" s="1868">
        <v>0.61588999999999994</v>
      </c>
      <c r="AC640" s="1868">
        <v>0.65738999999999992</v>
      </c>
      <c r="AD640" s="1868">
        <v>0.70694000000000001</v>
      </c>
      <c r="AE640" s="1868">
        <v>0.72963</v>
      </c>
      <c r="AF640" s="1868">
        <v>0.71458999999999995</v>
      </c>
      <c r="AG640" s="1868">
        <v>0.72384999999999999</v>
      </c>
      <c r="AH640" s="1868">
        <v>0.71633000000000002</v>
      </c>
      <c r="AI640" s="1868">
        <v>0.73263999999999996</v>
      </c>
      <c r="AJ640" s="1868">
        <v>0.74543999999999999</v>
      </c>
      <c r="AK640" s="1868">
        <v>0.73011999999999999</v>
      </c>
      <c r="AL640" s="1868">
        <v>0.73724999999999996</v>
      </c>
      <c r="AM640" s="1868">
        <v>0.74718999999999991</v>
      </c>
      <c r="AN640" s="1868">
        <v>0.77456000000000003</v>
      </c>
      <c r="AO640" s="1868">
        <v>0.82866000000000006</v>
      </c>
      <c r="AP640" s="1868">
        <v>0.80210000000000004</v>
      </c>
      <c r="AQ640" s="1868">
        <v>0.83204999999999996</v>
      </c>
      <c r="AR640" s="1868">
        <v>0.84367000000000003</v>
      </c>
      <c r="AS640" s="1868">
        <v>0.88732000000000011</v>
      </c>
      <c r="AT640" s="1868">
        <v>0.88727000000000011</v>
      </c>
      <c r="AU640" s="1868">
        <v>0.91144999999999998</v>
      </c>
      <c r="AV640" s="1868">
        <v>0.95173999999999992</v>
      </c>
      <c r="AW640" s="1868">
        <v>0.97747000000000006</v>
      </c>
      <c r="AX640" s="1868">
        <v>0.97802000000000011</v>
      </c>
      <c r="AY640" s="1868">
        <v>1.01871</v>
      </c>
      <c r="AZ640" s="1868">
        <v>1.0684400000000001</v>
      </c>
      <c r="BA640" s="1868">
        <v>1.0587600000000001</v>
      </c>
    </row>
    <row r="641" spans="1:53">
      <c r="A641" s="1865" t="str">
        <f t="shared" si="9"/>
        <v>Eastern AsiaTobacco, unmanufactured</v>
      </c>
      <c r="B641" s="1866" t="s">
        <v>1354</v>
      </c>
      <c r="C641" s="1866" t="s">
        <v>1347</v>
      </c>
      <c r="D641" s="1868">
        <v>1.38798</v>
      </c>
      <c r="E641" s="1868">
        <v>1.39293</v>
      </c>
      <c r="F641" s="1868">
        <v>1.4034200000000001</v>
      </c>
      <c r="G641" s="1868">
        <v>1.57192</v>
      </c>
      <c r="H641" s="1868">
        <v>1.61253</v>
      </c>
      <c r="I641" s="1868">
        <v>1.76413</v>
      </c>
      <c r="J641" s="1868">
        <v>1.7700799999999999</v>
      </c>
      <c r="K641" s="1868">
        <v>2.0698599999999998</v>
      </c>
      <c r="L641" s="1868">
        <v>1.9117500000000001</v>
      </c>
      <c r="M641" s="1868">
        <v>1.9462099999999998</v>
      </c>
      <c r="N641" s="1868">
        <v>1.95061</v>
      </c>
      <c r="O641" s="1868">
        <v>1.98373</v>
      </c>
      <c r="P641" s="1868">
        <v>2.1286200000000002</v>
      </c>
      <c r="Q641" s="1868">
        <v>2.0704400000000001</v>
      </c>
      <c r="R641" s="1868">
        <v>1.7906900000000001</v>
      </c>
      <c r="S641" s="1868">
        <v>1.5997700000000001</v>
      </c>
      <c r="T641" s="1868">
        <v>1.57467</v>
      </c>
      <c r="U641" s="1868">
        <v>1.6910000000000001</v>
      </c>
      <c r="V641" s="1868">
        <v>1.6143799999999999</v>
      </c>
      <c r="W641" s="1868">
        <v>1.8076299999999998</v>
      </c>
      <c r="X641" s="1868">
        <v>1.9849599999999998</v>
      </c>
      <c r="Y641" s="1868">
        <v>1.9772599999999998</v>
      </c>
      <c r="Z641" s="1868">
        <v>1.8667499999999999</v>
      </c>
      <c r="AA641" s="1868">
        <v>2.0198200000000002</v>
      </c>
      <c r="AB641" s="1868">
        <v>1.8655200000000001</v>
      </c>
      <c r="AC641" s="1868">
        <v>1.5849299999999999</v>
      </c>
      <c r="AD641" s="1868">
        <v>1.76101</v>
      </c>
      <c r="AE641" s="1868">
        <v>1.7762900000000001</v>
      </c>
      <c r="AF641" s="1868">
        <v>1.6073500000000001</v>
      </c>
      <c r="AG641" s="1868">
        <v>1.6859</v>
      </c>
      <c r="AH641" s="1868">
        <v>1.7036799999999999</v>
      </c>
      <c r="AI641" s="1868">
        <v>1.69692</v>
      </c>
      <c r="AJ641" s="1868">
        <v>1.6787799999999999</v>
      </c>
      <c r="AK641" s="1868">
        <v>1.5557700000000001</v>
      </c>
      <c r="AL641" s="1868">
        <v>1.6127</v>
      </c>
      <c r="AM641" s="1868">
        <v>1.75728</v>
      </c>
      <c r="AN641" s="1868">
        <v>1.81358</v>
      </c>
      <c r="AO641" s="1868">
        <v>1.75099</v>
      </c>
      <c r="AP641" s="1868">
        <v>1.8175400000000002</v>
      </c>
      <c r="AQ641" s="1868">
        <v>1.7967099999999998</v>
      </c>
      <c r="AR641" s="1868">
        <v>1.7687200000000001</v>
      </c>
      <c r="AS641" s="1868">
        <v>1.8485099999999999</v>
      </c>
      <c r="AT641" s="1868">
        <v>1.7874099999999999</v>
      </c>
      <c r="AU641" s="1868">
        <v>1.9070499999999999</v>
      </c>
      <c r="AV641" s="1868">
        <v>1.9622599999999999</v>
      </c>
      <c r="AW641" s="1868">
        <v>2.0352099999999997</v>
      </c>
      <c r="AX641" s="1868">
        <v>2.04209</v>
      </c>
      <c r="AY641" s="1868">
        <v>2.1312000000000002</v>
      </c>
      <c r="AZ641" s="1868">
        <v>2.19591</v>
      </c>
      <c r="BA641" s="1868">
        <v>2.2114599999999998</v>
      </c>
    </row>
    <row r="642" spans="1:53">
      <c r="A642" s="1865" t="str">
        <f t="shared" si="9"/>
        <v>Eastern AsiaTomatoes</v>
      </c>
      <c r="B642" s="1866" t="s">
        <v>1354</v>
      </c>
      <c r="C642" s="1866" t="s">
        <v>1406</v>
      </c>
      <c r="D642" s="1868">
        <v>16.133320000000001</v>
      </c>
      <c r="E642" s="1868">
        <v>16.258770000000002</v>
      </c>
      <c r="F642" s="1868">
        <v>17.359079999999999</v>
      </c>
      <c r="G642" s="1868">
        <v>17.993670000000002</v>
      </c>
      <c r="H642" s="1868">
        <v>18.755990000000001</v>
      </c>
      <c r="I642" s="1868">
        <v>20.162659999999999</v>
      </c>
      <c r="J642" s="1868">
        <v>21.01116</v>
      </c>
      <c r="K642" s="1868">
        <v>22.768439999999998</v>
      </c>
      <c r="L642" s="1868">
        <v>24.519170000000003</v>
      </c>
      <c r="M642" s="1868">
        <v>25.620349999999998</v>
      </c>
      <c r="N642" s="1868">
        <v>25.974510000000002</v>
      </c>
      <c r="O642" s="1868">
        <v>25.019860000000001</v>
      </c>
      <c r="P642" s="1868">
        <v>25.12266</v>
      </c>
      <c r="Q642" s="1868">
        <v>25.82451</v>
      </c>
      <c r="R642" s="1868">
        <v>26.871840000000002</v>
      </c>
      <c r="S642" s="1868">
        <v>26.339829999999999</v>
      </c>
      <c r="T642" s="1868">
        <v>26.554400000000001</v>
      </c>
      <c r="U642" s="1868">
        <v>25.736079999999998</v>
      </c>
      <c r="V642" s="1868">
        <v>24.783570000000001</v>
      </c>
      <c r="W642" s="1868">
        <v>24.842389999999998</v>
      </c>
      <c r="X642" s="1868">
        <v>24.820220000000003</v>
      </c>
      <c r="Y642" s="1868">
        <v>24.64603</v>
      </c>
      <c r="Z642" s="1868">
        <v>25.37323</v>
      </c>
      <c r="AA642" s="1868">
        <v>25.22513</v>
      </c>
      <c r="AB642" s="1868">
        <v>23.966190000000001</v>
      </c>
      <c r="AC642" s="1868">
        <v>23.74051</v>
      </c>
      <c r="AD642" s="1868">
        <v>23.52825</v>
      </c>
      <c r="AE642" s="1868">
        <v>23.47636</v>
      </c>
      <c r="AF642" s="1868">
        <v>24.283049999999999</v>
      </c>
      <c r="AG642" s="1868">
        <v>25.861699999999999</v>
      </c>
      <c r="AH642" s="1868">
        <v>27.521599999999999</v>
      </c>
      <c r="AI642" s="1868">
        <v>28.696020000000001</v>
      </c>
      <c r="AJ642" s="1868">
        <v>27.73563</v>
      </c>
      <c r="AK642" s="1868">
        <v>27.6525</v>
      </c>
      <c r="AL642" s="1868">
        <v>28.308890000000002</v>
      </c>
      <c r="AM642" s="1868">
        <v>27.683809999999998</v>
      </c>
      <c r="AN642" s="1868">
        <v>27.037700000000001</v>
      </c>
      <c r="AO642" s="1868">
        <v>24.705379999999998</v>
      </c>
      <c r="AP642" s="1868">
        <v>24.483929999999997</v>
      </c>
      <c r="AQ642" s="1868">
        <v>26.18357</v>
      </c>
      <c r="AR642" s="1868">
        <v>26.244990000000001</v>
      </c>
      <c r="AS642" s="1868">
        <v>27.393000000000001</v>
      </c>
      <c r="AT642" s="1868">
        <v>27.699159999999999</v>
      </c>
      <c r="AU642" s="1868">
        <v>24.44726</v>
      </c>
      <c r="AV642" s="1868">
        <v>24.661729999999999</v>
      </c>
      <c r="AW642" s="1868">
        <v>23.557579999999998</v>
      </c>
      <c r="AX642" s="1868">
        <v>40.101030000000002</v>
      </c>
      <c r="AY642" s="1868">
        <v>46.871020000000001</v>
      </c>
      <c r="AZ642" s="1868">
        <v>49.076720000000002</v>
      </c>
      <c r="BA642" s="1868">
        <v>47.886470000000003</v>
      </c>
    </row>
    <row r="643" spans="1:53">
      <c r="A643" s="1865" t="str">
        <f t="shared" si="9"/>
        <v>Eastern AsiaTriticale</v>
      </c>
      <c r="B643" s="1866" t="s">
        <v>1354</v>
      </c>
      <c r="C643" s="1866" t="s">
        <v>1361</v>
      </c>
      <c r="R643" s="1868">
        <v>2.5695900000000003</v>
      </c>
      <c r="S643" s="1868">
        <v>3.1500699999999999</v>
      </c>
      <c r="T643" s="1868">
        <v>3.0900099999999999</v>
      </c>
      <c r="U643" s="1868">
        <v>2.63503</v>
      </c>
      <c r="V643" s="1868">
        <v>3.02</v>
      </c>
      <c r="W643" s="1868">
        <v>2.3114300000000001</v>
      </c>
      <c r="X643" s="1868">
        <v>3.4</v>
      </c>
      <c r="Y643" s="1868">
        <v>1.65</v>
      </c>
      <c r="Z643" s="1868">
        <v>2.0499999999999998</v>
      </c>
      <c r="AA643" s="1868">
        <v>2.2494400000000003</v>
      </c>
      <c r="AB643" s="1868">
        <v>2.3394900000000001</v>
      </c>
      <c r="AC643" s="1868">
        <v>3</v>
      </c>
      <c r="AD643" s="1868">
        <v>3.25</v>
      </c>
      <c r="AE643" s="1868">
        <v>2.82</v>
      </c>
      <c r="AF643" s="1868">
        <v>3.3353900000000003</v>
      </c>
      <c r="AG643" s="1868">
        <v>3.2574200000000002</v>
      </c>
      <c r="AH643" s="1868">
        <v>3.0799699999999999</v>
      </c>
      <c r="AI643" s="1868">
        <v>3.15</v>
      </c>
      <c r="AJ643" s="1868">
        <v>3.26</v>
      </c>
      <c r="AK643" s="1868">
        <v>3.0599699999999999</v>
      </c>
      <c r="AL643" s="1868">
        <v>3.19</v>
      </c>
      <c r="AM643" s="1868">
        <v>2.98</v>
      </c>
      <c r="AN643" s="1868">
        <v>3.19747</v>
      </c>
      <c r="AO643" s="1868">
        <v>3.2599900000000002</v>
      </c>
      <c r="AP643" s="1868">
        <v>3.2</v>
      </c>
      <c r="AQ643" s="1868">
        <v>3.38</v>
      </c>
      <c r="AR643" s="1868">
        <v>3.19</v>
      </c>
      <c r="AS643" s="1868">
        <v>3.2303500000000001</v>
      </c>
      <c r="AT643" s="1868">
        <v>3.42</v>
      </c>
      <c r="AU643" s="1868">
        <v>2.7985099999999998</v>
      </c>
      <c r="AV643" s="1868">
        <v>1.9821400000000002</v>
      </c>
      <c r="AW643" s="1868">
        <v>1.0301899999999999</v>
      </c>
      <c r="AX643" s="1868">
        <v>1.98238</v>
      </c>
      <c r="AY643" s="1868">
        <v>1.5600799999999999</v>
      </c>
      <c r="AZ643" s="1868">
        <v>1.6990299999999998</v>
      </c>
      <c r="BA643" s="1868">
        <v>1.35</v>
      </c>
    </row>
    <row r="644" spans="1:53">
      <c r="A644" s="1865" t="str">
        <f t="shared" ref="A644:A707" si="10">CONCATENATE(B644,C644)</f>
        <v>Eastern AsiaVegetables fresh nes</v>
      </c>
      <c r="B644" s="1866" t="s">
        <v>1354</v>
      </c>
      <c r="C644" s="1866" t="s">
        <v>1407</v>
      </c>
      <c r="D644" s="1868">
        <v>12.70387</v>
      </c>
      <c r="E644" s="1868">
        <v>12.483269999999999</v>
      </c>
      <c r="F644" s="1868">
        <v>13.23235</v>
      </c>
      <c r="G644" s="1868">
        <v>12.87257</v>
      </c>
      <c r="H644" s="1868">
        <v>13.40516</v>
      </c>
      <c r="I644" s="1868">
        <v>13.611660000000001</v>
      </c>
      <c r="J644" s="1868">
        <v>13.743220000000001</v>
      </c>
      <c r="K644" s="1868">
        <v>14.53271</v>
      </c>
      <c r="L644" s="1868">
        <v>14.796320000000001</v>
      </c>
      <c r="M644" s="1868">
        <v>15.338649999999999</v>
      </c>
      <c r="N644" s="1868">
        <v>15.91071</v>
      </c>
      <c r="O644" s="1868">
        <v>15.446070000000001</v>
      </c>
      <c r="P644" s="1868">
        <v>15.494660000000001</v>
      </c>
      <c r="Q644" s="1868">
        <v>15.4564</v>
      </c>
      <c r="R644" s="1868">
        <v>16.995950000000001</v>
      </c>
      <c r="S644" s="1868">
        <v>16.94079</v>
      </c>
      <c r="T644" s="1868">
        <v>17.032610000000002</v>
      </c>
      <c r="U644" s="1868">
        <v>17.01437</v>
      </c>
      <c r="V644" s="1868">
        <v>17.778479999999998</v>
      </c>
      <c r="W644" s="1868">
        <v>17.535720000000001</v>
      </c>
      <c r="X644" s="1868">
        <v>18.773959999999999</v>
      </c>
      <c r="Y644" s="1868">
        <v>17.96002</v>
      </c>
      <c r="Z644" s="1868">
        <v>20.142289999999999</v>
      </c>
      <c r="AA644" s="1868">
        <v>21.876360000000002</v>
      </c>
      <c r="AB644" s="1868">
        <v>18.580410000000001</v>
      </c>
      <c r="AC644" s="1868">
        <v>20.571620000000003</v>
      </c>
      <c r="AD644" s="1868">
        <v>20.047190000000001</v>
      </c>
      <c r="AE644" s="1868">
        <v>19.553379999999997</v>
      </c>
      <c r="AF644" s="1868">
        <v>19.19558</v>
      </c>
      <c r="AG644" s="1868">
        <v>19.729890000000001</v>
      </c>
      <c r="AH644" s="1868">
        <v>18.555789999999998</v>
      </c>
      <c r="AI644" s="1868">
        <v>19.980789999999999</v>
      </c>
      <c r="AJ644" s="1868">
        <v>19.496949999999998</v>
      </c>
      <c r="AK644" s="1868">
        <v>19.252829999999999</v>
      </c>
      <c r="AL644" s="1868">
        <v>19.223089999999999</v>
      </c>
      <c r="AM644" s="1868">
        <v>19.332789999999999</v>
      </c>
      <c r="AN644" s="1868">
        <v>18.67511</v>
      </c>
      <c r="AO644" s="1868">
        <v>18.11721</v>
      </c>
      <c r="AP644" s="1868">
        <v>17.02807</v>
      </c>
      <c r="AQ644" s="1868">
        <v>18.226210000000002</v>
      </c>
      <c r="AR644" s="1868">
        <v>18.28152</v>
      </c>
      <c r="AS644" s="1868">
        <v>18.613299999999999</v>
      </c>
      <c r="AT644" s="1868">
        <v>18.373449999999998</v>
      </c>
      <c r="AU644" s="1868">
        <v>17.525200000000002</v>
      </c>
      <c r="AV644" s="1868">
        <v>17.37218</v>
      </c>
      <c r="AW644" s="1868">
        <v>17.59479</v>
      </c>
      <c r="AX644" s="1868">
        <v>17.333639999999999</v>
      </c>
      <c r="AY644" s="1868">
        <v>17.26737</v>
      </c>
      <c r="AZ644" s="1868">
        <v>16.688960000000002</v>
      </c>
      <c r="BA644" s="1868">
        <v>15.90751</v>
      </c>
    </row>
    <row r="645" spans="1:53">
      <c r="A645" s="1865" t="str">
        <f t="shared" si="10"/>
        <v>Eastern AsiaWheat</v>
      </c>
      <c r="B645" s="1866" t="s">
        <v>1354</v>
      </c>
      <c r="C645" s="1866" t="s">
        <v>1409</v>
      </c>
      <c r="D645" s="1868">
        <v>0.61475000000000002</v>
      </c>
      <c r="E645" s="1868">
        <v>0.74673999999999996</v>
      </c>
      <c r="F645" s="1868">
        <v>0.79106999999999994</v>
      </c>
      <c r="G645" s="1868">
        <v>0.85734999999999995</v>
      </c>
      <c r="H645" s="1868">
        <v>1.0505500000000001</v>
      </c>
      <c r="I645" s="1868">
        <v>1.07711</v>
      </c>
      <c r="J645" s="1868">
        <v>1.14581</v>
      </c>
      <c r="K645" s="1868">
        <v>1.1334</v>
      </c>
      <c r="L645" s="1868">
        <v>1.0945499999999999</v>
      </c>
      <c r="M645" s="1868">
        <v>1.15103</v>
      </c>
      <c r="N645" s="1868">
        <v>1.27664</v>
      </c>
      <c r="O645" s="1868">
        <v>1.3638299999999999</v>
      </c>
      <c r="P645" s="1868">
        <v>1.3344100000000001</v>
      </c>
      <c r="Q645" s="1868">
        <v>1.5064799999999998</v>
      </c>
      <c r="R645" s="1868">
        <v>1.63679</v>
      </c>
      <c r="S645" s="1868">
        <v>1.76617</v>
      </c>
      <c r="T645" s="1868">
        <v>1.46191</v>
      </c>
      <c r="U645" s="1868">
        <v>1.83257</v>
      </c>
      <c r="V645" s="1868">
        <v>2.1229900000000002</v>
      </c>
      <c r="W645" s="1868">
        <v>1.87995</v>
      </c>
      <c r="X645" s="1868">
        <v>2.09171</v>
      </c>
      <c r="Y645" s="1868">
        <v>2.4342099999999998</v>
      </c>
      <c r="Z645" s="1868">
        <v>2.7808599999999997</v>
      </c>
      <c r="AA645" s="1868">
        <v>2.9368500000000002</v>
      </c>
      <c r="AB645" s="1868">
        <v>2.91466</v>
      </c>
      <c r="AC645" s="1868">
        <v>3.0153300000000001</v>
      </c>
      <c r="AD645" s="1868">
        <v>2.9514200000000002</v>
      </c>
      <c r="AE645" s="1868">
        <v>2.9430099999999997</v>
      </c>
      <c r="AF645" s="1868">
        <v>3.01329</v>
      </c>
      <c r="AG645" s="1868">
        <v>3.1574900000000001</v>
      </c>
      <c r="AH645" s="1868">
        <v>3.06182</v>
      </c>
      <c r="AI645" s="1868">
        <v>3.28559</v>
      </c>
      <c r="AJ645" s="1868">
        <v>3.4705499999999998</v>
      </c>
      <c r="AK645" s="1868">
        <v>3.3831500000000001</v>
      </c>
      <c r="AL645" s="1868">
        <v>3.4986800000000002</v>
      </c>
      <c r="AM645" s="1868">
        <v>3.6912699999999998</v>
      </c>
      <c r="AN645" s="1868">
        <v>4.05863</v>
      </c>
      <c r="AO645" s="1868">
        <v>3.6508699999999998</v>
      </c>
      <c r="AP645" s="1868">
        <v>3.9095900000000001</v>
      </c>
      <c r="AQ645" s="1868">
        <v>3.7124999999999999</v>
      </c>
      <c r="AR645" s="1868">
        <v>3.7766500000000001</v>
      </c>
      <c r="AS645" s="1868">
        <v>3.74735</v>
      </c>
      <c r="AT645" s="1868">
        <v>3.8994300000000002</v>
      </c>
      <c r="AU645" s="1868">
        <v>4.2180099999999996</v>
      </c>
      <c r="AV645" s="1868">
        <v>4.2425899999999999</v>
      </c>
      <c r="AW645" s="1868">
        <v>4.5622600000000002</v>
      </c>
      <c r="AX645" s="1868">
        <v>4.58033</v>
      </c>
      <c r="AY645" s="1868">
        <v>4.7286900000000003</v>
      </c>
      <c r="AZ645" s="1868">
        <v>4.6868499999999997</v>
      </c>
      <c r="BA645" s="1868">
        <v>4.6896000000000004</v>
      </c>
    </row>
    <row r="646" spans="1:53">
      <c r="A646" s="1865" t="str">
        <f t="shared" si="10"/>
        <v>Eastern AsiaCereals (Rice Milled Eqv</v>
      </c>
      <c r="B646" s="1866" t="s">
        <v>1354</v>
      </c>
      <c r="C646" s="1866" t="s">
        <v>1410</v>
      </c>
      <c r="D646" s="1868">
        <v>1.1492899999999999</v>
      </c>
      <c r="E646" s="1868">
        <v>1.2343600000000001</v>
      </c>
      <c r="F646" s="1868">
        <v>1.3446899999999999</v>
      </c>
      <c r="G646" s="1868">
        <v>1.44719</v>
      </c>
      <c r="H646" s="1868">
        <v>1.5377700000000001</v>
      </c>
      <c r="I646" s="1868">
        <v>1.6470099999999999</v>
      </c>
      <c r="J646" s="1868">
        <v>1.7113900000000002</v>
      </c>
      <c r="K646" s="1868">
        <v>1.70573</v>
      </c>
      <c r="L646" s="1868">
        <v>1.6759900000000001</v>
      </c>
      <c r="M646" s="1868">
        <v>1.8314599999999999</v>
      </c>
      <c r="N646" s="1868">
        <v>1.8591</v>
      </c>
      <c r="O646" s="1868">
        <v>1.8098599999999998</v>
      </c>
      <c r="P646" s="1868">
        <v>1.94608</v>
      </c>
      <c r="Q646" s="1868">
        <v>2.04711</v>
      </c>
      <c r="R646" s="1868">
        <v>2.14202</v>
      </c>
      <c r="S646" s="1868">
        <v>2.1782599999999999</v>
      </c>
      <c r="T646" s="1868">
        <v>2.14324</v>
      </c>
      <c r="U646" s="1868">
        <v>2.40184</v>
      </c>
      <c r="V646" s="1868">
        <v>2.5979299999999999</v>
      </c>
      <c r="W646" s="1868">
        <v>2.47966</v>
      </c>
      <c r="X646" s="1868">
        <v>2.6107999999999998</v>
      </c>
      <c r="Y646" s="1868">
        <v>2.89269</v>
      </c>
      <c r="Z646" s="1868">
        <v>3.1248</v>
      </c>
      <c r="AA646" s="1868">
        <v>3.3268199999999997</v>
      </c>
      <c r="AB646" s="1868">
        <v>3.21374</v>
      </c>
      <c r="AC646" s="1868">
        <v>3.27894</v>
      </c>
      <c r="AD646" s="1868">
        <v>3.3390300000000002</v>
      </c>
      <c r="AE646" s="1868">
        <v>3.3163900000000002</v>
      </c>
      <c r="AF646" s="1868">
        <v>3.3733199999999997</v>
      </c>
      <c r="AG646" s="1868">
        <v>3.6414800000000005</v>
      </c>
      <c r="AH646" s="1868">
        <v>3.5888300000000002</v>
      </c>
      <c r="AI646" s="1868">
        <v>3.7041499999999998</v>
      </c>
      <c r="AJ646" s="1868">
        <v>3.8774500000000001</v>
      </c>
      <c r="AK646" s="1868">
        <v>3.8440500000000002</v>
      </c>
      <c r="AL646" s="1868">
        <v>3.9313300000000004</v>
      </c>
      <c r="AM646" s="1868">
        <v>4.14391</v>
      </c>
      <c r="AN646" s="1868">
        <v>4.0555400000000006</v>
      </c>
      <c r="AO646" s="1868">
        <v>4.1914899999999999</v>
      </c>
      <c r="AP646" s="1868">
        <v>4.1853499999999997</v>
      </c>
      <c r="AQ646" s="1868">
        <v>3.9962499999999999</v>
      </c>
      <c r="AR646" s="1868">
        <v>4.0622600000000002</v>
      </c>
      <c r="AS646" s="1868">
        <v>4.1437200000000001</v>
      </c>
      <c r="AT646" s="1868">
        <v>4.1356000000000002</v>
      </c>
      <c r="AU646" s="1868">
        <v>4.3975900000000001</v>
      </c>
      <c r="AV646" s="1868">
        <v>4.4488000000000003</v>
      </c>
      <c r="AW646" s="1868">
        <v>4.5557800000000004</v>
      </c>
      <c r="AX646" s="1868">
        <v>4.5479000000000003</v>
      </c>
      <c r="AY646" s="1868">
        <v>4.7630400000000002</v>
      </c>
      <c r="AZ646" s="1868">
        <v>4.6674800000000003</v>
      </c>
      <c r="BA646" s="1868">
        <v>4.7362000000000002</v>
      </c>
    </row>
    <row r="647" spans="1:53">
      <c r="A647" s="1865" t="str">
        <f t="shared" si="10"/>
        <v>Eastern EuropeBarley</v>
      </c>
      <c r="B647" s="1866" t="s">
        <v>307</v>
      </c>
      <c r="C647" s="1866" t="s">
        <v>1363</v>
      </c>
      <c r="D647" s="1868">
        <v>1.08633</v>
      </c>
      <c r="E647" s="1868">
        <v>1.24441</v>
      </c>
      <c r="F647" s="1868">
        <v>1.00858</v>
      </c>
      <c r="G647" s="1868">
        <v>1.2795799999999999</v>
      </c>
      <c r="H647" s="1868">
        <v>1.0772899999999999</v>
      </c>
      <c r="I647" s="1868">
        <v>1.4201900000000001</v>
      </c>
      <c r="J647" s="1868">
        <v>1.3199799999999999</v>
      </c>
      <c r="K647" s="1868">
        <v>1.4921200000000001</v>
      </c>
      <c r="L647" s="1868">
        <v>1.4665600000000001</v>
      </c>
      <c r="M647" s="1868">
        <v>1.7409599999999998</v>
      </c>
      <c r="N647" s="1868">
        <v>1.637</v>
      </c>
      <c r="O647" s="1868">
        <v>1.4047799999999999</v>
      </c>
      <c r="P647" s="1868">
        <v>1.8413599999999999</v>
      </c>
      <c r="Q647" s="1868">
        <v>1.7647599999999999</v>
      </c>
      <c r="R647" s="1868">
        <v>1.1913200000000002</v>
      </c>
      <c r="S647" s="1868">
        <v>1.97786</v>
      </c>
      <c r="T647" s="1868">
        <v>1.5583</v>
      </c>
      <c r="U647" s="1868">
        <v>1.9041700000000001</v>
      </c>
      <c r="V647" s="1868">
        <v>1.3663700000000001</v>
      </c>
      <c r="W647" s="1868">
        <v>1.4674700000000001</v>
      </c>
      <c r="X647" s="1868">
        <v>1.2674799999999999</v>
      </c>
      <c r="Y647" s="1868">
        <v>1.58368</v>
      </c>
      <c r="Z647" s="1868">
        <v>1.65412</v>
      </c>
      <c r="AA647" s="1868">
        <v>1.5259200000000002</v>
      </c>
      <c r="AB647" s="1868">
        <v>1.6816799999999998</v>
      </c>
      <c r="AC647" s="1868">
        <v>1.8475400000000002</v>
      </c>
      <c r="AD647" s="1868">
        <v>1.9303099999999997</v>
      </c>
      <c r="AE647" s="1868">
        <v>1.6186499999999999</v>
      </c>
      <c r="AF647" s="1868">
        <v>1.9919099999999998</v>
      </c>
      <c r="AG647" s="1868">
        <v>2.2464599999999999</v>
      </c>
      <c r="AH647" s="1868">
        <v>1.71607</v>
      </c>
      <c r="AI647" s="1868">
        <v>2.2549099999999997</v>
      </c>
      <c r="AJ647" s="1868">
        <v>2.2171799999999999</v>
      </c>
      <c r="AK647" s="1868">
        <v>2.1090499999999999</v>
      </c>
      <c r="AL647" s="1868">
        <v>1.63106</v>
      </c>
      <c r="AM647" s="1868">
        <v>1.7043400000000002</v>
      </c>
      <c r="AN647" s="1868">
        <v>2.10711</v>
      </c>
      <c r="AO647" s="1868">
        <v>1.8574400000000002</v>
      </c>
      <c r="AP647" s="1868">
        <v>1.85965</v>
      </c>
      <c r="AQ647" s="1868">
        <v>1.8846599999999998</v>
      </c>
      <c r="AR647" s="1868">
        <v>2.3737699999999999</v>
      </c>
      <c r="AS647" s="1868">
        <v>2.30369</v>
      </c>
      <c r="AT647" s="1868">
        <v>1.9698500000000001</v>
      </c>
      <c r="AU647" s="1868">
        <v>2.35127</v>
      </c>
      <c r="AV647" s="1868">
        <v>2.1752199999999999</v>
      </c>
      <c r="AW647" s="1868">
        <v>2.1525300000000001</v>
      </c>
      <c r="AX647" s="1868">
        <v>2.00041</v>
      </c>
      <c r="AY647" s="1868">
        <v>2.8218700000000001</v>
      </c>
      <c r="AZ647" s="1868">
        <v>2.5564200000000001</v>
      </c>
      <c r="BA647" s="1868">
        <v>2.1641699999999999</v>
      </c>
    </row>
    <row r="648" spans="1:53">
      <c r="A648" s="1865" t="str">
        <f t="shared" si="10"/>
        <v>Eastern EuropeBeans, dry</v>
      </c>
      <c r="B648" s="1866" t="s">
        <v>307</v>
      </c>
      <c r="C648" s="1866" t="s">
        <v>1364</v>
      </c>
      <c r="D648" s="1868">
        <v>0.16767000000000001</v>
      </c>
      <c r="E648" s="1868">
        <v>0.12874000000000002</v>
      </c>
      <c r="F648" s="1868">
        <v>0.12480999999999999</v>
      </c>
      <c r="G648" s="1868">
        <v>0.14047000000000001</v>
      </c>
      <c r="H648" s="1868">
        <v>0.14368</v>
      </c>
      <c r="I648" s="1868">
        <v>0.19805</v>
      </c>
      <c r="J648" s="1868">
        <v>0.18450999999999998</v>
      </c>
      <c r="K648" s="1868">
        <v>0.13392999999999999</v>
      </c>
      <c r="L648" s="1868">
        <v>0.20424999999999999</v>
      </c>
      <c r="M648" s="1868">
        <v>0.18584999999999999</v>
      </c>
      <c r="N648" s="1868">
        <v>0.23505999999999999</v>
      </c>
      <c r="O648" s="1868">
        <v>0.20169000000000001</v>
      </c>
      <c r="P648" s="1868">
        <v>0.2732</v>
      </c>
      <c r="Q648" s="1868">
        <v>0.22939000000000001</v>
      </c>
      <c r="R648" s="1868">
        <v>0.24124000000000001</v>
      </c>
      <c r="S648" s="1868">
        <v>0.23794000000000001</v>
      </c>
      <c r="T648" s="1868">
        <v>0.35730000000000001</v>
      </c>
      <c r="U648" s="1868">
        <v>0.40168000000000004</v>
      </c>
      <c r="V648" s="1868">
        <v>0.48621000000000003</v>
      </c>
      <c r="W648" s="1868">
        <v>0.38519999999999999</v>
      </c>
      <c r="X648" s="1868">
        <v>0.54547999999999996</v>
      </c>
      <c r="Y648" s="1868">
        <v>0.66971000000000003</v>
      </c>
      <c r="Z648" s="1868">
        <v>0.57455000000000001</v>
      </c>
      <c r="AA648" s="1868">
        <v>0.60482000000000002</v>
      </c>
      <c r="AB648" s="1868">
        <v>1.40018</v>
      </c>
      <c r="AC648" s="1868">
        <v>1.0448299999999999</v>
      </c>
      <c r="AD648" s="1868">
        <v>0.83053999999999994</v>
      </c>
      <c r="AE648" s="1868">
        <v>0.87160000000000004</v>
      </c>
      <c r="AF648" s="1868">
        <v>1.03898</v>
      </c>
      <c r="AG648" s="1868">
        <v>1.0069999999999999</v>
      </c>
      <c r="AH648" s="1868">
        <v>1.3575700000000002</v>
      </c>
      <c r="AI648" s="1868">
        <v>1.1545000000000001</v>
      </c>
      <c r="AJ648" s="1868">
        <v>1.44689</v>
      </c>
      <c r="AK648" s="1868">
        <v>1.0615399999999999</v>
      </c>
      <c r="AL648" s="1868">
        <v>1.35446</v>
      </c>
      <c r="AM648" s="1868">
        <v>1.19455</v>
      </c>
      <c r="AN648" s="1868">
        <v>1.50282</v>
      </c>
      <c r="AO648" s="1868">
        <v>1.1611499999999999</v>
      </c>
      <c r="AP648" s="1868">
        <v>1.08253</v>
      </c>
      <c r="AQ648" s="1868">
        <v>1.19906</v>
      </c>
      <c r="AR648" s="1868">
        <v>1.54687</v>
      </c>
      <c r="AS648" s="1868">
        <v>1.5429600000000001</v>
      </c>
      <c r="AT648" s="1868">
        <v>1.5185899999999999</v>
      </c>
      <c r="AU648" s="1868">
        <v>1.6737799999999998</v>
      </c>
      <c r="AV648" s="1868">
        <v>1.5122899999999999</v>
      </c>
      <c r="AW648" s="1868">
        <v>1.2493299999999998</v>
      </c>
      <c r="AX648" s="1868">
        <v>1.34904</v>
      </c>
      <c r="AY648" s="1868">
        <v>1.7717700000000001</v>
      </c>
      <c r="AZ648" s="1868">
        <v>1.8819299999999999</v>
      </c>
      <c r="BA648" s="1868">
        <v>1.6352599999999999</v>
      </c>
    </row>
    <row r="649" spans="1:53">
      <c r="A649" s="1865" t="str">
        <f t="shared" si="10"/>
        <v>Eastern EuropeBeans, green</v>
      </c>
      <c r="B649" s="1866" t="s">
        <v>307</v>
      </c>
      <c r="C649" s="1866" t="s">
        <v>1365</v>
      </c>
      <c r="D649" s="1868">
        <v>2.7458200000000001</v>
      </c>
      <c r="E649" s="1868">
        <v>3.2782199999999997</v>
      </c>
      <c r="F649" s="1868">
        <v>3.1391900000000001</v>
      </c>
      <c r="G649" s="1868">
        <v>3.3871800000000003</v>
      </c>
      <c r="H649" s="1868">
        <v>2.8643200000000002</v>
      </c>
      <c r="I649" s="1868">
        <v>3.37174</v>
      </c>
      <c r="J649" s="1868">
        <v>3.2177599999999997</v>
      </c>
      <c r="K649" s="1868">
        <v>3.0516299999999998</v>
      </c>
      <c r="L649" s="1868">
        <v>3.9327300000000003</v>
      </c>
      <c r="M649" s="1868">
        <v>3.5244400000000002</v>
      </c>
      <c r="N649" s="1868">
        <v>3.4858500000000001</v>
      </c>
      <c r="O649" s="1868">
        <v>3.5587</v>
      </c>
      <c r="P649" s="1868">
        <v>3.6945199999999998</v>
      </c>
      <c r="Q649" s="1868">
        <v>3.2226300000000001</v>
      </c>
      <c r="R649" s="1868">
        <v>3.4347699999999999</v>
      </c>
      <c r="S649" s="1868">
        <v>3.07517</v>
      </c>
      <c r="T649" s="1868">
        <v>3.7386699999999995</v>
      </c>
      <c r="U649" s="1868">
        <v>3.66235</v>
      </c>
      <c r="V649" s="1868">
        <v>3.3767400000000003</v>
      </c>
      <c r="W649" s="1868">
        <v>3.2306699999999999</v>
      </c>
      <c r="X649" s="1868">
        <v>3.66791</v>
      </c>
      <c r="Y649" s="1868">
        <v>4.2997699999999996</v>
      </c>
      <c r="Z649" s="1868">
        <v>4.2853000000000003</v>
      </c>
      <c r="AA649" s="1868">
        <v>3.9694500000000001</v>
      </c>
      <c r="AB649" s="1868">
        <v>4.1952099999999994</v>
      </c>
      <c r="AC649" s="1868">
        <v>3.9920699999999996</v>
      </c>
      <c r="AD649" s="1868">
        <v>3.0529999999999999</v>
      </c>
      <c r="AE649" s="1868">
        <v>3.8160800000000004</v>
      </c>
      <c r="AF649" s="1868">
        <v>4.3063199999999995</v>
      </c>
      <c r="AG649" s="1868">
        <v>4.1454800000000001</v>
      </c>
      <c r="AH649" s="1868">
        <v>5.07</v>
      </c>
      <c r="AI649" s="1868">
        <v>3.9065500000000002</v>
      </c>
      <c r="AJ649" s="1868">
        <v>4.1438800000000002</v>
      </c>
      <c r="AK649" s="1868">
        <v>3.7634400000000001</v>
      </c>
      <c r="AL649" s="1868">
        <v>4.1379199999999994</v>
      </c>
      <c r="AM649" s="1868">
        <v>4.6656599999999999</v>
      </c>
      <c r="AN649" s="1868">
        <v>4.6968899999999998</v>
      </c>
      <c r="AO649" s="1868">
        <v>4.5362599999999995</v>
      </c>
      <c r="AP649" s="1868">
        <v>4.8745199999999995</v>
      </c>
      <c r="AQ649" s="1868">
        <v>4.3653699999999995</v>
      </c>
      <c r="AR649" s="1868">
        <v>5.8883400000000004</v>
      </c>
      <c r="AS649" s="1868">
        <v>5.5802699999999996</v>
      </c>
      <c r="AT649" s="1868">
        <v>5.6026800000000003</v>
      </c>
      <c r="AU649" s="1868">
        <v>7.0358199999999993</v>
      </c>
      <c r="AV649" s="1868">
        <v>5.7445900000000005</v>
      </c>
      <c r="AW649" s="1868">
        <v>5.8537499999999998</v>
      </c>
      <c r="AX649" s="1868">
        <v>5.3994800000000005</v>
      </c>
      <c r="AY649" s="1868">
        <v>6.5674999999999999</v>
      </c>
      <c r="AZ649" s="1868">
        <v>6.2088199999999993</v>
      </c>
      <c r="BA649" s="1868">
        <v>5.8183199999999999</v>
      </c>
    </row>
    <row r="650" spans="1:53">
      <c r="A650" s="1865" t="str">
        <f t="shared" si="10"/>
        <v>Eastern EuropeCarrots and turnips</v>
      </c>
      <c r="B650" s="1866" t="s">
        <v>307</v>
      </c>
      <c r="C650" s="1866" t="s">
        <v>1366</v>
      </c>
      <c r="D650" s="1868">
        <v>13.670400000000001</v>
      </c>
      <c r="E650" s="1868">
        <v>12.63804</v>
      </c>
      <c r="F650" s="1868">
        <v>12.84135</v>
      </c>
      <c r="G650" s="1868">
        <v>14.906370000000001</v>
      </c>
      <c r="H650" s="1868">
        <v>14.860920000000002</v>
      </c>
      <c r="I650" s="1868">
        <v>15.0845</v>
      </c>
      <c r="J650" s="1868">
        <v>16.31503</v>
      </c>
      <c r="K650" s="1868">
        <v>15.31758</v>
      </c>
      <c r="L650" s="1868">
        <v>15.12246</v>
      </c>
      <c r="M650" s="1868">
        <v>15.64865</v>
      </c>
      <c r="N650" s="1868">
        <v>15.307879999999999</v>
      </c>
      <c r="O650" s="1868">
        <v>15.00235</v>
      </c>
      <c r="P650" s="1868">
        <v>17.179189999999998</v>
      </c>
      <c r="Q650" s="1868">
        <v>15.897210000000001</v>
      </c>
      <c r="R650" s="1868">
        <v>14.66479</v>
      </c>
      <c r="S650" s="1868">
        <v>15.52178</v>
      </c>
      <c r="T650" s="1868">
        <v>17.523989999999998</v>
      </c>
      <c r="U650" s="1868">
        <v>18.09657</v>
      </c>
      <c r="V650" s="1868">
        <v>15.065439999999999</v>
      </c>
      <c r="W650" s="1868">
        <v>16.8033</v>
      </c>
      <c r="X650" s="1868">
        <v>14.725250000000001</v>
      </c>
      <c r="Y650" s="1868">
        <v>16.257349999999999</v>
      </c>
      <c r="Z650" s="1868">
        <v>17.18196</v>
      </c>
      <c r="AA650" s="1868">
        <v>20.70288</v>
      </c>
      <c r="AB650" s="1868">
        <v>18.363399999999999</v>
      </c>
      <c r="AC650" s="1868">
        <v>18.8324</v>
      </c>
      <c r="AD650" s="1868">
        <v>19.079139999999999</v>
      </c>
      <c r="AE650" s="1868">
        <v>18.091249999999999</v>
      </c>
      <c r="AF650" s="1868">
        <v>16.850620000000003</v>
      </c>
      <c r="AG650" s="1868">
        <v>17.56645</v>
      </c>
      <c r="AH650" s="1868">
        <v>15.682229999999999</v>
      </c>
      <c r="AI650" s="1868">
        <v>17.881409999999999</v>
      </c>
      <c r="AJ650" s="1868">
        <v>19.74287</v>
      </c>
      <c r="AK650" s="1868">
        <v>15.2689</v>
      </c>
      <c r="AL650" s="1868">
        <v>16.699000000000002</v>
      </c>
      <c r="AM650" s="1868">
        <v>17.76587</v>
      </c>
      <c r="AN650" s="1868">
        <v>18.472329999999999</v>
      </c>
      <c r="AO650" s="1868">
        <v>18.326520000000002</v>
      </c>
      <c r="AP650" s="1868">
        <v>18.139189999999999</v>
      </c>
      <c r="AQ650" s="1868">
        <v>18.109300000000001</v>
      </c>
      <c r="AR650" s="1868">
        <v>18.845279999999999</v>
      </c>
      <c r="AS650" s="1868">
        <v>17.329750000000001</v>
      </c>
      <c r="AT650" s="1868">
        <v>19.055759999999999</v>
      </c>
      <c r="AU650" s="1868">
        <v>20.420470000000002</v>
      </c>
      <c r="AV650" s="1868">
        <v>20.290700000000001</v>
      </c>
      <c r="AW650" s="1868">
        <v>20.30153</v>
      </c>
      <c r="AX650" s="1868">
        <v>20.609670000000001</v>
      </c>
      <c r="AY650" s="1868">
        <v>21.522570000000002</v>
      </c>
      <c r="AZ650" s="1868">
        <v>21.824739999999998</v>
      </c>
      <c r="BA650" s="1868">
        <v>20.280920000000002</v>
      </c>
    </row>
    <row r="651" spans="1:53">
      <c r="A651" s="1865" t="str">
        <f t="shared" si="10"/>
        <v>Eastern EuropeCauliflowers and broccoli</v>
      </c>
      <c r="B651" s="1866" t="s">
        <v>307</v>
      </c>
      <c r="C651" s="1866" t="s">
        <v>1369</v>
      </c>
      <c r="D651" s="1868">
        <v>12.19303</v>
      </c>
      <c r="E651" s="1868">
        <v>12.636089999999999</v>
      </c>
      <c r="F651" s="1868">
        <v>13.68206</v>
      </c>
      <c r="G651" s="1868">
        <v>13.612860000000001</v>
      </c>
      <c r="H651" s="1868">
        <v>14.437220000000002</v>
      </c>
      <c r="I651" s="1868">
        <v>13.982889999999999</v>
      </c>
      <c r="J651" s="1868">
        <v>14.430320000000002</v>
      </c>
      <c r="K651" s="1868">
        <v>14.572150000000001</v>
      </c>
      <c r="L651" s="1868">
        <v>13.57549</v>
      </c>
      <c r="M651" s="1868">
        <v>13.521139999999999</v>
      </c>
      <c r="N651" s="1868">
        <v>12.501610000000001</v>
      </c>
      <c r="O651" s="1868">
        <v>16.247540000000001</v>
      </c>
      <c r="P651" s="1868">
        <v>13.455179999999999</v>
      </c>
      <c r="Q651" s="1868">
        <v>13.73075</v>
      </c>
      <c r="R651" s="1868">
        <v>13.86134</v>
      </c>
      <c r="S651" s="1868">
        <v>13.023810000000001</v>
      </c>
      <c r="T651" s="1868">
        <v>15.10515</v>
      </c>
      <c r="U651" s="1868">
        <v>14.444410000000001</v>
      </c>
      <c r="V651" s="1868">
        <v>14.150910000000001</v>
      </c>
      <c r="W651" s="1868">
        <v>13.740860000000001</v>
      </c>
      <c r="X651" s="1868">
        <v>13.772550000000001</v>
      </c>
      <c r="Y651" s="1868">
        <v>12.744289999999999</v>
      </c>
      <c r="Z651" s="1868">
        <v>12.875439999999999</v>
      </c>
      <c r="AA651" s="1868">
        <v>15.728999999999999</v>
      </c>
      <c r="AB651" s="1868">
        <v>14.994450000000001</v>
      </c>
      <c r="AC651" s="1868">
        <v>15.215479999999999</v>
      </c>
      <c r="AD651" s="1868">
        <v>15.110950000000001</v>
      </c>
      <c r="AE651" s="1868">
        <v>15.055210000000001</v>
      </c>
      <c r="AF651" s="1868">
        <v>15.388820000000001</v>
      </c>
      <c r="AG651" s="1868">
        <v>15.184079999999998</v>
      </c>
      <c r="AH651" s="1868">
        <v>16.4041</v>
      </c>
      <c r="AI651" s="1868">
        <v>14.450229999999999</v>
      </c>
      <c r="AJ651" s="1868">
        <v>17.230320000000003</v>
      </c>
      <c r="AK651" s="1868">
        <v>14.934100000000001</v>
      </c>
      <c r="AL651" s="1868">
        <v>16.738960000000002</v>
      </c>
      <c r="AM651" s="1868">
        <v>18.292159999999999</v>
      </c>
      <c r="AN651" s="1868">
        <v>16.610029999999998</v>
      </c>
      <c r="AO651" s="1868">
        <v>17.80452</v>
      </c>
      <c r="AP651" s="1868">
        <v>15.88585</v>
      </c>
      <c r="AQ651" s="1868">
        <v>15.961360000000001</v>
      </c>
      <c r="AR651" s="1868">
        <v>15.857620000000001</v>
      </c>
      <c r="AS651" s="1868">
        <v>14.2265</v>
      </c>
      <c r="AT651" s="1868">
        <v>15.011829999999998</v>
      </c>
      <c r="AU651" s="1868">
        <v>16.348579999999998</v>
      </c>
      <c r="AV651" s="1868">
        <v>14.872529999999999</v>
      </c>
      <c r="AW651" s="1868">
        <v>16.00329</v>
      </c>
      <c r="AX651" s="1868">
        <v>16.25384</v>
      </c>
      <c r="AY651" s="1868">
        <v>16.716460000000001</v>
      </c>
      <c r="AZ651" s="1868">
        <v>16.46752</v>
      </c>
      <c r="BA651" s="1868">
        <v>14.249479999999998</v>
      </c>
    </row>
    <row r="652" spans="1:53">
      <c r="A652" s="1865" t="str">
        <f t="shared" si="10"/>
        <v>Eastern EuropeCereals, nes</v>
      </c>
      <c r="B652" s="1866" t="s">
        <v>307</v>
      </c>
      <c r="C652" s="1866" t="s">
        <v>1370</v>
      </c>
      <c r="D652" s="1868">
        <v>0.90426000000000006</v>
      </c>
      <c r="E652" s="1868">
        <v>0.95652000000000004</v>
      </c>
      <c r="F652" s="1868">
        <v>0.9518700000000001</v>
      </c>
      <c r="G652" s="1868">
        <v>1.03766</v>
      </c>
      <c r="H652" s="1868">
        <v>1.09368</v>
      </c>
      <c r="I652" s="1868">
        <v>1.21648</v>
      </c>
      <c r="J652" s="1868">
        <v>1.3923299999999998</v>
      </c>
      <c r="K652" s="1868">
        <v>1.4354799999999999</v>
      </c>
      <c r="L652" s="1868">
        <v>1.4328799999999999</v>
      </c>
      <c r="M652" s="1868">
        <v>1.6938299999999999</v>
      </c>
      <c r="N652" s="1868">
        <v>1.57</v>
      </c>
      <c r="O652" s="1868">
        <v>1.5890600000000001</v>
      </c>
      <c r="P652" s="1868">
        <v>1.5298499999999999</v>
      </c>
      <c r="Q652" s="1868">
        <v>1.78582</v>
      </c>
      <c r="R652" s="1868">
        <v>1.7014200000000002</v>
      </c>
      <c r="S652" s="1868">
        <v>1.9516500000000001</v>
      </c>
      <c r="T652" s="1868">
        <v>2.21313</v>
      </c>
      <c r="U652" s="1868">
        <v>2.7311900000000002</v>
      </c>
      <c r="V652" s="1868">
        <v>1.6153999999999999</v>
      </c>
      <c r="W652" s="1868">
        <v>2.58134</v>
      </c>
      <c r="X652" s="1868">
        <v>2.0549400000000002</v>
      </c>
      <c r="Y652" s="1868">
        <v>2.1407400000000001</v>
      </c>
      <c r="Z652" s="1868">
        <v>1.8046599999999999</v>
      </c>
      <c r="AA652" s="1868">
        <v>2.1026899999999999</v>
      </c>
      <c r="AB652" s="1868">
        <v>1.8964099999999999</v>
      </c>
      <c r="AC652" s="1868">
        <v>2.0375999999999999</v>
      </c>
      <c r="AD652" s="1868">
        <v>1.9531599999999998</v>
      </c>
      <c r="AE652" s="1868">
        <v>2.1623000000000001</v>
      </c>
      <c r="AF652" s="1868">
        <v>2.98645</v>
      </c>
      <c r="AG652" s="1868">
        <v>3.11802</v>
      </c>
      <c r="AH652" s="1868">
        <v>2.8012299999999999</v>
      </c>
      <c r="AI652" s="1868">
        <v>1.70072</v>
      </c>
      <c r="AJ652" s="1868">
        <v>1.25447</v>
      </c>
      <c r="AK652" s="1868">
        <v>2.79373</v>
      </c>
      <c r="AL652" s="1868">
        <v>1.6674</v>
      </c>
      <c r="AM652" s="1868">
        <v>1.24437</v>
      </c>
      <c r="AN652" s="1868">
        <v>1.4624299999999999</v>
      </c>
      <c r="AO652" s="1868">
        <v>1.4208700000000001</v>
      </c>
      <c r="AP652" s="1868">
        <v>1.2845</v>
      </c>
      <c r="AQ652" s="1868">
        <v>0.97747000000000006</v>
      </c>
      <c r="AR652" s="1868">
        <v>0.89527999999999996</v>
      </c>
      <c r="AS652" s="1868">
        <v>1.1500999999999999</v>
      </c>
      <c r="AT652" s="1868">
        <v>0.82555000000000001</v>
      </c>
      <c r="AU652" s="1868">
        <v>1.0301100000000001</v>
      </c>
      <c r="AV652" s="1868">
        <v>0.69135000000000002</v>
      </c>
      <c r="AW652" s="1868">
        <v>0.91195000000000004</v>
      </c>
      <c r="AX652" s="1868">
        <v>1.12277</v>
      </c>
      <c r="AY652" s="1868">
        <v>1.24993</v>
      </c>
      <c r="AZ652" s="1868">
        <v>1.2195499999999999</v>
      </c>
      <c r="BA652" s="1868">
        <v>1.2294499999999999</v>
      </c>
    </row>
    <row r="653" spans="1:53">
      <c r="A653" s="1865" t="str">
        <f t="shared" si="10"/>
        <v>Eastern EuropeChestnuts</v>
      </c>
      <c r="B653" s="1866" t="s">
        <v>307</v>
      </c>
      <c r="C653" s="1866" t="s">
        <v>1371</v>
      </c>
      <c r="AB653" s="1868">
        <v>2.2657500000000002</v>
      </c>
      <c r="AC653" s="1868">
        <v>2.4698900000000004</v>
      </c>
      <c r="AD653" s="1868">
        <v>2.6053900000000003</v>
      </c>
      <c r="AE653" s="1868">
        <v>2.4155099999999998</v>
      </c>
      <c r="AF653" s="1868">
        <v>2.36408</v>
      </c>
      <c r="AG653" s="1868">
        <v>2.5677300000000001</v>
      </c>
      <c r="AH653" s="1868">
        <v>2.7406799999999998</v>
      </c>
      <c r="AI653" s="1868">
        <v>3.1831700000000001</v>
      </c>
      <c r="AJ653" s="1868">
        <v>4.3428599999999999</v>
      </c>
      <c r="AK653" s="1868">
        <v>5</v>
      </c>
      <c r="AL653" s="1868">
        <v>5.9188499999999999</v>
      </c>
      <c r="AM653" s="1868">
        <v>5.9249999999999998</v>
      </c>
      <c r="AN653" s="1868">
        <v>6.3871799999999999</v>
      </c>
      <c r="AO653" s="1868">
        <v>1.27959</v>
      </c>
      <c r="AP653" s="1868">
        <v>1.7185599999999999</v>
      </c>
      <c r="AQ653" s="1868">
        <v>1.6820400000000002</v>
      </c>
      <c r="AR653" s="1868">
        <v>1.5524500000000001</v>
      </c>
      <c r="AS653" s="1868">
        <v>1.91008</v>
      </c>
      <c r="AT653" s="1868">
        <v>1.4149799999999999</v>
      </c>
      <c r="AU653" s="1868">
        <v>1.1548</v>
      </c>
      <c r="AV653" s="1868">
        <v>1.05803</v>
      </c>
      <c r="AW653" s="1868">
        <v>1.35531</v>
      </c>
      <c r="AX653" s="1868">
        <v>1.0738399999999999</v>
      </c>
      <c r="AY653" s="1868">
        <v>1.15625</v>
      </c>
      <c r="AZ653" s="1868">
        <v>1.1166100000000001</v>
      </c>
      <c r="BA653" s="1868">
        <v>1.4521299999999999</v>
      </c>
    </row>
    <row r="654" spans="1:53">
      <c r="A654" s="1865" t="str">
        <f t="shared" si="10"/>
        <v>Eastern EuropeEggplants (aubergines)</v>
      </c>
      <c r="B654" s="1866" t="s">
        <v>307</v>
      </c>
      <c r="C654" s="1866" t="s">
        <v>1375</v>
      </c>
      <c r="D654" s="1868">
        <v>21.33333</v>
      </c>
      <c r="E654" s="1868">
        <v>21.025639999999999</v>
      </c>
      <c r="F654" s="1868">
        <v>21.025639999999999</v>
      </c>
      <c r="G654" s="1868">
        <v>21</v>
      </c>
      <c r="H654" s="1868">
        <v>21</v>
      </c>
      <c r="I654" s="1868">
        <v>20.987649999999999</v>
      </c>
      <c r="J654" s="1868">
        <v>24.312860000000001</v>
      </c>
      <c r="K654" s="1868">
        <v>27.765290000000004</v>
      </c>
      <c r="L654" s="1868">
        <v>28.928390000000004</v>
      </c>
      <c r="M654" s="1868">
        <v>26.21312</v>
      </c>
      <c r="N654" s="1868">
        <v>31.38317</v>
      </c>
      <c r="O654" s="1868">
        <v>31.723679999999998</v>
      </c>
      <c r="P654" s="1868">
        <v>30.018340000000002</v>
      </c>
      <c r="Q654" s="1868">
        <v>29.91778</v>
      </c>
      <c r="R654" s="1868">
        <v>21.773139999999998</v>
      </c>
      <c r="S654" s="1868">
        <v>21.785710000000002</v>
      </c>
      <c r="T654" s="1868">
        <v>19.081659999999999</v>
      </c>
      <c r="U654" s="1868">
        <v>23.683540000000001</v>
      </c>
      <c r="V654" s="1868">
        <v>24.669799999999999</v>
      </c>
      <c r="W654" s="1868">
        <v>17.398199999999999</v>
      </c>
      <c r="X654" s="1868">
        <v>22.66058</v>
      </c>
      <c r="Y654" s="1868">
        <v>20.92135</v>
      </c>
      <c r="Z654" s="1868">
        <v>19.450789999999998</v>
      </c>
      <c r="AA654" s="1868">
        <v>21.46612</v>
      </c>
      <c r="AB654" s="1868">
        <v>21.52617</v>
      </c>
      <c r="AC654" s="1868">
        <v>21.131399999999999</v>
      </c>
      <c r="AD654" s="1868">
        <v>20.924039999999998</v>
      </c>
      <c r="AE654" s="1868">
        <v>21.84441</v>
      </c>
      <c r="AF654" s="1868">
        <v>48.744209999999995</v>
      </c>
      <c r="AG654" s="1868">
        <v>9.346210000000001</v>
      </c>
      <c r="AH654" s="1868">
        <v>7.1081699999999994</v>
      </c>
      <c r="AI654" s="1868">
        <v>6.6910600000000002</v>
      </c>
      <c r="AJ654" s="1868">
        <v>6.03226</v>
      </c>
      <c r="AK654" s="1868">
        <v>7.0370399999999993</v>
      </c>
      <c r="AL654" s="1868">
        <v>6.6407300000000005</v>
      </c>
      <c r="AM654" s="1868">
        <v>6.4102600000000001</v>
      </c>
      <c r="AN654" s="1868">
        <v>6.65517</v>
      </c>
      <c r="AO654" s="1868">
        <v>7.72</v>
      </c>
      <c r="AP654" s="1868">
        <v>13.33569</v>
      </c>
      <c r="AQ654" s="1868">
        <v>13.13954</v>
      </c>
      <c r="AR654" s="1868">
        <v>14.226460000000001</v>
      </c>
      <c r="AS654" s="1868">
        <v>14.050270000000001</v>
      </c>
      <c r="AT654" s="1868">
        <v>12.581430000000001</v>
      </c>
      <c r="AU654" s="1868">
        <v>14.00859</v>
      </c>
      <c r="AV654" s="1868">
        <v>11.916939999999999</v>
      </c>
      <c r="AW654" s="1868">
        <v>12.52858</v>
      </c>
      <c r="AX654" s="1868">
        <v>11.129480000000001</v>
      </c>
      <c r="AY654" s="1868">
        <v>13.58146</v>
      </c>
      <c r="AZ654" s="1868">
        <v>15.34046</v>
      </c>
      <c r="BA654" s="1868">
        <v>12.997069999999999</v>
      </c>
    </row>
    <row r="655" spans="1:53">
      <c r="A655" s="1865" t="str">
        <f t="shared" si="10"/>
        <v>Eastern EuropeGrapes</v>
      </c>
      <c r="B655" s="1866" t="s">
        <v>307</v>
      </c>
      <c r="C655" s="1866" t="s">
        <v>1378</v>
      </c>
      <c r="D655" s="1868">
        <v>3.5044400000000002</v>
      </c>
      <c r="E655" s="1868">
        <v>4.3304499999999999</v>
      </c>
      <c r="F655" s="1868">
        <v>3.9118699999999995</v>
      </c>
      <c r="G655" s="1868">
        <v>3.6409899999999999</v>
      </c>
      <c r="H655" s="1868">
        <v>4.1950699999999994</v>
      </c>
      <c r="I655" s="1868">
        <v>3.8611400000000002</v>
      </c>
      <c r="J655" s="1868">
        <v>3.8810699999999998</v>
      </c>
      <c r="K655" s="1868">
        <v>4.9668000000000001</v>
      </c>
      <c r="L655" s="1868">
        <v>4.9171500000000004</v>
      </c>
      <c r="M655" s="1868">
        <v>4.3764400000000006</v>
      </c>
      <c r="N655" s="1868">
        <v>4.7244199999999994</v>
      </c>
      <c r="O655" s="1868">
        <v>3.7680800000000003</v>
      </c>
      <c r="P655" s="1868">
        <v>5.7909600000000001</v>
      </c>
      <c r="Q655" s="1868">
        <v>5.1208599999999995</v>
      </c>
      <c r="R655" s="1868">
        <v>5.5988600000000002</v>
      </c>
      <c r="S655" s="1868">
        <v>6.0129000000000001</v>
      </c>
      <c r="T655" s="1868">
        <v>5.0748199999999999</v>
      </c>
      <c r="U655" s="1868">
        <v>5.9083100000000002</v>
      </c>
      <c r="V655" s="1868">
        <v>6.4579199999999997</v>
      </c>
      <c r="W655" s="1868">
        <v>6.5366499999999998</v>
      </c>
      <c r="X655" s="1868">
        <v>6.9235499999999996</v>
      </c>
      <c r="Y655" s="1868">
        <v>7.9111600000000006</v>
      </c>
      <c r="Z655" s="1868">
        <v>6.5553699999999999</v>
      </c>
      <c r="AA655" s="1868">
        <v>7.5891399999999996</v>
      </c>
      <c r="AB655" s="1868">
        <v>5.2038599999999997</v>
      </c>
      <c r="AC655" s="1868">
        <v>6.7455600000000002</v>
      </c>
      <c r="AD655" s="1868">
        <v>5.9917899999999999</v>
      </c>
      <c r="AE655" s="1868">
        <v>6.1102699999999999</v>
      </c>
      <c r="AF655" s="1868">
        <v>5.1906999999999996</v>
      </c>
      <c r="AG655" s="1868">
        <v>6.1063800000000006</v>
      </c>
      <c r="AH655" s="1868">
        <v>5.4092699999999994</v>
      </c>
      <c r="AI655" s="1868">
        <v>4.8978599999999997</v>
      </c>
      <c r="AJ655" s="1868">
        <v>5.0618999999999996</v>
      </c>
      <c r="AK655" s="1868">
        <v>4.0795699999999995</v>
      </c>
      <c r="AL655" s="1868">
        <v>4.8794699999999995</v>
      </c>
      <c r="AM655" s="1868">
        <v>5.2236799999999999</v>
      </c>
      <c r="AN655" s="1868">
        <v>4.14534</v>
      </c>
      <c r="AO655" s="1868">
        <v>3.5215000000000001</v>
      </c>
      <c r="AP655" s="1868">
        <v>3.98306</v>
      </c>
      <c r="AQ655" s="1868">
        <v>5.2075699999999996</v>
      </c>
      <c r="AR655" s="1868">
        <v>4.5547199999999997</v>
      </c>
      <c r="AS655" s="1868">
        <v>4.3994300000000006</v>
      </c>
      <c r="AT655" s="1868">
        <v>4.9630000000000001</v>
      </c>
      <c r="AU655" s="1868">
        <v>5.2995800000000006</v>
      </c>
      <c r="AV655" s="1868">
        <v>3.8737400000000002</v>
      </c>
      <c r="AW655" s="1868">
        <v>4.1935599999999997</v>
      </c>
      <c r="AX655" s="1868">
        <v>4.9336800000000007</v>
      </c>
      <c r="AY655" s="1868">
        <v>5.2379800000000003</v>
      </c>
      <c r="AZ655" s="1868">
        <v>5.3212800000000007</v>
      </c>
      <c r="BA655" s="1868">
        <v>4.2431900000000002</v>
      </c>
    </row>
    <row r="656" spans="1:53">
      <c r="A656" s="1865" t="str">
        <f t="shared" si="10"/>
        <v>Eastern EuropeGroundnuts, with shell</v>
      </c>
      <c r="B656" s="1866" t="s">
        <v>307</v>
      </c>
      <c r="C656" s="1866" t="s">
        <v>1379</v>
      </c>
      <c r="D656" s="1868">
        <v>0.81298999999999999</v>
      </c>
      <c r="E656" s="1868">
        <v>1.0863499999999999</v>
      </c>
      <c r="F656" s="1868">
        <v>0.95962000000000003</v>
      </c>
      <c r="G656" s="1868">
        <v>1.4093899999999999</v>
      </c>
      <c r="H656" s="1868">
        <v>1.06935</v>
      </c>
      <c r="I656" s="1868">
        <v>1.4668099999999999</v>
      </c>
      <c r="J656" s="1868">
        <v>1.2794299999999998</v>
      </c>
      <c r="K656" s="1868">
        <v>1.12897</v>
      </c>
      <c r="L656" s="1868">
        <v>0.92444999999999999</v>
      </c>
      <c r="M656" s="1868">
        <v>0.93930000000000002</v>
      </c>
      <c r="N656" s="1868">
        <v>1.09935</v>
      </c>
      <c r="O656" s="1868">
        <v>1.7631599999999998</v>
      </c>
      <c r="P656" s="1868">
        <v>1.87618</v>
      </c>
      <c r="Q656" s="1868">
        <v>1.6619999999999999</v>
      </c>
      <c r="R656" s="1868">
        <v>2.0989400000000002</v>
      </c>
      <c r="S656" s="1868">
        <v>1.1014999999999999</v>
      </c>
      <c r="T656" s="1868">
        <v>1.3093399999999999</v>
      </c>
      <c r="U656" s="1868">
        <v>0.86456</v>
      </c>
      <c r="V656" s="1868">
        <v>1.2081500000000001</v>
      </c>
      <c r="W656" s="1868">
        <v>1.3610899999999999</v>
      </c>
      <c r="X656" s="1868">
        <v>1.5169700000000002</v>
      </c>
      <c r="Y656" s="1868">
        <v>1.5943200000000002</v>
      </c>
      <c r="Z656" s="1868">
        <v>1.52654</v>
      </c>
      <c r="AA656" s="1868">
        <v>1.47129</v>
      </c>
      <c r="AB656" s="1868">
        <v>1.17211</v>
      </c>
      <c r="AC656" s="1868">
        <v>1.44102</v>
      </c>
      <c r="AD656" s="1868">
        <v>1.2224600000000001</v>
      </c>
      <c r="AE656" s="1868">
        <v>0.98166000000000009</v>
      </c>
      <c r="AF656" s="1868">
        <v>1.0430900000000001</v>
      </c>
      <c r="AG656" s="1868">
        <v>1.0048299999999999</v>
      </c>
      <c r="AH656" s="1868">
        <v>1.19411</v>
      </c>
      <c r="AI656" s="1868">
        <v>1.21889</v>
      </c>
      <c r="AJ656" s="1868">
        <v>0.77156000000000002</v>
      </c>
      <c r="AK656" s="1868">
        <v>0.69557000000000002</v>
      </c>
      <c r="AL656" s="1868">
        <v>1.04118</v>
      </c>
      <c r="AM656" s="1868">
        <v>0.81764999999999999</v>
      </c>
      <c r="AN656" s="1868">
        <v>0.97733999999999999</v>
      </c>
      <c r="AO656" s="1868">
        <v>0.91622000000000003</v>
      </c>
      <c r="AP656" s="1868">
        <v>0.90908999999999995</v>
      </c>
      <c r="AQ656" s="1868">
        <v>0.8</v>
      </c>
      <c r="AR656" s="1868">
        <v>0.6</v>
      </c>
      <c r="AS656" s="1868">
        <v>0.7</v>
      </c>
      <c r="AT656" s="1868">
        <v>0.70028999999999997</v>
      </c>
      <c r="AU656" s="1868">
        <v>0.77837000000000001</v>
      </c>
      <c r="AV656" s="1868">
        <v>0.70028999999999997</v>
      </c>
      <c r="AW656" s="1868">
        <v>0.70028999999999997</v>
      </c>
      <c r="AX656" s="1868">
        <v>0.70016</v>
      </c>
      <c r="AY656" s="1868">
        <v>0.70016</v>
      </c>
      <c r="AZ656" s="1868">
        <v>0.70066000000000006</v>
      </c>
      <c r="BA656" s="1868">
        <v>0.60928000000000004</v>
      </c>
    </row>
    <row r="657" spans="1:53">
      <c r="A657" s="1865" t="str">
        <f t="shared" si="10"/>
        <v>Eastern EuropeLeguminous vegetables, nes</v>
      </c>
      <c r="B657" s="1866" t="s">
        <v>307</v>
      </c>
      <c r="C657" s="1866" t="s">
        <v>1380</v>
      </c>
      <c r="D657" s="1868">
        <v>2.96394</v>
      </c>
      <c r="E657" s="1868">
        <v>3.4980500000000001</v>
      </c>
      <c r="F657" s="1868">
        <v>4.30105</v>
      </c>
      <c r="G657" s="1868">
        <v>3.4842599999999999</v>
      </c>
      <c r="H657" s="1868">
        <v>2.4885700000000002</v>
      </c>
      <c r="I657" s="1868">
        <v>2.4744299999999999</v>
      </c>
      <c r="J657" s="1868">
        <v>2.3779300000000001</v>
      </c>
      <c r="K657" s="1868">
        <v>2.1880700000000002</v>
      </c>
      <c r="L657" s="1868">
        <v>2.3224400000000003</v>
      </c>
      <c r="M657" s="1868">
        <v>4.6803999999999997</v>
      </c>
      <c r="N657" s="1868">
        <v>2.6122999999999998</v>
      </c>
      <c r="O657" s="1868">
        <v>3.1417799999999998</v>
      </c>
      <c r="P657" s="1868">
        <v>3.1949000000000001</v>
      </c>
      <c r="Q657" s="1868">
        <v>2.9871799999999999</v>
      </c>
      <c r="R657" s="1868">
        <v>2.8628400000000003</v>
      </c>
      <c r="S657" s="1868">
        <v>2.9260799999999998</v>
      </c>
      <c r="T657" s="1868">
        <v>2.8411400000000002</v>
      </c>
      <c r="U657" s="1868">
        <v>2.6172800000000001</v>
      </c>
      <c r="V657" s="1868">
        <v>3.1050299999999997</v>
      </c>
      <c r="W657" s="1868">
        <v>2.9542700000000002</v>
      </c>
      <c r="X657" s="1868">
        <v>3.8151699999999997</v>
      </c>
      <c r="Y657" s="1868">
        <v>4.3482000000000003</v>
      </c>
      <c r="Z657" s="1868">
        <v>3.9443000000000001</v>
      </c>
      <c r="AA657" s="1868">
        <v>4.0819300000000007</v>
      </c>
      <c r="AB657" s="1868">
        <v>4.3483400000000003</v>
      </c>
      <c r="AC657" s="1868">
        <v>4.7733999999999996</v>
      </c>
      <c r="AD657" s="1868">
        <v>4.7399100000000001</v>
      </c>
      <c r="AE657" s="1868">
        <v>4.3755699999999997</v>
      </c>
      <c r="AF657" s="1868">
        <v>3.7189800000000002</v>
      </c>
      <c r="AG657" s="1868">
        <v>6.2046299999999999</v>
      </c>
      <c r="AH657" s="1868">
        <v>6.33399</v>
      </c>
      <c r="AI657" s="1868">
        <v>5.1784800000000004</v>
      </c>
      <c r="AJ657" s="1868">
        <v>6.2409300000000005</v>
      </c>
      <c r="AK657" s="1868">
        <v>5.2199099999999996</v>
      </c>
      <c r="AL657" s="1868">
        <v>5.3997400000000004</v>
      </c>
      <c r="AM657" s="1868">
        <v>5.5412099999999995</v>
      </c>
      <c r="AN657" s="1868">
        <v>6.0315000000000003</v>
      </c>
      <c r="AO657" s="1868">
        <v>5.3274300000000006</v>
      </c>
      <c r="AP657" s="1868">
        <v>7.0267200000000001</v>
      </c>
      <c r="AQ657" s="1868">
        <v>5.7413099999999995</v>
      </c>
      <c r="AR657" s="1868">
        <v>5.2941900000000004</v>
      </c>
      <c r="AS657" s="1868">
        <v>5.9196499999999999</v>
      </c>
      <c r="AT657" s="1868">
        <v>5.3772699999999993</v>
      </c>
      <c r="AU657" s="1868">
        <v>7.3453100000000004</v>
      </c>
      <c r="AV657" s="1868">
        <v>6.3934199999999999</v>
      </c>
      <c r="AW657" s="1868">
        <v>4.9763500000000001</v>
      </c>
      <c r="AX657" s="1868">
        <v>5.7495500000000002</v>
      </c>
      <c r="AY657" s="1868">
        <v>5.4391699999999998</v>
      </c>
      <c r="AZ657" s="1868">
        <v>5.7477900000000002</v>
      </c>
      <c r="BA657" s="1868">
        <v>5.23299</v>
      </c>
    </row>
    <row r="658" spans="1:53">
      <c r="A658" s="1865" t="str">
        <f t="shared" si="10"/>
        <v>Eastern EuropeLinseed</v>
      </c>
      <c r="B658" s="1866" t="s">
        <v>307</v>
      </c>
      <c r="C658" s="1866" t="s">
        <v>1381</v>
      </c>
      <c r="D658" s="1868">
        <v>0.25794</v>
      </c>
      <c r="E658" s="1868">
        <v>0.25708999999999999</v>
      </c>
      <c r="F658" s="1868">
        <v>0.26274999999999998</v>
      </c>
      <c r="G658" s="1868">
        <v>0.23938000000000001</v>
      </c>
      <c r="H658" s="1868">
        <v>0.29163</v>
      </c>
      <c r="I658" s="1868">
        <v>0.39208000000000004</v>
      </c>
      <c r="J658" s="1868">
        <v>0.34838000000000002</v>
      </c>
      <c r="K658" s="1868">
        <v>0.33019999999999999</v>
      </c>
      <c r="L658" s="1868">
        <v>0.32574000000000003</v>
      </c>
      <c r="M658" s="1868">
        <v>0.36541999999999997</v>
      </c>
      <c r="N658" s="1868">
        <v>0.37730000000000002</v>
      </c>
      <c r="O658" s="1868">
        <v>0.32455000000000001</v>
      </c>
      <c r="P658" s="1868">
        <v>0.31685000000000002</v>
      </c>
      <c r="Q658" s="1868">
        <v>0.25318000000000002</v>
      </c>
      <c r="R658" s="1868">
        <v>0.28323999999999999</v>
      </c>
      <c r="S658" s="1868">
        <v>0.29243000000000002</v>
      </c>
      <c r="T658" s="1868">
        <v>0.25358999999999998</v>
      </c>
      <c r="U658" s="1868">
        <v>0.25408999999999998</v>
      </c>
      <c r="V658" s="1868">
        <v>0.24920999999999999</v>
      </c>
      <c r="W658" s="1868">
        <v>0.19788</v>
      </c>
      <c r="X658" s="1868">
        <v>0.22780999999999998</v>
      </c>
      <c r="Y658" s="1868">
        <v>0.26650000000000001</v>
      </c>
      <c r="Z658" s="1868">
        <v>0.23974999999999999</v>
      </c>
      <c r="AA658" s="1868">
        <v>0.24876999999999999</v>
      </c>
      <c r="AB658" s="1868">
        <v>0.19605</v>
      </c>
      <c r="AC658" s="1868">
        <v>0.23251999999999998</v>
      </c>
      <c r="AD658" s="1868">
        <v>0.26244000000000001</v>
      </c>
      <c r="AE658" s="1868">
        <v>0.25724000000000002</v>
      </c>
      <c r="AF658" s="1868">
        <v>0.28303</v>
      </c>
      <c r="AG658" s="1868">
        <v>0.27208000000000004</v>
      </c>
      <c r="AH658" s="1868">
        <v>0.25303999999999999</v>
      </c>
      <c r="AI658" s="1868">
        <v>0.23308000000000001</v>
      </c>
      <c r="AJ658" s="1868">
        <v>0.28355000000000002</v>
      </c>
      <c r="AK658" s="1868">
        <v>0.35303000000000001</v>
      </c>
      <c r="AL658" s="1868">
        <v>0.35367999999999999</v>
      </c>
      <c r="AM658" s="1868">
        <v>0.34016999999999997</v>
      </c>
      <c r="AN658" s="1868">
        <v>0.24745</v>
      </c>
      <c r="AO658" s="1868">
        <v>0.30967</v>
      </c>
      <c r="AP658" s="1868">
        <v>0.31646999999999997</v>
      </c>
      <c r="AQ658" s="1868">
        <v>0.41026000000000001</v>
      </c>
      <c r="AR658" s="1868">
        <v>0.41616999999999998</v>
      </c>
      <c r="AS658" s="1868">
        <v>0.37975999999999999</v>
      </c>
      <c r="AT658" s="1868">
        <v>0.52649999999999997</v>
      </c>
      <c r="AU658" s="1868">
        <v>0.61939</v>
      </c>
      <c r="AV658" s="1868">
        <v>0.69630000000000003</v>
      </c>
      <c r="AW658" s="1868">
        <v>0.77253000000000005</v>
      </c>
      <c r="AX658" s="1868">
        <v>0.65846000000000005</v>
      </c>
      <c r="AY658" s="1868">
        <v>0.89168999999999998</v>
      </c>
      <c r="AZ658" s="1868">
        <v>0.87547999999999992</v>
      </c>
      <c r="BA658" s="1868">
        <v>0.72182000000000002</v>
      </c>
    </row>
    <row r="659" spans="1:53">
      <c r="A659" s="1865" t="str">
        <f t="shared" si="10"/>
        <v>Eastern EuropeMaize</v>
      </c>
      <c r="B659" s="1866" t="s">
        <v>307</v>
      </c>
      <c r="C659" s="1866" t="s">
        <v>1382</v>
      </c>
      <c r="D659" s="1868">
        <v>2.1563300000000001</v>
      </c>
      <c r="E659" s="1868">
        <v>2.09599</v>
      </c>
      <c r="F659" s="1868">
        <v>1.8401599999999998</v>
      </c>
      <c r="G659" s="1868">
        <v>2.5371000000000001</v>
      </c>
      <c r="H659" s="1868">
        <v>2.2759499999999999</v>
      </c>
      <c r="I659" s="1868">
        <v>2.7181599999999997</v>
      </c>
      <c r="J659" s="1868">
        <v>2.5369200000000003</v>
      </c>
      <c r="K659" s="1868">
        <v>2.5364299999999997</v>
      </c>
      <c r="L659" s="1868">
        <v>2.89974</v>
      </c>
      <c r="M659" s="1868">
        <v>2.7275800000000001</v>
      </c>
      <c r="N659" s="1868">
        <v>2.82063</v>
      </c>
      <c r="O659" s="1868">
        <v>3.0530599999999999</v>
      </c>
      <c r="P659" s="1868">
        <v>3.1354000000000002</v>
      </c>
      <c r="Q659" s="1868">
        <v>3.09057</v>
      </c>
      <c r="R659" s="1868">
        <v>3.3491599999999999</v>
      </c>
      <c r="S659" s="1868">
        <v>3.4203300000000003</v>
      </c>
      <c r="T659" s="1868">
        <v>3.4443699999999997</v>
      </c>
      <c r="U659" s="1868">
        <v>3.6339000000000001</v>
      </c>
      <c r="V659" s="1868">
        <v>3.8688400000000001</v>
      </c>
      <c r="W659" s="1868">
        <v>3.5966800000000001</v>
      </c>
      <c r="X659" s="1868">
        <v>3.2614799999999997</v>
      </c>
      <c r="Y659" s="1868">
        <v>4.2325200000000001</v>
      </c>
      <c r="Z659" s="1868">
        <v>3.8843800000000002</v>
      </c>
      <c r="AA659" s="1868">
        <v>3.83866</v>
      </c>
      <c r="AB659" s="1868">
        <v>3.8302900000000002</v>
      </c>
      <c r="AC659" s="1868">
        <v>3.82951</v>
      </c>
      <c r="AD659" s="1868">
        <v>3.5331000000000001</v>
      </c>
      <c r="AE659" s="1868">
        <v>3.6318999999999999</v>
      </c>
      <c r="AF659" s="1868">
        <v>3.7170099999999997</v>
      </c>
      <c r="AG659" s="1868">
        <v>3.3082099999999999</v>
      </c>
      <c r="AH659" s="1868">
        <v>4.2688100000000002</v>
      </c>
      <c r="AI659" s="1868">
        <v>2.57972</v>
      </c>
      <c r="AJ659" s="1868">
        <v>2.9127200000000002</v>
      </c>
      <c r="AK659" s="1868">
        <v>3.0340199999999999</v>
      </c>
      <c r="AL659" s="1868">
        <v>3.3857800000000005</v>
      </c>
      <c r="AM659" s="1868">
        <v>3.2676799999999999</v>
      </c>
      <c r="AN659" s="1868">
        <v>4.1945100000000002</v>
      </c>
      <c r="AO659" s="1868">
        <v>3.2628900000000001</v>
      </c>
      <c r="AP659" s="1868">
        <v>3.9137699999999995</v>
      </c>
      <c r="AQ659" s="1868">
        <v>2.5033400000000001</v>
      </c>
      <c r="AR659" s="1868">
        <v>3.6696699999999995</v>
      </c>
      <c r="AS659" s="1868">
        <v>3.7339500000000001</v>
      </c>
      <c r="AT659" s="1868">
        <v>3.38395</v>
      </c>
      <c r="AU659" s="1868">
        <v>4.6787599999999996</v>
      </c>
      <c r="AV659" s="1868">
        <v>4.7872300000000001</v>
      </c>
      <c r="AW659" s="1868">
        <v>4.2219300000000004</v>
      </c>
      <c r="AX659" s="1868">
        <v>2.9971000000000001</v>
      </c>
      <c r="AY659" s="1868">
        <v>4.5616300000000001</v>
      </c>
      <c r="AZ659" s="1868">
        <v>4.5460099999999999</v>
      </c>
      <c r="BA659" s="1868">
        <v>4.5563400000000005</v>
      </c>
    </row>
    <row r="660" spans="1:53">
      <c r="A660" s="1865" t="str">
        <f t="shared" si="10"/>
        <v>Eastern EuropeMaize, green</v>
      </c>
      <c r="B660" s="1866" t="s">
        <v>307</v>
      </c>
      <c r="C660" s="1866" t="s">
        <v>1383</v>
      </c>
      <c r="Y660" s="1868">
        <v>7.2454100000000006</v>
      </c>
      <c r="Z660" s="1868">
        <v>5.5365099999999998</v>
      </c>
      <c r="AA660" s="1868">
        <v>5.9136300000000004</v>
      </c>
      <c r="AB660" s="1868">
        <v>6.25</v>
      </c>
      <c r="AC660" s="1868">
        <v>6.4212099999999994</v>
      </c>
      <c r="AD660" s="1868">
        <v>6.7437300000000002</v>
      </c>
      <c r="AE660" s="1868">
        <v>8.64419</v>
      </c>
      <c r="AF660" s="1868">
        <v>7.7777799999999999</v>
      </c>
      <c r="AG660" s="1868">
        <v>8.7138600000000004</v>
      </c>
      <c r="AH660" s="1868">
        <v>8.8444300000000009</v>
      </c>
      <c r="AI660" s="1868">
        <v>7.4324500000000002</v>
      </c>
      <c r="AJ660" s="1868">
        <v>9.0331100000000006</v>
      </c>
      <c r="AK660" s="1868">
        <v>10.198969999999999</v>
      </c>
      <c r="AL660" s="1868">
        <v>8.9693500000000004</v>
      </c>
      <c r="AM660" s="1868">
        <v>11.47115</v>
      </c>
      <c r="AN660" s="1868">
        <v>11.62256</v>
      </c>
      <c r="AO660" s="1868">
        <v>12.158799999999999</v>
      </c>
      <c r="AP660" s="1868">
        <v>12.987719999999999</v>
      </c>
      <c r="AQ660" s="1868">
        <v>12.787380000000001</v>
      </c>
      <c r="AR660" s="1868">
        <v>15.56621</v>
      </c>
      <c r="AS660" s="1868">
        <v>13.810829999999999</v>
      </c>
      <c r="AT660" s="1868">
        <v>14.035829999999999</v>
      </c>
      <c r="AU660" s="1868">
        <v>15.7988</v>
      </c>
      <c r="AV660" s="1868">
        <v>12.792530000000001</v>
      </c>
      <c r="AW660" s="1868">
        <v>15.02765</v>
      </c>
      <c r="AX660" s="1868">
        <v>15.54195</v>
      </c>
      <c r="AY660" s="1868">
        <v>16.486840000000001</v>
      </c>
      <c r="AZ660" s="1868">
        <v>14.656870000000001</v>
      </c>
      <c r="BA660" s="1868">
        <v>12.575339999999999</v>
      </c>
    </row>
    <row r="661" spans="1:53">
      <c r="A661" s="1865" t="str">
        <f t="shared" si="10"/>
        <v>Eastern EuropeMillet</v>
      </c>
      <c r="B661" s="1866" t="s">
        <v>307</v>
      </c>
      <c r="C661" s="1866" t="s">
        <v>1385</v>
      </c>
      <c r="D661" s="1868">
        <v>0.70348999999999995</v>
      </c>
      <c r="E661" s="1868">
        <v>0.59883999999999993</v>
      </c>
      <c r="F661" s="1868">
        <v>0.43218000000000001</v>
      </c>
      <c r="G661" s="1868">
        <v>0.90372999999999992</v>
      </c>
      <c r="H661" s="1868">
        <v>0.62863999999999998</v>
      </c>
      <c r="I661" s="1868">
        <v>0.87793999999999994</v>
      </c>
      <c r="J661" s="1868">
        <v>0.78149999999999997</v>
      </c>
      <c r="K661" s="1868">
        <v>0.80635000000000001</v>
      </c>
      <c r="L661" s="1868">
        <v>0.89833999999999992</v>
      </c>
      <c r="M661" s="1868">
        <v>0.72167000000000003</v>
      </c>
      <c r="N661" s="1868">
        <v>0.78839999999999999</v>
      </c>
      <c r="O661" s="1868">
        <v>0.71950999999999998</v>
      </c>
      <c r="P661" s="1868">
        <v>1.4276200000000001</v>
      </c>
      <c r="Q661" s="1868">
        <v>0.90201000000000009</v>
      </c>
      <c r="R661" s="1868">
        <v>0.37789</v>
      </c>
      <c r="S661" s="1868">
        <v>0.98150000000000004</v>
      </c>
      <c r="T661" s="1868">
        <v>0.60819999999999996</v>
      </c>
      <c r="U661" s="1868">
        <v>0.69538</v>
      </c>
      <c r="V661" s="1868">
        <v>0.51529999999999998</v>
      </c>
      <c r="W661" s="1868">
        <v>0.59853999999999996</v>
      </c>
      <c r="X661" s="1868">
        <v>0.64302999999999999</v>
      </c>
      <c r="Y661" s="1868">
        <v>0.83327000000000007</v>
      </c>
      <c r="Z661" s="1868">
        <v>0.80178000000000005</v>
      </c>
      <c r="AA661" s="1868">
        <v>0.66757</v>
      </c>
      <c r="AB661" s="1868">
        <v>0.96384999999999998</v>
      </c>
      <c r="AC661" s="1868">
        <v>0.89037999999999995</v>
      </c>
      <c r="AD661" s="1868">
        <v>1.3117399999999999</v>
      </c>
      <c r="AE661" s="1868">
        <v>1.1125</v>
      </c>
      <c r="AF661" s="1868">
        <v>1.3539299999999999</v>
      </c>
      <c r="AG661" s="1868">
        <v>1.1088200000000001</v>
      </c>
      <c r="AH661" s="1868">
        <v>0.53871000000000002</v>
      </c>
      <c r="AI661" s="1868">
        <v>0.87201000000000006</v>
      </c>
      <c r="AJ661" s="1868">
        <v>0.87729999999999997</v>
      </c>
      <c r="AK661" s="1868">
        <v>0.78206999999999993</v>
      </c>
      <c r="AL661" s="1868">
        <v>0.89083999999999997</v>
      </c>
      <c r="AM661" s="1868">
        <v>0.45353999999999994</v>
      </c>
      <c r="AN661" s="1868">
        <v>1.3067500000000001</v>
      </c>
      <c r="AO661" s="1868">
        <v>0.89559</v>
      </c>
      <c r="AP661" s="1868">
        <v>0.93952000000000002</v>
      </c>
      <c r="AQ661" s="1868">
        <v>0.89337000000000011</v>
      </c>
      <c r="AR661" s="1868">
        <v>0.8669</v>
      </c>
      <c r="AS661" s="1868">
        <v>0.91290000000000004</v>
      </c>
      <c r="AT661" s="1868">
        <v>1.37165</v>
      </c>
      <c r="AU661" s="1868">
        <v>1.20804</v>
      </c>
      <c r="AV661" s="1868">
        <v>1.15004</v>
      </c>
      <c r="AW661" s="1868">
        <v>1.0454299999999999</v>
      </c>
      <c r="AX661" s="1868">
        <v>1.07989</v>
      </c>
      <c r="AY661" s="1868">
        <v>1.4241200000000001</v>
      </c>
      <c r="AZ661" s="1868">
        <v>1.11856</v>
      </c>
      <c r="BA661" s="1868">
        <v>1.0159100000000001</v>
      </c>
    </row>
    <row r="662" spans="1:53">
      <c r="A662" s="1865" t="str">
        <f t="shared" si="10"/>
        <v>Eastern EuropeOats</v>
      </c>
      <c r="B662" s="1866" t="s">
        <v>307</v>
      </c>
      <c r="C662" s="1866" t="s">
        <v>1349</v>
      </c>
      <c r="D662" s="1868">
        <v>0.88732000000000011</v>
      </c>
      <c r="E662" s="1868">
        <v>0.98119999999999996</v>
      </c>
      <c r="F662" s="1868">
        <v>0.92354999999999998</v>
      </c>
      <c r="G662" s="1868">
        <v>1.0186600000000001</v>
      </c>
      <c r="H662" s="1868">
        <v>1.0428200000000001</v>
      </c>
      <c r="I662" s="1868">
        <v>1.3029600000000001</v>
      </c>
      <c r="J662" s="1868">
        <v>1.3461100000000001</v>
      </c>
      <c r="K662" s="1868">
        <v>1.3054700000000001</v>
      </c>
      <c r="L662" s="1868">
        <v>1.42096</v>
      </c>
      <c r="M662" s="1868">
        <v>1.4941799999999998</v>
      </c>
      <c r="N662" s="1868">
        <v>1.53064</v>
      </c>
      <c r="O662" s="1868">
        <v>1.26705</v>
      </c>
      <c r="P662" s="1868">
        <v>1.4633100000000001</v>
      </c>
      <c r="Q662" s="1868">
        <v>1.3727499999999999</v>
      </c>
      <c r="R662" s="1868">
        <v>1.0859700000000001</v>
      </c>
      <c r="S662" s="1868">
        <v>1.5445</v>
      </c>
      <c r="T662" s="1868">
        <v>1.3715999999999999</v>
      </c>
      <c r="U662" s="1868">
        <v>1.4853700000000001</v>
      </c>
      <c r="V662" s="1868">
        <v>1.2011799999999999</v>
      </c>
      <c r="W662" s="1868">
        <v>1.2910700000000002</v>
      </c>
      <c r="X662" s="1868">
        <v>1.0374000000000001</v>
      </c>
      <c r="Y662" s="1868">
        <v>1.4269499999999999</v>
      </c>
      <c r="Z662" s="1868">
        <v>1.4562600000000001</v>
      </c>
      <c r="AA662" s="1868">
        <v>1.4642200000000001</v>
      </c>
      <c r="AB662" s="1868">
        <v>1.5666899999999999</v>
      </c>
      <c r="AC662" s="1868">
        <v>1.5387600000000001</v>
      </c>
      <c r="AD662" s="1868">
        <v>1.4708299999999999</v>
      </c>
      <c r="AE662" s="1868">
        <v>1.3392500000000001</v>
      </c>
      <c r="AF662" s="1868">
        <v>1.5124500000000001</v>
      </c>
      <c r="AG662" s="1868">
        <v>1.59727</v>
      </c>
      <c r="AH662" s="1868">
        <v>1.32599</v>
      </c>
      <c r="AI662" s="1868">
        <v>1.47529</v>
      </c>
      <c r="AJ662" s="1868">
        <v>1.57667</v>
      </c>
      <c r="AK662" s="1868">
        <v>1.4440299999999999</v>
      </c>
      <c r="AL662" s="1868">
        <v>1.2857399999999999</v>
      </c>
      <c r="AM662" s="1868">
        <v>1.38609</v>
      </c>
      <c r="AN662" s="1868">
        <v>1.7695099999999999</v>
      </c>
      <c r="AO662" s="1868">
        <v>1.4207299999999998</v>
      </c>
      <c r="AP662" s="1868">
        <v>1.36772</v>
      </c>
      <c r="AQ662" s="1868">
        <v>1.5497100000000001</v>
      </c>
      <c r="AR662" s="1868">
        <v>1.82145</v>
      </c>
      <c r="AS662" s="1868">
        <v>1.7317900000000002</v>
      </c>
      <c r="AT662" s="1868">
        <v>1.7848200000000001</v>
      </c>
      <c r="AU662" s="1868">
        <v>1.8542000000000001</v>
      </c>
      <c r="AV662" s="1868">
        <v>1.6879999999999999</v>
      </c>
      <c r="AW662" s="1868">
        <v>1.6081399999999999</v>
      </c>
      <c r="AX662" s="1868">
        <v>1.7697900000000002</v>
      </c>
      <c r="AY662" s="1868">
        <v>1.9146099999999999</v>
      </c>
      <c r="AZ662" s="1868">
        <v>1.9557400000000003</v>
      </c>
      <c r="BA662" s="1868">
        <v>1.6997900000000001</v>
      </c>
    </row>
    <row r="663" spans="1:53">
      <c r="A663" s="1865" t="str">
        <f t="shared" si="10"/>
        <v>Eastern EuropeOnions, dry</v>
      </c>
      <c r="B663" s="1866" t="s">
        <v>307</v>
      </c>
      <c r="C663" s="1866" t="s">
        <v>1388</v>
      </c>
      <c r="D663" s="1868">
        <v>8.4259899999999988</v>
      </c>
      <c r="E663" s="1868">
        <v>6.5621600000000004</v>
      </c>
      <c r="F663" s="1868">
        <v>7.4001299999999999</v>
      </c>
      <c r="G663" s="1868">
        <v>7.97438</v>
      </c>
      <c r="H663" s="1868">
        <v>7.2806199999999999</v>
      </c>
      <c r="I663" s="1868">
        <v>9.4371799999999997</v>
      </c>
      <c r="J663" s="1868">
        <v>8.6886600000000005</v>
      </c>
      <c r="K663" s="1868">
        <v>7.9450000000000003</v>
      </c>
      <c r="L663" s="1868">
        <v>7.8482199999999995</v>
      </c>
      <c r="M663" s="1868">
        <v>8.3990899999999993</v>
      </c>
      <c r="N663" s="1868">
        <v>8.6711500000000008</v>
      </c>
      <c r="O663" s="1868">
        <v>8.7515900000000002</v>
      </c>
      <c r="P663" s="1868">
        <v>9.959480000000001</v>
      </c>
      <c r="Q663" s="1868">
        <v>10.061960000000001</v>
      </c>
      <c r="R663" s="1868">
        <v>8.8599100000000011</v>
      </c>
      <c r="S663" s="1868">
        <v>9.9093</v>
      </c>
      <c r="T663" s="1868">
        <v>9.8820999999999994</v>
      </c>
      <c r="U663" s="1868">
        <v>12.01529</v>
      </c>
      <c r="V663" s="1868">
        <v>11.201789999999999</v>
      </c>
      <c r="W663" s="1868">
        <v>10.90438</v>
      </c>
      <c r="X663" s="1868">
        <v>10.886510000000001</v>
      </c>
      <c r="Y663" s="1868">
        <v>12.54909</v>
      </c>
      <c r="Z663" s="1868">
        <v>12.00516</v>
      </c>
      <c r="AA663" s="1868">
        <v>13.473629999999998</v>
      </c>
      <c r="AB663" s="1868">
        <v>12.611829999999999</v>
      </c>
      <c r="AC663" s="1868">
        <v>14.80546</v>
      </c>
      <c r="AD663" s="1868">
        <v>14.494879999999998</v>
      </c>
      <c r="AE663" s="1868">
        <v>13.964700000000001</v>
      </c>
      <c r="AF663" s="1868">
        <v>13.85413</v>
      </c>
      <c r="AG663" s="1868">
        <v>14.102679999999999</v>
      </c>
      <c r="AH663" s="1868">
        <v>12.88963</v>
      </c>
      <c r="AI663" s="1868">
        <v>11.761060000000001</v>
      </c>
      <c r="AJ663" s="1868">
        <v>11.58253</v>
      </c>
      <c r="AK663" s="1868">
        <v>10.090060000000001</v>
      </c>
      <c r="AL663" s="1868">
        <v>10.963010000000001</v>
      </c>
      <c r="AM663" s="1868">
        <v>11.126810000000001</v>
      </c>
      <c r="AN663" s="1868">
        <v>11.45449</v>
      </c>
      <c r="AO663" s="1868">
        <v>11.45013</v>
      </c>
      <c r="AP663" s="1868">
        <v>10.886430000000001</v>
      </c>
      <c r="AQ663" s="1868">
        <v>11.228870000000001</v>
      </c>
      <c r="AR663" s="1868">
        <v>12.383519999999999</v>
      </c>
      <c r="AS663" s="1868">
        <v>12.14804</v>
      </c>
      <c r="AT663" s="1868">
        <v>12.7026</v>
      </c>
      <c r="AU663" s="1868">
        <v>14.540660000000001</v>
      </c>
      <c r="AV663" s="1868">
        <v>14.411210000000001</v>
      </c>
      <c r="AW663" s="1868">
        <v>14.669329999999999</v>
      </c>
      <c r="AX663" s="1868">
        <v>14.427620000000001</v>
      </c>
      <c r="AY663" s="1868">
        <v>17.194089999999999</v>
      </c>
      <c r="AZ663" s="1868">
        <v>16.752649999999999</v>
      </c>
      <c r="BA663" s="1868">
        <v>16.06982</v>
      </c>
    </row>
    <row r="664" spans="1:53">
      <c r="A664" s="1865" t="str">
        <f t="shared" si="10"/>
        <v>Eastern EuropeOranges</v>
      </c>
      <c r="B664" s="1866" t="s">
        <v>307</v>
      </c>
      <c r="C664" s="1866" t="s">
        <v>1389</v>
      </c>
      <c r="D664" s="1868">
        <v>5.5555599999999998</v>
      </c>
      <c r="E664" s="1868">
        <v>6.2222200000000001</v>
      </c>
      <c r="F664" s="1868">
        <v>7.0675699999999999</v>
      </c>
      <c r="G664" s="1868">
        <v>2.1176499999999998</v>
      </c>
      <c r="H664" s="1868">
        <v>4.8714300000000001</v>
      </c>
      <c r="I664" s="1868">
        <v>7.1428600000000007</v>
      </c>
      <c r="J664" s="1868">
        <v>5</v>
      </c>
      <c r="K664" s="1868">
        <v>4.7142900000000001</v>
      </c>
      <c r="L664" s="1868">
        <v>6</v>
      </c>
      <c r="M664" s="1868">
        <v>17.538460000000001</v>
      </c>
      <c r="N664" s="1868">
        <v>4.75</v>
      </c>
      <c r="O664" s="1868">
        <v>6.5</v>
      </c>
      <c r="P664" s="1868">
        <v>6.75</v>
      </c>
      <c r="Q664" s="1868">
        <v>13.55556</v>
      </c>
      <c r="R664" s="1868">
        <v>16.04167</v>
      </c>
      <c r="S664" s="1868">
        <v>12.8</v>
      </c>
      <c r="T664" s="1868">
        <v>22.6</v>
      </c>
      <c r="U664" s="1868">
        <v>17.727270000000001</v>
      </c>
      <c r="V664" s="1868">
        <v>33</v>
      </c>
      <c r="W664" s="1868">
        <v>12.5</v>
      </c>
      <c r="X664" s="1868">
        <v>24.32</v>
      </c>
      <c r="Y664" s="1868">
        <v>21.66667</v>
      </c>
      <c r="Z664" s="1868">
        <v>28.439720000000001</v>
      </c>
      <c r="AA664" s="1868">
        <v>18.39378</v>
      </c>
      <c r="AB664" s="1868">
        <v>7.5789499999999999</v>
      </c>
      <c r="AC664" s="1868">
        <v>18.19209</v>
      </c>
      <c r="AD664" s="1868">
        <v>10.395480000000001</v>
      </c>
      <c r="AE664" s="1868">
        <v>24.88889</v>
      </c>
      <c r="AF664" s="1868">
        <v>5.6989300000000007</v>
      </c>
      <c r="AG664" s="1868">
        <v>15.95628</v>
      </c>
      <c r="AH664" s="1868">
        <v>13.88889</v>
      </c>
      <c r="AU664" s="1868">
        <v>2.2000000000000002</v>
      </c>
      <c r="AV664" s="1868">
        <v>3.5</v>
      </c>
      <c r="AW664" s="1868">
        <v>3.8</v>
      </c>
      <c r="AX664" s="1868">
        <v>2.7</v>
      </c>
      <c r="AY664" s="1868">
        <v>1.75</v>
      </c>
      <c r="AZ664" s="1868">
        <v>0.8450700000000001</v>
      </c>
      <c r="BA664" s="1868">
        <v>4.1935500000000001</v>
      </c>
    </row>
    <row r="665" spans="1:53">
      <c r="A665" s="1865" t="str">
        <f t="shared" si="10"/>
        <v>Eastern EuropePeaches and nectarines</v>
      </c>
      <c r="B665" s="1866" t="s">
        <v>307</v>
      </c>
      <c r="C665" s="1866" t="s">
        <v>1390</v>
      </c>
      <c r="D665" s="1868">
        <v>6.6043199999999995</v>
      </c>
      <c r="E665" s="1868">
        <v>5.8873499999999996</v>
      </c>
      <c r="F665" s="1868">
        <v>5.8159300000000007</v>
      </c>
      <c r="G665" s="1868">
        <v>5.8536900000000003</v>
      </c>
      <c r="H665" s="1868">
        <v>5.1079400000000001</v>
      </c>
      <c r="I665" s="1868">
        <v>6.5440100000000001</v>
      </c>
      <c r="J665" s="1868">
        <v>6.68302</v>
      </c>
      <c r="K665" s="1868">
        <v>6.2962099999999994</v>
      </c>
      <c r="L665" s="1868">
        <v>6.2802699999999998</v>
      </c>
      <c r="M665" s="1868">
        <v>5.6816699999999996</v>
      </c>
      <c r="N665" s="1868">
        <v>5.0234500000000004</v>
      </c>
      <c r="O665" s="1868">
        <v>4.6543000000000001</v>
      </c>
      <c r="P665" s="1868">
        <v>5.5256699999999999</v>
      </c>
      <c r="Q665" s="1868">
        <v>5.1212499999999999</v>
      </c>
      <c r="R665" s="1868">
        <v>5.0588499999999996</v>
      </c>
      <c r="S665" s="1868">
        <v>5.60738</v>
      </c>
      <c r="T665" s="1868">
        <v>5.7106900000000005</v>
      </c>
      <c r="U665" s="1868">
        <v>5.3720400000000001</v>
      </c>
      <c r="V665" s="1868">
        <v>5.7075699999999996</v>
      </c>
      <c r="W665" s="1868">
        <v>5.6251199999999999</v>
      </c>
      <c r="X665" s="1868">
        <v>6.2986300000000002</v>
      </c>
      <c r="Y665" s="1868">
        <v>7.1909000000000001</v>
      </c>
      <c r="Z665" s="1868">
        <v>7.2898500000000004</v>
      </c>
      <c r="AA665" s="1868">
        <v>6.6216499999999998</v>
      </c>
      <c r="AB665" s="1868">
        <v>5.8968499999999997</v>
      </c>
      <c r="AC665" s="1868">
        <v>6.4407800000000002</v>
      </c>
      <c r="AD665" s="1868">
        <v>4.1948600000000003</v>
      </c>
      <c r="AE665" s="1868">
        <v>4.3785300000000005</v>
      </c>
      <c r="AF665" s="1868">
        <v>5.4737900000000002</v>
      </c>
      <c r="AG665" s="1868">
        <v>4.891</v>
      </c>
      <c r="AH665" s="1868">
        <v>4.20871</v>
      </c>
      <c r="AI665" s="1868">
        <v>4.4147400000000001</v>
      </c>
      <c r="AJ665" s="1868">
        <v>4.4782199999999994</v>
      </c>
      <c r="AK665" s="1868">
        <v>3.7402500000000001</v>
      </c>
      <c r="AL665" s="1868">
        <v>4.07212</v>
      </c>
      <c r="AM665" s="1868">
        <v>4.3145800000000003</v>
      </c>
      <c r="AN665" s="1868">
        <v>2.8778900000000003</v>
      </c>
      <c r="AO665" s="1868">
        <v>3.43729</v>
      </c>
      <c r="AP665" s="1868">
        <v>2.9685900000000003</v>
      </c>
      <c r="AQ665" s="1868">
        <v>4.0359999999999996</v>
      </c>
      <c r="AR665" s="1868">
        <v>3.1242099999999997</v>
      </c>
      <c r="AS665" s="1868">
        <v>2.9619299999999997</v>
      </c>
      <c r="AT665" s="1868">
        <v>3.5759400000000001</v>
      </c>
      <c r="AU665" s="1868">
        <v>4.79338</v>
      </c>
      <c r="AV665" s="1868">
        <v>4.2466999999999997</v>
      </c>
      <c r="AW665" s="1868">
        <v>3.6940400000000002</v>
      </c>
      <c r="AX665" s="1868">
        <v>3.56345</v>
      </c>
      <c r="AY665" s="1868">
        <v>4.4043999999999999</v>
      </c>
      <c r="AZ665" s="1868">
        <v>4.9082999999999997</v>
      </c>
      <c r="BA665" s="1868">
        <v>4.8224300000000007</v>
      </c>
    </row>
    <row r="666" spans="1:53">
      <c r="A666" s="1865" t="str">
        <f t="shared" si="10"/>
        <v>Eastern EuropePeas, dry</v>
      </c>
      <c r="B666" s="1866" t="s">
        <v>307</v>
      </c>
      <c r="C666" s="1866" t="s">
        <v>1391</v>
      </c>
      <c r="D666" s="1868">
        <v>1.03148</v>
      </c>
      <c r="E666" s="1868">
        <v>1.1153999999999999</v>
      </c>
      <c r="F666" s="1868">
        <v>0.77798999999999996</v>
      </c>
      <c r="G666" s="1868">
        <v>0.99742000000000008</v>
      </c>
      <c r="H666" s="1868">
        <v>0.95052000000000003</v>
      </c>
      <c r="I666" s="1868">
        <v>1.1717899999999999</v>
      </c>
      <c r="J666" s="1868">
        <v>1.15676</v>
      </c>
      <c r="K666" s="1868">
        <v>1.3620399999999999</v>
      </c>
      <c r="L666" s="1868">
        <v>1.4635100000000001</v>
      </c>
      <c r="M666" s="1868">
        <v>1.4391700000000001</v>
      </c>
      <c r="N666" s="1868">
        <v>1.2523200000000001</v>
      </c>
      <c r="O666" s="1868">
        <v>1.1633200000000001</v>
      </c>
      <c r="P666" s="1868">
        <v>1.30339</v>
      </c>
      <c r="Q666" s="1868">
        <v>1.4544600000000001</v>
      </c>
      <c r="R666" s="1868">
        <v>0.95281000000000005</v>
      </c>
      <c r="S666" s="1868">
        <v>1.65855</v>
      </c>
      <c r="T666" s="1868">
        <v>1.3674200000000001</v>
      </c>
      <c r="U666" s="1868">
        <v>1.5859000000000001</v>
      </c>
      <c r="V666" s="1868">
        <v>0.81056000000000006</v>
      </c>
      <c r="W666" s="1868">
        <v>1.3465400000000001</v>
      </c>
      <c r="X666" s="1868">
        <v>0.77695000000000003</v>
      </c>
      <c r="Y666" s="1868">
        <v>1.2872399999999999</v>
      </c>
      <c r="Z666" s="1868">
        <v>1.31616</v>
      </c>
      <c r="AA666" s="1868">
        <v>1.2223700000000002</v>
      </c>
      <c r="AB666" s="1868">
        <v>1.30911</v>
      </c>
      <c r="AC666" s="1868">
        <v>1.0635399999999999</v>
      </c>
      <c r="AD666" s="1868">
        <v>1.45496</v>
      </c>
      <c r="AE666" s="1868">
        <v>1.32206</v>
      </c>
      <c r="AF666" s="1868">
        <v>1.5361499999999999</v>
      </c>
      <c r="AG666" s="1868">
        <v>1.7407299999999999</v>
      </c>
      <c r="AH666" s="1868">
        <v>1.1042100000000001</v>
      </c>
      <c r="AI666" s="1868">
        <v>1.7925500000000001</v>
      </c>
      <c r="AJ666" s="1868">
        <v>1.8501000000000001</v>
      </c>
      <c r="AK666" s="1868">
        <v>1.7556599999999998</v>
      </c>
      <c r="AL666" s="1868">
        <v>1.1821200000000001</v>
      </c>
      <c r="AM666" s="1868">
        <v>1.36869</v>
      </c>
      <c r="AN666" s="1868">
        <v>1.55585</v>
      </c>
      <c r="AO666" s="1868">
        <v>1.40103</v>
      </c>
      <c r="AP666" s="1868">
        <v>1.2999799999999999</v>
      </c>
      <c r="AQ666" s="1868">
        <v>1.6025499999999999</v>
      </c>
      <c r="AR666" s="1868">
        <v>2.0089599999999996</v>
      </c>
      <c r="AS666" s="1868">
        <v>1.7583900000000001</v>
      </c>
      <c r="AT666" s="1868">
        <v>1.39276</v>
      </c>
      <c r="AU666" s="1868">
        <v>2.0208900000000001</v>
      </c>
      <c r="AV666" s="1868">
        <v>1.7864799999999998</v>
      </c>
      <c r="AW666" s="1868">
        <v>1.78813</v>
      </c>
      <c r="AX666" s="1868">
        <v>1.3607799999999999</v>
      </c>
      <c r="AY666" s="1868">
        <v>2.06711</v>
      </c>
      <c r="AZ666" s="1868">
        <v>1.7808299999999999</v>
      </c>
      <c r="BA666" s="1868">
        <v>1.55494</v>
      </c>
    </row>
    <row r="667" spans="1:53">
      <c r="A667" s="1865" t="str">
        <f t="shared" si="10"/>
        <v>Eastern EuropePeas, green</v>
      </c>
      <c r="B667" s="1866" t="s">
        <v>307</v>
      </c>
      <c r="C667" s="1866" t="s">
        <v>1392</v>
      </c>
      <c r="D667" s="1868">
        <v>2.63964</v>
      </c>
      <c r="E667" s="1868">
        <v>2.58975</v>
      </c>
      <c r="F667" s="1868">
        <v>2.5958299999999999</v>
      </c>
      <c r="G667" s="1868">
        <v>2.3745400000000001</v>
      </c>
      <c r="H667" s="1868">
        <v>2.5867900000000001</v>
      </c>
      <c r="I667" s="1868">
        <v>2.9851999999999999</v>
      </c>
      <c r="J667" s="1868">
        <v>3.35886</v>
      </c>
      <c r="K667" s="1868">
        <v>2.6162799999999997</v>
      </c>
      <c r="L667" s="1868">
        <v>3.3290800000000003</v>
      </c>
      <c r="M667" s="1868">
        <v>3.6924099999999997</v>
      </c>
      <c r="N667" s="1868">
        <v>3.8812099999999998</v>
      </c>
      <c r="O667" s="1868">
        <v>3.6924699999999997</v>
      </c>
      <c r="P667" s="1868">
        <v>4.2380100000000001</v>
      </c>
      <c r="Q667" s="1868">
        <v>4.5602800000000006</v>
      </c>
      <c r="R667" s="1868">
        <v>3.9048599999999998</v>
      </c>
      <c r="S667" s="1868">
        <v>4.3305099999999994</v>
      </c>
      <c r="T667" s="1868">
        <v>4.4119999999999999</v>
      </c>
      <c r="U667" s="1868">
        <v>4.6477300000000001</v>
      </c>
      <c r="V667" s="1868">
        <v>3.7709099999999998</v>
      </c>
      <c r="W667" s="1868">
        <v>4.4525499999999996</v>
      </c>
      <c r="X667" s="1868">
        <v>3.9460999999999999</v>
      </c>
      <c r="Y667" s="1868">
        <v>4.4782599999999997</v>
      </c>
      <c r="Z667" s="1868">
        <v>4.2720900000000004</v>
      </c>
      <c r="AA667" s="1868">
        <v>5.1379800000000007</v>
      </c>
      <c r="AB667" s="1868">
        <v>5.2800900000000004</v>
      </c>
      <c r="AC667" s="1868">
        <v>5.1870699999999994</v>
      </c>
      <c r="AD667" s="1868">
        <v>4.1436400000000004</v>
      </c>
      <c r="AE667" s="1868">
        <v>4.6102300000000005</v>
      </c>
      <c r="AF667" s="1868">
        <v>4.8981399999999997</v>
      </c>
      <c r="AG667" s="1868">
        <v>4.4691099999999997</v>
      </c>
      <c r="AH667" s="1868">
        <v>3.8603099999999997</v>
      </c>
      <c r="AI667" s="1868">
        <v>4.5486000000000004</v>
      </c>
      <c r="AJ667" s="1868">
        <v>4.2498500000000003</v>
      </c>
      <c r="AK667" s="1868">
        <v>5.1512400000000005</v>
      </c>
      <c r="AL667" s="1868">
        <v>4.8255999999999997</v>
      </c>
      <c r="AM667" s="1868">
        <v>5.8587999999999996</v>
      </c>
      <c r="AN667" s="1868">
        <v>5.7447499999999998</v>
      </c>
      <c r="AO667" s="1868">
        <v>6.5291600000000001</v>
      </c>
      <c r="AP667" s="1868">
        <v>5.8828300000000002</v>
      </c>
      <c r="AQ667" s="1868">
        <v>5.6611099999999999</v>
      </c>
      <c r="AR667" s="1868">
        <v>4.8943599999999998</v>
      </c>
      <c r="AS667" s="1868">
        <v>4.2596400000000001</v>
      </c>
      <c r="AT667" s="1868">
        <v>3.3526699999999998</v>
      </c>
      <c r="AU667" s="1868">
        <v>5.1602899999999998</v>
      </c>
      <c r="AV667" s="1868">
        <v>4.77806</v>
      </c>
      <c r="AW667" s="1868">
        <v>4.5542199999999999</v>
      </c>
      <c r="AX667" s="1868">
        <v>3.8154300000000001</v>
      </c>
      <c r="AY667" s="1868">
        <v>5.0585199999999997</v>
      </c>
      <c r="AZ667" s="1868">
        <v>4.5105399999999998</v>
      </c>
      <c r="BA667" s="1868">
        <v>3.8809</v>
      </c>
    </row>
    <row r="668" spans="1:53">
      <c r="A668" s="1865" t="str">
        <f t="shared" si="10"/>
        <v>Eastern EuropePotatoes</v>
      </c>
      <c r="B668" s="1866" t="s">
        <v>307</v>
      </c>
      <c r="C668" s="1866" t="s">
        <v>1394</v>
      </c>
      <c r="D668" s="1868">
        <v>10.919139999999999</v>
      </c>
      <c r="E668" s="1868">
        <v>9.2685999999999993</v>
      </c>
      <c r="F668" s="1868">
        <v>10.30735</v>
      </c>
      <c r="G668" s="1868">
        <v>12.391019999999999</v>
      </c>
      <c r="H668" s="1868">
        <v>11.42013</v>
      </c>
      <c r="I668" s="1868">
        <v>12.052539999999999</v>
      </c>
      <c r="J668" s="1868">
        <v>12.875169999999999</v>
      </c>
      <c r="K668" s="1868">
        <v>13.796200000000001</v>
      </c>
      <c r="L668" s="1868">
        <v>12.54604</v>
      </c>
      <c r="M668" s="1868">
        <v>13.413829999999999</v>
      </c>
      <c r="N668" s="1868">
        <v>12.56513</v>
      </c>
      <c r="O668" s="1868">
        <v>12.077630000000001</v>
      </c>
      <c r="P668" s="1868">
        <v>14.809679999999998</v>
      </c>
      <c r="Q668" s="1868">
        <v>12.278139999999999</v>
      </c>
      <c r="R668" s="1868">
        <v>12.790710000000001</v>
      </c>
      <c r="S668" s="1868">
        <v>14.24058</v>
      </c>
      <c r="T668" s="1868">
        <v>13.21514</v>
      </c>
      <c r="U668" s="1868">
        <v>14.237520000000002</v>
      </c>
      <c r="V668" s="1868">
        <v>15.000389999999999</v>
      </c>
      <c r="W668" s="1868">
        <v>10.295639999999999</v>
      </c>
      <c r="X668" s="1868">
        <v>12.847110000000001</v>
      </c>
      <c r="Y668" s="1868">
        <v>12.48043</v>
      </c>
      <c r="Z668" s="1868">
        <v>13.197929999999999</v>
      </c>
      <c r="AA668" s="1868">
        <v>14.096160000000001</v>
      </c>
      <c r="AB668" s="1868">
        <v>13.240170000000001</v>
      </c>
      <c r="AC668" s="1868">
        <v>15.187729999999998</v>
      </c>
      <c r="AD668" s="1868">
        <v>13.76624</v>
      </c>
      <c r="AE668" s="1868">
        <v>12.207280000000001</v>
      </c>
      <c r="AF668" s="1868">
        <v>13.655189999999999</v>
      </c>
      <c r="AG668" s="1868">
        <v>13.03412</v>
      </c>
      <c r="AH668" s="1868">
        <v>12.101230000000001</v>
      </c>
      <c r="AI668" s="1868">
        <v>12.00704</v>
      </c>
      <c r="AJ668" s="1868">
        <v>14.14127</v>
      </c>
      <c r="AK668" s="1868">
        <v>11.233000000000001</v>
      </c>
      <c r="AL668" s="1868">
        <v>12.5481</v>
      </c>
      <c r="AM668" s="1868">
        <v>13.6729</v>
      </c>
      <c r="AN668" s="1868">
        <v>11.89983</v>
      </c>
      <c r="AO668" s="1868">
        <v>12.053930000000001</v>
      </c>
      <c r="AP668" s="1868">
        <v>10.935499999999999</v>
      </c>
      <c r="AQ668" s="1868">
        <v>12.81166</v>
      </c>
      <c r="AR668" s="1868">
        <v>12.16442</v>
      </c>
      <c r="AS668" s="1868">
        <v>12.03571</v>
      </c>
      <c r="AT668" s="1868">
        <v>12.919360000000001</v>
      </c>
      <c r="AU668" s="1868">
        <v>13.887720000000002</v>
      </c>
      <c r="AV668" s="1868">
        <v>13.487299999999999</v>
      </c>
      <c r="AW668" s="1868">
        <v>13.914249999999999</v>
      </c>
      <c r="AX668" s="1868">
        <v>14.50949</v>
      </c>
      <c r="AY668" s="1868">
        <v>15.222570000000001</v>
      </c>
      <c r="AZ668" s="1868">
        <v>15.1854</v>
      </c>
      <c r="BA668" s="1868">
        <v>13.02313</v>
      </c>
    </row>
    <row r="669" spans="1:53">
      <c r="A669" s="1865" t="str">
        <f t="shared" si="10"/>
        <v>Eastern EuropePulses, nes</v>
      </c>
      <c r="B669" s="1866" t="s">
        <v>307</v>
      </c>
      <c r="C669" s="1866" t="s">
        <v>1395</v>
      </c>
      <c r="D669" s="1868">
        <v>1.0785499999999999</v>
      </c>
      <c r="E669" s="1868">
        <v>1.0481200000000002</v>
      </c>
      <c r="F669" s="1868">
        <v>0.84658999999999995</v>
      </c>
      <c r="G669" s="1868">
        <v>0.87657999999999991</v>
      </c>
      <c r="H669" s="1868">
        <v>0.99337999999999993</v>
      </c>
      <c r="I669" s="1868">
        <v>0.97824</v>
      </c>
      <c r="J669" s="1868">
        <v>1.0174700000000001</v>
      </c>
      <c r="K669" s="1868">
        <v>1.04765</v>
      </c>
      <c r="L669" s="1868">
        <v>0.99602000000000013</v>
      </c>
      <c r="M669" s="1868">
        <v>1.1546799999999999</v>
      </c>
      <c r="N669" s="1868">
        <v>1.14872</v>
      </c>
      <c r="O669" s="1868">
        <v>1.0517299999999998</v>
      </c>
      <c r="P669" s="1868">
        <v>1.1852100000000001</v>
      </c>
      <c r="Q669" s="1868">
        <v>1.17842</v>
      </c>
      <c r="R669" s="1868">
        <v>0.84317999999999993</v>
      </c>
      <c r="S669" s="1868">
        <v>1.21821</v>
      </c>
      <c r="T669" s="1868">
        <v>0.94828999999999997</v>
      </c>
      <c r="U669" s="1868">
        <v>1.31677</v>
      </c>
      <c r="V669" s="1868">
        <v>1.11913</v>
      </c>
      <c r="W669" s="1868">
        <v>0.99452999999999991</v>
      </c>
      <c r="X669" s="1868">
        <v>1.0185200000000001</v>
      </c>
      <c r="Y669" s="1868">
        <v>1.2446200000000001</v>
      </c>
      <c r="Z669" s="1868">
        <v>1.3693299999999999</v>
      </c>
      <c r="AA669" s="1868">
        <v>1.7185900000000001</v>
      </c>
      <c r="AB669" s="1868">
        <v>1.68754</v>
      </c>
      <c r="AC669" s="1868">
        <v>1.5289999999999999</v>
      </c>
      <c r="AD669" s="1868">
        <v>1.6849700000000001</v>
      </c>
      <c r="AE669" s="1868">
        <v>1.53599</v>
      </c>
      <c r="AF669" s="1868">
        <v>1.5493600000000001</v>
      </c>
      <c r="AG669" s="1868">
        <v>2.0194200000000002</v>
      </c>
      <c r="AH669" s="1868">
        <v>2.2881999999999998</v>
      </c>
      <c r="AI669" s="1868">
        <v>1.2679400000000001</v>
      </c>
      <c r="AJ669" s="1868">
        <v>2.3601700000000001</v>
      </c>
      <c r="AK669" s="1868">
        <v>1.6502700000000001</v>
      </c>
      <c r="AL669" s="1868">
        <v>2.1330800000000001</v>
      </c>
      <c r="AM669" s="1868">
        <v>2.1244099999999997</v>
      </c>
      <c r="AN669" s="1868">
        <v>2.0908599999999997</v>
      </c>
      <c r="AO669" s="1868">
        <v>1.6736200000000001</v>
      </c>
      <c r="AP669" s="1868">
        <v>2.0816400000000002</v>
      </c>
      <c r="AQ669" s="1868">
        <v>1.8726200000000002</v>
      </c>
      <c r="AR669" s="1868">
        <v>1.92205</v>
      </c>
      <c r="AS669" s="1868">
        <v>2.1800099999999998</v>
      </c>
      <c r="AT669" s="1868">
        <v>1.5396700000000001</v>
      </c>
      <c r="AU669" s="1868">
        <v>1.84257</v>
      </c>
      <c r="AV669" s="1868">
        <v>1.9643700000000002</v>
      </c>
      <c r="AW669" s="1868">
        <v>1.7569700000000001</v>
      </c>
      <c r="AX669" s="1868">
        <v>1.72285</v>
      </c>
      <c r="AY669" s="1868">
        <v>2.19591</v>
      </c>
      <c r="AZ669" s="1868">
        <v>2.0118900000000002</v>
      </c>
      <c r="BA669" s="1868">
        <v>1.9039400000000002</v>
      </c>
    </row>
    <row r="670" spans="1:53">
      <c r="A670" s="1865" t="str">
        <f t="shared" si="10"/>
        <v>Eastern EuropeRice, paddy</v>
      </c>
      <c r="B670" s="1866" t="s">
        <v>307</v>
      </c>
      <c r="C670" s="1866" t="s">
        <v>1396</v>
      </c>
      <c r="D670" s="1868">
        <v>2.08148</v>
      </c>
      <c r="E670" s="1868">
        <v>2.2263500000000001</v>
      </c>
      <c r="F670" s="1868">
        <v>2.5680200000000002</v>
      </c>
      <c r="G670" s="1868">
        <v>2.3229599999999997</v>
      </c>
      <c r="H670" s="1868">
        <v>2.4381499999999998</v>
      </c>
      <c r="I670" s="1868">
        <v>2.65991</v>
      </c>
      <c r="J670" s="1868">
        <v>2.9721799999999998</v>
      </c>
      <c r="K670" s="1868">
        <v>3.0357400000000001</v>
      </c>
      <c r="L670" s="1868">
        <v>3.0552799999999998</v>
      </c>
      <c r="M670" s="1868">
        <v>3.2641499999999999</v>
      </c>
      <c r="N670" s="1868">
        <v>3.3188499999999999</v>
      </c>
      <c r="O670" s="1868">
        <v>3.4645199999999998</v>
      </c>
      <c r="P670" s="1868">
        <v>3.4431099999999999</v>
      </c>
      <c r="Q670" s="1868">
        <v>3.4534500000000001</v>
      </c>
      <c r="R670" s="1868">
        <v>3.6673900000000001</v>
      </c>
      <c r="S670" s="1868">
        <v>3.3404699999999998</v>
      </c>
      <c r="T670" s="1868">
        <v>3.6173800000000003</v>
      </c>
      <c r="U670" s="1868">
        <v>3.2795900000000002</v>
      </c>
      <c r="V670" s="1868">
        <v>3.5960900000000002</v>
      </c>
      <c r="W670" s="1868">
        <v>3.7941099999999999</v>
      </c>
      <c r="X670" s="1868">
        <v>3.6200600000000001</v>
      </c>
      <c r="Y670" s="1868">
        <v>3.5448300000000001</v>
      </c>
      <c r="Z670" s="1868">
        <v>3.7270599999999998</v>
      </c>
      <c r="AA670" s="1868">
        <v>3.6568199999999997</v>
      </c>
      <c r="AB670" s="1868">
        <v>3.5880400000000003</v>
      </c>
      <c r="AC670" s="1868">
        <v>3.87121</v>
      </c>
      <c r="AD670" s="1868">
        <v>3.6159599999999998</v>
      </c>
      <c r="AE670" s="1868">
        <v>3.7761800000000001</v>
      </c>
      <c r="AF670" s="1868">
        <v>3.27441</v>
      </c>
      <c r="AG670" s="1868">
        <v>3.3974300000000004</v>
      </c>
      <c r="AH670" s="1868">
        <v>3.2279499999999999</v>
      </c>
      <c r="AI670" s="1868">
        <v>2.8969200000000002</v>
      </c>
      <c r="AJ670" s="1868">
        <v>2.6868599999999998</v>
      </c>
      <c r="AK670" s="1868">
        <v>2.82253</v>
      </c>
      <c r="AL670" s="1868">
        <v>3.2861099999999999</v>
      </c>
      <c r="AM670" s="1868">
        <v>2.6263700000000001</v>
      </c>
      <c r="AN670" s="1868">
        <v>2.4439500000000001</v>
      </c>
      <c r="AO670" s="1868">
        <v>3.0318900000000002</v>
      </c>
      <c r="AP670" s="1868">
        <v>2.7760700000000003</v>
      </c>
      <c r="AQ670" s="1868">
        <v>3.5179800000000001</v>
      </c>
      <c r="AR670" s="1868">
        <v>3.5229900000000001</v>
      </c>
      <c r="AS670" s="1868">
        <v>3.8115000000000001</v>
      </c>
      <c r="AT670" s="1868">
        <v>3.28125</v>
      </c>
      <c r="AU670" s="1868">
        <v>3.8080099999999999</v>
      </c>
      <c r="AV670" s="1868">
        <v>4.21835</v>
      </c>
      <c r="AW670" s="1868">
        <v>4.34152</v>
      </c>
      <c r="AX670" s="1868">
        <v>4.5352199999999998</v>
      </c>
      <c r="AY670" s="1868">
        <v>4.7373799999999999</v>
      </c>
      <c r="AZ670" s="1868">
        <v>5.2279499999999999</v>
      </c>
      <c r="BA670" s="1868">
        <v>5.2024699999999999</v>
      </c>
    </row>
    <row r="671" spans="1:53">
      <c r="A671" s="1865" t="str">
        <f t="shared" si="10"/>
        <v>Eastern EuropeRye</v>
      </c>
      <c r="B671" s="1866" t="s">
        <v>307</v>
      </c>
      <c r="C671" s="1866" t="s">
        <v>1353</v>
      </c>
      <c r="D671" s="1868">
        <v>1.1030799999999998</v>
      </c>
      <c r="E671" s="1868">
        <v>1.03664</v>
      </c>
      <c r="F671" s="1868">
        <v>0.94371000000000005</v>
      </c>
      <c r="G671" s="1868">
        <v>0.93184</v>
      </c>
      <c r="H671" s="1868">
        <v>1.1347</v>
      </c>
      <c r="I671" s="1868">
        <v>1.10944</v>
      </c>
      <c r="J671" s="1868">
        <v>1.17591</v>
      </c>
      <c r="K671" s="1868">
        <v>1.2976799999999999</v>
      </c>
      <c r="L671" s="1868">
        <v>1.3643799999999999</v>
      </c>
      <c r="M671" s="1868">
        <v>1.2825899999999999</v>
      </c>
      <c r="N671" s="1868">
        <v>1.4821299999999999</v>
      </c>
      <c r="O671" s="1868">
        <v>1.4616</v>
      </c>
      <c r="P671" s="1868">
        <v>1.7464900000000001</v>
      </c>
      <c r="Q671" s="1868">
        <v>1.6889099999999999</v>
      </c>
      <c r="R671" s="1868">
        <v>1.36077</v>
      </c>
      <c r="S671" s="1868">
        <v>1.6505000000000001</v>
      </c>
      <c r="T671" s="1868">
        <v>1.4515899999999999</v>
      </c>
      <c r="U671" s="1868">
        <v>1.8566900000000002</v>
      </c>
      <c r="V671" s="1868">
        <v>1.3663700000000001</v>
      </c>
      <c r="W671" s="1868">
        <v>1.3645100000000001</v>
      </c>
      <c r="X671" s="1868">
        <v>1.48082</v>
      </c>
      <c r="Y671" s="1868">
        <v>1.6577599999999999</v>
      </c>
      <c r="Z671" s="1868">
        <v>1.8183200000000002</v>
      </c>
      <c r="AA671" s="1868">
        <v>1.7549400000000002</v>
      </c>
      <c r="AB671" s="1868">
        <v>1.7634700000000001</v>
      </c>
      <c r="AC671" s="1868">
        <v>1.83775</v>
      </c>
      <c r="AD671" s="1868">
        <v>1.8709499999999999</v>
      </c>
      <c r="AE671" s="1868">
        <v>1.8298000000000001</v>
      </c>
      <c r="AF671" s="1868">
        <v>1.9185599999999998</v>
      </c>
      <c r="AG671" s="1868">
        <v>2.21807</v>
      </c>
      <c r="AH671" s="1868">
        <v>1.9186299999999998</v>
      </c>
      <c r="AI671" s="1868">
        <v>1.9993700000000001</v>
      </c>
      <c r="AJ671" s="1868">
        <v>1.8908499999999999</v>
      </c>
      <c r="AK671" s="1868">
        <v>1.8703099999999999</v>
      </c>
      <c r="AL671" s="1868">
        <v>1.9104099999999999</v>
      </c>
      <c r="AM671" s="1868">
        <v>1.8110700000000002</v>
      </c>
      <c r="AN671" s="1868">
        <v>2.0704199999999999</v>
      </c>
      <c r="AO671" s="1868">
        <v>1.6719599999999999</v>
      </c>
      <c r="AP671" s="1868">
        <v>1.76508</v>
      </c>
      <c r="AQ671" s="1868">
        <v>1.7110099999999999</v>
      </c>
      <c r="AR671" s="1868">
        <v>2.0483899999999999</v>
      </c>
      <c r="AS671" s="1868">
        <v>2.0848499999999999</v>
      </c>
      <c r="AT671" s="1868">
        <v>1.9680599999999999</v>
      </c>
      <c r="AU671" s="1868">
        <v>2.2061700000000002</v>
      </c>
      <c r="AV671" s="1868">
        <v>1.9312499999999999</v>
      </c>
      <c r="AW671" s="1868">
        <v>1.8733500000000001</v>
      </c>
      <c r="AX671" s="1868">
        <v>2.10981</v>
      </c>
      <c r="AY671" s="1868">
        <v>2.3481099999999997</v>
      </c>
      <c r="AZ671" s="1868">
        <v>2.3399200000000002</v>
      </c>
      <c r="BA671" s="1868">
        <v>1.83005</v>
      </c>
    </row>
    <row r="672" spans="1:53">
      <c r="A672" s="1865" t="str">
        <f t="shared" si="10"/>
        <v>Eastern EuropeSeed cotton</v>
      </c>
      <c r="B672" s="1866" t="s">
        <v>307</v>
      </c>
      <c r="C672" s="1866" t="s">
        <v>1397</v>
      </c>
      <c r="D672" s="1868">
        <v>1.8959900000000001</v>
      </c>
      <c r="E672" s="1868">
        <v>1.7776799999999999</v>
      </c>
      <c r="F672" s="1868">
        <v>2.0734499999999998</v>
      </c>
      <c r="G672" s="1868">
        <v>2.1254499999999998</v>
      </c>
      <c r="H672" s="1868">
        <v>2.2910699999999999</v>
      </c>
      <c r="I672" s="1868">
        <v>2.4078400000000002</v>
      </c>
      <c r="J672" s="1868">
        <v>2.4172700000000003</v>
      </c>
      <c r="K672" s="1868">
        <v>2.4020900000000003</v>
      </c>
      <c r="L672" s="1868">
        <v>2.2249099999999999</v>
      </c>
      <c r="M672" s="1868">
        <v>2.4843000000000002</v>
      </c>
      <c r="N672" s="1868">
        <v>2.54053</v>
      </c>
      <c r="O672" s="1868">
        <v>2.6496900000000001</v>
      </c>
      <c r="P672" s="1868">
        <v>2.7704599999999999</v>
      </c>
      <c r="Q672" s="1868">
        <v>2.8919999999999999</v>
      </c>
      <c r="R672" s="1868">
        <v>2.6728200000000002</v>
      </c>
      <c r="S672" s="1868">
        <v>2.77949</v>
      </c>
      <c r="T672" s="1868">
        <v>2.9115700000000002</v>
      </c>
      <c r="U672" s="1868">
        <v>2.7847299999999997</v>
      </c>
      <c r="V672" s="1868">
        <v>2.9535499999999999</v>
      </c>
      <c r="W672" s="1868">
        <v>2.8832499999999999</v>
      </c>
      <c r="X672" s="1868">
        <v>3.0364599999999999</v>
      </c>
      <c r="Y672" s="1868">
        <v>2.9061499999999998</v>
      </c>
      <c r="Z672" s="1868">
        <v>2.8791700000000002</v>
      </c>
      <c r="AA672" s="1868">
        <v>2.5724900000000002</v>
      </c>
      <c r="AB672" s="1868">
        <v>2.6295299999999999</v>
      </c>
      <c r="AC672" s="1868">
        <v>2.3617900000000001</v>
      </c>
      <c r="AD672" s="1868">
        <v>2.2871099999999998</v>
      </c>
      <c r="AE672" s="1868">
        <v>2.5554000000000001</v>
      </c>
      <c r="AF672" s="1868">
        <v>2.5303299999999997</v>
      </c>
      <c r="AG672" s="1868">
        <v>2.6138599999999999</v>
      </c>
      <c r="AH672" s="1868">
        <v>2.5853599999999997</v>
      </c>
      <c r="AI672" s="1868">
        <v>0.61518000000000006</v>
      </c>
      <c r="AJ672" s="1868">
        <v>0.68146000000000007</v>
      </c>
      <c r="AK672" s="1868">
        <v>0.74003999999999992</v>
      </c>
      <c r="AL672" s="1868">
        <v>1.21265</v>
      </c>
      <c r="AM672" s="1868">
        <v>0.91757999999999995</v>
      </c>
      <c r="AN672" s="1868">
        <v>0.63456000000000001</v>
      </c>
      <c r="AO672" s="1868">
        <v>0.70116000000000001</v>
      </c>
      <c r="AP672" s="1868">
        <v>1.1963999999999999</v>
      </c>
      <c r="AQ672" s="1868">
        <v>0.69946000000000008</v>
      </c>
      <c r="AR672" s="1868">
        <v>0.68966000000000005</v>
      </c>
      <c r="AS672" s="1868">
        <v>1.59405</v>
      </c>
      <c r="AT672" s="1868">
        <v>1.32463</v>
      </c>
      <c r="AU672" s="1868">
        <v>1.15029</v>
      </c>
      <c r="AV672" s="1868">
        <v>1.14876</v>
      </c>
      <c r="AW672" s="1868">
        <v>1.04348</v>
      </c>
      <c r="AX672" s="1868">
        <v>0.98821000000000003</v>
      </c>
      <c r="AY672" s="1868">
        <v>0.98299999999999998</v>
      </c>
      <c r="AZ672" s="1868">
        <v>0.98383999999999994</v>
      </c>
      <c r="BA672" s="1868">
        <v>1.5</v>
      </c>
    </row>
    <row r="673" spans="1:53">
      <c r="A673" s="1865" t="str">
        <f t="shared" si="10"/>
        <v>Eastern EuropeSorghum</v>
      </c>
      <c r="B673" s="1866" t="s">
        <v>307</v>
      </c>
      <c r="C673" s="1866" t="s">
        <v>1399</v>
      </c>
      <c r="D673" s="1868">
        <v>0.88856000000000002</v>
      </c>
      <c r="E673" s="1868">
        <v>0.75292000000000003</v>
      </c>
      <c r="F673" s="1868">
        <v>0.97297999999999996</v>
      </c>
      <c r="G673" s="1868">
        <v>0.94041000000000008</v>
      </c>
      <c r="H673" s="1868">
        <v>0.98347999999999991</v>
      </c>
      <c r="I673" s="1868">
        <v>1.7036900000000001</v>
      </c>
      <c r="J673" s="1868">
        <v>1.5468899999999999</v>
      </c>
      <c r="K673" s="1868">
        <v>1.3975799999999998</v>
      </c>
      <c r="L673" s="1868">
        <v>1.5656000000000001</v>
      </c>
      <c r="M673" s="1868">
        <v>1.4136600000000001</v>
      </c>
      <c r="N673" s="1868">
        <v>1.71052</v>
      </c>
      <c r="O673" s="1868">
        <v>1.18648</v>
      </c>
      <c r="P673" s="1868">
        <v>1.1236700000000002</v>
      </c>
      <c r="Q673" s="1868">
        <v>1.6710700000000001</v>
      </c>
      <c r="R673" s="1868">
        <v>1.5948799999999999</v>
      </c>
      <c r="S673" s="1868">
        <v>1.0419399999999999</v>
      </c>
      <c r="T673" s="1868">
        <v>1.6091299999999999</v>
      </c>
      <c r="U673" s="1868">
        <v>1.28542</v>
      </c>
      <c r="V673" s="1868">
        <v>1.4183299999999999</v>
      </c>
      <c r="W673" s="1868">
        <v>1.32945</v>
      </c>
      <c r="X673" s="1868">
        <v>1.4002600000000001</v>
      </c>
      <c r="Y673" s="1868">
        <v>1.0654600000000001</v>
      </c>
      <c r="Z673" s="1868">
        <v>1.06732</v>
      </c>
      <c r="AA673" s="1868">
        <v>1.3235399999999999</v>
      </c>
      <c r="AB673" s="1868">
        <v>1.1017999999999999</v>
      </c>
      <c r="AC673" s="1868">
        <v>1.2122999999999999</v>
      </c>
      <c r="AD673" s="1868">
        <v>1.3310200000000001</v>
      </c>
      <c r="AE673" s="1868">
        <v>1.4051</v>
      </c>
      <c r="AF673" s="1868">
        <v>1.3853799999999998</v>
      </c>
      <c r="AG673" s="1868">
        <v>1.1303000000000001</v>
      </c>
      <c r="AH673" s="1868">
        <v>1.50993</v>
      </c>
      <c r="AI673" s="1868">
        <v>1.06755</v>
      </c>
      <c r="AJ673" s="1868">
        <v>1.2831299999999999</v>
      </c>
      <c r="AK673" s="1868">
        <v>1.22451</v>
      </c>
      <c r="AL673" s="1868">
        <v>1.1545299999999998</v>
      </c>
      <c r="AM673" s="1868">
        <v>0.87995000000000001</v>
      </c>
      <c r="AN673" s="1868">
        <v>1.38483</v>
      </c>
      <c r="AO673" s="1868">
        <v>1.43459</v>
      </c>
      <c r="AP673" s="1868">
        <v>1.1717799999999998</v>
      </c>
      <c r="AQ673" s="1868">
        <v>0.96792000000000011</v>
      </c>
      <c r="AR673" s="1868">
        <v>0.95016</v>
      </c>
      <c r="AS673" s="1868">
        <v>1.32901</v>
      </c>
      <c r="AT673" s="1868">
        <v>1.37405</v>
      </c>
      <c r="AU673" s="1868">
        <v>1.9121999999999999</v>
      </c>
      <c r="AV673" s="1868">
        <v>2.1129599999999997</v>
      </c>
      <c r="AW673" s="1868">
        <v>1.5702100000000001</v>
      </c>
      <c r="AX673" s="1868">
        <v>1.5197100000000001</v>
      </c>
      <c r="AY673" s="1868">
        <v>1.8172200000000001</v>
      </c>
      <c r="AZ673" s="1868">
        <v>1.8415400000000002</v>
      </c>
      <c r="BA673" s="1868">
        <v>1.8777400000000002</v>
      </c>
    </row>
    <row r="674" spans="1:53">
      <c r="A674" s="1865" t="str">
        <f t="shared" si="10"/>
        <v>Eastern EuropeSoybeans</v>
      </c>
      <c r="B674" s="1866" t="s">
        <v>307</v>
      </c>
      <c r="C674" s="1866" t="s">
        <v>1359</v>
      </c>
      <c r="D674" s="1868">
        <v>0.48923999999999995</v>
      </c>
      <c r="E674" s="1868">
        <v>0.57371000000000005</v>
      </c>
      <c r="F674" s="1868">
        <v>0.49948000000000004</v>
      </c>
      <c r="G674" s="1868">
        <v>0.32201999999999997</v>
      </c>
      <c r="H674" s="1868">
        <v>0.49386999999999998</v>
      </c>
      <c r="I674" s="1868">
        <v>0.69471000000000005</v>
      </c>
      <c r="J674" s="1868">
        <v>0.64998999999999996</v>
      </c>
      <c r="K674" s="1868">
        <v>0.63706000000000007</v>
      </c>
      <c r="L674" s="1868">
        <v>0.53678000000000003</v>
      </c>
      <c r="M674" s="1868">
        <v>0.73019000000000001</v>
      </c>
      <c r="N674" s="1868">
        <v>0.69308999999999998</v>
      </c>
      <c r="O674" s="1868">
        <v>0.44481999999999999</v>
      </c>
      <c r="P674" s="1868">
        <v>0.67723</v>
      </c>
      <c r="Q674" s="1868">
        <v>0.63793999999999995</v>
      </c>
      <c r="R674" s="1868">
        <v>1.1202299999999998</v>
      </c>
      <c r="S674" s="1868">
        <v>0.82381000000000004</v>
      </c>
      <c r="T674" s="1868">
        <v>0.81711999999999996</v>
      </c>
      <c r="U674" s="1868">
        <v>0.89115</v>
      </c>
      <c r="V674" s="1868">
        <v>0.82935999999999999</v>
      </c>
      <c r="W674" s="1868">
        <v>0.82926</v>
      </c>
      <c r="X674" s="1868">
        <v>0.70225000000000004</v>
      </c>
      <c r="Y674" s="1868">
        <v>0.81373000000000006</v>
      </c>
      <c r="Z674" s="1868">
        <v>0.78695000000000004</v>
      </c>
      <c r="AA674" s="1868">
        <v>0.85817999999999994</v>
      </c>
      <c r="AB674" s="1868">
        <v>0.74236999999999997</v>
      </c>
      <c r="AC674" s="1868">
        <v>1.05287</v>
      </c>
      <c r="AD674" s="1868">
        <v>0.96972999999999998</v>
      </c>
      <c r="AE674" s="1868">
        <v>1.0311900000000001</v>
      </c>
      <c r="AF674" s="1868">
        <v>0.99024000000000001</v>
      </c>
      <c r="AG674" s="1868">
        <v>1.01132</v>
      </c>
      <c r="AH674" s="1868">
        <v>1.1289799999999999</v>
      </c>
      <c r="AI674" s="1868">
        <v>0.8434299999999999</v>
      </c>
      <c r="AJ674" s="1868">
        <v>0.86242000000000008</v>
      </c>
      <c r="AK674" s="1868">
        <v>0.81793000000000005</v>
      </c>
      <c r="AL674" s="1868">
        <v>0.74388999999999994</v>
      </c>
      <c r="AM674" s="1868">
        <v>0.73561999999999994</v>
      </c>
      <c r="AN674" s="1868">
        <v>1.1015299999999999</v>
      </c>
      <c r="AO674" s="1868">
        <v>1.0016499999999999</v>
      </c>
      <c r="AP674" s="1868">
        <v>1.09796</v>
      </c>
      <c r="AQ674" s="1868">
        <v>0.9425</v>
      </c>
      <c r="AR674" s="1868">
        <v>1.0632700000000002</v>
      </c>
      <c r="AS674" s="1868">
        <v>1.35612</v>
      </c>
      <c r="AT674" s="1868">
        <v>1.2116799999999999</v>
      </c>
      <c r="AU674" s="1868">
        <v>1.3525799999999999</v>
      </c>
      <c r="AV674" s="1868">
        <v>1.3833500000000001</v>
      </c>
      <c r="AW674" s="1868">
        <v>1.23492</v>
      </c>
      <c r="AX674" s="1868">
        <v>1.0839099999999999</v>
      </c>
      <c r="AY674" s="1868">
        <v>1.3205200000000001</v>
      </c>
      <c r="AZ674" s="1868">
        <v>1.4230399999999999</v>
      </c>
      <c r="BA674" s="1868">
        <v>1.4572200000000002</v>
      </c>
    </row>
    <row r="675" spans="1:53">
      <c r="A675" s="1865" t="str">
        <f t="shared" si="10"/>
        <v>Eastern EuropeStrawberries</v>
      </c>
      <c r="B675" s="1866" t="s">
        <v>307</v>
      </c>
      <c r="C675" s="1866" t="s">
        <v>1400</v>
      </c>
      <c r="D675" s="1868">
        <v>9.6898900000000001</v>
      </c>
      <c r="E675" s="1868">
        <v>8.48977</v>
      </c>
      <c r="F675" s="1868">
        <v>11.47724</v>
      </c>
      <c r="G675" s="1868">
        <v>11.77563</v>
      </c>
      <c r="H675" s="1868">
        <v>6.4606399999999997</v>
      </c>
      <c r="I675" s="1868">
        <v>5.7622</v>
      </c>
      <c r="J675" s="1868">
        <v>5.9925800000000002</v>
      </c>
      <c r="K675" s="1868">
        <v>5.5158100000000001</v>
      </c>
      <c r="L675" s="1868">
        <v>5.0897800000000002</v>
      </c>
      <c r="M675" s="1868">
        <v>6.5396400000000003</v>
      </c>
      <c r="N675" s="1868">
        <v>5.3869199999999999</v>
      </c>
      <c r="O675" s="1868">
        <v>4.85093</v>
      </c>
      <c r="P675" s="1868">
        <v>5.6430199999999999</v>
      </c>
      <c r="Q675" s="1868">
        <v>5.4309500000000002</v>
      </c>
      <c r="R675" s="1868">
        <v>4.9598100000000001</v>
      </c>
      <c r="S675" s="1868">
        <v>4.8312200000000001</v>
      </c>
      <c r="T675" s="1868">
        <v>5.9300199999999998</v>
      </c>
      <c r="U675" s="1868">
        <v>5.7051699999999999</v>
      </c>
      <c r="V675" s="1868">
        <v>5.6032900000000003</v>
      </c>
      <c r="W675" s="1868">
        <v>5.2014100000000001</v>
      </c>
      <c r="X675" s="1868">
        <v>6.1375099999999998</v>
      </c>
      <c r="Y675" s="1868">
        <v>6.1706099999999999</v>
      </c>
      <c r="Z675" s="1868">
        <v>6.1975199999999999</v>
      </c>
      <c r="AA675" s="1868">
        <v>5.9517100000000003</v>
      </c>
      <c r="AB675" s="1868">
        <v>5.7876599999999998</v>
      </c>
      <c r="AC675" s="1868">
        <v>5.8553699999999997</v>
      </c>
      <c r="AD675" s="1868">
        <v>6.6358499999999996</v>
      </c>
      <c r="AE675" s="1868">
        <v>5.72004</v>
      </c>
      <c r="AF675" s="1868">
        <v>5.91744</v>
      </c>
      <c r="AG675" s="1868">
        <v>5.1945800000000002</v>
      </c>
      <c r="AH675" s="1868">
        <v>5.10351</v>
      </c>
      <c r="AI675" s="1868">
        <v>4.1754499999999997</v>
      </c>
      <c r="AJ675" s="1868">
        <v>4.4401699999999993</v>
      </c>
      <c r="AK675" s="1868">
        <v>4.3720999999999997</v>
      </c>
      <c r="AL675" s="1868">
        <v>4.4726800000000004</v>
      </c>
      <c r="AM675" s="1868">
        <v>4.6983800000000002</v>
      </c>
      <c r="AN675" s="1868">
        <v>4.74864</v>
      </c>
      <c r="AO675" s="1868">
        <v>4.4272099999999996</v>
      </c>
      <c r="AP675" s="1868">
        <v>4.3794699999999995</v>
      </c>
      <c r="AQ675" s="1868">
        <v>3.9974599999999998</v>
      </c>
      <c r="AR675" s="1868">
        <v>4.6397300000000001</v>
      </c>
      <c r="AS675" s="1868">
        <v>4.9921199999999999</v>
      </c>
      <c r="AT675" s="1868">
        <v>4.2474999999999996</v>
      </c>
      <c r="AU675" s="1868">
        <v>4.6676099999999998</v>
      </c>
      <c r="AV675" s="1868">
        <v>4.69719</v>
      </c>
      <c r="AW675" s="1868">
        <v>5.0887599999999997</v>
      </c>
      <c r="AX675" s="1868">
        <v>4.8075400000000004</v>
      </c>
      <c r="AY675" s="1868">
        <v>5.1411100000000003</v>
      </c>
      <c r="AZ675" s="1868">
        <v>5.3734199999999994</v>
      </c>
      <c r="BA675" s="1868">
        <v>4.9585800000000004</v>
      </c>
    </row>
    <row r="676" spans="1:53">
      <c r="A676" s="1865" t="str">
        <f t="shared" si="10"/>
        <v>Eastern EuropeSugar beet</v>
      </c>
      <c r="B676" s="1866" t="s">
        <v>307</v>
      </c>
      <c r="C676" s="1866" t="s">
        <v>1358</v>
      </c>
      <c r="D676" s="1868">
        <v>18.423950000000001</v>
      </c>
      <c r="E676" s="1868">
        <v>16.59478</v>
      </c>
      <c r="F676" s="1868">
        <v>14.688529999999998</v>
      </c>
      <c r="G676" s="1868">
        <v>21.217660000000002</v>
      </c>
      <c r="H676" s="1868">
        <v>19.798629999999999</v>
      </c>
      <c r="I676" s="1868">
        <v>21.916499999999999</v>
      </c>
      <c r="J676" s="1868">
        <v>25.032489999999999</v>
      </c>
      <c r="K676" s="1868">
        <v>27.939859999999996</v>
      </c>
      <c r="L676" s="1868">
        <v>22.462239999999998</v>
      </c>
      <c r="M676" s="1868">
        <v>24.68291</v>
      </c>
      <c r="N676" s="1868">
        <v>23.221410000000002</v>
      </c>
      <c r="O676" s="1868">
        <v>24.310979999999997</v>
      </c>
      <c r="P676" s="1868">
        <v>25.24353</v>
      </c>
      <c r="Q676" s="1868">
        <v>23.61121</v>
      </c>
      <c r="R676" s="1868">
        <v>20.80875</v>
      </c>
      <c r="S676" s="1868">
        <v>26.907659999999996</v>
      </c>
      <c r="T676" s="1868">
        <v>25.994009999999999</v>
      </c>
      <c r="U676" s="1868">
        <v>25.936920000000001</v>
      </c>
      <c r="V676" s="1868">
        <v>22.808220000000002</v>
      </c>
      <c r="W676" s="1868">
        <v>22.94631</v>
      </c>
      <c r="X676" s="1868">
        <v>19.945399999999999</v>
      </c>
      <c r="Y676" s="1868">
        <v>23.10023</v>
      </c>
      <c r="Z676" s="1868">
        <v>24.767700000000001</v>
      </c>
      <c r="AA676" s="1868">
        <v>26.504549999999998</v>
      </c>
      <c r="AB676" s="1868">
        <v>25.779399999999999</v>
      </c>
      <c r="AC676" s="1868">
        <v>24.974520000000002</v>
      </c>
      <c r="AD676" s="1868">
        <v>27.35558</v>
      </c>
      <c r="AE676" s="1868">
        <v>27.02993</v>
      </c>
      <c r="AF676" s="1868">
        <v>30.042829999999999</v>
      </c>
      <c r="AG676" s="1868">
        <v>26.947390000000002</v>
      </c>
      <c r="AH676" s="1868">
        <v>23.03753</v>
      </c>
      <c r="AI676" s="1868">
        <v>20.473329999999997</v>
      </c>
      <c r="AJ676" s="1868">
        <v>23.55977</v>
      </c>
      <c r="AK676" s="1868">
        <v>19.386659999999999</v>
      </c>
      <c r="AL676" s="1868">
        <v>22.31561</v>
      </c>
      <c r="AM676" s="1868">
        <v>22.233560000000001</v>
      </c>
      <c r="AN676" s="1868">
        <v>23.44773</v>
      </c>
      <c r="AO676" s="1868">
        <v>22.507739999999998</v>
      </c>
      <c r="AP676" s="1868">
        <v>21.547520000000002</v>
      </c>
      <c r="AQ676" s="1868">
        <v>22.990960000000001</v>
      </c>
      <c r="AR676" s="1868">
        <v>23.69183</v>
      </c>
      <c r="AS676" s="1868">
        <v>25.970660000000002</v>
      </c>
      <c r="AT676" s="1868">
        <v>25.73039</v>
      </c>
      <c r="AU676" s="1868">
        <v>30.862209999999997</v>
      </c>
      <c r="AV676" s="1868">
        <v>31.398070000000001</v>
      </c>
      <c r="AW676" s="1868">
        <v>33.613570000000003</v>
      </c>
      <c r="AX676" s="1868">
        <v>33.054070000000003</v>
      </c>
      <c r="AY676" s="1868">
        <v>38.780099999999997</v>
      </c>
      <c r="AZ676" s="1868">
        <v>36.953520000000005</v>
      </c>
      <c r="BA676" s="1868">
        <v>30.384049999999998</v>
      </c>
    </row>
    <row r="677" spans="1:53">
      <c r="A677" s="1865" t="str">
        <f t="shared" si="10"/>
        <v>Eastern EuropeSunflower seed</v>
      </c>
      <c r="B677" s="1866" t="s">
        <v>307</v>
      </c>
      <c r="C677" s="1866" t="s">
        <v>1402</v>
      </c>
      <c r="D677" s="1868">
        <v>1.1253200000000001</v>
      </c>
      <c r="E677" s="1868">
        <v>1.10101</v>
      </c>
      <c r="F677" s="1868">
        <v>1.0047299999999999</v>
      </c>
      <c r="G677" s="1868">
        <v>1.2966799999999998</v>
      </c>
      <c r="H677" s="1868">
        <v>1.13239</v>
      </c>
      <c r="I677" s="1868">
        <v>1.2626600000000001</v>
      </c>
      <c r="J677" s="1868">
        <v>1.40909</v>
      </c>
      <c r="K677" s="1868">
        <v>1.3885799999999999</v>
      </c>
      <c r="L677" s="1868">
        <v>1.3684399999999999</v>
      </c>
      <c r="M677" s="1868">
        <v>1.2897000000000001</v>
      </c>
      <c r="N677" s="1868">
        <v>1.3012999999999999</v>
      </c>
      <c r="O677" s="1868">
        <v>1.22461</v>
      </c>
      <c r="P677" s="1868">
        <v>1.5578100000000001</v>
      </c>
      <c r="Q677" s="1868">
        <v>1.42794</v>
      </c>
      <c r="R677" s="1868">
        <v>1.2766</v>
      </c>
      <c r="S677" s="1868">
        <v>1.21916</v>
      </c>
      <c r="T677" s="1868">
        <v>1.3452500000000001</v>
      </c>
      <c r="U677" s="1868">
        <v>1.2380100000000001</v>
      </c>
      <c r="V677" s="1868">
        <v>1.34964</v>
      </c>
      <c r="W677" s="1868">
        <v>1.1666299999999998</v>
      </c>
      <c r="X677" s="1868">
        <v>1.23969</v>
      </c>
      <c r="Y677" s="1868">
        <v>1.37035</v>
      </c>
      <c r="Z677" s="1868">
        <v>1.286</v>
      </c>
      <c r="AA677" s="1868">
        <v>1.30081</v>
      </c>
      <c r="AB677" s="1868">
        <v>1.3661000000000001</v>
      </c>
      <c r="AC677" s="1868">
        <v>1.51461</v>
      </c>
      <c r="AD677" s="1868">
        <v>1.52661</v>
      </c>
      <c r="AE677" s="1868">
        <v>1.49074</v>
      </c>
      <c r="AF677" s="1868">
        <v>1.6212299999999999</v>
      </c>
      <c r="AG677" s="1868">
        <v>1.41862</v>
      </c>
      <c r="AH677" s="1868">
        <v>1.31762</v>
      </c>
      <c r="AI677" s="1868">
        <v>1.23193</v>
      </c>
      <c r="AJ677" s="1868">
        <v>1.12439</v>
      </c>
      <c r="AK677" s="1868">
        <v>0.97703999999999991</v>
      </c>
      <c r="AL677" s="1868">
        <v>1.21315</v>
      </c>
      <c r="AM677" s="1868">
        <v>0.96957999999999989</v>
      </c>
      <c r="AN677" s="1868">
        <v>1.0091600000000001</v>
      </c>
      <c r="AO677" s="1868">
        <v>0.96540999999999999</v>
      </c>
      <c r="AP677" s="1868">
        <v>0.98552000000000006</v>
      </c>
      <c r="AQ677" s="1868">
        <v>1.02599</v>
      </c>
      <c r="AR677" s="1868">
        <v>0.94476000000000004</v>
      </c>
      <c r="AS677" s="1868">
        <v>1.1490499999999999</v>
      </c>
      <c r="AT677" s="1868">
        <v>1.1409</v>
      </c>
      <c r="AU677" s="1868">
        <v>1.1675</v>
      </c>
      <c r="AV677" s="1868">
        <v>1.30542</v>
      </c>
      <c r="AW677" s="1868">
        <v>1.3280100000000001</v>
      </c>
      <c r="AX677" s="1868">
        <v>1.16652</v>
      </c>
      <c r="AY677" s="1868">
        <v>1.45042</v>
      </c>
      <c r="AZ677" s="1868">
        <v>1.4063600000000001</v>
      </c>
      <c r="BA677" s="1868">
        <v>1.32735</v>
      </c>
    </row>
    <row r="678" spans="1:53">
      <c r="A678" s="1865" t="str">
        <f t="shared" si="10"/>
        <v>Eastern EuropeTea</v>
      </c>
      <c r="B678" s="1866" t="s">
        <v>307</v>
      </c>
      <c r="C678" s="1866" t="s">
        <v>1405</v>
      </c>
      <c r="D678" s="1868">
        <v>0.62844</v>
      </c>
      <c r="E678" s="1868">
        <v>0.66411000000000009</v>
      </c>
      <c r="F678" s="1868">
        <v>0.70681000000000005</v>
      </c>
      <c r="G678" s="1868">
        <v>0.67989999999999995</v>
      </c>
      <c r="H678" s="1868">
        <v>0.67979000000000001</v>
      </c>
      <c r="I678" s="1868">
        <v>0.81850000000000001</v>
      </c>
      <c r="J678" s="1868">
        <v>0.80163000000000006</v>
      </c>
      <c r="K678" s="1868">
        <v>0.77707999999999999</v>
      </c>
      <c r="L678" s="1868">
        <v>0.82657999999999998</v>
      </c>
      <c r="M678" s="1868">
        <v>0.89801000000000009</v>
      </c>
      <c r="N678" s="1868">
        <v>0.90926000000000007</v>
      </c>
      <c r="O678" s="1868">
        <v>0.95474999999999999</v>
      </c>
      <c r="P678" s="1868">
        <v>1.0124899999999999</v>
      </c>
      <c r="Q678" s="1868">
        <v>1.07054</v>
      </c>
      <c r="R678" s="1868">
        <v>1.13571</v>
      </c>
      <c r="S678" s="1868">
        <v>1.1972499999999999</v>
      </c>
      <c r="T678" s="1868">
        <v>1.38483</v>
      </c>
      <c r="U678" s="1868">
        <v>1.4370799999999999</v>
      </c>
      <c r="V678" s="1868">
        <v>1.4942799999999998</v>
      </c>
      <c r="W678" s="1868">
        <v>1.6478400000000002</v>
      </c>
      <c r="X678" s="1868">
        <v>1.7455200000000002</v>
      </c>
      <c r="Y678" s="1868">
        <v>1.7839900000000002</v>
      </c>
      <c r="Z678" s="1868">
        <v>1.8278900000000002</v>
      </c>
      <c r="AA678" s="1868">
        <v>1.8736099999999998</v>
      </c>
      <c r="AB678" s="1868">
        <v>1.8517599999999999</v>
      </c>
      <c r="AC678" s="1868">
        <v>1.76755</v>
      </c>
      <c r="AD678" s="1868">
        <v>1.8909099999999999</v>
      </c>
      <c r="AE678" s="1868">
        <v>1.5350900000000001</v>
      </c>
      <c r="AF678" s="1868">
        <v>1.6395500000000001</v>
      </c>
      <c r="AG678" s="1868">
        <v>1.7555000000000001</v>
      </c>
      <c r="AH678" s="1868">
        <v>1.5626599999999999</v>
      </c>
      <c r="AI678" s="1868">
        <v>1.0249999999999999</v>
      </c>
      <c r="AJ678" s="1868">
        <v>1.35267</v>
      </c>
      <c r="AK678" s="1868">
        <v>5.30063</v>
      </c>
      <c r="AL678" s="1868">
        <v>4.5062499999999996</v>
      </c>
      <c r="AM678" s="1868">
        <v>2.9512499999999999</v>
      </c>
      <c r="AN678" s="1868">
        <v>2.5375000000000001</v>
      </c>
      <c r="AO678" s="1868">
        <v>2.4666700000000001</v>
      </c>
      <c r="AP678" s="1868">
        <v>1.3333299999999999</v>
      </c>
      <c r="AQ678" s="1868">
        <v>1.0133299999999998</v>
      </c>
      <c r="AR678" s="1868">
        <v>0.82667000000000013</v>
      </c>
      <c r="AS678" s="1868">
        <v>0.86</v>
      </c>
      <c r="AT678" s="1868">
        <v>0.57999999999999996</v>
      </c>
      <c r="AU678" s="1868">
        <v>0.88571</v>
      </c>
      <c r="AV678" s="1868">
        <v>0.9</v>
      </c>
      <c r="AW678" s="1868">
        <v>0.82142999999999988</v>
      </c>
      <c r="AX678" s="1868">
        <v>0.45</v>
      </c>
      <c r="AY678" s="1868">
        <v>0.58571000000000006</v>
      </c>
      <c r="AZ678" s="1868">
        <v>0.48462</v>
      </c>
      <c r="BA678" s="1868">
        <v>0.26429000000000002</v>
      </c>
    </row>
    <row r="679" spans="1:53">
      <c r="A679" s="1865" t="str">
        <f t="shared" si="10"/>
        <v>Eastern EuropeTobacco, unmanufactured</v>
      </c>
      <c r="B679" s="1866" t="s">
        <v>307</v>
      </c>
      <c r="C679" s="1866" t="s">
        <v>1347</v>
      </c>
      <c r="D679" s="1868">
        <v>0.83638999999999997</v>
      </c>
      <c r="E679" s="1868">
        <v>0.93825999999999998</v>
      </c>
      <c r="F679" s="1868">
        <v>1.08633</v>
      </c>
      <c r="G679" s="1868">
        <v>1.3792</v>
      </c>
      <c r="H679" s="1868">
        <v>1.1556200000000001</v>
      </c>
      <c r="I679" s="1868">
        <v>1.22214</v>
      </c>
      <c r="J679" s="1868">
        <v>1.41415</v>
      </c>
      <c r="K679" s="1868">
        <v>1.3810899999999999</v>
      </c>
      <c r="L679" s="1868">
        <v>1.2493399999999999</v>
      </c>
      <c r="M679" s="1868">
        <v>1.3252200000000001</v>
      </c>
      <c r="N679" s="1868">
        <v>1.30705</v>
      </c>
      <c r="O679" s="1868">
        <v>1.43784</v>
      </c>
      <c r="P679" s="1868">
        <v>1.3969200000000002</v>
      </c>
      <c r="Q679" s="1868">
        <v>1.34866</v>
      </c>
      <c r="R679" s="1868">
        <v>1.44157</v>
      </c>
      <c r="S679" s="1868">
        <v>1.55067</v>
      </c>
      <c r="T679" s="1868">
        <v>1.3378299999999999</v>
      </c>
      <c r="U679" s="1868">
        <v>1.3445</v>
      </c>
      <c r="V679" s="1868">
        <v>1.4686900000000001</v>
      </c>
      <c r="W679" s="1868">
        <v>1.1448499999999999</v>
      </c>
      <c r="X679" s="1868">
        <v>1.34771</v>
      </c>
      <c r="Y679" s="1868">
        <v>1.5623200000000002</v>
      </c>
      <c r="Z679" s="1868">
        <v>1.6133200000000001</v>
      </c>
      <c r="AA679" s="1868">
        <v>1.7119</v>
      </c>
      <c r="AB679" s="1868">
        <v>1.7109599999999998</v>
      </c>
      <c r="AC679" s="1868">
        <v>1.8502700000000001</v>
      </c>
      <c r="AD679" s="1868">
        <v>1.7424400000000002</v>
      </c>
      <c r="AE679" s="1868">
        <v>1.6450599999999997</v>
      </c>
      <c r="AF679" s="1868">
        <v>1.5758399999999999</v>
      </c>
      <c r="AG679" s="1868">
        <v>2.08866</v>
      </c>
      <c r="AH679" s="1868">
        <v>1.8627400000000001</v>
      </c>
      <c r="AI679" s="1868">
        <v>1.44133</v>
      </c>
      <c r="AJ679" s="1868">
        <v>1.3507499999999999</v>
      </c>
      <c r="AK679" s="1868">
        <v>1.37035</v>
      </c>
      <c r="AL679" s="1868">
        <v>1.4707299999999999</v>
      </c>
      <c r="AM679" s="1868">
        <v>1.48526</v>
      </c>
      <c r="AN679" s="1868">
        <v>1.51949</v>
      </c>
      <c r="AO679" s="1868">
        <v>1.36086</v>
      </c>
      <c r="AP679" s="1868">
        <v>1.5132299999999999</v>
      </c>
      <c r="AQ679" s="1868">
        <v>1.2795100000000001</v>
      </c>
      <c r="AR679" s="1868">
        <v>1.2910999999999999</v>
      </c>
      <c r="AS679" s="1868">
        <v>1.6541700000000001</v>
      </c>
      <c r="AT679" s="1868">
        <v>1.56762</v>
      </c>
      <c r="AU679" s="1868">
        <v>1.48272</v>
      </c>
      <c r="AV679" s="1868">
        <v>1.6022299999999998</v>
      </c>
      <c r="AW679" s="1868">
        <v>1.75797</v>
      </c>
      <c r="AX679" s="1868">
        <v>1.5980099999999999</v>
      </c>
      <c r="AY679" s="1868">
        <v>1.8916400000000002</v>
      </c>
      <c r="AZ679" s="1868">
        <v>1.9079400000000002</v>
      </c>
      <c r="BA679" s="1868">
        <v>1.7461200000000001</v>
      </c>
    </row>
    <row r="680" spans="1:53">
      <c r="A680" s="1865" t="str">
        <f t="shared" si="10"/>
        <v>Eastern EuropeTomatoes</v>
      </c>
      <c r="B680" s="1866" t="s">
        <v>307</v>
      </c>
      <c r="C680" s="1866" t="s">
        <v>1406</v>
      </c>
      <c r="D680" s="1868">
        <v>15.237229999999998</v>
      </c>
      <c r="E680" s="1868">
        <v>14.600529999999999</v>
      </c>
      <c r="F680" s="1868">
        <v>14.847979999999998</v>
      </c>
      <c r="G680" s="1868">
        <v>15.14575</v>
      </c>
      <c r="H680" s="1868">
        <v>15.455279999999998</v>
      </c>
      <c r="I680" s="1868">
        <v>15.47606</v>
      </c>
      <c r="J680" s="1868">
        <v>17.012170000000001</v>
      </c>
      <c r="K680" s="1868">
        <v>15.87491</v>
      </c>
      <c r="L680" s="1868">
        <v>14.433679999999999</v>
      </c>
      <c r="M680" s="1868">
        <v>15.136379999999999</v>
      </c>
      <c r="N680" s="1868">
        <v>16.325759999999999</v>
      </c>
      <c r="O680" s="1868">
        <v>15.683339999999999</v>
      </c>
      <c r="P680" s="1868">
        <v>18.72392</v>
      </c>
      <c r="Q680" s="1868">
        <v>17.742139999999999</v>
      </c>
      <c r="R680" s="1868">
        <v>16.24108</v>
      </c>
      <c r="S680" s="1868">
        <v>17.750959999999999</v>
      </c>
      <c r="T680" s="1868">
        <v>16.234010000000001</v>
      </c>
      <c r="U680" s="1868">
        <v>18.357210000000002</v>
      </c>
      <c r="V680" s="1868">
        <v>20.082740000000001</v>
      </c>
      <c r="W680" s="1868">
        <v>17.375050000000002</v>
      </c>
      <c r="X680" s="1868">
        <v>18.900849999999998</v>
      </c>
      <c r="Y680" s="1868">
        <v>19.759889999999999</v>
      </c>
      <c r="Z680" s="1868">
        <v>19.212139999999998</v>
      </c>
      <c r="AA680" s="1868">
        <v>20.66056</v>
      </c>
      <c r="AB680" s="1868">
        <v>19.761789999999998</v>
      </c>
      <c r="AC680" s="1868">
        <v>20.250209999999999</v>
      </c>
      <c r="AD680" s="1868">
        <v>19.630659999999999</v>
      </c>
      <c r="AE680" s="1868">
        <v>18.783010000000001</v>
      </c>
      <c r="AF680" s="1868">
        <v>19.275300000000001</v>
      </c>
      <c r="AG680" s="1868">
        <v>20.867899999999999</v>
      </c>
      <c r="AH680" s="1868">
        <v>19.52467</v>
      </c>
      <c r="AI680" s="1868">
        <v>13.874650000000001</v>
      </c>
      <c r="AJ680" s="1868">
        <v>13.47879</v>
      </c>
      <c r="AK680" s="1868">
        <v>13.348020000000002</v>
      </c>
      <c r="AL680" s="1868">
        <v>13.32802</v>
      </c>
      <c r="AM680" s="1868">
        <v>11.87814</v>
      </c>
      <c r="AN680" s="1868">
        <v>9.4989399999999993</v>
      </c>
      <c r="AO680" s="1868">
        <v>13.349039999999999</v>
      </c>
      <c r="AP680" s="1868">
        <v>13.230429999999998</v>
      </c>
      <c r="AQ680" s="1868">
        <v>11.95917</v>
      </c>
      <c r="AR680" s="1868">
        <v>12.538969999999999</v>
      </c>
      <c r="AS680" s="1868">
        <v>13.449879999999999</v>
      </c>
      <c r="AT680" s="1868">
        <v>16.067710000000002</v>
      </c>
      <c r="AU680" s="1868">
        <v>16.70147</v>
      </c>
      <c r="AV680" s="1868">
        <v>16.973890000000001</v>
      </c>
      <c r="AW680" s="1868">
        <v>19.13278</v>
      </c>
      <c r="AX680" s="1868">
        <v>19.06418</v>
      </c>
      <c r="AY680" s="1868">
        <v>20.20487</v>
      </c>
      <c r="AZ680" s="1868">
        <v>22.235779999999998</v>
      </c>
      <c r="BA680" s="1868">
        <v>20.863129999999998</v>
      </c>
    </row>
    <row r="681" spans="1:53">
      <c r="A681" s="1865" t="str">
        <f t="shared" si="10"/>
        <v>Eastern EuropeTriticale</v>
      </c>
      <c r="B681" s="1866" t="s">
        <v>307</v>
      </c>
      <c r="C681" s="1866" t="s">
        <v>1361</v>
      </c>
      <c r="T681" s="1868">
        <v>1.70533</v>
      </c>
      <c r="U681" s="1868">
        <v>2.1232500000000001</v>
      </c>
      <c r="V681" s="1868">
        <v>1.6490099999999999</v>
      </c>
      <c r="W681" s="1868">
        <v>2.4243200000000003</v>
      </c>
      <c r="X681" s="1868">
        <v>1.5222799999999999</v>
      </c>
      <c r="Y681" s="1868">
        <v>1.1504399999999999</v>
      </c>
      <c r="Z681" s="1868">
        <v>1.8733299999999999</v>
      </c>
      <c r="AA681" s="1868">
        <v>2.0843400000000001</v>
      </c>
      <c r="AB681" s="1868">
        <v>2.7509299999999999</v>
      </c>
      <c r="AC681" s="1868">
        <v>3.1293500000000001</v>
      </c>
      <c r="AD681" s="1868">
        <v>3.2712400000000001</v>
      </c>
      <c r="AE681" s="1868">
        <v>3.1690499999999999</v>
      </c>
      <c r="AF681" s="1868">
        <v>3.72479</v>
      </c>
      <c r="AG681" s="1868">
        <v>3.6536900000000001</v>
      </c>
      <c r="AH681" s="1868">
        <v>3.4180900000000003</v>
      </c>
      <c r="AI681" s="1868">
        <v>2.6619099999999998</v>
      </c>
      <c r="AJ681" s="1868">
        <v>2.8917900000000003</v>
      </c>
      <c r="AK681" s="1868">
        <v>2.8458900000000003</v>
      </c>
      <c r="AL681" s="1868">
        <v>3.3109099999999998</v>
      </c>
      <c r="AM681" s="1868">
        <v>2.9114599999999999</v>
      </c>
      <c r="AN681" s="1868">
        <v>2.95479</v>
      </c>
      <c r="AO681" s="1868">
        <v>3.1616499999999998</v>
      </c>
      <c r="AP681" s="1868">
        <v>3.0636099999999997</v>
      </c>
      <c r="AQ681" s="1868">
        <v>2.8189199999999999</v>
      </c>
      <c r="AR681" s="1868">
        <v>3.1941099999999998</v>
      </c>
      <c r="AS681" s="1868">
        <v>3.1783099999999997</v>
      </c>
      <c r="AT681" s="1868">
        <v>2.7324900000000003</v>
      </c>
      <c r="AU681" s="1868">
        <v>3.5848100000000001</v>
      </c>
      <c r="AV681" s="1868">
        <v>3.2803499999999999</v>
      </c>
      <c r="AW681" s="1868">
        <v>2.71793</v>
      </c>
      <c r="AX681" s="1868">
        <v>3.2081300000000001</v>
      </c>
      <c r="AY681" s="1868">
        <v>3.54819</v>
      </c>
      <c r="AZ681" s="1868">
        <v>3.4393099999999999</v>
      </c>
      <c r="BA681" s="1868">
        <v>3.08691</v>
      </c>
    </row>
    <row r="682" spans="1:53">
      <c r="A682" s="1865" t="str">
        <f t="shared" si="10"/>
        <v>Eastern EuropeVegetables fresh nes</v>
      </c>
      <c r="B682" s="1866" t="s">
        <v>307</v>
      </c>
      <c r="C682" s="1866" t="s">
        <v>1407</v>
      </c>
      <c r="D682" s="1868">
        <v>8.6514199999999999</v>
      </c>
      <c r="E682" s="1868">
        <v>9.7848699999999997</v>
      </c>
      <c r="F682" s="1868">
        <v>9.0392399999999995</v>
      </c>
      <c r="G682" s="1868">
        <v>13.787370000000001</v>
      </c>
      <c r="H682" s="1868">
        <v>12.209539999999999</v>
      </c>
      <c r="I682" s="1868">
        <v>12.71101</v>
      </c>
      <c r="J682" s="1868">
        <v>14.16886</v>
      </c>
      <c r="K682" s="1868">
        <v>13.297599999999999</v>
      </c>
      <c r="L682" s="1868">
        <v>13.147479999999998</v>
      </c>
      <c r="M682" s="1868">
        <v>9.3964300000000005</v>
      </c>
      <c r="N682" s="1868">
        <v>13.114329999999999</v>
      </c>
      <c r="O682" s="1868">
        <v>12.31072</v>
      </c>
      <c r="P682" s="1868">
        <v>14.300460000000001</v>
      </c>
      <c r="Q682" s="1868">
        <v>13.36253</v>
      </c>
      <c r="R682" s="1868">
        <v>12.82414</v>
      </c>
      <c r="S682" s="1868">
        <v>15.429720000000001</v>
      </c>
      <c r="T682" s="1868">
        <v>16.660820000000001</v>
      </c>
      <c r="U682" s="1868">
        <v>15.7628</v>
      </c>
      <c r="V682" s="1868">
        <v>15.587160000000001</v>
      </c>
      <c r="W682" s="1868">
        <v>13.833420000000002</v>
      </c>
      <c r="X682" s="1868">
        <v>13.72512</v>
      </c>
      <c r="Y682" s="1868">
        <v>15.722560000000001</v>
      </c>
      <c r="Z682" s="1868">
        <v>14.7333</v>
      </c>
      <c r="AA682" s="1868">
        <v>15.97495</v>
      </c>
      <c r="AB682" s="1868">
        <v>14.657960000000001</v>
      </c>
      <c r="AC682" s="1868">
        <v>14.607379999999999</v>
      </c>
      <c r="AD682" s="1868">
        <v>14.31954</v>
      </c>
      <c r="AE682" s="1868">
        <v>14.682449999999999</v>
      </c>
      <c r="AF682" s="1868">
        <v>12.294689999999999</v>
      </c>
      <c r="AG682" s="1868">
        <v>15.915870000000002</v>
      </c>
      <c r="AH682" s="1868">
        <v>15.27469</v>
      </c>
      <c r="AI682" s="1868">
        <v>15.282520000000002</v>
      </c>
      <c r="AJ682" s="1868">
        <v>13.991070000000001</v>
      </c>
      <c r="AK682" s="1868">
        <v>15.29081</v>
      </c>
      <c r="AL682" s="1868">
        <v>18.536460000000002</v>
      </c>
      <c r="AM682" s="1868">
        <v>17.9848</v>
      </c>
      <c r="AN682" s="1868">
        <v>16.7437</v>
      </c>
      <c r="AO682" s="1868">
        <v>15.07497</v>
      </c>
      <c r="AP682" s="1868">
        <v>15.529170000000001</v>
      </c>
      <c r="AQ682" s="1868">
        <v>14.75206</v>
      </c>
      <c r="AR682" s="1868">
        <v>15.202820000000001</v>
      </c>
      <c r="AS682" s="1868">
        <v>15.759729999999999</v>
      </c>
      <c r="AT682" s="1868">
        <v>14.341839999999999</v>
      </c>
      <c r="AU682" s="1868">
        <v>15.505979999999999</v>
      </c>
      <c r="AV682" s="1868">
        <v>18.751999999999999</v>
      </c>
      <c r="AW682" s="1868">
        <v>20.220320000000001</v>
      </c>
      <c r="AX682" s="1868">
        <v>18.09731</v>
      </c>
      <c r="AY682" s="1868">
        <v>19.840900000000001</v>
      </c>
      <c r="AZ682" s="1868">
        <v>20.7393</v>
      </c>
      <c r="BA682" s="1868">
        <v>19.43526</v>
      </c>
    </row>
    <row r="683" spans="1:53">
      <c r="A683" s="1865" t="str">
        <f t="shared" si="10"/>
        <v>Eastern EuropeVetches</v>
      </c>
      <c r="B683" s="1866" t="s">
        <v>307</v>
      </c>
      <c r="C683" s="1866" t="s">
        <v>1408</v>
      </c>
      <c r="D683" s="1868">
        <v>0.82186000000000003</v>
      </c>
      <c r="E683" s="1868">
        <v>0.91013999999999995</v>
      </c>
      <c r="F683" s="1868">
        <v>0.61981000000000008</v>
      </c>
      <c r="G683" s="1868">
        <v>1.1095200000000001</v>
      </c>
      <c r="H683" s="1868">
        <v>0.90795000000000003</v>
      </c>
      <c r="I683" s="1868">
        <v>1.0422</v>
      </c>
      <c r="J683" s="1868">
        <v>1.20078</v>
      </c>
      <c r="K683" s="1868">
        <v>1.30074</v>
      </c>
      <c r="L683" s="1868">
        <v>1.44719</v>
      </c>
      <c r="M683" s="1868">
        <v>1.5395399999999999</v>
      </c>
      <c r="N683" s="1868">
        <v>1.36999</v>
      </c>
      <c r="O683" s="1868">
        <v>1.14971</v>
      </c>
      <c r="P683" s="1868">
        <v>1.30931</v>
      </c>
      <c r="Q683" s="1868">
        <v>1.39846</v>
      </c>
      <c r="R683" s="1868">
        <v>0.77427999999999997</v>
      </c>
      <c r="S683" s="1868">
        <v>1.4408799999999999</v>
      </c>
      <c r="T683" s="1868">
        <v>1.3708400000000001</v>
      </c>
      <c r="U683" s="1868">
        <v>0.92915000000000003</v>
      </c>
      <c r="V683" s="1868">
        <v>0.90936000000000006</v>
      </c>
      <c r="W683" s="1868">
        <v>1.09863</v>
      </c>
      <c r="X683" s="1868">
        <v>0.70672000000000001</v>
      </c>
      <c r="Y683" s="1868">
        <v>1.1117700000000001</v>
      </c>
      <c r="Z683" s="1868">
        <v>1.51647</v>
      </c>
      <c r="AA683" s="1868">
        <v>1.32237</v>
      </c>
      <c r="AB683" s="1868">
        <v>1.4736</v>
      </c>
      <c r="AC683" s="1868">
        <v>1.26895</v>
      </c>
      <c r="AD683" s="1868">
        <v>1.24105</v>
      </c>
      <c r="AE683" s="1868">
        <v>1.20794</v>
      </c>
      <c r="AF683" s="1868">
        <v>1.2720799999999999</v>
      </c>
      <c r="AG683" s="1868">
        <v>1.2953600000000001</v>
      </c>
      <c r="AH683" s="1868">
        <v>1.05081</v>
      </c>
      <c r="AI683" s="1868">
        <v>1.5232000000000001</v>
      </c>
      <c r="AJ683" s="1868">
        <v>1.2940100000000001</v>
      </c>
      <c r="AK683" s="1868">
        <v>1.48692</v>
      </c>
      <c r="AL683" s="1868">
        <v>1.04739</v>
      </c>
      <c r="AM683" s="1868">
        <v>1.1609</v>
      </c>
      <c r="AN683" s="1868">
        <v>1.8087599999999999</v>
      </c>
      <c r="AO683" s="1868">
        <v>0.77561000000000002</v>
      </c>
      <c r="AP683" s="1868">
        <v>0.95467000000000002</v>
      </c>
      <c r="AQ683" s="1868">
        <v>1.4959100000000001</v>
      </c>
      <c r="AR683" s="1868">
        <v>2.2656900000000002</v>
      </c>
      <c r="AS683" s="1868">
        <v>2.0341900000000002</v>
      </c>
      <c r="AT683" s="1868">
        <v>1.7350099999999999</v>
      </c>
      <c r="AU683" s="1868">
        <v>1.6691499999999999</v>
      </c>
      <c r="AV683" s="1868">
        <v>1.59541</v>
      </c>
      <c r="AW683" s="1868">
        <v>1.6708400000000001</v>
      </c>
      <c r="AX683" s="1868">
        <v>1.59717</v>
      </c>
      <c r="AY683" s="1868">
        <v>1.9132099999999999</v>
      </c>
      <c r="AZ683" s="1868">
        <v>1.92841</v>
      </c>
      <c r="BA683" s="1868">
        <v>1.2868999999999999</v>
      </c>
    </row>
    <row r="684" spans="1:53">
      <c r="A684" s="1865" t="str">
        <f t="shared" si="10"/>
        <v>Eastern EuropeWheat</v>
      </c>
      <c r="B684" s="1866" t="s">
        <v>307</v>
      </c>
      <c r="C684" s="1866" t="s">
        <v>1409</v>
      </c>
      <c r="D684" s="1868">
        <v>1.0649600000000001</v>
      </c>
      <c r="E684" s="1868">
        <v>1.0549899999999999</v>
      </c>
      <c r="F684" s="1868">
        <v>0.81753999999999993</v>
      </c>
      <c r="G684" s="1868">
        <v>1.09581</v>
      </c>
      <c r="H684" s="1868">
        <v>0.93379999999999996</v>
      </c>
      <c r="I684" s="1868">
        <v>1.42594</v>
      </c>
      <c r="J684" s="1868">
        <v>1.2195100000000001</v>
      </c>
      <c r="K684" s="1868">
        <v>1.41161</v>
      </c>
      <c r="L684" s="1868">
        <v>1.27569</v>
      </c>
      <c r="M684" s="1868">
        <v>1.51769</v>
      </c>
      <c r="N684" s="1868">
        <v>1.5945499999999999</v>
      </c>
      <c r="O684" s="1868">
        <v>1.5588200000000001</v>
      </c>
      <c r="P684" s="1868">
        <v>1.7889700000000002</v>
      </c>
      <c r="Q684" s="1868">
        <v>1.52962</v>
      </c>
      <c r="R684" s="1868">
        <v>1.2015799999999999</v>
      </c>
      <c r="S684" s="1868">
        <v>1.7402</v>
      </c>
      <c r="T684" s="1868">
        <v>1.6130899999999999</v>
      </c>
      <c r="U684" s="1868">
        <v>1.9900799999999998</v>
      </c>
      <c r="V684" s="1868">
        <v>1.6192299999999999</v>
      </c>
      <c r="W684" s="1868">
        <v>1.7203700000000002</v>
      </c>
      <c r="X684" s="1868">
        <v>1.50783</v>
      </c>
      <c r="Y684" s="1868">
        <v>1.6421599999999998</v>
      </c>
      <c r="Z684" s="1868">
        <v>1.7037799999999999</v>
      </c>
      <c r="AA684" s="1868">
        <v>1.64507</v>
      </c>
      <c r="AB684" s="1868">
        <v>1.7345299999999999</v>
      </c>
      <c r="AC684" s="1868">
        <v>2.0343</v>
      </c>
      <c r="AD684" s="1868">
        <v>1.9710000000000001</v>
      </c>
      <c r="AE684" s="1868">
        <v>2.01119</v>
      </c>
      <c r="AF684" s="1868">
        <v>2.1821799999999998</v>
      </c>
      <c r="AG684" s="1868">
        <v>2.4213400000000003</v>
      </c>
      <c r="AH684" s="1868">
        <v>1.9146599999999998</v>
      </c>
      <c r="AI684" s="1868">
        <v>2.36172</v>
      </c>
      <c r="AJ684" s="1868">
        <v>2.35812</v>
      </c>
      <c r="AK684" s="1868">
        <v>2.11585</v>
      </c>
      <c r="AL684" s="1868">
        <v>2.16818</v>
      </c>
      <c r="AM684" s="1868">
        <v>1.98055</v>
      </c>
      <c r="AN684" s="1868">
        <v>2.3677700000000002</v>
      </c>
      <c r="AO684" s="1868">
        <v>2.0899799999999997</v>
      </c>
      <c r="AP684" s="1868">
        <v>2.0954099999999998</v>
      </c>
      <c r="AQ684" s="1868">
        <v>2.0160999999999998</v>
      </c>
      <c r="AR684" s="1868">
        <v>2.5991599999999999</v>
      </c>
      <c r="AS684" s="1868">
        <v>2.4904099999999998</v>
      </c>
      <c r="AT684" s="1868">
        <v>1.9400299999999999</v>
      </c>
      <c r="AU684" s="1868">
        <v>2.6784599999999998</v>
      </c>
      <c r="AV684" s="1868">
        <v>2.4696700000000003</v>
      </c>
      <c r="AW684" s="1868">
        <v>2.3439799999999997</v>
      </c>
      <c r="AX684" s="1868">
        <v>2.3469900000000004</v>
      </c>
      <c r="AY684" s="1868">
        <v>3.0147599999999999</v>
      </c>
      <c r="AZ684" s="1868">
        <v>2.7041400000000002</v>
      </c>
      <c r="BA684" s="1868">
        <v>2.4318599999999999</v>
      </c>
    </row>
    <row r="685" spans="1:53">
      <c r="A685" s="1865" t="str">
        <f t="shared" si="10"/>
        <v>Eastern EuropeCereals (Rice Milled Eqv</v>
      </c>
      <c r="B685" s="1866" t="s">
        <v>307</v>
      </c>
      <c r="C685" s="1866" t="s">
        <v>1410</v>
      </c>
      <c r="D685" s="1868">
        <v>1.1356999999999999</v>
      </c>
      <c r="E685" s="1868">
        <v>1.1355600000000001</v>
      </c>
      <c r="F685" s="1868">
        <v>0.94699</v>
      </c>
      <c r="G685" s="1868">
        <v>1.19116</v>
      </c>
      <c r="H685" s="1868">
        <v>1.0612900000000001</v>
      </c>
      <c r="I685" s="1868">
        <v>1.4285000000000001</v>
      </c>
      <c r="J685" s="1868">
        <v>1.30494</v>
      </c>
      <c r="K685" s="1868">
        <v>1.4530100000000001</v>
      </c>
      <c r="L685" s="1868">
        <v>1.4250799999999999</v>
      </c>
      <c r="M685" s="1868">
        <v>1.5789200000000001</v>
      </c>
      <c r="N685" s="1868">
        <v>1.63937</v>
      </c>
      <c r="O685" s="1868">
        <v>1.56464</v>
      </c>
      <c r="P685" s="1868">
        <v>1.8314099999999998</v>
      </c>
      <c r="Q685" s="1868">
        <v>1.6694799999999999</v>
      </c>
      <c r="R685" s="1868">
        <v>1.30748</v>
      </c>
      <c r="S685" s="1868">
        <v>1.8578599999999998</v>
      </c>
      <c r="T685" s="1868">
        <v>1.64825</v>
      </c>
      <c r="U685" s="1868">
        <v>1.9583400000000002</v>
      </c>
      <c r="V685" s="1868">
        <v>1.5911600000000001</v>
      </c>
      <c r="W685" s="1868">
        <v>1.6675500000000001</v>
      </c>
      <c r="X685" s="1868">
        <v>1.48322</v>
      </c>
      <c r="Y685" s="1868">
        <v>1.7544299999999999</v>
      </c>
      <c r="Z685" s="1868">
        <v>1.79108</v>
      </c>
      <c r="AA685" s="1868">
        <v>1.7312299999999998</v>
      </c>
      <c r="AB685" s="1868">
        <v>1.8330599999999999</v>
      </c>
      <c r="AC685" s="1868">
        <v>2.0083700000000002</v>
      </c>
      <c r="AD685" s="1868">
        <v>1.9950700000000001</v>
      </c>
      <c r="AE685" s="1868">
        <v>1.91875</v>
      </c>
      <c r="AF685" s="1868">
        <v>2.12853</v>
      </c>
      <c r="AG685" s="1868">
        <v>2.2872699999999999</v>
      </c>
      <c r="AH685" s="1868">
        <v>1.91062</v>
      </c>
      <c r="AI685" s="1868">
        <v>2.1397699999999999</v>
      </c>
      <c r="AJ685" s="1868">
        <v>2.1711099999999997</v>
      </c>
      <c r="AK685" s="1868">
        <v>2.03444</v>
      </c>
      <c r="AL685" s="1868">
        <v>1.9683099999999998</v>
      </c>
      <c r="AM685" s="1868">
        <v>1.9063099999999999</v>
      </c>
      <c r="AN685" s="1868">
        <v>2.3606700000000003</v>
      </c>
      <c r="AO685" s="1868">
        <v>2.0434600000000001</v>
      </c>
      <c r="AP685" s="1868">
        <v>2.0937600000000001</v>
      </c>
      <c r="AQ685" s="1868">
        <v>1.9244900000000003</v>
      </c>
      <c r="AR685" s="1868">
        <v>2.48116</v>
      </c>
      <c r="AS685" s="1868">
        <v>2.4566300000000001</v>
      </c>
      <c r="AT685" s="1868">
        <v>2.1160900000000002</v>
      </c>
      <c r="AU685" s="1868">
        <v>2.7215700000000003</v>
      </c>
      <c r="AV685" s="1868">
        <v>2.5352099999999997</v>
      </c>
      <c r="AW685" s="1868">
        <v>2.3787099999999999</v>
      </c>
      <c r="AX685" s="1868">
        <v>2.2814299999999998</v>
      </c>
      <c r="AY685" s="1868">
        <v>2.9975200000000002</v>
      </c>
      <c r="AZ685" s="1868">
        <v>2.7904100000000001</v>
      </c>
      <c r="BA685" s="1868">
        <v>2.5703900000000002</v>
      </c>
    </row>
    <row r="686" spans="1:53">
      <c r="A686" s="1865" t="str">
        <f t="shared" si="10"/>
        <v>European UnionBananas</v>
      </c>
      <c r="B686" s="1866" t="s">
        <v>1417</v>
      </c>
      <c r="C686" s="1866" t="s">
        <v>1362</v>
      </c>
      <c r="D686" s="1868">
        <v>30.51417</v>
      </c>
      <c r="E686" s="1868">
        <v>27.14265</v>
      </c>
      <c r="F686" s="1868">
        <v>29.949479999999998</v>
      </c>
      <c r="G686" s="1868">
        <v>31.72062</v>
      </c>
      <c r="H686" s="1868">
        <v>32.678470000000004</v>
      </c>
      <c r="I686" s="1868">
        <v>33.342559999999999</v>
      </c>
      <c r="J686" s="1868">
        <v>31.41263</v>
      </c>
      <c r="K686" s="1868">
        <v>32.063670000000002</v>
      </c>
      <c r="L686" s="1868">
        <v>35.770049999999998</v>
      </c>
      <c r="M686" s="1868">
        <v>32.261850000000003</v>
      </c>
      <c r="N686" s="1868">
        <v>27.614629999999998</v>
      </c>
      <c r="O686" s="1868">
        <v>25.37107</v>
      </c>
      <c r="P686" s="1868">
        <v>29.837340000000001</v>
      </c>
      <c r="Q686" s="1868">
        <v>26.652759999999997</v>
      </c>
      <c r="R686" s="1868">
        <v>24.647770000000001</v>
      </c>
      <c r="S686" s="1868">
        <v>22.956379999999999</v>
      </c>
      <c r="T686" s="1868">
        <v>25.008870000000002</v>
      </c>
      <c r="U686" s="1868">
        <v>23.77028</v>
      </c>
      <c r="V686" s="1868">
        <v>23.086470000000002</v>
      </c>
      <c r="W686" s="1868">
        <v>31.044140000000002</v>
      </c>
      <c r="X686" s="1868">
        <v>30.124209999999998</v>
      </c>
      <c r="Y686" s="1868">
        <v>27.598229999999997</v>
      </c>
      <c r="Z686" s="1868">
        <v>28.094049999999999</v>
      </c>
      <c r="AA686" s="1868">
        <v>27.813400000000001</v>
      </c>
      <c r="AB686" s="1868">
        <v>32.158259999999999</v>
      </c>
      <c r="AC686" s="1868">
        <v>38.288709999999995</v>
      </c>
      <c r="AD686" s="1868">
        <v>39.266550000000002</v>
      </c>
      <c r="AE686" s="1868">
        <v>37.395189999999999</v>
      </c>
      <c r="AF686" s="1868">
        <v>40.285800000000002</v>
      </c>
      <c r="AG686" s="1868">
        <v>42.499420000000001</v>
      </c>
      <c r="AH686" s="1868">
        <v>38.7941</v>
      </c>
      <c r="AI686" s="1868">
        <v>39.056829999999998</v>
      </c>
      <c r="AJ686" s="1868">
        <v>37.925930000000001</v>
      </c>
      <c r="AK686" s="1868">
        <v>38.097070000000002</v>
      </c>
      <c r="AL686" s="1868">
        <v>41.326500000000003</v>
      </c>
      <c r="AM686" s="1868">
        <v>38.248129999999996</v>
      </c>
      <c r="AN686" s="1868">
        <v>44.806040000000003</v>
      </c>
      <c r="AO686" s="1868">
        <v>41.906620000000004</v>
      </c>
      <c r="AP686" s="1868">
        <v>39.520720000000004</v>
      </c>
      <c r="AQ686" s="1868">
        <v>42.128270000000001</v>
      </c>
      <c r="AR686" s="1868">
        <v>43.260570000000001</v>
      </c>
      <c r="AS686" s="1868">
        <v>42.643929999999997</v>
      </c>
      <c r="AT686" s="1868">
        <v>39.981310000000001</v>
      </c>
      <c r="AU686" s="1868">
        <v>41.228520000000003</v>
      </c>
      <c r="AV686" s="1868">
        <v>35.197099999999999</v>
      </c>
      <c r="AW686" s="1868">
        <v>34.541029999999999</v>
      </c>
      <c r="AX686" s="1868">
        <v>35.581769999999999</v>
      </c>
      <c r="AY686" s="1868">
        <v>38.135359999999999</v>
      </c>
      <c r="AZ686" s="1868">
        <v>34.363390000000003</v>
      </c>
      <c r="BA686" s="1868">
        <v>36.539870000000001</v>
      </c>
    </row>
    <row r="687" spans="1:53">
      <c r="A687" s="1865" t="str">
        <f t="shared" si="10"/>
        <v>European UnionBarley</v>
      </c>
      <c r="B687" s="1866" t="s">
        <v>1417</v>
      </c>
      <c r="C687" s="1866" t="s">
        <v>1363</v>
      </c>
      <c r="D687" s="1868">
        <v>2.3287599999999999</v>
      </c>
      <c r="E687" s="1868">
        <v>2.6793400000000003</v>
      </c>
      <c r="F687" s="1868">
        <v>2.6402600000000001</v>
      </c>
      <c r="G687" s="1868">
        <v>2.7576999999999998</v>
      </c>
      <c r="H687" s="1868">
        <v>2.8249900000000001</v>
      </c>
      <c r="I687" s="1868">
        <v>2.7308699999999999</v>
      </c>
      <c r="J687" s="1868">
        <v>3.0845400000000001</v>
      </c>
      <c r="K687" s="1868">
        <v>2.9783900000000001</v>
      </c>
      <c r="L687" s="1868">
        <v>2.9993599999999998</v>
      </c>
      <c r="M687" s="1868">
        <v>2.7004900000000003</v>
      </c>
      <c r="N687" s="1868">
        <v>3.1613099999999998</v>
      </c>
      <c r="O687" s="1868">
        <v>3.2680899999999999</v>
      </c>
      <c r="P687" s="1868">
        <v>3.20058</v>
      </c>
      <c r="Q687" s="1868">
        <v>3.3654500000000001</v>
      </c>
      <c r="R687" s="1868">
        <v>3.10344</v>
      </c>
      <c r="S687" s="1868">
        <v>2.9867599999999999</v>
      </c>
      <c r="T687" s="1868">
        <v>3.3185899999999999</v>
      </c>
      <c r="U687" s="1868">
        <v>3.5223900000000001</v>
      </c>
      <c r="V687" s="1868">
        <v>3.2695400000000001</v>
      </c>
      <c r="W687" s="1868">
        <v>3.59199</v>
      </c>
      <c r="X687" s="1868">
        <v>3.2523299999999997</v>
      </c>
      <c r="Y687" s="1868">
        <v>3.5637099999999999</v>
      </c>
      <c r="Z687" s="1868">
        <v>3.39629</v>
      </c>
      <c r="AA687" s="1868">
        <v>4.22011</v>
      </c>
      <c r="AB687" s="1868">
        <v>3.8784900000000002</v>
      </c>
      <c r="AC687" s="1868">
        <v>3.6782199999999996</v>
      </c>
      <c r="AD687" s="1868">
        <v>3.7895300000000005</v>
      </c>
      <c r="AE687" s="1868">
        <v>3.9878999999999998</v>
      </c>
      <c r="AF687" s="1868">
        <v>4.0284000000000004</v>
      </c>
      <c r="AG687" s="1868">
        <v>4.0699300000000003</v>
      </c>
      <c r="AH687" s="1868">
        <v>4.0747200000000001</v>
      </c>
      <c r="AI687" s="1868">
        <v>3.3784300000000003</v>
      </c>
      <c r="AJ687" s="1868">
        <v>3.7514699999999999</v>
      </c>
      <c r="AK687" s="1868">
        <v>3.6198699999999997</v>
      </c>
      <c r="AL687" s="1868">
        <v>3.665</v>
      </c>
      <c r="AM687" s="1868">
        <v>4.1503199999999998</v>
      </c>
      <c r="AN687" s="1868">
        <v>4.0526400000000002</v>
      </c>
      <c r="AO687" s="1868">
        <v>4.12</v>
      </c>
      <c r="AP687" s="1868">
        <v>4.0566599999999999</v>
      </c>
      <c r="AQ687" s="1868">
        <v>4.2370400000000004</v>
      </c>
      <c r="AR687" s="1868">
        <v>4.1347399999999999</v>
      </c>
      <c r="AS687" s="1868">
        <v>4.1259100000000002</v>
      </c>
      <c r="AT687" s="1868">
        <v>3.9629800000000004</v>
      </c>
      <c r="AU687" s="1868">
        <v>4.6917099999999996</v>
      </c>
      <c r="AV687" s="1868">
        <v>3.96435</v>
      </c>
      <c r="AW687" s="1868">
        <v>4.0723799999999999</v>
      </c>
      <c r="AX687" s="1868">
        <v>4.2322899999999999</v>
      </c>
      <c r="AY687" s="1868">
        <v>4.5051600000000001</v>
      </c>
      <c r="AZ687" s="1868">
        <v>4.4717500000000001</v>
      </c>
      <c r="BA687" s="1868">
        <v>4.2443499999999998</v>
      </c>
    </row>
    <row r="688" spans="1:53">
      <c r="A688" s="1865" t="str">
        <f t="shared" si="10"/>
        <v>European UnionBeans, dry</v>
      </c>
      <c r="B688" s="1866" t="s">
        <v>1417</v>
      </c>
      <c r="C688" s="1866" t="s">
        <v>1364</v>
      </c>
      <c r="D688" s="1868">
        <v>0.28079999999999999</v>
      </c>
      <c r="E688" s="1868">
        <v>0.22391999999999998</v>
      </c>
      <c r="F688" s="1868">
        <v>0.24316999999999997</v>
      </c>
      <c r="G688" s="1868">
        <v>0.23958000000000002</v>
      </c>
      <c r="H688" s="1868">
        <v>0.23080000000000001</v>
      </c>
      <c r="I688" s="1868">
        <v>0.27807999999999999</v>
      </c>
      <c r="J688" s="1868">
        <v>0.27444000000000002</v>
      </c>
      <c r="K688" s="1868">
        <v>0.25179000000000001</v>
      </c>
      <c r="L688" s="1868">
        <v>0.3024</v>
      </c>
      <c r="M688" s="1868">
        <v>0.29915999999999998</v>
      </c>
      <c r="N688" s="1868">
        <v>0.33058000000000004</v>
      </c>
      <c r="O688" s="1868">
        <v>0.29344000000000003</v>
      </c>
      <c r="P688" s="1868">
        <v>0.35816999999999999</v>
      </c>
      <c r="Q688" s="1868">
        <v>0.31556000000000001</v>
      </c>
      <c r="R688" s="1868">
        <v>0.33574999999999999</v>
      </c>
      <c r="S688" s="1868">
        <v>0.31440999999999997</v>
      </c>
      <c r="T688" s="1868">
        <v>0.37306</v>
      </c>
      <c r="U688" s="1868">
        <v>0.44037999999999999</v>
      </c>
      <c r="V688" s="1868">
        <v>0.51424999999999998</v>
      </c>
      <c r="W688" s="1868">
        <v>0.43264999999999998</v>
      </c>
      <c r="X688" s="1868">
        <v>0.53263000000000005</v>
      </c>
      <c r="Y688" s="1868">
        <v>0.59646999999999994</v>
      </c>
      <c r="Z688" s="1868">
        <v>0.49946999999999997</v>
      </c>
      <c r="AA688" s="1868">
        <v>0.52176999999999996</v>
      </c>
      <c r="AB688" s="1868">
        <v>0.85077000000000003</v>
      </c>
      <c r="AC688" s="1868">
        <v>1.0094000000000001</v>
      </c>
      <c r="AD688" s="1868">
        <v>0.83972000000000002</v>
      </c>
      <c r="AE688" s="1868">
        <v>0.85109999999999997</v>
      </c>
      <c r="AF688" s="1868">
        <v>0.90643999999999991</v>
      </c>
      <c r="AG688" s="1868">
        <v>0.92942000000000002</v>
      </c>
      <c r="AH688" s="1868">
        <v>1.0651200000000001</v>
      </c>
      <c r="AI688" s="1868">
        <v>1.02397</v>
      </c>
      <c r="AJ688" s="1868">
        <v>1.1837600000000001</v>
      </c>
      <c r="AK688" s="1868">
        <v>1.07385</v>
      </c>
      <c r="AL688" s="1868">
        <v>1.2451399999999999</v>
      </c>
      <c r="AM688" s="1868">
        <v>1.0587500000000001</v>
      </c>
      <c r="AN688" s="1868">
        <v>1.31087</v>
      </c>
      <c r="AO688" s="1868">
        <v>1.3738299999999999</v>
      </c>
      <c r="AP688" s="1868">
        <v>1.4672700000000001</v>
      </c>
      <c r="AQ688" s="1868">
        <v>1.1954</v>
      </c>
      <c r="AR688" s="1868">
        <v>1.62415</v>
      </c>
      <c r="AS688" s="1868">
        <v>1.5678299999999998</v>
      </c>
      <c r="AT688" s="1868">
        <v>1.5589899999999999</v>
      </c>
      <c r="AU688" s="1868">
        <v>1.5262100000000001</v>
      </c>
      <c r="AV688" s="1868">
        <v>1.3174700000000001</v>
      </c>
      <c r="AW688" s="1868">
        <v>1.14845</v>
      </c>
      <c r="AX688" s="1868">
        <v>1.26492</v>
      </c>
      <c r="AY688" s="1868">
        <v>1.34107</v>
      </c>
      <c r="AZ688" s="1868">
        <v>1.48271</v>
      </c>
      <c r="BA688" s="1868">
        <v>1.5461499999999999</v>
      </c>
    </row>
    <row r="689" spans="1:53">
      <c r="A689" s="1865" t="str">
        <f t="shared" si="10"/>
        <v>European UnionBeans, green</v>
      </c>
      <c r="B689" s="1866" t="s">
        <v>1417</v>
      </c>
      <c r="C689" s="1866" t="s">
        <v>1365</v>
      </c>
      <c r="D689" s="1868">
        <v>5.8196000000000003</v>
      </c>
      <c r="E689" s="1868">
        <v>5.8638699999999995</v>
      </c>
      <c r="F689" s="1868">
        <v>6.1023800000000001</v>
      </c>
      <c r="G689" s="1868">
        <v>6.6177999999999999</v>
      </c>
      <c r="H689" s="1868">
        <v>5.93757</v>
      </c>
      <c r="I689" s="1868">
        <v>6.3662400000000003</v>
      </c>
      <c r="J689" s="1868">
        <v>6.6953199999999997</v>
      </c>
      <c r="K689" s="1868">
        <v>6.2984499999999999</v>
      </c>
      <c r="L689" s="1868">
        <v>6.8120600000000007</v>
      </c>
      <c r="M689" s="1868">
        <v>6.9810899999999991</v>
      </c>
      <c r="N689" s="1868">
        <v>7.1607100000000008</v>
      </c>
      <c r="O689" s="1868">
        <v>6.9622199999999994</v>
      </c>
      <c r="P689" s="1868">
        <v>7.0369899999999994</v>
      </c>
      <c r="Q689" s="1868">
        <v>7.2657499999999997</v>
      </c>
      <c r="R689" s="1868">
        <v>6.75542</v>
      </c>
      <c r="S689" s="1868">
        <v>6.6022699999999999</v>
      </c>
      <c r="T689" s="1868">
        <v>7.4223300000000005</v>
      </c>
      <c r="U689" s="1868">
        <v>7.2457000000000003</v>
      </c>
      <c r="V689" s="1868">
        <v>7.4070800000000006</v>
      </c>
      <c r="W689" s="1868">
        <v>6.9873199999999995</v>
      </c>
      <c r="X689" s="1868">
        <v>7.5351800000000004</v>
      </c>
      <c r="Y689" s="1868">
        <v>8.0148100000000007</v>
      </c>
      <c r="Z689" s="1868">
        <v>7.7387399999999991</v>
      </c>
      <c r="AA689" s="1868">
        <v>7.8155800000000006</v>
      </c>
      <c r="AB689" s="1868">
        <v>8.0805100000000003</v>
      </c>
      <c r="AC689" s="1868">
        <v>7.9378699999999993</v>
      </c>
      <c r="AD689" s="1868">
        <v>7.4479199999999999</v>
      </c>
      <c r="AE689" s="1868">
        <v>7.5611699999999997</v>
      </c>
      <c r="AF689" s="1868">
        <v>7.7106000000000003</v>
      </c>
      <c r="AG689" s="1868">
        <v>7.647689999999999</v>
      </c>
      <c r="AH689" s="1868">
        <v>8.40916</v>
      </c>
      <c r="AI689" s="1868">
        <v>8.7884700000000002</v>
      </c>
      <c r="AJ689" s="1868">
        <v>9.1974600000000013</v>
      </c>
      <c r="AK689" s="1868">
        <v>8.8209300000000006</v>
      </c>
      <c r="AL689" s="1868">
        <v>8.7179599999999997</v>
      </c>
      <c r="AM689" s="1868">
        <v>9.5566800000000001</v>
      </c>
      <c r="AN689" s="1868">
        <v>9.37073</v>
      </c>
      <c r="AO689" s="1868">
        <v>9.2920499999999997</v>
      </c>
      <c r="AP689" s="1868">
        <v>9.8604899999999986</v>
      </c>
      <c r="AQ689" s="1868">
        <v>10.19074</v>
      </c>
      <c r="AR689" s="1868">
        <v>10.649010000000001</v>
      </c>
      <c r="AS689" s="1868">
        <v>10.814730000000001</v>
      </c>
      <c r="AT689" s="1868">
        <v>9.6972199999999997</v>
      </c>
      <c r="AU689" s="1868">
        <v>10.11262</v>
      </c>
      <c r="AV689" s="1868">
        <v>9.6239799999999995</v>
      </c>
      <c r="AW689" s="1868">
        <v>9.5209700000000002</v>
      </c>
      <c r="AX689" s="1868">
        <v>9.63063</v>
      </c>
      <c r="AY689" s="1868">
        <v>10.048400000000001</v>
      </c>
      <c r="AZ689" s="1868">
        <v>10.293280000000001</v>
      </c>
      <c r="BA689" s="1868">
        <v>9.7585999999999995</v>
      </c>
    </row>
    <row r="690" spans="1:53">
      <c r="A690" s="1865" t="str">
        <f t="shared" si="10"/>
        <v>European UnionCarrots and turnips</v>
      </c>
      <c r="B690" s="1866" t="s">
        <v>1417</v>
      </c>
      <c r="C690" s="1866" t="s">
        <v>1366</v>
      </c>
      <c r="D690" s="1868">
        <v>22.214479999999998</v>
      </c>
      <c r="E690" s="1868">
        <v>22.817640000000001</v>
      </c>
      <c r="F690" s="1868">
        <v>26.689429999999998</v>
      </c>
      <c r="G690" s="1868">
        <v>25.789390000000001</v>
      </c>
      <c r="H690" s="1868">
        <v>25.396710000000002</v>
      </c>
      <c r="I690" s="1868">
        <v>27.818379999999998</v>
      </c>
      <c r="J690" s="1868">
        <v>28.585729999999998</v>
      </c>
      <c r="K690" s="1868">
        <v>27.754829999999998</v>
      </c>
      <c r="L690" s="1868">
        <v>27.867159999999998</v>
      </c>
      <c r="M690" s="1868">
        <v>26.234270000000002</v>
      </c>
      <c r="N690" s="1868">
        <v>27.67503</v>
      </c>
      <c r="O690" s="1868">
        <v>29.403199999999998</v>
      </c>
      <c r="P690" s="1868">
        <v>28.41488</v>
      </c>
      <c r="Q690" s="1868">
        <v>26.786570000000001</v>
      </c>
      <c r="R690" s="1868">
        <v>25.95485</v>
      </c>
      <c r="S690" s="1868">
        <v>23.713529999999999</v>
      </c>
      <c r="T690" s="1868">
        <v>29.786609999999996</v>
      </c>
      <c r="U690" s="1868">
        <v>29.671700000000001</v>
      </c>
      <c r="V690" s="1868">
        <v>29.240679999999998</v>
      </c>
      <c r="W690" s="1868">
        <v>28.38363</v>
      </c>
      <c r="X690" s="1868">
        <v>30.859140000000004</v>
      </c>
      <c r="Y690" s="1868">
        <v>30.605270000000001</v>
      </c>
      <c r="Z690" s="1868">
        <v>28.794350000000001</v>
      </c>
      <c r="AA690" s="1868">
        <v>32.262520000000002</v>
      </c>
      <c r="AB690" s="1868">
        <v>32.560070000000003</v>
      </c>
      <c r="AC690" s="1868">
        <v>32.204209999999996</v>
      </c>
      <c r="AD690" s="1868">
        <v>32.180199999999999</v>
      </c>
      <c r="AE690" s="1868">
        <v>31.671529999999997</v>
      </c>
      <c r="AF690" s="1868">
        <v>31.395590000000002</v>
      </c>
      <c r="AG690" s="1868">
        <v>33.709470000000003</v>
      </c>
      <c r="AH690" s="1868">
        <v>34.40108</v>
      </c>
      <c r="AI690" s="1868">
        <v>32.571440000000003</v>
      </c>
      <c r="AJ690" s="1868">
        <v>34.45382</v>
      </c>
      <c r="AK690" s="1868">
        <v>31.255670000000002</v>
      </c>
      <c r="AL690" s="1868">
        <v>31.016479999999998</v>
      </c>
      <c r="AM690" s="1868">
        <v>34.383929999999999</v>
      </c>
      <c r="AN690" s="1868">
        <v>35.863219999999998</v>
      </c>
      <c r="AO690" s="1868">
        <v>35.769370000000002</v>
      </c>
      <c r="AP690" s="1868">
        <v>36.692890000000006</v>
      </c>
      <c r="AQ690" s="1868">
        <v>38.458120000000001</v>
      </c>
      <c r="AR690" s="1868">
        <v>38.479880000000001</v>
      </c>
      <c r="AS690" s="1868">
        <v>37.846040000000002</v>
      </c>
      <c r="AT690" s="1868">
        <v>34.901260000000001</v>
      </c>
      <c r="AU690" s="1868">
        <v>37.44323</v>
      </c>
      <c r="AV690" s="1868">
        <v>36.551220000000001</v>
      </c>
      <c r="AW690" s="1868">
        <v>34.530940000000001</v>
      </c>
      <c r="AX690" s="1868">
        <v>37.883119999999998</v>
      </c>
      <c r="AY690" s="1868">
        <v>37.932070000000003</v>
      </c>
      <c r="AZ690" s="1868">
        <v>38.617690000000003</v>
      </c>
      <c r="BA690" s="1868">
        <v>38.075249999999997</v>
      </c>
    </row>
    <row r="691" spans="1:53">
      <c r="A691" s="1865" t="str">
        <f t="shared" si="10"/>
        <v>European UnionCauliflowers and broccoli</v>
      </c>
      <c r="B691" s="1866" t="s">
        <v>1417</v>
      </c>
      <c r="C691" s="1866" t="s">
        <v>1369</v>
      </c>
      <c r="D691" s="1868">
        <v>17.521920000000001</v>
      </c>
      <c r="E691" s="1868">
        <v>14.83642</v>
      </c>
      <c r="F691" s="1868">
        <v>16.77834</v>
      </c>
      <c r="G691" s="1868">
        <v>16.887629999999998</v>
      </c>
      <c r="H691" s="1868">
        <v>17.406279999999999</v>
      </c>
      <c r="I691" s="1868">
        <v>17.418099999999999</v>
      </c>
      <c r="J691" s="1868">
        <v>17.491229999999998</v>
      </c>
      <c r="K691" s="1868">
        <v>16.937760000000001</v>
      </c>
      <c r="L691" s="1868">
        <v>16.930489999999999</v>
      </c>
      <c r="M691" s="1868">
        <v>16.996649999999999</v>
      </c>
      <c r="N691" s="1868">
        <v>17.318270000000002</v>
      </c>
      <c r="O691" s="1868">
        <v>18.362929999999999</v>
      </c>
      <c r="P691" s="1868">
        <v>17.61186</v>
      </c>
      <c r="Q691" s="1868">
        <v>17.94595</v>
      </c>
      <c r="R691" s="1868">
        <v>16.893820000000002</v>
      </c>
      <c r="S691" s="1868">
        <v>16.95167</v>
      </c>
      <c r="T691" s="1868">
        <v>17.13477</v>
      </c>
      <c r="U691" s="1868">
        <v>17.155560000000001</v>
      </c>
      <c r="V691" s="1868">
        <v>15.748629999999999</v>
      </c>
      <c r="W691" s="1868">
        <v>16.923760000000001</v>
      </c>
      <c r="X691" s="1868">
        <v>17.06587</v>
      </c>
      <c r="Y691" s="1868">
        <v>16.592639999999999</v>
      </c>
      <c r="Z691" s="1868">
        <v>16.49212</v>
      </c>
      <c r="AA691" s="1868">
        <v>15.264049999999999</v>
      </c>
      <c r="AB691" s="1868">
        <v>16.244070000000001</v>
      </c>
      <c r="AC691" s="1868">
        <v>15.528360000000001</v>
      </c>
      <c r="AD691" s="1868">
        <v>15.41283</v>
      </c>
      <c r="AE691" s="1868">
        <v>17.101179999999999</v>
      </c>
      <c r="AF691" s="1868">
        <v>16.532170000000001</v>
      </c>
      <c r="AG691" s="1868">
        <v>15.013999999999999</v>
      </c>
      <c r="AH691" s="1868">
        <v>15.76886</v>
      </c>
      <c r="AI691" s="1868">
        <v>15.5342</v>
      </c>
      <c r="AJ691" s="1868">
        <v>16.13167</v>
      </c>
      <c r="AK691" s="1868">
        <v>15.49685</v>
      </c>
      <c r="AL691" s="1868">
        <v>15.933060000000001</v>
      </c>
      <c r="AM691" s="1868">
        <v>16.30697</v>
      </c>
      <c r="AN691" s="1868">
        <v>16.666889999999999</v>
      </c>
      <c r="AO691" s="1868">
        <v>16.834389999999999</v>
      </c>
      <c r="AP691" s="1868">
        <v>16.62894</v>
      </c>
      <c r="AQ691" s="1868">
        <v>16.940010000000001</v>
      </c>
      <c r="AR691" s="1868">
        <v>16.5945</v>
      </c>
      <c r="AS691" s="1868">
        <v>16.490860000000001</v>
      </c>
      <c r="AT691" s="1868">
        <v>16.848279999999999</v>
      </c>
      <c r="AU691" s="1868">
        <v>17.800129999999999</v>
      </c>
      <c r="AV691" s="1868">
        <v>17.009620000000002</v>
      </c>
      <c r="AW691" s="1868">
        <v>16.102029999999999</v>
      </c>
      <c r="AX691" s="1868">
        <v>16.830470000000002</v>
      </c>
      <c r="AY691" s="1868">
        <v>16.86149</v>
      </c>
      <c r="AZ691" s="1868">
        <v>17.431529999999999</v>
      </c>
      <c r="BA691" s="1868">
        <v>16.903760000000002</v>
      </c>
    </row>
    <row r="692" spans="1:53">
      <c r="A692" s="1865" t="str">
        <f t="shared" si="10"/>
        <v>European UnionCereals, nes</v>
      </c>
      <c r="B692" s="1866" t="s">
        <v>1417</v>
      </c>
      <c r="C692" s="1866" t="s">
        <v>1370</v>
      </c>
      <c r="D692" s="1868">
        <v>1.6187100000000001</v>
      </c>
      <c r="E692" s="1868">
        <v>1.33945</v>
      </c>
      <c r="F692" s="1868">
        <v>1.42662</v>
      </c>
      <c r="G692" s="1868">
        <v>1.43367</v>
      </c>
      <c r="H692" s="1868">
        <v>1.4164600000000001</v>
      </c>
      <c r="I692" s="1868">
        <v>1.6006</v>
      </c>
      <c r="J692" s="1868">
        <v>1.58819</v>
      </c>
      <c r="K692" s="1868">
        <v>1.4864999999999999</v>
      </c>
      <c r="L692" s="1868">
        <v>1.4761799999999998</v>
      </c>
      <c r="M692" s="1868">
        <v>1.6473099999999998</v>
      </c>
      <c r="N692" s="1868">
        <v>1.8267</v>
      </c>
      <c r="O692" s="1868">
        <v>1.6909000000000001</v>
      </c>
      <c r="P692" s="1868">
        <v>1.6921999999999999</v>
      </c>
      <c r="Q692" s="1868">
        <v>1.8369</v>
      </c>
      <c r="R692" s="1868">
        <v>1.9019700000000002</v>
      </c>
      <c r="S692" s="1868">
        <v>2.1053299999999999</v>
      </c>
      <c r="T692" s="1868">
        <v>2.6287099999999999</v>
      </c>
      <c r="U692" s="1868">
        <v>2.8545400000000001</v>
      </c>
      <c r="V692" s="1868">
        <v>1.7255599999999998</v>
      </c>
      <c r="W692" s="1868">
        <v>2.9131400000000003</v>
      </c>
      <c r="X692" s="1868">
        <v>2.2819500000000001</v>
      </c>
      <c r="Y692" s="1868">
        <v>2.2874400000000001</v>
      </c>
      <c r="Z692" s="1868">
        <v>2.2233200000000002</v>
      </c>
      <c r="AA692" s="1868">
        <v>2.55287</v>
      </c>
      <c r="AB692" s="1868">
        <v>2.17828</v>
      </c>
      <c r="AC692" s="1868">
        <v>2.1842599999999996</v>
      </c>
      <c r="AD692" s="1868">
        <v>2.0684800000000001</v>
      </c>
      <c r="AE692" s="1868">
        <v>2.12622</v>
      </c>
      <c r="AF692" s="1868">
        <v>2.44048</v>
      </c>
      <c r="AG692" s="1868">
        <v>2.56488</v>
      </c>
      <c r="AH692" s="1868">
        <v>2.41655</v>
      </c>
      <c r="AI692" s="1868">
        <v>1.7847599999999999</v>
      </c>
      <c r="AJ692" s="1868">
        <v>1.7485599999999999</v>
      </c>
      <c r="AK692" s="1868">
        <v>1.9510299999999998</v>
      </c>
      <c r="AL692" s="1868">
        <v>2.1222400000000001</v>
      </c>
      <c r="AM692" s="1868">
        <v>1.5545100000000001</v>
      </c>
      <c r="AN692" s="1868">
        <v>1.9027599999999998</v>
      </c>
      <c r="AO692" s="1868">
        <v>1.9673900000000002</v>
      </c>
      <c r="AP692" s="1868">
        <v>2.4062999999999999</v>
      </c>
      <c r="AQ692" s="1868">
        <v>2.3958300000000001</v>
      </c>
      <c r="AR692" s="1868">
        <v>3.3117800000000002</v>
      </c>
      <c r="AS692" s="1868">
        <v>3.15428</v>
      </c>
      <c r="AT692" s="1868">
        <v>6.5920300000000003</v>
      </c>
      <c r="AU692" s="1868">
        <v>8.1959100000000014</v>
      </c>
      <c r="AV692" s="1868">
        <v>9.6068499999999997</v>
      </c>
      <c r="AW692" s="1868">
        <v>7.5863399999999999</v>
      </c>
      <c r="AX692" s="1868">
        <v>6.7150899999999991</v>
      </c>
      <c r="AY692" s="1868">
        <v>7.1000100000000002</v>
      </c>
      <c r="AZ692" s="1868">
        <v>6.0138099999999994</v>
      </c>
      <c r="BA692" s="1868">
        <v>6.33873</v>
      </c>
    </row>
    <row r="693" spans="1:53">
      <c r="A693" s="1865" t="str">
        <f t="shared" si="10"/>
        <v>European UnionChestnuts</v>
      </c>
      <c r="B693" s="1866" t="s">
        <v>1417</v>
      </c>
      <c r="C693" s="1866" t="s">
        <v>1371</v>
      </c>
      <c r="D693" s="1868">
        <v>9.5036300000000011</v>
      </c>
      <c r="E693" s="1868">
        <v>7.9963100000000003</v>
      </c>
      <c r="F693" s="1868">
        <v>11.14306</v>
      </c>
      <c r="G693" s="1868">
        <v>9.2411200000000004</v>
      </c>
      <c r="H693" s="1868">
        <v>7.2716600000000007</v>
      </c>
      <c r="I693" s="1868">
        <v>7.209039999999999</v>
      </c>
      <c r="J693" s="1868">
        <v>6.3340399999999999</v>
      </c>
      <c r="K693" s="1868">
        <v>5.7045900000000005</v>
      </c>
      <c r="L693" s="1868">
        <v>5.9241299999999999</v>
      </c>
      <c r="M693" s="1868">
        <v>5.6929999999999996</v>
      </c>
      <c r="N693" s="1868">
        <v>7.5496699999999999</v>
      </c>
      <c r="O693" s="1868">
        <v>7.79603</v>
      </c>
      <c r="P693" s="1868">
        <v>8.3582699999999992</v>
      </c>
      <c r="Q693" s="1868">
        <v>8.0854400000000002</v>
      </c>
      <c r="R693" s="1868">
        <v>8.0691699999999997</v>
      </c>
      <c r="S693" s="1868">
        <v>8.8321300000000011</v>
      </c>
      <c r="T693" s="1868">
        <v>7.37913</v>
      </c>
      <c r="U693" s="1868">
        <v>7.6242199999999993</v>
      </c>
      <c r="V693" s="1868">
        <v>12.59394</v>
      </c>
      <c r="W693" s="1868">
        <v>9.3858800000000002</v>
      </c>
      <c r="X693" s="1868">
        <v>9.9859299999999998</v>
      </c>
      <c r="Y693" s="1868">
        <v>10.51193</v>
      </c>
      <c r="Z693" s="1868">
        <v>10.53687</v>
      </c>
      <c r="AA693" s="1868">
        <v>8.4936699999999998</v>
      </c>
      <c r="AB693" s="1868">
        <v>1.7721</v>
      </c>
      <c r="AC693" s="1868">
        <v>1.9203299999999999</v>
      </c>
      <c r="AD693" s="1868">
        <v>2.05545</v>
      </c>
      <c r="AE693" s="1868">
        <v>2.0315699999999999</v>
      </c>
      <c r="AF693" s="1868">
        <v>2.02664</v>
      </c>
      <c r="AG693" s="1868">
        <v>1.8951099999999999</v>
      </c>
      <c r="AH693" s="1868">
        <v>2.0509300000000001</v>
      </c>
      <c r="AI693" s="1868">
        <v>2.1414299999999997</v>
      </c>
      <c r="AJ693" s="1868">
        <v>2.0215299999999998</v>
      </c>
      <c r="AK693" s="1868">
        <v>2.1013099999999998</v>
      </c>
      <c r="AL693" s="1868">
        <v>1.9769700000000001</v>
      </c>
      <c r="AM693" s="1868">
        <v>2.01803</v>
      </c>
      <c r="AN693" s="1868">
        <v>2.06745</v>
      </c>
      <c r="AO693" s="1868">
        <v>2.1689500000000002</v>
      </c>
      <c r="AP693" s="1868">
        <v>1.7606599999999999</v>
      </c>
      <c r="AQ693" s="1868">
        <v>1.7420200000000001</v>
      </c>
      <c r="AR693" s="1868">
        <v>1.67798</v>
      </c>
      <c r="AS693" s="1868">
        <v>1.7103900000000001</v>
      </c>
      <c r="AT693" s="1868">
        <v>1.5627500000000001</v>
      </c>
      <c r="AU693" s="1868">
        <v>1.5560700000000001</v>
      </c>
      <c r="AV693" s="1868">
        <v>1.43848</v>
      </c>
      <c r="AW693" s="1868">
        <v>1.5833299999999999</v>
      </c>
      <c r="AX693" s="1868">
        <v>1.37616</v>
      </c>
      <c r="AY693" s="1868">
        <v>1.24349</v>
      </c>
      <c r="AZ693" s="1868">
        <v>1.2494799999999999</v>
      </c>
      <c r="BA693" s="1868">
        <v>1.2263500000000001</v>
      </c>
    </row>
    <row r="694" spans="1:53">
      <c r="A694" s="1865" t="str">
        <f t="shared" si="10"/>
        <v>European UnionCitrus fruit, nes</v>
      </c>
      <c r="B694" s="1866" t="s">
        <v>1417</v>
      </c>
      <c r="C694" s="1866" t="s">
        <v>1372</v>
      </c>
      <c r="D694" s="1868">
        <v>12.98024</v>
      </c>
      <c r="E694" s="1868">
        <v>11.94833</v>
      </c>
      <c r="F694" s="1868">
        <v>15.00595</v>
      </c>
      <c r="G694" s="1868">
        <v>14.46175</v>
      </c>
      <c r="H694" s="1868">
        <v>10.475899999999999</v>
      </c>
      <c r="I694" s="1868">
        <v>13.276620000000001</v>
      </c>
      <c r="J694" s="1868">
        <v>12.032999999999999</v>
      </c>
      <c r="K694" s="1868">
        <v>11.3407</v>
      </c>
      <c r="L694" s="1868">
        <v>10.46861</v>
      </c>
      <c r="M694" s="1868">
        <v>11.5878</v>
      </c>
      <c r="N694" s="1868">
        <v>8.7105100000000011</v>
      </c>
      <c r="O694" s="1868">
        <v>8.5783100000000001</v>
      </c>
      <c r="P694" s="1868">
        <v>10.27793</v>
      </c>
      <c r="Q694" s="1868">
        <v>11.022410000000001</v>
      </c>
      <c r="R694" s="1868">
        <v>11.83093</v>
      </c>
      <c r="S694" s="1868">
        <v>9.7607400000000002</v>
      </c>
      <c r="T694" s="1868">
        <v>11.71317</v>
      </c>
      <c r="U694" s="1868">
        <v>12.33506</v>
      </c>
      <c r="V694" s="1868">
        <v>12.683249999999999</v>
      </c>
      <c r="W694" s="1868">
        <v>11.95309</v>
      </c>
      <c r="X694" s="1868">
        <v>11.35458</v>
      </c>
      <c r="Y694" s="1868">
        <v>10.196260000000001</v>
      </c>
      <c r="Z694" s="1868">
        <v>12.16483</v>
      </c>
      <c r="AA694" s="1868">
        <v>8.0582499999999992</v>
      </c>
      <c r="AB694" s="1868">
        <v>12.426869999999999</v>
      </c>
      <c r="AC694" s="1868">
        <v>13.439399999999999</v>
      </c>
      <c r="AD694" s="1868">
        <v>14.035500000000001</v>
      </c>
      <c r="AE694" s="1868">
        <v>7.5965100000000003</v>
      </c>
      <c r="AF694" s="1868">
        <v>13.773829999999998</v>
      </c>
      <c r="AG694" s="1868">
        <v>9.8007799999999996</v>
      </c>
      <c r="AH694" s="1868">
        <v>13.676279999999998</v>
      </c>
      <c r="AI694" s="1868">
        <v>15.09385</v>
      </c>
      <c r="AJ694" s="1868">
        <v>14.526879999999998</v>
      </c>
      <c r="AK694" s="1868">
        <v>10.32804</v>
      </c>
      <c r="AL694" s="1868">
        <v>11.46579</v>
      </c>
      <c r="AM694" s="1868">
        <v>10.48504</v>
      </c>
      <c r="AN694" s="1868">
        <v>13.21641</v>
      </c>
      <c r="AO694" s="1868">
        <v>8.1212499999999999</v>
      </c>
      <c r="AP694" s="1868">
        <v>19.025279999999999</v>
      </c>
      <c r="AQ694" s="1868">
        <v>14.668070000000002</v>
      </c>
      <c r="AR694" s="1868">
        <v>17.093679999999999</v>
      </c>
      <c r="AS694" s="1868">
        <v>16.599250000000001</v>
      </c>
      <c r="AT694" s="1868">
        <v>15.95964</v>
      </c>
      <c r="AU694" s="1868">
        <v>10.142480000000001</v>
      </c>
      <c r="AV694" s="1868">
        <v>8.2459199999999999</v>
      </c>
      <c r="AW694" s="1868">
        <v>9.29054</v>
      </c>
      <c r="AX694" s="1868">
        <v>5.5057800000000006</v>
      </c>
      <c r="AY694" s="1868">
        <v>8.6196399999999986</v>
      </c>
      <c r="AZ694" s="1868">
        <v>7.3425699999999994</v>
      </c>
      <c r="BA694" s="1868">
        <v>7.6391800000000005</v>
      </c>
    </row>
    <row r="695" spans="1:53">
      <c r="A695" s="1865" t="str">
        <f t="shared" si="10"/>
        <v>European UnionCow peas, dry</v>
      </c>
      <c r="B695" s="1866" t="s">
        <v>1417</v>
      </c>
      <c r="C695" s="1866" t="s">
        <v>1355</v>
      </c>
      <c r="D695" s="1868">
        <v>0.62</v>
      </c>
      <c r="E695" s="1868">
        <v>0.61</v>
      </c>
      <c r="F695" s="1868">
        <v>0.61556</v>
      </c>
      <c r="G695" s="1868">
        <v>0.64333000000000007</v>
      </c>
      <c r="H695" s="1868">
        <v>1.2450000000000001</v>
      </c>
      <c r="I695" s="1868">
        <v>1.1941200000000001</v>
      </c>
      <c r="J695" s="1868">
        <v>1.19811</v>
      </c>
      <c r="K695" s="1868">
        <v>1.25309</v>
      </c>
      <c r="L695" s="1868">
        <v>1.15341</v>
      </c>
      <c r="M695" s="1868">
        <v>0.8115</v>
      </c>
      <c r="N695" s="1868">
        <v>0.97132000000000007</v>
      </c>
      <c r="O695" s="1868">
        <v>0.80876999999999999</v>
      </c>
      <c r="P695" s="1868">
        <v>0.49038999999999994</v>
      </c>
      <c r="Q695" s="1868">
        <v>0.47058999999999995</v>
      </c>
      <c r="R695" s="1868">
        <v>0.57023000000000001</v>
      </c>
      <c r="S695" s="1868">
        <v>0.46898000000000001</v>
      </c>
      <c r="T695" s="1868">
        <v>0.44021000000000005</v>
      </c>
      <c r="U695" s="1868">
        <v>0.65517000000000003</v>
      </c>
      <c r="V695" s="1868">
        <v>0.60098999999999991</v>
      </c>
      <c r="W695" s="1868">
        <v>0.95489000000000002</v>
      </c>
      <c r="X695" s="1868">
        <v>0.97499999999999998</v>
      </c>
      <c r="Y695" s="1868">
        <v>0.8601700000000001</v>
      </c>
      <c r="Z695" s="1868">
        <v>0.86613999999999991</v>
      </c>
      <c r="AA695" s="1868">
        <v>1.37795</v>
      </c>
      <c r="AB695" s="1868">
        <v>1.4367799999999999</v>
      </c>
      <c r="AC695" s="1868">
        <v>1.0344799999999998</v>
      </c>
      <c r="AD695" s="1868">
        <v>0.8982</v>
      </c>
      <c r="AE695" s="1868">
        <v>0.93457999999999997</v>
      </c>
      <c r="AF695" s="1868">
        <v>0.88888999999999996</v>
      </c>
      <c r="AG695" s="1868">
        <v>0.73683999999999994</v>
      </c>
      <c r="AH695" s="1868">
        <v>0.55556000000000005</v>
      </c>
      <c r="AI695" s="1868">
        <v>1.9816499999999999</v>
      </c>
      <c r="AJ695" s="1868">
        <v>1.14286</v>
      </c>
      <c r="AK695" s="1868">
        <v>1.1666700000000001</v>
      </c>
      <c r="AL695" s="1868">
        <v>1.2857100000000001</v>
      </c>
      <c r="AM695" s="1868">
        <v>1.7142900000000001</v>
      </c>
      <c r="AN695" s="1868">
        <v>1.5714299999999999</v>
      </c>
      <c r="AO695" s="1868">
        <v>1.4285700000000001</v>
      </c>
      <c r="AP695" s="1868">
        <v>1.7142900000000001</v>
      </c>
      <c r="AQ695" s="1868">
        <v>1.6923099999999998</v>
      </c>
      <c r="AR695" s="1868">
        <v>2</v>
      </c>
      <c r="AS695" s="1868">
        <v>2.1428599999999998</v>
      </c>
      <c r="AT695" s="1868">
        <v>1.64557</v>
      </c>
      <c r="AU695" s="1868">
        <v>1.8571400000000002</v>
      </c>
      <c r="AV695" s="1868">
        <v>1.55446</v>
      </c>
      <c r="AW695" s="1868">
        <v>1.4777799999999999</v>
      </c>
      <c r="AX695" s="1868">
        <v>1.6705900000000002</v>
      </c>
      <c r="AY695" s="1868">
        <v>1.8440400000000001</v>
      </c>
      <c r="AZ695" s="1868">
        <v>1.69492</v>
      </c>
      <c r="BA695" s="1868">
        <v>1.95</v>
      </c>
    </row>
    <row r="696" spans="1:53">
      <c r="A696" s="1865" t="str">
        <f t="shared" si="10"/>
        <v>European UnionDates</v>
      </c>
      <c r="B696" s="1866" t="s">
        <v>1417</v>
      </c>
      <c r="C696" s="1866" t="s">
        <v>1374</v>
      </c>
      <c r="D696" s="1868">
        <v>29.629629999999999</v>
      </c>
      <c r="E696" s="1868">
        <v>29.925190000000001</v>
      </c>
      <c r="F696" s="1868">
        <v>29.925190000000001</v>
      </c>
      <c r="G696" s="1868">
        <v>28.248590000000004</v>
      </c>
      <c r="H696" s="1868">
        <v>27.3752</v>
      </c>
      <c r="I696" s="1868">
        <v>25.367739999999998</v>
      </c>
      <c r="J696" s="1868">
        <v>24.101610000000001</v>
      </c>
      <c r="K696" s="1868">
        <v>26.135479999999998</v>
      </c>
      <c r="L696" s="1868">
        <v>25.545159999999999</v>
      </c>
      <c r="M696" s="1868">
        <v>20.952110000000001</v>
      </c>
      <c r="N696" s="1868">
        <v>22.456340000000001</v>
      </c>
      <c r="O696" s="1868">
        <v>21.223800000000001</v>
      </c>
      <c r="P696" s="1868">
        <v>21.527010000000001</v>
      </c>
      <c r="Q696" s="1868">
        <v>21.10239</v>
      </c>
      <c r="R696" s="1868">
        <v>20.8735</v>
      </c>
      <c r="S696" s="1868">
        <v>20.93478</v>
      </c>
      <c r="T696" s="1868">
        <v>21.544989999999999</v>
      </c>
      <c r="U696" s="1868">
        <v>21.451450000000001</v>
      </c>
      <c r="V696" s="1868">
        <v>21.580570000000002</v>
      </c>
      <c r="W696" s="1868">
        <v>21.236079999999998</v>
      </c>
      <c r="X696" s="1868">
        <v>20.71161</v>
      </c>
      <c r="Y696" s="1868">
        <v>21.047969999999999</v>
      </c>
      <c r="Z696" s="1868">
        <v>19.594260000000002</v>
      </c>
      <c r="AA696" s="1868">
        <v>19.105740000000001</v>
      </c>
      <c r="AB696" s="1868">
        <v>19.390910000000002</v>
      </c>
      <c r="AC696" s="1868">
        <v>18.704320000000003</v>
      </c>
      <c r="AD696" s="1868">
        <v>18.610139999999998</v>
      </c>
      <c r="AE696" s="1868">
        <v>18.668610000000001</v>
      </c>
      <c r="AF696" s="1868">
        <v>18.96705</v>
      </c>
      <c r="AG696" s="1868">
        <v>18.57546</v>
      </c>
      <c r="AH696" s="1868">
        <v>18.00468</v>
      </c>
      <c r="AI696" s="1868">
        <v>17.628959999999999</v>
      </c>
      <c r="AJ696" s="1868">
        <v>18.995190000000001</v>
      </c>
      <c r="AK696" s="1868">
        <v>17.653510000000001</v>
      </c>
      <c r="AL696" s="1868">
        <v>17.284479999999999</v>
      </c>
      <c r="AM696" s="1868">
        <v>16.406879999999997</v>
      </c>
      <c r="AN696" s="1868">
        <v>13.670070000000001</v>
      </c>
      <c r="AO696" s="1868">
        <v>12.827349999999999</v>
      </c>
      <c r="AP696" s="1868">
        <v>14.409520000000001</v>
      </c>
      <c r="AQ696" s="1868">
        <v>4.92971</v>
      </c>
      <c r="AR696" s="1868">
        <v>4.3598099999999995</v>
      </c>
      <c r="AS696" s="1868">
        <v>4.5170199999999996</v>
      </c>
      <c r="AT696" s="1868">
        <v>4.6858599999999999</v>
      </c>
      <c r="AU696" s="1868">
        <v>4.9341800000000005</v>
      </c>
      <c r="AV696" s="1868">
        <v>4.8824199999999998</v>
      </c>
      <c r="AW696" s="1868">
        <v>5.34335</v>
      </c>
      <c r="AX696" s="1868">
        <v>5.2631600000000001</v>
      </c>
      <c r="AY696" s="1868">
        <v>5.3536400000000004</v>
      </c>
      <c r="AZ696" s="1868">
        <v>5.8823499999999997</v>
      </c>
      <c r="BA696" s="1868">
        <v>6.19048</v>
      </c>
    </row>
    <row r="697" spans="1:53">
      <c r="A697" s="1865" t="str">
        <f t="shared" si="10"/>
        <v>European UnionEggplants (aubergines)</v>
      </c>
      <c r="B697" s="1866" t="s">
        <v>1417</v>
      </c>
      <c r="C697" s="1866" t="s">
        <v>1375</v>
      </c>
      <c r="D697" s="1868">
        <v>19.69388</v>
      </c>
      <c r="E697" s="1868">
        <v>20.216339999999999</v>
      </c>
      <c r="F697" s="1868">
        <v>20.207629999999998</v>
      </c>
      <c r="G697" s="1868">
        <v>20.640070000000001</v>
      </c>
      <c r="H697" s="1868">
        <v>21.377600000000001</v>
      </c>
      <c r="I697" s="1868">
        <v>21.698329999999999</v>
      </c>
      <c r="J697" s="1868">
        <v>22.434449999999998</v>
      </c>
      <c r="K697" s="1868">
        <v>22.691790000000001</v>
      </c>
      <c r="L697" s="1868">
        <v>23.266829999999999</v>
      </c>
      <c r="M697" s="1868">
        <v>23.345760000000002</v>
      </c>
      <c r="N697" s="1868">
        <v>23.854479999999999</v>
      </c>
      <c r="O697" s="1868">
        <v>24.024329999999999</v>
      </c>
      <c r="P697" s="1868">
        <v>24.274739999999998</v>
      </c>
      <c r="Q697" s="1868">
        <v>24.559279999999998</v>
      </c>
      <c r="R697" s="1868">
        <v>24.35793</v>
      </c>
      <c r="S697" s="1868">
        <v>24.451629999999998</v>
      </c>
      <c r="T697" s="1868">
        <v>23.84787</v>
      </c>
      <c r="U697" s="1868">
        <v>23.896620000000002</v>
      </c>
      <c r="V697" s="1868">
        <v>24.326899999999998</v>
      </c>
      <c r="W697" s="1868">
        <v>24.23508</v>
      </c>
      <c r="X697" s="1868">
        <v>24.641249999999999</v>
      </c>
      <c r="Y697" s="1868">
        <v>24.625139999999998</v>
      </c>
      <c r="Z697" s="1868">
        <v>25.41573</v>
      </c>
      <c r="AA697" s="1868">
        <v>25.473739999999999</v>
      </c>
      <c r="AB697" s="1868">
        <v>25.86289</v>
      </c>
      <c r="AC697" s="1868">
        <v>25.903770000000002</v>
      </c>
      <c r="AD697" s="1868">
        <v>26.940709999999999</v>
      </c>
      <c r="AE697" s="1868">
        <v>26.644070000000003</v>
      </c>
      <c r="AF697" s="1868">
        <v>27.572779999999998</v>
      </c>
      <c r="AG697" s="1868">
        <v>27.881879999999999</v>
      </c>
      <c r="AH697" s="1868">
        <v>28.876670000000001</v>
      </c>
      <c r="AI697" s="1868">
        <v>29.712529999999997</v>
      </c>
      <c r="AJ697" s="1868">
        <v>30.820120000000003</v>
      </c>
      <c r="AK697" s="1868">
        <v>30.81945</v>
      </c>
      <c r="AL697" s="1868">
        <v>31.684179999999998</v>
      </c>
      <c r="AM697" s="1868">
        <v>30.524270000000001</v>
      </c>
      <c r="AN697" s="1868">
        <v>31.0824</v>
      </c>
      <c r="AO697" s="1868">
        <v>30.877609999999997</v>
      </c>
      <c r="AP697" s="1868">
        <v>28.665909999999997</v>
      </c>
      <c r="AQ697" s="1868">
        <v>30.3033</v>
      </c>
      <c r="AR697" s="1868">
        <v>30.8827</v>
      </c>
      <c r="AS697" s="1868">
        <v>30.4148</v>
      </c>
      <c r="AT697" s="1868">
        <v>26.65953</v>
      </c>
      <c r="AU697" s="1868">
        <v>27.586579999999998</v>
      </c>
      <c r="AV697" s="1868">
        <v>25.48395</v>
      </c>
      <c r="AW697" s="1868">
        <v>25.632200000000001</v>
      </c>
      <c r="AX697" s="1868">
        <v>24.438040000000001</v>
      </c>
      <c r="AY697" s="1868">
        <v>28.711009999999998</v>
      </c>
      <c r="AZ697" s="1868">
        <v>30.235309999999998</v>
      </c>
      <c r="BA697" s="1868">
        <v>28.044629999999998</v>
      </c>
    </row>
    <row r="698" spans="1:53">
      <c r="A698" s="1865" t="str">
        <f t="shared" si="10"/>
        <v>European UnionGrapefruit (inc. pomelos)</v>
      </c>
      <c r="B698" s="1866" t="s">
        <v>1417</v>
      </c>
      <c r="C698" s="1866" t="s">
        <v>1377</v>
      </c>
      <c r="D698" s="1868">
        <v>14.718589999999999</v>
      </c>
      <c r="E698" s="1868">
        <v>15.013829999999999</v>
      </c>
      <c r="F698" s="1868">
        <v>16.637920000000001</v>
      </c>
      <c r="G698" s="1868">
        <v>16.205210000000001</v>
      </c>
      <c r="H698" s="1868">
        <v>18.177210000000002</v>
      </c>
      <c r="I698" s="1868">
        <v>16.545590000000001</v>
      </c>
      <c r="J698" s="1868">
        <v>16.97898</v>
      </c>
      <c r="K698" s="1868">
        <v>17.963929999999998</v>
      </c>
      <c r="L698" s="1868">
        <v>18.055009999999999</v>
      </c>
      <c r="M698" s="1868">
        <v>16.697670000000002</v>
      </c>
      <c r="N698" s="1868">
        <v>17.243259999999999</v>
      </c>
      <c r="O698" s="1868">
        <v>19.716929999999998</v>
      </c>
      <c r="P698" s="1868">
        <v>17.864620000000002</v>
      </c>
      <c r="Q698" s="1868">
        <v>15.399820000000002</v>
      </c>
      <c r="R698" s="1868">
        <v>17.08474</v>
      </c>
      <c r="S698" s="1868">
        <v>16.449100000000001</v>
      </c>
      <c r="T698" s="1868">
        <v>22.62229</v>
      </c>
      <c r="U698" s="1868">
        <v>21.444220000000001</v>
      </c>
      <c r="V698" s="1868">
        <v>23.761479999999999</v>
      </c>
      <c r="W698" s="1868">
        <v>19.807449999999999</v>
      </c>
      <c r="X698" s="1868">
        <v>20.09742</v>
      </c>
      <c r="Y698" s="1868">
        <v>22.239539999999998</v>
      </c>
      <c r="Z698" s="1868">
        <v>20.94661</v>
      </c>
      <c r="AA698" s="1868">
        <v>22.811610000000002</v>
      </c>
      <c r="AB698" s="1868">
        <v>20.571670000000001</v>
      </c>
      <c r="AC698" s="1868">
        <v>22.28876</v>
      </c>
      <c r="AD698" s="1868">
        <v>21.554870000000001</v>
      </c>
      <c r="AE698" s="1868">
        <v>21.320170000000001</v>
      </c>
      <c r="AF698" s="1868">
        <v>21.174849999999999</v>
      </c>
      <c r="AG698" s="1868">
        <v>23.804459999999999</v>
      </c>
      <c r="AH698" s="1868">
        <v>23.01266</v>
      </c>
      <c r="AI698" s="1868">
        <v>24.908460000000002</v>
      </c>
      <c r="AJ698" s="1868">
        <v>22.775200000000002</v>
      </c>
      <c r="AK698" s="1868">
        <v>22.908479999999997</v>
      </c>
      <c r="AL698" s="1868">
        <v>27.082000000000001</v>
      </c>
      <c r="AM698" s="1868">
        <v>21.36449</v>
      </c>
      <c r="AN698" s="1868">
        <v>21.601089999999999</v>
      </c>
      <c r="AO698" s="1868">
        <v>21.355229999999999</v>
      </c>
      <c r="AP698" s="1868">
        <v>22.5854</v>
      </c>
      <c r="AQ698" s="1868">
        <v>23.63954</v>
      </c>
      <c r="AR698" s="1868">
        <v>25.206410000000002</v>
      </c>
      <c r="AS698" s="1868">
        <v>26.035529999999998</v>
      </c>
      <c r="AT698" s="1868">
        <v>29.414300000000001</v>
      </c>
      <c r="AU698" s="1868">
        <v>33.035040000000002</v>
      </c>
      <c r="AV698" s="1868">
        <v>31.378270000000001</v>
      </c>
      <c r="AW698" s="1868">
        <v>33.924300000000002</v>
      </c>
      <c r="AX698" s="1868">
        <v>32.184010000000001</v>
      </c>
      <c r="AY698" s="1868">
        <v>30.022220000000001</v>
      </c>
      <c r="AZ698" s="1868">
        <v>29.175650000000001</v>
      </c>
      <c r="BA698" s="1868">
        <v>31.15185</v>
      </c>
    </row>
    <row r="699" spans="1:53">
      <c r="A699" s="1865" t="str">
        <f t="shared" si="10"/>
        <v>European UnionGrapes</v>
      </c>
      <c r="B699" s="1866" t="s">
        <v>1417</v>
      </c>
      <c r="C699" s="1866" t="s">
        <v>1378</v>
      </c>
      <c r="D699" s="1868">
        <v>3.9779800000000001</v>
      </c>
      <c r="E699" s="1868">
        <v>5.5182099999999998</v>
      </c>
      <c r="F699" s="1868">
        <v>4.6790699999999994</v>
      </c>
      <c r="G699" s="1868">
        <v>5.3883599999999996</v>
      </c>
      <c r="H699" s="1868">
        <v>5.4415199999999997</v>
      </c>
      <c r="I699" s="1868">
        <v>5.3112399999999997</v>
      </c>
      <c r="J699" s="1868">
        <v>5.4221300000000001</v>
      </c>
      <c r="K699" s="1868">
        <v>5.6310799999999999</v>
      </c>
      <c r="L699" s="1868">
        <v>5.5275300000000005</v>
      </c>
      <c r="M699" s="1868">
        <v>6.2914900000000005</v>
      </c>
      <c r="N699" s="1868">
        <v>5.7532699999999997</v>
      </c>
      <c r="O699" s="1868">
        <v>5.5330399999999997</v>
      </c>
      <c r="P699" s="1868">
        <v>7.2752600000000003</v>
      </c>
      <c r="Q699" s="1868">
        <v>6.80098</v>
      </c>
      <c r="R699" s="1868">
        <v>6.1856499999999999</v>
      </c>
      <c r="S699" s="1868">
        <v>6.1612499999999999</v>
      </c>
      <c r="T699" s="1868">
        <v>5.2984900000000001</v>
      </c>
      <c r="U699" s="1868">
        <v>5.8522099999999995</v>
      </c>
      <c r="V699" s="1868">
        <v>7.8159300000000007</v>
      </c>
      <c r="W699" s="1868">
        <v>7.0766</v>
      </c>
      <c r="X699" s="1868">
        <v>6.2231399999999999</v>
      </c>
      <c r="Y699" s="1868">
        <v>7.5439699999999998</v>
      </c>
      <c r="Z699" s="1868">
        <v>7.462460000000001</v>
      </c>
      <c r="AA699" s="1868">
        <v>6.9554600000000004</v>
      </c>
      <c r="AB699" s="1868">
        <v>6.3381099999999995</v>
      </c>
      <c r="AC699" s="1868">
        <v>7.34598</v>
      </c>
      <c r="AD699" s="1868">
        <v>7.3174899999999994</v>
      </c>
      <c r="AE699" s="1868">
        <v>6.0501800000000001</v>
      </c>
      <c r="AF699" s="1868">
        <v>6.581360000000001</v>
      </c>
      <c r="AG699" s="1868">
        <v>6.8568300000000004</v>
      </c>
      <c r="AH699" s="1868">
        <v>6.2174800000000001</v>
      </c>
      <c r="AI699" s="1868">
        <v>7.3358899999999991</v>
      </c>
      <c r="AJ699" s="1868">
        <v>6.52813</v>
      </c>
      <c r="AK699" s="1868">
        <v>6.3539099999999999</v>
      </c>
      <c r="AL699" s="1868">
        <v>6.4522900000000005</v>
      </c>
      <c r="AM699" s="1868">
        <v>7.4087600000000009</v>
      </c>
      <c r="AN699" s="1868">
        <v>6.8557800000000002</v>
      </c>
      <c r="AO699" s="1868">
        <v>6.9772100000000004</v>
      </c>
      <c r="AP699" s="1868">
        <v>7.6189100000000005</v>
      </c>
      <c r="AQ699" s="1868">
        <v>7.64</v>
      </c>
      <c r="AR699" s="1868">
        <v>7.2086100000000002</v>
      </c>
      <c r="AS699" s="1868">
        <v>6.8021799999999999</v>
      </c>
      <c r="AT699" s="1868">
        <v>7.0823800000000006</v>
      </c>
      <c r="AU699" s="1868">
        <v>7.8950899999999997</v>
      </c>
      <c r="AV699" s="1868">
        <v>7.1596800000000007</v>
      </c>
      <c r="AW699" s="1868">
        <v>7.3531500000000003</v>
      </c>
      <c r="AX699" s="1868">
        <v>6.8776299999999999</v>
      </c>
      <c r="AY699" s="1868">
        <v>7.0793499999999998</v>
      </c>
      <c r="AZ699" s="1868">
        <v>7.0066699999999997</v>
      </c>
      <c r="BA699" s="1868">
        <v>7.2372600000000009</v>
      </c>
    </row>
    <row r="700" spans="1:53">
      <c r="A700" s="1865" t="str">
        <f t="shared" si="10"/>
        <v>European UnionGroundnuts, with shell</v>
      </c>
      <c r="B700" s="1866" t="s">
        <v>1417</v>
      </c>
      <c r="C700" s="1866" t="s">
        <v>1379</v>
      </c>
      <c r="D700" s="1868">
        <v>1.6757099999999998</v>
      </c>
      <c r="E700" s="1868">
        <v>1.70265</v>
      </c>
      <c r="F700" s="1868">
        <v>1.9026599999999998</v>
      </c>
      <c r="G700" s="1868">
        <v>2.0497400000000003</v>
      </c>
      <c r="H700" s="1868">
        <v>1.9718</v>
      </c>
      <c r="I700" s="1868">
        <v>1.9336200000000001</v>
      </c>
      <c r="J700" s="1868">
        <v>1.9957200000000002</v>
      </c>
      <c r="K700" s="1868">
        <v>1.8608099999999999</v>
      </c>
      <c r="L700" s="1868">
        <v>1.9398</v>
      </c>
      <c r="M700" s="1868">
        <v>1.9785200000000001</v>
      </c>
      <c r="N700" s="1868">
        <v>1.94354</v>
      </c>
      <c r="O700" s="1868">
        <v>1.92005</v>
      </c>
      <c r="P700" s="1868">
        <v>2.1555400000000002</v>
      </c>
      <c r="Q700" s="1868">
        <v>2.2270500000000002</v>
      </c>
      <c r="R700" s="1868">
        <v>2.5292400000000002</v>
      </c>
      <c r="S700" s="1868">
        <v>2.1265400000000003</v>
      </c>
      <c r="T700" s="1868">
        <v>2.3166700000000002</v>
      </c>
      <c r="U700" s="1868">
        <v>1.8749099999999999</v>
      </c>
      <c r="V700" s="1868">
        <v>2.2539899999999999</v>
      </c>
      <c r="W700" s="1868">
        <v>2.0945200000000002</v>
      </c>
      <c r="X700" s="1868">
        <v>2.1133099999999998</v>
      </c>
      <c r="Y700" s="1868">
        <v>2.14689</v>
      </c>
      <c r="Z700" s="1868">
        <v>2.1864400000000002</v>
      </c>
      <c r="AA700" s="1868">
        <v>2.1735599999999997</v>
      </c>
      <c r="AB700" s="1868">
        <v>2.1629999999999998</v>
      </c>
      <c r="AC700" s="1868">
        <v>2.26173</v>
      </c>
      <c r="AD700" s="1868">
        <v>1.9504299999999999</v>
      </c>
      <c r="AE700" s="1868">
        <v>1.76101</v>
      </c>
      <c r="AF700" s="1868">
        <v>1.7913599999999998</v>
      </c>
      <c r="AG700" s="1868">
        <v>1.37741</v>
      </c>
      <c r="AH700" s="1868">
        <v>1.5087600000000001</v>
      </c>
      <c r="AI700" s="1868">
        <v>1.61791</v>
      </c>
      <c r="AJ700" s="1868">
        <v>1.19686</v>
      </c>
      <c r="AK700" s="1868">
        <v>1.0831500000000001</v>
      </c>
      <c r="AL700" s="1868">
        <v>1.2574799999999999</v>
      </c>
      <c r="AM700" s="1868">
        <v>1.1383399999999999</v>
      </c>
      <c r="AN700" s="1868">
        <v>1.2624899999999999</v>
      </c>
      <c r="AO700" s="1868">
        <v>1.2465600000000001</v>
      </c>
      <c r="AP700" s="1868">
        <v>1.1849299999999998</v>
      </c>
      <c r="AQ700" s="1868">
        <v>1.1236200000000001</v>
      </c>
      <c r="AR700" s="1868">
        <v>0.90551000000000004</v>
      </c>
      <c r="AS700" s="1868">
        <v>0.86719000000000002</v>
      </c>
      <c r="AT700" s="1868">
        <v>0.85998999999999992</v>
      </c>
      <c r="AU700" s="1868">
        <v>1.0419100000000001</v>
      </c>
      <c r="AV700" s="1868">
        <v>0.94678999999999991</v>
      </c>
      <c r="AW700" s="1868">
        <v>0.91477000000000008</v>
      </c>
      <c r="AX700" s="1868">
        <v>0.90105000000000002</v>
      </c>
      <c r="AY700" s="1868">
        <v>0.80635000000000001</v>
      </c>
      <c r="AZ700" s="1868">
        <v>0.87756000000000001</v>
      </c>
      <c r="BA700" s="1868">
        <v>0.78701999999999994</v>
      </c>
    </row>
    <row r="701" spans="1:53">
      <c r="A701" s="1865" t="str">
        <f t="shared" si="10"/>
        <v>European UnionLeguminous vegetables, nes</v>
      </c>
      <c r="B701" s="1866" t="s">
        <v>1417</v>
      </c>
      <c r="C701" s="1866" t="s">
        <v>1380</v>
      </c>
      <c r="D701" s="1868">
        <v>6.95608</v>
      </c>
      <c r="E701" s="1868">
        <v>6.8317699999999997</v>
      </c>
      <c r="F701" s="1868">
        <v>6.6069500000000003</v>
      </c>
      <c r="G701" s="1868">
        <v>6.0438499999999999</v>
      </c>
      <c r="H701" s="1868">
        <v>6.5866199999999999</v>
      </c>
      <c r="I701" s="1868">
        <v>6.4546599999999996</v>
      </c>
      <c r="J701" s="1868">
        <v>6.9572100000000008</v>
      </c>
      <c r="K701" s="1868">
        <v>6.4285199999999998</v>
      </c>
      <c r="L701" s="1868">
        <v>6.7013899999999991</v>
      </c>
      <c r="M701" s="1868">
        <v>6.8535600000000008</v>
      </c>
      <c r="N701" s="1868">
        <v>7.3931899999999997</v>
      </c>
      <c r="O701" s="1868">
        <v>7.38842</v>
      </c>
      <c r="P701" s="1868">
        <v>7.5131199999999998</v>
      </c>
      <c r="Q701" s="1868">
        <v>7.9443299999999999</v>
      </c>
      <c r="R701" s="1868">
        <v>7.8550699999999996</v>
      </c>
      <c r="S701" s="1868">
        <v>7.6923399999999997</v>
      </c>
      <c r="T701" s="1868">
        <v>7.6653699999999994</v>
      </c>
      <c r="U701" s="1868">
        <v>7.8010199999999994</v>
      </c>
      <c r="V701" s="1868">
        <v>8.0273199999999996</v>
      </c>
      <c r="W701" s="1868">
        <v>8.2032299999999996</v>
      </c>
      <c r="X701" s="1868">
        <v>8.0874199999999998</v>
      </c>
      <c r="Y701" s="1868">
        <v>8.232330000000001</v>
      </c>
      <c r="Z701" s="1868">
        <v>7.7709699999999993</v>
      </c>
      <c r="AA701" s="1868">
        <v>8.0195399999999992</v>
      </c>
      <c r="AB701" s="1868">
        <v>8.043610000000001</v>
      </c>
      <c r="AC701" s="1868">
        <v>8.2200500000000005</v>
      </c>
      <c r="AD701" s="1868">
        <v>7.9210100000000008</v>
      </c>
      <c r="AE701" s="1868">
        <v>7.3752199999999997</v>
      </c>
      <c r="AF701" s="1868">
        <v>6.791739999999999</v>
      </c>
      <c r="AG701" s="1868">
        <v>6.6997200000000001</v>
      </c>
      <c r="AH701" s="1868">
        <v>7.0637999999999996</v>
      </c>
      <c r="AI701" s="1868">
        <v>7.0182899999999995</v>
      </c>
      <c r="AJ701" s="1868">
        <v>6.7237</v>
      </c>
      <c r="AK701" s="1868">
        <v>7.2001200000000001</v>
      </c>
      <c r="AL701" s="1868">
        <v>6.7537799999999999</v>
      </c>
      <c r="AM701" s="1868">
        <v>7.1528100000000006</v>
      </c>
      <c r="AN701" s="1868">
        <v>7.1216300000000006</v>
      </c>
      <c r="AO701" s="1868">
        <v>6.7247500000000002</v>
      </c>
      <c r="AP701" s="1868">
        <v>6.7567500000000003</v>
      </c>
      <c r="AQ701" s="1868">
        <v>6.66988</v>
      </c>
      <c r="AR701" s="1868">
        <v>6.4032200000000001</v>
      </c>
      <c r="AS701" s="1868">
        <v>6.6597</v>
      </c>
      <c r="AT701" s="1868">
        <v>6.7047699999999999</v>
      </c>
      <c r="AU701" s="1868">
        <v>6.8803999999999998</v>
      </c>
      <c r="AV701" s="1868">
        <v>6.3106099999999996</v>
      </c>
      <c r="AW701" s="1868">
        <v>6.0462600000000002</v>
      </c>
      <c r="AX701" s="1868">
        <v>6.1643499999999998</v>
      </c>
      <c r="AY701" s="1868">
        <v>6.48766</v>
      </c>
      <c r="AZ701" s="1868">
        <v>6.5139100000000001</v>
      </c>
      <c r="BA701" s="1868">
        <v>6.0526</v>
      </c>
    </row>
    <row r="702" spans="1:53">
      <c r="A702" s="1865" t="str">
        <f t="shared" si="10"/>
        <v>European UnionLinseed</v>
      </c>
      <c r="B702" s="1866" t="s">
        <v>1417</v>
      </c>
      <c r="C702" s="1866" t="s">
        <v>1381</v>
      </c>
      <c r="D702" s="1868">
        <v>0.62386000000000008</v>
      </c>
      <c r="E702" s="1868">
        <v>0.60116999999999998</v>
      </c>
      <c r="F702" s="1868">
        <v>0.59689999999999999</v>
      </c>
      <c r="G702" s="1868">
        <v>0.58457999999999999</v>
      </c>
      <c r="H702" s="1868">
        <v>0.64612999999999998</v>
      </c>
      <c r="I702" s="1868">
        <v>0.67715999999999998</v>
      </c>
      <c r="J702" s="1868">
        <v>0.63888999999999996</v>
      </c>
      <c r="K702" s="1868">
        <v>0.54773000000000005</v>
      </c>
      <c r="L702" s="1868">
        <v>0.60701000000000005</v>
      </c>
      <c r="M702" s="1868">
        <v>0.62508999999999992</v>
      </c>
      <c r="N702" s="1868">
        <v>0.73418000000000005</v>
      </c>
      <c r="O702" s="1868">
        <v>0.64800000000000002</v>
      </c>
      <c r="P702" s="1868">
        <v>0.61501000000000006</v>
      </c>
      <c r="Q702" s="1868">
        <v>0.60040000000000004</v>
      </c>
      <c r="R702" s="1868">
        <v>0.61741999999999997</v>
      </c>
      <c r="S702" s="1868">
        <v>0.60473999999999994</v>
      </c>
      <c r="T702" s="1868">
        <v>0.62341000000000002</v>
      </c>
      <c r="U702" s="1868">
        <v>0.72823000000000004</v>
      </c>
      <c r="V702" s="1868">
        <v>0.52083999999999997</v>
      </c>
      <c r="W702" s="1868">
        <v>0.52618999999999994</v>
      </c>
      <c r="X702" s="1868">
        <v>0.49987999999999999</v>
      </c>
      <c r="Y702" s="1868">
        <v>0.56850000000000001</v>
      </c>
      <c r="Z702" s="1868">
        <v>0.43567</v>
      </c>
      <c r="AA702" s="1868">
        <v>0.62658000000000003</v>
      </c>
      <c r="AB702" s="1868">
        <v>0.58811999999999998</v>
      </c>
      <c r="AC702" s="1868">
        <v>0.60041</v>
      </c>
      <c r="AD702" s="1868">
        <v>0.70220000000000005</v>
      </c>
      <c r="AE702" s="1868">
        <v>0.74308999999999992</v>
      </c>
      <c r="AF702" s="1868">
        <v>0.70494999999999997</v>
      </c>
      <c r="AG702" s="1868">
        <v>0.85883999999999994</v>
      </c>
      <c r="AH702" s="1868">
        <v>1.1263000000000001</v>
      </c>
      <c r="AI702" s="1868">
        <v>1.03346</v>
      </c>
      <c r="AJ702" s="1868">
        <v>0.95776000000000006</v>
      </c>
      <c r="AK702" s="1868">
        <v>0.89749000000000001</v>
      </c>
      <c r="AL702" s="1868">
        <v>0.89132999999999996</v>
      </c>
      <c r="AM702" s="1868">
        <v>0.93657999999999997</v>
      </c>
      <c r="AN702" s="1868">
        <v>1.0466</v>
      </c>
      <c r="AO702" s="1868">
        <v>1.2545299999999999</v>
      </c>
      <c r="AP702" s="1868">
        <v>1.0295399999999999</v>
      </c>
      <c r="AQ702" s="1868">
        <v>0.73399999999999999</v>
      </c>
      <c r="AR702" s="1868">
        <v>0.72050000000000003</v>
      </c>
      <c r="AS702" s="1868">
        <v>0.78846000000000005</v>
      </c>
      <c r="AT702" s="1868">
        <v>0.89157999999999993</v>
      </c>
      <c r="AU702" s="1868">
        <v>1.0105899999999999</v>
      </c>
      <c r="AV702" s="1868">
        <v>1.14133</v>
      </c>
      <c r="AW702" s="1868">
        <v>0.88322000000000012</v>
      </c>
      <c r="AX702" s="1868">
        <v>0.73912</v>
      </c>
      <c r="AY702" s="1868">
        <v>0.65490999999999999</v>
      </c>
      <c r="AZ702" s="1868">
        <v>0.92232999999999987</v>
      </c>
      <c r="BA702" s="1868">
        <v>0.94710000000000005</v>
      </c>
    </row>
    <row r="703" spans="1:53">
      <c r="A703" s="1865" t="str">
        <f t="shared" si="10"/>
        <v>European UnionMaize</v>
      </c>
      <c r="B703" s="1866" t="s">
        <v>1417</v>
      </c>
      <c r="C703" s="1866" t="s">
        <v>1382</v>
      </c>
      <c r="D703" s="1868">
        <v>2.1036299999999999</v>
      </c>
      <c r="E703" s="1868">
        <v>2.05219</v>
      </c>
      <c r="F703" s="1868">
        <v>2.4419299999999997</v>
      </c>
      <c r="G703" s="1868">
        <v>2.4655200000000002</v>
      </c>
      <c r="H703" s="1868">
        <v>2.4022099999999997</v>
      </c>
      <c r="I703" s="1868">
        <v>2.95953</v>
      </c>
      <c r="J703" s="1868">
        <v>2.8033399999999999</v>
      </c>
      <c r="K703" s="1868">
        <v>2.98576</v>
      </c>
      <c r="L703" s="1868">
        <v>3.3389699999999998</v>
      </c>
      <c r="M703" s="1868">
        <v>3.3368699999999998</v>
      </c>
      <c r="N703" s="1868">
        <v>3.6470599999999997</v>
      </c>
      <c r="O703" s="1868">
        <v>3.78559</v>
      </c>
      <c r="P703" s="1868">
        <v>3.96279</v>
      </c>
      <c r="Q703" s="1868">
        <v>3.6971599999999998</v>
      </c>
      <c r="R703" s="1868">
        <v>3.9031699999999998</v>
      </c>
      <c r="S703" s="1868">
        <v>3.8763999999999998</v>
      </c>
      <c r="T703" s="1868">
        <v>4.18804</v>
      </c>
      <c r="U703" s="1868">
        <v>4.3137099999999995</v>
      </c>
      <c r="V703" s="1868">
        <v>4.6521800000000004</v>
      </c>
      <c r="W703" s="1868">
        <v>4.5486599999999999</v>
      </c>
      <c r="X703" s="1868">
        <v>4.6906099999999995</v>
      </c>
      <c r="Y703" s="1868">
        <v>5.4539900000000001</v>
      </c>
      <c r="Z703" s="1868">
        <v>5.0879099999999999</v>
      </c>
      <c r="AA703" s="1868">
        <v>5.0684699999999996</v>
      </c>
      <c r="AB703" s="1868">
        <v>5.4148199999999997</v>
      </c>
      <c r="AC703" s="1868">
        <v>5.5221499999999999</v>
      </c>
      <c r="AD703" s="1868">
        <v>5.2571599999999998</v>
      </c>
      <c r="AE703" s="1868">
        <v>5.3615900000000005</v>
      </c>
      <c r="AF703" s="1868">
        <v>5.2846000000000002</v>
      </c>
      <c r="AG703" s="1868">
        <v>4.8113199999999994</v>
      </c>
      <c r="AH703" s="1868">
        <v>5.9871400000000001</v>
      </c>
      <c r="AI703" s="1868">
        <v>4.8028399999999998</v>
      </c>
      <c r="AJ703" s="1868">
        <v>5.1237599999999999</v>
      </c>
      <c r="AK703" s="1868">
        <v>5.2415000000000003</v>
      </c>
      <c r="AL703" s="1868">
        <v>5.5304900000000004</v>
      </c>
      <c r="AM703" s="1868">
        <v>5.7998599999999998</v>
      </c>
      <c r="AN703" s="1868">
        <v>6.7895899999999996</v>
      </c>
      <c r="AO703" s="1868">
        <v>5.9650499999999997</v>
      </c>
      <c r="AP703" s="1868">
        <v>6.5832499999999996</v>
      </c>
      <c r="AQ703" s="1868">
        <v>5.5208900000000005</v>
      </c>
      <c r="AR703" s="1868">
        <v>6.4069599999999998</v>
      </c>
      <c r="AS703" s="1868">
        <v>6.4999900000000004</v>
      </c>
      <c r="AT703" s="1868">
        <v>5.4185999999999996</v>
      </c>
      <c r="AU703" s="1868">
        <v>7.1566899999999993</v>
      </c>
      <c r="AV703" s="1868">
        <v>7.0331600000000005</v>
      </c>
      <c r="AW703" s="1868">
        <v>6.5412400000000002</v>
      </c>
      <c r="AX703" s="1868">
        <v>6.0835800000000004</v>
      </c>
      <c r="AY703" s="1868">
        <v>7.1425000000000001</v>
      </c>
      <c r="AZ703" s="1868">
        <v>6.9251800000000001</v>
      </c>
      <c r="BA703" s="1868">
        <v>7.1354199999999999</v>
      </c>
    </row>
    <row r="704" spans="1:53">
      <c r="A704" s="1865" t="str">
        <f t="shared" si="10"/>
        <v>European UnionMaize, green</v>
      </c>
      <c r="B704" s="1866" t="s">
        <v>1417</v>
      </c>
      <c r="C704" s="1866" t="s">
        <v>1383</v>
      </c>
      <c r="Y704" s="1868">
        <v>7.2454100000000006</v>
      </c>
      <c r="Z704" s="1868">
        <v>5.5365099999999998</v>
      </c>
      <c r="AA704" s="1868">
        <v>5.9136300000000004</v>
      </c>
      <c r="AB704" s="1868">
        <v>6.25</v>
      </c>
      <c r="AC704" s="1868">
        <v>6.4212099999999994</v>
      </c>
      <c r="AD704" s="1868">
        <v>6.7437300000000002</v>
      </c>
      <c r="AE704" s="1868">
        <v>14.68643</v>
      </c>
      <c r="AF704" s="1868">
        <v>13.6</v>
      </c>
      <c r="AG704" s="1868">
        <v>13.29945</v>
      </c>
      <c r="AH704" s="1868">
        <v>12.367289999999999</v>
      </c>
      <c r="AI704" s="1868">
        <v>12.03843</v>
      </c>
      <c r="AJ704" s="1868">
        <v>13.65962</v>
      </c>
      <c r="AK704" s="1868">
        <v>14.149579999999998</v>
      </c>
      <c r="AL704" s="1868">
        <v>14.17999</v>
      </c>
      <c r="AM704" s="1868">
        <v>15.979770000000002</v>
      </c>
      <c r="AN704" s="1868">
        <v>14.7723</v>
      </c>
      <c r="AO704" s="1868">
        <v>16.254939999999998</v>
      </c>
      <c r="AP704" s="1868">
        <v>15.454989999999999</v>
      </c>
      <c r="AQ704" s="1868">
        <v>15.68472</v>
      </c>
      <c r="AR704" s="1868">
        <v>16.74437</v>
      </c>
      <c r="AS704" s="1868">
        <v>15.265610000000001</v>
      </c>
      <c r="AT704" s="1868">
        <v>14.964260000000001</v>
      </c>
      <c r="AU704" s="1868">
        <v>17.075559999999999</v>
      </c>
      <c r="AV704" s="1868">
        <v>15.770489999999999</v>
      </c>
      <c r="AW704" s="1868">
        <v>16.595839999999999</v>
      </c>
      <c r="AX704" s="1868">
        <v>17.277979999999999</v>
      </c>
      <c r="AY704" s="1868">
        <v>17.57835</v>
      </c>
      <c r="AZ704" s="1868">
        <v>16.55275</v>
      </c>
      <c r="BA704" s="1868">
        <v>14.98926</v>
      </c>
    </row>
    <row r="705" spans="1:53">
      <c r="A705" s="1865" t="str">
        <f t="shared" si="10"/>
        <v>European UnionMillet</v>
      </c>
      <c r="B705" s="1866" t="s">
        <v>1417</v>
      </c>
      <c r="C705" s="1866" t="s">
        <v>1385</v>
      </c>
      <c r="D705" s="1868">
        <v>1.2234200000000002</v>
      </c>
      <c r="E705" s="1868">
        <v>1.0691299999999999</v>
      </c>
      <c r="F705" s="1868">
        <v>1.1456200000000001</v>
      </c>
      <c r="G705" s="1868">
        <v>1.24579</v>
      </c>
      <c r="H705" s="1868">
        <v>1.10945</v>
      </c>
      <c r="I705" s="1868">
        <v>1.17503</v>
      </c>
      <c r="J705" s="1868">
        <v>1.2934299999999999</v>
      </c>
      <c r="K705" s="1868">
        <v>1.3653299999999999</v>
      </c>
      <c r="L705" s="1868">
        <v>1.3070600000000001</v>
      </c>
      <c r="M705" s="1868">
        <v>1.2198500000000001</v>
      </c>
      <c r="N705" s="1868">
        <v>1.37351</v>
      </c>
      <c r="O705" s="1868">
        <v>1.43513</v>
      </c>
      <c r="P705" s="1868">
        <v>1.4769000000000001</v>
      </c>
      <c r="Q705" s="1868">
        <v>1.3058799999999999</v>
      </c>
      <c r="R705" s="1868">
        <v>1.2012399999999999</v>
      </c>
      <c r="S705" s="1868">
        <v>1.60446</v>
      </c>
      <c r="T705" s="1868">
        <v>1.34656</v>
      </c>
      <c r="U705" s="1868">
        <v>1.54657</v>
      </c>
      <c r="V705" s="1868">
        <v>1.4211799999999999</v>
      </c>
      <c r="W705" s="1868">
        <v>2.1695700000000002</v>
      </c>
      <c r="X705" s="1868">
        <v>1.4755400000000001</v>
      </c>
      <c r="Y705" s="1868">
        <v>2.1621799999999998</v>
      </c>
      <c r="Z705" s="1868">
        <v>2.4500299999999999</v>
      </c>
      <c r="AA705" s="1868">
        <v>1.7508599999999999</v>
      </c>
      <c r="AB705" s="1868">
        <v>2.4767700000000001</v>
      </c>
      <c r="AC705" s="1868">
        <v>1.6577599999999999</v>
      </c>
      <c r="AD705" s="1868">
        <v>2.16107</v>
      </c>
      <c r="AE705" s="1868">
        <v>1.8101900000000002</v>
      </c>
      <c r="AF705" s="1868">
        <v>2.05253</v>
      </c>
      <c r="AG705" s="1868">
        <v>1.23014</v>
      </c>
      <c r="AH705" s="1868">
        <v>1.7418400000000001</v>
      </c>
      <c r="AI705" s="1868">
        <v>0.88375999999999999</v>
      </c>
      <c r="AJ705" s="1868">
        <v>1.1469200000000002</v>
      </c>
      <c r="AK705" s="1868">
        <v>1.3433700000000002</v>
      </c>
      <c r="AL705" s="1868">
        <v>1.40072</v>
      </c>
      <c r="AM705" s="1868">
        <v>1.2967899999999999</v>
      </c>
      <c r="AN705" s="1868">
        <v>1.5219</v>
      </c>
      <c r="AO705" s="1868">
        <v>1.5984700000000001</v>
      </c>
      <c r="AP705" s="1868">
        <v>1.4761799999999998</v>
      </c>
      <c r="AQ705" s="1868">
        <v>1.2161299999999999</v>
      </c>
      <c r="AR705" s="1868">
        <v>1.67892</v>
      </c>
      <c r="AS705" s="1868">
        <v>1.7925799999999998</v>
      </c>
      <c r="AT705" s="1868">
        <v>1.8291999999999999</v>
      </c>
      <c r="AU705" s="1868">
        <v>1.8606799999999999</v>
      </c>
      <c r="AV705" s="1868">
        <v>2.0863299999999998</v>
      </c>
      <c r="AW705" s="1868">
        <v>1.9243599999999998</v>
      </c>
      <c r="AX705" s="1868">
        <v>1.8751200000000001</v>
      </c>
      <c r="AY705" s="1868">
        <v>2.3376399999999999</v>
      </c>
      <c r="AZ705" s="1868">
        <v>2.0505200000000001</v>
      </c>
      <c r="BA705" s="1868">
        <v>2.01945</v>
      </c>
    </row>
    <row r="706" spans="1:53">
      <c r="A706" s="1865" t="str">
        <f t="shared" si="10"/>
        <v>European UnionOats</v>
      </c>
      <c r="B706" s="1866" t="s">
        <v>1417</v>
      </c>
      <c r="C706" s="1866" t="s">
        <v>1349</v>
      </c>
      <c r="D706" s="1868">
        <v>1.9852900000000002</v>
      </c>
      <c r="E706" s="1868">
        <v>2.0259099999999997</v>
      </c>
      <c r="F706" s="1868">
        <v>2.0594399999999999</v>
      </c>
      <c r="G706" s="1868">
        <v>2.0333000000000001</v>
      </c>
      <c r="H706" s="1868">
        <v>2.1630400000000001</v>
      </c>
      <c r="I706" s="1868">
        <v>2.1735599999999997</v>
      </c>
      <c r="J706" s="1868">
        <v>2.42639</v>
      </c>
      <c r="K706" s="1868">
        <v>2.4485900000000003</v>
      </c>
      <c r="L706" s="1868">
        <v>2.4512099999999997</v>
      </c>
      <c r="M706" s="1868">
        <v>2.3580400000000004</v>
      </c>
      <c r="N706" s="1868">
        <v>2.7725299999999997</v>
      </c>
      <c r="O706" s="1868">
        <v>2.6837400000000002</v>
      </c>
      <c r="P706" s="1868">
        <v>2.5719400000000001</v>
      </c>
      <c r="Q706" s="1868">
        <v>2.88367</v>
      </c>
      <c r="R706" s="1868">
        <v>2.6280900000000003</v>
      </c>
      <c r="S706" s="1868">
        <v>2.3879000000000001</v>
      </c>
      <c r="T706" s="1868">
        <v>2.5831400000000002</v>
      </c>
      <c r="U706" s="1868">
        <v>2.8897699999999999</v>
      </c>
      <c r="V706" s="1868">
        <v>2.7072500000000002</v>
      </c>
      <c r="W706" s="1868">
        <v>2.8203999999999998</v>
      </c>
      <c r="X706" s="1868">
        <v>2.7699099999999999</v>
      </c>
      <c r="Y706" s="1868">
        <v>2.8847499999999999</v>
      </c>
      <c r="Z706" s="1868">
        <v>2.5577400000000003</v>
      </c>
      <c r="AA706" s="1868">
        <v>3.26451</v>
      </c>
      <c r="AB706" s="1868">
        <v>3.13916</v>
      </c>
      <c r="AC706" s="1868">
        <v>2.9705400000000002</v>
      </c>
      <c r="AD706" s="1868">
        <v>3.00481</v>
      </c>
      <c r="AE706" s="1868">
        <v>2.9126699999999999</v>
      </c>
      <c r="AF706" s="1868">
        <v>2.9434400000000003</v>
      </c>
      <c r="AG706" s="1868">
        <v>3.2236899999999999</v>
      </c>
      <c r="AH706" s="1868">
        <v>3.1036900000000003</v>
      </c>
      <c r="AI706" s="1868">
        <v>2.3718300000000001</v>
      </c>
      <c r="AJ706" s="1868">
        <v>2.93981</v>
      </c>
      <c r="AK706" s="1868">
        <v>2.6684400000000004</v>
      </c>
      <c r="AL706" s="1868">
        <v>2.7770099999999998</v>
      </c>
      <c r="AM706" s="1868">
        <v>3.0532699999999999</v>
      </c>
      <c r="AN706" s="1868">
        <v>2.9721299999999999</v>
      </c>
      <c r="AO706" s="1868">
        <v>2.88916</v>
      </c>
      <c r="AP706" s="1868">
        <v>2.7063700000000002</v>
      </c>
      <c r="AQ706" s="1868">
        <v>2.8201400000000003</v>
      </c>
      <c r="AR706" s="1868">
        <v>2.8006500000000001</v>
      </c>
      <c r="AS706" s="1868">
        <v>2.9767900000000003</v>
      </c>
      <c r="AT706" s="1868">
        <v>2.8353299999999999</v>
      </c>
      <c r="AU706" s="1868">
        <v>3.1965599999999998</v>
      </c>
      <c r="AV706" s="1868">
        <v>2.7533400000000001</v>
      </c>
      <c r="AW706" s="1868">
        <v>2.6544699999999999</v>
      </c>
      <c r="AX706" s="1868">
        <v>2.94964</v>
      </c>
      <c r="AY706" s="1868">
        <v>2.9902900000000003</v>
      </c>
      <c r="AZ706" s="1868">
        <v>2.9365200000000002</v>
      </c>
      <c r="BA706" s="1868">
        <v>2.7203499999999998</v>
      </c>
    </row>
    <row r="707" spans="1:53">
      <c r="A707" s="1865" t="str">
        <f t="shared" si="10"/>
        <v>European UnionOlives</v>
      </c>
      <c r="B707" s="1866" t="s">
        <v>1417</v>
      </c>
      <c r="C707" s="1866" t="s">
        <v>1387</v>
      </c>
      <c r="D707" s="1868">
        <v>5.0334400000000006</v>
      </c>
      <c r="E707" s="1868">
        <v>3.2322500000000001</v>
      </c>
      <c r="F707" s="1868">
        <v>6.2578899999999997</v>
      </c>
      <c r="G707" s="1868">
        <v>2.69739</v>
      </c>
      <c r="H707" s="1868">
        <v>4.20519</v>
      </c>
      <c r="I707" s="1868">
        <v>3.9361000000000002</v>
      </c>
      <c r="J707" s="1868">
        <v>4.39046</v>
      </c>
      <c r="K707" s="1868">
        <v>4.1167600000000002</v>
      </c>
      <c r="L707" s="1868">
        <v>4.0956599999999996</v>
      </c>
      <c r="M707" s="1868">
        <v>4.18154</v>
      </c>
      <c r="N707" s="1868">
        <v>4.3007599999999995</v>
      </c>
      <c r="O707" s="1868">
        <v>4.1218699999999995</v>
      </c>
      <c r="P707" s="1868">
        <v>4.5222600000000002</v>
      </c>
      <c r="Q707" s="1868">
        <v>3.8273599999999997</v>
      </c>
      <c r="R707" s="1868">
        <v>5.1249000000000002</v>
      </c>
      <c r="S707" s="1868">
        <v>3.6528800000000001</v>
      </c>
      <c r="T707" s="1868">
        <v>4.8707599999999998</v>
      </c>
      <c r="U707" s="1868">
        <v>4.7321800000000005</v>
      </c>
      <c r="V707" s="1868">
        <v>4.9120200000000001</v>
      </c>
      <c r="W707" s="1868">
        <v>3.1873099999999996</v>
      </c>
      <c r="X707" s="1868">
        <v>1.8674599999999999</v>
      </c>
      <c r="Y707" s="1868">
        <v>2.3557700000000001</v>
      </c>
      <c r="Z707" s="1868">
        <v>2.13293</v>
      </c>
      <c r="AA707" s="1868">
        <v>2.1368900000000002</v>
      </c>
      <c r="AB707" s="1868">
        <v>1.7437599999999998</v>
      </c>
      <c r="AC707" s="1868">
        <v>1.41683</v>
      </c>
      <c r="AD707" s="1868">
        <v>2.0996999999999999</v>
      </c>
      <c r="AE707" s="1868">
        <v>1.4704600000000001</v>
      </c>
      <c r="AF707" s="1868">
        <v>1.8874200000000001</v>
      </c>
      <c r="AG707" s="1868">
        <v>1.2952399999999999</v>
      </c>
      <c r="AH707" s="1868">
        <v>2.218</v>
      </c>
      <c r="AI707" s="1868">
        <v>1.78403</v>
      </c>
      <c r="AJ707" s="1868">
        <v>1.8072599999999999</v>
      </c>
      <c r="AK707" s="1868">
        <v>1.7912099999999997</v>
      </c>
      <c r="AL707" s="1868">
        <v>1.75606</v>
      </c>
      <c r="AM707" s="1868">
        <v>2.11653</v>
      </c>
      <c r="AN707" s="1868">
        <v>2.6839</v>
      </c>
      <c r="AO707" s="1868">
        <v>2.08623</v>
      </c>
      <c r="AP707" s="1868">
        <v>2.2291099999999999</v>
      </c>
      <c r="AQ707" s="1868">
        <v>2.2797800000000001</v>
      </c>
      <c r="AR707" s="1868">
        <v>2.6377200000000003</v>
      </c>
      <c r="AS707" s="1868">
        <v>2.2129699999999999</v>
      </c>
      <c r="AT707" s="1868">
        <v>2.8157000000000001</v>
      </c>
      <c r="AU707" s="1868">
        <v>2.54528</v>
      </c>
      <c r="AV707" s="1868">
        <v>2.2024300000000001</v>
      </c>
      <c r="AW707" s="1868">
        <v>2.4549400000000001</v>
      </c>
      <c r="AX707" s="1868">
        <v>2.47065</v>
      </c>
      <c r="AY707" s="1868">
        <v>2.47818</v>
      </c>
      <c r="AZ707" s="1868">
        <v>2.8617499999999998</v>
      </c>
      <c r="BA707" s="1868">
        <v>3.0202599999999999</v>
      </c>
    </row>
    <row r="708" spans="1:53">
      <c r="A708" s="1865" t="str">
        <f t="shared" ref="A708:A771" si="11">CONCATENATE(B708,C708)</f>
        <v>European UnionOnions, dry</v>
      </c>
      <c r="B708" s="1866" t="s">
        <v>1417</v>
      </c>
      <c r="C708" s="1866" t="s">
        <v>1388</v>
      </c>
      <c r="D708" s="1868">
        <v>14.586889999999999</v>
      </c>
      <c r="E708" s="1868">
        <v>14.311779999999999</v>
      </c>
      <c r="F708" s="1868">
        <v>15.13091</v>
      </c>
      <c r="G708" s="1868">
        <v>15.2143</v>
      </c>
      <c r="H708" s="1868">
        <v>14.814420000000002</v>
      </c>
      <c r="I708" s="1868">
        <v>15.910270000000001</v>
      </c>
      <c r="J708" s="1868">
        <v>16.660399999999999</v>
      </c>
      <c r="K708" s="1868">
        <v>16.204889999999999</v>
      </c>
      <c r="L708" s="1868">
        <v>16.118279999999999</v>
      </c>
      <c r="M708" s="1868">
        <v>16.121110000000002</v>
      </c>
      <c r="N708" s="1868">
        <v>17.109439999999999</v>
      </c>
      <c r="O708" s="1868">
        <v>18.02488</v>
      </c>
      <c r="P708" s="1868">
        <v>18.132070000000002</v>
      </c>
      <c r="Q708" s="1868">
        <v>18.194269999999999</v>
      </c>
      <c r="R708" s="1868">
        <v>16.72983</v>
      </c>
      <c r="S708" s="1868">
        <v>16.829360000000001</v>
      </c>
      <c r="T708" s="1868">
        <v>20.183540000000001</v>
      </c>
      <c r="U708" s="1868">
        <v>20.095359999999999</v>
      </c>
      <c r="V708" s="1868">
        <v>19.625399999999999</v>
      </c>
      <c r="W708" s="1868">
        <v>19.118690000000001</v>
      </c>
      <c r="X708" s="1868">
        <v>21.12219</v>
      </c>
      <c r="Y708" s="1868">
        <v>22.229979999999998</v>
      </c>
      <c r="Z708" s="1868">
        <v>20.361660000000001</v>
      </c>
      <c r="AA708" s="1868">
        <v>23.313279999999999</v>
      </c>
      <c r="AB708" s="1868">
        <v>23.56569</v>
      </c>
      <c r="AC708" s="1868">
        <v>23.084949999999999</v>
      </c>
      <c r="AD708" s="1868">
        <v>22.627400000000002</v>
      </c>
      <c r="AE708" s="1868">
        <v>22.26362</v>
      </c>
      <c r="AF708" s="1868">
        <v>23.227360000000001</v>
      </c>
      <c r="AG708" s="1868">
        <v>24.015460000000001</v>
      </c>
      <c r="AH708" s="1868">
        <v>24.567299999999999</v>
      </c>
      <c r="AI708" s="1868">
        <v>22.608339999999998</v>
      </c>
      <c r="AJ708" s="1868">
        <v>23.506209999999999</v>
      </c>
      <c r="AK708" s="1868">
        <v>22.43627</v>
      </c>
      <c r="AL708" s="1868">
        <v>22.549039999999998</v>
      </c>
      <c r="AM708" s="1868">
        <v>24.023529999999997</v>
      </c>
      <c r="AN708" s="1868">
        <v>25.07161</v>
      </c>
      <c r="AO708" s="1868">
        <v>25.501639999999998</v>
      </c>
      <c r="AP708" s="1868">
        <v>26.081189999999999</v>
      </c>
      <c r="AQ708" s="1868">
        <v>26.169220000000003</v>
      </c>
      <c r="AR708" s="1868">
        <v>27.680109999999999</v>
      </c>
      <c r="AS708" s="1868">
        <v>27.70823</v>
      </c>
      <c r="AT708" s="1868">
        <v>25.458649999999999</v>
      </c>
      <c r="AU708" s="1868">
        <v>30.83033</v>
      </c>
      <c r="AV708" s="1868">
        <v>29.439629999999998</v>
      </c>
      <c r="AW708" s="1868">
        <v>27.031700000000001</v>
      </c>
      <c r="AX708" s="1868">
        <v>28.56747</v>
      </c>
      <c r="AY708" s="1868">
        <v>28.448970000000003</v>
      </c>
      <c r="AZ708" s="1868">
        <v>30.846759999999996</v>
      </c>
      <c r="BA708" s="1868">
        <v>29.488529999999997</v>
      </c>
    </row>
    <row r="709" spans="1:53">
      <c r="A709" s="1865" t="str">
        <f t="shared" si="11"/>
        <v>European UnionOranges</v>
      </c>
      <c r="B709" s="1866" t="s">
        <v>1417</v>
      </c>
      <c r="C709" s="1866" t="s">
        <v>1389</v>
      </c>
      <c r="D709" s="1868">
        <v>16.360250000000001</v>
      </c>
      <c r="E709" s="1868">
        <v>12.52556</v>
      </c>
      <c r="F709" s="1868">
        <v>15.80335</v>
      </c>
      <c r="G709" s="1868">
        <v>16.413360000000001</v>
      </c>
      <c r="H709" s="1868">
        <v>16.31653</v>
      </c>
      <c r="I709" s="1868">
        <v>17.59544</v>
      </c>
      <c r="J709" s="1868">
        <v>15.90851</v>
      </c>
      <c r="K709" s="1868">
        <v>15.885620000000001</v>
      </c>
      <c r="L709" s="1868">
        <v>17.73574</v>
      </c>
      <c r="M709" s="1868">
        <v>14.23485</v>
      </c>
      <c r="N709" s="1868">
        <v>14.68324</v>
      </c>
      <c r="O709" s="1868">
        <v>16.89228</v>
      </c>
      <c r="P709" s="1868">
        <v>15.323670000000002</v>
      </c>
      <c r="Q709" s="1868">
        <v>15.372229999999998</v>
      </c>
      <c r="R709" s="1868">
        <v>14.80256</v>
      </c>
      <c r="S709" s="1868">
        <v>14.833860000000001</v>
      </c>
      <c r="T709" s="1868">
        <v>14.427049999999999</v>
      </c>
      <c r="U709" s="1868">
        <v>13.39753</v>
      </c>
      <c r="V709" s="1868">
        <v>14.8005</v>
      </c>
      <c r="W709" s="1868">
        <v>15.121310000000001</v>
      </c>
      <c r="X709" s="1868">
        <v>15.371779999999999</v>
      </c>
      <c r="Y709" s="1868">
        <v>15.31719</v>
      </c>
      <c r="Z709" s="1868">
        <v>19.782399999999999</v>
      </c>
      <c r="AA709" s="1868">
        <v>14.668239999999999</v>
      </c>
      <c r="AB709" s="1868">
        <v>18.181899999999999</v>
      </c>
      <c r="AC709" s="1868">
        <v>19.257439999999999</v>
      </c>
      <c r="AD709" s="1868">
        <v>15.768979999999999</v>
      </c>
      <c r="AE709" s="1868">
        <v>18.947229999999998</v>
      </c>
      <c r="AF709" s="1868">
        <v>20.450870000000002</v>
      </c>
      <c r="AG709" s="1868">
        <v>18.71425</v>
      </c>
      <c r="AH709" s="1868">
        <v>18.540150000000001</v>
      </c>
      <c r="AI709" s="1868">
        <v>20.77271</v>
      </c>
      <c r="AJ709" s="1868">
        <v>18.713850000000001</v>
      </c>
      <c r="AK709" s="1868">
        <v>18.650579999999998</v>
      </c>
      <c r="AL709" s="1868">
        <v>17.685559999999999</v>
      </c>
      <c r="AM709" s="1868">
        <v>16.903700000000001</v>
      </c>
      <c r="AN709" s="1868">
        <v>19.282710000000002</v>
      </c>
      <c r="AO709" s="1868">
        <v>15.75784</v>
      </c>
      <c r="AP709" s="1868">
        <v>19.20609</v>
      </c>
      <c r="AQ709" s="1868">
        <v>18.788889999999999</v>
      </c>
      <c r="AR709" s="1868">
        <v>19.524699999999999</v>
      </c>
      <c r="AS709" s="1868">
        <v>21.253640000000001</v>
      </c>
      <c r="AT709" s="1868">
        <v>19.74522</v>
      </c>
      <c r="AU709" s="1868">
        <v>19.22767</v>
      </c>
      <c r="AV709" s="1868">
        <v>19.03247</v>
      </c>
      <c r="AW709" s="1868">
        <v>22.507170000000002</v>
      </c>
      <c r="AX709" s="1868">
        <v>20.255600000000001</v>
      </c>
      <c r="AY709" s="1868">
        <v>20.751809999999999</v>
      </c>
      <c r="AZ709" s="1868">
        <v>19.561239999999998</v>
      </c>
      <c r="BA709" s="1868">
        <v>22.677720000000001</v>
      </c>
    </row>
    <row r="710" spans="1:53">
      <c r="A710" s="1865" t="str">
        <f t="shared" si="11"/>
        <v>European UnionPeaches and nectarines</v>
      </c>
      <c r="B710" s="1866" t="s">
        <v>1417</v>
      </c>
      <c r="C710" s="1866" t="s">
        <v>1390</v>
      </c>
      <c r="D710" s="1868">
        <v>9.3698999999999995</v>
      </c>
      <c r="E710" s="1868">
        <v>9.0932600000000008</v>
      </c>
      <c r="F710" s="1868">
        <v>10.70439</v>
      </c>
      <c r="G710" s="1868">
        <v>11.179449999999999</v>
      </c>
      <c r="H710" s="1868">
        <v>10.78087</v>
      </c>
      <c r="I710" s="1868">
        <v>10.40277</v>
      </c>
      <c r="J710" s="1868">
        <v>10.452860000000001</v>
      </c>
      <c r="K710" s="1868">
        <v>13.6264</v>
      </c>
      <c r="L710" s="1868">
        <v>10.7461</v>
      </c>
      <c r="M710" s="1868">
        <v>11.70463</v>
      </c>
      <c r="N710" s="1868">
        <v>13.20791</v>
      </c>
      <c r="O710" s="1868">
        <v>12.991949999999999</v>
      </c>
      <c r="P710" s="1868">
        <v>12.64597</v>
      </c>
      <c r="Q710" s="1868">
        <v>13.05172</v>
      </c>
      <c r="R710" s="1868">
        <v>9.9997699999999998</v>
      </c>
      <c r="S710" s="1868">
        <v>14.695689999999999</v>
      </c>
      <c r="T710" s="1868">
        <v>11.19229</v>
      </c>
      <c r="U710" s="1868">
        <v>13.406329999999999</v>
      </c>
      <c r="V710" s="1868">
        <v>13.136679999999998</v>
      </c>
      <c r="W710" s="1868">
        <v>14.15011</v>
      </c>
      <c r="X710" s="1868">
        <v>15.42421</v>
      </c>
      <c r="Y710" s="1868">
        <v>15.604629999999998</v>
      </c>
      <c r="Z710" s="1868">
        <v>16.161249999999999</v>
      </c>
      <c r="AA710" s="1868">
        <v>15.644070000000001</v>
      </c>
      <c r="AB710" s="1868">
        <v>13.536979999999998</v>
      </c>
      <c r="AC710" s="1868">
        <v>13.343620000000001</v>
      </c>
      <c r="AD710" s="1868">
        <v>12.90723</v>
      </c>
      <c r="AE710" s="1868">
        <v>12.34375</v>
      </c>
      <c r="AF710" s="1868">
        <v>13.83789</v>
      </c>
      <c r="AG710" s="1868">
        <v>13.602679999999999</v>
      </c>
      <c r="AH710" s="1868">
        <v>12.33366</v>
      </c>
      <c r="AI710" s="1868">
        <v>16.269010000000002</v>
      </c>
      <c r="AJ710" s="1868">
        <v>14.01515</v>
      </c>
      <c r="AK710" s="1868">
        <v>14.920520000000002</v>
      </c>
      <c r="AL710" s="1868">
        <v>12.616630000000001</v>
      </c>
      <c r="AM710" s="1868">
        <v>14.96308</v>
      </c>
      <c r="AN710" s="1868">
        <v>12.09615</v>
      </c>
      <c r="AO710" s="1868">
        <v>12.71008</v>
      </c>
      <c r="AP710" s="1868">
        <v>16.608879999999999</v>
      </c>
      <c r="AQ710" s="1868">
        <v>16.785229999999999</v>
      </c>
      <c r="AR710" s="1868">
        <v>16.117090000000001</v>
      </c>
      <c r="AS710" s="1868">
        <v>16.00141</v>
      </c>
      <c r="AT710" s="1868">
        <v>12.134360000000001</v>
      </c>
      <c r="AU710" s="1868">
        <v>16.007760000000001</v>
      </c>
      <c r="AV710" s="1868">
        <v>17.095500000000001</v>
      </c>
      <c r="AW710" s="1868">
        <v>16.86262</v>
      </c>
      <c r="AX710" s="1868">
        <v>16.598710000000001</v>
      </c>
      <c r="AY710" s="1868">
        <v>16.83831</v>
      </c>
      <c r="AZ710" s="1868">
        <v>17.033550000000002</v>
      </c>
      <c r="BA710" s="1868">
        <v>16.17484</v>
      </c>
    </row>
    <row r="711" spans="1:53">
      <c r="A711" s="1865" t="str">
        <f t="shared" si="11"/>
        <v>European UnionPeas, dry</v>
      </c>
      <c r="B711" s="1866" t="s">
        <v>1417</v>
      </c>
      <c r="C711" s="1866" t="s">
        <v>1391</v>
      </c>
      <c r="D711" s="1868">
        <v>1.37419</v>
      </c>
      <c r="E711" s="1868">
        <v>1.28339</v>
      </c>
      <c r="F711" s="1868">
        <v>1.27959</v>
      </c>
      <c r="G711" s="1868">
        <v>1.32274</v>
      </c>
      <c r="H711" s="1868">
        <v>1.4763500000000001</v>
      </c>
      <c r="I711" s="1868">
        <v>1.42147</v>
      </c>
      <c r="J711" s="1868">
        <v>1.66235</v>
      </c>
      <c r="K711" s="1868">
        <v>1.1248100000000001</v>
      </c>
      <c r="L711" s="1868">
        <v>1.4457799999999998</v>
      </c>
      <c r="M711" s="1868">
        <v>1.6693099999999998</v>
      </c>
      <c r="N711" s="1868">
        <v>1.66808</v>
      </c>
      <c r="O711" s="1868">
        <v>1.51251</v>
      </c>
      <c r="P711" s="1868">
        <v>1.56162</v>
      </c>
      <c r="Q711" s="1868">
        <v>2.2332700000000001</v>
      </c>
      <c r="R711" s="1868">
        <v>2.01254</v>
      </c>
      <c r="S711" s="1868">
        <v>1.93327</v>
      </c>
      <c r="T711" s="1868">
        <v>2.1399499999999998</v>
      </c>
      <c r="U711" s="1868">
        <v>2.4112499999999999</v>
      </c>
      <c r="V711" s="1868">
        <v>2.2650999999999999</v>
      </c>
      <c r="W711" s="1868">
        <v>2.6531599999999997</v>
      </c>
      <c r="X711" s="1868">
        <v>2.4047400000000003</v>
      </c>
      <c r="Y711" s="1868">
        <v>2.90564</v>
      </c>
      <c r="Z711" s="1868">
        <v>2.6879200000000001</v>
      </c>
      <c r="AA711" s="1868">
        <v>3.2777300000000005</v>
      </c>
      <c r="AB711" s="1868">
        <v>3.2389200000000002</v>
      </c>
      <c r="AC711" s="1868">
        <v>3.2536499999999999</v>
      </c>
      <c r="AD711" s="1868">
        <v>3.0852200000000001</v>
      </c>
      <c r="AE711" s="1868">
        <v>3.7946199999999997</v>
      </c>
      <c r="AF711" s="1868">
        <v>3.5477099999999999</v>
      </c>
      <c r="AG711" s="1868">
        <v>4.1897500000000001</v>
      </c>
      <c r="AH711" s="1868">
        <v>3.99716</v>
      </c>
      <c r="AI711" s="1868">
        <v>3.7611699999999999</v>
      </c>
      <c r="AJ711" s="1868">
        <v>3.8752</v>
      </c>
      <c r="AK711" s="1868">
        <v>4.0157499999999997</v>
      </c>
      <c r="AL711" s="1868">
        <v>3.6589</v>
      </c>
      <c r="AM711" s="1868">
        <v>3.6068199999999999</v>
      </c>
      <c r="AN711" s="1868">
        <v>3.8986400000000003</v>
      </c>
      <c r="AO711" s="1868">
        <v>3.97254</v>
      </c>
      <c r="AP711" s="1868">
        <v>4.0763999999999996</v>
      </c>
      <c r="AQ711" s="1868">
        <v>3.5164699999999995</v>
      </c>
      <c r="AR711" s="1868">
        <v>3.3317999999999999</v>
      </c>
      <c r="AS711" s="1868">
        <v>3.4324400000000002</v>
      </c>
      <c r="AT711" s="1868">
        <v>3.2882500000000001</v>
      </c>
      <c r="AU711" s="1868">
        <v>3.5567800000000003</v>
      </c>
      <c r="AV711" s="1868">
        <v>3.0345400000000002</v>
      </c>
      <c r="AW711" s="1868">
        <v>2.92638</v>
      </c>
      <c r="AX711" s="1868">
        <v>2.4529400000000003</v>
      </c>
      <c r="AY711" s="1868">
        <v>2.6803599999999999</v>
      </c>
      <c r="AZ711" s="1868">
        <v>2.6023000000000001</v>
      </c>
      <c r="BA711" s="1868">
        <v>2.7277999999999998</v>
      </c>
    </row>
    <row r="712" spans="1:53">
      <c r="A712" s="1865" t="str">
        <f t="shared" si="11"/>
        <v>European UnionPeas, green</v>
      </c>
      <c r="B712" s="1866" t="s">
        <v>1417</v>
      </c>
      <c r="C712" s="1866" t="s">
        <v>1392</v>
      </c>
      <c r="D712" s="1868">
        <v>6.2047300000000005</v>
      </c>
      <c r="E712" s="1868">
        <v>6.3559700000000001</v>
      </c>
      <c r="F712" s="1868">
        <v>6.3238599999999998</v>
      </c>
      <c r="G712" s="1868">
        <v>6.6294100000000009</v>
      </c>
      <c r="H712" s="1868">
        <v>6.25664</v>
      </c>
      <c r="I712" s="1868">
        <v>6.6464800000000004</v>
      </c>
      <c r="J712" s="1868">
        <v>7.1156800000000002</v>
      </c>
      <c r="K712" s="1868">
        <v>6.5431699999999999</v>
      </c>
      <c r="L712" s="1868">
        <v>7.0289800000000007</v>
      </c>
      <c r="M712" s="1868">
        <v>6.8697800000000004</v>
      </c>
      <c r="N712" s="1868">
        <v>7.1167899999999991</v>
      </c>
      <c r="O712" s="1868">
        <v>6.9852999999999996</v>
      </c>
      <c r="P712" s="1868">
        <v>7.6953899999999997</v>
      </c>
      <c r="Q712" s="1868">
        <v>8.4202999999999992</v>
      </c>
      <c r="R712" s="1868">
        <v>7.5324499999999999</v>
      </c>
      <c r="S712" s="1868">
        <v>6.0591499999999998</v>
      </c>
      <c r="T712" s="1868">
        <v>7.8032000000000004</v>
      </c>
      <c r="U712" s="1868">
        <v>7.340110000000001</v>
      </c>
      <c r="V712" s="1868">
        <v>7.2882300000000004</v>
      </c>
      <c r="W712" s="1868">
        <v>7.3069699999999997</v>
      </c>
      <c r="X712" s="1868">
        <v>8.0770199999999992</v>
      </c>
      <c r="Y712" s="1868">
        <v>8.6471699999999991</v>
      </c>
      <c r="Z712" s="1868">
        <v>7.9118600000000008</v>
      </c>
      <c r="AA712" s="1868">
        <v>9.3683800000000002</v>
      </c>
      <c r="AB712" s="1868">
        <v>8.3482199999999995</v>
      </c>
      <c r="AC712" s="1868">
        <v>8.4216800000000003</v>
      </c>
      <c r="AD712" s="1868">
        <v>7.3489699999999996</v>
      </c>
      <c r="AE712" s="1868">
        <v>7.9461000000000004</v>
      </c>
      <c r="AF712" s="1868">
        <v>8.7972300000000008</v>
      </c>
      <c r="AG712" s="1868">
        <v>8.6647199999999991</v>
      </c>
      <c r="AH712" s="1868">
        <v>9.0273699999999995</v>
      </c>
      <c r="AI712" s="1868">
        <v>8.9097100000000005</v>
      </c>
      <c r="AJ712" s="1868">
        <v>9.0115300000000005</v>
      </c>
      <c r="AK712" s="1868">
        <v>8.9649999999999999</v>
      </c>
      <c r="AL712" s="1868">
        <v>9.5122100000000014</v>
      </c>
      <c r="AM712" s="1868">
        <v>10.266539999999999</v>
      </c>
      <c r="AN712" s="1868">
        <v>10.023630000000001</v>
      </c>
      <c r="AO712" s="1868">
        <v>10.14038</v>
      </c>
      <c r="AP712" s="1868">
        <v>9.9675200000000004</v>
      </c>
      <c r="AQ712" s="1868">
        <v>9.9060699999999997</v>
      </c>
      <c r="AR712" s="1868">
        <v>9.0090000000000003</v>
      </c>
      <c r="AS712" s="1868">
        <v>8.8356399999999997</v>
      </c>
      <c r="AT712" s="1868">
        <v>8.1281300000000005</v>
      </c>
      <c r="AU712" s="1868">
        <v>8.3491</v>
      </c>
      <c r="AV712" s="1868">
        <v>7.8357299999999999</v>
      </c>
      <c r="AW712" s="1868">
        <v>7.4941899999999997</v>
      </c>
      <c r="AX712" s="1868">
        <v>6.7924699999999998</v>
      </c>
      <c r="AY712" s="1868">
        <v>7.6966100000000006</v>
      </c>
      <c r="AZ712" s="1868">
        <v>9.6936600000000013</v>
      </c>
      <c r="BA712" s="1868">
        <v>7.9965199999999994</v>
      </c>
    </row>
    <row r="713" spans="1:53">
      <c r="A713" s="1865" t="str">
        <f t="shared" si="11"/>
        <v>European UnionPineapples</v>
      </c>
      <c r="B713" s="1866" t="s">
        <v>1417</v>
      </c>
      <c r="C713" s="1866" t="s">
        <v>1351</v>
      </c>
      <c r="D713" s="1868">
        <v>7.5</v>
      </c>
      <c r="E713" s="1868">
        <v>7.5</v>
      </c>
      <c r="F713" s="1868">
        <v>7.8125</v>
      </c>
      <c r="G713" s="1868">
        <v>7.8125</v>
      </c>
      <c r="H713" s="1868">
        <v>7.7651199999999996</v>
      </c>
      <c r="I713" s="1868">
        <v>7.0953499999999998</v>
      </c>
      <c r="J713" s="1868">
        <v>8.3953500000000005</v>
      </c>
      <c r="K713" s="1868">
        <v>8.1906999999999996</v>
      </c>
      <c r="L713" s="1868">
        <v>8.2828600000000012</v>
      </c>
      <c r="M713" s="1868">
        <v>8.1960800000000003</v>
      </c>
      <c r="N713" s="1868">
        <v>8.0078399999999998</v>
      </c>
      <c r="O713" s="1868">
        <v>8.3318200000000004</v>
      </c>
      <c r="P713" s="1868">
        <v>8.231819999999999</v>
      </c>
      <c r="Q713" s="1868">
        <v>8.43</v>
      </c>
      <c r="R713" s="1868">
        <v>8.3249999999999993</v>
      </c>
      <c r="S713" s="1868">
        <v>8.2550000000000008</v>
      </c>
      <c r="T713" s="1868">
        <v>6.8</v>
      </c>
      <c r="U713" s="1868">
        <v>7.8250000000000002</v>
      </c>
      <c r="V713" s="1868">
        <v>7.9850000000000003</v>
      </c>
      <c r="W713" s="1868">
        <v>8.0250000000000004</v>
      </c>
      <c r="X713" s="1868">
        <v>7.67</v>
      </c>
      <c r="Y713" s="1868">
        <v>7.7555600000000009</v>
      </c>
      <c r="Z713" s="1868">
        <v>7.9055600000000004</v>
      </c>
      <c r="AA713" s="1868">
        <v>7.9222199999999994</v>
      </c>
      <c r="AB713" s="1868">
        <v>8.4812499999999993</v>
      </c>
      <c r="AC713" s="1868">
        <v>8.2750000000000004</v>
      </c>
      <c r="AD713" s="1868">
        <v>8.4250000000000007</v>
      </c>
      <c r="AE713" s="1868">
        <v>7.9058800000000007</v>
      </c>
      <c r="AF713" s="1868">
        <v>8.4058799999999998</v>
      </c>
      <c r="AG713" s="1868">
        <v>7.5</v>
      </c>
      <c r="AH713" s="1868">
        <v>9.0909100000000009</v>
      </c>
      <c r="AI713" s="1868">
        <v>9.9130399999999987</v>
      </c>
      <c r="AJ713" s="1868">
        <v>10</v>
      </c>
      <c r="AK713" s="1868">
        <v>11.77895</v>
      </c>
      <c r="AL713" s="1868">
        <v>14.26111</v>
      </c>
      <c r="AM713" s="1868">
        <v>16.096589999999999</v>
      </c>
      <c r="AN713" s="1868">
        <v>14.80625</v>
      </c>
      <c r="AO713" s="1868">
        <v>10.590060000000001</v>
      </c>
      <c r="AP713" s="1868">
        <v>12.810130000000001</v>
      </c>
      <c r="AQ713" s="1868">
        <v>12.911569999999999</v>
      </c>
      <c r="AR713" s="1868">
        <v>11.86806</v>
      </c>
      <c r="AS713" s="1868">
        <v>14.07042</v>
      </c>
      <c r="AT713" s="1868">
        <v>12.687939999999999</v>
      </c>
      <c r="AU713" s="1868">
        <v>14.302160000000001</v>
      </c>
      <c r="AV713" s="1868">
        <v>13.260870000000001</v>
      </c>
      <c r="AW713" s="1868">
        <v>12.5</v>
      </c>
      <c r="AX713" s="1868">
        <v>12</v>
      </c>
      <c r="AY713" s="1868">
        <v>12</v>
      </c>
      <c r="AZ713" s="1868">
        <v>11.97719</v>
      </c>
      <c r="BA713" s="1868">
        <v>13.584910000000001</v>
      </c>
    </row>
    <row r="714" spans="1:53">
      <c r="A714" s="1865" t="str">
        <f t="shared" si="11"/>
        <v>European UnionPotatoes</v>
      </c>
      <c r="B714" s="1866" t="s">
        <v>1417</v>
      </c>
      <c r="C714" s="1866" t="s">
        <v>1394</v>
      </c>
      <c r="D714" s="1868">
        <v>15.98429</v>
      </c>
      <c r="E714" s="1868">
        <v>15.735860000000001</v>
      </c>
      <c r="F714" s="1868">
        <v>17.42295</v>
      </c>
      <c r="G714" s="1868">
        <v>17.170310000000001</v>
      </c>
      <c r="H714" s="1868">
        <v>16.497669999999999</v>
      </c>
      <c r="I714" s="1868">
        <v>17.9238</v>
      </c>
      <c r="J714" s="1868">
        <v>18.975300000000001</v>
      </c>
      <c r="K714" s="1868">
        <v>19.245249999999999</v>
      </c>
      <c r="L714" s="1868">
        <v>17.527539999999998</v>
      </c>
      <c r="M714" s="1868">
        <v>19.266359999999999</v>
      </c>
      <c r="N714" s="1868">
        <v>17.717589999999998</v>
      </c>
      <c r="O714" s="1868">
        <v>19.642779999999998</v>
      </c>
      <c r="P714" s="1868">
        <v>19.76868</v>
      </c>
      <c r="Q714" s="1868">
        <v>20.240449999999999</v>
      </c>
      <c r="R714" s="1868">
        <v>18.0075</v>
      </c>
      <c r="S714" s="1868">
        <v>18.465440000000001</v>
      </c>
      <c r="T714" s="1868">
        <v>19.079529999999998</v>
      </c>
      <c r="U714" s="1868">
        <v>20.929549999999999</v>
      </c>
      <c r="V714" s="1868">
        <v>21.633299999999998</v>
      </c>
      <c r="W714" s="1868">
        <v>16.818379999999998</v>
      </c>
      <c r="X714" s="1868">
        <v>20.945870000000003</v>
      </c>
      <c r="Y714" s="1868">
        <v>18.906770000000002</v>
      </c>
      <c r="Z714" s="1868">
        <v>18.052820000000001</v>
      </c>
      <c r="AA714" s="1868">
        <v>21.718720000000001</v>
      </c>
      <c r="AB714" s="1868">
        <v>22.236160000000002</v>
      </c>
      <c r="AC714" s="1868">
        <v>22.3172</v>
      </c>
      <c r="AD714" s="1868">
        <v>22.560690000000001</v>
      </c>
      <c r="AE714" s="1868">
        <v>22.364910000000002</v>
      </c>
      <c r="AF714" s="1868">
        <v>21.681329999999999</v>
      </c>
      <c r="AG714" s="1868">
        <v>22.123089999999998</v>
      </c>
      <c r="AH714" s="1868">
        <v>21.036629999999999</v>
      </c>
      <c r="AI714" s="1868">
        <v>20.27543</v>
      </c>
      <c r="AJ714" s="1868">
        <v>24.256540000000001</v>
      </c>
      <c r="AK714" s="1868">
        <v>19.655639999999998</v>
      </c>
      <c r="AL714" s="1868">
        <v>21.301289999999998</v>
      </c>
      <c r="AM714" s="1868">
        <v>25.099060000000001</v>
      </c>
      <c r="AN714" s="1868">
        <v>23.343239999999998</v>
      </c>
      <c r="AO714" s="1868">
        <v>24.046770000000002</v>
      </c>
      <c r="AP714" s="1868">
        <v>23.82178</v>
      </c>
      <c r="AQ714" s="1868">
        <v>25.59693</v>
      </c>
      <c r="AR714" s="1868">
        <v>23.901540000000001</v>
      </c>
      <c r="AS714" s="1868">
        <v>26.854459999999996</v>
      </c>
      <c r="AT714" s="1868">
        <v>24.857150000000001</v>
      </c>
      <c r="AU714" s="1868">
        <v>28.61713</v>
      </c>
      <c r="AV714" s="1868">
        <v>27.147300000000001</v>
      </c>
      <c r="AW714" s="1868">
        <v>25.070979999999999</v>
      </c>
      <c r="AX714" s="1868">
        <v>28.845420000000001</v>
      </c>
      <c r="AY714" s="1868">
        <v>28.730390000000003</v>
      </c>
      <c r="AZ714" s="1868">
        <v>29.881129999999999</v>
      </c>
      <c r="BA714" s="1868">
        <v>28.193390000000001</v>
      </c>
    </row>
    <row r="715" spans="1:53">
      <c r="A715" s="1865" t="str">
        <f t="shared" si="11"/>
        <v>European UnionPulses, nes</v>
      </c>
      <c r="B715" s="1866" t="s">
        <v>1417</v>
      </c>
      <c r="C715" s="1866" t="s">
        <v>1395</v>
      </c>
      <c r="D715" s="1868">
        <v>0.96804000000000001</v>
      </c>
      <c r="E715" s="1868">
        <v>1.0693999999999999</v>
      </c>
      <c r="F715" s="1868">
        <v>0.95335999999999999</v>
      </c>
      <c r="G715" s="1868">
        <v>0.94499999999999995</v>
      </c>
      <c r="H715" s="1868">
        <v>0.95642999999999989</v>
      </c>
      <c r="I715" s="1868">
        <v>1.16133</v>
      </c>
      <c r="J715" s="1868">
        <v>1.33151</v>
      </c>
      <c r="K715" s="1868">
        <v>1.32728</v>
      </c>
      <c r="L715" s="1868">
        <v>1.3800600000000001</v>
      </c>
      <c r="M715" s="1868">
        <v>1.2176899999999999</v>
      </c>
      <c r="N715" s="1868">
        <v>1.3143200000000002</v>
      </c>
      <c r="O715" s="1868">
        <v>1.2826500000000001</v>
      </c>
      <c r="P715" s="1868">
        <v>1.3278799999999999</v>
      </c>
      <c r="Q715" s="1868">
        <v>1.4130200000000002</v>
      </c>
      <c r="R715" s="1868">
        <v>1.2181200000000001</v>
      </c>
      <c r="S715" s="1868">
        <v>1.35772</v>
      </c>
      <c r="T715" s="1868">
        <v>1.38039</v>
      </c>
      <c r="U715" s="1868">
        <v>1.5005999999999999</v>
      </c>
      <c r="V715" s="1868">
        <v>1.2305200000000001</v>
      </c>
      <c r="W715" s="1868">
        <v>1.4344600000000001</v>
      </c>
      <c r="X715" s="1868">
        <v>1.08741</v>
      </c>
      <c r="Y715" s="1868">
        <v>1.52955</v>
      </c>
      <c r="Z715" s="1868">
        <v>1.50518</v>
      </c>
      <c r="AA715" s="1868">
        <v>1.9872000000000001</v>
      </c>
      <c r="AB715" s="1868">
        <v>1.91082</v>
      </c>
      <c r="AC715" s="1868">
        <v>2.0841599999999998</v>
      </c>
      <c r="AD715" s="1868">
        <v>2.18682</v>
      </c>
      <c r="AE715" s="1868">
        <v>2.5939000000000001</v>
      </c>
      <c r="AF715" s="1868">
        <v>2.22051</v>
      </c>
      <c r="AG715" s="1868">
        <v>2.5868599999999997</v>
      </c>
      <c r="AH715" s="1868">
        <v>2.5202100000000001</v>
      </c>
      <c r="AI715" s="1868">
        <v>1.9772099999999999</v>
      </c>
      <c r="AJ715" s="1868">
        <v>3.08189</v>
      </c>
      <c r="AK715" s="1868">
        <v>2.3635700000000002</v>
      </c>
      <c r="AL715" s="1868">
        <v>2.05863</v>
      </c>
      <c r="AM715" s="1868">
        <v>2.37548</v>
      </c>
      <c r="AN715" s="1868">
        <v>2.3764099999999999</v>
      </c>
      <c r="AO715" s="1868">
        <v>1.9789700000000001</v>
      </c>
      <c r="AP715" s="1868">
        <v>1.7215</v>
      </c>
      <c r="AQ715" s="1868">
        <v>2.1126400000000003</v>
      </c>
      <c r="AR715" s="1868">
        <v>2.2023299999999999</v>
      </c>
      <c r="AS715" s="1868">
        <v>2.4243299999999999</v>
      </c>
      <c r="AT715" s="1868">
        <v>2.3624299999999998</v>
      </c>
      <c r="AU715" s="1868">
        <v>2.5263400000000003</v>
      </c>
      <c r="AV715" s="1868">
        <v>2.5140099999999999</v>
      </c>
      <c r="AW715" s="1868">
        <v>2.7852799999999998</v>
      </c>
      <c r="AX715" s="1868">
        <v>2.4953500000000002</v>
      </c>
      <c r="AY715" s="1868">
        <v>4.06257</v>
      </c>
      <c r="AZ715" s="1868">
        <v>3.3285999999999998</v>
      </c>
      <c r="BA715" s="1868">
        <v>3.3848199999999995</v>
      </c>
    </row>
    <row r="716" spans="1:53">
      <c r="A716" s="1865" t="str">
        <f t="shared" si="11"/>
        <v>European UnionRice, paddy</v>
      </c>
      <c r="B716" s="1866" t="s">
        <v>1417</v>
      </c>
      <c r="C716" s="1866" t="s">
        <v>1396</v>
      </c>
      <c r="D716" s="1868">
        <v>4.9537800000000001</v>
      </c>
      <c r="E716" s="1868">
        <v>4.9880599999999999</v>
      </c>
      <c r="F716" s="1868">
        <v>4.7692899999999998</v>
      </c>
      <c r="G716" s="1868">
        <v>4.7691300000000005</v>
      </c>
      <c r="H716" s="1868">
        <v>4.0442999999999998</v>
      </c>
      <c r="I716" s="1868">
        <v>4.5475599999999998</v>
      </c>
      <c r="J716" s="1868">
        <v>4.8558699999999995</v>
      </c>
      <c r="K716" s="1868">
        <v>4.1955</v>
      </c>
      <c r="L716" s="1868">
        <v>4.7824200000000001</v>
      </c>
      <c r="M716" s="1868">
        <v>4.5247699999999993</v>
      </c>
      <c r="N716" s="1868">
        <v>4.5850200000000001</v>
      </c>
      <c r="O716" s="1868">
        <v>3.9754999999999998</v>
      </c>
      <c r="P716" s="1868">
        <v>4.9090800000000003</v>
      </c>
      <c r="Q716" s="1868">
        <v>4.7783100000000003</v>
      </c>
      <c r="R716" s="1868">
        <v>5.1112699999999993</v>
      </c>
      <c r="S716" s="1868">
        <v>4.4218000000000002</v>
      </c>
      <c r="T716" s="1868">
        <v>3.7266300000000001</v>
      </c>
      <c r="U716" s="1868">
        <v>4.5728499999999999</v>
      </c>
      <c r="V716" s="1868">
        <v>5.3120500000000002</v>
      </c>
      <c r="W716" s="1868">
        <v>5.0376799999999999</v>
      </c>
      <c r="X716" s="1868">
        <v>5.1395200000000001</v>
      </c>
      <c r="Y716" s="1868">
        <v>5.2490300000000003</v>
      </c>
      <c r="Z716" s="1868">
        <v>5.1390900000000004</v>
      </c>
      <c r="AA716" s="1868">
        <v>5.1860499999999998</v>
      </c>
      <c r="AB716" s="1868">
        <v>5.59382</v>
      </c>
      <c r="AC716" s="1868">
        <v>5.5460699999999994</v>
      </c>
      <c r="AD716" s="1868">
        <v>5.1988500000000002</v>
      </c>
      <c r="AE716" s="1868">
        <v>5.1069399999999998</v>
      </c>
      <c r="AF716" s="1868">
        <v>5.1264799999999999</v>
      </c>
      <c r="AG716" s="1868">
        <v>5.4162999999999997</v>
      </c>
      <c r="AH716" s="1868">
        <v>5.5462899999999999</v>
      </c>
      <c r="AI716" s="1868">
        <v>5.76816</v>
      </c>
      <c r="AJ716" s="1868">
        <v>5.6617600000000001</v>
      </c>
      <c r="AK716" s="1868">
        <v>5.6766699999999997</v>
      </c>
      <c r="AL716" s="1868">
        <v>5.6829700000000001</v>
      </c>
      <c r="AM716" s="1868">
        <v>6.1022300000000005</v>
      </c>
      <c r="AN716" s="1868">
        <v>6.2853500000000002</v>
      </c>
      <c r="AO716" s="1868">
        <v>6.4420400000000004</v>
      </c>
      <c r="AP716" s="1868">
        <v>6.7401200000000001</v>
      </c>
      <c r="AQ716" s="1868">
        <v>6.0760800000000001</v>
      </c>
      <c r="AR716" s="1868">
        <v>6.3467599999999997</v>
      </c>
      <c r="AS716" s="1868">
        <v>6.5054300000000005</v>
      </c>
      <c r="AT716" s="1868">
        <v>6.5701000000000001</v>
      </c>
      <c r="AU716" s="1868">
        <v>6.7251899999999996</v>
      </c>
      <c r="AV716" s="1868">
        <v>6.4135800000000005</v>
      </c>
      <c r="AW716" s="1868">
        <v>6.3539500000000002</v>
      </c>
      <c r="AX716" s="1868">
        <v>6.5816100000000004</v>
      </c>
      <c r="AY716" s="1868">
        <v>6.3280000000000003</v>
      </c>
      <c r="AZ716" s="1868">
        <v>6.5362</v>
      </c>
      <c r="BA716" s="1868">
        <v>6.6379199999999994</v>
      </c>
    </row>
    <row r="717" spans="1:53">
      <c r="A717" s="1865" t="str">
        <f t="shared" si="11"/>
        <v>European UnionRoots and Tubers, nes</v>
      </c>
      <c r="B717" s="1866" t="s">
        <v>1417</v>
      </c>
      <c r="C717" s="1866" t="s">
        <v>1356</v>
      </c>
      <c r="D717" s="1868">
        <v>9.1101500000000009</v>
      </c>
      <c r="E717" s="1868">
        <v>9.9</v>
      </c>
      <c r="F717" s="1868">
        <v>9.8862100000000002</v>
      </c>
      <c r="G717" s="1868">
        <v>11.384510000000001</v>
      </c>
      <c r="H717" s="1868">
        <v>9.9497900000000001</v>
      </c>
      <c r="I717" s="1868">
        <v>9.2032600000000002</v>
      </c>
      <c r="J717" s="1868">
        <v>9.1361100000000004</v>
      </c>
      <c r="K717" s="1868">
        <v>10.099449999999999</v>
      </c>
      <c r="L717" s="1868">
        <v>10.35294</v>
      </c>
      <c r="M717" s="1868">
        <v>9.9851600000000005</v>
      </c>
      <c r="N717" s="1868">
        <v>9.988760000000001</v>
      </c>
      <c r="O717" s="1868">
        <v>10</v>
      </c>
      <c r="P717" s="1868">
        <v>9.9786800000000007</v>
      </c>
      <c r="Q717" s="1868">
        <v>10.000999999999999</v>
      </c>
      <c r="R717" s="1868">
        <v>9.9624500000000005</v>
      </c>
      <c r="S717" s="1868">
        <v>9.9969600000000014</v>
      </c>
      <c r="T717" s="1868">
        <v>10</v>
      </c>
      <c r="U717" s="1868">
        <v>10.000999999999999</v>
      </c>
      <c r="V717" s="1868">
        <v>10.500500000000001</v>
      </c>
      <c r="W717" s="1868">
        <v>10</v>
      </c>
      <c r="X717" s="1868">
        <v>11.01568</v>
      </c>
      <c r="Y717" s="1868">
        <v>10.264110000000001</v>
      </c>
      <c r="Z717" s="1868">
        <v>10.342510000000001</v>
      </c>
      <c r="AA717" s="1868">
        <v>10.9184</v>
      </c>
      <c r="AB717" s="1868">
        <v>11.514250000000001</v>
      </c>
      <c r="AC717" s="1868">
        <v>11.533860000000001</v>
      </c>
      <c r="AD717" s="1868">
        <v>11.81818</v>
      </c>
      <c r="AE717" s="1868">
        <v>12.62208</v>
      </c>
      <c r="AF717" s="1868">
        <v>12.678089999999999</v>
      </c>
      <c r="AG717" s="1868">
        <v>12.65509</v>
      </c>
      <c r="AH717" s="1868">
        <v>12.942460000000001</v>
      </c>
      <c r="AI717" s="1868">
        <v>10.89799</v>
      </c>
      <c r="AJ717" s="1868">
        <v>13.2</v>
      </c>
      <c r="AK717" s="1868">
        <v>10.425180000000001</v>
      </c>
      <c r="AL717" s="1868">
        <v>18</v>
      </c>
      <c r="AM717" s="1868">
        <v>16.2</v>
      </c>
      <c r="AN717" s="1868">
        <v>18</v>
      </c>
      <c r="AO717" s="1868">
        <v>20.399999999999999</v>
      </c>
      <c r="AP717" s="1868">
        <v>19.8</v>
      </c>
      <c r="AQ717" s="1868">
        <v>20</v>
      </c>
      <c r="AR717" s="1868">
        <v>19.68112</v>
      </c>
      <c r="AS717" s="1868">
        <v>20</v>
      </c>
      <c r="AT717" s="1868">
        <v>20</v>
      </c>
      <c r="AU717" s="1868">
        <v>24.487760000000002</v>
      </c>
      <c r="AV717" s="1868">
        <v>22.714289999999998</v>
      </c>
      <c r="AW717" s="1868">
        <v>23.9</v>
      </c>
      <c r="AX717" s="1868">
        <v>19.715540000000001</v>
      </c>
      <c r="AY717" s="1868">
        <v>19.633430000000001</v>
      </c>
      <c r="AZ717" s="1868">
        <v>19.28595</v>
      </c>
      <c r="BA717" s="1868">
        <v>18.269690000000001</v>
      </c>
    </row>
    <row r="718" spans="1:53">
      <c r="A718" s="1865" t="str">
        <f t="shared" si="11"/>
        <v>European UnionRye</v>
      </c>
      <c r="B718" s="1866" t="s">
        <v>1417</v>
      </c>
      <c r="C718" s="1866" t="s">
        <v>1353</v>
      </c>
      <c r="D718" s="1868">
        <v>1.6900599999999999</v>
      </c>
      <c r="E718" s="1868">
        <v>1.6563400000000001</v>
      </c>
      <c r="F718" s="1868">
        <v>1.7834900000000002</v>
      </c>
      <c r="G718" s="1868">
        <v>1.8444700000000001</v>
      </c>
      <c r="H718" s="1868">
        <v>1.8899900000000001</v>
      </c>
      <c r="I718" s="1868">
        <v>1.8320700000000001</v>
      </c>
      <c r="J718" s="1868">
        <v>2.0099200000000002</v>
      </c>
      <c r="K718" s="1868">
        <v>2.1528299999999998</v>
      </c>
      <c r="L718" s="1868">
        <v>2.08351</v>
      </c>
      <c r="M718" s="1868">
        <v>1.8545799999999999</v>
      </c>
      <c r="N718" s="1868">
        <v>2.2962400000000001</v>
      </c>
      <c r="O718" s="1868">
        <v>2.4313799999999999</v>
      </c>
      <c r="P718" s="1868">
        <v>2.4767700000000001</v>
      </c>
      <c r="Q718" s="1868">
        <v>2.6147900000000002</v>
      </c>
      <c r="R718" s="1868">
        <v>2.3528099999999998</v>
      </c>
      <c r="S718" s="1868">
        <v>2.39255</v>
      </c>
      <c r="T718" s="1868">
        <v>2.27691</v>
      </c>
      <c r="U718" s="1868">
        <v>2.6080200000000002</v>
      </c>
      <c r="V718" s="1868">
        <v>2.1552599999999997</v>
      </c>
      <c r="W718" s="1868">
        <v>2.4411099999999997</v>
      </c>
      <c r="X718" s="1868">
        <v>2.3925299999999998</v>
      </c>
      <c r="Y718" s="1868">
        <v>2.5712200000000003</v>
      </c>
      <c r="Z718" s="1868">
        <v>2.6279400000000002</v>
      </c>
      <c r="AA718" s="1868">
        <v>2.9219200000000001</v>
      </c>
      <c r="AB718" s="1868">
        <v>2.7719</v>
      </c>
      <c r="AC718" s="1868">
        <v>2.8085400000000003</v>
      </c>
      <c r="AD718" s="1868">
        <v>2.7870699999999999</v>
      </c>
      <c r="AE718" s="1868">
        <v>2.6585299999999998</v>
      </c>
      <c r="AF718" s="1868">
        <v>3.0281899999999999</v>
      </c>
      <c r="AG718" s="1868">
        <v>2.9504700000000001</v>
      </c>
      <c r="AH718" s="1868">
        <v>2.9668700000000001</v>
      </c>
      <c r="AI718" s="1868">
        <v>2.3900600000000001</v>
      </c>
      <c r="AJ718" s="1868">
        <v>2.6829900000000002</v>
      </c>
      <c r="AK718" s="1868">
        <v>2.7051799999999999</v>
      </c>
      <c r="AL718" s="1868">
        <v>3.1177200000000003</v>
      </c>
      <c r="AM718" s="1868">
        <v>2.9377800000000001</v>
      </c>
      <c r="AN718" s="1868">
        <v>3.04034</v>
      </c>
      <c r="AO718" s="1868">
        <v>3.11897</v>
      </c>
      <c r="AP718" s="1868">
        <v>3.0700500000000002</v>
      </c>
      <c r="AQ718" s="1868">
        <v>2.7391400000000004</v>
      </c>
      <c r="AR718" s="1868">
        <v>3.3515000000000001</v>
      </c>
      <c r="AS718" s="1868">
        <v>3.1640200000000003</v>
      </c>
      <c r="AT718" s="1868">
        <v>2.6971700000000003</v>
      </c>
      <c r="AU718" s="1868">
        <v>3.62906</v>
      </c>
      <c r="AV718" s="1868">
        <v>3.0949800000000001</v>
      </c>
      <c r="AW718" s="1868">
        <v>2.7956500000000002</v>
      </c>
      <c r="AX718" s="1868">
        <v>2.9684400000000002</v>
      </c>
      <c r="AY718" s="1868">
        <v>3.3652300000000004</v>
      </c>
      <c r="AZ718" s="1868">
        <v>3.5561500000000001</v>
      </c>
      <c r="BA718" s="1868">
        <v>2.9922</v>
      </c>
    </row>
    <row r="719" spans="1:53">
      <c r="A719" s="1865" t="str">
        <f t="shared" si="11"/>
        <v>European UnionSeed cotton</v>
      </c>
      <c r="B719" s="1866" t="s">
        <v>1417</v>
      </c>
      <c r="C719" s="1866" t="s">
        <v>1397</v>
      </c>
      <c r="D719" s="1868">
        <v>1.04112</v>
      </c>
      <c r="E719" s="1868">
        <v>0.95368999999999993</v>
      </c>
      <c r="F719" s="1868">
        <v>1.1396899999999999</v>
      </c>
      <c r="G719" s="1868">
        <v>1.2673399999999999</v>
      </c>
      <c r="H719" s="1868">
        <v>1.33782</v>
      </c>
      <c r="I719" s="1868">
        <v>1.4100299999999999</v>
      </c>
      <c r="J719" s="1868">
        <v>1.6022399999999999</v>
      </c>
      <c r="K719" s="1868">
        <v>1.50315</v>
      </c>
      <c r="L719" s="1868">
        <v>1.5713600000000001</v>
      </c>
      <c r="M719" s="1868">
        <v>1.87683</v>
      </c>
      <c r="N719" s="1868">
        <v>2.0015499999999999</v>
      </c>
      <c r="O719" s="1868">
        <v>1.8487</v>
      </c>
      <c r="P719" s="1868">
        <v>1.8767</v>
      </c>
      <c r="Q719" s="1868">
        <v>1.9057599999999999</v>
      </c>
      <c r="R719" s="1868">
        <v>2.3762099999999999</v>
      </c>
      <c r="S719" s="1868">
        <v>1.92147</v>
      </c>
      <c r="T719" s="1868">
        <v>1.8826099999999999</v>
      </c>
      <c r="U719" s="1868">
        <v>2.3113900000000003</v>
      </c>
      <c r="V719" s="1868">
        <v>2.3334599999999996</v>
      </c>
      <c r="W719" s="1868">
        <v>2.5285900000000003</v>
      </c>
      <c r="X719" s="1868">
        <v>2.7524599999999997</v>
      </c>
      <c r="Y719" s="1868">
        <v>2.4104200000000002</v>
      </c>
      <c r="Z719" s="1868">
        <v>2.3632499999999999</v>
      </c>
      <c r="AA719" s="1868">
        <v>2.1676000000000002</v>
      </c>
      <c r="AB719" s="1868">
        <v>2.2492999999999999</v>
      </c>
      <c r="AC719" s="1868">
        <v>2.7803400000000003</v>
      </c>
      <c r="AD719" s="1868">
        <v>2.67259</v>
      </c>
      <c r="AE719" s="1868">
        <v>2.5915400000000002</v>
      </c>
      <c r="AF719" s="1868">
        <v>2.8301599999999998</v>
      </c>
      <c r="AG719" s="1868">
        <v>2.66107</v>
      </c>
      <c r="AH719" s="1868">
        <v>2.6526000000000001</v>
      </c>
      <c r="AI719" s="1868">
        <v>2.52095</v>
      </c>
      <c r="AJ719" s="1868">
        <v>2.8356499999999998</v>
      </c>
      <c r="AK719" s="1868">
        <v>3.28179</v>
      </c>
      <c r="AL719" s="1868">
        <v>3.1152700000000002</v>
      </c>
      <c r="AM719" s="1868">
        <v>3.0866400000000001</v>
      </c>
      <c r="AN719" s="1868">
        <v>2.8226</v>
      </c>
      <c r="AO719" s="1868">
        <v>2.9198</v>
      </c>
      <c r="AP719" s="1868">
        <v>3.0864799999999999</v>
      </c>
      <c r="AQ719" s="1868">
        <v>3.1156700000000002</v>
      </c>
      <c r="AR719" s="1868">
        <v>3.3280599999999998</v>
      </c>
      <c r="AS719" s="1868">
        <v>3.41194</v>
      </c>
      <c r="AT719" s="1868">
        <v>2.9498599999999997</v>
      </c>
      <c r="AU719" s="1868">
        <v>3.2804800000000003</v>
      </c>
      <c r="AV719" s="1868">
        <v>3.4906800000000002</v>
      </c>
      <c r="AW719" s="1868">
        <v>2.7127599999999998</v>
      </c>
      <c r="AX719" s="1868">
        <v>2.72268</v>
      </c>
      <c r="AY719" s="1868">
        <v>3.1924900000000003</v>
      </c>
      <c r="AZ719" s="1868">
        <v>3.1009799999999998</v>
      </c>
      <c r="BA719" s="1868">
        <v>2.4947400000000002</v>
      </c>
    </row>
    <row r="720" spans="1:53">
      <c r="A720" s="1865" t="str">
        <f t="shared" si="11"/>
        <v>European UnionSesame seed</v>
      </c>
      <c r="B720" s="1866" t="s">
        <v>1417</v>
      </c>
      <c r="C720" s="1866" t="s">
        <v>1345</v>
      </c>
      <c r="D720" s="1868">
        <v>0.31139</v>
      </c>
      <c r="E720" s="1868">
        <v>0.28666999999999998</v>
      </c>
      <c r="F720" s="1868">
        <v>0.37024000000000001</v>
      </c>
      <c r="G720" s="1868">
        <v>0.34920999999999996</v>
      </c>
      <c r="H720" s="1868">
        <v>0.38429000000000002</v>
      </c>
      <c r="I720" s="1868">
        <v>0.33707999999999999</v>
      </c>
      <c r="J720" s="1868">
        <v>0.36509000000000003</v>
      </c>
      <c r="K720" s="1868">
        <v>0.28516999999999998</v>
      </c>
      <c r="L720" s="1868">
        <v>0.30536999999999997</v>
      </c>
      <c r="M720" s="1868">
        <v>0.35564000000000001</v>
      </c>
      <c r="N720" s="1868">
        <v>0.35880000000000001</v>
      </c>
      <c r="O720" s="1868">
        <v>0.35452</v>
      </c>
      <c r="P720" s="1868">
        <v>0.34365000000000001</v>
      </c>
      <c r="Q720" s="1868">
        <v>0.34548000000000001</v>
      </c>
      <c r="R720" s="1868">
        <v>0.35310000000000002</v>
      </c>
      <c r="S720" s="1868">
        <v>0.26595999999999997</v>
      </c>
      <c r="T720" s="1868">
        <v>0.29878000000000005</v>
      </c>
      <c r="U720" s="1868">
        <v>0.30743999999999999</v>
      </c>
      <c r="V720" s="1868">
        <v>0.35836999999999997</v>
      </c>
      <c r="W720" s="1868">
        <v>0.44468000000000002</v>
      </c>
      <c r="X720" s="1868">
        <v>0.58488000000000007</v>
      </c>
      <c r="Y720" s="1868">
        <v>0.47488000000000002</v>
      </c>
      <c r="Z720" s="1868">
        <v>0.49456999999999995</v>
      </c>
      <c r="AA720" s="1868">
        <v>0.55274999999999996</v>
      </c>
      <c r="AB720" s="1868">
        <v>0.93120999999999998</v>
      </c>
      <c r="AC720" s="1868">
        <v>0.57394000000000001</v>
      </c>
      <c r="AD720" s="1868">
        <v>0.54178999999999999</v>
      </c>
      <c r="AE720" s="1868">
        <v>0.84794999999999998</v>
      </c>
      <c r="AF720" s="1868">
        <v>0.54332999999999998</v>
      </c>
      <c r="AG720" s="1868">
        <v>0.52606000000000008</v>
      </c>
      <c r="AH720" s="1868">
        <v>0.51063999999999998</v>
      </c>
      <c r="AI720" s="1868">
        <v>0.68825000000000003</v>
      </c>
      <c r="AJ720" s="1868">
        <v>0.55889</v>
      </c>
      <c r="AK720" s="1868">
        <v>0.71765000000000001</v>
      </c>
      <c r="AL720" s="1868">
        <v>0.625</v>
      </c>
      <c r="AM720" s="1868">
        <v>0.74383999999999995</v>
      </c>
      <c r="AN720" s="1868">
        <v>0.62561999999999995</v>
      </c>
      <c r="AO720" s="1868">
        <v>0.64583000000000002</v>
      </c>
      <c r="AP720" s="1868">
        <v>0.74011000000000005</v>
      </c>
      <c r="AQ720" s="1868">
        <v>0.6875</v>
      </c>
      <c r="AR720" s="1868">
        <v>0.89898999999999996</v>
      </c>
      <c r="AS720" s="1868">
        <v>5.1366699999999996</v>
      </c>
      <c r="AT720" s="1868">
        <v>6.5941000000000001</v>
      </c>
      <c r="AU720" s="1868">
        <v>6.03667</v>
      </c>
      <c r="AV720" s="1868">
        <v>5.3307099999999998</v>
      </c>
      <c r="AW720" s="1868">
        <v>4.72593</v>
      </c>
      <c r="AX720" s="1868">
        <v>3.8677999999999999</v>
      </c>
      <c r="AY720" s="1868">
        <v>6.05579</v>
      </c>
      <c r="AZ720" s="1868">
        <v>6.4109600000000002</v>
      </c>
      <c r="BA720" s="1868">
        <v>5.5185199999999996</v>
      </c>
    </row>
    <row r="721" spans="1:53">
      <c r="A721" s="1865" t="str">
        <f t="shared" si="11"/>
        <v>European UnionSorghum</v>
      </c>
      <c r="B721" s="1866" t="s">
        <v>1417</v>
      </c>
      <c r="C721" s="1866" t="s">
        <v>1399</v>
      </c>
      <c r="D721" s="1868">
        <v>1.5509600000000001</v>
      </c>
      <c r="E721" s="1868">
        <v>1.4484600000000001</v>
      </c>
      <c r="F721" s="1868">
        <v>1.6907700000000001</v>
      </c>
      <c r="G721" s="1868">
        <v>1.9063900000000003</v>
      </c>
      <c r="H721" s="1868">
        <v>2.12879</v>
      </c>
      <c r="I721" s="1868">
        <v>2.3886599999999998</v>
      </c>
      <c r="J721" s="1868">
        <v>2.2820200000000002</v>
      </c>
      <c r="K721" s="1868">
        <v>3.09232</v>
      </c>
      <c r="L721" s="1868">
        <v>3.1230000000000002</v>
      </c>
      <c r="M721" s="1868">
        <v>3.27013</v>
      </c>
      <c r="N721" s="1868">
        <v>3.8680500000000002</v>
      </c>
      <c r="O721" s="1868">
        <v>3.14283</v>
      </c>
      <c r="P721" s="1868">
        <v>3.98855</v>
      </c>
      <c r="Q721" s="1868">
        <v>4.0852399999999998</v>
      </c>
      <c r="R721" s="1868">
        <v>3.5019800000000001</v>
      </c>
      <c r="S721" s="1868">
        <v>2.86843</v>
      </c>
      <c r="T721" s="1868">
        <v>3.5120199999999997</v>
      </c>
      <c r="U721" s="1868">
        <v>4.0825399999999998</v>
      </c>
      <c r="V721" s="1868">
        <v>4.0936199999999996</v>
      </c>
      <c r="W721" s="1868">
        <v>4.0832300000000004</v>
      </c>
      <c r="X721" s="1868">
        <v>4.39696</v>
      </c>
      <c r="Y721" s="1868">
        <v>4.0435600000000003</v>
      </c>
      <c r="Z721" s="1868">
        <v>3.8185099999999998</v>
      </c>
      <c r="AA721" s="1868">
        <v>4.0114700000000001</v>
      </c>
      <c r="AB721" s="1868">
        <v>4.0621300000000007</v>
      </c>
      <c r="AC721" s="1868">
        <v>4.2627899999999999</v>
      </c>
      <c r="AD721" s="1868">
        <v>4.7029800000000002</v>
      </c>
      <c r="AE721" s="1868">
        <v>4.5896699999999999</v>
      </c>
      <c r="AF721" s="1868">
        <v>4.2929699999999995</v>
      </c>
      <c r="AG721" s="1868">
        <v>3.9619400000000002</v>
      </c>
      <c r="AH721" s="1868">
        <v>4.9948199999999998</v>
      </c>
      <c r="AI721" s="1868">
        <v>4.9594300000000002</v>
      </c>
      <c r="AJ721" s="1868">
        <v>5.3774100000000002</v>
      </c>
      <c r="AK721" s="1868">
        <v>4.7651199999999996</v>
      </c>
      <c r="AL721" s="1868">
        <v>5.06135</v>
      </c>
      <c r="AM721" s="1868">
        <v>5.2466400000000002</v>
      </c>
      <c r="AN721" s="1868">
        <v>5.70479</v>
      </c>
      <c r="AO721" s="1868">
        <v>4.9795199999999999</v>
      </c>
      <c r="AP721" s="1868">
        <v>5.7504900000000001</v>
      </c>
      <c r="AQ721" s="1868">
        <v>5.7194000000000003</v>
      </c>
      <c r="AR721" s="1868">
        <v>5.3275499999999996</v>
      </c>
      <c r="AS721" s="1868">
        <v>5.8517700000000001</v>
      </c>
      <c r="AT721" s="1868">
        <v>3.8522300000000005</v>
      </c>
      <c r="AU721" s="1868">
        <v>5.0751599999999994</v>
      </c>
      <c r="AV721" s="1868">
        <v>5.0838800000000006</v>
      </c>
      <c r="AW721" s="1868">
        <v>5.3576600000000001</v>
      </c>
      <c r="AX721" s="1868">
        <v>5.3215399999999997</v>
      </c>
      <c r="AY721" s="1868">
        <v>5.36463</v>
      </c>
      <c r="AZ721" s="1868">
        <v>5.3153300000000003</v>
      </c>
      <c r="BA721" s="1868">
        <v>5.3296099999999997</v>
      </c>
    </row>
    <row r="722" spans="1:53">
      <c r="A722" s="1865" t="str">
        <f t="shared" si="11"/>
        <v>European UnionSoybeans</v>
      </c>
      <c r="B722" s="1866" t="s">
        <v>1417</v>
      </c>
      <c r="C722" s="1866" t="s">
        <v>1359</v>
      </c>
      <c r="D722" s="1868">
        <v>0.46823000000000004</v>
      </c>
      <c r="E722" s="1868">
        <v>0.48676000000000003</v>
      </c>
      <c r="F722" s="1868">
        <v>0.47766999999999998</v>
      </c>
      <c r="G722" s="1868">
        <v>0.56321999999999994</v>
      </c>
      <c r="H722" s="1868">
        <v>0.55038999999999993</v>
      </c>
      <c r="I722" s="1868">
        <v>1.1360700000000001</v>
      </c>
      <c r="J722" s="1868">
        <v>0.84414999999999996</v>
      </c>
      <c r="K722" s="1868">
        <v>0.96461000000000008</v>
      </c>
      <c r="L722" s="1868">
        <v>0.94902000000000009</v>
      </c>
      <c r="M722" s="1868">
        <v>1.11992</v>
      </c>
      <c r="N722" s="1868">
        <v>1.10022</v>
      </c>
      <c r="O722" s="1868">
        <v>1.61876</v>
      </c>
      <c r="P722" s="1868">
        <v>1.36856</v>
      </c>
      <c r="Q722" s="1868">
        <v>1.2649299999999999</v>
      </c>
      <c r="R722" s="1868">
        <v>1.8307400000000003</v>
      </c>
      <c r="S722" s="1868">
        <v>1.4177200000000001</v>
      </c>
      <c r="T722" s="1868">
        <v>1.21346</v>
      </c>
      <c r="U722" s="1868">
        <v>1.2019600000000001</v>
      </c>
      <c r="V722" s="1868">
        <v>1.3827200000000002</v>
      </c>
      <c r="W722" s="1868">
        <v>1.23895</v>
      </c>
      <c r="X722" s="1868">
        <v>1.00204</v>
      </c>
      <c r="Y722" s="1868">
        <v>1.34294</v>
      </c>
      <c r="Z722" s="1868">
        <v>1.1884999999999999</v>
      </c>
      <c r="AA722" s="1868">
        <v>1.5115000000000001</v>
      </c>
      <c r="AB722" s="1868">
        <v>1.37365</v>
      </c>
      <c r="AC722" s="1868">
        <v>2.0920099999999997</v>
      </c>
      <c r="AD722" s="1868">
        <v>2.28084</v>
      </c>
      <c r="AE722" s="1868">
        <v>1.99817</v>
      </c>
      <c r="AF722" s="1868">
        <v>1.9917799999999999</v>
      </c>
      <c r="AG722" s="1868">
        <v>2.4810699999999999</v>
      </c>
      <c r="AH722" s="1868">
        <v>3.0601500000000001</v>
      </c>
      <c r="AI722" s="1868">
        <v>2.1765500000000002</v>
      </c>
      <c r="AJ722" s="1868">
        <v>2.4104000000000001</v>
      </c>
      <c r="AK722" s="1868">
        <v>2.70024</v>
      </c>
      <c r="AL722" s="1868">
        <v>2.83317</v>
      </c>
      <c r="AM722" s="1868">
        <v>2.8319299999999998</v>
      </c>
      <c r="AN722" s="1868">
        <v>3.2088299999999998</v>
      </c>
      <c r="AO722" s="1868">
        <v>2.7267799999999998</v>
      </c>
      <c r="AP722" s="1868">
        <v>2.8681099999999997</v>
      </c>
      <c r="AQ722" s="1868">
        <v>2.5090699999999999</v>
      </c>
      <c r="AR722" s="1868">
        <v>3.0500599999999998</v>
      </c>
      <c r="AS722" s="1868">
        <v>3.0076400000000003</v>
      </c>
      <c r="AT722" s="1868">
        <v>2.1049599999999997</v>
      </c>
      <c r="AU722" s="1868">
        <v>2.8585599999999998</v>
      </c>
      <c r="AV722" s="1868">
        <v>2.8445400000000003</v>
      </c>
      <c r="AW722" s="1868">
        <v>2.4925799999999998</v>
      </c>
      <c r="AX722" s="1868">
        <v>2.22098</v>
      </c>
      <c r="AY722" s="1868">
        <v>2.7803800000000001</v>
      </c>
      <c r="AZ722" s="1868">
        <v>2.77332</v>
      </c>
      <c r="BA722" s="1868">
        <v>2.8586099999999997</v>
      </c>
    </row>
    <row r="723" spans="1:53">
      <c r="A723" s="1865" t="str">
        <f t="shared" si="11"/>
        <v>European UnionStrawberries</v>
      </c>
      <c r="B723" s="1866" t="s">
        <v>1417</v>
      </c>
      <c r="C723" s="1866" t="s">
        <v>1400</v>
      </c>
      <c r="D723" s="1868">
        <v>13.400229999999999</v>
      </c>
      <c r="E723" s="1868">
        <v>12.24372</v>
      </c>
      <c r="F723" s="1868">
        <v>13.721410000000001</v>
      </c>
      <c r="G723" s="1868">
        <v>15.900160000000001</v>
      </c>
      <c r="H723" s="1868">
        <v>9.5608500000000003</v>
      </c>
      <c r="I723" s="1868">
        <v>9.030619999999999</v>
      </c>
      <c r="J723" s="1868">
        <v>9.2534700000000001</v>
      </c>
      <c r="K723" s="1868">
        <v>7.9710600000000005</v>
      </c>
      <c r="L723" s="1868">
        <v>8.9933800000000002</v>
      </c>
      <c r="M723" s="1868">
        <v>8.5558199999999989</v>
      </c>
      <c r="N723" s="1868">
        <v>7.5233999999999996</v>
      </c>
      <c r="O723" s="1868">
        <v>7.4741300000000006</v>
      </c>
      <c r="P723" s="1868">
        <v>7.8166399999999996</v>
      </c>
      <c r="Q723" s="1868">
        <v>7.8608799999999999</v>
      </c>
      <c r="R723" s="1868">
        <v>7.3374100000000002</v>
      </c>
      <c r="S723" s="1868">
        <v>7.3828300000000002</v>
      </c>
      <c r="T723" s="1868">
        <v>8.03233</v>
      </c>
      <c r="U723" s="1868">
        <v>8.8849900000000002</v>
      </c>
      <c r="V723" s="1868">
        <v>8.7739499999999992</v>
      </c>
      <c r="W723" s="1868">
        <v>8.54589</v>
      </c>
      <c r="X723" s="1868">
        <v>9.0806399999999989</v>
      </c>
      <c r="Y723" s="1868">
        <v>9.3242799999999999</v>
      </c>
      <c r="Z723" s="1868">
        <v>9.1520799999999998</v>
      </c>
      <c r="AA723" s="1868">
        <v>9.505139999999999</v>
      </c>
      <c r="AB723" s="1868">
        <v>8.3543199999999995</v>
      </c>
      <c r="AC723" s="1868">
        <v>8.2912499999999998</v>
      </c>
      <c r="AD723" s="1868">
        <v>9.4234000000000009</v>
      </c>
      <c r="AE723" s="1868">
        <v>8.8429699999999993</v>
      </c>
      <c r="AF723" s="1868">
        <v>9.1415000000000006</v>
      </c>
      <c r="AG723" s="1868">
        <v>8.6831899999999997</v>
      </c>
      <c r="AH723" s="1868">
        <v>8.4378100000000007</v>
      </c>
      <c r="AI723" s="1868">
        <v>8.1816899999999997</v>
      </c>
      <c r="AJ723" s="1868">
        <v>8.6577099999999998</v>
      </c>
      <c r="AK723" s="1868">
        <v>9.4196100000000005</v>
      </c>
      <c r="AL723" s="1868">
        <v>8.7969799999999996</v>
      </c>
      <c r="AM723" s="1868">
        <v>8.4822199999999999</v>
      </c>
      <c r="AN723" s="1868">
        <v>8.7458899999999993</v>
      </c>
      <c r="AO723" s="1868">
        <v>9.1048500000000008</v>
      </c>
      <c r="AP723" s="1868">
        <v>9.5881699999999999</v>
      </c>
      <c r="AQ723" s="1868">
        <v>8.9096700000000002</v>
      </c>
      <c r="AR723" s="1868">
        <v>9.1526600000000009</v>
      </c>
      <c r="AS723" s="1868">
        <v>10.16802</v>
      </c>
      <c r="AT723" s="1868">
        <v>9.0982599999999998</v>
      </c>
      <c r="AU723" s="1868">
        <v>10.2502</v>
      </c>
      <c r="AV723" s="1868">
        <v>9.76389</v>
      </c>
      <c r="AW723" s="1868">
        <v>10.162560000000001</v>
      </c>
      <c r="AX723" s="1868">
        <v>9.9309899999999995</v>
      </c>
      <c r="AY723" s="1868">
        <v>10.19477</v>
      </c>
      <c r="AZ723" s="1868">
        <v>10.49183</v>
      </c>
      <c r="BA723" s="1868">
        <v>10.33971</v>
      </c>
    </row>
    <row r="724" spans="1:53">
      <c r="A724" s="1865" t="str">
        <f t="shared" si="11"/>
        <v>European UnionSugar beet</v>
      </c>
      <c r="B724" s="1866" t="s">
        <v>1417</v>
      </c>
      <c r="C724" s="1866" t="s">
        <v>1358</v>
      </c>
      <c r="D724" s="1868">
        <v>30.340690000000002</v>
      </c>
      <c r="E724" s="1868">
        <v>27.109009999999998</v>
      </c>
      <c r="F724" s="1868">
        <v>31.670209999999997</v>
      </c>
      <c r="G724" s="1868">
        <v>33.036590000000004</v>
      </c>
      <c r="H724" s="1868">
        <v>31.405059999999999</v>
      </c>
      <c r="I724" s="1868">
        <v>35.665790000000001</v>
      </c>
      <c r="J724" s="1868">
        <v>37.65072</v>
      </c>
      <c r="K724" s="1868">
        <v>37.992600000000003</v>
      </c>
      <c r="L724" s="1868">
        <v>35.307729999999999</v>
      </c>
      <c r="M724" s="1868">
        <v>35.408079999999998</v>
      </c>
      <c r="N724" s="1868">
        <v>37.668030000000002</v>
      </c>
      <c r="O724" s="1868">
        <v>37.656469999999999</v>
      </c>
      <c r="P724" s="1868">
        <v>37.209070000000004</v>
      </c>
      <c r="Q724" s="1868">
        <v>35.633629999999997</v>
      </c>
      <c r="R724" s="1868">
        <v>35.701090000000001</v>
      </c>
      <c r="S724" s="1868">
        <v>35.969709999999999</v>
      </c>
      <c r="T724" s="1868">
        <v>38.32159</v>
      </c>
      <c r="U724" s="1868">
        <v>37.749229999999997</v>
      </c>
      <c r="V724" s="1868">
        <v>39.088059999999999</v>
      </c>
      <c r="W724" s="1868">
        <v>38.976129999999998</v>
      </c>
      <c r="X724" s="1868">
        <v>43.794129999999996</v>
      </c>
      <c r="Y724" s="1868">
        <v>43.78396</v>
      </c>
      <c r="Z724" s="1868">
        <v>38.926409999999997</v>
      </c>
      <c r="AA724" s="1868">
        <v>43.150700000000001</v>
      </c>
      <c r="AB724" s="1868">
        <v>42.487829999999995</v>
      </c>
      <c r="AC724" s="1868">
        <v>43.038270000000004</v>
      </c>
      <c r="AD724" s="1868">
        <v>43.269150000000003</v>
      </c>
      <c r="AE724" s="1868">
        <v>44.217320000000001</v>
      </c>
      <c r="AF724" s="1868">
        <v>47.132420000000003</v>
      </c>
      <c r="AG724" s="1868">
        <v>48.039749999999998</v>
      </c>
      <c r="AH724" s="1868">
        <v>45.392569999999999</v>
      </c>
      <c r="AI724" s="1868">
        <v>47.258150000000001</v>
      </c>
      <c r="AJ724" s="1868">
        <v>49.818449999999999</v>
      </c>
      <c r="AK724" s="1868">
        <v>45.301029999999997</v>
      </c>
      <c r="AL724" s="1868">
        <v>46.790309999999998</v>
      </c>
      <c r="AM724" s="1868">
        <v>48.831720000000004</v>
      </c>
      <c r="AN724" s="1868">
        <v>50.7348</v>
      </c>
      <c r="AO724" s="1868">
        <v>50.152140000000003</v>
      </c>
      <c r="AP724" s="1868">
        <v>54.108369999999994</v>
      </c>
      <c r="AQ724" s="1868">
        <v>55.171930000000003</v>
      </c>
      <c r="AR724" s="1868">
        <v>50.471629999999998</v>
      </c>
      <c r="AS724" s="1868">
        <v>57.84825</v>
      </c>
      <c r="AT724" s="1868">
        <v>53.104209999999995</v>
      </c>
      <c r="AU724" s="1868">
        <v>59.542119999999997</v>
      </c>
      <c r="AV724" s="1868">
        <v>60.3887</v>
      </c>
      <c r="AW724" s="1868">
        <v>59.154230000000005</v>
      </c>
      <c r="AX724" s="1868">
        <v>63.390280000000004</v>
      </c>
      <c r="AY724" s="1868">
        <v>66.354439999999997</v>
      </c>
      <c r="AZ724" s="1868">
        <v>71.789280000000005</v>
      </c>
      <c r="BA724" s="1868">
        <v>66.902979999999999</v>
      </c>
    </row>
    <row r="725" spans="1:53">
      <c r="A725" s="1865" t="str">
        <f t="shared" si="11"/>
        <v>European UnionSugar cane</v>
      </c>
      <c r="B725" s="1866" t="s">
        <v>1417</v>
      </c>
      <c r="C725" s="1866" t="s">
        <v>1401</v>
      </c>
      <c r="D725" s="1868">
        <v>56.694219999999994</v>
      </c>
      <c r="E725" s="1868">
        <v>58.993899999999996</v>
      </c>
      <c r="F725" s="1868">
        <v>62.540089999999999</v>
      </c>
      <c r="G725" s="1868">
        <v>60.65831</v>
      </c>
      <c r="H725" s="1868">
        <v>76.323740000000001</v>
      </c>
      <c r="I725" s="1868">
        <v>72.08663</v>
      </c>
      <c r="J725" s="1868">
        <v>70.663359999999997</v>
      </c>
      <c r="K725" s="1868">
        <v>66.985509999999991</v>
      </c>
      <c r="L725" s="1868">
        <v>75.259460000000004</v>
      </c>
      <c r="M725" s="1868">
        <v>69.09371999999999</v>
      </c>
      <c r="N725" s="1868">
        <v>72.021500000000003</v>
      </c>
      <c r="O725" s="1868">
        <v>63.005330000000008</v>
      </c>
      <c r="P725" s="1868">
        <v>61.60051</v>
      </c>
      <c r="Q725" s="1868">
        <v>66.177779999999998</v>
      </c>
      <c r="R725" s="1868">
        <v>60.788580000000003</v>
      </c>
      <c r="S725" s="1868">
        <v>58.300190000000001</v>
      </c>
      <c r="T725" s="1868">
        <v>59.822669999999995</v>
      </c>
      <c r="U725" s="1868">
        <v>57.440069999999999</v>
      </c>
      <c r="V725" s="1868">
        <v>58.267449999999997</v>
      </c>
      <c r="W725" s="1868">
        <v>63.122750000000003</v>
      </c>
      <c r="X725" s="1868">
        <v>50.720390000000002</v>
      </c>
      <c r="Y725" s="1868">
        <v>61.476599999999998</v>
      </c>
      <c r="Z725" s="1868">
        <v>59.041430000000005</v>
      </c>
      <c r="AA725" s="1868">
        <v>60.108719999999998</v>
      </c>
      <c r="AB725" s="1868">
        <v>69.19256</v>
      </c>
      <c r="AC725" s="1868">
        <v>66.401730000000001</v>
      </c>
      <c r="AD725" s="1868">
        <v>77.359719999999996</v>
      </c>
      <c r="AE725" s="1868">
        <v>78.803280000000001</v>
      </c>
      <c r="AF725" s="1868">
        <v>82.287990000000008</v>
      </c>
      <c r="AG725" s="1868">
        <v>79.683540000000008</v>
      </c>
      <c r="AH725" s="1868">
        <v>78.49396999999999</v>
      </c>
      <c r="AI725" s="1868">
        <v>79.507419999999996</v>
      </c>
      <c r="AJ725" s="1868">
        <v>76.896720000000002</v>
      </c>
      <c r="AK725" s="1868">
        <v>84.373590000000007</v>
      </c>
      <c r="AL725" s="1868">
        <v>72.021290000000008</v>
      </c>
      <c r="AM725" s="1868">
        <v>45.975809999999996</v>
      </c>
      <c r="AN725" s="1868">
        <v>62.470209999999994</v>
      </c>
      <c r="AO725" s="1868">
        <v>86.680549999999997</v>
      </c>
      <c r="AP725" s="1868">
        <v>94.814819999999997</v>
      </c>
      <c r="AQ725" s="1868">
        <v>98.549199999999999</v>
      </c>
      <c r="AR725" s="1868">
        <v>88.343170000000001</v>
      </c>
      <c r="AS725" s="1868">
        <v>88.630899999999997</v>
      </c>
      <c r="AT725" s="1868">
        <v>75.955650000000006</v>
      </c>
      <c r="AU725" s="1868">
        <v>61.842799999999997</v>
      </c>
      <c r="AV725" s="1868">
        <v>71.393069999999994</v>
      </c>
      <c r="AW725" s="1868">
        <v>62.6462</v>
      </c>
      <c r="AX725" s="1868">
        <v>80.31429</v>
      </c>
      <c r="AY725" s="1868">
        <v>80</v>
      </c>
      <c r="AZ725" s="1868">
        <v>80</v>
      </c>
      <c r="BA725" s="1868">
        <v>80</v>
      </c>
    </row>
    <row r="726" spans="1:53">
      <c r="A726" s="1865" t="str">
        <f t="shared" si="11"/>
        <v>European UnionSunflower seed</v>
      </c>
      <c r="B726" s="1866" t="s">
        <v>1417</v>
      </c>
      <c r="C726" s="1866" t="s">
        <v>1402</v>
      </c>
      <c r="D726" s="1868">
        <v>1.1202700000000001</v>
      </c>
      <c r="E726" s="1868">
        <v>1.15208</v>
      </c>
      <c r="F726" s="1868">
        <v>1.16204</v>
      </c>
      <c r="G726" s="1868">
        <v>1.1951200000000002</v>
      </c>
      <c r="H726" s="1868">
        <v>1.21149</v>
      </c>
      <c r="I726" s="1868">
        <v>1.4451700000000001</v>
      </c>
      <c r="J726" s="1868">
        <v>1.5177399999999999</v>
      </c>
      <c r="K726" s="1868">
        <v>1.4443900000000001</v>
      </c>
      <c r="L726" s="1868">
        <v>1.50725</v>
      </c>
      <c r="M726" s="1868">
        <v>1.2720799999999999</v>
      </c>
      <c r="N726" s="1868">
        <v>1.3337700000000001</v>
      </c>
      <c r="O726" s="1868">
        <v>1.3538399999999999</v>
      </c>
      <c r="P726" s="1868">
        <v>1.3126899999999999</v>
      </c>
      <c r="Q726" s="1868">
        <v>1.1235899999999999</v>
      </c>
      <c r="R726" s="1868">
        <v>1.05172</v>
      </c>
      <c r="S726" s="1868">
        <v>1.1932200000000002</v>
      </c>
      <c r="T726" s="1868">
        <v>1.29718</v>
      </c>
      <c r="U726" s="1868">
        <v>1.2981200000000002</v>
      </c>
      <c r="V726" s="1868">
        <v>1.4244000000000001</v>
      </c>
      <c r="W726" s="1868">
        <v>1.41821</v>
      </c>
      <c r="X726" s="1868">
        <v>1.37192</v>
      </c>
      <c r="Y726" s="1868">
        <v>1.5340100000000001</v>
      </c>
      <c r="Z726" s="1868">
        <v>1.3995200000000001</v>
      </c>
      <c r="AA726" s="1868">
        <v>1.55504</v>
      </c>
      <c r="AB726" s="1868">
        <v>1.55661</v>
      </c>
      <c r="AC726" s="1868">
        <v>1.71475</v>
      </c>
      <c r="AD726" s="1868">
        <v>1.78725</v>
      </c>
      <c r="AE726" s="1868">
        <v>1.79844</v>
      </c>
      <c r="AF726" s="1868">
        <v>1.7079099999999998</v>
      </c>
      <c r="AG726" s="1868">
        <v>1.61426</v>
      </c>
      <c r="AH726" s="1868">
        <v>1.70848</v>
      </c>
      <c r="AI726" s="1868">
        <v>1.4525700000000001</v>
      </c>
      <c r="AJ726" s="1868">
        <v>1.1569499999999999</v>
      </c>
      <c r="AK726" s="1868">
        <v>1.3711200000000001</v>
      </c>
      <c r="AL726" s="1868">
        <v>1.3624799999999999</v>
      </c>
      <c r="AM726" s="1868">
        <v>1.4919100000000001</v>
      </c>
      <c r="AN726" s="1868">
        <v>1.4757400000000001</v>
      </c>
      <c r="AO726" s="1868">
        <v>1.43357</v>
      </c>
      <c r="AP726" s="1868">
        <v>1.4210100000000001</v>
      </c>
      <c r="AQ726" s="1868">
        <v>1.4088399999999999</v>
      </c>
      <c r="AR726" s="1868">
        <v>1.4510100000000001</v>
      </c>
      <c r="AS726" s="1868">
        <v>1.54538</v>
      </c>
      <c r="AT726" s="1868">
        <v>1.4927299999999999</v>
      </c>
      <c r="AU726" s="1868">
        <v>1.8379099999999999</v>
      </c>
      <c r="AV726" s="1868">
        <v>1.6725900000000002</v>
      </c>
      <c r="AW726" s="1868">
        <v>1.7374099999999999</v>
      </c>
      <c r="AX726" s="1868">
        <v>1.47384</v>
      </c>
      <c r="AY726" s="1868">
        <v>1.89127</v>
      </c>
      <c r="AZ726" s="1868">
        <v>1.7936799999999999</v>
      </c>
      <c r="BA726" s="1868">
        <v>1.8773500000000001</v>
      </c>
    </row>
    <row r="727" spans="1:53">
      <c r="A727" s="1865" t="str">
        <f t="shared" si="11"/>
        <v>European UnionSweet potatoes</v>
      </c>
      <c r="B727" s="1866" t="s">
        <v>1417</v>
      </c>
      <c r="C727" s="1866" t="s">
        <v>1403</v>
      </c>
      <c r="D727" s="1868">
        <v>10.888589999999999</v>
      </c>
      <c r="E727" s="1868">
        <v>10.92883</v>
      </c>
      <c r="F727" s="1868">
        <v>11.221769999999999</v>
      </c>
      <c r="G727" s="1868">
        <v>11.464310000000001</v>
      </c>
      <c r="H727" s="1868">
        <v>11.265180000000001</v>
      </c>
      <c r="I727" s="1868">
        <v>10.326310000000001</v>
      </c>
      <c r="J727" s="1868">
        <v>10.58029</v>
      </c>
      <c r="K727" s="1868">
        <v>10.25652</v>
      </c>
      <c r="L727" s="1868">
        <v>9.943010000000001</v>
      </c>
      <c r="M727" s="1868">
        <v>10.133100000000001</v>
      </c>
      <c r="N727" s="1868">
        <v>9.3792200000000001</v>
      </c>
      <c r="O727" s="1868">
        <v>9.6133699999999997</v>
      </c>
      <c r="P727" s="1868">
        <v>9.6068499999999997</v>
      </c>
      <c r="Q727" s="1868">
        <v>10.366989999999999</v>
      </c>
      <c r="R727" s="1868">
        <v>10.034889999999999</v>
      </c>
      <c r="S727" s="1868">
        <v>10.42966</v>
      </c>
      <c r="T727" s="1868">
        <v>10.620760000000001</v>
      </c>
      <c r="U727" s="1868">
        <v>10.482619999999999</v>
      </c>
      <c r="V727" s="1868">
        <v>10.797880000000001</v>
      </c>
      <c r="W727" s="1868">
        <v>10.649699999999999</v>
      </c>
      <c r="X727" s="1868">
        <v>11.90748</v>
      </c>
      <c r="Y727" s="1868">
        <v>11.36558</v>
      </c>
      <c r="Z727" s="1868">
        <v>10.702860000000001</v>
      </c>
      <c r="AA727" s="1868">
        <v>11.712719999999999</v>
      </c>
      <c r="AB727" s="1868">
        <v>11.46349</v>
      </c>
      <c r="AC727" s="1868">
        <v>12.17435</v>
      </c>
      <c r="AD727" s="1868">
        <v>12.83276</v>
      </c>
      <c r="AE727" s="1868">
        <v>12.163460000000001</v>
      </c>
      <c r="AF727" s="1868">
        <v>13.102349999999999</v>
      </c>
      <c r="AG727" s="1868">
        <v>12.63096</v>
      </c>
      <c r="AH727" s="1868">
        <v>12.298869999999999</v>
      </c>
      <c r="AI727" s="1868">
        <v>13.69561</v>
      </c>
      <c r="AJ727" s="1868">
        <v>16.418939999999999</v>
      </c>
      <c r="AK727" s="1868">
        <v>15.1797</v>
      </c>
      <c r="AL727" s="1868">
        <v>13.529639999999999</v>
      </c>
      <c r="AM727" s="1868">
        <v>13.00108</v>
      </c>
      <c r="AN727" s="1868">
        <v>12.7623</v>
      </c>
      <c r="AO727" s="1868">
        <v>12.62411</v>
      </c>
      <c r="AP727" s="1868">
        <v>11.126810000000001</v>
      </c>
      <c r="AQ727" s="1868">
        <v>11.0817</v>
      </c>
      <c r="AR727" s="1868">
        <v>13.564679999999999</v>
      </c>
      <c r="AS727" s="1868">
        <v>12.958550000000001</v>
      </c>
      <c r="AT727" s="1868">
        <v>13.170279999999998</v>
      </c>
      <c r="AU727" s="1868">
        <v>15.038360000000001</v>
      </c>
      <c r="AV727" s="1868">
        <v>13.68319</v>
      </c>
      <c r="AW727" s="1868">
        <v>11.68853</v>
      </c>
      <c r="AX727" s="1868">
        <v>11.47317</v>
      </c>
      <c r="AY727" s="1868">
        <v>11.64564</v>
      </c>
      <c r="AZ727" s="1868">
        <v>11.639380000000001</v>
      </c>
      <c r="BA727" s="1868">
        <v>12.440989999999999</v>
      </c>
    </row>
    <row r="728" spans="1:53">
      <c r="A728" s="1865" t="str">
        <f t="shared" si="11"/>
        <v>European UnionTangerines, mandarins, clem.</v>
      </c>
      <c r="B728" s="1866" t="s">
        <v>1417</v>
      </c>
      <c r="C728" s="1866" t="s">
        <v>1404</v>
      </c>
      <c r="D728" s="1868">
        <v>11.71219</v>
      </c>
      <c r="E728" s="1868">
        <v>9.66357</v>
      </c>
      <c r="F728" s="1868">
        <v>11.421849999999999</v>
      </c>
      <c r="G728" s="1868">
        <v>12.65584</v>
      </c>
      <c r="H728" s="1868">
        <v>12.39978</v>
      </c>
      <c r="I728" s="1868">
        <v>13.651389999999999</v>
      </c>
      <c r="J728" s="1868">
        <v>12.719289999999999</v>
      </c>
      <c r="K728" s="1868">
        <v>13.086169999999999</v>
      </c>
      <c r="L728" s="1868">
        <v>13.83005</v>
      </c>
      <c r="M728" s="1868">
        <v>14.322370000000001</v>
      </c>
      <c r="N728" s="1868">
        <v>13.3918</v>
      </c>
      <c r="O728" s="1868">
        <v>15.274050000000001</v>
      </c>
      <c r="P728" s="1868">
        <v>12.852600000000001</v>
      </c>
      <c r="Q728" s="1868">
        <v>12.567130000000001</v>
      </c>
      <c r="R728" s="1868">
        <v>12.80669</v>
      </c>
      <c r="S728" s="1868">
        <v>12.853149999999999</v>
      </c>
      <c r="T728" s="1868">
        <v>14.745050000000001</v>
      </c>
      <c r="U728" s="1868">
        <v>17.134049999999998</v>
      </c>
      <c r="V728" s="1868">
        <v>15.605260000000001</v>
      </c>
      <c r="W728" s="1868">
        <v>16.479050000000001</v>
      </c>
      <c r="X728" s="1868">
        <v>14.635710000000001</v>
      </c>
      <c r="Y728" s="1868">
        <v>16.315000000000001</v>
      </c>
      <c r="Z728" s="1868">
        <v>21.184829999999998</v>
      </c>
      <c r="AA728" s="1868">
        <v>15.177170000000002</v>
      </c>
      <c r="AB728" s="1868">
        <v>18.08989</v>
      </c>
      <c r="AC728" s="1868">
        <v>19.468610000000002</v>
      </c>
      <c r="AD728" s="1868">
        <v>17.75009</v>
      </c>
      <c r="AE728" s="1868">
        <v>17.13485</v>
      </c>
      <c r="AF728" s="1868">
        <v>19.448090000000001</v>
      </c>
      <c r="AG728" s="1868">
        <v>19.0001</v>
      </c>
      <c r="AH728" s="1868">
        <v>17.426920000000003</v>
      </c>
      <c r="AI728" s="1868">
        <v>19.150639999999999</v>
      </c>
      <c r="AJ728" s="1868">
        <v>20.008420000000001</v>
      </c>
      <c r="AK728" s="1868">
        <v>19.744789999999998</v>
      </c>
      <c r="AL728" s="1868">
        <v>18.578399999999998</v>
      </c>
      <c r="AM728" s="1868">
        <v>16.514570000000003</v>
      </c>
      <c r="AN728" s="1868">
        <v>18.145340000000001</v>
      </c>
      <c r="AO728" s="1868">
        <v>15.695550000000001</v>
      </c>
      <c r="AP728" s="1868">
        <v>17.311129999999999</v>
      </c>
      <c r="AQ728" s="1868">
        <v>16.36496</v>
      </c>
      <c r="AR728" s="1868">
        <v>15.717360000000001</v>
      </c>
      <c r="AS728" s="1868">
        <v>17.159370000000003</v>
      </c>
      <c r="AT728" s="1868">
        <v>16.892670000000003</v>
      </c>
      <c r="AU728" s="1868">
        <v>19.975290000000001</v>
      </c>
      <c r="AV728" s="1868">
        <v>16.881499999999999</v>
      </c>
      <c r="AW728" s="1868">
        <v>20.11065</v>
      </c>
      <c r="AX728" s="1868">
        <v>17.5364</v>
      </c>
      <c r="AY728" s="1868">
        <v>18.752770000000002</v>
      </c>
      <c r="AZ728" s="1868">
        <v>17.745000000000001</v>
      </c>
      <c r="BA728" s="1868">
        <v>15.40945</v>
      </c>
    </row>
    <row r="729" spans="1:53">
      <c r="A729" s="1865" t="str">
        <f t="shared" si="11"/>
        <v>European UnionTea</v>
      </c>
      <c r="B729" s="1866" t="s">
        <v>1417</v>
      </c>
      <c r="C729" s="1866" t="s">
        <v>1405</v>
      </c>
      <c r="D729" s="1868">
        <v>0.64</v>
      </c>
      <c r="E729" s="1868">
        <v>0.55556000000000005</v>
      </c>
      <c r="F729" s="1868">
        <v>0.6</v>
      </c>
      <c r="G729" s="1868">
        <v>0.6</v>
      </c>
      <c r="H729" s="1868">
        <v>0.6</v>
      </c>
      <c r="I729" s="1868">
        <v>0.66037999999999997</v>
      </c>
      <c r="J729" s="1868">
        <v>0.66666999999999998</v>
      </c>
      <c r="K729" s="1868">
        <v>0.66666999999999998</v>
      </c>
      <c r="L729" s="1868">
        <v>0.66666999999999998</v>
      </c>
      <c r="M729" s="1868">
        <v>0.66666999999999998</v>
      </c>
      <c r="N729" s="1868">
        <v>0.66666999999999998</v>
      </c>
      <c r="O729" s="1868">
        <v>0.66666999999999998</v>
      </c>
      <c r="P729" s="1868">
        <v>0.66666999999999998</v>
      </c>
      <c r="Q729" s="1868">
        <v>0.66666999999999998</v>
      </c>
      <c r="R729" s="1868">
        <v>0.66666999999999998</v>
      </c>
      <c r="S729" s="1868">
        <v>0.67221999999999993</v>
      </c>
      <c r="T729" s="1868">
        <v>0.66749999999999998</v>
      </c>
      <c r="U729" s="1868">
        <v>0.66249999999999998</v>
      </c>
      <c r="V729" s="1868">
        <v>0.66458000000000006</v>
      </c>
      <c r="W729" s="1868">
        <v>0.66176999999999997</v>
      </c>
      <c r="X729" s="1868">
        <v>0.66666999999999998</v>
      </c>
      <c r="Y729" s="1868">
        <v>0.67600000000000005</v>
      </c>
      <c r="Z729" s="1868">
        <v>0.66</v>
      </c>
      <c r="AA729" s="1868">
        <v>0.67406999999999995</v>
      </c>
      <c r="AB729" s="1868">
        <v>0.66364000000000001</v>
      </c>
      <c r="AC729" s="1868">
        <v>0.66332999999999998</v>
      </c>
      <c r="AD729" s="1868">
        <v>0.66071000000000002</v>
      </c>
      <c r="AE729" s="1868">
        <v>0.67500000000000004</v>
      </c>
      <c r="AF729" s="1868">
        <v>0.66</v>
      </c>
      <c r="AG729" s="1868">
        <v>0.65713999999999995</v>
      </c>
      <c r="AH729" s="1868">
        <v>0.67895000000000005</v>
      </c>
      <c r="AI729" s="1868">
        <v>0.69</v>
      </c>
      <c r="AJ729" s="1868">
        <v>0.7</v>
      </c>
      <c r="AK729" s="1868">
        <v>0.66666999999999998</v>
      </c>
      <c r="AL729" s="1868">
        <v>0.66128999999999993</v>
      </c>
      <c r="AM729" s="1868">
        <v>0.66316000000000008</v>
      </c>
      <c r="AN729" s="1868">
        <v>0.60976000000000008</v>
      </c>
      <c r="AO729" s="1868">
        <v>0.58536999999999995</v>
      </c>
      <c r="AP729" s="1868">
        <v>3</v>
      </c>
      <c r="AQ729" s="1868">
        <v>2.1</v>
      </c>
      <c r="AR729" s="1868">
        <v>2.15</v>
      </c>
      <c r="AS729" s="1868">
        <v>3</v>
      </c>
      <c r="AT729" s="1868">
        <v>3.2222200000000001</v>
      </c>
      <c r="AU729" s="1868">
        <v>3.4722199999999996</v>
      </c>
      <c r="AV729" s="1868">
        <v>3.11111</v>
      </c>
      <c r="AW729" s="1868">
        <v>2.875</v>
      </c>
      <c r="AX729" s="1868">
        <v>2.9249999999999998</v>
      </c>
      <c r="AY729" s="1868">
        <v>2.875</v>
      </c>
      <c r="AZ729" s="1868">
        <v>2.875</v>
      </c>
      <c r="BA729" s="1868">
        <v>3.25</v>
      </c>
    </row>
    <row r="730" spans="1:53">
      <c r="A730" s="1865" t="str">
        <f t="shared" si="11"/>
        <v>European UnionTobacco, unmanufactured</v>
      </c>
      <c r="B730" s="1866" t="s">
        <v>1417</v>
      </c>
      <c r="C730" s="1866" t="s">
        <v>1347</v>
      </c>
      <c r="D730" s="1868">
        <v>0.86343999999999999</v>
      </c>
      <c r="E730" s="1868">
        <v>1.0048999999999999</v>
      </c>
      <c r="F730" s="1868">
        <v>1.14463</v>
      </c>
      <c r="G730" s="1868">
        <v>1.2694700000000001</v>
      </c>
      <c r="H730" s="1868">
        <v>1.14594</v>
      </c>
      <c r="I730" s="1868">
        <v>1.15703</v>
      </c>
      <c r="J730" s="1868">
        <v>1.2907</v>
      </c>
      <c r="K730" s="1868">
        <v>1.23909</v>
      </c>
      <c r="L730" s="1868">
        <v>1.16275</v>
      </c>
      <c r="M730" s="1868">
        <v>1.2775299999999998</v>
      </c>
      <c r="N730" s="1868">
        <v>1.28878</v>
      </c>
      <c r="O730" s="1868">
        <v>1.3876999999999999</v>
      </c>
      <c r="P730" s="1868">
        <v>1.3487499999999999</v>
      </c>
      <c r="Q730" s="1868">
        <v>1.2649299999999999</v>
      </c>
      <c r="R730" s="1868">
        <v>1.4511000000000001</v>
      </c>
      <c r="S730" s="1868">
        <v>1.5555399999999999</v>
      </c>
      <c r="T730" s="1868">
        <v>1.31196</v>
      </c>
      <c r="U730" s="1868">
        <v>1.3971799999999999</v>
      </c>
      <c r="V730" s="1868">
        <v>1.5843</v>
      </c>
      <c r="W730" s="1868">
        <v>1.3806100000000001</v>
      </c>
      <c r="X730" s="1868">
        <v>1.58</v>
      </c>
      <c r="Y730" s="1868">
        <v>1.7001299999999999</v>
      </c>
      <c r="Z730" s="1868">
        <v>1.5041200000000001</v>
      </c>
      <c r="AA730" s="1868">
        <v>1.7289700000000001</v>
      </c>
      <c r="AB730" s="1868">
        <v>1.63097</v>
      </c>
      <c r="AC730" s="1868">
        <v>1.6697900000000001</v>
      </c>
      <c r="AD730" s="1868">
        <v>1.7594400000000001</v>
      </c>
      <c r="AE730" s="1868">
        <v>1.68727</v>
      </c>
      <c r="AF730" s="1868">
        <v>1.6354600000000001</v>
      </c>
      <c r="AG730" s="1868">
        <v>1.9253099999999999</v>
      </c>
      <c r="AH730" s="1868">
        <v>1.9558500000000001</v>
      </c>
      <c r="AI730" s="1868">
        <v>1.8673599999999999</v>
      </c>
      <c r="AJ730" s="1868">
        <v>1.8920599999999999</v>
      </c>
      <c r="AK730" s="1868">
        <v>1.9131900000000002</v>
      </c>
      <c r="AL730" s="1868">
        <v>2.1426799999999999</v>
      </c>
      <c r="AM730" s="1868">
        <v>2.1389800000000001</v>
      </c>
      <c r="AN730" s="1868">
        <v>2.1213900000000003</v>
      </c>
      <c r="AO730" s="1868">
        <v>2.1351299999999998</v>
      </c>
      <c r="AP730" s="1868">
        <v>2.27603</v>
      </c>
      <c r="AQ730" s="1868">
        <v>2.2944200000000001</v>
      </c>
      <c r="AR730" s="1868">
        <v>2.2566299999999999</v>
      </c>
      <c r="AS730" s="1868">
        <v>2.3542700000000001</v>
      </c>
      <c r="AT730" s="1868">
        <v>2.3854799999999998</v>
      </c>
      <c r="AU730" s="1868">
        <v>2.3065000000000002</v>
      </c>
      <c r="AV730" s="1868">
        <v>2.3403299999999998</v>
      </c>
      <c r="AW730" s="1868">
        <v>2.3143500000000001</v>
      </c>
      <c r="AX730" s="1868">
        <v>2.25637</v>
      </c>
      <c r="AY730" s="1868">
        <v>2.5153699999999999</v>
      </c>
      <c r="AZ730" s="1868">
        <v>2.5251700000000001</v>
      </c>
      <c r="BA730" s="1868">
        <v>2.4751500000000002</v>
      </c>
    </row>
    <row r="731" spans="1:53">
      <c r="A731" s="1865" t="str">
        <f t="shared" si="11"/>
        <v>European UnionTomatoes</v>
      </c>
      <c r="B731" s="1866" t="s">
        <v>1417</v>
      </c>
      <c r="C731" s="1866" t="s">
        <v>1406</v>
      </c>
      <c r="D731" s="1868">
        <v>20.432179999999999</v>
      </c>
      <c r="E731" s="1868">
        <v>20.847100000000001</v>
      </c>
      <c r="F731" s="1868">
        <v>21.145210000000002</v>
      </c>
      <c r="G731" s="1868">
        <v>23.29862</v>
      </c>
      <c r="H731" s="1868">
        <v>24.113329999999998</v>
      </c>
      <c r="I731" s="1868">
        <v>24.599420000000002</v>
      </c>
      <c r="J731" s="1868">
        <v>25.246779999999998</v>
      </c>
      <c r="K731" s="1868">
        <v>24.659400000000002</v>
      </c>
      <c r="L731" s="1868">
        <v>25.169060000000002</v>
      </c>
      <c r="M731" s="1868">
        <v>25.52899</v>
      </c>
      <c r="N731" s="1868">
        <v>26.903590000000001</v>
      </c>
      <c r="O731" s="1868">
        <v>27.094550000000002</v>
      </c>
      <c r="P731" s="1868">
        <v>29.29543</v>
      </c>
      <c r="Q731" s="1868">
        <v>29.597100000000001</v>
      </c>
      <c r="R731" s="1868">
        <v>29.704529999999998</v>
      </c>
      <c r="S731" s="1868">
        <v>28.620729999999998</v>
      </c>
      <c r="T731" s="1868">
        <v>27.939809999999998</v>
      </c>
      <c r="U731" s="1868">
        <v>29.579629999999998</v>
      </c>
      <c r="V731" s="1868">
        <v>32.108820000000001</v>
      </c>
      <c r="W731" s="1868">
        <v>29.758659999999999</v>
      </c>
      <c r="X731" s="1868">
        <v>32.799329999999998</v>
      </c>
      <c r="Y731" s="1868">
        <v>33.316890000000001</v>
      </c>
      <c r="Z731" s="1868">
        <v>34.652700000000003</v>
      </c>
      <c r="AA731" s="1868">
        <v>38.19126</v>
      </c>
      <c r="AB731" s="1868">
        <v>39.515770000000003</v>
      </c>
      <c r="AC731" s="1868">
        <v>37.499600000000001</v>
      </c>
      <c r="AD731" s="1868">
        <v>36.508090000000003</v>
      </c>
      <c r="AE731" s="1868">
        <v>35.758000000000003</v>
      </c>
      <c r="AF731" s="1868">
        <v>38.761369999999999</v>
      </c>
      <c r="AG731" s="1868">
        <v>38.65184</v>
      </c>
      <c r="AH731" s="1868">
        <v>40.212590000000006</v>
      </c>
      <c r="AI731" s="1868">
        <v>39.042290000000001</v>
      </c>
      <c r="AJ731" s="1868">
        <v>40.315269999999998</v>
      </c>
      <c r="AK731" s="1868">
        <v>41.584249999999997</v>
      </c>
      <c r="AL731" s="1868">
        <v>40.146359999999994</v>
      </c>
      <c r="AM731" s="1868">
        <v>44.938479999999998</v>
      </c>
      <c r="AN731" s="1868">
        <v>42.471649999999997</v>
      </c>
      <c r="AO731" s="1868">
        <v>44.676470000000002</v>
      </c>
      <c r="AP731" s="1868">
        <v>46.941299999999998</v>
      </c>
      <c r="AQ731" s="1868">
        <v>46.878250000000001</v>
      </c>
      <c r="AR731" s="1868">
        <v>47.00367</v>
      </c>
      <c r="AS731" s="1868">
        <v>48.182959999999994</v>
      </c>
      <c r="AT731" s="1868">
        <v>50.469239999999999</v>
      </c>
      <c r="AU731" s="1868">
        <v>52.798169999999992</v>
      </c>
      <c r="AV731" s="1868">
        <v>53.451039999999999</v>
      </c>
      <c r="AW731" s="1868">
        <v>52.634609999999995</v>
      </c>
      <c r="AX731" s="1868">
        <v>54.775090000000006</v>
      </c>
      <c r="AY731" s="1868">
        <v>55.433409999999995</v>
      </c>
      <c r="AZ731" s="1868">
        <v>57.581619999999994</v>
      </c>
      <c r="BA731" s="1868">
        <v>55.648280000000007</v>
      </c>
    </row>
    <row r="732" spans="1:53">
      <c r="A732" s="1865" t="str">
        <f t="shared" si="11"/>
        <v>European UnionTriticale</v>
      </c>
      <c r="B732" s="1866" t="s">
        <v>1417</v>
      </c>
      <c r="C732" s="1866" t="s">
        <v>1361</v>
      </c>
      <c r="T732" s="1868">
        <v>1.70533</v>
      </c>
      <c r="U732" s="1868">
        <v>2.1232500000000001</v>
      </c>
      <c r="V732" s="1868">
        <v>1.5409299999999999</v>
      </c>
      <c r="W732" s="1868">
        <v>1.60212</v>
      </c>
      <c r="X732" s="1868">
        <v>1.50725</v>
      </c>
      <c r="Y732" s="1868">
        <v>1.5074299999999998</v>
      </c>
      <c r="Z732" s="1868">
        <v>1.5730999999999999</v>
      </c>
      <c r="AA732" s="1868">
        <v>4.04129</v>
      </c>
      <c r="AB732" s="1868">
        <v>3.96279</v>
      </c>
      <c r="AC732" s="1868">
        <v>3.1167099999999999</v>
      </c>
      <c r="AD732" s="1868">
        <v>3.41676</v>
      </c>
      <c r="AE732" s="1868">
        <v>3.2595700000000001</v>
      </c>
      <c r="AF732" s="1868">
        <v>3.6956599999999997</v>
      </c>
      <c r="AG732" s="1868">
        <v>3.71916</v>
      </c>
      <c r="AH732" s="1868">
        <v>3.7289400000000001</v>
      </c>
      <c r="AI732" s="1868">
        <v>3.2698700000000001</v>
      </c>
      <c r="AJ732" s="1868">
        <v>3.5401400000000001</v>
      </c>
      <c r="AK732" s="1868">
        <v>3.5800800000000002</v>
      </c>
      <c r="AL732" s="1868">
        <v>3.95431</v>
      </c>
      <c r="AM732" s="1868">
        <v>3.9520800000000005</v>
      </c>
      <c r="AN732" s="1868">
        <v>4.0761799999999999</v>
      </c>
      <c r="AO732" s="1868">
        <v>4.3148599999999995</v>
      </c>
      <c r="AP732" s="1868">
        <v>4.1736900000000006</v>
      </c>
      <c r="AQ732" s="1868">
        <v>4.0226499999999996</v>
      </c>
      <c r="AR732" s="1868">
        <v>4.2455300000000005</v>
      </c>
      <c r="AS732" s="1868">
        <v>4.0963099999999999</v>
      </c>
      <c r="AT732" s="1868">
        <v>3.5277199999999995</v>
      </c>
      <c r="AU732" s="1868">
        <v>4.50725</v>
      </c>
      <c r="AV732" s="1868">
        <v>4.0324200000000001</v>
      </c>
      <c r="AW732" s="1868">
        <v>3.6101000000000001</v>
      </c>
      <c r="AX732" s="1868">
        <v>3.8162199999999995</v>
      </c>
      <c r="AY732" s="1868">
        <v>4.1255800000000002</v>
      </c>
      <c r="AZ732" s="1868">
        <v>4.1891400000000001</v>
      </c>
      <c r="BA732" s="1868">
        <v>3.8868800000000001</v>
      </c>
    </row>
    <row r="733" spans="1:53">
      <c r="A733" s="1865" t="str">
        <f t="shared" si="11"/>
        <v>European UnionVegetables fresh nes</v>
      </c>
      <c r="B733" s="1866" t="s">
        <v>1417</v>
      </c>
      <c r="C733" s="1866" t="s">
        <v>1407</v>
      </c>
      <c r="D733" s="1868">
        <v>13.09052</v>
      </c>
      <c r="E733" s="1868">
        <v>12.36185</v>
      </c>
      <c r="F733" s="1868">
        <v>12.69763</v>
      </c>
      <c r="G733" s="1868">
        <v>13.198929999999999</v>
      </c>
      <c r="H733" s="1868">
        <v>13.44571</v>
      </c>
      <c r="I733" s="1868">
        <v>13.999070000000001</v>
      </c>
      <c r="J733" s="1868">
        <v>14.370189999999999</v>
      </c>
      <c r="K733" s="1868">
        <v>14.10919</v>
      </c>
      <c r="L733" s="1868">
        <v>14.009529999999998</v>
      </c>
      <c r="M733" s="1868">
        <v>14.250060000000001</v>
      </c>
      <c r="N733" s="1868">
        <v>14.207420000000001</v>
      </c>
      <c r="O733" s="1868">
        <v>14.17806</v>
      </c>
      <c r="P733" s="1868">
        <v>14.600779999999999</v>
      </c>
      <c r="Q733" s="1868">
        <v>15.220039999999999</v>
      </c>
      <c r="R733" s="1868">
        <v>15.203810000000001</v>
      </c>
      <c r="S733" s="1868">
        <v>15.680660000000001</v>
      </c>
      <c r="T733" s="1868">
        <v>16.074470000000002</v>
      </c>
      <c r="U733" s="1868">
        <v>15.5281</v>
      </c>
      <c r="V733" s="1868">
        <v>16.009179999999997</v>
      </c>
      <c r="W733" s="1868">
        <v>15.303470000000001</v>
      </c>
      <c r="X733" s="1868">
        <v>16.91188</v>
      </c>
      <c r="Y733" s="1868">
        <v>16.476430000000001</v>
      </c>
      <c r="Z733" s="1868">
        <v>16.59892</v>
      </c>
      <c r="AA733" s="1868">
        <v>17.360529999999997</v>
      </c>
      <c r="AB733" s="1868">
        <v>17.68675</v>
      </c>
      <c r="AC733" s="1868">
        <v>20.170970000000001</v>
      </c>
      <c r="AD733" s="1868">
        <v>17.829929999999997</v>
      </c>
      <c r="AE733" s="1868">
        <v>18.771629999999998</v>
      </c>
      <c r="AF733" s="1868">
        <v>18.10529</v>
      </c>
      <c r="AG733" s="1868">
        <v>17.791329999999999</v>
      </c>
      <c r="AH733" s="1868">
        <v>17.25967</v>
      </c>
      <c r="AI733" s="1868">
        <v>17.5991</v>
      </c>
      <c r="AJ733" s="1868">
        <v>17.660870000000003</v>
      </c>
      <c r="AK733" s="1868">
        <v>17.844570000000001</v>
      </c>
      <c r="AL733" s="1868">
        <v>17.002379999999999</v>
      </c>
      <c r="AM733" s="1868">
        <v>18.290279999999999</v>
      </c>
      <c r="AN733" s="1868">
        <v>16.433150000000001</v>
      </c>
      <c r="AO733" s="1868">
        <v>14.759229999999999</v>
      </c>
      <c r="AP733" s="1868">
        <v>16.65718</v>
      </c>
      <c r="AQ733" s="1868">
        <v>18.537269999999999</v>
      </c>
      <c r="AR733" s="1868">
        <v>19.239070000000002</v>
      </c>
      <c r="AS733" s="1868">
        <v>18.97024</v>
      </c>
      <c r="AT733" s="1868">
        <v>17.91769</v>
      </c>
      <c r="AU733" s="1868">
        <v>19.617810000000002</v>
      </c>
      <c r="AV733" s="1868">
        <v>18.400980000000001</v>
      </c>
      <c r="AW733" s="1868">
        <v>18.262840000000001</v>
      </c>
      <c r="AX733" s="1868">
        <v>17.299510000000001</v>
      </c>
      <c r="AY733" s="1868">
        <v>18.463170000000002</v>
      </c>
      <c r="AZ733" s="1868">
        <v>18.411059999999999</v>
      </c>
      <c r="BA733" s="1868">
        <v>18.353460000000002</v>
      </c>
    </row>
    <row r="734" spans="1:53">
      <c r="A734" s="1865" t="str">
        <f t="shared" si="11"/>
        <v>European UnionVetches</v>
      </c>
      <c r="B734" s="1866" t="s">
        <v>1417</v>
      </c>
      <c r="C734" s="1866" t="s">
        <v>1408</v>
      </c>
      <c r="D734" s="1868">
        <v>0.68728</v>
      </c>
      <c r="E734" s="1868">
        <v>0.68674000000000002</v>
      </c>
      <c r="F734" s="1868">
        <v>0.69803999999999999</v>
      </c>
      <c r="G734" s="1868">
        <v>0.68672</v>
      </c>
      <c r="H734" s="1868">
        <v>0.80467</v>
      </c>
      <c r="I734" s="1868">
        <v>0.78981999999999997</v>
      </c>
      <c r="J734" s="1868">
        <v>0.82991000000000004</v>
      </c>
      <c r="K734" s="1868">
        <v>0.79698999999999998</v>
      </c>
      <c r="L734" s="1868">
        <v>0.83612000000000009</v>
      </c>
      <c r="M734" s="1868">
        <v>0.83787000000000011</v>
      </c>
      <c r="N734" s="1868">
        <v>0.87831000000000004</v>
      </c>
      <c r="O734" s="1868">
        <v>0.79530000000000001</v>
      </c>
      <c r="P734" s="1868">
        <v>0.79127000000000003</v>
      </c>
      <c r="Q734" s="1868">
        <v>0.88370000000000004</v>
      </c>
      <c r="R734" s="1868">
        <v>0.84902000000000011</v>
      </c>
      <c r="S734" s="1868">
        <v>0.84223999999999999</v>
      </c>
      <c r="T734" s="1868">
        <v>0.90842999999999996</v>
      </c>
      <c r="U734" s="1868">
        <v>1.0060899999999999</v>
      </c>
      <c r="V734" s="1868">
        <v>0.96718999999999999</v>
      </c>
      <c r="W734" s="1868">
        <v>1.0792700000000002</v>
      </c>
      <c r="X734" s="1868">
        <v>1.0009700000000001</v>
      </c>
      <c r="Y734" s="1868">
        <v>1.1287</v>
      </c>
      <c r="Z734" s="1868">
        <v>1.2474499999999999</v>
      </c>
      <c r="AA734" s="1868">
        <v>1.5867799999999999</v>
      </c>
      <c r="AB734" s="1868">
        <v>1.58806</v>
      </c>
      <c r="AC734" s="1868">
        <v>1.4518</v>
      </c>
      <c r="AD734" s="1868">
        <v>1.51092</v>
      </c>
      <c r="AE734" s="1868">
        <v>1.62246</v>
      </c>
      <c r="AF734" s="1868">
        <v>1.35172</v>
      </c>
      <c r="AG734" s="1868">
        <v>1.36609</v>
      </c>
      <c r="AH734" s="1868">
        <v>1.1614599999999999</v>
      </c>
      <c r="AI734" s="1868">
        <v>1.02756</v>
      </c>
      <c r="AJ734" s="1868">
        <v>1.6500599999999999</v>
      </c>
      <c r="AK734" s="1868">
        <v>1.1016299999999999</v>
      </c>
      <c r="AL734" s="1868">
        <v>0.53883999999999999</v>
      </c>
      <c r="AM734" s="1868">
        <v>0.66053000000000006</v>
      </c>
      <c r="AN734" s="1868">
        <v>0.63275000000000003</v>
      </c>
      <c r="AO734" s="1868">
        <v>0.70057000000000003</v>
      </c>
      <c r="AP734" s="1868">
        <v>0.53966000000000003</v>
      </c>
      <c r="AQ734" s="1868">
        <v>0.86024999999999996</v>
      </c>
      <c r="AR734" s="1868">
        <v>0.66203999999999996</v>
      </c>
      <c r="AS734" s="1868">
        <v>0.83951000000000009</v>
      </c>
      <c r="AT734" s="1868">
        <v>0.92727999999999988</v>
      </c>
      <c r="AU734" s="1868">
        <v>0.95963999999999994</v>
      </c>
      <c r="AV734" s="1868">
        <v>0.49191000000000001</v>
      </c>
      <c r="AW734" s="1868">
        <v>1.0236799999999999</v>
      </c>
      <c r="AX734" s="1868">
        <v>1.0952899999999999</v>
      </c>
      <c r="AY734" s="1868">
        <v>1.17031</v>
      </c>
      <c r="AZ734" s="1868">
        <v>1.0516700000000001</v>
      </c>
      <c r="BA734" s="1868">
        <v>1.0165999999999999</v>
      </c>
    </row>
    <row r="735" spans="1:53">
      <c r="A735" s="1865" t="str">
        <f t="shared" si="11"/>
        <v>European UnionWheat</v>
      </c>
      <c r="B735" s="1866" t="s">
        <v>1417</v>
      </c>
      <c r="C735" s="1866" t="s">
        <v>1409</v>
      </c>
      <c r="D735" s="1868">
        <v>1.8591</v>
      </c>
      <c r="E735" s="1868">
        <v>2.1330900000000002</v>
      </c>
      <c r="F735" s="1868">
        <v>1.9600599999999999</v>
      </c>
      <c r="G735" s="1868">
        <v>2.1198399999999999</v>
      </c>
      <c r="H735" s="1868">
        <v>2.3487499999999999</v>
      </c>
      <c r="I735" s="1868">
        <v>2.2025299999999999</v>
      </c>
      <c r="J735" s="1868">
        <v>2.5979000000000001</v>
      </c>
      <c r="K735" s="1868">
        <v>2.5387599999999999</v>
      </c>
      <c r="L735" s="1868">
        <v>2.4843900000000003</v>
      </c>
      <c r="M735" s="1868">
        <v>2.4443299999999999</v>
      </c>
      <c r="N735" s="1868">
        <v>2.9055</v>
      </c>
      <c r="O735" s="1868">
        <v>2.9611999999999998</v>
      </c>
      <c r="P735" s="1868">
        <v>3.0911400000000002</v>
      </c>
      <c r="Q735" s="1868">
        <v>3.2677</v>
      </c>
      <c r="R735" s="1868">
        <v>3.0322100000000001</v>
      </c>
      <c r="S735" s="1868">
        <v>3.1412299999999997</v>
      </c>
      <c r="T735" s="1868">
        <v>3.2395800000000001</v>
      </c>
      <c r="U735" s="1868">
        <v>3.60466</v>
      </c>
      <c r="V735" s="1868">
        <v>3.3803400000000003</v>
      </c>
      <c r="W735" s="1868">
        <v>3.79115</v>
      </c>
      <c r="X735" s="1868">
        <v>3.6620300000000001</v>
      </c>
      <c r="Y735" s="1868">
        <v>3.9420500000000001</v>
      </c>
      <c r="Z735" s="1868">
        <v>3.8033000000000001</v>
      </c>
      <c r="AA735" s="1868">
        <v>4.7763999999999998</v>
      </c>
      <c r="AB735" s="1868">
        <v>4.2655900000000004</v>
      </c>
      <c r="AC735" s="1868">
        <v>4.2799199999999997</v>
      </c>
      <c r="AD735" s="1868">
        <v>4.2683300000000006</v>
      </c>
      <c r="AE735" s="1868">
        <v>4.5860300000000001</v>
      </c>
      <c r="AF735" s="1868">
        <v>4.6591800000000001</v>
      </c>
      <c r="AG735" s="1868">
        <v>4.8113999999999999</v>
      </c>
      <c r="AH735" s="1868">
        <v>4.90069</v>
      </c>
      <c r="AI735" s="1868">
        <v>4.5078300000000002</v>
      </c>
      <c r="AJ735" s="1868">
        <v>4.4867800000000004</v>
      </c>
      <c r="AK735" s="1868">
        <v>4.6393900000000006</v>
      </c>
      <c r="AL735" s="1868">
        <v>4.6686800000000002</v>
      </c>
      <c r="AM735" s="1868">
        <v>4.9423900000000005</v>
      </c>
      <c r="AN735" s="1868">
        <v>4.7507199999999994</v>
      </c>
      <c r="AO735" s="1868">
        <v>5.12723</v>
      </c>
      <c r="AP735" s="1868">
        <v>4.9718800000000005</v>
      </c>
      <c r="AQ735" s="1868">
        <v>4.9858400000000005</v>
      </c>
      <c r="AR735" s="1868">
        <v>4.7926099999999998</v>
      </c>
      <c r="AS735" s="1868">
        <v>4.9699200000000001</v>
      </c>
      <c r="AT735" s="1868">
        <v>4.5900099999999995</v>
      </c>
      <c r="AU735" s="1868">
        <v>5.6168699999999996</v>
      </c>
      <c r="AV735" s="1868">
        <v>5.1208599999999995</v>
      </c>
      <c r="AW735" s="1868">
        <v>5.0847199999999999</v>
      </c>
      <c r="AX735" s="1868">
        <v>4.8436300000000001</v>
      </c>
      <c r="AY735" s="1868">
        <v>5.6738300000000006</v>
      </c>
      <c r="AZ735" s="1868">
        <v>5.3568899999999999</v>
      </c>
      <c r="BA735" s="1868">
        <v>5.2507299999999999</v>
      </c>
    </row>
    <row r="736" spans="1:53">
      <c r="A736" s="1865" t="str">
        <f t="shared" si="11"/>
        <v>European UnionCereals (Rice Milled Eqv</v>
      </c>
      <c r="B736" s="1866" t="s">
        <v>1417</v>
      </c>
      <c r="C736" s="1866" t="s">
        <v>1410</v>
      </c>
      <c r="D736" s="1868">
        <v>1.9824200000000001</v>
      </c>
      <c r="E736" s="1868">
        <v>2.1499799999999998</v>
      </c>
      <c r="F736" s="1868">
        <v>2.1575599999999997</v>
      </c>
      <c r="G736" s="1868">
        <v>2.25264</v>
      </c>
      <c r="H736" s="1868">
        <v>2.3701599999999998</v>
      </c>
      <c r="I736" s="1868">
        <v>2.3725800000000001</v>
      </c>
      <c r="J736" s="1868">
        <v>2.6441699999999999</v>
      </c>
      <c r="K736" s="1868">
        <v>2.6474199999999999</v>
      </c>
      <c r="L736" s="1868">
        <v>2.6788799999999999</v>
      </c>
      <c r="M736" s="1868">
        <v>2.56596</v>
      </c>
      <c r="N736" s="1868">
        <v>2.9981</v>
      </c>
      <c r="O736" s="1868">
        <v>3.07592</v>
      </c>
      <c r="P736" s="1868">
        <v>3.1406999999999998</v>
      </c>
      <c r="Q736" s="1868">
        <v>3.2600199999999999</v>
      </c>
      <c r="R736" s="1868">
        <v>3.0902099999999999</v>
      </c>
      <c r="S736" s="1868">
        <v>3.0616300000000001</v>
      </c>
      <c r="T736" s="1868">
        <v>3.2498099999999996</v>
      </c>
      <c r="U736" s="1868">
        <v>3.5248300000000001</v>
      </c>
      <c r="V736" s="1868">
        <v>3.3751699999999998</v>
      </c>
      <c r="W736" s="1868">
        <v>3.62921</v>
      </c>
      <c r="X736" s="1868">
        <v>3.4841500000000001</v>
      </c>
      <c r="Y736" s="1868">
        <v>3.8085599999999999</v>
      </c>
      <c r="Z736" s="1868">
        <v>3.64445</v>
      </c>
      <c r="AA736" s="1868">
        <v>4.3460999999999999</v>
      </c>
      <c r="AB736" s="1868">
        <v>4.0848399999999998</v>
      </c>
      <c r="AC736" s="1868">
        <v>4.0500600000000002</v>
      </c>
      <c r="AD736" s="1868">
        <v>4.04338</v>
      </c>
      <c r="AE736" s="1868">
        <v>4.2214099999999997</v>
      </c>
      <c r="AF736" s="1868">
        <v>4.2922400000000005</v>
      </c>
      <c r="AG736" s="1868">
        <v>4.30715</v>
      </c>
      <c r="AH736" s="1868">
        <v>4.5292599999999998</v>
      </c>
      <c r="AI736" s="1868">
        <v>3.9016999999999999</v>
      </c>
      <c r="AJ736" s="1868">
        <v>4.1076199999999998</v>
      </c>
      <c r="AK736" s="1868">
        <v>4.1277699999999999</v>
      </c>
      <c r="AL736" s="1868">
        <v>4.25861</v>
      </c>
      <c r="AM736" s="1868">
        <v>4.5492099999999995</v>
      </c>
      <c r="AN736" s="1868">
        <v>4.5929800000000007</v>
      </c>
      <c r="AO736" s="1868">
        <v>4.6542500000000002</v>
      </c>
      <c r="AP736" s="1868">
        <v>4.6616400000000002</v>
      </c>
      <c r="AQ736" s="1868">
        <v>4.5271099999999995</v>
      </c>
      <c r="AR736" s="1868">
        <v>4.62615</v>
      </c>
      <c r="AS736" s="1868">
        <v>4.7174100000000001</v>
      </c>
      <c r="AT736" s="1868">
        <v>4.2908300000000006</v>
      </c>
      <c r="AU736" s="1868">
        <v>5.3232599999999994</v>
      </c>
      <c r="AV736" s="1868">
        <v>4.8171400000000002</v>
      </c>
      <c r="AW736" s="1868">
        <v>4.67645</v>
      </c>
      <c r="AX736" s="1868">
        <v>4.5731699999999993</v>
      </c>
      <c r="AY736" s="1868">
        <v>5.1990999999999996</v>
      </c>
      <c r="AZ736" s="1868">
        <v>5.0295899999999998</v>
      </c>
      <c r="BA736" s="1868">
        <v>4.9279900000000003</v>
      </c>
    </row>
    <row r="737" spans="1:53">
      <c r="A737" s="1865" t="str">
        <f t="shared" si="11"/>
        <v>MelanesiaBananas</v>
      </c>
      <c r="B737" s="1866" t="s">
        <v>1418</v>
      </c>
      <c r="C737" s="1866" t="s">
        <v>1362</v>
      </c>
      <c r="D737" s="1868">
        <v>11.792639999999999</v>
      </c>
      <c r="E737" s="1868">
        <v>11.774319999999999</v>
      </c>
      <c r="F737" s="1868">
        <v>11.8093</v>
      </c>
      <c r="G737" s="1868">
        <v>11.90508</v>
      </c>
      <c r="H737" s="1868">
        <v>11.57809</v>
      </c>
      <c r="I737" s="1868">
        <v>11.9169</v>
      </c>
      <c r="J737" s="1868">
        <v>12.4376</v>
      </c>
      <c r="K737" s="1868">
        <v>12.03204</v>
      </c>
      <c r="L737" s="1868">
        <v>12.17033</v>
      </c>
      <c r="M737" s="1868">
        <v>12.10581</v>
      </c>
      <c r="N737" s="1868">
        <v>12.041449999999999</v>
      </c>
      <c r="O737" s="1868">
        <v>12.15354</v>
      </c>
      <c r="P737" s="1868">
        <v>11.820869999999999</v>
      </c>
      <c r="Q737" s="1868">
        <v>13.21055</v>
      </c>
      <c r="R737" s="1868">
        <v>11.76206</v>
      </c>
      <c r="S737" s="1868">
        <v>12.658480000000001</v>
      </c>
      <c r="T737" s="1868">
        <v>12.174380000000001</v>
      </c>
      <c r="U737" s="1868">
        <v>12.44492</v>
      </c>
      <c r="V737" s="1868">
        <v>12.292869999999999</v>
      </c>
      <c r="W737" s="1868">
        <v>12.92746</v>
      </c>
      <c r="X737" s="1868">
        <v>12.348280000000001</v>
      </c>
      <c r="Y737" s="1868">
        <v>12.33629</v>
      </c>
      <c r="Z737" s="1868">
        <v>12.299770000000001</v>
      </c>
      <c r="AA737" s="1868">
        <v>12.43829</v>
      </c>
      <c r="AB737" s="1868">
        <v>12.3666</v>
      </c>
      <c r="AC737" s="1868">
        <v>11.913739999999999</v>
      </c>
      <c r="AD737" s="1868">
        <v>12.935880000000001</v>
      </c>
      <c r="AE737" s="1868">
        <v>13.666039999999999</v>
      </c>
      <c r="AF737" s="1868">
        <v>13.703939999999999</v>
      </c>
      <c r="AG737" s="1868">
        <v>13.989050000000001</v>
      </c>
      <c r="AH737" s="1868">
        <v>13.92206</v>
      </c>
      <c r="AI737" s="1868">
        <v>14.020099999999999</v>
      </c>
      <c r="AJ737" s="1868">
        <v>14.01811</v>
      </c>
      <c r="AK737" s="1868">
        <v>13.968029999999999</v>
      </c>
      <c r="AL737" s="1868">
        <v>13.934529999999999</v>
      </c>
      <c r="AM737" s="1868">
        <v>13.934779999999998</v>
      </c>
      <c r="AN737" s="1868">
        <v>13.800599999999999</v>
      </c>
      <c r="AO737" s="1868">
        <v>13.830550000000001</v>
      </c>
      <c r="AP737" s="1868">
        <v>13.907370000000002</v>
      </c>
      <c r="AQ737" s="1868">
        <v>13.834149999999999</v>
      </c>
      <c r="AR737" s="1868">
        <v>13.885079999999999</v>
      </c>
      <c r="AS737" s="1868">
        <v>13.885539999999999</v>
      </c>
      <c r="AT737" s="1868">
        <v>13.88804</v>
      </c>
      <c r="AU737" s="1868">
        <v>13.865620000000002</v>
      </c>
      <c r="AV737" s="1868">
        <v>13.872350000000001</v>
      </c>
      <c r="AW737" s="1868">
        <v>14.4216</v>
      </c>
      <c r="AX737" s="1868">
        <v>14.092510000000001</v>
      </c>
      <c r="AY737" s="1868">
        <v>13.07423</v>
      </c>
      <c r="AZ737" s="1868">
        <v>15.501079999999998</v>
      </c>
      <c r="BA737" s="1868">
        <v>19.826910000000002</v>
      </c>
    </row>
    <row r="738" spans="1:53">
      <c r="A738" s="1865" t="str">
        <f t="shared" si="11"/>
        <v>MelanesiaBeans, green</v>
      </c>
      <c r="B738" s="1866" t="s">
        <v>1418</v>
      </c>
      <c r="C738" s="1866" t="s">
        <v>1365</v>
      </c>
      <c r="D738" s="1868">
        <v>1.375</v>
      </c>
      <c r="E738" s="1868">
        <v>1.9210499999999999</v>
      </c>
      <c r="F738" s="1868">
        <v>2.26667</v>
      </c>
      <c r="G738" s="1868">
        <v>2.5625</v>
      </c>
      <c r="H738" s="1868">
        <v>4.09091</v>
      </c>
      <c r="I738" s="1868">
        <v>3.3125</v>
      </c>
      <c r="J738" s="1868">
        <v>3.2</v>
      </c>
      <c r="K738" s="1868">
        <v>3.2</v>
      </c>
      <c r="L738" s="1868">
        <v>1.4</v>
      </c>
      <c r="M738" s="1868">
        <v>2.75</v>
      </c>
      <c r="N738" s="1868">
        <v>1.45455</v>
      </c>
      <c r="O738" s="1868">
        <v>1.6666700000000001</v>
      </c>
      <c r="P738" s="1868">
        <v>4.5</v>
      </c>
      <c r="Q738" s="1868">
        <v>0.39129999999999998</v>
      </c>
      <c r="R738" s="1868">
        <v>1.125</v>
      </c>
      <c r="S738" s="1868">
        <v>0.2</v>
      </c>
      <c r="T738" s="1868">
        <v>0.6</v>
      </c>
      <c r="U738" s="1868">
        <v>2.5</v>
      </c>
      <c r="V738" s="1868">
        <v>1.03125</v>
      </c>
      <c r="W738" s="1868">
        <v>0.70369999999999999</v>
      </c>
      <c r="X738" s="1868">
        <v>1.15385</v>
      </c>
      <c r="Y738" s="1868">
        <v>2</v>
      </c>
      <c r="Z738" s="1868">
        <v>1.28</v>
      </c>
      <c r="AA738" s="1868">
        <v>1.36</v>
      </c>
      <c r="AB738" s="1868">
        <v>1.2941200000000002</v>
      </c>
      <c r="AC738" s="1868">
        <v>1.2222200000000001</v>
      </c>
      <c r="AD738" s="1868">
        <v>0.77778000000000003</v>
      </c>
      <c r="AE738" s="1868">
        <v>2</v>
      </c>
      <c r="AF738" s="1868">
        <v>2</v>
      </c>
      <c r="AG738" s="1868">
        <v>2.3913000000000002</v>
      </c>
      <c r="AH738" s="1868">
        <v>2</v>
      </c>
      <c r="AI738" s="1868">
        <v>2</v>
      </c>
      <c r="AJ738" s="1868">
        <v>2</v>
      </c>
      <c r="AK738" s="1868">
        <v>2</v>
      </c>
      <c r="AL738" s="1868">
        <v>1.4042600000000001</v>
      </c>
      <c r="AM738" s="1868">
        <v>1.9</v>
      </c>
      <c r="AN738" s="1868">
        <v>1.5</v>
      </c>
      <c r="AO738" s="1868">
        <v>1.7777799999999999</v>
      </c>
      <c r="AP738" s="1868">
        <v>1.8</v>
      </c>
      <c r="AQ738" s="1868">
        <v>1.77193</v>
      </c>
      <c r="AR738" s="1868">
        <v>1.8181799999999999</v>
      </c>
      <c r="AS738" s="1868">
        <v>2.17021</v>
      </c>
      <c r="AT738" s="1868">
        <v>1.8103499999999999</v>
      </c>
      <c r="AU738" s="1868">
        <v>2</v>
      </c>
      <c r="AV738" s="1868">
        <v>2.5490200000000001</v>
      </c>
      <c r="AW738" s="1868">
        <v>2.39344</v>
      </c>
      <c r="AX738" s="1868">
        <v>1.9137900000000001</v>
      </c>
      <c r="AY738" s="1868">
        <v>2.08</v>
      </c>
      <c r="AZ738" s="1868">
        <v>2.4318200000000001</v>
      </c>
      <c r="BA738" s="1868">
        <v>2.2000000000000002</v>
      </c>
    </row>
    <row r="739" spans="1:53">
      <c r="A739" s="1865" t="str">
        <f t="shared" si="11"/>
        <v>MelanesiaCassava</v>
      </c>
      <c r="B739" s="1866" t="s">
        <v>1418</v>
      </c>
      <c r="C739" s="1866" t="s">
        <v>1368</v>
      </c>
      <c r="D739" s="1868">
        <v>10.030510000000001</v>
      </c>
      <c r="E739" s="1868">
        <v>9.9676500000000008</v>
      </c>
      <c r="F739" s="1868">
        <v>9.819230000000001</v>
      </c>
      <c r="G739" s="1868">
        <v>9.8232900000000001</v>
      </c>
      <c r="H739" s="1868">
        <v>9.89954</v>
      </c>
      <c r="I739" s="1868">
        <v>9.8304799999999997</v>
      </c>
      <c r="J739" s="1868">
        <v>10.00142</v>
      </c>
      <c r="K739" s="1868">
        <v>9.9174299999999995</v>
      </c>
      <c r="L739" s="1868">
        <v>10.06358</v>
      </c>
      <c r="M739" s="1868">
        <v>10.355460000000001</v>
      </c>
      <c r="N739" s="1868">
        <v>12.316599999999999</v>
      </c>
      <c r="O739" s="1868">
        <v>11.717919999999999</v>
      </c>
      <c r="P739" s="1868">
        <v>11.233510000000001</v>
      </c>
      <c r="Q739" s="1868">
        <v>10.355639999999999</v>
      </c>
      <c r="R739" s="1868">
        <v>10.339449999999999</v>
      </c>
      <c r="S739" s="1868">
        <v>10.517569999999999</v>
      </c>
      <c r="T739" s="1868">
        <v>10.7606</v>
      </c>
      <c r="U739" s="1868">
        <v>10.52562</v>
      </c>
      <c r="V739" s="1868">
        <v>10.607839999999999</v>
      </c>
      <c r="W739" s="1868">
        <v>10.71434</v>
      </c>
      <c r="X739" s="1868">
        <v>10.699199999999999</v>
      </c>
      <c r="Y739" s="1868">
        <v>10.866300000000001</v>
      </c>
      <c r="Z739" s="1868">
        <v>11.02988</v>
      </c>
      <c r="AA739" s="1868">
        <v>10.70903</v>
      </c>
      <c r="AB739" s="1868">
        <v>10.78112</v>
      </c>
      <c r="AC739" s="1868">
        <v>10.63062</v>
      </c>
      <c r="AD739" s="1868">
        <v>10.58619</v>
      </c>
      <c r="AE739" s="1868">
        <v>10.37865</v>
      </c>
      <c r="AF739" s="1868">
        <v>10.26121</v>
      </c>
      <c r="AG739" s="1868">
        <v>9.0952899999999985</v>
      </c>
      <c r="AH739" s="1868">
        <v>9.9241200000000003</v>
      </c>
      <c r="AI739" s="1868">
        <v>9.8883100000000006</v>
      </c>
      <c r="AJ739" s="1868">
        <v>8.9851500000000009</v>
      </c>
      <c r="AK739" s="1868">
        <v>10.59337</v>
      </c>
      <c r="AL739" s="1868">
        <v>11.02047</v>
      </c>
      <c r="AM739" s="1868">
        <v>11.439739999999999</v>
      </c>
      <c r="AN739" s="1868">
        <v>9.8311799999999998</v>
      </c>
      <c r="AO739" s="1868">
        <v>10.987869999999999</v>
      </c>
      <c r="AP739" s="1868">
        <v>11.072410000000001</v>
      </c>
      <c r="AQ739" s="1868">
        <v>11.02421</v>
      </c>
      <c r="AR739" s="1868">
        <v>10.641360000000001</v>
      </c>
      <c r="AS739" s="1868">
        <v>10.98456</v>
      </c>
      <c r="AT739" s="1868">
        <v>10.79086</v>
      </c>
      <c r="AU739" s="1868">
        <v>11.690049999999999</v>
      </c>
      <c r="AV739" s="1868">
        <v>11.320360000000001</v>
      </c>
      <c r="AW739" s="1868">
        <v>11.5434</v>
      </c>
      <c r="AX739" s="1868">
        <v>9.8734199999999994</v>
      </c>
      <c r="AY739" s="1868">
        <v>9.2997199999999989</v>
      </c>
      <c r="AZ739" s="1868">
        <v>10.97068</v>
      </c>
      <c r="BA739" s="1868">
        <v>11.36125</v>
      </c>
    </row>
    <row r="740" spans="1:53">
      <c r="A740" s="1865" t="str">
        <f t="shared" si="11"/>
        <v>MelanesiaCoffee, green</v>
      </c>
      <c r="B740" s="1866" t="s">
        <v>1418</v>
      </c>
      <c r="C740" s="1866" t="s">
        <v>1373</v>
      </c>
      <c r="D740" s="1868">
        <v>0.43564999999999998</v>
      </c>
      <c r="E740" s="1868">
        <v>0.56620000000000004</v>
      </c>
      <c r="F740" s="1868">
        <v>0.62246000000000001</v>
      </c>
      <c r="G740" s="1868">
        <v>0.70304999999999995</v>
      </c>
      <c r="H740" s="1868">
        <v>0.75308999999999993</v>
      </c>
      <c r="I740" s="1868">
        <v>0.78303999999999996</v>
      </c>
      <c r="J740" s="1868">
        <v>0.84841</v>
      </c>
      <c r="K740" s="1868">
        <v>0.71611999999999998</v>
      </c>
      <c r="L740" s="1868">
        <v>0.98862000000000005</v>
      </c>
      <c r="M740" s="1868">
        <v>1.05779</v>
      </c>
      <c r="N740" s="1868">
        <v>1.04996</v>
      </c>
      <c r="O740" s="1868">
        <v>1.05725</v>
      </c>
      <c r="P740" s="1868">
        <v>1.2120200000000001</v>
      </c>
      <c r="Q740" s="1868">
        <v>1.1089799999999999</v>
      </c>
      <c r="R740" s="1868">
        <v>1.18232</v>
      </c>
      <c r="S740" s="1868">
        <v>1.0126600000000001</v>
      </c>
      <c r="T740" s="1868">
        <v>0.89547999999999994</v>
      </c>
      <c r="U740" s="1868">
        <v>1.0499100000000001</v>
      </c>
      <c r="V740" s="1868">
        <v>1.1549</v>
      </c>
      <c r="W740" s="1868">
        <v>1.2753000000000001</v>
      </c>
      <c r="X740" s="1868">
        <v>1.1599299999999999</v>
      </c>
      <c r="Y740" s="1868">
        <v>0.93356000000000006</v>
      </c>
      <c r="Z740" s="1868">
        <v>1.19594</v>
      </c>
      <c r="AA740" s="1868">
        <v>0.9506</v>
      </c>
      <c r="AB740" s="1868">
        <v>1.20197</v>
      </c>
      <c r="AC740" s="1868">
        <v>0.9486</v>
      </c>
      <c r="AD740" s="1868">
        <v>1.4552100000000001</v>
      </c>
      <c r="AE740" s="1868">
        <v>1.51875</v>
      </c>
      <c r="AF740" s="1868">
        <v>1.5810299999999999</v>
      </c>
      <c r="AG740" s="1868">
        <v>1.06568</v>
      </c>
      <c r="AH740" s="1868">
        <v>0.84826000000000001</v>
      </c>
      <c r="AI740" s="1868">
        <v>1.0862399999999999</v>
      </c>
      <c r="AJ740" s="1868">
        <v>1.5367200000000001</v>
      </c>
      <c r="AK740" s="1868">
        <v>1.35988</v>
      </c>
      <c r="AL740" s="1868">
        <v>1.18347</v>
      </c>
      <c r="AM740" s="1868">
        <v>1.11707</v>
      </c>
      <c r="AN740" s="1868">
        <v>0.74048000000000003</v>
      </c>
      <c r="AO740" s="1868">
        <v>0.69623000000000002</v>
      </c>
      <c r="AP740" s="1868">
        <v>0.95155000000000001</v>
      </c>
      <c r="AQ740" s="1868">
        <v>1.1919999999999999</v>
      </c>
      <c r="AR740" s="1868">
        <v>0.95967999999999998</v>
      </c>
      <c r="AS740" s="1868">
        <v>0.92798999999999998</v>
      </c>
      <c r="AT740" s="1868">
        <v>0.98777999999999988</v>
      </c>
      <c r="AU740" s="1868">
        <v>1.32989</v>
      </c>
      <c r="AV740" s="1868">
        <v>1.50346</v>
      </c>
      <c r="AW740" s="1868">
        <v>0.87752000000000008</v>
      </c>
      <c r="AX740" s="1868">
        <v>1.05314</v>
      </c>
      <c r="AY740" s="1868">
        <v>1.1169799999999999</v>
      </c>
      <c r="AZ740" s="1868">
        <v>1.0936999999999999</v>
      </c>
      <c r="BA740" s="1868">
        <v>1.21957</v>
      </c>
    </row>
    <row r="741" spans="1:53">
      <c r="A741" s="1865" t="str">
        <f t="shared" si="11"/>
        <v>MelanesiaEggplants (aubergines)</v>
      </c>
      <c r="B741" s="1866" t="s">
        <v>1418</v>
      </c>
      <c r="C741" s="1866" t="s">
        <v>1375</v>
      </c>
      <c r="D741" s="1868">
        <v>5</v>
      </c>
      <c r="E741" s="1868">
        <v>5</v>
      </c>
      <c r="F741" s="1868">
        <v>5</v>
      </c>
      <c r="G741" s="1868">
        <v>5</v>
      </c>
      <c r="H741" s="1868">
        <v>5</v>
      </c>
      <c r="I741" s="1868">
        <v>5</v>
      </c>
      <c r="J741" s="1868">
        <v>5</v>
      </c>
      <c r="K741" s="1868">
        <v>5</v>
      </c>
      <c r="L741" s="1868">
        <v>5</v>
      </c>
      <c r="M741" s="1868">
        <v>5</v>
      </c>
      <c r="N741" s="1868">
        <v>5</v>
      </c>
      <c r="O741" s="1868">
        <v>5</v>
      </c>
      <c r="P741" s="1868">
        <v>5</v>
      </c>
      <c r="Q741" s="1868">
        <v>5</v>
      </c>
      <c r="R741" s="1868">
        <v>6.6666699999999999</v>
      </c>
      <c r="S741" s="1868">
        <v>6.6666699999999999</v>
      </c>
      <c r="T741" s="1868">
        <v>6.6666699999999999</v>
      </c>
      <c r="U741" s="1868">
        <v>6.6666699999999999</v>
      </c>
      <c r="V741" s="1868">
        <v>6.6666699999999999</v>
      </c>
      <c r="W741" s="1868">
        <v>6.6666699999999999</v>
      </c>
      <c r="X741" s="1868">
        <v>6.6666699999999999</v>
      </c>
      <c r="Y741" s="1868">
        <v>6</v>
      </c>
      <c r="Z741" s="1868">
        <v>6</v>
      </c>
      <c r="AA741" s="1868">
        <v>6</v>
      </c>
      <c r="AB741" s="1868">
        <v>6</v>
      </c>
      <c r="AC741" s="1868">
        <v>6</v>
      </c>
      <c r="AD741" s="1868">
        <v>6</v>
      </c>
      <c r="AE741" s="1868">
        <v>6</v>
      </c>
      <c r="AF741" s="1868">
        <v>6</v>
      </c>
      <c r="AG741" s="1868">
        <v>5.1509400000000003</v>
      </c>
      <c r="AH741" s="1868">
        <v>5.38</v>
      </c>
      <c r="AI741" s="1868">
        <v>4.7142900000000001</v>
      </c>
      <c r="AJ741" s="1868">
        <v>8.7256600000000013</v>
      </c>
      <c r="AK741" s="1868">
        <v>10.903739999999999</v>
      </c>
      <c r="AL741" s="1868">
        <v>7.5</v>
      </c>
      <c r="AM741" s="1868">
        <v>4.87805</v>
      </c>
      <c r="AN741" s="1868">
        <v>5.0999999999999996</v>
      </c>
      <c r="AO741" s="1868">
        <v>5</v>
      </c>
      <c r="AP741" s="1868">
        <v>5.0989399999999998</v>
      </c>
      <c r="AQ741" s="1868">
        <v>5</v>
      </c>
      <c r="AR741" s="1868">
        <v>5.52142</v>
      </c>
      <c r="AS741" s="1868">
        <v>5.8706899999999997</v>
      </c>
      <c r="AT741" s="1868">
        <v>5.1543299999999999</v>
      </c>
      <c r="AU741" s="1868">
        <v>5.6958599999999997</v>
      </c>
      <c r="AV741" s="1868">
        <v>5.4552899999999998</v>
      </c>
      <c r="AW741" s="1868">
        <v>4.9333300000000007</v>
      </c>
      <c r="AX741" s="1868">
        <v>5</v>
      </c>
      <c r="AY741" s="1868">
        <v>6.5636700000000001</v>
      </c>
      <c r="AZ741" s="1868">
        <v>7.0581399999999999</v>
      </c>
      <c r="BA741" s="1868">
        <v>6.7272699999999999</v>
      </c>
    </row>
    <row r="742" spans="1:53">
      <c r="A742" s="1865" t="str">
        <f t="shared" si="11"/>
        <v>MelanesiaGroundnuts, with shell</v>
      </c>
      <c r="B742" s="1866" t="s">
        <v>1418</v>
      </c>
      <c r="C742" s="1866" t="s">
        <v>1379</v>
      </c>
      <c r="D742" s="1868">
        <v>1.1857799999999998</v>
      </c>
      <c r="E742" s="1868">
        <v>1.2868299999999999</v>
      </c>
      <c r="F742" s="1868">
        <v>0.76293</v>
      </c>
      <c r="G742" s="1868">
        <v>0.66883000000000004</v>
      </c>
      <c r="H742" s="1868">
        <v>0.63073000000000001</v>
      </c>
      <c r="I742" s="1868">
        <v>0.83532999999999991</v>
      </c>
      <c r="J742" s="1868">
        <v>0.88923999999999992</v>
      </c>
      <c r="K742" s="1868">
        <v>0.87393999999999994</v>
      </c>
      <c r="L742" s="1868">
        <v>0.7621</v>
      </c>
      <c r="M742" s="1868">
        <v>0.8</v>
      </c>
      <c r="N742" s="1868">
        <v>0.80316999999999994</v>
      </c>
      <c r="O742" s="1868">
        <v>0.78376999999999997</v>
      </c>
      <c r="P742" s="1868">
        <v>0.74421000000000004</v>
      </c>
      <c r="Q742" s="1868">
        <v>0.79452</v>
      </c>
      <c r="R742" s="1868">
        <v>0.89744000000000002</v>
      </c>
      <c r="S742" s="1868">
        <v>0.91605999999999999</v>
      </c>
      <c r="T742" s="1868">
        <v>0.92364000000000002</v>
      </c>
      <c r="U742" s="1868">
        <v>0.93213999999999997</v>
      </c>
      <c r="V742" s="1868">
        <v>0.93332999999999988</v>
      </c>
      <c r="W742" s="1868">
        <v>0.95438999999999996</v>
      </c>
      <c r="X742" s="1868">
        <v>0.9482799999999999</v>
      </c>
      <c r="Y742" s="1868">
        <v>0.95707999999999993</v>
      </c>
      <c r="Z742" s="1868">
        <v>0.98458999999999997</v>
      </c>
      <c r="AA742" s="1868">
        <v>0.95322999999999991</v>
      </c>
      <c r="AB742" s="1868">
        <v>0.93871000000000004</v>
      </c>
      <c r="AC742" s="1868">
        <v>0.93789</v>
      </c>
      <c r="AD742" s="1868">
        <v>0.94307999999999992</v>
      </c>
      <c r="AE742" s="1868">
        <v>0.94774999999999998</v>
      </c>
      <c r="AF742" s="1868">
        <v>1.02071</v>
      </c>
      <c r="AG742" s="1868">
        <v>1.0149700000000001</v>
      </c>
      <c r="AH742" s="1868">
        <v>0.92105000000000004</v>
      </c>
      <c r="AI742" s="1868">
        <v>0.99316000000000004</v>
      </c>
      <c r="AJ742" s="1868">
        <v>1.09476</v>
      </c>
      <c r="AK742" s="1868">
        <v>1.2537100000000001</v>
      </c>
      <c r="AL742" s="1868">
        <v>1.30186</v>
      </c>
      <c r="AM742" s="1868">
        <v>1.4193</v>
      </c>
      <c r="AN742" s="1868">
        <v>1.0120400000000001</v>
      </c>
      <c r="AO742" s="1868">
        <v>0.94155</v>
      </c>
      <c r="AP742" s="1868">
        <v>0.99511000000000005</v>
      </c>
      <c r="AQ742" s="1868">
        <v>1.0511999999999999</v>
      </c>
      <c r="AR742" s="1868">
        <v>1.0712899999999999</v>
      </c>
      <c r="AS742" s="1868">
        <v>1.46391</v>
      </c>
      <c r="AT742" s="1868">
        <v>1.2411700000000001</v>
      </c>
      <c r="AU742" s="1868">
        <v>0.98887999999999998</v>
      </c>
      <c r="AV742" s="1868">
        <v>1.2318</v>
      </c>
      <c r="AW742" s="1868">
        <v>1.0436799999999999</v>
      </c>
      <c r="AX742" s="1868">
        <v>1.07358</v>
      </c>
      <c r="AY742" s="1868">
        <v>1.2719400000000001</v>
      </c>
      <c r="AZ742" s="1868">
        <v>1.12029</v>
      </c>
      <c r="BA742" s="1868">
        <v>1.37073</v>
      </c>
    </row>
    <row r="743" spans="1:53">
      <c r="A743" s="1865" t="str">
        <f t="shared" si="11"/>
        <v>MelanesiaMaize</v>
      </c>
      <c r="B743" s="1866" t="s">
        <v>1418</v>
      </c>
      <c r="C743" s="1866" t="s">
        <v>1382</v>
      </c>
      <c r="D743" s="1868">
        <v>1.0047900000000001</v>
      </c>
      <c r="E743" s="1868">
        <v>1.10578</v>
      </c>
      <c r="F743" s="1868">
        <v>1.1204700000000001</v>
      </c>
      <c r="G743" s="1868">
        <v>1.3611799999999998</v>
      </c>
      <c r="H743" s="1868">
        <v>1.2364600000000001</v>
      </c>
      <c r="I743" s="1868">
        <v>1.3350200000000001</v>
      </c>
      <c r="J743" s="1868">
        <v>1.4776499999999999</v>
      </c>
      <c r="K743" s="1868">
        <v>1.7459799999999999</v>
      </c>
      <c r="L743" s="1868">
        <v>1.55182</v>
      </c>
      <c r="M743" s="1868">
        <v>1.1874400000000001</v>
      </c>
      <c r="N743" s="1868">
        <v>1.1202799999999999</v>
      </c>
      <c r="O743" s="1868">
        <v>1.20885</v>
      </c>
      <c r="P743" s="1868">
        <v>1.6182099999999999</v>
      </c>
      <c r="Q743" s="1868">
        <v>1.1964600000000001</v>
      </c>
      <c r="R743" s="1868">
        <v>1.0715600000000001</v>
      </c>
      <c r="S743" s="1868">
        <v>1.38205</v>
      </c>
      <c r="T743" s="1868">
        <v>0.97501000000000004</v>
      </c>
      <c r="U743" s="1868">
        <v>1.11887</v>
      </c>
      <c r="V743" s="1868">
        <v>1.4374799999999999</v>
      </c>
      <c r="W743" s="1868">
        <v>1.5777700000000001</v>
      </c>
      <c r="X743" s="1868">
        <v>1.63754</v>
      </c>
      <c r="Y743" s="1868">
        <v>1.4903299999999999</v>
      </c>
      <c r="Z743" s="1868">
        <v>1.5805899999999999</v>
      </c>
      <c r="AA743" s="1868">
        <v>1.2652099999999999</v>
      </c>
      <c r="AB743" s="1868">
        <v>1.9010900000000002</v>
      </c>
      <c r="AC743" s="1868">
        <v>1.6863700000000001</v>
      </c>
      <c r="AD743" s="1868">
        <v>1.03983</v>
      </c>
      <c r="AE743" s="1868">
        <v>1.34345</v>
      </c>
      <c r="AF743" s="1868">
        <v>1.2302</v>
      </c>
      <c r="AG743" s="1868">
        <v>1.6623900000000003</v>
      </c>
      <c r="AH743" s="1868">
        <v>1.5088299999999999</v>
      </c>
      <c r="AI743" s="1868">
        <v>1.7837700000000001</v>
      </c>
      <c r="AJ743" s="1868">
        <v>1.7533599999999998</v>
      </c>
      <c r="AK743" s="1868">
        <v>2.2676599999999998</v>
      </c>
      <c r="AL743" s="1868">
        <v>2.3333300000000001</v>
      </c>
      <c r="AM743" s="1868">
        <v>2.4194100000000001</v>
      </c>
      <c r="AN743" s="1868">
        <v>2.7573699999999999</v>
      </c>
      <c r="AO743" s="1868">
        <v>3.1026500000000001</v>
      </c>
      <c r="AP743" s="1868">
        <v>2.6801699999999999</v>
      </c>
      <c r="AQ743" s="1868">
        <v>2.8760699999999999</v>
      </c>
      <c r="AR743" s="1868">
        <v>2.9610400000000001</v>
      </c>
      <c r="AS743" s="1868">
        <v>2.8614199999999999</v>
      </c>
      <c r="AT743" s="1868">
        <v>3.1561400000000002</v>
      </c>
      <c r="AU743" s="1868">
        <v>2.8400400000000001</v>
      </c>
      <c r="AV743" s="1868">
        <v>2.86049</v>
      </c>
      <c r="AW743" s="1868">
        <v>2.7754099999999999</v>
      </c>
      <c r="AX743" s="1868">
        <v>3.1518099999999998</v>
      </c>
      <c r="AY743" s="1868">
        <v>3.2511200000000002</v>
      </c>
      <c r="AZ743" s="1868">
        <v>3.2812399999999999</v>
      </c>
      <c r="BA743" s="1868">
        <v>3.1839499999999998</v>
      </c>
    </row>
    <row r="744" spans="1:53">
      <c r="A744" s="1865" t="str">
        <f t="shared" si="11"/>
        <v>MelanesiaMaize, green</v>
      </c>
      <c r="B744" s="1866" t="s">
        <v>1418</v>
      </c>
      <c r="C744" s="1866" t="s">
        <v>1383</v>
      </c>
      <c r="D744" s="1868">
        <v>10.009039999999999</v>
      </c>
      <c r="E744" s="1868">
        <v>10</v>
      </c>
      <c r="F744" s="1868">
        <v>10</v>
      </c>
      <c r="G744" s="1868">
        <v>10</v>
      </c>
      <c r="H744" s="1868">
        <v>10</v>
      </c>
      <c r="I744" s="1868">
        <v>10</v>
      </c>
      <c r="J744" s="1868">
        <v>10</v>
      </c>
      <c r="K744" s="1868">
        <v>10</v>
      </c>
      <c r="L744" s="1868">
        <v>10</v>
      </c>
      <c r="M744" s="1868">
        <v>10</v>
      </c>
      <c r="N744" s="1868">
        <v>10</v>
      </c>
      <c r="O744" s="1868">
        <v>10</v>
      </c>
      <c r="P744" s="1868">
        <v>10</v>
      </c>
      <c r="Q744" s="1868">
        <v>10</v>
      </c>
      <c r="R744" s="1868">
        <v>10</v>
      </c>
      <c r="S744" s="1868">
        <v>10</v>
      </c>
      <c r="T744" s="1868">
        <v>10</v>
      </c>
      <c r="U744" s="1868">
        <v>10</v>
      </c>
      <c r="V744" s="1868">
        <v>10</v>
      </c>
      <c r="W744" s="1868">
        <v>10</v>
      </c>
      <c r="X744" s="1868">
        <v>10</v>
      </c>
      <c r="Y744" s="1868">
        <v>10</v>
      </c>
      <c r="Z744" s="1868">
        <v>10</v>
      </c>
      <c r="AA744" s="1868">
        <v>10</v>
      </c>
      <c r="AB744" s="1868">
        <v>10</v>
      </c>
      <c r="AC744" s="1868">
        <v>10</v>
      </c>
      <c r="AD744" s="1868">
        <v>10</v>
      </c>
      <c r="AE744" s="1868">
        <v>10</v>
      </c>
      <c r="AF744" s="1868">
        <v>10</v>
      </c>
      <c r="AG744" s="1868">
        <v>10</v>
      </c>
      <c r="AH744" s="1868">
        <v>10</v>
      </c>
      <c r="AI744" s="1868">
        <v>10.010869999999999</v>
      </c>
      <c r="AJ744" s="1868">
        <v>10.010639999999999</v>
      </c>
      <c r="AK744" s="1868">
        <v>10</v>
      </c>
      <c r="AL744" s="1868">
        <v>10</v>
      </c>
      <c r="AM744" s="1868">
        <v>10</v>
      </c>
      <c r="AN744" s="1868">
        <v>10</v>
      </c>
      <c r="AO744" s="1868">
        <v>10</v>
      </c>
      <c r="AP744" s="1868">
        <v>10</v>
      </c>
      <c r="AQ744" s="1868">
        <v>10</v>
      </c>
      <c r="AR744" s="1868">
        <v>10</v>
      </c>
      <c r="AS744" s="1868">
        <v>10.62778</v>
      </c>
      <c r="AT744" s="1868">
        <v>9.3281600000000005</v>
      </c>
      <c r="AU744" s="1868">
        <v>10</v>
      </c>
      <c r="AV744" s="1868">
        <v>9.5835500000000007</v>
      </c>
      <c r="AW744" s="1868">
        <v>10.392910000000001</v>
      </c>
      <c r="AX744" s="1868">
        <v>10.613160000000001</v>
      </c>
      <c r="AY744" s="1868">
        <v>12.14873</v>
      </c>
      <c r="AZ744" s="1868">
        <v>11.732699999999999</v>
      </c>
      <c r="BA744" s="1868">
        <v>11.27941</v>
      </c>
    </row>
    <row r="745" spans="1:53">
      <c r="A745" s="1865" t="str">
        <f t="shared" si="11"/>
        <v>MelanesiaMangoes, mangosteens, guavas</v>
      </c>
      <c r="B745" s="1866" t="s">
        <v>1418</v>
      </c>
      <c r="C745" s="1866" t="s">
        <v>1384</v>
      </c>
      <c r="D745" s="1868">
        <v>12.5</v>
      </c>
      <c r="E745" s="1868">
        <v>12.5</v>
      </c>
      <c r="F745" s="1868">
        <v>12.5</v>
      </c>
      <c r="G745" s="1868">
        <v>12.5</v>
      </c>
      <c r="H745" s="1868">
        <v>12.5</v>
      </c>
      <c r="I745" s="1868">
        <v>12.5</v>
      </c>
      <c r="J745" s="1868">
        <v>12.5</v>
      </c>
      <c r="K745" s="1868">
        <v>12.5</v>
      </c>
      <c r="L745" s="1868">
        <v>15</v>
      </c>
      <c r="M745" s="1868">
        <v>15</v>
      </c>
      <c r="N745" s="1868">
        <v>15</v>
      </c>
      <c r="O745" s="1868">
        <v>15</v>
      </c>
      <c r="P745" s="1868">
        <v>15</v>
      </c>
      <c r="Q745" s="1868">
        <v>15</v>
      </c>
      <c r="R745" s="1868">
        <v>15</v>
      </c>
      <c r="S745" s="1868">
        <v>15</v>
      </c>
      <c r="T745" s="1868">
        <v>16.66667</v>
      </c>
      <c r="U745" s="1868">
        <v>16.66667</v>
      </c>
      <c r="V745" s="1868">
        <v>18.181820000000002</v>
      </c>
      <c r="W745" s="1868">
        <v>18.181820000000002</v>
      </c>
      <c r="X745" s="1868">
        <v>21.428570000000001</v>
      </c>
      <c r="Y745" s="1868">
        <v>21.428570000000001</v>
      </c>
      <c r="Z745" s="1868">
        <v>23.529410000000002</v>
      </c>
      <c r="AA745" s="1868">
        <v>25.35294</v>
      </c>
      <c r="AB745" s="1868">
        <v>23.33333</v>
      </c>
      <c r="AC745" s="1868">
        <v>17.857140000000001</v>
      </c>
      <c r="AD745" s="1868">
        <v>17.857140000000001</v>
      </c>
      <c r="AE745" s="1868">
        <v>17.857140000000001</v>
      </c>
      <c r="AF745" s="1868">
        <v>28.571429999999999</v>
      </c>
      <c r="AG745" s="1868">
        <v>33.333329999999997</v>
      </c>
      <c r="AH745" s="1868">
        <v>33.333329999999997</v>
      </c>
      <c r="AI745" s="1868">
        <v>20</v>
      </c>
      <c r="AJ745" s="1868">
        <v>4.2</v>
      </c>
      <c r="AK745" s="1868">
        <v>22.46875</v>
      </c>
      <c r="AL745" s="1868">
        <v>3.7333300000000005</v>
      </c>
      <c r="AM745" s="1868">
        <v>0.75</v>
      </c>
      <c r="AN745" s="1868">
        <v>4.5</v>
      </c>
      <c r="AO745" s="1868">
        <v>9.84</v>
      </c>
      <c r="AP745" s="1868">
        <v>2.1333299999999999</v>
      </c>
      <c r="AQ745" s="1868">
        <v>3.6571400000000001</v>
      </c>
      <c r="AR745" s="1868">
        <v>3.3846199999999995</v>
      </c>
      <c r="AS745" s="1868">
        <v>2.5348799999999998</v>
      </c>
      <c r="AT745" s="1868">
        <v>7.8478300000000001</v>
      </c>
      <c r="AU745" s="1868">
        <v>16.938779999999998</v>
      </c>
      <c r="AV745" s="1868">
        <v>7.1153899999999997</v>
      </c>
      <c r="AW745" s="1868">
        <v>8.9454600000000006</v>
      </c>
      <c r="AX745" s="1868">
        <v>6.9032300000000006</v>
      </c>
      <c r="AY745" s="1868">
        <v>7.4468100000000002</v>
      </c>
      <c r="AZ745" s="1868">
        <v>5.8181799999999999</v>
      </c>
      <c r="BA745" s="1868">
        <v>5.1296300000000006</v>
      </c>
    </row>
    <row r="746" spans="1:53">
      <c r="A746" s="1865" t="str">
        <f t="shared" si="11"/>
        <v>MelanesiaOil palm fruit</v>
      </c>
      <c r="B746" s="1866" t="s">
        <v>1418</v>
      </c>
      <c r="C746" s="1866" t="s">
        <v>1386</v>
      </c>
      <c r="D746" s="1868">
        <v>18.181820000000002</v>
      </c>
      <c r="E746" s="1868">
        <v>18.181820000000002</v>
      </c>
      <c r="F746" s="1868">
        <v>18.181820000000002</v>
      </c>
      <c r="G746" s="1868">
        <v>18.181820000000002</v>
      </c>
      <c r="H746" s="1868">
        <v>18.181820000000002</v>
      </c>
      <c r="I746" s="1868">
        <v>18.181820000000002</v>
      </c>
      <c r="J746" s="1868">
        <v>18.181820000000002</v>
      </c>
      <c r="K746" s="1868">
        <v>18.181820000000002</v>
      </c>
      <c r="L746" s="1868">
        <v>18.181820000000002</v>
      </c>
      <c r="M746" s="1868">
        <v>18.181820000000002</v>
      </c>
      <c r="N746" s="1868">
        <v>17.045460000000002</v>
      </c>
      <c r="O746" s="1868">
        <v>16.76829</v>
      </c>
      <c r="P746" s="1868">
        <v>16.719750000000001</v>
      </c>
      <c r="Q746" s="1868">
        <v>16.819570000000002</v>
      </c>
      <c r="R746" s="1868">
        <v>15.55556</v>
      </c>
      <c r="S746" s="1868">
        <v>16.27721</v>
      </c>
      <c r="T746" s="1868">
        <v>15.21941</v>
      </c>
      <c r="U746" s="1868">
        <v>15.816870000000002</v>
      </c>
      <c r="V746" s="1868">
        <v>16.163239999999998</v>
      </c>
      <c r="W746" s="1868">
        <v>16.72606</v>
      </c>
      <c r="X746" s="1868">
        <v>15.603720000000001</v>
      </c>
      <c r="Y746" s="1868">
        <v>15.775910000000001</v>
      </c>
      <c r="Z746" s="1868">
        <v>16.637360000000001</v>
      </c>
      <c r="AA746" s="1868">
        <v>13.691189999999999</v>
      </c>
      <c r="AB746" s="1868">
        <v>15.438770000000002</v>
      </c>
      <c r="AC746" s="1868">
        <v>13.961689999999999</v>
      </c>
      <c r="AD746" s="1868">
        <v>13.02637</v>
      </c>
      <c r="AE746" s="1868">
        <v>14.65802</v>
      </c>
      <c r="AF746" s="1868">
        <v>14.935229999999999</v>
      </c>
      <c r="AG746" s="1868">
        <v>14.85004</v>
      </c>
      <c r="AH746" s="1868">
        <v>16.752210000000002</v>
      </c>
      <c r="AI746" s="1868">
        <v>17.708690000000001</v>
      </c>
      <c r="AJ746" s="1868">
        <v>17.857670000000002</v>
      </c>
      <c r="AK746" s="1868">
        <v>16.630610000000001</v>
      </c>
      <c r="AL746" s="1868">
        <v>15.90846</v>
      </c>
      <c r="AM746" s="1868">
        <v>16.285710000000002</v>
      </c>
      <c r="AN746" s="1868">
        <v>14.92958</v>
      </c>
      <c r="AO746" s="1868">
        <v>16.5</v>
      </c>
      <c r="AP746" s="1868">
        <v>16.31579</v>
      </c>
      <c r="AQ746" s="1868">
        <v>17.22222</v>
      </c>
      <c r="AR746" s="1868">
        <v>16.285710000000002</v>
      </c>
      <c r="AS746" s="1868">
        <v>15.090910000000001</v>
      </c>
      <c r="AT746" s="1868">
        <v>14.673910000000001</v>
      </c>
      <c r="AU746" s="1868">
        <v>14.89362</v>
      </c>
      <c r="AV746" s="1868">
        <v>14.948449999999999</v>
      </c>
      <c r="AW746" s="1868">
        <v>14.901960000000001</v>
      </c>
      <c r="AX746" s="1868">
        <v>14.811320000000002</v>
      </c>
      <c r="AY746" s="1868">
        <v>14.609379999999998</v>
      </c>
      <c r="AZ746" s="1868">
        <v>14.65649</v>
      </c>
      <c r="BA746" s="1868">
        <v>14.65649</v>
      </c>
    </row>
    <row r="747" spans="1:53">
      <c r="A747" s="1865" t="str">
        <f t="shared" si="11"/>
        <v>MelanesiaOranges</v>
      </c>
      <c r="B747" s="1866" t="s">
        <v>1418</v>
      </c>
      <c r="C747" s="1866" t="s">
        <v>1389</v>
      </c>
      <c r="D747" s="1868">
        <v>20</v>
      </c>
      <c r="E747" s="1868">
        <v>20</v>
      </c>
      <c r="F747" s="1868">
        <v>20</v>
      </c>
      <c r="G747" s="1868">
        <v>18.75</v>
      </c>
      <c r="H747" s="1868">
        <v>19.44444</v>
      </c>
      <c r="I747" s="1868">
        <v>20</v>
      </c>
      <c r="J747" s="1868">
        <v>20</v>
      </c>
      <c r="K747" s="1868">
        <v>20</v>
      </c>
      <c r="L747" s="1868">
        <v>20</v>
      </c>
      <c r="M747" s="1868">
        <v>20</v>
      </c>
      <c r="N747" s="1868">
        <v>20</v>
      </c>
      <c r="O747" s="1868">
        <v>20</v>
      </c>
      <c r="P747" s="1868">
        <v>20</v>
      </c>
      <c r="Q747" s="1868">
        <v>20</v>
      </c>
      <c r="R747" s="1868">
        <v>20</v>
      </c>
      <c r="S747" s="1868">
        <v>20</v>
      </c>
      <c r="T747" s="1868">
        <v>18.75</v>
      </c>
      <c r="U747" s="1868">
        <v>20</v>
      </c>
      <c r="V747" s="1868">
        <v>20</v>
      </c>
      <c r="W747" s="1868">
        <v>20</v>
      </c>
      <c r="X747" s="1868">
        <v>20</v>
      </c>
      <c r="Y747" s="1868">
        <v>20</v>
      </c>
      <c r="Z747" s="1868">
        <v>20</v>
      </c>
      <c r="AA747" s="1868">
        <v>20</v>
      </c>
      <c r="AB747" s="1868">
        <v>7.1428600000000007</v>
      </c>
      <c r="AC747" s="1868">
        <v>2.8571400000000002</v>
      </c>
      <c r="AD747" s="1868">
        <v>2.61429</v>
      </c>
      <c r="AE747" s="1868">
        <v>9.5</v>
      </c>
      <c r="AF747" s="1868">
        <v>6.1571400000000001</v>
      </c>
      <c r="AG747" s="1868">
        <v>6.9210500000000001</v>
      </c>
      <c r="AH747" s="1868">
        <v>5.4054099999999998</v>
      </c>
      <c r="AI747" s="1868">
        <v>4.8181799999999999</v>
      </c>
      <c r="AJ747" s="1868">
        <v>5.1282100000000002</v>
      </c>
      <c r="AK747" s="1868">
        <v>4.2372899999999998</v>
      </c>
      <c r="AL747" s="1868">
        <v>5.8672599999999999</v>
      </c>
      <c r="AM747" s="1868">
        <v>8.4888899999999996</v>
      </c>
      <c r="AN747" s="1868">
        <v>5</v>
      </c>
      <c r="AO747" s="1868">
        <v>4.2368399999999999</v>
      </c>
      <c r="AP747" s="1868">
        <v>4.375</v>
      </c>
      <c r="AQ747" s="1868">
        <v>5.5845099999999999</v>
      </c>
      <c r="AR747" s="1868">
        <v>4.2405099999999996</v>
      </c>
      <c r="AS747" s="1868">
        <v>3.62</v>
      </c>
      <c r="AT747" s="1868">
        <v>4.8843500000000004</v>
      </c>
      <c r="AU747" s="1868">
        <v>3.1176499999999998</v>
      </c>
      <c r="AV747" s="1868">
        <v>3.8397399999999999</v>
      </c>
      <c r="AW747" s="1868">
        <v>3.7654300000000003</v>
      </c>
      <c r="AX747" s="1868">
        <v>3.3099400000000001</v>
      </c>
      <c r="AY747" s="1868">
        <v>2.8275900000000003</v>
      </c>
      <c r="AZ747" s="1868">
        <v>2.3351999999999999</v>
      </c>
      <c r="BA747" s="1868">
        <v>3.3529400000000003</v>
      </c>
    </row>
    <row r="748" spans="1:53">
      <c r="A748" s="1865" t="str">
        <f t="shared" si="11"/>
        <v>MelanesiaPineapples</v>
      </c>
      <c r="B748" s="1866" t="s">
        <v>1418</v>
      </c>
      <c r="C748" s="1866" t="s">
        <v>1351</v>
      </c>
      <c r="D748" s="1868">
        <v>16.997</v>
      </c>
      <c r="E748" s="1868">
        <v>16.938779999999998</v>
      </c>
      <c r="F748" s="1868">
        <v>16.883849999999999</v>
      </c>
      <c r="G748" s="1868">
        <v>17.236470000000001</v>
      </c>
      <c r="H748" s="1868">
        <v>17.174520000000001</v>
      </c>
      <c r="I748" s="1868">
        <v>16.853929999999998</v>
      </c>
      <c r="J748" s="1868">
        <v>14.977879999999999</v>
      </c>
      <c r="K748" s="1868">
        <v>14.516129999999999</v>
      </c>
      <c r="L748" s="1868">
        <v>16.12903</v>
      </c>
      <c r="M748" s="1868">
        <v>17.176470000000002</v>
      </c>
      <c r="N748" s="1868">
        <v>17.692309999999999</v>
      </c>
      <c r="O748" s="1868">
        <v>17.676770000000001</v>
      </c>
      <c r="P748" s="1868">
        <v>17.263159999999999</v>
      </c>
      <c r="Q748" s="1868">
        <v>17.551020000000001</v>
      </c>
      <c r="R748" s="1868">
        <v>17.849900000000002</v>
      </c>
      <c r="S748" s="1868">
        <v>17.96407</v>
      </c>
      <c r="T748" s="1868">
        <v>16.487460000000002</v>
      </c>
      <c r="U748" s="1868">
        <v>16.173909999999999</v>
      </c>
      <c r="V748" s="1868">
        <v>15.488720000000001</v>
      </c>
      <c r="W748" s="1868">
        <v>17.64706</v>
      </c>
      <c r="X748" s="1868">
        <v>16.939889999999998</v>
      </c>
      <c r="Y748" s="1868">
        <v>16.936669999999999</v>
      </c>
      <c r="Z748" s="1868">
        <v>16.447370000000003</v>
      </c>
      <c r="AA748" s="1868">
        <v>16.241299999999999</v>
      </c>
      <c r="AB748" s="1868">
        <v>14.722539999999999</v>
      </c>
      <c r="AC748" s="1868">
        <v>15.87486</v>
      </c>
      <c r="AD748" s="1868">
        <v>13.196860000000001</v>
      </c>
      <c r="AE748" s="1868">
        <v>14.531379999999999</v>
      </c>
      <c r="AF748" s="1868">
        <v>20.907080000000001</v>
      </c>
      <c r="AG748" s="1868">
        <v>12.710369999999999</v>
      </c>
      <c r="AH748" s="1868">
        <v>16.94351</v>
      </c>
      <c r="AI748" s="1868">
        <v>15.66104</v>
      </c>
      <c r="AJ748" s="1868">
        <v>13.98996</v>
      </c>
      <c r="AK748" s="1868">
        <v>14.643610000000001</v>
      </c>
      <c r="AL748" s="1868">
        <v>15.450879999999998</v>
      </c>
      <c r="AM748" s="1868">
        <v>17.399229999999999</v>
      </c>
      <c r="AN748" s="1868">
        <v>15.487360000000001</v>
      </c>
      <c r="AO748" s="1868">
        <v>15.467429999999998</v>
      </c>
      <c r="AP748" s="1868">
        <v>18.846879999999999</v>
      </c>
      <c r="AQ748" s="1868">
        <v>19.07874</v>
      </c>
      <c r="AR748" s="1868">
        <v>19.086459999999999</v>
      </c>
      <c r="AS748" s="1868">
        <v>18.571300000000001</v>
      </c>
      <c r="AT748" s="1868">
        <v>18.483420000000002</v>
      </c>
      <c r="AU748" s="1868">
        <v>19.902829999999998</v>
      </c>
      <c r="AV748" s="1868">
        <v>18.285599999999999</v>
      </c>
      <c r="AW748" s="1868">
        <v>16.13616</v>
      </c>
      <c r="AX748" s="1868">
        <v>13.8405</v>
      </c>
      <c r="AY748" s="1868">
        <v>15.79631</v>
      </c>
      <c r="AZ748" s="1868">
        <v>13.989570000000001</v>
      </c>
      <c r="BA748" s="1868">
        <v>13.705329999999998</v>
      </c>
    </row>
    <row r="749" spans="1:53">
      <c r="A749" s="1865" t="str">
        <f t="shared" si="11"/>
        <v>MelanesiaPlantains</v>
      </c>
      <c r="B749" s="1866" t="s">
        <v>1418</v>
      </c>
      <c r="C749" s="1866" t="s">
        <v>1393</v>
      </c>
      <c r="D749" s="1868">
        <v>3.5714300000000003</v>
      </c>
      <c r="E749" s="1868">
        <v>3.5714300000000003</v>
      </c>
      <c r="F749" s="1868">
        <v>3.5714300000000003</v>
      </c>
      <c r="G749" s="1868">
        <v>4</v>
      </c>
      <c r="H749" s="1868">
        <v>4</v>
      </c>
      <c r="I749" s="1868">
        <v>4</v>
      </c>
      <c r="J749" s="1868">
        <v>4</v>
      </c>
      <c r="K749" s="1868">
        <v>4</v>
      </c>
      <c r="L749" s="1868">
        <v>4</v>
      </c>
      <c r="M749" s="1868">
        <v>4.625</v>
      </c>
      <c r="N749" s="1868">
        <v>4.625</v>
      </c>
      <c r="O749" s="1868">
        <v>4.375</v>
      </c>
      <c r="P749" s="1868">
        <v>4.375</v>
      </c>
      <c r="Q749" s="1868">
        <v>4.375</v>
      </c>
      <c r="R749" s="1868">
        <v>4.375</v>
      </c>
      <c r="S749" s="1868">
        <v>4.5</v>
      </c>
      <c r="T749" s="1868">
        <v>4.625</v>
      </c>
      <c r="U749" s="1868">
        <v>4.75</v>
      </c>
      <c r="V749" s="1868">
        <v>4.875</v>
      </c>
      <c r="W749" s="1868">
        <v>5</v>
      </c>
      <c r="X749" s="1868">
        <v>1.575</v>
      </c>
      <c r="Y749" s="1868">
        <v>1.25</v>
      </c>
      <c r="Z749" s="1868">
        <v>1.14679</v>
      </c>
      <c r="AA749" s="1868">
        <v>0.77375000000000005</v>
      </c>
      <c r="AB749" s="1868">
        <v>0.85714000000000001</v>
      </c>
      <c r="AC749" s="1868">
        <v>1</v>
      </c>
      <c r="AD749" s="1868">
        <v>1.2</v>
      </c>
      <c r="AE749" s="1868">
        <v>1.5</v>
      </c>
      <c r="AF749" s="1868">
        <v>1.7142900000000001</v>
      </c>
      <c r="AG749" s="1868">
        <v>2.0666700000000002</v>
      </c>
      <c r="AH749" s="1868">
        <v>2.0979000000000001</v>
      </c>
      <c r="AI749" s="1868">
        <v>2.3964300000000001</v>
      </c>
      <c r="AJ749" s="1868">
        <v>2.64</v>
      </c>
      <c r="AK749" s="1868">
        <v>2.4137900000000001</v>
      </c>
      <c r="AL749" s="1868">
        <v>2.5714299999999999</v>
      </c>
      <c r="AM749" s="1868">
        <v>2.38</v>
      </c>
      <c r="AN749" s="1868">
        <v>2.0333299999999999</v>
      </c>
      <c r="AO749" s="1868">
        <v>1.93333</v>
      </c>
      <c r="AP749" s="1868">
        <v>1.9636400000000001</v>
      </c>
      <c r="AQ749" s="1868">
        <v>1.91818</v>
      </c>
      <c r="AR749" s="1868">
        <v>1.83571</v>
      </c>
      <c r="AS749" s="1868">
        <v>1.95</v>
      </c>
      <c r="AT749" s="1868">
        <v>1.8</v>
      </c>
      <c r="AU749" s="1868">
        <v>2.0071400000000001</v>
      </c>
      <c r="AV749" s="1868">
        <v>2.0562499999999999</v>
      </c>
      <c r="AW749" s="1868">
        <v>1.96522</v>
      </c>
      <c r="AX749" s="1868">
        <v>1.9875</v>
      </c>
      <c r="AY749" s="1868">
        <v>1.9385299999999999</v>
      </c>
      <c r="AZ749" s="1868">
        <v>1.9304400000000002</v>
      </c>
      <c r="BA749" s="1868">
        <v>1.75909</v>
      </c>
    </row>
    <row r="750" spans="1:53">
      <c r="A750" s="1865" t="str">
        <f t="shared" si="11"/>
        <v>MelanesiaPotatoes</v>
      </c>
      <c r="B750" s="1866" t="s">
        <v>1418</v>
      </c>
      <c r="C750" s="1866" t="s">
        <v>1394</v>
      </c>
      <c r="D750" s="1868">
        <v>5.9507400000000006</v>
      </c>
      <c r="E750" s="1868">
        <v>5.9268300000000007</v>
      </c>
      <c r="F750" s="1868">
        <v>7.5240999999999998</v>
      </c>
      <c r="G750" s="1868">
        <v>6.9508199999999993</v>
      </c>
      <c r="H750" s="1868">
        <v>6.4754100000000001</v>
      </c>
      <c r="I750" s="1868">
        <v>6.4975899999999998</v>
      </c>
      <c r="J750" s="1868">
        <v>5.7590900000000005</v>
      </c>
      <c r="K750" s="1868">
        <v>6.3287000000000004</v>
      </c>
      <c r="L750" s="1868">
        <v>6.7137399999999996</v>
      </c>
      <c r="M750" s="1868">
        <v>8.14724</v>
      </c>
      <c r="N750" s="1868">
        <v>4.2402600000000001</v>
      </c>
      <c r="O750" s="1868">
        <v>5.81081</v>
      </c>
      <c r="P750" s="1868">
        <v>9.5827299999999997</v>
      </c>
      <c r="Q750" s="1868">
        <v>6.4688300000000005</v>
      </c>
      <c r="R750" s="1868">
        <v>4.0264899999999999</v>
      </c>
      <c r="S750" s="1868">
        <v>3.3084099999999999</v>
      </c>
      <c r="T750" s="1868">
        <v>3.8187500000000001</v>
      </c>
      <c r="U750" s="1868">
        <v>3.80741</v>
      </c>
      <c r="V750" s="1868">
        <v>3.7063900000000003</v>
      </c>
      <c r="W750" s="1868">
        <v>6.7996399999999992</v>
      </c>
      <c r="X750" s="1868">
        <v>5.0987900000000002</v>
      </c>
      <c r="Y750" s="1868">
        <v>5.7201399999999998</v>
      </c>
      <c r="Z750" s="1868">
        <v>7.7754399999999997</v>
      </c>
      <c r="AA750" s="1868">
        <v>7.558489999999999</v>
      </c>
      <c r="AB750" s="1868">
        <v>8.4150200000000002</v>
      </c>
      <c r="AC750" s="1868">
        <v>6.0754700000000001</v>
      </c>
      <c r="AD750" s="1868">
        <v>8.7258999999999993</v>
      </c>
      <c r="AE750" s="1868">
        <v>9.1999999999999993</v>
      </c>
      <c r="AF750" s="1868">
        <v>8.7638400000000001</v>
      </c>
      <c r="AG750" s="1868">
        <v>12.68398</v>
      </c>
      <c r="AH750" s="1868">
        <v>11.231760000000001</v>
      </c>
      <c r="AI750" s="1868">
        <v>17.274999999999999</v>
      </c>
      <c r="AJ750" s="1868">
        <v>12.90441</v>
      </c>
      <c r="AK750" s="1868">
        <v>14.238429999999999</v>
      </c>
      <c r="AL750" s="1868">
        <v>13.361700000000001</v>
      </c>
      <c r="AM750" s="1868">
        <v>11.74667</v>
      </c>
      <c r="AN750" s="1868">
        <v>7.3677100000000006</v>
      </c>
      <c r="AO750" s="1868">
        <v>6.82</v>
      </c>
      <c r="AP750" s="1868">
        <v>7.4</v>
      </c>
      <c r="AQ750" s="1868">
        <v>7.3185199999999995</v>
      </c>
      <c r="AR750" s="1868">
        <v>7.9467499999999998</v>
      </c>
      <c r="AS750" s="1868">
        <v>8.1374300000000002</v>
      </c>
      <c r="AT750" s="1868">
        <v>6.8</v>
      </c>
      <c r="AU750" s="1868">
        <v>7.2367600000000003</v>
      </c>
      <c r="AV750" s="1868">
        <v>7.3370499999999996</v>
      </c>
      <c r="AW750" s="1868">
        <v>7.1741399999999995</v>
      </c>
      <c r="AX750" s="1868">
        <v>7.1439600000000008</v>
      </c>
      <c r="AY750" s="1868">
        <v>7.1658399999999993</v>
      </c>
      <c r="AZ750" s="1868">
        <v>6.9514300000000002</v>
      </c>
      <c r="BA750" s="1868">
        <v>5.92903</v>
      </c>
    </row>
    <row r="751" spans="1:53">
      <c r="A751" s="1865" t="str">
        <f t="shared" si="11"/>
        <v>MelanesiaPulses, nes</v>
      </c>
      <c r="B751" s="1866" t="s">
        <v>1418</v>
      </c>
      <c r="C751" s="1866" t="s">
        <v>1395</v>
      </c>
      <c r="D751" s="1868">
        <v>0.57262999999999997</v>
      </c>
      <c r="E751" s="1868">
        <v>0.57013000000000003</v>
      </c>
      <c r="F751" s="1868">
        <v>0.57351000000000008</v>
      </c>
      <c r="G751" s="1868">
        <v>0.56526999999999994</v>
      </c>
      <c r="H751" s="1868">
        <v>0.57136000000000009</v>
      </c>
      <c r="I751" s="1868">
        <v>0.56801999999999997</v>
      </c>
      <c r="J751" s="1868">
        <v>0.58228999999999997</v>
      </c>
      <c r="K751" s="1868">
        <v>0.55525000000000002</v>
      </c>
      <c r="L751" s="1868">
        <v>0.57321999999999995</v>
      </c>
      <c r="M751" s="1868">
        <v>0.58731999999999995</v>
      </c>
      <c r="N751" s="1868">
        <v>0.59733000000000003</v>
      </c>
      <c r="O751" s="1868">
        <v>0.59723999999999999</v>
      </c>
      <c r="P751" s="1868">
        <v>0.60582999999999998</v>
      </c>
      <c r="Q751" s="1868">
        <v>0.60083999999999993</v>
      </c>
      <c r="R751" s="1868">
        <v>0.60643000000000002</v>
      </c>
      <c r="S751" s="1868">
        <v>0.60819000000000001</v>
      </c>
      <c r="T751" s="1868">
        <v>0.60313000000000005</v>
      </c>
      <c r="U751" s="1868">
        <v>0.61101000000000005</v>
      </c>
      <c r="V751" s="1868">
        <v>0.62381000000000009</v>
      </c>
      <c r="W751" s="1868">
        <v>0.62524000000000002</v>
      </c>
      <c r="X751" s="1868">
        <v>0.63422000000000001</v>
      </c>
      <c r="Y751" s="1868">
        <v>0.63407000000000002</v>
      </c>
      <c r="Z751" s="1868">
        <v>0.66830000000000001</v>
      </c>
      <c r="AA751" s="1868">
        <v>0.67716999999999994</v>
      </c>
      <c r="AB751" s="1868">
        <v>0.68081999999999998</v>
      </c>
      <c r="AC751" s="1868">
        <v>0.67626000000000008</v>
      </c>
      <c r="AD751" s="1868">
        <v>0.68966000000000005</v>
      </c>
      <c r="AE751" s="1868">
        <v>0.70104999999999995</v>
      </c>
      <c r="AF751" s="1868">
        <v>0.69128999999999996</v>
      </c>
      <c r="AG751" s="1868">
        <v>0.69713000000000003</v>
      </c>
      <c r="AH751" s="1868">
        <v>0.93153999999999992</v>
      </c>
      <c r="AI751" s="1868">
        <v>0.71143999999999996</v>
      </c>
      <c r="AJ751" s="1868">
        <v>0.75356999999999996</v>
      </c>
      <c r="AK751" s="1868">
        <v>0.77703</v>
      </c>
      <c r="AL751" s="1868">
        <v>0.81328</v>
      </c>
      <c r="AM751" s="1868">
        <v>0.77813999999999994</v>
      </c>
      <c r="AN751" s="1868">
        <v>0.67916999999999994</v>
      </c>
      <c r="AO751" s="1868">
        <v>0.82757999999999998</v>
      </c>
      <c r="AP751" s="1868">
        <v>0.79186000000000001</v>
      </c>
      <c r="AQ751" s="1868">
        <v>0.85994999999999999</v>
      </c>
      <c r="AR751" s="1868">
        <v>0.82984999999999998</v>
      </c>
      <c r="AS751" s="1868">
        <v>0.71916000000000002</v>
      </c>
      <c r="AT751" s="1868">
        <v>0.85241</v>
      </c>
      <c r="AU751" s="1868">
        <v>0.76597999999999999</v>
      </c>
      <c r="AV751" s="1868">
        <v>0.85357999999999989</v>
      </c>
      <c r="AW751" s="1868">
        <v>0.70151000000000008</v>
      </c>
      <c r="AX751" s="1868">
        <v>0.76651000000000002</v>
      </c>
      <c r="AY751" s="1868">
        <v>0.84914000000000001</v>
      </c>
      <c r="AZ751" s="1868">
        <v>0.81252999999999997</v>
      </c>
      <c r="BA751" s="1868">
        <v>0.65621000000000007</v>
      </c>
    </row>
    <row r="752" spans="1:53">
      <c r="A752" s="1865" t="str">
        <f t="shared" si="11"/>
        <v>MelanesiaRice, paddy</v>
      </c>
      <c r="B752" s="1866" t="s">
        <v>1418</v>
      </c>
      <c r="C752" s="1866" t="s">
        <v>1396</v>
      </c>
      <c r="D752" s="1868">
        <v>1.8172400000000002</v>
      </c>
      <c r="E752" s="1868">
        <v>1.8160400000000001</v>
      </c>
      <c r="F752" s="1868">
        <v>1.8634599999999999</v>
      </c>
      <c r="G752" s="1868">
        <v>1.8371599999999999</v>
      </c>
      <c r="H752" s="1868">
        <v>1.8474400000000002</v>
      </c>
      <c r="I752" s="1868">
        <v>1.7909400000000002</v>
      </c>
      <c r="J752" s="1868">
        <v>1.7417900000000002</v>
      </c>
      <c r="K752" s="1868">
        <v>2.0432799999999998</v>
      </c>
      <c r="L752" s="1868">
        <v>1.804</v>
      </c>
      <c r="M752" s="1868">
        <v>1.98898</v>
      </c>
      <c r="N752" s="1868">
        <v>2.0829299999999997</v>
      </c>
      <c r="O752" s="1868">
        <v>2.0561700000000003</v>
      </c>
      <c r="P752" s="1868">
        <v>2.0602</v>
      </c>
      <c r="Q752" s="1868">
        <v>2.0250499999999998</v>
      </c>
      <c r="R752" s="1868">
        <v>2.2745599999999997</v>
      </c>
      <c r="S752" s="1868">
        <v>2.3735200000000001</v>
      </c>
      <c r="T752" s="1868">
        <v>2.17944</v>
      </c>
      <c r="U752" s="1868">
        <v>2.09192</v>
      </c>
      <c r="V752" s="1868">
        <v>2.3513199999999999</v>
      </c>
      <c r="W752" s="1868">
        <v>2.4978199999999999</v>
      </c>
      <c r="X752" s="1868">
        <v>2.5261099999999996</v>
      </c>
      <c r="Y752" s="1868">
        <v>2.42476</v>
      </c>
      <c r="Z752" s="1868">
        <v>2.2330900000000002</v>
      </c>
      <c r="AA752" s="1868">
        <v>2.2786900000000001</v>
      </c>
      <c r="AB752" s="1868">
        <v>2.41648</v>
      </c>
      <c r="AC752" s="1868">
        <v>2.22105</v>
      </c>
      <c r="AD752" s="1868">
        <v>1.9174200000000001</v>
      </c>
      <c r="AE752" s="1868">
        <v>2.3849</v>
      </c>
      <c r="AF752" s="1868">
        <v>2.4078900000000001</v>
      </c>
      <c r="AG752" s="1868">
        <v>2.2045499999999998</v>
      </c>
      <c r="AH752" s="1868">
        <v>2.3688799999999999</v>
      </c>
      <c r="AI752" s="1868">
        <v>2.1727400000000001</v>
      </c>
      <c r="AJ752" s="1868">
        <v>2.3614700000000002</v>
      </c>
      <c r="AK752" s="1868">
        <v>2.3108200000000001</v>
      </c>
      <c r="AL752" s="1868">
        <v>2.66011</v>
      </c>
      <c r="AM752" s="1868">
        <v>2.06738</v>
      </c>
      <c r="AN752" s="1868">
        <v>2.2151999999999998</v>
      </c>
      <c r="AO752" s="1868">
        <v>0.81028999999999995</v>
      </c>
      <c r="AP752" s="1868">
        <v>2.90367</v>
      </c>
      <c r="AQ752" s="1868">
        <v>2.819</v>
      </c>
      <c r="AR752" s="1868">
        <v>2.5547599999999999</v>
      </c>
      <c r="AS752" s="1868">
        <v>2.5659400000000003</v>
      </c>
      <c r="AT752" s="1868">
        <v>2.4406300000000001</v>
      </c>
      <c r="AU752" s="1868">
        <v>2.4265500000000002</v>
      </c>
      <c r="AV752" s="1868">
        <v>2.44861</v>
      </c>
      <c r="AW752" s="1868">
        <v>2.4661299999999997</v>
      </c>
      <c r="AX752" s="1868">
        <v>2.6877900000000001</v>
      </c>
      <c r="AY752" s="1868">
        <v>2.4081999999999999</v>
      </c>
      <c r="AZ752" s="1868">
        <v>2.91886</v>
      </c>
      <c r="BA752" s="1868">
        <v>2.86172</v>
      </c>
    </row>
    <row r="753" spans="1:53">
      <c r="A753" s="1865" t="str">
        <f t="shared" si="11"/>
        <v>MelanesiaRoots and Tubers, nes</v>
      </c>
      <c r="B753" s="1866" t="s">
        <v>1418</v>
      </c>
      <c r="C753" s="1866" t="s">
        <v>1356</v>
      </c>
      <c r="D753" s="1868">
        <v>14.643939999999999</v>
      </c>
      <c r="E753" s="1868">
        <v>14.738810000000001</v>
      </c>
      <c r="F753" s="1868">
        <v>14.71429</v>
      </c>
      <c r="G753" s="1868">
        <v>15.338179999999999</v>
      </c>
      <c r="H753" s="1868">
        <v>14.779829999999999</v>
      </c>
      <c r="I753" s="1868">
        <v>15.034720000000002</v>
      </c>
      <c r="J753" s="1868">
        <v>14.72054</v>
      </c>
      <c r="K753" s="1868">
        <v>14.548429999999998</v>
      </c>
      <c r="L753" s="1868">
        <v>14.29936</v>
      </c>
      <c r="M753" s="1868">
        <v>14.282129999999999</v>
      </c>
      <c r="N753" s="1868">
        <v>14.197529999999999</v>
      </c>
      <c r="O753" s="1868">
        <v>14.225610000000001</v>
      </c>
      <c r="P753" s="1868">
        <v>14.34835</v>
      </c>
      <c r="Q753" s="1868">
        <v>14.2522</v>
      </c>
      <c r="R753" s="1868">
        <v>14.317129999999999</v>
      </c>
      <c r="S753" s="1868">
        <v>14.23296</v>
      </c>
      <c r="T753" s="1868">
        <v>14.217879999999999</v>
      </c>
      <c r="U753" s="1868">
        <v>14.171270000000002</v>
      </c>
      <c r="V753" s="1868">
        <v>14.2033</v>
      </c>
      <c r="W753" s="1868">
        <v>13.418370000000001</v>
      </c>
      <c r="X753" s="1868">
        <v>13.4</v>
      </c>
      <c r="Y753" s="1868">
        <v>13.497539999999999</v>
      </c>
      <c r="Z753" s="1868">
        <v>13.479320000000001</v>
      </c>
      <c r="AA753" s="1868">
        <v>13.4428</v>
      </c>
      <c r="AB753" s="1868">
        <v>12.850680000000001</v>
      </c>
      <c r="AC753" s="1868">
        <v>11.995799999999999</v>
      </c>
      <c r="AD753" s="1868">
        <v>11.52</v>
      </c>
      <c r="AE753" s="1868">
        <v>11.397639999999999</v>
      </c>
      <c r="AF753" s="1868">
        <v>11.28309</v>
      </c>
      <c r="AG753" s="1868">
        <v>11.30875</v>
      </c>
      <c r="AH753" s="1868">
        <v>12.438260000000001</v>
      </c>
      <c r="AI753" s="1868">
        <v>12.40898</v>
      </c>
      <c r="AJ753" s="1868">
        <v>11.119960000000001</v>
      </c>
      <c r="AK753" s="1868">
        <v>9.86416</v>
      </c>
      <c r="AL753" s="1868">
        <v>11.208320000000001</v>
      </c>
      <c r="AM753" s="1868">
        <v>12.277760000000001</v>
      </c>
      <c r="AN753" s="1868">
        <v>12.87243</v>
      </c>
      <c r="AO753" s="1868">
        <v>13.25305</v>
      </c>
      <c r="AP753" s="1868">
        <v>12.939399999999999</v>
      </c>
      <c r="AQ753" s="1868">
        <v>12.90272</v>
      </c>
      <c r="AR753" s="1868">
        <v>13.01923</v>
      </c>
      <c r="AS753" s="1868">
        <v>13.05213</v>
      </c>
      <c r="AT753" s="1868">
        <v>13.03219</v>
      </c>
      <c r="AU753" s="1868">
        <v>12.941180000000001</v>
      </c>
      <c r="AV753" s="1868">
        <v>12.53313</v>
      </c>
      <c r="AW753" s="1868">
        <v>12.49311</v>
      </c>
      <c r="AX753" s="1868">
        <v>12.78323</v>
      </c>
      <c r="AY753" s="1868">
        <v>12.013170000000001</v>
      </c>
      <c r="AZ753" s="1868">
        <v>12.829080000000001</v>
      </c>
      <c r="BA753" s="1868">
        <v>12.383330000000001</v>
      </c>
    </row>
    <row r="754" spans="1:53">
      <c r="A754" s="1865" t="str">
        <f t="shared" si="11"/>
        <v>MelanesiaSorghum</v>
      </c>
      <c r="B754" s="1866" t="s">
        <v>1418</v>
      </c>
      <c r="C754" s="1866" t="s">
        <v>1399</v>
      </c>
      <c r="D754" s="1868">
        <v>1.5503400000000001</v>
      </c>
      <c r="E754" s="1868">
        <v>1.1407</v>
      </c>
      <c r="F754" s="1868">
        <v>1.2142899999999999</v>
      </c>
      <c r="G754" s="1868">
        <v>0.87277999999999989</v>
      </c>
      <c r="H754" s="1868">
        <v>1.5568200000000001</v>
      </c>
      <c r="I754" s="1868">
        <v>1.0171600000000001</v>
      </c>
      <c r="J754" s="1868">
        <v>1.3909200000000002</v>
      </c>
      <c r="K754" s="1868">
        <v>1.5382899999999999</v>
      </c>
      <c r="L754" s="1868">
        <v>1.10904</v>
      </c>
      <c r="M754" s="1868">
        <v>1.6579999999999999</v>
      </c>
      <c r="N754" s="1868">
        <v>2.17761</v>
      </c>
      <c r="O754" s="1868">
        <v>1.76867</v>
      </c>
      <c r="P754" s="1868">
        <v>2.5890599999999999</v>
      </c>
      <c r="Q754" s="1868">
        <v>1.9036900000000001</v>
      </c>
      <c r="R754" s="1868">
        <v>1.5457100000000001</v>
      </c>
      <c r="S754" s="1868">
        <v>0.83877000000000013</v>
      </c>
      <c r="T754" s="1868">
        <v>1.0057499999999999</v>
      </c>
      <c r="U754" s="1868">
        <v>1.7107700000000001</v>
      </c>
      <c r="V754" s="1868">
        <v>1.8499299999999999</v>
      </c>
      <c r="W754" s="1868">
        <v>1.6467099999999999</v>
      </c>
      <c r="X754" s="1868">
        <v>1.7569700000000001</v>
      </c>
      <c r="Y754" s="1868">
        <v>1.18757</v>
      </c>
      <c r="Z754" s="1868">
        <v>2.2483200000000001</v>
      </c>
      <c r="AA754" s="1868">
        <v>2.0043199999999999</v>
      </c>
      <c r="AB754" s="1868">
        <v>1.63104</v>
      </c>
      <c r="AC754" s="1868">
        <v>1.8566200000000002</v>
      </c>
      <c r="AD754" s="1868">
        <v>1.82667</v>
      </c>
      <c r="AE754" s="1868">
        <v>2.165</v>
      </c>
      <c r="AF754" s="1868">
        <v>2.2092000000000001</v>
      </c>
      <c r="AG754" s="1868">
        <v>3.82979</v>
      </c>
      <c r="AH754" s="1868">
        <v>2.6504400000000001</v>
      </c>
      <c r="AI754" s="1868">
        <v>2.4765200000000003</v>
      </c>
      <c r="AJ754" s="1868">
        <v>2.3188900000000001</v>
      </c>
      <c r="AK754" s="1868">
        <v>2.4660000000000002</v>
      </c>
      <c r="AL754" s="1868">
        <v>2.4238599999999999</v>
      </c>
      <c r="AM754" s="1868">
        <v>2.7829000000000002</v>
      </c>
      <c r="AN754" s="1868">
        <v>2.9738599999999997</v>
      </c>
      <c r="AO754" s="1868">
        <v>3.3296600000000001</v>
      </c>
      <c r="AP754" s="1868">
        <v>2.9821599999999999</v>
      </c>
      <c r="AQ754" s="1868">
        <v>2.8238599999999998</v>
      </c>
      <c r="AR754" s="1868">
        <v>2.7978499999999999</v>
      </c>
      <c r="AS754" s="1868">
        <v>2.5771999999999999</v>
      </c>
      <c r="AT754" s="1868">
        <v>3.1572100000000001</v>
      </c>
      <c r="AU754" s="1868">
        <v>3.9267500000000002</v>
      </c>
      <c r="AV754" s="1868">
        <v>3.8317800000000002</v>
      </c>
      <c r="AW754" s="1868">
        <v>3.5961800000000004</v>
      </c>
      <c r="AX754" s="1868">
        <v>3.05138</v>
      </c>
      <c r="AY754" s="1868">
        <v>3.2726500000000001</v>
      </c>
      <c r="AZ754" s="1868">
        <v>3.4179400000000002</v>
      </c>
      <c r="BA754" s="1868">
        <v>2.2963</v>
      </c>
    </row>
    <row r="755" spans="1:53">
      <c r="A755" s="1865" t="str">
        <f t="shared" si="11"/>
        <v>MelanesiaSugar cane</v>
      </c>
      <c r="B755" s="1866" t="s">
        <v>1418</v>
      </c>
      <c r="C755" s="1866" t="s">
        <v>1401</v>
      </c>
      <c r="D755" s="1868">
        <v>32.893370000000004</v>
      </c>
      <c r="E755" s="1868">
        <v>52.145159999999997</v>
      </c>
      <c r="F755" s="1868">
        <v>66.540980000000005</v>
      </c>
      <c r="G755" s="1868">
        <v>56.554319999999997</v>
      </c>
      <c r="H755" s="1868">
        <v>51.559370000000001</v>
      </c>
      <c r="I755" s="1868">
        <v>51.353949999999998</v>
      </c>
      <c r="J755" s="1868">
        <v>49.31664</v>
      </c>
      <c r="K755" s="1868">
        <v>61.85454</v>
      </c>
      <c r="L755" s="1868">
        <v>50.455220000000004</v>
      </c>
      <c r="M755" s="1868">
        <v>62.448330000000006</v>
      </c>
      <c r="N755" s="1868">
        <v>53.68741</v>
      </c>
      <c r="O755" s="1868">
        <v>51.149650000000001</v>
      </c>
      <c r="P755" s="1868">
        <v>54.981780000000008</v>
      </c>
      <c r="Q755" s="1868">
        <v>47.841239999999999</v>
      </c>
      <c r="R755" s="1868">
        <v>48.042790000000004</v>
      </c>
      <c r="S755" s="1868">
        <v>48.559629999999999</v>
      </c>
      <c r="T755" s="1868">
        <v>51.370600000000003</v>
      </c>
      <c r="U755" s="1868">
        <v>52.775369999999995</v>
      </c>
      <c r="V755" s="1868">
        <v>65.429719999999989</v>
      </c>
      <c r="W755" s="1868">
        <v>50.867100000000001</v>
      </c>
      <c r="X755" s="1868">
        <v>58.819240000000001</v>
      </c>
      <c r="Y755" s="1868">
        <v>59.247609999999995</v>
      </c>
      <c r="Z755" s="1868">
        <v>39.747700000000002</v>
      </c>
      <c r="AA755" s="1868">
        <v>62.690219999999997</v>
      </c>
      <c r="AB755" s="1868">
        <v>44.047940000000004</v>
      </c>
      <c r="AC755" s="1868">
        <v>59.555430000000001</v>
      </c>
      <c r="AD755" s="1868">
        <v>42.823619999999998</v>
      </c>
      <c r="AE755" s="1868">
        <v>50.38203</v>
      </c>
      <c r="AF755" s="1868">
        <v>63.801169999999992</v>
      </c>
      <c r="AG755" s="1868">
        <v>57.493259999999999</v>
      </c>
      <c r="AH755" s="1868">
        <v>47.926229999999997</v>
      </c>
      <c r="AI755" s="1868">
        <v>49.151899999999998</v>
      </c>
      <c r="AJ755" s="1868">
        <v>50.619599999999998</v>
      </c>
      <c r="AK755" s="1868">
        <v>54.290690000000005</v>
      </c>
      <c r="AL755" s="1868">
        <v>55.055969999999995</v>
      </c>
      <c r="AM755" s="1868">
        <v>50.609909999999999</v>
      </c>
      <c r="AN755" s="1868">
        <v>47.237499999999997</v>
      </c>
      <c r="AO755" s="1868">
        <v>40.969229999999996</v>
      </c>
      <c r="AP755" s="1868">
        <v>57.219180000000001</v>
      </c>
      <c r="AQ755" s="1868">
        <v>56.871430000000004</v>
      </c>
      <c r="AR755" s="1868">
        <v>48.315069999999999</v>
      </c>
      <c r="AS755" s="1868">
        <v>49.876709999999996</v>
      </c>
      <c r="AT755" s="1868">
        <v>46.935250000000003</v>
      </c>
      <c r="AU755" s="1868">
        <v>49.107909999999997</v>
      </c>
      <c r="AV755" s="1868">
        <v>49.138459999999995</v>
      </c>
      <c r="AW755" s="1868">
        <v>52.812030000000007</v>
      </c>
      <c r="AX755" s="1868">
        <v>45.328000000000003</v>
      </c>
      <c r="AY755" s="1868">
        <v>44.386559999999996</v>
      </c>
      <c r="AZ755" s="1868">
        <v>41.895650000000003</v>
      </c>
      <c r="BA755" s="1868">
        <v>41.838380000000001</v>
      </c>
    </row>
    <row r="756" spans="1:53">
      <c r="A756" s="1865" t="str">
        <f t="shared" si="11"/>
        <v>MelanesiaSweet potatoes</v>
      </c>
      <c r="B756" s="1866" t="s">
        <v>1418</v>
      </c>
      <c r="C756" s="1866" t="s">
        <v>1403</v>
      </c>
      <c r="D756" s="1868">
        <v>4.30098</v>
      </c>
      <c r="E756" s="1868">
        <v>4.3099699999999999</v>
      </c>
      <c r="F756" s="1868">
        <v>4.3336699999999997</v>
      </c>
      <c r="G756" s="1868">
        <v>4.3075000000000001</v>
      </c>
      <c r="H756" s="1868">
        <v>4.3456000000000001</v>
      </c>
      <c r="I756" s="1868">
        <v>4.5365199999999994</v>
      </c>
      <c r="J756" s="1868">
        <v>4.5382800000000003</v>
      </c>
      <c r="K756" s="1868">
        <v>4.4300100000000002</v>
      </c>
      <c r="L756" s="1868">
        <v>4.4437899999999999</v>
      </c>
      <c r="M756" s="1868">
        <v>4.5595699999999999</v>
      </c>
      <c r="N756" s="1868">
        <v>4.6359699999999995</v>
      </c>
      <c r="O756" s="1868">
        <v>4.7666599999999999</v>
      </c>
      <c r="P756" s="1868">
        <v>4.7533900000000004</v>
      </c>
      <c r="Q756" s="1868">
        <v>4.8906900000000002</v>
      </c>
      <c r="R756" s="1868">
        <v>4.8021000000000003</v>
      </c>
      <c r="S756" s="1868">
        <v>4.8258599999999996</v>
      </c>
      <c r="T756" s="1868">
        <v>4.8137099999999995</v>
      </c>
      <c r="U756" s="1868">
        <v>4.8117900000000002</v>
      </c>
      <c r="V756" s="1868">
        <v>4.8031899999999998</v>
      </c>
      <c r="W756" s="1868">
        <v>4.8250199999999994</v>
      </c>
      <c r="X756" s="1868">
        <v>4.83758</v>
      </c>
      <c r="Y756" s="1868">
        <v>4.84809</v>
      </c>
      <c r="Z756" s="1868">
        <v>5.0053300000000007</v>
      </c>
      <c r="AA756" s="1868">
        <v>5.04406</v>
      </c>
      <c r="AB756" s="1868">
        <v>5.1192400000000005</v>
      </c>
      <c r="AC756" s="1868">
        <v>5.0518099999999997</v>
      </c>
      <c r="AD756" s="1868">
        <v>5.1174300000000006</v>
      </c>
      <c r="AE756" s="1868">
        <v>5.3790899999999997</v>
      </c>
      <c r="AF756" s="1868">
        <v>4.91418</v>
      </c>
      <c r="AG756" s="1868">
        <v>4.5733199999999998</v>
      </c>
      <c r="AH756" s="1868">
        <v>5.0844500000000004</v>
      </c>
      <c r="AI756" s="1868">
        <v>5.1397500000000003</v>
      </c>
      <c r="AJ756" s="1868">
        <v>5.20709</v>
      </c>
      <c r="AK756" s="1868">
        <v>4.9181400000000002</v>
      </c>
      <c r="AL756" s="1868">
        <v>5.0450400000000002</v>
      </c>
      <c r="AM756" s="1868">
        <v>4.9667399999999997</v>
      </c>
      <c r="AN756" s="1868">
        <v>5.0351499999999998</v>
      </c>
      <c r="AO756" s="1868">
        <v>5.0979599999999996</v>
      </c>
      <c r="AP756" s="1868">
        <v>5.1820599999999999</v>
      </c>
      <c r="AQ756" s="1868">
        <v>5.1948800000000004</v>
      </c>
      <c r="AR756" s="1868">
        <v>5.3063799999999999</v>
      </c>
      <c r="AS756" s="1868">
        <v>5.2806899999999999</v>
      </c>
      <c r="AT756" s="1868">
        <v>5.5758599999999996</v>
      </c>
      <c r="AU756" s="1868">
        <v>5.4330600000000002</v>
      </c>
      <c r="AV756" s="1868">
        <v>5.1817800000000007</v>
      </c>
      <c r="AW756" s="1868">
        <v>5.4695499999999999</v>
      </c>
      <c r="AX756" s="1868">
        <v>5.4404500000000002</v>
      </c>
      <c r="AY756" s="1868">
        <v>3.8160199999999995</v>
      </c>
      <c r="AZ756" s="1868">
        <v>5.1629500000000004</v>
      </c>
      <c r="BA756" s="1868">
        <v>4.9441899999999999</v>
      </c>
    </row>
    <row r="757" spans="1:53">
      <c r="A757" s="1865" t="str">
        <f t="shared" si="11"/>
        <v>MelanesiaTea</v>
      </c>
      <c r="B757" s="1866" t="s">
        <v>1418</v>
      </c>
      <c r="C757" s="1866" t="s">
        <v>1405</v>
      </c>
      <c r="D757" s="1868">
        <v>0.5</v>
      </c>
      <c r="E757" s="1868">
        <v>0.5</v>
      </c>
      <c r="F757" s="1868">
        <v>0.5</v>
      </c>
      <c r="G757" s="1868">
        <v>0.5</v>
      </c>
      <c r="H757" s="1868">
        <v>0.75</v>
      </c>
      <c r="I757" s="1868">
        <v>0.75</v>
      </c>
      <c r="J757" s="1868">
        <v>0.39</v>
      </c>
      <c r="K757" s="1868">
        <v>0.37</v>
      </c>
      <c r="L757" s="1868">
        <v>0.39951999999999999</v>
      </c>
      <c r="M757" s="1868">
        <v>0.55811999999999995</v>
      </c>
      <c r="N757" s="1868">
        <v>0.57667000000000002</v>
      </c>
      <c r="O757" s="1868">
        <v>1.0110600000000001</v>
      </c>
      <c r="P757" s="1868">
        <v>1.0188600000000001</v>
      </c>
      <c r="Q757" s="1868">
        <v>1.3325899999999999</v>
      </c>
      <c r="R757" s="1868">
        <v>1.3468599999999999</v>
      </c>
      <c r="S757" s="1868">
        <v>1.33049</v>
      </c>
      <c r="T757" s="1868">
        <v>1.7105299999999999</v>
      </c>
      <c r="U757" s="1868">
        <v>1.6629</v>
      </c>
      <c r="V757" s="1868">
        <v>2.1142099999999999</v>
      </c>
      <c r="W757" s="1868">
        <v>2.2002599999999997</v>
      </c>
      <c r="X757" s="1868">
        <v>3.26607</v>
      </c>
      <c r="Y757" s="1868">
        <v>3.24675</v>
      </c>
      <c r="Z757" s="1868">
        <v>3.2923100000000001</v>
      </c>
      <c r="AA757" s="1868">
        <v>3.1912500000000001</v>
      </c>
      <c r="AB757" s="1868">
        <v>2.24444</v>
      </c>
      <c r="AC757" s="1868">
        <v>2.0512799999999998</v>
      </c>
      <c r="AD757" s="1868">
        <v>2.0512799999999998</v>
      </c>
      <c r="AE757" s="1868">
        <v>2.0512799999999998</v>
      </c>
      <c r="AF757" s="1868">
        <v>2.0512799999999998</v>
      </c>
      <c r="AG757" s="1868">
        <v>1.70366</v>
      </c>
      <c r="AH757" s="1868">
        <v>2.0711499999999998</v>
      </c>
      <c r="AI757" s="1868">
        <v>2.2433299999999998</v>
      </c>
      <c r="AJ757" s="1868">
        <v>1.8913</v>
      </c>
      <c r="AK757" s="1868">
        <v>1.8888900000000002</v>
      </c>
      <c r="AL757" s="1868">
        <v>0.88112000000000013</v>
      </c>
      <c r="AM757" s="1868">
        <v>1.2782500000000001</v>
      </c>
      <c r="AN757" s="1868">
        <v>1.7186700000000001</v>
      </c>
      <c r="AO757" s="1868">
        <v>1.8149999999999999</v>
      </c>
      <c r="AP757" s="1868">
        <v>1.55</v>
      </c>
      <c r="AQ757" s="1868">
        <v>1.55</v>
      </c>
      <c r="AR757" s="1868">
        <v>1.6052600000000001</v>
      </c>
      <c r="AS757" s="1868">
        <v>1.6756799999999998</v>
      </c>
      <c r="AT757" s="1868">
        <v>1.72973</v>
      </c>
      <c r="AU757" s="1868">
        <v>1.7567599999999999</v>
      </c>
      <c r="AV757" s="1868">
        <v>1.7368400000000002</v>
      </c>
      <c r="AW757" s="1868">
        <v>1.625</v>
      </c>
      <c r="AX757" s="1868">
        <v>1.7825</v>
      </c>
      <c r="AY757" s="1868">
        <v>1.7875000000000001</v>
      </c>
      <c r="AZ757" s="1868">
        <v>1.625</v>
      </c>
      <c r="BA757" s="1868">
        <v>1.8</v>
      </c>
    </row>
    <row r="758" spans="1:53">
      <c r="A758" s="1865" t="str">
        <f t="shared" si="11"/>
        <v>MelanesiaTobacco, unmanufactured</v>
      </c>
      <c r="B758" s="1866" t="s">
        <v>1418</v>
      </c>
      <c r="C758" s="1866" t="s">
        <v>1347</v>
      </c>
      <c r="D758" s="1868">
        <v>1.7777799999999999</v>
      </c>
      <c r="E758" s="1868">
        <v>1.7777799999999999</v>
      </c>
      <c r="F758" s="1868">
        <v>1.8048099999999998</v>
      </c>
      <c r="G758" s="1868">
        <v>1.8048099999999998</v>
      </c>
      <c r="H758" s="1868">
        <v>1.8138400000000001</v>
      </c>
      <c r="I758" s="1868">
        <v>1.7924500000000001</v>
      </c>
      <c r="J758" s="1868">
        <v>1.7492299999999998</v>
      </c>
      <c r="K758" s="1868">
        <v>1.7536200000000002</v>
      </c>
      <c r="L758" s="1868">
        <v>1.0020500000000001</v>
      </c>
      <c r="M758" s="1868">
        <v>1.2256400000000001</v>
      </c>
      <c r="N758" s="1868">
        <v>1.4484900000000001</v>
      </c>
      <c r="O758" s="1868">
        <v>1.4417200000000001</v>
      </c>
      <c r="P758" s="1868">
        <v>1.51613</v>
      </c>
      <c r="Q758" s="1868">
        <v>1.55921</v>
      </c>
      <c r="R758" s="1868">
        <v>1.57843</v>
      </c>
      <c r="S758" s="1868">
        <v>1.6264399999999999</v>
      </c>
      <c r="T758" s="1868">
        <v>1.62632</v>
      </c>
      <c r="U758" s="1868">
        <v>1.5260899999999999</v>
      </c>
      <c r="V758" s="1868">
        <v>1.6383000000000001</v>
      </c>
      <c r="W758" s="1868">
        <v>1.7695000000000001</v>
      </c>
      <c r="X758" s="1868">
        <v>1.56202</v>
      </c>
      <c r="Y758" s="1868">
        <v>1.5906</v>
      </c>
      <c r="Z758" s="1868">
        <v>1.6156900000000001</v>
      </c>
      <c r="AA758" s="1868">
        <v>1.3547</v>
      </c>
      <c r="AB758" s="1868">
        <v>1.7306299999999999</v>
      </c>
      <c r="AC758" s="1868">
        <v>1.6367499999999999</v>
      </c>
      <c r="AD758" s="1868">
        <v>1.7633099999999999</v>
      </c>
      <c r="AE758" s="1868">
        <v>1.06952</v>
      </c>
      <c r="AF758" s="1868">
        <v>1.3989100000000001</v>
      </c>
      <c r="AG758" s="1868">
        <v>1.00309</v>
      </c>
      <c r="AH758" s="1868">
        <v>1.2122299999999999</v>
      </c>
      <c r="AI758" s="1868">
        <v>1.1666700000000001</v>
      </c>
      <c r="AJ758" s="1868">
        <v>1.2914299999999999</v>
      </c>
      <c r="AK758" s="1868">
        <v>1.3222200000000002</v>
      </c>
      <c r="AL758" s="1868">
        <v>0.96087000000000011</v>
      </c>
      <c r="AM758" s="1868">
        <v>0.99667000000000006</v>
      </c>
      <c r="AN758" s="1868">
        <v>0.97087000000000012</v>
      </c>
      <c r="AO758" s="1868">
        <v>0.96922999999999992</v>
      </c>
      <c r="AP758" s="1868">
        <v>0.96363999999999994</v>
      </c>
      <c r="AQ758" s="1868">
        <v>0.995</v>
      </c>
      <c r="AR758" s="1868">
        <v>1.0555600000000001</v>
      </c>
      <c r="AS758" s="1868">
        <v>0.87297000000000002</v>
      </c>
      <c r="AT758" s="1868">
        <v>1.04444</v>
      </c>
      <c r="AU758" s="1868">
        <v>0.96562999999999988</v>
      </c>
      <c r="AV758" s="1868">
        <v>1.1942900000000001</v>
      </c>
      <c r="AW758" s="1868">
        <v>0.79800000000000004</v>
      </c>
      <c r="AX758" s="1868">
        <v>0.55667</v>
      </c>
      <c r="AY758" s="1868">
        <v>0.53832999999999998</v>
      </c>
      <c r="AZ758" s="1868">
        <v>0.57467000000000001</v>
      </c>
      <c r="BA758" s="1868">
        <v>0.57467000000000001</v>
      </c>
    </row>
    <row r="759" spans="1:53">
      <c r="A759" s="1865" t="str">
        <f t="shared" si="11"/>
        <v>MelanesiaTomatoes</v>
      </c>
      <c r="B759" s="1866" t="s">
        <v>1418</v>
      </c>
      <c r="C759" s="1866" t="s">
        <v>1406</v>
      </c>
      <c r="D759" s="1868">
        <v>1.4418600000000001</v>
      </c>
      <c r="E759" s="1868">
        <v>2</v>
      </c>
      <c r="F759" s="1868">
        <v>2.7307700000000001</v>
      </c>
      <c r="G759" s="1868">
        <v>4.1764700000000001</v>
      </c>
      <c r="H759" s="1868">
        <v>5</v>
      </c>
      <c r="I759" s="1868">
        <v>3.7058800000000005</v>
      </c>
      <c r="J759" s="1868">
        <v>4.125</v>
      </c>
      <c r="K759" s="1868">
        <v>4.4000000000000004</v>
      </c>
      <c r="L759" s="1868">
        <v>3.4615400000000003</v>
      </c>
      <c r="M759" s="1868">
        <v>3.78261</v>
      </c>
      <c r="N759" s="1868">
        <v>2.1764700000000001</v>
      </c>
      <c r="O759" s="1868">
        <v>3.7857099999999999</v>
      </c>
      <c r="P759" s="1868">
        <v>2.36842</v>
      </c>
      <c r="Q759" s="1868">
        <v>1.9166700000000001</v>
      </c>
      <c r="R759" s="1868">
        <v>3.7671199999999998</v>
      </c>
      <c r="S759" s="1868">
        <v>2.34</v>
      </c>
      <c r="T759" s="1868">
        <v>3.6333300000000004</v>
      </c>
      <c r="U759" s="1868">
        <v>2.09091</v>
      </c>
      <c r="V759" s="1868">
        <v>2.3714300000000001</v>
      </c>
      <c r="W759" s="1868">
        <v>1</v>
      </c>
      <c r="X759" s="1868">
        <v>6.0588199999999999</v>
      </c>
      <c r="Y759" s="1868">
        <v>9.1923100000000009</v>
      </c>
      <c r="Z759" s="1868">
        <v>4.8333300000000001</v>
      </c>
      <c r="AA759" s="1868">
        <v>3.7777800000000004</v>
      </c>
      <c r="AB759" s="1868">
        <v>2.6875</v>
      </c>
      <c r="AC759" s="1868">
        <v>1.5</v>
      </c>
      <c r="AD759" s="1868">
        <v>5</v>
      </c>
      <c r="AE759" s="1868">
        <v>5.09091</v>
      </c>
      <c r="AF759" s="1868">
        <v>5</v>
      </c>
      <c r="AG759" s="1868">
        <v>4.8461499999999997</v>
      </c>
      <c r="AH759" s="1868">
        <v>4.5714300000000003</v>
      </c>
      <c r="AI759" s="1868">
        <v>5.1587300000000003</v>
      </c>
      <c r="AJ759" s="1868">
        <v>11.436780000000001</v>
      </c>
      <c r="AK759" s="1868">
        <v>6.9204600000000003</v>
      </c>
      <c r="AL759" s="1868">
        <v>7.5789499999999999</v>
      </c>
      <c r="AM759" s="1868">
        <v>7.9734800000000003</v>
      </c>
      <c r="AN759" s="1868">
        <v>7.9164399999999997</v>
      </c>
      <c r="AO759" s="1868">
        <v>7.4285699999999997</v>
      </c>
      <c r="AP759" s="1868">
        <v>7.8615899999999996</v>
      </c>
      <c r="AQ759" s="1868">
        <v>7.9428600000000005</v>
      </c>
      <c r="AR759" s="1868">
        <v>8.3451800000000009</v>
      </c>
      <c r="AS759" s="1868">
        <v>7.9156600000000008</v>
      </c>
      <c r="AT759" s="1868">
        <v>9.7859400000000001</v>
      </c>
      <c r="AU759" s="1868">
        <v>10.56338</v>
      </c>
      <c r="AV759" s="1868">
        <v>9.8035199999999989</v>
      </c>
      <c r="AW759" s="1868">
        <v>9.7050199999999993</v>
      </c>
      <c r="AX759" s="1868">
        <v>10.221539999999999</v>
      </c>
      <c r="AY759" s="1868">
        <v>11.40625</v>
      </c>
      <c r="AZ759" s="1868">
        <v>11.241070000000001</v>
      </c>
      <c r="BA759" s="1868">
        <v>10.28205</v>
      </c>
    </row>
    <row r="760" spans="1:53">
      <c r="A760" s="1865" t="str">
        <f t="shared" si="11"/>
        <v>MelanesiaVegetables fresh nes</v>
      </c>
      <c r="B760" s="1866" t="s">
        <v>1418</v>
      </c>
      <c r="C760" s="1866" t="s">
        <v>1407</v>
      </c>
      <c r="D760" s="1868">
        <v>14.20309</v>
      </c>
      <c r="E760" s="1868">
        <v>14.087260000000001</v>
      </c>
      <c r="F760" s="1868">
        <v>14.09066</v>
      </c>
      <c r="G760" s="1868">
        <v>14.083429999999998</v>
      </c>
      <c r="H760" s="1868">
        <v>13.884210000000001</v>
      </c>
      <c r="I760" s="1868">
        <v>14.04156</v>
      </c>
      <c r="J760" s="1868">
        <v>14.037970000000001</v>
      </c>
      <c r="K760" s="1868">
        <v>14.10425</v>
      </c>
      <c r="L760" s="1868">
        <v>14.1127</v>
      </c>
      <c r="M760" s="1868">
        <v>13.917329999999998</v>
      </c>
      <c r="N760" s="1868">
        <v>13.735049999999999</v>
      </c>
      <c r="O760" s="1868">
        <v>13.660070000000001</v>
      </c>
      <c r="P760" s="1868">
        <v>13.685600000000001</v>
      </c>
      <c r="Q760" s="1868">
        <v>13.753810000000001</v>
      </c>
      <c r="R760" s="1868">
        <v>13.668270000000001</v>
      </c>
      <c r="S760" s="1868">
        <v>13.695650000000001</v>
      </c>
      <c r="T760" s="1868">
        <v>14.316629999999998</v>
      </c>
      <c r="U760" s="1868">
        <v>14.331270000000002</v>
      </c>
      <c r="V760" s="1868">
        <v>14.280439999999999</v>
      </c>
      <c r="W760" s="1868">
        <v>13.67956</v>
      </c>
      <c r="X760" s="1868">
        <v>13.66099</v>
      </c>
      <c r="Y760" s="1868">
        <v>13.613129999999998</v>
      </c>
      <c r="Z760" s="1868">
        <v>12.868399999999999</v>
      </c>
      <c r="AA760" s="1868">
        <v>13.613420000000001</v>
      </c>
      <c r="AB760" s="1868">
        <v>14.072889999999999</v>
      </c>
      <c r="AC760" s="1868">
        <v>13.80739</v>
      </c>
      <c r="AD760" s="1868">
        <v>13.51559</v>
      </c>
      <c r="AE760" s="1868">
        <v>13.763810000000001</v>
      </c>
      <c r="AF760" s="1868">
        <v>13.429360000000001</v>
      </c>
      <c r="AG760" s="1868">
        <v>13.64555</v>
      </c>
      <c r="AH760" s="1868">
        <v>14.367870000000002</v>
      </c>
      <c r="AI760" s="1868">
        <v>14.374329999999999</v>
      </c>
      <c r="AJ760" s="1868">
        <v>14.232100000000001</v>
      </c>
      <c r="AK760" s="1868">
        <v>14.31991</v>
      </c>
      <c r="AL760" s="1868">
        <v>11.15518</v>
      </c>
      <c r="AM760" s="1868">
        <v>13.897839999999999</v>
      </c>
      <c r="AN760" s="1868">
        <v>14.09074</v>
      </c>
      <c r="AO760" s="1868">
        <v>13.99647</v>
      </c>
      <c r="AP760" s="1868">
        <v>14.165389999999999</v>
      </c>
      <c r="AQ760" s="1868">
        <v>13.94781</v>
      </c>
      <c r="AR760" s="1868">
        <v>14.170720000000001</v>
      </c>
      <c r="AS760" s="1868">
        <v>14.272929999999999</v>
      </c>
      <c r="AT760" s="1868">
        <v>13.580860000000001</v>
      </c>
      <c r="AU760" s="1868">
        <v>14.866010000000001</v>
      </c>
      <c r="AV760" s="1868">
        <v>13.83225</v>
      </c>
      <c r="AW760" s="1868">
        <v>14.425520000000001</v>
      </c>
      <c r="AX760" s="1868">
        <v>14.627460000000001</v>
      </c>
      <c r="AY760" s="1868">
        <v>16.7438</v>
      </c>
      <c r="AZ760" s="1868">
        <v>16.16966</v>
      </c>
      <c r="BA760" s="1868">
        <v>15.445399999999999</v>
      </c>
    </row>
    <row r="761" spans="1:53">
      <c r="A761" s="1865" t="str">
        <f t="shared" si="11"/>
        <v>MelanesiaWheat</v>
      </c>
      <c r="B761" s="1866" t="s">
        <v>1418</v>
      </c>
      <c r="C761" s="1866" t="s">
        <v>1409</v>
      </c>
      <c r="D761" s="1868">
        <v>2.5</v>
      </c>
      <c r="E761" s="1868">
        <v>2.5</v>
      </c>
      <c r="F761" s="1868">
        <v>2.5</v>
      </c>
      <c r="G761" s="1868">
        <v>2.5</v>
      </c>
      <c r="H761" s="1868">
        <v>2.5</v>
      </c>
      <c r="I761" s="1868">
        <v>2.5</v>
      </c>
      <c r="J761" s="1868">
        <v>3</v>
      </c>
      <c r="K761" s="1868">
        <v>2.6875</v>
      </c>
      <c r="L761" s="1868">
        <v>2.9</v>
      </c>
      <c r="M761" s="1868">
        <v>2.8571400000000002</v>
      </c>
      <c r="N761" s="1868">
        <v>1.3333299999999999</v>
      </c>
      <c r="O761" s="1868">
        <v>2.5</v>
      </c>
      <c r="P761" s="1868">
        <v>3.35</v>
      </c>
      <c r="Q761" s="1868">
        <v>3.25</v>
      </c>
      <c r="R761" s="1868">
        <v>3</v>
      </c>
      <c r="S761" s="1868">
        <v>2</v>
      </c>
      <c r="T761" s="1868">
        <v>2</v>
      </c>
      <c r="U761" s="1868">
        <v>2.2222200000000001</v>
      </c>
      <c r="V761" s="1868">
        <v>1.2069000000000001</v>
      </c>
      <c r="W761" s="1868">
        <v>1.0638299999999998</v>
      </c>
      <c r="X761" s="1868">
        <v>1.39785</v>
      </c>
      <c r="Y761" s="1868">
        <v>1.6246499999999999</v>
      </c>
      <c r="Z761" s="1868">
        <v>0.82467999999999997</v>
      </c>
      <c r="AA761" s="1868">
        <v>0.73272999999999999</v>
      </c>
      <c r="AB761" s="1868">
        <v>1.835</v>
      </c>
      <c r="AC761" s="1868">
        <v>1.8392299999999999</v>
      </c>
      <c r="AD761" s="1868">
        <v>1.5</v>
      </c>
      <c r="AE761" s="1868">
        <v>1.32</v>
      </c>
      <c r="AF761" s="1868">
        <v>1.1299999999999999</v>
      </c>
      <c r="AG761" s="1868">
        <v>0.73171000000000008</v>
      </c>
      <c r="AH761" s="1868">
        <v>1.38117</v>
      </c>
      <c r="AI761" s="1868">
        <v>2.0272700000000001</v>
      </c>
      <c r="AJ761" s="1868">
        <v>1.8333299999999999</v>
      </c>
      <c r="AK761" s="1868">
        <v>2.05714</v>
      </c>
      <c r="AL761" s="1868">
        <v>1.96</v>
      </c>
      <c r="AM761" s="1868">
        <v>1.6440700000000001</v>
      </c>
      <c r="AN761" s="1868">
        <v>1.8888900000000002</v>
      </c>
      <c r="AO761" s="1868">
        <v>1.9750000000000001</v>
      </c>
      <c r="AP761" s="1868">
        <v>1.75</v>
      </c>
      <c r="AQ761" s="1868">
        <v>2</v>
      </c>
      <c r="AR761" s="1868">
        <v>1.85</v>
      </c>
      <c r="AS761" s="1868">
        <v>2</v>
      </c>
      <c r="AT761" s="1868">
        <v>1.9</v>
      </c>
      <c r="AU761" s="1868">
        <v>1.6666700000000001</v>
      </c>
      <c r="AV761" s="1868">
        <v>1.6666700000000001</v>
      </c>
      <c r="AW761" s="1868">
        <v>1.7</v>
      </c>
      <c r="AX761" s="1868">
        <v>1.63636</v>
      </c>
      <c r="AY761" s="1868">
        <v>1.0833299999999999</v>
      </c>
      <c r="AZ761" s="1868">
        <v>0.72726999999999997</v>
      </c>
      <c r="BA761" s="1868">
        <v>1</v>
      </c>
    </row>
    <row r="762" spans="1:53">
      <c r="A762" s="1865" t="str">
        <f t="shared" si="11"/>
        <v>MelanesiaCereals (Rice Milled Eqv</v>
      </c>
      <c r="B762" s="1866" t="s">
        <v>1418</v>
      </c>
      <c r="C762" s="1866" t="s">
        <v>1410</v>
      </c>
      <c r="D762" s="1868">
        <v>1.19363</v>
      </c>
      <c r="E762" s="1868">
        <v>1.2017200000000001</v>
      </c>
      <c r="F762" s="1868">
        <v>1.2317100000000001</v>
      </c>
      <c r="G762" s="1868">
        <v>1.2384200000000001</v>
      </c>
      <c r="H762" s="1868">
        <v>1.2456700000000001</v>
      </c>
      <c r="I762" s="1868">
        <v>1.21286</v>
      </c>
      <c r="J762" s="1868">
        <v>1.23851</v>
      </c>
      <c r="K762" s="1868">
        <v>1.4559899999999999</v>
      </c>
      <c r="L762" s="1868">
        <v>1.2520899999999999</v>
      </c>
      <c r="M762" s="1868">
        <v>1.3334900000000001</v>
      </c>
      <c r="N762" s="1868">
        <v>1.4172</v>
      </c>
      <c r="O762" s="1868">
        <v>1.3809200000000001</v>
      </c>
      <c r="P762" s="1868">
        <v>1.4941799999999998</v>
      </c>
      <c r="Q762" s="1868">
        <v>1.3675700000000002</v>
      </c>
      <c r="R762" s="1868">
        <v>1.4713399999999999</v>
      </c>
      <c r="S762" s="1868">
        <v>1.4993799999999999</v>
      </c>
      <c r="T762" s="1868">
        <v>1.3348599999999999</v>
      </c>
      <c r="U762" s="1868">
        <v>1.38398</v>
      </c>
      <c r="V762" s="1868">
        <v>1.56941</v>
      </c>
      <c r="W762" s="1868">
        <v>1.6423700000000001</v>
      </c>
      <c r="X762" s="1868">
        <v>1.6809599999999998</v>
      </c>
      <c r="Y762" s="1868">
        <v>1.5523400000000001</v>
      </c>
      <c r="Z762" s="1868">
        <v>1.5369899999999999</v>
      </c>
      <c r="AA762" s="1868">
        <v>1.47784</v>
      </c>
      <c r="AB762" s="1868">
        <v>1.6587499999999999</v>
      </c>
      <c r="AC762" s="1868">
        <v>1.53128</v>
      </c>
      <c r="AD762" s="1868">
        <v>1.2491399999999999</v>
      </c>
      <c r="AE762" s="1868">
        <v>1.5560700000000001</v>
      </c>
      <c r="AF762" s="1868">
        <v>1.54586</v>
      </c>
      <c r="AG762" s="1868">
        <v>1.54314</v>
      </c>
      <c r="AH762" s="1868">
        <v>1.5936999999999999</v>
      </c>
      <c r="AI762" s="1868">
        <v>1.56331</v>
      </c>
      <c r="AJ762" s="1868">
        <v>1.65225</v>
      </c>
      <c r="AK762" s="1868">
        <v>1.7829900000000001</v>
      </c>
      <c r="AL762" s="1868">
        <v>1.9879200000000001</v>
      </c>
      <c r="AM762" s="1868">
        <v>1.7778700000000001</v>
      </c>
      <c r="AN762" s="1868">
        <v>1.9504099999999998</v>
      </c>
      <c r="AO762" s="1868">
        <v>1.4094</v>
      </c>
      <c r="AP762" s="1868">
        <v>2.2670300000000001</v>
      </c>
      <c r="AQ762" s="1868">
        <v>2.35371</v>
      </c>
      <c r="AR762" s="1868">
        <v>2.2751399999999999</v>
      </c>
      <c r="AS762" s="1868">
        <v>2.26193</v>
      </c>
      <c r="AT762" s="1868">
        <v>2.2784</v>
      </c>
      <c r="AU762" s="1868">
        <v>2.2666300000000001</v>
      </c>
      <c r="AV762" s="1868">
        <v>2.2818499999999999</v>
      </c>
      <c r="AW762" s="1868">
        <v>2.24858</v>
      </c>
      <c r="AX762" s="1868">
        <v>2.40388</v>
      </c>
      <c r="AY762" s="1868">
        <v>2.4148099999999997</v>
      </c>
      <c r="AZ762" s="1868">
        <v>2.6222500000000002</v>
      </c>
      <c r="BA762" s="1868">
        <v>2.53694</v>
      </c>
    </row>
    <row r="763" spans="1:53">
      <c r="A763" s="1865" t="str">
        <f t="shared" si="11"/>
        <v>MicronesiaBananas</v>
      </c>
      <c r="B763" s="1866" t="s">
        <v>1350</v>
      </c>
      <c r="C763" s="1866" t="s">
        <v>1362</v>
      </c>
      <c r="D763" s="1868">
        <v>5.3666700000000001</v>
      </c>
      <c r="E763" s="1868">
        <v>5.2747400000000004</v>
      </c>
      <c r="F763" s="1868">
        <v>4.9969400000000004</v>
      </c>
      <c r="G763" s="1868">
        <v>4.8574299999999999</v>
      </c>
      <c r="H763" s="1868">
        <v>4.3476900000000001</v>
      </c>
      <c r="I763" s="1868">
        <v>4.4738899999999999</v>
      </c>
      <c r="J763" s="1868">
        <v>4.4734300000000005</v>
      </c>
      <c r="K763" s="1868">
        <v>4.4638499999999999</v>
      </c>
      <c r="L763" s="1868">
        <v>4.4758800000000001</v>
      </c>
      <c r="M763" s="1868">
        <v>4.4391999999999996</v>
      </c>
      <c r="N763" s="1868">
        <v>4.4157000000000002</v>
      </c>
      <c r="O763" s="1868">
        <v>4.6189599999999995</v>
      </c>
      <c r="P763" s="1868">
        <v>4.6439699999999995</v>
      </c>
      <c r="Q763" s="1868">
        <v>4.6285699999999999</v>
      </c>
      <c r="R763" s="1868">
        <v>4.7190099999999999</v>
      </c>
      <c r="S763" s="1868">
        <v>4.62439</v>
      </c>
      <c r="T763" s="1868">
        <v>4.7040300000000004</v>
      </c>
      <c r="U763" s="1868">
        <v>4.7277100000000001</v>
      </c>
      <c r="V763" s="1868">
        <v>4.8361300000000007</v>
      </c>
      <c r="W763" s="1868">
        <v>4.8579400000000001</v>
      </c>
      <c r="X763" s="1868">
        <v>4.9246600000000003</v>
      </c>
      <c r="Y763" s="1868">
        <v>4.90442</v>
      </c>
      <c r="Z763" s="1868">
        <v>4.6611500000000001</v>
      </c>
      <c r="AA763" s="1868">
        <v>4.7058800000000005</v>
      </c>
      <c r="AB763" s="1868">
        <v>4.7561</v>
      </c>
      <c r="AC763" s="1868">
        <v>4.8612900000000003</v>
      </c>
      <c r="AD763" s="1868">
        <v>4.9138599999999997</v>
      </c>
      <c r="AE763" s="1868">
        <v>4.7947499999999996</v>
      </c>
      <c r="AF763" s="1868">
        <v>4.6787199999999993</v>
      </c>
      <c r="AG763" s="1868">
        <v>4.8905000000000003</v>
      </c>
      <c r="AH763" s="1868">
        <v>5.0891400000000004</v>
      </c>
      <c r="AI763" s="1868">
        <v>5.1919500000000003</v>
      </c>
      <c r="AJ763" s="1868">
        <v>5.8785300000000005</v>
      </c>
      <c r="AK763" s="1868">
        <v>5.4125699999999997</v>
      </c>
      <c r="AL763" s="1868">
        <v>5.3503300000000005</v>
      </c>
      <c r="AM763" s="1868">
        <v>5.3209999999999997</v>
      </c>
      <c r="AN763" s="1868">
        <v>4.4968500000000002</v>
      </c>
      <c r="AO763" s="1868">
        <v>4.5086599999999999</v>
      </c>
      <c r="AP763" s="1868">
        <v>4.8953600000000002</v>
      </c>
      <c r="AQ763" s="1868">
        <v>4.4563600000000001</v>
      </c>
      <c r="AR763" s="1868">
        <v>5.6429599999999995</v>
      </c>
      <c r="AS763" s="1868">
        <v>5.2012999999999998</v>
      </c>
      <c r="AT763" s="1868">
        <v>5.1719099999999996</v>
      </c>
      <c r="AU763" s="1868">
        <v>5.0503999999999998</v>
      </c>
      <c r="AV763" s="1868">
        <v>5.5784000000000002</v>
      </c>
      <c r="AW763" s="1868">
        <v>4.72722</v>
      </c>
      <c r="AX763" s="1868">
        <v>5.4853699999999996</v>
      </c>
      <c r="AY763" s="1868">
        <v>5.2172800000000006</v>
      </c>
      <c r="AZ763" s="1868">
        <v>6.0388400000000004</v>
      </c>
      <c r="BA763" s="1868">
        <v>7.7933300000000001</v>
      </c>
    </row>
    <row r="764" spans="1:53">
      <c r="A764" s="1865" t="str">
        <f t="shared" si="11"/>
        <v>MicronesiaCassava</v>
      </c>
      <c r="B764" s="1866" t="s">
        <v>1350</v>
      </c>
      <c r="C764" s="1866" t="s">
        <v>1368</v>
      </c>
      <c r="D764" s="1868">
        <v>10</v>
      </c>
      <c r="E764" s="1868">
        <v>11.11111</v>
      </c>
      <c r="F764" s="1868">
        <v>11.11111</v>
      </c>
      <c r="G764" s="1868">
        <v>11.11111</v>
      </c>
      <c r="H764" s="1868">
        <v>11.11111</v>
      </c>
      <c r="I764" s="1868">
        <v>10</v>
      </c>
      <c r="J764" s="1868">
        <v>9.6153899999999997</v>
      </c>
      <c r="K764" s="1868">
        <v>9.6296300000000006</v>
      </c>
      <c r="L764" s="1868">
        <v>9.3103499999999997</v>
      </c>
      <c r="M764" s="1868">
        <v>9.0322600000000008</v>
      </c>
      <c r="N764" s="1868">
        <v>8.7878799999999995</v>
      </c>
      <c r="O764" s="1868">
        <v>8.8571399999999993</v>
      </c>
      <c r="P764" s="1868">
        <v>8.9333299999999998</v>
      </c>
      <c r="Q764" s="1868">
        <v>9</v>
      </c>
      <c r="R764" s="1868">
        <v>8.9534899999999986</v>
      </c>
      <c r="S764" s="1868">
        <v>9.07104</v>
      </c>
      <c r="T764" s="1868">
        <v>8.8421099999999999</v>
      </c>
      <c r="U764" s="1868">
        <v>8.88889</v>
      </c>
      <c r="V764" s="1868">
        <v>9.1999999999999993</v>
      </c>
      <c r="W764" s="1868">
        <v>9.1428600000000007</v>
      </c>
      <c r="X764" s="1868">
        <v>9.0909100000000009</v>
      </c>
      <c r="Y764" s="1868">
        <v>9.0434800000000006</v>
      </c>
      <c r="Z764" s="1868">
        <v>9.0909100000000009</v>
      </c>
      <c r="AA764" s="1868">
        <v>9.1818200000000001</v>
      </c>
      <c r="AB764" s="1868">
        <v>9.4545499999999993</v>
      </c>
      <c r="AC764" s="1868">
        <v>9.727269999999999</v>
      </c>
      <c r="AD764" s="1868">
        <v>9.9090899999999991</v>
      </c>
      <c r="AE764" s="1868">
        <v>10.090910000000001</v>
      </c>
      <c r="AF764" s="1868">
        <v>10</v>
      </c>
      <c r="AG764" s="1868">
        <v>8.5561500000000006</v>
      </c>
      <c r="AL764" s="1868">
        <v>10.727269999999999</v>
      </c>
      <c r="AM764" s="1868">
        <v>11.203939999999999</v>
      </c>
      <c r="AN764" s="1868">
        <v>9.6088300000000011</v>
      </c>
      <c r="AO764" s="1868">
        <v>10.78758</v>
      </c>
      <c r="AP764" s="1868">
        <v>10.81615</v>
      </c>
      <c r="AQ764" s="1868">
        <v>10.947410000000001</v>
      </c>
      <c r="AR764" s="1868">
        <v>11.44768</v>
      </c>
      <c r="AS764" s="1868">
        <v>12.391529999999999</v>
      </c>
      <c r="AT764" s="1868">
        <v>12.496869999999999</v>
      </c>
      <c r="AU764" s="1868">
        <v>13.10036</v>
      </c>
      <c r="AV764" s="1868">
        <v>12.73875</v>
      </c>
      <c r="AW764" s="1868">
        <v>12.76271</v>
      </c>
      <c r="AX764" s="1868">
        <v>10</v>
      </c>
      <c r="AY764" s="1868">
        <v>9.4</v>
      </c>
      <c r="AZ764" s="1868">
        <v>11.064169999999999</v>
      </c>
      <c r="BA764" s="1868">
        <v>12.625</v>
      </c>
    </row>
    <row r="765" spans="1:53">
      <c r="A765" s="1865" t="str">
        <f t="shared" si="11"/>
        <v>MicronesiaMaize</v>
      </c>
      <c r="B765" s="1866" t="s">
        <v>1350</v>
      </c>
      <c r="C765" s="1866" t="s">
        <v>1382</v>
      </c>
      <c r="D765" s="1868">
        <v>2.2317900000000002</v>
      </c>
      <c r="E765" s="1868">
        <v>1.51563</v>
      </c>
      <c r="F765" s="1868">
        <v>1.8738700000000001</v>
      </c>
      <c r="G765" s="1868">
        <v>1.8677700000000002</v>
      </c>
      <c r="H765" s="1868">
        <v>1.7857099999999999</v>
      </c>
      <c r="I765" s="1868">
        <v>1.19048</v>
      </c>
      <c r="J765" s="1868">
        <v>1.25</v>
      </c>
      <c r="K765" s="1868">
        <v>1.31111</v>
      </c>
      <c r="L765" s="1868">
        <v>1.52</v>
      </c>
      <c r="M765" s="1868">
        <v>1.36</v>
      </c>
      <c r="N765" s="1868">
        <v>1.4</v>
      </c>
      <c r="O765" s="1868">
        <v>1.5</v>
      </c>
      <c r="P765" s="1868">
        <v>1.5</v>
      </c>
      <c r="Q765" s="1868">
        <v>1.5</v>
      </c>
      <c r="R765" s="1868">
        <v>1.5</v>
      </c>
      <c r="S765" s="1868">
        <v>1.5</v>
      </c>
      <c r="T765" s="1868">
        <v>1.5</v>
      </c>
      <c r="U765" s="1868">
        <v>1.52</v>
      </c>
      <c r="V765" s="1868">
        <v>1.5294099999999999</v>
      </c>
      <c r="W765" s="1868">
        <v>1.5490200000000001</v>
      </c>
      <c r="X765" s="1868">
        <v>1.56863</v>
      </c>
      <c r="Y765" s="1868">
        <v>1.56863</v>
      </c>
      <c r="Z765" s="1868">
        <v>1.30233</v>
      </c>
      <c r="AA765" s="1868">
        <v>1.4782600000000001</v>
      </c>
      <c r="AB765" s="1868">
        <v>1.42222</v>
      </c>
      <c r="AC765" s="1868">
        <v>1.4468099999999999</v>
      </c>
      <c r="AD765" s="1868">
        <v>1.4166700000000001</v>
      </c>
      <c r="AE765" s="1868">
        <v>1.3877600000000001</v>
      </c>
      <c r="AF765" s="1868">
        <v>1.36</v>
      </c>
      <c r="AG765" s="1868">
        <v>1.40385</v>
      </c>
      <c r="AH765" s="1868">
        <v>2.125</v>
      </c>
      <c r="AI765" s="1868">
        <v>2.6666699999999999</v>
      </c>
      <c r="AJ765" s="1868">
        <v>1.8</v>
      </c>
      <c r="AK765" s="1868">
        <v>2.375</v>
      </c>
      <c r="AL765" s="1868">
        <v>1.3725499999999999</v>
      </c>
      <c r="AM765" s="1868">
        <v>1.63158</v>
      </c>
      <c r="AN765" s="1868">
        <v>1.5606100000000001</v>
      </c>
      <c r="AO765" s="1868">
        <v>1.36842</v>
      </c>
      <c r="AP765" s="1868">
        <v>1.42424</v>
      </c>
      <c r="AQ765" s="1868">
        <v>1.3506499999999999</v>
      </c>
      <c r="AR765" s="1868">
        <v>1.31429</v>
      </c>
      <c r="AS765" s="1868">
        <v>1.3866700000000001</v>
      </c>
      <c r="AT765" s="1868">
        <v>1.66038</v>
      </c>
      <c r="AU765" s="1868">
        <v>1.48485</v>
      </c>
      <c r="AV765" s="1868">
        <v>1.53521</v>
      </c>
      <c r="AW765" s="1868">
        <v>1.4459500000000001</v>
      </c>
      <c r="AX765" s="1868">
        <v>1.5</v>
      </c>
      <c r="AY765" s="1868">
        <v>1.9682500000000001</v>
      </c>
      <c r="AZ765" s="1868">
        <v>2.1333299999999999</v>
      </c>
      <c r="BA765" s="1868">
        <v>1.5714299999999999</v>
      </c>
    </row>
    <row r="766" spans="1:53">
      <c r="A766" s="1865" t="str">
        <f t="shared" si="11"/>
        <v>MicronesiaOnions, dry</v>
      </c>
      <c r="B766" s="1866" t="s">
        <v>1350</v>
      </c>
      <c r="C766" s="1866" t="s">
        <v>1388</v>
      </c>
      <c r="D766" s="1868">
        <v>20</v>
      </c>
      <c r="E766" s="1868">
        <v>28</v>
      </c>
      <c r="F766" s="1868">
        <v>21</v>
      </c>
      <c r="G766" s="1868">
        <v>6</v>
      </c>
      <c r="H766" s="1868">
        <v>23</v>
      </c>
      <c r="I766" s="1868">
        <v>2.75</v>
      </c>
      <c r="J766" s="1868">
        <v>2.5</v>
      </c>
      <c r="K766" s="1868">
        <v>2.2000000000000002</v>
      </c>
      <c r="L766" s="1868">
        <v>2.8571400000000002</v>
      </c>
      <c r="M766" s="1868">
        <v>1.75</v>
      </c>
      <c r="N766" s="1868">
        <v>2.3636400000000002</v>
      </c>
      <c r="O766" s="1868">
        <v>2.3636400000000002</v>
      </c>
      <c r="P766" s="1868">
        <v>2.2307700000000001</v>
      </c>
      <c r="Q766" s="1868">
        <v>2.38462</v>
      </c>
      <c r="R766" s="1868">
        <v>1.2727299999999999</v>
      </c>
      <c r="S766" s="1868">
        <v>1.3333299999999999</v>
      </c>
      <c r="T766" s="1868">
        <v>1.3333299999999999</v>
      </c>
      <c r="U766" s="1868">
        <v>1.25</v>
      </c>
      <c r="V766" s="1868">
        <v>1.2</v>
      </c>
      <c r="W766" s="1868">
        <v>3</v>
      </c>
      <c r="X766" s="1868">
        <v>7.5</v>
      </c>
      <c r="Y766" s="1868">
        <v>2</v>
      </c>
      <c r="Z766" s="1868">
        <v>3</v>
      </c>
      <c r="AA766" s="1868">
        <v>2.5</v>
      </c>
      <c r="AB766" s="1868">
        <v>2.5</v>
      </c>
      <c r="AC766" s="1868">
        <v>3</v>
      </c>
      <c r="AD766" s="1868">
        <v>4</v>
      </c>
      <c r="AE766" s="1868">
        <v>4</v>
      </c>
      <c r="AF766" s="1868">
        <v>3</v>
      </c>
      <c r="AG766" s="1868">
        <v>2</v>
      </c>
      <c r="AH766" s="1868">
        <v>2</v>
      </c>
      <c r="AI766" s="1868">
        <v>2</v>
      </c>
      <c r="AJ766" s="1868">
        <v>2</v>
      </c>
      <c r="AK766" s="1868">
        <v>2</v>
      </c>
      <c r="AL766" s="1868">
        <v>2</v>
      </c>
      <c r="AM766" s="1868">
        <v>4</v>
      </c>
      <c r="AN766" s="1868">
        <v>2</v>
      </c>
      <c r="AO766" s="1868">
        <v>2</v>
      </c>
      <c r="AP766" s="1868">
        <v>2</v>
      </c>
      <c r="AQ766" s="1868">
        <v>2</v>
      </c>
      <c r="AR766" s="1868">
        <v>2</v>
      </c>
      <c r="AS766" s="1868">
        <v>4</v>
      </c>
      <c r="AT766" s="1868">
        <v>3</v>
      </c>
      <c r="AU766" s="1868">
        <v>2</v>
      </c>
      <c r="AV766" s="1868">
        <v>1.75</v>
      </c>
      <c r="AW766" s="1868">
        <v>2</v>
      </c>
      <c r="AX766" s="1868">
        <v>2</v>
      </c>
      <c r="AY766" s="1868">
        <v>2</v>
      </c>
      <c r="AZ766" s="1868">
        <v>2.2000000000000002</v>
      </c>
      <c r="BA766" s="1868">
        <v>2</v>
      </c>
    </row>
    <row r="767" spans="1:53">
      <c r="A767" s="1865" t="str">
        <f t="shared" si="11"/>
        <v>MicronesiaPlantains</v>
      </c>
      <c r="B767" s="1866" t="s">
        <v>1350</v>
      </c>
      <c r="C767" s="1866" t="s">
        <v>1393</v>
      </c>
      <c r="D767" s="1868">
        <v>0.75</v>
      </c>
      <c r="E767" s="1868">
        <v>0.7</v>
      </c>
      <c r="F767" s="1868">
        <v>0.67227000000000003</v>
      </c>
      <c r="G767" s="1868">
        <v>2.2405300000000001</v>
      </c>
      <c r="H767" s="1868">
        <v>0.74793999999999994</v>
      </c>
      <c r="I767" s="1868">
        <v>0.75</v>
      </c>
      <c r="J767" s="1868">
        <v>0.66666999999999998</v>
      </c>
      <c r="K767" s="1868">
        <v>0.66666999999999998</v>
      </c>
      <c r="L767" s="1868">
        <v>0.66666999999999998</v>
      </c>
      <c r="M767" s="1868">
        <v>0.66666999999999998</v>
      </c>
      <c r="N767" s="1868">
        <v>0.66666999999999998</v>
      </c>
      <c r="O767" s="1868">
        <v>0.66666999999999998</v>
      </c>
      <c r="P767" s="1868">
        <v>0.66666999999999998</v>
      </c>
      <c r="Q767" s="1868">
        <v>0.66666999999999998</v>
      </c>
      <c r="R767" s="1868">
        <v>0.66666999999999998</v>
      </c>
      <c r="S767" s="1868">
        <v>0.66666999999999998</v>
      </c>
      <c r="T767" s="1868">
        <v>0.66666999999999998</v>
      </c>
      <c r="U767" s="1868">
        <v>0.66666999999999998</v>
      </c>
      <c r="V767" s="1868">
        <v>0.66666999999999998</v>
      </c>
      <c r="W767" s="1868">
        <v>0.66666999999999998</v>
      </c>
      <c r="X767" s="1868">
        <v>0.66666999999999998</v>
      </c>
      <c r="Y767" s="1868">
        <v>0.66666999999999998</v>
      </c>
      <c r="Z767" s="1868">
        <v>0.6</v>
      </c>
      <c r="AA767" s="1868">
        <v>0.6</v>
      </c>
      <c r="AB767" s="1868">
        <v>0.6</v>
      </c>
      <c r="AC767" s="1868">
        <v>0.6</v>
      </c>
      <c r="AD767" s="1868">
        <v>0.6</v>
      </c>
      <c r="AE767" s="1868">
        <v>0.6</v>
      </c>
      <c r="AF767" s="1868">
        <v>0.6</v>
      </c>
      <c r="AG767" s="1868">
        <v>0.60428999999999999</v>
      </c>
      <c r="AL767" s="1868">
        <v>0.6</v>
      </c>
      <c r="AM767" s="1868">
        <v>0.63439000000000001</v>
      </c>
      <c r="AN767" s="1868">
        <v>0.61236000000000002</v>
      </c>
      <c r="AO767" s="1868">
        <v>0.6</v>
      </c>
      <c r="AP767" s="1868">
        <v>0.55608999999999997</v>
      </c>
      <c r="AQ767" s="1868">
        <v>0.53066999999999998</v>
      </c>
      <c r="AR767" s="1868">
        <v>0.50513999999999992</v>
      </c>
      <c r="AS767" s="1868">
        <v>0.48618999999999996</v>
      </c>
      <c r="AT767" s="1868">
        <v>0.47246000000000005</v>
      </c>
      <c r="AU767" s="1868">
        <v>0.49531000000000003</v>
      </c>
      <c r="AV767" s="1868">
        <v>0.50863000000000003</v>
      </c>
      <c r="AW767" s="1868">
        <v>0.46221999999999996</v>
      </c>
      <c r="AX767" s="1868">
        <v>0.63636000000000004</v>
      </c>
      <c r="AY767" s="1868">
        <v>0.62075000000000002</v>
      </c>
      <c r="AZ767" s="1868">
        <v>0.56596999999999997</v>
      </c>
      <c r="BA767" s="1868">
        <v>0.50908999999999993</v>
      </c>
    </row>
    <row r="768" spans="1:53">
      <c r="A768" s="1865" t="str">
        <f t="shared" si="11"/>
        <v>MicronesiaRice, paddy</v>
      </c>
      <c r="B768" s="1866" t="s">
        <v>1350</v>
      </c>
      <c r="C768" s="1866" t="s">
        <v>1396</v>
      </c>
      <c r="D768" s="1868">
        <v>0.85714000000000001</v>
      </c>
      <c r="E768" s="1868">
        <v>0.85714000000000001</v>
      </c>
      <c r="F768" s="1868">
        <v>0.875</v>
      </c>
      <c r="G768" s="1868">
        <v>0.875</v>
      </c>
      <c r="H768" s="1868">
        <v>0.875</v>
      </c>
      <c r="I768" s="1868">
        <v>0.8</v>
      </c>
      <c r="J768" s="1868">
        <v>1.09091</v>
      </c>
      <c r="K768" s="1868">
        <v>1.1000000000000001</v>
      </c>
      <c r="L768" s="1868">
        <v>1.125</v>
      </c>
      <c r="M768" s="1868">
        <v>1.04</v>
      </c>
      <c r="N768" s="1868">
        <v>0.96922999999999992</v>
      </c>
      <c r="O768" s="1868">
        <v>0.875</v>
      </c>
      <c r="P768" s="1868">
        <v>0.91249999999999998</v>
      </c>
      <c r="Q768" s="1868">
        <v>0.9375</v>
      </c>
      <c r="R768" s="1868">
        <v>0.97499999999999998</v>
      </c>
      <c r="S768" s="1868">
        <v>1</v>
      </c>
      <c r="T768" s="1868">
        <v>1.0375000000000001</v>
      </c>
      <c r="U768" s="1868">
        <v>1.0625</v>
      </c>
      <c r="V768" s="1868">
        <v>1.0740700000000001</v>
      </c>
      <c r="W768" s="1868">
        <v>1.0843399999999999</v>
      </c>
      <c r="X768" s="1868">
        <v>1.10714</v>
      </c>
      <c r="Y768" s="1868">
        <v>1.1309499999999999</v>
      </c>
      <c r="Z768" s="1868">
        <v>1.0714299999999999</v>
      </c>
      <c r="AA768" s="1868">
        <v>1.1309499999999999</v>
      </c>
      <c r="AB768" s="1868">
        <v>1.125</v>
      </c>
      <c r="AC768" s="1868">
        <v>1.125</v>
      </c>
      <c r="AD768" s="1868">
        <v>1.125</v>
      </c>
      <c r="AE768" s="1868">
        <v>1.125</v>
      </c>
      <c r="AF768" s="1868">
        <v>1.125</v>
      </c>
      <c r="AG768" s="1868">
        <v>1.2</v>
      </c>
      <c r="AL768" s="1868">
        <v>1.125</v>
      </c>
      <c r="AM768" s="1868">
        <v>0.80645</v>
      </c>
      <c r="AN768" s="1868">
        <v>0.64078000000000002</v>
      </c>
      <c r="AO768" s="1868">
        <v>0.79546000000000006</v>
      </c>
      <c r="AP768" s="1868">
        <v>0.79569999999999996</v>
      </c>
      <c r="AQ768" s="1868">
        <v>0.87805</v>
      </c>
      <c r="AR768" s="1868">
        <v>0.75</v>
      </c>
      <c r="AS768" s="1868">
        <v>1.0227299999999999</v>
      </c>
      <c r="AT768" s="1868">
        <v>0.9</v>
      </c>
      <c r="AU768" s="1868">
        <v>0.88234999999999997</v>
      </c>
      <c r="AV768" s="1868">
        <v>0.9375</v>
      </c>
      <c r="AW768" s="1868">
        <v>0.86957000000000007</v>
      </c>
      <c r="AX768" s="1868">
        <v>1.11111</v>
      </c>
      <c r="AY768" s="1868">
        <v>1.28409</v>
      </c>
      <c r="AZ768" s="1868">
        <v>1.3277299999999999</v>
      </c>
      <c r="BA768" s="1868">
        <v>1.7555599999999998</v>
      </c>
    </row>
    <row r="769" spans="1:53">
      <c r="A769" s="1865" t="str">
        <f t="shared" si="11"/>
        <v>MicronesiaRoots and Tubers, nes</v>
      </c>
      <c r="B769" s="1866" t="s">
        <v>1350</v>
      </c>
      <c r="C769" s="1866" t="s">
        <v>1356</v>
      </c>
      <c r="D769" s="1868">
        <v>10.72222</v>
      </c>
      <c r="E769" s="1868">
        <v>10.967269999999999</v>
      </c>
      <c r="F769" s="1868">
        <v>10.967269999999999</v>
      </c>
      <c r="G769" s="1868">
        <v>10.06429</v>
      </c>
      <c r="H769" s="1868">
        <v>8.9600000000000009</v>
      </c>
      <c r="I769" s="1868">
        <v>9.0151500000000002</v>
      </c>
      <c r="J769" s="1868">
        <v>9.6582500000000007</v>
      </c>
      <c r="K769" s="1868">
        <v>10.58394</v>
      </c>
      <c r="L769" s="1868">
        <v>10.60172</v>
      </c>
      <c r="M769" s="1868">
        <v>10.633800000000001</v>
      </c>
      <c r="N769" s="1868">
        <v>9.7271699999999992</v>
      </c>
      <c r="O769" s="1868">
        <v>10.636939999999999</v>
      </c>
      <c r="P769" s="1868">
        <v>10.6357</v>
      </c>
      <c r="Q769" s="1868">
        <v>10.61905</v>
      </c>
      <c r="R769" s="1868">
        <v>10.59633</v>
      </c>
      <c r="S769" s="1868">
        <v>10.59028</v>
      </c>
      <c r="T769" s="1868">
        <v>10.595789999999999</v>
      </c>
      <c r="U769" s="1868">
        <v>10.61321</v>
      </c>
      <c r="V769" s="1868">
        <v>10.607139999999999</v>
      </c>
      <c r="W769" s="1868">
        <v>9.8679500000000004</v>
      </c>
      <c r="X769" s="1868">
        <v>9.7451500000000006</v>
      </c>
      <c r="Y769" s="1868">
        <v>10.61425</v>
      </c>
      <c r="Z769" s="1868">
        <v>10.621119999999999</v>
      </c>
      <c r="AA769" s="1868">
        <v>10.640700000000001</v>
      </c>
      <c r="AB769" s="1868">
        <v>10.6599</v>
      </c>
      <c r="AC769" s="1868">
        <v>10.641030000000001</v>
      </c>
      <c r="AD769" s="1868">
        <v>10.64935</v>
      </c>
      <c r="AE769" s="1868">
        <v>9.2105300000000003</v>
      </c>
      <c r="AF769" s="1868">
        <v>8.9333299999999998</v>
      </c>
      <c r="AG769" s="1868">
        <v>10.81427</v>
      </c>
      <c r="AH769" s="1868">
        <v>11.14972</v>
      </c>
      <c r="AI769" s="1868">
        <v>11.33478</v>
      </c>
      <c r="AJ769" s="1868">
        <v>11.117900000000001</v>
      </c>
      <c r="AK769" s="1868">
        <v>11.112969999999999</v>
      </c>
      <c r="AL769" s="1868">
        <v>11.45157</v>
      </c>
      <c r="AM769" s="1868">
        <v>11.546580000000001</v>
      </c>
      <c r="AN769" s="1868">
        <v>11.37842</v>
      </c>
      <c r="AO769" s="1868">
        <v>11.736980000000001</v>
      </c>
      <c r="AP769" s="1868">
        <v>11.509410000000001</v>
      </c>
      <c r="AQ769" s="1868">
        <v>11.433160000000001</v>
      </c>
      <c r="AR769" s="1868">
        <v>11.518189999999999</v>
      </c>
      <c r="AS769" s="1868">
        <v>10.459769999999999</v>
      </c>
      <c r="AT769" s="1868">
        <v>10.364289999999999</v>
      </c>
      <c r="AU769" s="1868">
        <v>10.578950000000001</v>
      </c>
      <c r="AV769" s="1868">
        <v>10.20518</v>
      </c>
      <c r="AW769" s="1868">
        <v>10.46748</v>
      </c>
      <c r="AX769" s="1868">
        <v>10</v>
      </c>
      <c r="AY769" s="1868">
        <v>9.1495499999999996</v>
      </c>
      <c r="AZ769" s="1868">
        <v>10.044750000000001</v>
      </c>
      <c r="BA769" s="1868">
        <v>9.4067799999999995</v>
      </c>
    </row>
    <row r="770" spans="1:53">
      <c r="A770" s="1865" t="str">
        <f t="shared" si="11"/>
        <v>MicronesiaSorghum</v>
      </c>
      <c r="B770" s="1866" t="s">
        <v>1350</v>
      </c>
      <c r="C770" s="1866" t="s">
        <v>1399</v>
      </c>
      <c r="D770" s="1868">
        <v>3</v>
      </c>
      <c r="E770" s="1868">
        <v>3.375</v>
      </c>
      <c r="F770" s="1868">
        <v>2.5</v>
      </c>
      <c r="G770" s="1868">
        <v>2.5</v>
      </c>
      <c r="H770" s="1868">
        <v>2.5</v>
      </c>
      <c r="I770" s="1868">
        <v>2.5</v>
      </c>
      <c r="J770" s="1868">
        <v>2.5</v>
      </c>
      <c r="K770" s="1868">
        <v>2.5</v>
      </c>
      <c r="L770" s="1868">
        <v>2.5</v>
      </c>
      <c r="M770" s="1868">
        <v>2.5</v>
      </c>
      <c r="N770" s="1868">
        <v>2.5</v>
      </c>
      <c r="O770" s="1868">
        <v>2.5</v>
      </c>
      <c r="P770" s="1868">
        <v>2.5</v>
      </c>
      <c r="Q770" s="1868">
        <v>2.5</v>
      </c>
      <c r="R770" s="1868">
        <v>2.5</v>
      </c>
      <c r="S770" s="1868">
        <v>2.5</v>
      </c>
      <c r="T770" s="1868">
        <v>2.5</v>
      </c>
      <c r="U770" s="1868">
        <v>2.5</v>
      </c>
      <c r="V770" s="1868">
        <v>2.5</v>
      </c>
      <c r="W770" s="1868">
        <v>2.5</v>
      </c>
      <c r="X770" s="1868">
        <v>2.5</v>
      </c>
      <c r="Y770" s="1868">
        <v>2.5</v>
      </c>
      <c r="Z770" s="1868">
        <v>2.5</v>
      </c>
      <c r="AA770" s="1868">
        <v>2.5</v>
      </c>
      <c r="AB770" s="1868">
        <v>2.5</v>
      </c>
      <c r="AC770" s="1868">
        <v>2.5</v>
      </c>
      <c r="AD770" s="1868">
        <v>2.5</v>
      </c>
      <c r="AE770" s="1868">
        <v>2.5</v>
      </c>
      <c r="AF770" s="1868">
        <v>2.5</v>
      </c>
      <c r="AG770" s="1868">
        <v>4</v>
      </c>
      <c r="AL770" s="1868">
        <v>2.5</v>
      </c>
      <c r="AM770" s="1868">
        <v>2.1666699999999999</v>
      </c>
      <c r="AN770" s="1868">
        <v>3</v>
      </c>
      <c r="AO770" s="1868">
        <v>2.25</v>
      </c>
      <c r="AP770" s="1868">
        <v>2.75</v>
      </c>
      <c r="AQ770" s="1868">
        <v>3</v>
      </c>
      <c r="AR770" s="1868">
        <v>2.75</v>
      </c>
      <c r="AS770" s="1868">
        <v>2.5</v>
      </c>
      <c r="AT770" s="1868">
        <v>2</v>
      </c>
      <c r="AU770" s="1868">
        <v>2.5</v>
      </c>
      <c r="AV770" s="1868">
        <v>2.5</v>
      </c>
      <c r="AW770" s="1868">
        <v>2.5</v>
      </c>
      <c r="AX770" s="1868">
        <v>2.4</v>
      </c>
      <c r="AY770" s="1868">
        <v>1.5</v>
      </c>
      <c r="AZ770" s="1868">
        <v>1.7142900000000001</v>
      </c>
      <c r="BA770" s="1868">
        <v>1.2</v>
      </c>
    </row>
    <row r="771" spans="1:53">
      <c r="A771" s="1865" t="str">
        <f t="shared" si="11"/>
        <v>MicronesiaSweet potatoes</v>
      </c>
      <c r="B771" s="1866" t="s">
        <v>1350</v>
      </c>
      <c r="C771" s="1866" t="s">
        <v>1403</v>
      </c>
      <c r="D771" s="1868">
        <v>4.3017300000000001</v>
      </c>
      <c r="E771" s="1868">
        <v>4.13551</v>
      </c>
      <c r="F771" s="1868">
        <v>4.2512600000000003</v>
      </c>
      <c r="G771" s="1868">
        <v>6.2252599999999996</v>
      </c>
      <c r="H771" s="1868">
        <v>6.9619999999999997</v>
      </c>
      <c r="I771" s="1868">
        <v>6.9544399999999991</v>
      </c>
      <c r="J771" s="1868">
        <v>6.9544399999999991</v>
      </c>
      <c r="K771" s="1868">
        <v>6.9544399999999991</v>
      </c>
      <c r="L771" s="1868">
        <v>7.1140100000000004</v>
      </c>
      <c r="M771" s="1868">
        <v>7.0546300000000004</v>
      </c>
      <c r="N771" s="1868">
        <v>7.0333300000000003</v>
      </c>
      <c r="O771" s="1868">
        <v>6.970089999999999</v>
      </c>
      <c r="P771" s="1868">
        <v>7.1948600000000003</v>
      </c>
      <c r="Q771" s="1868">
        <v>7.1923100000000009</v>
      </c>
      <c r="R771" s="1868">
        <v>7.1781100000000002</v>
      </c>
      <c r="S771" s="1868">
        <v>6.8453600000000003</v>
      </c>
      <c r="T771" s="1868">
        <v>6.9917699999999998</v>
      </c>
      <c r="U771" s="1868">
        <v>7.0382300000000004</v>
      </c>
      <c r="V771" s="1868">
        <v>6.9033499999999997</v>
      </c>
      <c r="W771" s="1868">
        <v>6.7466200000000001</v>
      </c>
      <c r="X771" s="1868">
        <v>6.8557899999999998</v>
      </c>
      <c r="Y771" s="1868">
        <v>6.7528699999999997</v>
      </c>
      <c r="Z771" s="1868">
        <v>6.4245999999999999</v>
      </c>
      <c r="AA771" s="1868">
        <v>6.6594499999999996</v>
      </c>
      <c r="AB771" s="1868">
        <v>6.6686500000000004</v>
      </c>
      <c r="AC771" s="1868">
        <v>6.5776000000000003</v>
      </c>
      <c r="AD771" s="1868">
        <v>6.5273400000000006</v>
      </c>
      <c r="AE771" s="1868">
        <v>6.5371100000000002</v>
      </c>
      <c r="AF771" s="1868">
        <v>5.9338499999999996</v>
      </c>
      <c r="AG771" s="1868">
        <v>5.5152599999999996</v>
      </c>
      <c r="AH771" s="1868">
        <v>13.25</v>
      </c>
      <c r="AI771" s="1868">
        <v>13.75</v>
      </c>
      <c r="AJ771" s="1868">
        <v>13</v>
      </c>
      <c r="AK771" s="1868">
        <v>12.25</v>
      </c>
      <c r="AL771" s="1868">
        <v>5.9338499999999996</v>
      </c>
      <c r="AM771" s="1868">
        <v>5.8654999999999999</v>
      </c>
      <c r="AN771" s="1868">
        <v>5.9359199999999994</v>
      </c>
      <c r="AO771" s="1868">
        <v>5.8200799999999999</v>
      </c>
      <c r="AP771" s="1868">
        <v>6.1888300000000003</v>
      </c>
      <c r="AQ771" s="1868">
        <v>6.1882099999999998</v>
      </c>
      <c r="AR771" s="1868">
        <v>6.3519199999999998</v>
      </c>
      <c r="AS771" s="1868">
        <v>6.4382199999999994</v>
      </c>
      <c r="AT771" s="1868">
        <v>7.1219999999999999</v>
      </c>
      <c r="AU771" s="1868">
        <v>6.5889300000000004</v>
      </c>
      <c r="AV771" s="1868">
        <v>6.1522199999999998</v>
      </c>
      <c r="AW771" s="1868">
        <v>6.6415800000000003</v>
      </c>
      <c r="AX771" s="1868">
        <v>5.9570699999999999</v>
      </c>
      <c r="AY771" s="1868">
        <v>4.0260099999999994</v>
      </c>
      <c r="AZ771" s="1868">
        <v>5.7007400000000006</v>
      </c>
      <c r="BA771" s="1868">
        <v>5.55</v>
      </c>
    </row>
    <row r="772" spans="1:53">
      <c r="A772" s="1865" t="str">
        <f t="shared" ref="A772:A835" si="12">CONCATENATE(B772,C772)</f>
        <v>MicronesiaTomatoes</v>
      </c>
      <c r="B772" s="1866" t="s">
        <v>1350</v>
      </c>
      <c r="C772" s="1866" t="s">
        <v>1406</v>
      </c>
      <c r="D772" s="1868">
        <v>3.5</v>
      </c>
      <c r="E772" s="1868">
        <v>6.7777799999999999</v>
      </c>
      <c r="F772" s="1868">
        <v>2.2222200000000001</v>
      </c>
      <c r="G772" s="1868">
        <v>3.0833300000000001</v>
      </c>
      <c r="H772" s="1868">
        <v>2.2391299999999998</v>
      </c>
      <c r="I772" s="1868">
        <v>2.2391299999999998</v>
      </c>
      <c r="K772" s="1868">
        <v>2.5730299999999997</v>
      </c>
      <c r="L772" s="1868">
        <v>2.5923099999999999</v>
      </c>
      <c r="M772" s="1868">
        <v>2</v>
      </c>
      <c r="N772" s="1868">
        <v>3.7666699999999995</v>
      </c>
      <c r="O772" s="1868">
        <v>1.7777799999999999</v>
      </c>
      <c r="P772" s="1868">
        <v>2.8</v>
      </c>
      <c r="Q772" s="1868">
        <v>2.8333300000000001</v>
      </c>
      <c r="R772" s="1868">
        <v>1.5</v>
      </c>
      <c r="S772" s="1868">
        <v>0.74073999999999995</v>
      </c>
      <c r="T772" s="1868">
        <v>3.61111</v>
      </c>
      <c r="U772" s="1868">
        <v>9.4</v>
      </c>
      <c r="V772" s="1868">
        <v>0.7</v>
      </c>
      <c r="W772" s="1868">
        <v>10</v>
      </c>
      <c r="X772" s="1868">
        <v>2.8333300000000001</v>
      </c>
      <c r="Y772" s="1868">
        <v>6.1666699999999999</v>
      </c>
      <c r="Z772" s="1868">
        <v>5.9166699999999999</v>
      </c>
      <c r="AA772" s="1868">
        <v>1.8</v>
      </c>
      <c r="AB772" s="1868">
        <v>6.1666699999999999</v>
      </c>
      <c r="AC772" s="1868">
        <v>9</v>
      </c>
      <c r="AD772" s="1868">
        <v>9.1999999999999993</v>
      </c>
      <c r="AE772" s="1868">
        <v>9.4285700000000006</v>
      </c>
      <c r="AF772" s="1868">
        <v>10.83333</v>
      </c>
      <c r="AG772" s="1868">
        <v>12</v>
      </c>
      <c r="AH772" s="1868">
        <v>13.6</v>
      </c>
      <c r="AI772" s="1868">
        <v>12.4</v>
      </c>
      <c r="AJ772" s="1868">
        <v>10.6</v>
      </c>
      <c r="AK772" s="1868">
        <v>14</v>
      </c>
      <c r="AL772" s="1868">
        <v>14.4</v>
      </c>
      <c r="AM772" s="1868">
        <v>15.4</v>
      </c>
      <c r="AN772" s="1868">
        <v>16.2</v>
      </c>
      <c r="AO772" s="1868">
        <v>15.6</v>
      </c>
      <c r="AP772" s="1868">
        <v>16.8</v>
      </c>
      <c r="AQ772" s="1868">
        <v>17.399999999999999</v>
      </c>
      <c r="AR772" s="1868">
        <v>22.4</v>
      </c>
      <c r="AS772" s="1868">
        <v>12</v>
      </c>
      <c r="AT772" s="1868">
        <v>12.11111</v>
      </c>
      <c r="AU772" s="1868">
        <v>13.3</v>
      </c>
      <c r="AV772" s="1868">
        <v>12.88889</v>
      </c>
      <c r="AW772" s="1868">
        <v>11.66667</v>
      </c>
      <c r="AX772" s="1868">
        <v>10.66667</v>
      </c>
      <c r="AY772" s="1868">
        <v>15.84615</v>
      </c>
      <c r="AZ772" s="1868">
        <v>16.928570000000001</v>
      </c>
      <c r="BA772" s="1868">
        <v>16.66667</v>
      </c>
    </row>
    <row r="773" spans="1:53">
      <c r="A773" s="1865" t="str">
        <f t="shared" si="12"/>
        <v>MicronesiaVegetables fresh nes</v>
      </c>
      <c r="B773" s="1866" t="s">
        <v>1350</v>
      </c>
      <c r="C773" s="1866" t="s">
        <v>1407</v>
      </c>
      <c r="D773" s="1868">
        <v>11.353210000000001</v>
      </c>
      <c r="E773" s="1868">
        <v>11.37086</v>
      </c>
      <c r="F773" s="1868">
        <v>11.42553</v>
      </c>
      <c r="G773" s="1868">
        <v>11.39676</v>
      </c>
      <c r="H773" s="1868">
        <v>11.311160000000001</v>
      </c>
      <c r="I773" s="1868">
        <v>11.14723</v>
      </c>
      <c r="J773" s="1868">
        <v>11.198499999999999</v>
      </c>
      <c r="K773" s="1868">
        <v>11.139239999999999</v>
      </c>
      <c r="L773" s="1868">
        <v>11.1775</v>
      </c>
      <c r="M773" s="1868">
        <v>11.262980000000001</v>
      </c>
      <c r="N773" s="1868">
        <v>11.25407</v>
      </c>
      <c r="O773" s="1868">
        <v>11.10942</v>
      </c>
      <c r="P773" s="1868">
        <v>11.185410000000001</v>
      </c>
      <c r="Q773" s="1868">
        <v>11.14925</v>
      </c>
      <c r="R773" s="1868">
        <v>11.238810000000001</v>
      </c>
      <c r="S773" s="1868">
        <v>11.41553</v>
      </c>
      <c r="T773" s="1868">
        <v>11.313560000000001</v>
      </c>
      <c r="U773" s="1868">
        <v>11.38255</v>
      </c>
      <c r="V773" s="1868">
        <v>11.288180000000001</v>
      </c>
      <c r="W773" s="1868">
        <v>11.329789999999999</v>
      </c>
      <c r="X773" s="1868">
        <v>11.428570000000001</v>
      </c>
      <c r="Y773" s="1868">
        <v>11.42497</v>
      </c>
      <c r="Z773" s="1868">
        <v>11.474769999999999</v>
      </c>
      <c r="AA773" s="1868">
        <v>11.425319999999999</v>
      </c>
      <c r="AB773" s="1868">
        <v>11.719749999999999</v>
      </c>
      <c r="AC773" s="1868">
        <v>11.860760000000001</v>
      </c>
      <c r="AD773" s="1868">
        <v>11.735849999999999</v>
      </c>
      <c r="AE773" s="1868">
        <v>11.36646</v>
      </c>
      <c r="AF773" s="1868">
        <v>11.11111</v>
      </c>
      <c r="AG773" s="1868">
        <v>11.932269999999999</v>
      </c>
      <c r="AH773" s="1868">
        <v>12.074769999999999</v>
      </c>
      <c r="AI773" s="1868">
        <v>12.118739999999999</v>
      </c>
      <c r="AJ773" s="1868">
        <v>16.332079999999998</v>
      </c>
      <c r="AK773" s="1868">
        <v>14.434379999999999</v>
      </c>
      <c r="AL773" s="1868">
        <v>11.917760000000001</v>
      </c>
      <c r="AM773" s="1868">
        <v>13.06743</v>
      </c>
      <c r="AN773" s="1868">
        <v>12.8445</v>
      </c>
      <c r="AO773" s="1868">
        <v>12.41649</v>
      </c>
      <c r="AP773" s="1868">
        <v>13.239420000000001</v>
      </c>
      <c r="AQ773" s="1868">
        <v>12.59919</v>
      </c>
      <c r="AR773" s="1868">
        <v>13.637229999999999</v>
      </c>
      <c r="AS773" s="1868">
        <v>14.455500000000001</v>
      </c>
      <c r="AT773" s="1868">
        <v>12.401019999999999</v>
      </c>
      <c r="AU773" s="1868">
        <v>13.01328</v>
      </c>
      <c r="AV773" s="1868">
        <v>11.44468</v>
      </c>
      <c r="AW773" s="1868">
        <v>13.126029999999998</v>
      </c>
      <c r="AX773" s="1868">
        <v>11.578430000000001</v>
      </c>
      <c r="AY773" s="1868">
        <v>13.33371</v>
      </c>
      <c r="AZ773" s="1868">
        <v>12.8781</v>
      </c>
      <c r="BA773" s="1868">
        <v>12.52041</v>
      </c>
    </row>
    <row r="774" spans="1:53">
      <c r="A774" s="1865" t="str">
        <f t="shared" si="12"/>
        <v>MicronesiaCereals (Rice Milled Eqv</v>
      </c>
      <c r="B774" s="1866" t="s">
        <v>1350</v>
      </c>
      <c r="C774" s="1866" t="s">
        <v>1410</v>
      </c>
      <c r="D774" s="1868">
        <v>2.1890200000000002</v>
      </c>
      <c r="E774" s="1868">
        <v>1.5555600000000001</v>
      </c>
      <c r="F774" s="1868">
        <v>1.81033</v>
      </c>
      <c r="G774" s="1868">
        <v>1.80955</v>
      </c>
      <c r="H774" s="1868">
        <v>1.7032900000000002</v>
      </c>
      <c r="I774" s="1868">
        <v>1.1147499999999999</v>
      </c>
      <c r="J774" s="1868">
        <v>1.1572899999999999</v>
      </c>
      <c r="K774" s="1868">
        <v>1.1520299999999999</v>
      </c>
      <c r="L774" s="1868">
        <v>1.2341500000000001</v>
      </c>
      <c r="M774" s="1868">
        <v>1.0834600000000001</v>
      </c>
      <c r="N774" s="1868">
        <v>1.02538</v>
      </c>
      <c r="O774" s="1868">
        <v>0.98276000000000008</v>
      </c>
      <c r="P774" s="1868">
        <v>0.99768999999999997</v>
      </c>
      <c r="Q774" s="1868">
        <v>1.0076100000000001</v>
      </c>
      <c r="R774" s="1868">
        <v>1.02261</v>
      </c>
      <c r="S774" s="1868">
        <v>1.03254</v>
      </c>
      <c r="T774" s="1868">
        <v>1.0474600000000001</v>
      </c>
      <c r="U774" s="1868">
        <v>1.0648500000000001</v>
      </c>
      <c r="V774" s="1868">
        <v>1.07375</v>
      </c>
      <c r="W774" s="1868">
        <v>1.0799299999999998</v>
      </c>
      <c r="X774" s="1868">
        <v>1.0937399999999999</v>
      </c>
      <c r="Y774" s="1868">
        <v>1.10331</v>
      </c>
      <c r="Z774" s="1868">
        <v>0.96206000000000003</v>
      </c>
      <c r="AA774" s="1868">
        <v>1.0549299999999999</v>
      </c>
      <c r="AB774" s="1868">
        <v>1.0389899999999999</v>
      </c>
      <c r="AC774" s="1868">
        <v>1.05366</v>
      </c>
      <c r="AD774" s="1868">
        <v>1.0456799999999999</v>
      </c>
      <c r="AE774" s="1868">
        <v>1.03782</v>
      </c>
      <c r="AF774" s="1868">
        <v>1.0300799999999999</v>
      </c>
      <c r="AG774" s="1868">
        <v>1.07216</v>
      </c>
      <c r="AH774" s="1868">
        <v>2.125</v>
      </c>
      <c r="AI774" s="1868">
        <v>2.6666699999999999</v>
      </c>
      <c r="AJ774" s="1868">
        <v>1.8</v>
      </c>
      <c r="AK774" s="1868">
        <v>2.375</v>
      </c>
      <c r="AL774" s="1868">
        <v>1.0372600000000001</v>
      </c>
      <c r="AM774" s="1868">
        <v>1.00013</v>
      </c>
      <c r="AN774" s="1868">
        <v>0.91918999999999995</v>
      </c>
      <c r="AO774" s="1868">
        <v>0.89724999999999999</v>
      </c>
      <c r="AP774" s="1868">
        <v>0.94699</v>
      </c>
      <c r="AQ774" s="1868">
        <v>1.0062599999999999</v>
      </c>
      <c r="AR774" s="1868">
        <v>0.86280000000000001</v>
      </c>
      <c r="AS774" s="1868">
        <v>1.0421</v>
      </c>
      <c r="AT774" s="1868">
        <v>1.0001899999999999</v>
      </c>
      <c r="AU774" s="1868">
        <v>0.97692000000000012</v>
      </c>
      <c r="AV774" s="1868">
        <v>1.0469600000000001</v>
      </c>
      <c r="AW774" s="1868">
        <v>1.0021200000000001</v>
      </c>
      <c r="AX774" s="1868">
        <v>1.08839</v>
      </c>
      <c r="AY774" s="1868">
        <v>1.3293700000000002</v>
      </c>
      <c r="AZ774" s="1868">
        <v>1.3192999999999999</v>
      </c>
      <c r="BA774" s="1868">
        <v>1.3375900000000001</v>
      </c>
    </row>
    <row r="775" spans="1:53">
      <c r="A775" s="1865" t="str">
        <f t="shared" si="12"/>
        <v>Middle AfricaBananas</v>
      </c>
      <c r="B775" s="1866" t="s">
        <v>1348</v>
      </c>
      <c r="C775" s="1866" t="s">
        <v>1362</v>
      </c>
      <c r="D775" s="1868">
        <v>5.9564599999999999</v>
      </c>
      <c r="E775" s="1868">
        <v>6.0627000000000004</v>
      </c>
      <c r="F775" s="1868">
        <v>5.9978999999999996</v>
      </c>
      <c r="G775" s="1868">
        <v>6.1029400000000003</v>
      </c>
      <c r="H775" s="1868">
        <v>6.0256499999999997</v>
      </c>
      <c r="I775" s="1868">
        <v>6.0162699999999996</v>
      </c>
      <c r="J775" s="1868">
        <v>6.0831</v>
      </c>
      <c r="K775" s="1868">
        <v>6.1520199999999994</v>
      </c>
      <c r="L775" s="1868">
        <v>6.08026</v>
      </c>
      <c r="M775" s="1868">
        <v>6.6277800000000004</v>
      </c>
      <c r="N775" s="1868">
        <v>6.6900300000000001</v>
      </c>
      <c r="O775" s="1868">
        <v>6.2514799999999999</v>
      </c>
      <c r="P775" s="1868">
        <v>6.8838899999999992</v>
      </c>
      <c r="Q775" s="1868">
        <v>7.1062500000000002</v>
      </c>
      <c r="R775" s="1868">
        <v>6.7047600000000003</v>
      </c>
      <c r="S775" s="1868">
        <v>7.2975399999999997</v>
      </c>
      <c r="T775" s="1868">
        <v>7.3541899999999991</v>
      </c>
      <c r="U775" s="1868">
        <v>7.5425199999999997</v>
      </c>
      <c r="V775" s="1868">
        <v>7.8812300000000004</v>
      </c>
      <c r="W775" s="1868">
        <v>7.915210000000001</v>
      </c>
      <c r="X775" s="1868">
        <v>8.0049299999999999</v>
      </c>
      <c r="Y775" s="1868">
        <v>8.1078299999999999</v>
      </c>
      <c r="Z775" s="1868">
        <v>8.3444800000000008</v>
      </c>
      <c r="AA775" s="1868">
        <v>8.4032499999999999</v>
      </c>
      <c r="AB775" s="1868">
        <v>8.31738</v>
      </c>
      <c r="AC775" s="1868">
        <v>8.1137999999999995</v>
      </c>
      <c r="AD775" s="1868">
        <v>7.81508</v>
      </c>
      <c r="AE775" s="1868">
        <v>7.0154800000000002</v>
      </c>
      <c r="AF775" s="1868">
        <v>6.84328</v>
      </c>
      <c r="AG775" s="1868">
        <v>8.0898099999999999</v>
      </c>
      <c r="AH775" s="1868">
        <v>8.2697699999999994</v>
      </c>
      <c r="AI775" s="1868">
        <v>8.326080000000001</v>
      </c>
      <c r="AJ775" s="1868">
        <v>7.8725600000000009</v>
      </c>
      <c r="AK775" s="1868">
        <v>7.9288300000000005</v>
      </c>
      <c r="AL775" s="1868">
        <v>10.05925</v>
      </c>
      <c r="AM775" s="1868">
        <v>9.6227900000000002</v>
      </c>
      <c r="AN775" s="1868">
        <v>8.0241600000000002</v>
      </c>
      <c r="AO775" s="1868">
        <v>7.6788300000000005</v>
      </c>
      <c r="AP775" s="1868">
        <v>6.6071300000000006</v>
      </c>
      <c r="AQ775" s="1868">
        <v>6.0912499999999996</v>
      </c>
      <c r="AR775" s="1868">
        <v>6.8714899999999997</v>
      </c>
      <c r="AS775" s="1868">
        <v>6.75943</v>
      </c>
      <c r="AT775" s="1868">
        <v>7.0884199999999993</v>
      </c>
      <c r="AU775" s="1868">
        <v>7.3230300000000002</v>
      </c>
      <c r="AV775" s="1868">
        <v>7.4142800000000006</v>
      </c>
      <c r="AW775" s="1868">
        <v>7.6268899999999995</v>
      </c>
      <c r="AX775" s="1868">
        <v>9.2503499999999992</v>
      </c>
      <c r="AY775" s="1868">
        <v>9.4001000000000001</v>
      </c>
      <c r="AZ775" s="1868">
        <v>8.9832900000000002</v>
      </c>
      <c r="BA775" s="1868">
        <v>8.9995399999999997</v>
      </c>
    </row>
    <row r="776" spans="1:53">
      <c r="A776" s="1865" t="str">
        <f t="shared" si="12"/>
        <v>Middle AfricaBarley</v>
      </c>
      <c r="B776" s="1866" t="s">
        <v>1348</v>
      </c>
      <c r="C776" s="1866" t="s">
        <v>1363</v>
      </c>
      <c r="D776" s="1868">
        <v>0.62713999999999992</v>
      </c>
      <c r="E776" s="1868">
        <v>0.62713999999999992</v>
      </c>
      <c r="F776" s="1868">
        <v>0.56000000000000005</v>
      </c>
      <c r="G776" s="1868">
        <v>0.50286000000000008</v>
      </c>
      <c r="H776" s="1868">
        <v>0.45466999999999996</v>
      </c>
      <c r="I776" s="1868">
        <v>0.45476000000000005</v>
      </c>
      <c r="J776" s="1868">
        <v>0.45465</v>
      </c>
      <c r="K776" s="1868">
        <v>0.67332999999999998</v>
      </c>
      <c r="L776" s="1868">
        <v>0.76212000000000002</v>
      </c>
      <c r="M776" s="1868">
        <v>0.79</v>
      </c>
      <c r="N776" s="1868">
        <v>0.8</v>
      </c>
      <c r="O776" s="1868">
        <v>0.74073999999999995</v>
      </c>
      <c r="P776" s="1868">
        <v>0.65217000000000003</v>
      </c>
      <c r="Q776" s="1868">
        <v>0.90952999999999995</v>
      </c>
      <c r="R776" s="1868">
        <v>1.19943</v>
      </c>
      <c r="S776" s="1868">
        <v>0.6</v>
      </c>
      <c r="T776" s="1868">
        <v>0.6</v>
      </c>
      <c r="U776" s="1868">
        <v>0.6</v>
      </c>
      <c r="V776" s="1868">
        <v>0.6</v>
      </c>
      <c r="W776" s="1868">
        <v>0.6</v>
      </c>
      <c r="X776" s="1868">
        <v>0.6</v>
      </c>
      <c r="Y776" s="1868">
        <v>0.6</v>
      </c>
      <c r="Z776" s="1868">
        <v>0.6</v>
      </c>
      <c r="AA776" s="1868">
        <v>0.6</v>
      </c>
      <c r="AB776" s="1868">
        <v>0.6</v>
      </c>
      <c r="AC776" s="1868">
        <v>0.6</v>
      </c>
      <c r="AD776" s="1868">
        <v>0.60345000000000004</v>
      </c>
      <c r="AE776" s="1868">
        <v>0.60345000000000004</v>
      </c>
      <c r="AF776" s="1868">
        <v>0.60345000000000004</v>
      </c>
      <c r="AG776" s="1868">
        <v>0.60196000000000005</v>
      </c>
      <c r="AH776" s="1868">
        <v>0.58131999999999995</v>
      </c>
      <c r="AI776" s="1868">
        <v>0.56706999999999996</v>
      </c>
      <c r="AJ776" s="1868">
        <v>0.57266000000000006</v>
      </c>
      <c r="AK776" s="1868">
        <v>0.61538999999999999</v>
      </c>
      <c r="AL776" s="1868">
        <v>0.59333000000000002</v>
      </c>
      <c r="AM776" s="1868">
        <v>0.60582000000000003</v>
      </c>
      <c r="AN776" s="1868">
        <v>0.62226000000000004</v>
      </c>
      <c r="AO776" s="1868">
        <v>0.62963000000000002</v>
      </c>
      <c r="AP776" s="1868">
        <v>0.64285999999999999</v>
      </c>
      <c r="AQ776" s="1868">
        <v>0.64102999999999999</v>
      </c>
      <c r="AR776" s="1868">
        <v>0.65188999999999997</v>
      </c>
      <c r="AS776" s="1868">
        <v>0.6502</v>
      </c>
      <c r="AT776" s="1868">
        <v>0.64851000000000003</v>
      </c>
      <c r="AU776" s="1868">
        <v>0.64927999999999997</v>
      </c>
      <c r="AV776" s="1868">
        <v>0.64741000000000004</v>
      </c>
      <c r="AW776" s="1868">
        <v>0.64966000000000002</v>
      </c>
      <c r="AX776" s="1868">
        <v>0.64823999999999993</v>
      </c>
      <c r="AY776" s="1868">
        <v>0.64483000000000001</v>
      </c>
      <c r="AZ776" s="1868">
        <v>0.65790000000000004</v>
      </c>
      <c r="BA776" s="1868">
        <v>0.66666999999999998</v>
      </c>
    </row>
    <row r="777" spans="1:53">
      <c r="A777" s="1865" t="str">
        <f t="shared" si="12"/>
        <v>Middle AfricaBeans, dry</v>
      </c>
      <c r="B777" s="1866" t="s">
        <v>1348</v>
      </c>
      <c r="C777" s="1866" t="s">
        <v>1364</v>
      </c>
      <c r="D777" s="1868">
        <v>0.41749999999999998</v>
      </c>
      <c r="E777" s="1868">
        <v>0.45811999999999997</v>
      </c>
      <c r="F777" s="1868">
        <v>0.46728999999999998</v>
      </c>
      <c r="G777" s="1868">
        <v>0.48831999999999998</v>
      </c>
      <c r="H777" s="1868">
        <v>0.48721000000000003</v>
      </c>
      <c r="I777" s="1868">
        <v>0.50165999999999999</v>
      </c>
      <c r="J777" s="1868">
        <v>0.49869999999999998</v>
      </c>
      <c r="K777" s="1868">
        <v>0.50126999999999999</v>
      </c>
      <c r="L777" s="1868">
        <v>0.49145</v>
      </c>
      <c r="M777" s="1868">
        <v>0.50596000000000008</v>
      </c>
      <c r="N777" s="1868">
        <v>0.51851000000000003</v>
      </c>
      <c r="O777" s="1868">
        <v>0.52653000000000005</v>
      </c>
      <c r="P777" s="1868">
        <v>0.54178999999999999</v>
      </c>
      <c r="Q777" s="1868">
        <v>0.54643999999999993</v>
      </c>
      <c r="R777" s="1868">
        <v>0.54996</v>
      </c>
      <c r="S777" s="1868">
        <v>0.55920000000000003</v>
      </c>
      <c r="T777" s="1868">
        <v>0.54600000000000004</v>
      </c>
      <c r="U777" s="1868">
        <v>0.50301000000000007</v>
      </c>
      <c r="V777" s="1868">
        <v>0.53029999999999999</v>
      </c>
      <c r="W777" s="1868">
        <v>0.53491999999999995</v>
      </c>
      <c r="X777" s="1868">
        <v>0.53398999999999996</v>
      </c>
      <c r="Y777" s="1868">
        <v>0.53037000000000001</v>
      </c>
      <c r="Z777" s="1868">
        <v>0.50900000000000001</v>
      </c>
      <c r="AA777" s="1868">
        <v>0.47384999999999999</v>
      </c>
      <c r="AB777" s="1868">
        <v>0.50068999999999997</v>
      </c>
      <c r="AC777" s="1868">
        <v>0.48603000000000002</v>
      </c>
      <c r="AD777" s="1868">
        <v>0.45723999999999998</v>
      </c>
      <c r="AE777" s="1868">
        <v>0.51998999999999995</v>
      </c>
      <c r="AF777" s="1868">
        <v>0.52483999999999997</v>
      </c>
      <c r="AG777" s="1868">
        <v>0.53669</v>
      </c>
      <c r="AH777" s="1868">
        <v>0.52791999999999994</v>
      </c>
      <c r="AI777" s="1868">
        <v>0.52422999999999997</v>
      </c>
      <c r="AJ777" s="1868">
        <v>0.56262000000000001</v>
      </c>
      <c r="AK777" s="1868">
        <v>0.59355000000000002</v>
      </c>
      <c r="AL777" s="1868">
        <v>0.55618000000000001</v>
      </c>
      <c r="AM777" s="1868">
        <v>0.57011000000000001</v>
      </c>
      <c r="AN777" s="1868">
        <v>0.58069999999999999</v>
      </c>
      <c r="AO777" s="1868">
        <v>0.58143</v>
      </c>
      <c r="AP777" s="1868">
        <v>0.58655000000000002</v>
      </c>
      <c r="AQ777" s="1868">
        <v>0.58511999999999997</v>
      </c>
      <c r="AR777" s="1868">
        <v>0.57640000000000002</v>
      </c>
      <c r="AS777" s="1868">
        <v>0.57955000000000001</v>
      </c>
      <c r="AT777" s="1868">
        <v>0.59267999999999998</v>
      </c>
      <c r="AU777" s="1868">
        <v>0.49645</v>
      </c>
      <c r="AV777" s="1868">
        <v>0.58345000000000002</v>
      </c>
      <c r="AW777" s="1868">
        <v>0.58851000000000009</v>
      </c>
      <c r="AX777" s="1868">
        <v>0.56584999999999996</v>
      </c>
      <c r="AY777" s="1868">
        <v>0.63029000000000002</v>
      </c>
      <c r="AZ777" s="1868">
        <v>0.55931999999999993</v>
      </c>
      <c r="BA777" s="1868">
        <v>0.56941000000000008</v>
      </c>
    </row>
    <row r="778" spans="1:53">
      <c r="A778" s="1865" t="str">
        <f t="shared" si="12"/>
        <v>Middle AfricaBeans, green</v>
      </c>
      <c r="B778" s="1866" t="s">
        <v>1348</v>
      </c>
      <c r="C778" s="1866" t="s">
        <v>1365</v>
      </c>
      <c r="AA778" s="1868">
        <v>3.3333300000000001</v>
      </c>
      <c r="AB778" s="1868">
        <v>3.3333300000000001</v>
      </c>
      <c r="AC778" s="1868">
        <v>3.5294099999999999</v>
      </c>
      <c r="AD778" s="1868">
        <v>3.5294099999999999</v>
      </c>
      <c r="AE778" s="1868">
        <v>3.3333300000000001</v>
      </c>
      <c r="AF778" s="1868">
        <v>3.3333300000000001</v>
      </c>
      <c r="AG778" s="1868">
        <v>3.6697300000000004</v>
      </c>
      <c r="AH778" s="1868">
        <v>3.63456</v>
      </c>
      <c r="AI778" s="1868">
        <v>3.60236</v>
      </c>
      <c r="AJ778" s="1868">
        <v>3.7803400000000003</v>
      </c>
      <c r="AK778" s="1868">
        <v>4.4384499999999996</v>
      </c>
      <c r="AL778" s="1868">
        <v>4.1945199999999998</v>
      </c>
      <c r="AM778" s="1868">
        <v>3.5246699999999995</v>
      </c>
      <c r="AN778" s="1868">
        <v>3.32551</v>
      </c>
      <c r="AO778" s="1868">
        <v>2.95851</v>
      </c>
      <c r="AP778" s="1868">
        <v>3.4342199999999998</v>
      </c>
      <c r="AQ778" s="1868">
        <v>3.5548500000000001</v>
      </c>
      <c r="AR778" s="1868">
        <v>3.6882099999999998</v>
      </c>
      <c r="AS778" s="1868">
        <v>3.77745</v>
      </c>
      <c r="AT778" s="1868">
        <v>3.09253</v>
      </c>
      <c r="AU778" s="1868">
        <v>3.4089499999999999</v>
      </c>
      <c r="AV778" s="1868">
        <v>3.4300699999999997</v>
      </c>
      <c r="AW778" s="1868">
        <v>4.4735100000000001</v>
      </c>
      <c r="AX778" s="1868">
        <v>4.1901400000000004</v>
      </c>
      <c r="AY778" s="1868">
        <v>4.1721900000000005</v>
      </c>
      <c r="AZ778" s="1868">
        <v>4.0588199999999999</v>
      </c>
      <c r="BA778" s="1868">
        <v>4.1228099999999994</v>
      </c>
    </row>
    <row r="779" spans="1:53">
      <c r="A779" s="1865" t="str">
        <f t="shared" si="12"/>
        <v>Middle AfricaCarrots and turnips</v>
      </c>
      <c r="B779" s="1866" t="s">
        <v>1348</v>
      </c>
      <c r="C779" s="1866" t="s">
        <v>1366</v>
      </c>
      <c r="D779" s="1868">
        <v>3.25</v>
      </c>
      <c r="E779" s="1868">
        <v>3.11429</v>
      </c>
      <c r="F779" s="1868">
        <v>3.1666699999999999</v>
      </c>
      <c r="G779" s="1868">
        <v>3.0857099999999997</v>
      </c>
      <c r="H779" s="1868">
        <v>3.0222199999999999</v>
      </c>
      <c r="I779" s="1868">
        <v>3.0750000000000002</v>
      </c>
      <c r="J779" s="1868">
        <v>3.99091</v>
      </c>
      <c r="K779" s="1868">
        <v>4</v>
      </c>
      <c r="L779" s="1868">
        <v>4.3103499999999997</v>
      </c>
      <c r="M779" s="1868">
        <v>4.5454600000000003</v>
      </c>
      <c r="N779" s="1868">
        <v>5</v>
      </c>
      <c r="O779" s="1868">
        <v>5</v>
      </c>
      <c r="P779" s="1868">
        <v>5</v>
      </c>
      <c r="Q779" s="1868">
        <v>5</v>
      </c>
      <c r="R779" s="1868">
        <v>5</v>
      </c>
      <c r="S779" s="1868">
        <v>5</v>
      </c>
      <c r="T779" s="1868">
        <v>5.4545500000000002</v>
      </c>
      <c r="U779" s="1868">
        <v>5.4545500000000002</v>
      </c>
      <c r="V779" s="1868">
        <v>5.4545500000000002</v>
      </c>
      <c r="W779" s="1868">
        <v>6.0344800000000003</v>
      </c>
      <c r="X779" s="1868">
        <v>6.0344800000000003</v>
      </c>
      <c r="Y779" s="1868">
        <v>6.6037699999999999</v>
      </c>
      <c r="Z779" s="1868">
        <v>6.6037699999999999</v>
      </c>
      <c r="AA779" s="1868">
        <v>6.6037699999999999</v>
      </c>
      <c r="AB779" s="1868">
        <v>6.6037699999999999</v>
      </c>
      <c r="AC779" s="1868">
        <v>6.6037699999999999</v>
      </c>
      <c r="AD779" s="1868">
        <v>6.6037699999999999</v>
      </c>
      <c r="AE779" s="1868">
        <v>6.6037699999999999</v>
      </c>
      <c r="AF779" s="1868">
        <v>6.6037699999999999</v>
      </c>
      <c r="AG779" s="1868">
        <v>7.04</v>
      </c>
      <c r="AH779" s="1868">
        <v>6.9607800000000006</v>
      </c>
      <c r="AI779" s="1868">
        <v>5.21739</v>
      </c>
      <c r="AJ779" s="1868">
        <v>5.5303000000000004</v>
      </c>
      <c r="AK779" s="1868">
        <v>5.3768099999999999</v>
      </c>
      <c r="AL779" s="1868">
        <v>5.9672099999999997</v>
      </c>
      <c r="AM779" s="1868">
        <v>6.5591399999999993</v>
      </c>
      <c r="AN779" s="1868">
        <v>5.9777800000000001</v>
      </c>
      <c r="AO779" s="1868">
        <v>6.4186100000000001</v>
      </c>
      <c r="AP779" s="1868">
        <v>5.3092800000000002</v>
      </c>
      <c r="AQ779" s="1868">
        <v>5.6315800000000005</v>
      </c>
      <c r="AR779" s="1868">
        <v>6.3152200000000001</v>
      </c>
      <c r="AS779" s="1868">
        <v>7.0408200000000001</v>
      </c>
      <c r="AT779" s="1868">
        <v>6.1946900000000005</v>
      </c>
      <c r="AU779" s="1868">
        <v>5.9421499999999998</v>
      </c>
      <c r="AV779" s="1868">
        <v>6.1</v>
      </c>
      <c r="AW779" s="1868">
        <v>6.3274300000000006</v>
      </c>
      <c r="AX779" s="1868">
        <v>7.11</v>
      </c>
      <c r="AY779" s="1868">
        <v>6.4732099999999999</v>
      </c>
      <c r="AZ779" s="1868">
        <v>7.1057699999999997</v>
      </c>
      <c r="BA779" s="1868">
        <v>7.15</v>
      </c>
    </row>
    <row r="780" spans="1:53">
      <c r="A780" s="1865" t="str">
        <f t="shared" si="12"/>
        <v>Middle AfricaCashew nuts, with shell</v>
      </c>
      <c r="B780" s="1866" t="s">
        <v>1348</v>
      </c>
      <c r="C780" s="1866" t="s">
        <v>1367</v>
      </c>
      <c r="D780" s="1868">
        <v>0.33333000000000002</v>
      </c>
      <c r="E780" s="1868">
        <v>0.33333000000000002</v>
      </c>
      <c r="F780" s="1868">
        <v>0.33333000000000002</v>
      </c>
      <c r="G780" s="1868">
        <v>0.33333000000000002</v>
      </c>
      <c r="H780" s="1868">
        <v>0.33333000000000002</v>
      </c>
      <c r="I780" s="1868">
        <v>0.36667</v>
      </c>
      <c r="J780" s="1868">
        <v>0.4</v>
      </c>
      <c r="K780" s="1868">
        <v>0.4</v>
      </c>
      <c r="L780" s="1868">
        <v>0.4</v>
      </c>
      <c r="M780" s="1868">
        <v>0.43332999999999999</v>
      </c>
      <c r="N780" s="1868">
        <v>0.43332999999999999</v>
      </c>
      <c r="O780" s="1868">
        <v>0.43332999999999999</v>
      </c>
      <c r="P780" s="1868">
        <v>0.46666999999999997</v>
      </c>
      <c r="Q780" s="1868">
        <v>0.46666999999999997</v>
      </c>
      <c r="R780" s="1868">
        <v>0.46666999999999997</v>
      </c>
      <c r="S780" s="1868">
        <v>0.46666999999999997</v>
      </c>
      <c r="T780" s="1868">
        <v>0.5</v>
      </c>
      <c r="U780" s="1868">
        <v>0.4</v>
      </c>
      <c r="V780" s="1868">
        <v>0.4</v>
      </c>
      <c r="W780" s="1868">
        <v>0.4</v>
      </c>
      <c r="X780" s="1868">
        <v>0.4</v>
      </c>
      <c r="Y780" s="1868">
        <v>0.4</v>
      </c>
      <c r="Z780" s="1868">
        <v>0.4</v>
      </c>
      <c r="AA780" s="1868">
        <v>0.4</v>
      </c>
      <c r="AB780" s="1868">
        <v>0.4</v>
      </c>
      <c r="AC780" s="1868">
        <v>0.4</v>
      </c>
      <c r="AD780" s="1868">
        <v>0.4</v>
      </c>
      <c r="AE780" s="1868">
        <v>0.4</v>
      </c>
      <c r="AF780" s="1868">
        <v>0.4</v>
      </c>
      <c r="AG780" s="1868">
        <v>0.27200000000000002</v>
      </c>
      <c r="AH780" s="1868">
        <v>0.31933</v>
      </c>
      <c r="AI780" s="1868">
        <v>0.40595999999999999</v>
      </c>
      <c r="AJ780" s="1868">
        <v>0.39285999999999999</v>
      </c>
      <c r="AK780" s="1868">
        <v>0.34783000000000003</v>
      </c>
      <c r="AL780" s="1868">
        <v>0.31513000000000002</v>
      </c>
      <c r="AM780" s="1868">
        <v>0.4</v>
      </c>
      <c r="AN780" s="1868">
        <v>0.39285999999999999</v>
      </c>
      <c r="AO780" s="1868">
        <v>0.4</v>
      </c>
      <c r="AP780" s="1868">
        <v>0.4</v>
      </c>
      <c r="AQ780" s="1868">
        <v>0.39285999999999999</v>
      </c>
      <c r="AR780" s="1868">
        <v>0.45788000000000001</v>
      </c>
      <c r="AS780" s="1868">
        <v>0.40678999999999998</v>
      </c>
      <c r="AT780" s="1868">
        <v>0.42357</v>
      </c>
      <c r="AU780" s="1868">
        <v>0.46678999999999998</v>
      </c>
      <c r="AV780" s="1868">
        <v>0.54642999999999997</v>
      </c>
      <c r="AW780" s="1868">
        <v>0.56786000000000003</v>
      </c>
      <c r="AX780" s="1868">
        <v>0.67642999999999998</v>
      </c>
      <c r="AY780" s="1868">
        <v>0.74570999999999998</v>
      </c>
      <c r="AZ780" s="1868">
        <v>0.59536</v>
      </c>
      <c r="BA780" s="1868">
        <v>0.625</v>
      </c>
    </row>
    <row r="781" spans="1:53">
      <c r="A781" s="1865" t="str">
        <f t="shared" si="12"/>
        <v>Middle AfricaCassava</v>
      </c>
      <c r="B781" s="1866" t="s">
        <v>1348</v>
      </c>
      <c r="C781" s="1866" t="s">
        <v>1368</v>
      </c>
      <c r="D781" s="1868">
        <v>5.5064199999999994</v>
      </c>
      <c r="E781" s="1868">
        <v>5.4755199999999995</v>
      </c>
      <c r="F781" s="1868">
        <v>5.5270800000000007</v>
      </c>
      <c r="G781" s="1868">
        <v>5.51579</v>
      </c>
      <c r="H781" s="1868">
        <v>5.7263500000000001</v>
      </c>
      <c r="I781" s="1868">
        <v>5.53071</v>
      </c>
      <c r="J781" s="1868">
        <v>5.5438199999999993</v>
      </c>
      <c r="K781" s="1868">
        <v>5.5399500000000002</v>
      </c>
      <c r="L781" s="1868">
        <v>5.5759999999999996</v>
      </c>
      <c r="M781" s="1868">
        <v>5.6366500000000004</v>
      </c>
      <c r="N781" s="1868">
        <v>5.5704199999999995</v>
      </c>
      <c r="O781" s="1868">
        <v>5.5896099999999995</v>
      </c>
      <c r="P781" s="1868">
        <v>5.7152799999999999</v>
      </c>
      <c r="Q781" s="1868">
        <v>5.7526400000000004</v>
      </c>
      <c r="R781" s="1868">
        <v>5.8609099999999996</v>
      </c>
      <c r="S781" s="1868">
        <v>5.8648800000000003</v>
      </c>
      <c r="T781" s="1868">
        <v>5.8227400000000005</v>
      </c>
      <c r="U781" s="1868">
        <v>5.6624800000000004</v>
      </c>
      <c r="V781" s="1868">
        <v>5.91751</v>
      </c>
      <c r="W781" s="1868">
        <v>5.9823500000000003</v>
      </c>
      <c r="X781" s="1868">
        <v>5.9309199999999995</v>
      </c>
      <c r="Y781" s="1868">
        <v>6.25305</v>
      </c>
      <c r="Z781" s="1868">
        <v>6.4774599999999998</v>
      </c>
      <c r="AA781" s="1868">
        <v>6.62052</v>
      </c>
      <c r="AB781" s="1868">
        <v>7.2333399999999992</v>
      </c>
      <c r="AC781" s="1868">
        <v>7.2280699999999998</v>
      </c>
      <c r="AD781" s="1868">
        <v>7.1634100000000007</v>
      </c>
      <c r="AE781" s="1868">
        <v>7.1872800000000003</v>
      </c>
      <c r="AF781" s="1868">
        <v>7.2682000000000002</v>
      </c>
      <c r="AG781" s="1868">
        <v>7.3264600000000009</v>
      </c>
      <c r="AH781" s="1868">
        <v>7.3733300000000002</v>
      </c>
      <c r="AI781" s="1868">
        <v>7.3577300000000001</v>
      </c>
      <c r="AJ781" s="1868">
        <v>7.1769899999999991</v>
      </c>
      <c r="AK781" s="1868">
        <v>7.3505100000000008</v>
      </c>
      <c r="AL781" s="1868">
        <v>7.4455899999999993</v>
      </c>
      <c r="AM781" s="1868">
        <v>7.3561100000000001</v>
      </c>
      <c r="AN781" s="1868">
        <v>7.2349600000000009</v>
      </c>
      <c r="AO781" s="1868">
        <v>7.3435300000000003</v>
      </c>
      <c r="AP781" s="1868">
        <v>7.6435699999999995</v>
      </c>
      <c r="AQ781" s="1868">
        <v>8.0528200000000005</v>
      </c>
      <c r="AR781" s="1868">
        <v>8.0185999999999993</v>
      </c>
      <c r="AS781" s="1868">
        <v>8.3007600000000004</v>
      </c>
      <c r="AT781" s="1868">
        <v>7.9920399999999994</v>
      </c>
      <c r="AU781" s="1868">
        <v>8.0470500000000005</v>
      </c>
      <c r="AV781" s="1868">
        <v>8.8333700000000004</v>
      </c>
      <c r="AW781" s="1868">
        <v>8.7552899999999987</v>
      </c>
      <c r="AX781" s="1868">
        <v>9.0049399999999995</v>
      </c>
      <c r="AY781" s="1868">
        <v>9.582139999999999</v>
      </c>
      <c r="AZ781" s="1868">
        <v>9.4806000000000008</v>
      </c>
      <c r="BA781" s="1868">
        <v>9.5973199999999999</v>
      </c>
    </row>
    <row r="782" spans="1:53">
      <c r="A782" s="1865" t="str">
        <f t="shared" si="12"/>
        <v>Middle AfricaCereals, nes</v>
      </c>
      <c r="B782" s="1866" t="s">
        <v>1348</v>
      </c>
      <c r="C782" s="1866" t="s">
        <v>1370</v>
      </c>
      <c r="D782" s="1868">
        <v>0.50713999999999992</v>
      </c>
      <c r="E782" s="1868">
        <v>0.51428999999999991</v>
      </c>
      <c r="F782" s="1868">
        <v>0.52143000000000006</v>
      </c>
      <c r="G782" s="1868">
        <v>0.52856999999999998</v>
      </c>
      <c r="H782" s="1868">
        <v>0.51723999999999992</v>
      </c>
      <c r="I782" s="1868">
        <v>0.52</v>
      </c>
      <c r="J782" s="1868">
        <v>0.52666999999999997</v>
      </c>
      <c r="K782" s="1868">
        <v>0.52666999999999997</v>
      </c>
      <c r="L782" s="1868">
        <v>0.53332999999999997</v>
      </c>
      <c r="M782" s="1868">
        <v>0.5</v>
      </c>
      <c r="N782" s="1868">
        <v>0.51249999999999996</v>
      </c>
      <c r="O782" s="1868">
        <v>0.48823999999999995</v>
      </c>
      <c r="P782" s="1868">
        <v>0.47058999999999995</v>
      </c>
      <c r="Q782" s="1868">
        <v>0.47221999999999997</v>
      </c>
      <c r="R782" s="1868">
        <v>0.52632000000000001</v>
      </c>
      <c r="S782" s="1868">
        <v>0.55000000000000004</v>
      </c>
      <c r="T782" s="1868">
        <v>0.57142999999999999</v>
      </c>
      <c r="U782" s="1868">
        <v>0.66666999999999998</v>
      </c>
      <c r="V782" s="1868">
        <v>0.75</v>
      </c>
      <c r="W782" s="1868">
        <v>0.81818000000000002</v>
      </c>
      <c r="X782" s="1868">
        <v>0.85714000000000001</v>
      </c>
      <c r="Y782" s="1868">
        <v>0.84614999999999996</v>
      </c>
      <c r="Z782" s="1868">
        <v>0.56359999999999999</v>
      </c>
      <c r="AA782" s="1868">
        <v>0.38658999999999999</v>
      </c>
      <c r="AB782" s="1868">
        <v>0.75348999999999999</v>
      </c>
      <c r="AC782" s="1868">
        <v>0.74539</v>
      </c>
      <c r="AD782" s="1868">
        <v>0.51880000000000004</v>
      </c>
      <c r="AE782" s="1868">
        <v>0.77561000000000002</v>
      </c>
      <c r="AF782" s="1868">
        <v>0.69528999999999996</v>
      </c>
      <c r="AG782" s="1868">
        <v>0.70535000000000003</v>
      </c>
      <c r="AH782" s="1868">
        <v>0.91105999999999998</v>
      </c>
      <c r="AI782" s="1868">
        <v>0.79078999999999999</v>
      </c>
      <c r="AJ782" s="1868">
        <v>0.67708000000000002</v>
      </c>
      <c r="AK782" s="1868">
        <v>0.93541000000000007</v>
      </c>
      <c r="AL782" s="1868">
        <v>0.96760000000000002</v>
      </c>
      <c r="AM782" s="1868">
        <v>0.99642999999999993</v>
      </c>
      <c r="AN782" s="1868">
        <v>0.84822000000000009</v>
      </c>
      <c r="AO782" s="1868">
        <v>0.75166999999999995</v>
      </c>
      <c r="AP782" s="1868">
        <v>0.88539000000000001</v>
      </c>
      <c r="AQ782" s="1868">
        <v>0.85114999999999996</v>
      </c>
      <c r="AR782" s="1868">
        <v>1.3197000000000001</v>
      </c>
      <c r="AS782" s="1868">
        <v>0.84082999999999997</v>
      </c>
      <c r="AT782" s="1868">
        <v>0.96577000000000002</v>
      </c>
      <c r="AU782" s="1868">
        <v>0.88829999999999998</v>
      </c>
      <c r="AV782" s="1868">
        <v>0.92989999999999995</v>
      </c>
      <c r="AW782" s="1868">
        <v>0.93422000000000005</v>
      </c>
      <c r="AX782" s="1868">
        <v>1.4535100000000001</v>
      </c>
      <c r="AY782" s="1868">
        <v>1.2143600000000001</v>
      </c>
      <c r="AZ782" s="1868">
        <v>1.55677</v>
      </c>
      <c r="BA782" s="1868">
        <v>1.1506299999999998</v>
      </c>
    </row>
    <row r="783" spans="1:53">
      <c r="A783" s="1865" t="str">
        <f t="shared" si="12"/>
        <v>Middle AfricaChestnuts</v>
      </c>
      <c r="B783" s="1866" t="s">
        <v>1348</v>
      </c>
      <c r="C783" s="1866" t="s">
        <v>1371</v>
      </c>
      <c r="AB783" s="1868">
        <v>1</v>
      </c>
      <c r="AC783" s="1868">
        <v>1</v>
      </c>
      <c r="AD783" s="1868">
        <v>1</v>
      </c>
      <c r="AE783" s="1868">
        <v>1</v>
      </c>
      <c r="AF783" s="1868">
        <v>1</v>
      </c>
      <c r="AG783" s="1868">
        <v>1</v>
      </c>
      <c r="AH783" s="1868">
        <v>1.06</v>
      </c>
      <c r="AI783" s="1868">
        <v>1.1200000000000001</v>
      </c>
      <c r="AJ783" s="1868">
        <v>1.07</v>
      </c>
      <c r="AK783" s="1868">
        <v>1.19</v>
      </c>
      <c r="AL783" s="1868">
        <v>1.53</v>
      </c>
      <c r="AM783" s="1868">
        <v>1.96</v>
      </c>
      <c r="AN783" s="1868">
        <v>1.99</v>
      </c>
      <c r="AO783" s="1868">
        <v>2.4300000000000002</v>
      </c>
      <c r="AP783" s="1868">
        <v>1</v>
      </c>
      <c r="AQ783" s="1868">
        <v>1</v>
      </c>
      <c r="AR783" s="1868">
        <v>1</v>
      </c>
      <c r="AS783" s="1868">
        <v>1</v>
      </c>
      <c r="AT783" s="1868">
        <v>1</v>
      </c>
      <c r="AU783" s="1868">
        <v>1</v>
      </c>
      <c r="AV783" s="1868">
        <v>1</v>
      </c>
      <c r="AW783" s="1868">
        <v>1</v>
      </c>
      <c r="AX783" s="1868">
        <v>1</v>
      </c>
      <c r="AY783" s="1868">
        <v>1</v>
      </c>
      <c r="AZ783" s="1868">
        <v>1</v>
      </c>
      <c r="BA783" s="1868">
        <v>1</v>
      </c>
    </row>
    <row r="784" spans="1:53">
      <c r="A784" s="1865" t="str">
        <f t="shared" si="12"/>
        <v>Middle AfricaCitrus fruit, nes</v>
      </c>
      <c r="B784" s="1866" t="s">
        <v>1348</v>
      </c>
      <c r="C784" s="1866" t="s">
        <v>1372</v>
      </c>
      <c r="D784" s="1868">
        <v>4.9929199999999998</v>
      </c>
      <c r="E784" s="1868">
        <v>4.9929199999999998</v>
      </c>
      <c r="F784" s="1868">
        <v>4.9929199999999998</v>
      </c>
      <c r="G784" s="1868">
        <v>5.1345599999999996</v>
      </c>
      <c r="H784" s="1868">
        <v>5.3470300000000002</v>
      </c>
      <c r="I784" s="1868">
        <v>5.3470300000000002</v>
      </c>
      <c r="J784" s="1868">
        <v>5.5594900000000003</v>
      </c>
      <c r="K784" s="1868">
        <v>5.70113</v>
      </c>
      <c r="L784" s="1868">
        <v>5.77196</v>
      </c>
      <c r="M784" s="1868">
        <v>5.8427800000000003</v>
      </c>
      <c r="N784" s="1868">
        <v>5.8427800000000003</v>
      </c>
      <c r="O784" s="1868">
        <v>5.7113500000000004</v>
      </c>
      <c r="P784" s="1868">
        <v>5.7797499999999999</v>
      </c>
      <c r="Q784" s="1868">
        <v>5.8470000000000004</v>
      </c>
      <c r="R784" s="1868">
        <v>5.5425199999999997</v>
      </c>
      <c r="S784" s="1868">
        <v>5.7001400000000002</v>
      </c>
      <c r="T784" s="1868">
        <v>5.8458399999999999</v>
      </c>
      <c r="U784" s="1868">
        <v>5.6991500000000004</v>
      </c>
      <c r="V784" s="1868">
        <v>5.6991500000000004</v>
      </c>
      <c r="W784" s="1868">
        <v>5.6981699999999993</v>
      </c>
      <c r="X784" s="1868">
        <v>5.59659</v>
      </c>
      <c r="Y784" s="1868">
        <v>5.59659</v>
      </c>
      <c r="Z784" s="1868">
        <v>5.6671399999999998</v>
      </c>
      <c r="AA784" s="1868">
        <v>5.5943300000000002</v>
      </c>
      <c r="AB784" s="1868">
        <v>5.4546099999999997</v>
      </c>
      <c r="AC784" s="1868">
        <v>5.5255300000000007</v>
      </c>
      <c r="AD784" s="1868">
        <v>5.6687900000000004</v>
      </c>
      <c r="AE784" s="1868">
        <v>5.74078</v>
      </c>
      <c r="AF784" s="1868">
        <v>5.5989399999999998</v>
      </c>
      <c r="AG784" s="1868">
        <v>5.3480800000000004</v>
      </c>
      <c r="AH784" s="1868">
        <v>5.5256499999999997</v>
      </c>
      <c r="AI784" s="1868">
        <v>5.5808400000000002</v>
      </c>
      <c r="AJ784" s="1868">
        <v>5.1218900000000005</v>
      </c>
      <c r="AK784" s="1868">
        <v>5.0385900000000001</v>
      </c>
      <c r="AL784" s="1868">
        <v>7.964360000000001</v>
      </c>
      <c r="AM784" s="1868">
        <v>7.8803300000000007</v>
      </c>
      <c r="AN784" s="1868">
        <v>8.5624399999999987</v>
      </c>
      <c r="AO784" s="1868">
        <v>8.7735199999999995</v>
      </c>
      <c r="AP784" s="1868">
        <v>5.7511400000000004</v>
      </c>
      <c r="AQ784" s="1868">
        <v>5.7578100000000001</v>
      </c>
      <c r="AR784" s="1868">
        <v>5.9176199999999994</v>
      </c>
      <c r="AS784" s="1868">
        <v>5.6610899999999997</v>
      </c>
      <c r="AT784" s="1868">
        <v>5.6936800000000005</v>
      </c>
      <c r="AU784" s="1868">
        <v>5.7203999999999997</v>
      </c>
      <c r="AV784" s="1868">
        <v>5.7253600000000002</v>
      </c>
      <c r="AW784" s="1868">
        <v>5.9576000000000002</v>
      </c>
      <c r="AX784" s="1868">
        <v>6.1444000000000001</v>
      </c>
      <c r="AY784" s="1868">
        <v>6.2488800000000007</v>
      </c>
      <c r="AZ784" s="1868">
        <v>5.9992599999999996</v>
      </c>
      <c r="BA784" s="1868">
        <v>7.4471899999999991</v>
      </c>
    </row>
    <row r="785" spans="1:53">
      <c r="A785" s="1865" t="str">
        <f t="shared" si="12"/>
        <v>Middle AfricaCoffee, green</v>
      </c>
      <c r="B785" s="1866" t="s">
        <v>1348</v>
      </c>
      <c r="C785" s="1866" t="s">
        <v>1373</v>
      </c>
      <c r="D785" s="1868">
        <v>0.41591000000000006</v>
      </c>
      <c r="E785" s="1868">
        <v>0.37528</v>
      </c>
      <c r="F785" s="1868">
        <v>0.35205999999999998</v>
      </c>
      <c r="G785" s="1868">
        <v>0.37894</v>
      </c>
      <c r="H785" s="1868">
        <v>0.40544999999999998</v>
      </c>
      <c r="I785" s="1868">
        <v>0.40618000000000004</v>
      </c>
      <c r="J785" s="1868">
        <v>0.41748000000000002</v>
      </c>
      <c r="K785" s="1868">
        <v>0.39153000000000004</v>
      </c>
      <c r="L785" s="1868">
        <v>0.41286000000000006</v>
      </c>
      <c r="M785" s="1868">
        <v>0.39871000000000001</v>
      </c>
      <c r="N785" s="1868">
        <v>0.39424999999999999</v>
      </c>
      <c r="O785" s="1868">
        <v>0.39898</v>
      </c>
      <c r="P785" s="1868">
        <v>0.37877</v>
      </c>
      <c r="Q785" s="1868">
        <v>0.39108999999999999</v>
      </c>
      <c r="R785" s="1868">
        <v>0.40049000000000001</v>
      </c>
      <c r="S785" s="1868">
        <v>0.30068</v>
      </c>
      <c r="T785" s="1868">
        <v>0.2964</v>
      </c>
      <c r="U785" s="1868">
        <v>0.29762</v>
      </c>
      <c r="V785" s="1868">
        <v>0.26774999999999999</v>
      </c>
      <c r="W785" s="1868">
        <v>0.30620999999999998</v>
      </c>
      <c r="X785" s="1868">
        <v>0.29958000000000001</v>
      </c>
      <c r="Y785" s="1868">
        <v>0.30260999999999999</v>
      </c>
      <c r="Z785" s="1868">
        <v>0.22704000000000002</v>
      </c>
      <c r="AA785" s="1868">
        <v>0.32524000000000003</v>
      </c>
      <c r="AB785" s="1868">
        <v>0.27083000000000002</v>
      </c>
      <c r="AC785" s="1868">
        <v>0.31109000000000003</v>
      </c>
      <c r="AD785" s="1868">
        <v>0.26848</v>
      </c>
      <c r="AE785" s="1868">
        <v>0.32930999999999999</v>
      </c>
      <c r="AF785" s="1868">
        <v>0.30348000000000003</v>
      </c>
      <c r="AG785" s="1868">
        <v>0.33074999999999999</v>
      </c>
      <c r="AH785" s="1868">
        <v>0.32955000000000001</v>
      </c>
      <c r="AI785" s="1868">
        <v>0.26091999999999999</v>
      </c>
      <c r="AJ785" s="1868">
        <v>0.26928000000000002</v>
      </c>
      <c r="AK785" s="1868">
        <v>0.32930999999999999</v>
      </c>
      <c r="AL785" s="1868">
        <v>0.28328999999999999</v>
      </c>
      <c r="AM785" s="1868">
        <v>0.32188</v>
      </c>
      <c r="AN785" s="1868">
        <v>0.25080999999999998</v>
      </c>
      <c r="AO785" s="1868">
        <v>0.34905999999999998</v>
      </c>
      <c r="AP785" s="1868">
        <v>0.32988000000000001</v>
      </c>
      <c r="AQ785" s="1868">
        <v>0.31178</v>
      </c>
      <c r="AR785" s="1868">
        <v>0.28392000000000001</v>
      </c>
      <c r="AS785" s="1868">
        <v>0.3095</v>
      </c>
      <c r="AT785" s="1868">
        <v>0.28218000000000004</v>
      </c>
      <c r="AU785" s="1868">
        <v>0.28611999999999999</v>
      </c>
      <c r="AV785" s="1868">
        <v>0.29098000000000002</v>
      </c>
      <c r="AW785" s="1868">
        <v>0.28323999999999999</v>
      </c>
      <c r="AX785" s="1868">
        <v>0.28620000000000001</v>
      </c>
      <c r="AY785" s="1868">
        <v>0.28129999999999999</v>
      </c>
      <c r="AZ785" s="1868">
        <v>0.30909999999999999</v>
      </c>
      <c r="BA785" s="1868">
        <v>0.28754000000000002</v>
      </c>
    </row>
    <row r="786" spans="1:53">
      <c r="A786" s="1865" t="str">
        <f t="shared" si="12"/>
        <v>Middle AfricaCow peas, dry</v>
      </c>
      <c r="B786" s="1866" t="s">
        <v>1348</v>
      </c>
      <c r="C786" s="1866" t="s">
        <v>1355</v>
      </c>
      <c r="D786" s="1868">
        <v>0.56862999999999997</v>
      </c>
      <c r="E786" s="1868">
        <v>0.58491000000000004</v>
      </c>
      <c r="F786" s="1868">
        <v>0.58928999999999998</v>
      </c>
      <c r="G786" s="1868">
        <v>0.60345000000000004</v>
      </c>
      <c r="H786" s="1868">
        <v>0.60345000000000004</v>
      </c>
      <c r="I786" s="1868">
        <v>0.61016999999999999</v>
      </c>
      <c r="J786" s="1868">
        <v>0.61016999999999999</v>
      </c>
      <c r="K786" s="1868">
        <v>0.61666999999999994</v>
      </c>
      <c r="L786" s="1868">
        <v>0.60666999999999993</v>
      </c>
      <c r="M786" s="1868">
        <v>0.64658000000000004</v>
      </c>
      <c r="N786" s="1868">
        <v>0.64895000000000003</v>
      </c>
      <c r="O786" s="1868">
        <v>0.62058000000000002</v>
      </c>
      <c r="P786" s="1868">
        <v>0.64113999999999993</v>
      </c>
      <c r="Q786" s="1868">
        <v>0.65881999999999996</v>
      </c>
      <c r="R786" s="1868">
        <v>0.65456999999999999</v>
      </c>
      <c r="S786" s="1868">
        <v>0.65303</v>
      </c>
      <c r="T786" s="1868">
        <v>0.66896999999999995</v>
      </c>
      <c r="U786" s="1868">
        <v>0.65337000000000001</v>
      </c>
      <c r="V786" s="1868">
        <v>0.60031000000000001</v>
      </c>
      <c r="W786" s="1868">
        <v>0.60026000000000002</v>
      </c>
      <c r="X786" s="1868">
        <v>0.60050999999999999</v>
      </c>
      <c r="Y786" s="1868">
        <v>0.60024999999999995</v>
      </c>
      <c r="Z786" s="1868">
        <v>0.60024</v>
      </c>
      <c r="AA786" s="1868">
        <v>0.6</v>
      </c>
      <c r="AB786" s="1868">
        <v>0.59933000000000003</v>
      </c>
      <c r="AC786" s="1868">
        <v>0.63963000000000003</v>
      </c>
      <c r="AD786" s="1868">
        <v>0.64017999999999997</v>
      </c>
      <c r="AE786" s="1868">
        <v>0.63556000000000001</v>
      </c>
      <c r="AF786" s="1868">
        <v>0.63986999999999994</v>
      </c>
      <c r="AG786" s="1868">
        <v>0.625</v>
      </c>
      <c r="AH786" s="1868">
        <v>0.55442999999999998</v>
      </c>
      <c r="AI786" s="1868">
        <v>0.54574999999999996</v>
      </c>
      <c r="AJ786" s="1868">
        <v>0.56513000000000002</v>
      </c>
      <c r="AK786" s="1868">
        <v>0.68551000000000006</v>
      </c>
      <c r="AL786" s="1868">
        <v>0.66900999999999999</v>
      </c>
      <c r="AM786" s="1868">
        <v>0.65695000000000003</v>
      </c>
      <c r="AN786" s="1868">
        <v>0.67437999999999998</v>
      </c>
      <c r="AO786" s="1868">
        <v>0.67876000000000003</v>
      </c>
      <c r="AP786" s="1868">
        <v>0.69137999999999999</v>
      </c>
      <c r="AQ786" s="1868">
        <v>0.68586000000000003</v>
      </c>
      <c r="AR786" s="1868">
        <v>0.69972999999999996</v>
      </c>
      <c r="AS786" s="1868">
        <v>0.72828999999999999</v>
      </c>
      <c r="AT786" s="1868">
        <v>0.67669000000000001</v>
      </c>
      <c r="AU786" s="1868">
        <v>0.64493999999999996</v>
      </c>
      <c r="AV786" s="1868">
        <v>0.68710000000000004</v>
      </c>
      <c r="AW786" s="1868">
        <v>0.70643999999999996</v>
      </c>
      <c r="AX786" s="1868">
        <v>0.7198</v>
      </c>
      <c r="AY786" s="1868">
        <v>0.73477000000000003</v>
      </c>
      <c r="AZ786" s="1868">
        <v>0.74031000000000002</v>
      </c>
      <c r="BA786" s="1868">
        <v>0.74428000000000005</v>
      </c>
    </row>
    <row r="787" spans="1:53">
      <c r="A787" s="1865" t="str">
        <f t="shared" si="12"/>
        <v>Middle AfricaDates</v>
      </c>
      <c r="B787" s="1866" t="s">
        <v>1348</v>
      </c>
      <c r="C787" s="1866" t="s">
        <v>1374</v>
      </c>
      <c r="AB787" s="1868">
        <v>3.2767599999999999</v>
      </c>
      <c r="AC787" s="1868">
        <v>3.2767599999999999</v>
      </c>
      <c r="AD787" s="1868">
        <v>3.2780699999999996</v>
      </c>
      <c r="AE787" s="1868">
        <v>3.2780699999999996</v>
      </c>
      <c r="AF787" s="1868">
        <v>3.2793699999999997</v>
      </c>
      <c r="AG787" s="1868">
        <v>3.1918599999999997</v>
      </c>
      <c r="AH787" s="1868">
        <v>3.3446300000000004</v>
      </c>
      <c r="AI787" s="1868">
        <v>3.39255</v>
      </c>
      <c r="AJ787" s="1868">
        <v>2.1713299999999998</v>
      </c>
      <c r="AK787" s="1868">
        <v>2.1126299999999998</v>
      </c>
      <c r="AL787" s="1868">
        <v>2.5077700000000003</v>
      </c>
      <c r="AM787" s="1868">
        <v>2.4093400000000003</v>
      </c>
      <c r="AN787" s="1868">
        <v>2.6179799999999998</v>
      </c>
      <c r="AO787" s="1868">
        <v>2.6548599999999998</v>
      </c>
      <c r="AP787" s="1868">
        <v>2.3966699999999999</v>
      </c>
      <c r="AQ787" s="1868">
        <v>2.3288799999999998</v>
      </c>
      <c r="AR787" s="1868">
        <v>2.39405</v>
      </c>
      <c r="AS787" s="1868">
        <v>2.2938000000000001</v>
      </c>
      <c r="AT787" s="1868">
        <v>2.3084700000000002</v>
      </c>
      <c r="AU787" s="1868">
        <v>2.3163999999999998</v>
      </c>
      <c r="AV787" s="1868">
        <v>2.3190200000000001</v>
      </c>
      <c r="AW787" s="1868">
        <v>2.4087999999999998</v>
      </c>
      <c r="AX787" s="1868">
        <v>2.3925900000000002</v>
      </c>
      <c r="AY787" s="1868">
        <v>2.43276</v>
      </c>
      <c r="AZ787" s="1868">
        <v>2.3370599999999997</v>
      </c>
      <c r="BA787" s="1868">
        <v>2.4397700000000002</v>
      </c>
    </row>
    <row r="788" spans="1:53">
      <c r="A788" s="1865" t="str">
        <f t="shared" si="12"/>
        <v>Middle AfricaEggplants (aubergines)</v>
      </c>
      <c r="B788" s="1866" t="s">
        <v>1348</v>
      </c>
      <c r="C788" s="1866" t="s">
        <v>1375</v>
      </c>
      <c r="AG788" s="1868">
        <v>9.7345100000000002</v>
      </c>
      <c r="AH788" s="1868">
        <v>8.5526300000000006</v>
      </c>
      <c r="AI788" s="1868">
        <v>7.8947399999999996</v>
      </c>
      <c r="AJ788" s="1868">
        <v>6.8929899999999993</v>
      </c>
      <c r="AK788" s="1868">
        <v>6.71753</v>
      </c>
      <c r="AL788" s="1868">
        <v>6.7253699999999998</v>
      </c>
      <c r="AM788" s="1868">
        <v>6.5264600000000002</v>
      </c>
      <c r="AN788" s="1868">
        <v>6.4914800000000001</v>
      </c>
      <c r="AO788" s="1868">
        <v>6.3267100000000003</v>
      </c>
      <c r="AP788" s="1868">
        <v>6.3052199999999994</v>
      </c>
      <c r="AQ788" s="1868">
        <v>6.3880300000000005</v>
      </c>
      <c r="AR788" s="1868">
        <v>6.5403900000000004</v>
      </c>
      <c r="AS788" s="1868">
        <v>6.90977</v>
      </c>
      <c r="AT788" s="1868">
        <v>6.1098600000000003</v>
      </c>
      <c r="AU788" s="1868">
        <v>5.9488099999999999</v>
      </c>
      <c r="AV788" s="1868">
        <v>5.9071300000000004</v>
      </c>
      <c r="AW788" s="1868">
        <v>7.1256699999999995</v>
      </c>
      <c r="AX788" s="1868">
        <v>7.4516100000000005</v>
      </c>
      <c r="AY788" s="1868">
        <v>7.4772300000000005</v>
      </c>
      <c r="AZ788" s="1868">
        <v>7.5035800000000004</v>
      </c>
      <c r="BA788" s="1868">
        <v>7.2758600000000007</v>
      </c>
    </row>
    <row r="789" spans="1:53">
      <c r="A789" s="1865" t="str">
        <f t="shared" si="12"/>
        <v>Middle AfricaGrapefruit (inc. pomelos)</v>
      </c>
      <c r="B789" s="1866" t="s">
        <v>1348</v>
      </c>
      <c r="C789" s="1866" t="s">
        <v>1377</v>
      </c>
      <c r="D789" s="1868">
        <v>18.877140000000001</v>
      </c>
      <c r="E789" s="1868">
        <v>21.857140000000001</v>
      </c>
      <c r="F789" s="1868">
        <v>20.504999999999999</v>
      </c>
      <c r="G789" s="1868">
        <v>19.525459999999999</v>
      </c>
      <c r="H789" s="1868">
        <v>17.535629999999998</v>
      </c>
      <c r="I789" s="1868">
        <v>21.5275</v>
      </c>
      <c r="J789" s="1868">
        <v>22.266670000000001</v>
      </c>
      <c r="K789" s="1868">
        <v>21.691670000000002</v>
      </c>
      <c r="L789" s="1868">
        <v>18.358329999999999</v>
      </c>
      <c r="M789" s="1868">
        <v>18.366670000000003</v>
      </c>
      <c r="N789" s="1868">
        <v>18.36</v>
      </c>
      <c r="O789" s="1868">
        <v>18.36</v>
      </c>
      <c r="P789" s="1868">
        <v>18.356670000000001</v>
      </c>
      <c r="Q789" s="1868">
        <v>18.356670000000001</v>
      </c>
      <c r="R789" s="1868">
        <v>17.71077</v>
      </c>
      <c r="S789" s="1868">
        <v>18.48</v>
      </c>
      <c r="T789" s="1868">
        <v>18.48</v>
      </c>
      <c r="U789" s="1868">
        <v>18.350000000000001</v>
      </c>
      <c r="V789" s="1868">
        <v>20.016670000000001</v>
      </c>
      <c r="W789" s="1868">
        <v>20.016670000000001</v>
      </c>
      <c r="X789" s="1868">
        <v>20.016670000000001</v>
      </c>
      <c r="Y789" s="1868">
        <v>20.85333</v>
      </c>
      <c r="Z789" s="1868">
        <v>21.85333</v>
      </c>
      <c r="AA789" s="1868">
        <v>22.024999999999999</v>
      </c>
      <c r="AB789" s="1868">
        <v>11.012499999999999</v>
      </c>
      <c r="AC789" s="1868">
        <v>11.93167</v>
      </c>
      <c r="AD789" s="1868">
        <v>11.93167</v>
      </c>
      <c r="AE789" s="1868">
        <v>12.85</v>
      </c>
      <c r="AF789" s="1868">
        <v>12.85</v>
      </c>
      <c r="AG789" s="1868">
        <v>13.04407</v>
      </c>
      <c r="AH789" s="1868">
        <v>12.825200000000001</v>
      </c>
      <c r="AI789" s="1868">
        <v>12.996889999999999</v>
      </c>
      <c r="AJ789" s="1868">
        <v>13.03997</v>
      </c>
      <c r="AK789" s="1868">
        <v>13.406270000000001</v>
      </c>
      <c r="AL789" s="1868">
        <v>15.120799999999999</v>
      </c>
      <c r="AM789" s="1868">
        <v>12.84867</v>
      </c>
      <c r="AN789" s="1868">
        <v>14.318539999999999</v>
      </c>
      <c r="AO789" s="1868">
        <v>12.184989999999999</v>
      </c>
      <c r="AP789" s="1868">
        <v>11.95434</v>
      </c>
      <c r="AQ789" s="1868">
        <v>11.849119999999999</v>
      </c>
      <c r="AR789" s="1868">
        <v>11.90479</v>
      </c>
      <c r="AS789" s="1868">
        <v>11.73404</v>
      </c>
      <c r="AT789" s="1868">
        <v>11.73635</v>
      </c>
      <c r="AU789" s="1868">
        <v>11.81415</v>
      </c>
      <c r="AV789" s="1868">
        <v>11.798030000000001</v>
      </c>
      <c r="AW789" s="1868">
        <v>11.78693</v>
      </c>
      <c r="AX789" s="1868">
        <v>11.821289999999999</v>
      </c>
      <c r="AY789" s="1868">
        <v>11.704080000000001</v>
      </c>
      <c r="AZ789" s="1868">
        <v>11.739319999999999</v>
      </c>
      <c r="BA789" s="1868">
        <v>11.75704</v>
      </c>
    </row>
    <row r="790" spans="1:53">
      <c r="A790" s="1865" t="str">
        <f t="shared" si="12"/>
        <v>Middle AfricaGroundnuts, with shell</v>
      </c>
      <c r="B790" s="1866" t="s">
        <v>1348</v>
      </c>
      <c r="C790" s="1866" t="s">
        <v>1379</v>
      </c>
      <c r="D790" s="1868">
        <v>0.74514999999999998</v>
      </c>
      <c r="E790" s="1868">
        <v>0.73806000000000005</v>
      </c>
      <c r="F790" s="1868">
        <v>0.70926999999999996</v>
      </c>
      <c r="G790" s="1868">
        <v>0.74343999999999999</v>
      </c>
      <c r="H790" s="1868">
        <v>0.73780000000000001</v>
      </c>
      <c r="I790" s="1868">
        <v>0.71679999999999999</v>
      </c>
      <c r="J790" s="1868">
        <v>0.73633000000000004</v>
      </c>
      <c r="K790" s="1868">
        <v>0.75226999999999999</v>
      </c>
      <c r="L790" s="1868">
        <v>0.75922000000000001</v>
      </c>
      <c r="M790" s="1868">
        <v>0.70833000000000002</v>
      </c>
      <c r="N790" s="1868">
        <v>0.71209</v>
      </c>
      <c r="O790" s="1868">
        <v>0.69486000000000003</v>
      </c>
      <c r="P790" s="1868">
        <v>0.70586000000000004</v>
      </c>
      <c r="Q790" s="1868">
        <v>0.73453000000000002</v>
      </c>
      <c r="R790" s="1868">
        <v>0.70652000000000004</v>
      </c>
      <c r="S790" s="1868">
        <v>0.74523000000000006</v>
      </c>
      <c r="T790" s="1868">
        <v>0.75246000000000002</v>
      </c>
      <c r="U790" s="1868">
        <v>0.55047000000000001</v>
      </c>
      <c r="V790" s="1868">
        <v>0.63958999999999999</v>
      </c>
      <c r="W790" s="1868">
        <v>0.60248999999999997</v>
      </c>
      <c r="X790" s="1868">
        <v>0.61902999999999997</v>
      </c>
      <c r="Y790" s="1868">
        <v>0.65576999999999996</v>
      </c>
      <c r="Z790" s="1868">
        <v>0.66096999999999995</v>
      </c>
      <c r="AA790" s="1868">
        <v>0.59041999999999994</v>
      </c>
      <c r="AB790" s="1868">
        <v>0.61860999999999999</v>
      </c>
      <c r="AC790" s="1868">
        <v>0.6472</v>
      </c>
      <c r="AD790" s="1868">
        <v>0.65125</v>
      </c>
      <c r="AE790" s="1868">
        <v>0.68520000000000003</v>
      </c>
      <c r="AF790" s="1868">
        <v>0.72328000000000003</v>
      </c>
      <c r="AG790" s="1868">
        <v>0.66413</v>
      </c>
      <c r="AH790" s="1868">
        <v>0.72318000000000005</v>
      </c>
      <c r="AI790" s="1868">
        <v>0.69667999999999997</v>
      </c>
      <c r="AJ790" s="1868">
        <v>0.68115999999999999</v>
      </c>
      <c r="AK790" s="1868">
        <v>0.70450000000000002</v>
      </c>
      <c r="AL790" s="1868">
        <v>0.70943000000000001</v>
      </c>
      <c r="AM790" s="1868">
        <v>0.77217000000000002</v>
      </c>
      <c r="AN790" s="1868">
        <v>0.70596999999999999</v>
      </c>
      <c r="AO790" s="1868">
        <v>0.81268999999999991</v>
      </c>
      <c r="AP790" s="1868">
        <v>0.87175000000000002</v>
      </c>
      <c r="AQ790" s="1868">
        <v>0.83627999999999991</v>
      </c>
      <c r="AR790" s="1868">
        <v>0.85719999999999996</v>
      </c>
      <c r="AS790" s="1868">
        <v>0.81769999999999998</v>
      </c>
      <c r="AT790" s="1868">
        <v>0.80358999999999992</v>
      </c>
      <c r="AU790" s="1868">
        <v>0.78500999999999999</v>
      </c>
      <c r="AV790" s="1868">
        <v>0.91687000000000007</v>
      </c>
      <c r="AW790" s="1868">
        <v>0.9476</v>
      </c>
      <c r="AX790" s="1868">
        <v>0.81530000000000002</v>
      </c>
      <c r="AY790" s="1868">
        <v>0.84055000000000002</v>
      </c>
      <c r="AZ790" s="1868">
        <v>0.84140000000000004</v>
      </c>
      <c r="BA790" s="1868">
        <v>0.8773200000000001</v>
      </c>
    </row>
    <row r="791" spans="1:53">
      <c r="A791" s="1865" t="str">
        <f t="shared" si="12"/>
        <v>Middle AfricaMaize</v>
      </c>
      <c r="B791" s="1866" t="s">
        <v>1348</v>
      </c>
      <c r="C791" s="1866" t="s">
        <v>1382</v>
      </c>
      <c r="D791" s="1868">
        <v>0.75212999999999997</v>
      </c>
      <c r="E791" s="1868">
        <v>0.74024000000000001</v>
      </c>
      <c r="F791" s="1868">
        <v>0.72598999999999991</v>
      </c>
      <c r="G791" s="1868">
        <v>0.76873000000000002</v>
      </c>
      <c r="H791" s="1868">
        <v>0.79384999999999994</v>
      </c>
      <c r="I791" s="1868">
        <v>0.74592999999999998</v>
      </c>
      <c r="J791" s="1868">
        <v>0.73670000000000002</v>
      </c>
      <c r="K791" s="1868">
        <v>0.76683999999999997</v>
      </c>
      <c r="L791" s="1868">
        <v>0.82861000000000007</v>
      </c>
      <c r="M791" s="1868">
        <v>0.83216000000000001</v>
      </c>
      <c r="N791" s="1868">
        <v>0.79706999999999995</v>
      </c>
      <c r="O791" s="1868">
        <v>0.79222000000000004</v>
      </c>
      <c r="P791" s="1868">
        <v>0.76208999999999993</v>
      </c>
      <c r="Q791" s="1868">
        <v>0.74421000000000004</v>
      </c>
      <c r="R791" s="1868">
        <v>0.86373999999999995</v>
      </c>
      <c r="S791" s="1868">
        <v>0.76670000000000005</v>
      </c>
      <c r="T791" s="1868">
        <v>0.70963999999999994</v>
      </c>
      <c r="U791" s="1868">
        <v>0.69681999999999999</v>
      </c>
      <c r="V791" s="1868">
        <v>0.67447999999999997</v>
      </c>
      <c r="W791" s="1868">
        <v>0.72804999999999997</v>
      </c>
      <c r="X791" s="1868">
        <v>0.71882000000000001</v>
      </c>
      <c r="Y791" s="1868">
        <v>0.74865000000000004</v>
      </c>
      <c r="Z791" s="1868">
        <v>0.74975000000000003</v>
      </c>
      <c r="AA791" s="1868">
        <v>0.80669999999999997</v>
      </c>
      <c r="AB791" s="1868">
        <v>0.77044999999999997</v>
      </c>
      <c r="AC791" s="1868">
        <v>0.75761999999999996</v>
      </c>
      <c r="AD791" s="1868">
        <v>0.76246999999999998</v>
      </c>
      <c r="AE791" s="1868">
        <v>0.72063999999999995</v>
      </c>
      <c r="AF791" s="1868">
        <v>0.70448999999999995</v>
      </c>
      <c r="AG791" s="1868">
        <v>0.75323999999999991</v>
      </c>
      <c r="AH791" s="1868">
        <v>0.81441000000000008</v>
      </c>
      <c r="AI791" s="1868">
        <v>0.77666999999999997</v>
      </c>
      <c r="AJ791" s="1868">
        <v>0.68257999999999996</v>
      </c>
      <c r="AK791" s="1868">
        <v>0.74148999999999998</v>
      </c>
      <c r="AL791" s="1868">
        <v>0.81668999999999992</v>
      </c>
      <c r="AM791" s="1868">
        <v>0.95799000000000001</v>
      </c>
      <c r="AN791" s="1868">
        <v>0.95118999999999998</v>
      </c>
      <c r="AO791" s="1868">
        <v>1.0010399999999999</v>
      </c>
      <c r="AP791" s="1868">
        <v>0.96697999999999995</v>
      </c>
      <c r="AQ791" s="1868">
        <v>0.9418200000000001</v>
      </c>
      <c r="AR791" s="1868">
        <v>0.92427999999999988</v>
      </c>
      <c r="AS791" s="1868">
        <v>0.93867000000000012</v>
      </c>
      <c r="AT791" s="1868">
        <v>0.9734799999999999</v>
      </c>
      <c r="AU791" s="1868">
        <v>0.88808999999999994</v>
      </c>
      <c r="AV791" s="1868">
        <v>0.96726000000000001</v>
      </c>
      <c r="AW791" s="1868">
        <v>0.93427000000000004</v>
      </c>
      <c r="AX791" s="1868">
        <v>0.92762000000000011</v>
      </c>
      <c r="AY791" s="1868">
        <v>1.04819</v>
      </c>
      <c r="AZ791" s="1868">
        <v>0.96009</v>
      </c>
      <c r="BA791" s="1868">
        <v>1.0436000000000001</v>
      </c>
    </row>
    <row r="792" spans="1:53">
      <c r="A792" s="1865" t="str">
        <f t="shared" si="12"/>
        <v>Middle AfricaMangoes, mangosteens, guavas</v>
      </c>
      <c r="B792" s="1866" t="s">
        <v>1348</v>
      </c>
      <c r="C792" s="1866" t="s">
        <v>1384</v>
      </c>
      <c r="D792" s="1868">
        <v>17.34177</v>
      </c>
      <c r="E792" s="1868">
        <v>18.082190000000001</v>
      </c>
      <c r="F792" s="1868">
        <v>17.875</v>
      </c>
      <c r="G792" s="1868">
        <v>18.33333</v>
      </c>
      <c r="H792" s="1868">
        <v>18.8</v>
      </c>
      <c r="I792" s="1868">
        <v>19.23077</v>
      </c>
      <c r="J792" s="1868">
        <v>19.382720000000003</v>
      </c>
      <c r="K792" s="1868">
        <v>20</v>
      </c>
      <c r="L792" s="1868">
        <v>19.76191</v>
      </c>
      <c r="M792" s="1868">
        <v>20.458820000000003</v>
      </c>
      <c r="N792" s="1868">
        <v>20.827590000000001</v>
      </c>
      <c r="O792" s="1868">
        <v>20.516850000000002</v>
      </c>
      <c r="P792" s="1868">
        <v>19.813189999999999</v>
      </c>
      <c r="Q792" s="1868">
        <v>20.271739999999998</v>
      </c>
      <c r="R792" s="1868">
        <v>20.26596</v>
      </c>
      <c r="S792" s="1868">
        <v>20.894739999999999</v>
      </c>
      <c r="T792" s="1868">
        <v>20.183670000000003</v>
      </c>
      <c r="U792" s="1868">
        <v>20.131309999999999</v>
      </c>
      <c r="V792" s="1868">
        <v>20.56</v>
      </c>
      <c r="W792" s="1868">
        <v>20.303920000000002</v>
      </c>
      <c r="X792" s="1868">
        <v>20.31429</v>
      </c>
      <c r="Y792" s="1868">
        <v>20.324070000000003</v>
      </c>
      <c r="Z792" s="1868">
        <v>20.401789999999998</v>
      </c>
      <c r="AA792" s="1868">
        <v>20.152170000000002</v>
      </c>
      <c r="AB792" s="1868">
        <v>12.089780000000001</v>
      </c>
      <c r="AC792" s="1868">
        <v>12.099919999999999</v>
      </c>
      <c r="AD792" s="1868">
        <v>12.023860000000001</v>
      </c>
      <c r="AE792" s="1868">
        <v>11.97747</v>
      </c>
      <c r="AF792" s="1868">
        <v>12.045810000000001</v>
      </c>
      <c r="AG792" s="1868">
        <v>12.027430000000001</v>
      </c>
      <c r="AH792" s="1868">
        <v>12.471169999999999</v>
      </c>
      <c r="AI792" s="1868">
        <v>12.633789999999999</v>
      </c>
      <c r="AJ792" s="1868">
        <v>12.78177</v>
      </c>
      <c r="AK792" s="1868">
        <v>12.945789999999999</v>
      </c>
      <c r="AL792" s="1868">
        <v>14.3527</v>
      </c>
      <c r="AM792" s="1868">
        <v>12.84806</v>
      </c>
      <c r="AN792" s="1868">
        <v>12.89255</v>
      </c>
      <c r="AO792" s="1868">
        <v>12.79927</v>
      </c>
      <c r="AP792" s="1868">
        <v>12.39978</v>
      </c>
      <c r="AQ792" s="1868">
        <v>12.196</v>
      </c>
      <c r="AR792" s="1868">
        <v>12.267489999999999</v>
      </c>
      <c r="AS792" s="1868">
        <v>11.93529</v>
      </c>
      <c r="AT792" s="1868">
        <v>11.92685</v>
      </c>
      <c r="AU792" s="1868">
        <v>11.944570000000001</v>
      </c>
      <c r="AV792" s="1868">
        <v>12.103730000000001</v>
      </c>
      <c r="AW792" s="1868">
        <v>12.07339</v>
      </c>
      <c r="AX792" s="1868">
        <v>11.446069999999999</v>
      </c>
      <c r="AY792" s="1868">
        <v>11.527699999999999</v>
      </c>
      <c r="AZ792" s="1868">
        <v>11.98204</v>
      </c>
      <c r="BA792" s="1868">
        <v>11.58596</v>
      </c>
    </row>
    <row r="793" spans="1:53">
      <c r="A793" s="1865" t="str">
        <f t="shared" si="12"/>
        <v>Middle AfricaMillet</v>
      </c>
      <c r="B793" s="1866" t="s">
        <v>1348</v>
      </c>
      <c r="C793" s="1866" t="s">
        <v>1385</v>
      </c>
      <c r="D793" s="1868">
        <v>0.62151999999999996</v>
      </c>
      <c r="E793" s="1868">
        <v>0.57811000000000001</v>
      </c>
      <c r="F793" s="1868">
        <v>0.72692999999999997</v>
      </c>
      <c r="G793" s="1868">
        <v>0.64541000000000004</v>
      </c>
      <c r="H793" s="1868">
        <v>0.57718999999999998</v>
      </c>
      <c r="I793" s="1868">
        <v>0.67332999999999998</v>
      </c>
      <c r="J793" s="1868">
        <v>0.65621000000000007</v>
      </c>
      <c r="K793" s="1868">
        <v>0.65561999999999998</v>
      </c>
      <c r="L793" s="1868">
        <v>0.71258999999999995</v>
      </c>
      <c r="M793" s="1868">
        <v>0.68988000000000005</v>
      </c>
      <c r="N793" s="1868">
        <v>0.63918999999999992</v>
      </c>
      <c r="O793" s="1868">
        <v>0.54986000000000002</v>
      </c>
      <c r="P793" s="1868">
        <v>0.56979000000000002</v>
      </c>
      <c r="Q793" s="1868">
        <v>0.67503000000000002</v>
      </c>
      <c r="R793" s="1868">
        <v>0.62756000000000001</v>
      </c>
      <c r="S793" s="1868">
        <v>0.55996999999999997</v>
      </c>
      <c r="T793" s="1868">
        <v>0.55230000000000001</v>
      </c>
      <c r="U793" s="1868">
        <v>0.56662000000000001</v>
      </c>
      <c r="V793" s="1868">
        <v>0.56633</v>
      </c>
      <c r="W793" s="1868">
        <v>0.56759999999999999</v>
      </c>
      <c r="X793" s="1868">
        <v>0.63873000000000002</v>
      </c>
      <c r="Y793" s="1868">
        <v>0.63414999999999999</v>
      </c>
      <c r="Z793" s="1868">
        <v>0.54178999999999999</v>
      </c>
      <c r="AA793" s="1868">
        <v>0.51796000000000009</v>
      </c>
      <c r="AB793" s="1868">
        <v>0.59538999999999997</v>
      </c>
      <c r="AC793" s="1868">
        <v>0.59576000000000007</v>
      </c>
      <c r="AD793" s="1868">
        <v>0.53128999999999993</v>
      </c>
      <c r="AE793" s="1868">
        <v>0.65181</v>
      </c>
      <c r="AF793" s="1868">
        <v>0.46579999999999999</v>
      </c>
      <c r="AG793" s="1868">
        <v>0.47255000000000003</v>
      </c>
      <c r="AH793" s="1868">
        <v>0.47536999999999996</v>
      </c>
      <c r="AI793" s="1868">
        <v>0.54976000000000003</v>
      </c>
      <c r="AJ793" s="1868">
        <v>0.45487</v>
      </c>
      <c r="AK793" s="1868">
        <v>0.53920000000000001</v>
      </c>
      <c r="AL793" s="1868">
        <v>0.46398999999999996</v>
      </c>
      <c r="AM793" s="1868">
        <v>0.49473</v>
      </c>
      <c r="AN793" s="1868">
        <v>0.44863999999999998</v>
      </c>
      <c r="AO793" s="1868">
        <v>0.50895000000000001</v>
      </c>
      <c r="AP793" s="1868">
        <v>0.51268000000000002</v>
      </c>
      <c r="AQ793" s="1868">
        <v>0.41515000000000002</v>
      </c>
      <c r="AR793" s="1868">
        <v>0.53671000000000002</v>
      </c>
      <c r="AS793" s="1868">
        <v>0.55215999999999998</v>
      </c>
      <c r="AT793" s="1868">
        <v>0.65061999999999998</v>
      </c>
      <c r="AU793" s="1868">
        <v>0.48341000000000006</v>
      </c>
      <c r="AV793" s="1868">
        <v>0.56321999999999994</v>
      </c>
      <c r="AW793" s="1868">
        <v>0.56431999999999993</v>
      </c>
      <c r="AX793" s="1868">
        <v>0.55848999999999993</v>
      </c>
      <c r="AY793" s="1868">
        <v>0.57965</v>
      </c>
      <c r="AZ793" s="1868">
        <v>0.67061000000000004</v>
      </c>
      <c r="BA793" s="1868">
        <v>0.60531000000000001</v>
      </c>
    </row>
    <row r="794" spans="1:53">
      <c r="A794" s="1865" t="str">
        <f t="shared" si="12"/>
        <v>Middle AfricaOil palm fruit</v>
      </c>
      <c r="B794" s="1866" t="s">
        <v>1348</v>
      </c>
      <c r="C794" s="1866" t="s">
        <v>1386</v>
      </c>
      <c r="D794" s="1868">
        <v>7.9696600000000002</v>
      </c>
      <c r="E794" s="1868">
        <v>8.0196199999999997</v>
      </c>
      <c r="F794" s="1868">
        <v>8.4001399999999986</v>
      </c>
      <c r="G794" s="1868">
        <v>8.5996600000000001</v>
      </c>
      <c r="H794" s="1868">
        <v>8.9952500000000004</v>
      </c>
      <c r="I794" s="1868">
        <v>8.6955500000000008</v>
      </c>
      <c r="J794" s="1868">
        <v>8.8396899999999992</v>
      </c>
      <c r="K794" s="1868">
        <v>8.5714100000000002</v>
      </c>
      <c r="L794" s="1868">
        <v>8.4300999999999995</v>
      </c>
      <c r="M794" s="1868">
        <v>8.3405699999999996</v>
      </c>
      <c r="N794" s="1868">
        <v>8.2817100000000003</v>
      </c>
      <c r="O794" s="1868">
        <v>8.3157600000000009</v>
      </c>
      <c r="P794" s="1868">
        <v>8.3739799999999995</v>
      </c>
      <c r="Q794" s="1868">
        <v>8.4657600000000013</v>
      </c>
      <c r="R794" s="1868">
        <v>8.5404999999999998</v>
      </c>
      <c r="S794" s="1868">
        <v>8.3965899999999998</v>
      </c>
      <c r="T794" s="1868">
        <v>8.3568100000000012</v>
      </c>
      <c r="U794" s="1868">
        <v>8.5151800000000009</v>
      </c>
      <c r="V794" s="1868">
        <v>7.9293899999999997</v>
      </c>
      <c r="W794" s="1868">
        <v>7.84788</v>
      </c>
      <c r="X794" s="1868">
        <v>7.6137899999999998</v>
      </c>
      <c r="Y794" s="1868">
        <v>7.3810899999999995</v>
      </c>
      <c r="Z794" s="1868">
        <v>6.9404600000000007</v>
      </c>
      <c r="AA794" s="1868">
        <v>7.2094500000000004</v>
      </c>
      <c r="AB794" s="1868">
        <v>7.2443899999999992</v>
      </c>
      <c r="AC794" s="1868">
        <v>7.17842</v>
      </c>
      <c r="AD794" s="1868">
        <v>6.8685499999999999</v>
      </c>
      <c r="AE794" s="1868">
        <v>7.0264199999999999</v>
      </c>
      <c r="AF794" s="1868">
        <v>7.66303</v>
      </c>
      <c r="AG794" s="1868">
        <v>7.6750499999999997</v>
      </c>
      <c r="AH794" s="1868">
        <v>7.3575899999999992</v>
      </c>
      <c r="AI794" s="1868">
        <v>7.32965</v>
      </c>
      <c r="AJ794" s="1868">
        <v>7.5309399999999993</v>
      </c>
      <c r="AK794" s="1868">
        <v>7.5256699999999999</v>
      </c>
      <c r="AL794" s="1868">
        <v>7.6770899999999997</v>
      </c>
      <c r="AM794" s="1868">
        <v>7.66777</v>
      </c>
      <c r="AN794" s="1868">
        <v>8.3717800000000011</v>
      </c>
      <c r="AO794" s="1868">
        <v>8.7620300000000011</v>
      </c>
      <c r="AP794" s="1868">
        <v>8.9705399999999997</v>
      </c>
      <c r="AQ794" s="1868">
        <v>9.0234699999999997</v>
      </c>
      <c r="AR794" s="1868">
        <v>9.76464</v>
      </c>
      <c r="AS794" s="1868">
        <v>9.9694800000000008</v>
      </c>
      <c r="AT794" s="1868">
        <v>10.561310000000001</v>
      </c>
      <c r="AU794" s="1868">
        <v>10.63594</v>
      </c>
      <c r="AV794" s="1868">
        <v>11.01723</v>
      </c>
      <c r="AW794" s="1868">
        <v>10.874089999999999</v>
      </c>
      <c r="AX794" s="1868">
        <v>10.900269999999999</v>
      </c>
      <c r="AY794" s="1868">
        <v>11.17676</v>
      </c>
      <c r="AZ794" s="1868">
        <v>10.880380000000001</v>
      </c>
      <c r="BA794" s="1868">
        <v>10.81338</v>
      </c>
    </row>
    <row r="795" spans="1:53">
      <c r="A795" s="1865" t="str">
        <f t="shared" si="12"/>
        <v>Middle AfricaOnions, dry</v>
      </c>
      <c r="B795" s="1866" t="s">
        <v>1348</v>
      </c>
      <c r="C795" s="1866" t="s">
        <v>1388</v>
      </c>
      <c r="D795" s="1868">
        <v>8.2644199999999994</v>
      </c>
      <c r="E795" s="1868">
        <v>9.1911500000000004</v>
      </c>
      <c r="F795" s="1868">
        <v>8.5653899999999989</v>
      </c>
      <c r="G795" s="1868">
        <v>7.7667699999999993</v>
      </c>
      <c r="H795" s="1868">
        <v>8.5444899999999997</v>
      </c>
      <c r="I795" s="1868">
        <v>7.0649300000000004</v>
      </c>
      <c r="J795" s="1868">
        <v>7.5674800000000007</v>
      </c>
      <c r="K795" s="1868">
        <v>7.4555199999999999</v>
      </c>
      <c r="L795" s="1868">
        <v>7.2670399999999997</v>
      </c>
      <c r="M795" s="1868">
        <v>6.7568299999999999</v>
      </c>
      <c r="N795" s="1868">
        <v>4.86897</v>
      </c>
      <c r="O795" s="1868">
        <v>2.9126099999999999</v>
      </c>
      <c r="P795" s="1868">
        <v>3.5716800000000002</v>
      </c>
      <c r="Q795" s="1868">
        <v>4.8538199999999998</v>
      </c>
      <c r="R795" s="1868">
        <v>4.1960600000000001</v>
      </c>
      <c r="S795" s="1868">
        <v>3.5364800000000005</v>
      </c>
      <c r="T795" s="1868">
        <v>3.6534699999999996</v>
      </c>
      <c r="U795" s="1868">
        <v>5.2018300000000002</v>
      </c>
      <c r="V795" s="1868">
        <v>5.0943399999999999</v>
      </c>
      <c r="W795" s="1868">
        <v>5.0236999999999998</v>
      </c>
      <c r="X795" s="1868">
        <v>4.5210699999999999</v>
      </c>
      <c r="Y795" s="1868">
        <v>4.7619099999999994</v>
      </c>
      <c r="Z795" s="1868">
        <v>4.8951099999999999</v>
      </c>
      <c r="AA795" s="1868">
        <v>4.8271199999999999</v>
      </c>
      <c r="AB795" s="1868">
        <v>4.9933800000000002</v>
      </c>
      <c r="AC795" s="1868">
        <v>5.0519499999999997</v>
      </c>
      <c r="AD795" s="1868">
        <v>5.1153900000000005</v>
      </c>
      <c r="AE795" s="1868">
        <v>5.1180099999999999</v>
      </c>
      <c r="AF795" s="1868">
        <v>5.1402400000000004</v>
      </c>
      <c r="AG795" s="1868">
        <v>5.2024599999999994</v>
      </c>
      <c r="AH795" s="1868">
        <v>5.2009400000000001</v>
      </c>
      <c r="AI795" s="1868">
        <v>5.2353399999999999</v>
      </c>
      <c r="AJ795" s="1868">
        <v>5.1648199999999997</v>
      </c>
      <c r="AK795" s="1868">
        <v>5.1551</v>
      </c>
      <c r="AL795" s="1868">
        <v>5.4047000000000001</v>
      </c>
      <c r="AM795" s="1868">
        <v>5.1230199999999995</v>
      </c>
      <c r="AN795" s="1868">
        <v>6.2303300000000004</v>
      </c>
      <c r="AO795" s="1868">
        <v>6.3468499999999999</v>
      </c>
      <c r="AP795" s="1868">
        <v>7.9152500000000003</v>
      </c>
      <c r="AQ795" s="1868">
        <v>7.8635399999999995</v>
      </c>
      <c r="AR795" s="1868">
        <v>7.8527300000000002</v>
      </c>
      <c r="AS795" s="1868">
        <v>7.9381899999999996</v>
      </c>
      <c r="AT795" s="1868">
        <v>7.5076700000000001</v>
      </c>
      <c r="AU795" s="1868">
        <v>6.7492199999999993</v>
      </c>
      <c r="AV795" s="1868">
        <v>6.9601399999999991</v>
      </c>
      <c r="AW795" s="1868">
        <v>9.3945899999999991</v>
      </c>
      <c r="AX795" s="1868">
        <v>9.7823399999999996</v>
      </c>
      <c r="AY795" s="1868">
        <v>9.8370999999999995</v>
      </c>
      <c r="AZ795" s="1868">
        <v>9.4889399999999995</v>
      </c>
      <c r="BA795" s="1868">
        <v>9.2998999999999992</v>
      </c>
    </row>
    <row r="796" spans="1:53">
      <c r="A796" s="1865" t="str">
        <f t="shared" si="12"/>
        <v>Middle AfricaOranges</v>
      </c>
      <c r="B796" s="1866" t="s">
        <v>1348</v>
      </c>
      <c r="C796" s="1866" t="s">
        <v>1389</v>
      </c>
      <c r="D796" s="1868">
        <v>14.842770000000002</v>
      </c>
      <c r="E796" s="1868">
        <v>14.906829999999999</v>
      </c>
      <c r="F796" s="1868">
        <v>14.969329999999999</v>
      </c>
      <c r="G796" s="1868">
        <v>15.0303</v>
      </c>
      <c r="H796" s="1868">
        <v>15.089820000000001</v>
      </c>
      <c r="I796" s="1868">
        <v>15.08235</v>
      </c>
      <c r="J796" s="1868">
        <v>15.13954</v>
      </c>
      <c r="K796" s="1868">
        <v>15.147729999999999</v>
      </c>
      <c r="L796" s="1868">
        <v>15.366670000000001</v>
      </c>
      <c r="M796" s="1868">
        <v>15.540979999999999</v>
      </c>
      <c r="N796" s="1868">
        <v>15.016220000000001</v>
      </c>
      <c r="O796" s="1868">
        <v>16.172969999999999</v>
      </c>
      <c r="P796" s="1868">
        <v>16.296299999999999</v>
      </c>
      <c r="Q796" s="1868">
        <v>15.67</v>
      </c>
      <c r="R796" s="1868">
        <v>15.568629999999999</v>
      </c>
      <c r="S796" s="1868">
        <v>15.6699</v>
      </c>
      <c r="T796" s="1868">
        <v>16.81915</v>
      </c>
      <c r="U796" s="1868">
        <v>16.844920000000002</v>
      </c>
      <c r="V796" s="1868">
        <v>17.04918</v>
      </c>
      <c r="W796" s="1868">
        <v>17.182320000000001</v>
      </c>
      <c r="X796" s="1868">
        <v>16.755320000000001</v>
      </c>
      <c r="Y796" s="1868">
        <v>16.66667</v>
      </c>
      <c r="Z796" s="1868">
        <v>16.797929999999997</v>
      </c>
      <c r="AA796" s="1868">
        <v>16.680199999999999</v>
      </c>
      <c r="AB796" s="1868">
        <v>11.198650000000001</v>
      </c>
      <c r="AC796" s="1868">
        <v>11.161389999999999</v>
      </c>
      <c r="AD796" s="1868">
        <v>11.463189999999999</v>
      </c>
      <c r="AE796" s="1868">
        <v>11.752980000000001</v>
      </c>
      <c r="AF796" s="1868">
        <v>11.88</v>
      </c>
      <c r="AG796" s="1868">
        <v>11.888769999999999</v>
      </c>
      <c r="AH796" s="1868">
        <v>12.38885</v>
      </c>
      <c r="AI796" s="1868">
        <v>12.49506</v>
      </c>
      <c r="AJ796" s="1868">
        <v>12.61951</v>
      </c>
      <c r="AK796" s="1868">
        <v>12.765239999999999</v>
      </c>
      <c r="AL796" s="1868">
        <v>11.81795</v>
      </c>
      <c r="AM796" s="1868">
        <v>11.56588</v>
      </c>
      <c r="AN796" s="1868">
        <v>11.87777</v>
      </c>
      <c r="AO796" s="1868">
        <v>11.879669999999999</v>
      </c>
      <c r="AP796" s="1868">
        <v>11.672360000000001</v>
      </c>
      <c r="AQ796" s="1868">
        <v>11.49136</v>
      </c>
      <c r="AR796" s="1868">
        <v>11.49202</v>
      </c>
      <c r="AS796" s="1868">
        <v>11.538910000000001</v>
      </c>
      <c r="AT796" s="1868">
        <v>11.65241</v>
      </c>
      <c r="AU796" s="1868">
        <v>11.679110000000001</v>
      </c>
      <c r="AV796" s="1868">
        <v>11.583680000000001</v>
      </c>
      <c r="AW796" s="1868">
        <v>11.571760000000001</v>
      </c>
      <c r="AX796" s="1868">
        <v>11.455869999999999</v>
      </c>
      <c r="AY796" s="1868">
        <v>11.45473</v>
      </c>
      <c r="AZ796" s="1868">
        <v>11.42747</v>
      </c>
      <c r="BA796" s="1868">
        <v>11.25</v>
      </c>
    </row>
    <row r="797" spans="1:53">
      <c r="A797" s="1865" t="str">
        <f t="shared" si="12"/>
        <v>Middle AfricaPeaches and nectarines</v>
      </c>
      <c r="B797" s="1866" t="s">
        <v>1348</v>
      </c>
      <c r="C797" s="1866" t="s">
        <v>1390</v>
      </c>
      <c r="AD797" s="1868">
        <v>5.7142900000000001</v>
      </c>
      <c r="AE797" s="1868">
        <v>5.7142900000000001</v>
      </c>
      <c r="AF797" s="1868">
        <v>5.7142900000000001</v>
      </c>
      <c r="AG797" s="1868">
        <v>5.6666699999999999</v>
      </c>
      <c r="AH797" s="1868">
        <v>6</v>
      </c>
      <c r="AI797" s="1868">
        <v>6.6710500000000001</v>
      </c>
      <c r="AJ797" s="1868">
        <v>5.625</v>
      </c>
      <c r="AK797" s="1868">
        <v>5.9390199999999993</v>
      </c>
      <c r="AL797" s="1868">
        <v>9.49057</v>
      </c>
      <c r="AM797" s="1868">
        <v>5.6470599999999997</v>
      </c>
      <c r="AN797" s="1868">
        <v>5.4777800000000001</v>
      </c>
      <c r="AO797" s="1868">
        <v>5.2061900000000003</v>
      </c>
      <c r="AP797" s="1868">
        <v>5.5555599999999998</v>
      </c>
      <c r="AQ797" s="1868">
        <v>5.1855699999999993</v>
      </c>
      <c r="AR797" s="1868">
        <v>5.6153900000000005</v>
      </c>
      <c r="AS797" s="1868">
        <v>5.5789499999999999</v>
      </c>
      <c r="AT797" s="1868">
        <v>5.65306</v>
      </c>
      <c r="AU797" s="1868">
        <v>5.7425699999999997</v>
      </c>
      <c r="AV797" s="1868">
        <v>5.7307699999999997</v>
      </c>
      <c r="AW797" s="1868">
        <v>5.7458999999999998</v>
      </c>
      <c r="AX797" s="1868">
        <v>5.69231</v>
      </c>
      <c r="AY797" s="1868">
        <v>5.7703699999999998</v>
      </c>
      <c r="AZ797" s="1868">
        <v>5.6842100000000002</v>
      </c>
      <c r="BA797" s="1868">
        <v>5.6296300000000006</v>
      </c>
    </row>
    <row r="798" spans="1:53">
      <c r="A798" s="1865" t="str">
        <f t="shared" si="12"/>
        <v>Middle AfricaPeas, dry</v>
      </c>
      <c r="B798" s="1866" t="s">
        <v>1348</v>
      </c>
      <c r="C798" s="1866" t="s">
        <v>1391</v>
      </c>
      <c r="D798" s="1868">
        <v>0.54</v>
      </c>
      <c r="E798" s="1868">
        <v>0.53846000000000005</v>
      </c>
      <c r="F798" s="1868">
        <v>0.54716999999999993</v>
      </c>
      <c r="G798" s="1868">
        <v>0.54546000000000006</v>
      </c>
      <c r="H798" s="1868">
        <v>0.55357000000000001</v>
      </c>
      <c r="I798" s="1868">
        <v>0.56140000000000001</v>
      </c>
      <c r="J798" s="1868">
        <v>0.56896999999999998</v>
      </c>
      <c r="K798" s="1868">
        <v>0.56667000000000001</v>
      </c>
      <c r="L798" s="1868">
        <v>0.57377</v>
      </c>
      <c r="M798" s="1868">
        <v>0.58065</v>
      </c>
      <c r="N798" s="1868">
        <v>0.57813000000000003</v>
      </c>
      <c r="O798" s="1868">
        <v>0.57576000000000005</v>
      </c>
      <c r="P798" s="1868">
        <v>0.58333000000000002</v>
      </c>
      <c r="Q798" s="1868">
        <v>0.59091000000000005</v>
      </c>
      <c r="R798" s="1868">
        <v>0.58731</v>
      </c>
      <c r="S798" s="1868">
        <v>0.59104999999999996</v>
      </c>
      <c r="T798" s="1868">
        <v>0.59203000000000006</v>
      </c>
      <c r="U798" s="1868">
        <v>0.59419999999999995</v>
      </c>
      <c r="V798" s="1868">
        <v>0.60145000000000004</v>
      </c>
      <c r="W798" s="1868">
        <v>0.60870000000000002</v>
      </c>
      <c r="X798" s="1868">
        <v>0.60714000000000001</v>
      </c>
      <c r="Y798" s="1868">
        <v>0.61429</v>
      </c>
      <c r="Z798" s="1868">
        <v>0.62143000000000004</v>
      </c>
      <c r="AA798" s="1868">
        <v>0.61971999999999994</v>
      </c>
      <c r="AB798" s="1868">
        <v>0.63380000000000003</v>
      </c>
      <c r="AC798" s="1868">
        <v>0.63888999999999996</v>
      </c>
      <c r="AD798" s="1868">
        <v>0.64383999999999997</v>
      </c>
      <c r="AE798" s="1868">
        <v>0.64</v>
      </c>
      <c r="AF798" s="1868">
        <v>0.65790000000000004</v>
      </c>
      <c r="AG798" s="1868">
        <v>0.65656000000000003</v>
      </c>
      <c r="AH798" s="1868">
        <v>0.68352999999999997</v>
      </c>
      <c r="AI798" s="1868">
        <v>0.60229999999999995</v>
      </c>
      <c r="AJ798" s="1868">
        <v>0.65756000000000003</v>
      </c>
      <c r="AK798" s="1868">
        <v>0.68374000000000001</v>
      </c>
      <c r="AL798" s="1868">
        <v>0.63166999999999995</v>
      </c>
      <c r="AM798" s="1868">
        <v>0.60038000000000002</v>
      </c>
      <c r="AN798" s="1868">
        <v>0.62213999999999992</v>
      </c>
      <c r="AO798" s="1868">
        <v>0.63801000000000008</v>
      </c>
      <c r="AP798" s="1868">
        <v>0.63731000000000004</v>
      </c>
      <c r="AQ798" s="1868">
        <v>0.65925</v>
      </c>
      <c r="AR798" s="1868">
        <v>0.65805000000000002</v>
      </c>
      <c r="AS798" s="1868">
        <v>0.65273999999999999</v>
      </c>
      <c r="AT798" s="1868">
        <v>0.65132000000000001</v>
      </c>
      <c r="AU798" s="1868">
        <v>0.67352000000000001</v>
      </c>
      <c r="AV798" s="1868">
        <v>0.67347000000000001</v>
      </c>
      <c r="AW798" s="1868">
        <v>0.67342000000000002</v>
      </c>
      <c r="AX798" s="1868">
        <v>0.6431</v>
      </c>
      <c r="AY798" s="1868">
        <v>0.64833999999999992</v>
      </c>
      <c r="AZ798" s="1868">
        <v>0.65243999999999991</v>
      </c>
      <c r="BA798" s="1868">
        <v>0.65575000000000006</v>
      </c>
    </row>
    <row r="799" spans="1:53">
      <c r="A799" s="1865" t="str">
        <f t="shared" si="12"/>
        <v>Middle AfricaPineapples</v>
      </c>
      <c r="B799" s="1866" t="s">
        <v>1348</v>
      </c>
      <c r="C799" s="1866" t="s">
        <v>1351</v>
      </c>
      <c r="D799" s="1868">
        <v>18.32612</v>
      </c>
      <c r="E799" s="1868">
        <v>17.90896</v>
      </c>
      <c r="F799" s="1868">
        <v>17.91038</v>
      </c>
      <c r="G799" s="1868">
        <v>16.408940000000001</v>
      </c>
      <c r="H799" s="1868">
        <v>17.12444</v>
      </c>
      <c r="I799" s="1868">
        <v>17.354559999999999</v>
      </c>
      <c r="J799" s="1868">
        <v>17.343450000000001</v>
      </c>
      <c r="K799" s="1868">
        <v>18.258420000000001</v>
      </c>
      <c r="L799" s="1868">
        <v>18.244670000000003</v>
      </c>
      <c r="M799" s="1868">
        <v>17.556520000000003</v>
      </c>
      <c r="N799" s="1868">
        <v>18.034860000000002</v>
      </c>
      <c r="O799" s="1868">
        <v>17.397310000000001</v>
      </c>
      <c r="P799" s="1868">
        <v>16.55519</v>
      </c>
      <c r="Q799" s="1868">
        <v>17.490259999999999</v>
      </c>
      <c r="R799" s="1868">
        <v>16.666420000000002</v>
      </c>
      <c r="S799" s="1868">
        <v>16.331679999999999</v>
      </c>
      <c r="T799" s="1868">
        <v>15.829889999999999</v>
      </c>
      <c r="U799" s="1868">
        <v>13.331200000000001</v>
      </c>
      <c r="V799" s="1868">
        <v>13.984810000000001</v>
      </c>
      <c r="W799" s="1868">
        <v>14.176270000000001</v>
      </c>
      <c r="X799" s="1868">
        <v>14.21405</v>
      </c>
      <c r="Y799" s="1868">
        <v>14.10561</v>
      </c>
      <c r="Z799" s="1868">
        <v>14.319220000000001</v>
      </c>
      <c r="AA799" s="1868">
        <v>14.191079999999999</v>
      </c>
      <c r="AB799" s="1868">
        <v>14.189870000000001</v>
      </c>
      <c r="AC799" s="1868">
        <v>14.027439999999999</v>
      </c>
      <c r="AD799" s="1868">
        <v>13.82864</v>
      </c>
      <c r="AE799" s="1868">
        <v>14.22729</v>
      </c>
      <c r="AF799" s="1868">
        <v>14.246670000000002</v>
      </c>
      <c r="AG799" s="1868">
        <v>16.433299999999999</v>
      </c>
      <c r="AH799" s="1868">
        <v>16.791610000000002</v>
      </c>
      <c r="AI799" s="1868">
        <v>17.187449999999998</v>
      </c>
      <c r="AJ799" s="1868">
        <v>17.18432</v>
      </c>
      <c r="AK799" s="1868">
        <v>17.548270000000002</v>
      </c>
      <c r="AL799" s="1868">
        <v>18.917539999999999</v>
      </c>
      <c r="AM799" s="1868">
        <v>16.735020000000002</v>
      </c>
      <c r="AN799" s="1868">
        <v>17.15521</v>
      </c>
      <c r="AO799" s="1868">
        <v>17.215239999999998</v>
      </c>
      <c r="AP799" s="1868">
        <v>18.010570000000001</v>
      </c>
      <c r="AQ799" s="1868">
        <v>18.150370000000002</v>
      </c>
      <c r="AR799" s="1868">
        <v>18.09385</v>
      </c>
      <c r="AS799" s="1868">
        <v>16.60886</v>
      </c>
      <c r="AT799" s="1868">
        <v>16.713620000000002</v>
      </c>
      <c r="AU799" s="1868">
        <v>16.598779999999998</v>
      </c>
      <c r="AV799" s="1868">
        <v>18.578700000000001</v>
      </c>
      <c r="AW799" s="1868">
        <v>17.944589999999998</v>
      </c>
      <c r="AX799" s="1868">
        <v>18.529150000000001</v>
      </c>
      <c r="AY799" s="1868">
        <v>18.598589999999998</v>
      </c>
      <c r="AZ799" s="1868">
        <v>18.265139999999999</v>
      </c>
      <c r="BA799" s="1868">
        <v>18.314910000000001</v>
      </c>
    </row>
    <row r="800" spans="1:53">
      <c r="A800" s="1865" t="str">
        <f t="shared" si="12"/>
        <v>Middle AfricaPlantains</v>
      </c>
      <c r="B800" s="1866" t="s">
        <v>1348</v>
      </c>
      <c r="C800" s="1866" t="s">
        <v>1393</v>
      </c>
      <c r="D800" s="1868">
        <v>4.6332300000000002</v>
      </c>
      <c r="E800" s="1868">
        <v>4.70303</v>
      </c>
      <c r="F800" s="1868">
        <v>4.82463</v>
      </c>
      <c r="G800" s="1868">
        <v>4.9807699999999997</v>
      </c>
      <c r="H800" s="1868">
        <v>4.78132</v>
      </c>
      <c r="I800" s="1868">
        <v>4.8380700000000001</v>
      </c>
      <c r="J800" s="1868">
        <v>4.9302199999999994</v>
      </c>
      <c r="K800" s="1868">
        <v>4.7852199999999998</v>
      </c>
      <c r="L800" s="1868">
        <v>4.5777000000000001</v>
      </c>
      <c r="M800" s="1868">
        <v>4.48658</v>
      </c>
      <c r="N800" s="1868">
        <v>4.5276800000000001</v>
      </c>
      <c r="O800" s="1868">
        <v>4.8579600000000003</v>
      </c>
      <c r="P800" s="1868">
        <v>4.7852399999999999</v>
      </c>
      <c r="Q800" s="1868">
        <v>4.9457000000000004</v>
      </c>
      <c r="R800" s="1868">
        <v>4.8090800000000007</v>
      </c>
      <c r="S800" s="1868">
        <v>4.8521000000000001</v>
      </c>
      <c r="T800" s="1868">
        <v>4.91188</v>
      </c>
      <c r="U800" s="1868">
        <v>5.0480700000000001</v>
      </c>
      <c r="V800" s="1868">
        <v>5.0731000000000002</v>
      </c>
      <c r="W800" s="1868">
        <v>5.0459100000000001</v>
      </c>
      <c r="X800" s="1868">
        <v>4.9875499999999997</v>
      </c>
      <c r="Y800" s="1868">
        <v>4.9313900000000004</v>
      </c>
      <c r="Z800" s="1868">
        <v>3.7216699999999996</v>
      </c>
      <c r="AA800" s="1868">
        <v>3.8684099999999999</v>
      </c>
      <c r="AB800" s="1868">
        <v>4.0522400000000003</v>
      </c>
      <c r="AC800" s="1868">
        <v>3.9790999999999999</v>
      </c>
      <c r="AD800" s="1868">
        <v>4.8263999999999996</v>
      </c>
      <c r="AE800" s="1868">
        <v>4.8415900000000001</v>
      </c>
      <c r="AF800" s="1868">
        <v>5.0965499999999997</v>
      </c>
      <c r="AG800" s="1868">
        <v>4.9104700000000001</v>
      </c>
      <c r="AH800" s="1868">
        <v>5.0488599999999995</v>
      </c>
      <c r="AI800" s="1868">
        <v>5.0431900000000001</v>
      </c>
      <c r="AJ800" s="1868">
        <v>4.9776899999999999</v>
      </c>
      <c r="AK800" s="1868">
        <v>4.9687000000000001</v>
      </c>
      <c r="AL800" s="1868">
        <v>5.2149199999999993</v>
      </c>
      <c r="AM800" s="1868">
        <v>4.97858</v>
      </c>
      <c r="AN800" s="1868">
        <v>5.1270300000000004</v>
      </c>
      <c r="AO800" s="1868">
        <v>5.3969199999999997</v>
      </c>
      <c r="AP800" s="1868">
        <v>5.0960199999999993</v>
      </c>
      <c r="AQ800" s="1868">
        <v>5.1133100000000002</v>
      </c>
      <c r="AR800" s="1868">
        <v>5.1277599999999994</v>
      </c>
      <c r="AS800" s="1868">
        <v>4.84734</v>
      </c>
      <c r="AT800" s="1868">
        <v>4.85128</v>
      </c>
      <c r="AU800" s="1868">
        <v>4.8293200000000001</v>
      </c>
      <c r="AV800" s="1868">
        <v>5.9044400000000001</v>
      </c>
      <c r="AW800" s="1868">
        <v>5.9789400000000006</v>
      </c>
      <c r="AX800" s="1868">
        <v>7.0988199999999999</v>
      </c>
      <c r="AY800" s="1868">
        <v>7.1993999999999998</v>
      </c>
      <c r="AZ800" s="1868">
        <v>7.2497800000000003</v>
      </c>
      <c r="BA800" s="1868">
        <v>7.38713</v>
      </c>
    </row>
    <row r="801" spans="1:53">
      <c r="A801" s="1865" t="str">
        <f t="shared" si="12"/>
        <v>Middle AfricaPotatoes</v>
      </c>
      <c r="B801" s="1866" t="s">
        <v>1348</v>
      </c>
      <c r="C801" s="1866" t="s">
        <v>1394</v>
      </c>
      <c r="D801" s="1868">
        <v>3.9648500000000002</v>
      </c>
      <c r="E801" s="1868">
        <v>3.8929</v>
      </c>
      <c r="F801" s="1868">
        <v>4.3848500000000001</v>
      </c>
      <c r="G801" s="1868">
        <v>4.6472800000000003</v>
      </c>
      <c r="H801" s="1868">
        <v>4.1139700000000001</v>
      </c>
      <c r="I801" s="1868">
        <v>4.2424200000000001</v>
      </c>
      <c r="J801" s="1868">
        <v>4.6955</v>
      </c>
      <c r="K801" s="1868">
        <v>4.5173899999999998</v>
      </c>
      <c r="L801" s="1868">
        <v>4.4419300000000002</v>
      </c>
      <c r="M801" s="1868">
        <v>4.32315</v>
      </c>
      <c r="N801" s="1868">
        <v>4.0846200000000001</v>
      </c>
      <c r="O801" s="1868">
        <v>4.03993</v>
      </c>
      <c r="P801" s="1868">
        <v>4.1731499999999997</v>
      </c>
      <c r="Q801" s="1868">
        <v>4.3029299999999999</v>
      </c>
      <c r="R801" s="1868">
        <v>3.9754300000000002</v>
      </c>
      <c r="S801" s="1868">
        <v>4.1045800000000003</v>
      </c>
      <c r="T801" s="1868">
        <v>4.2703800000000003</v>
      </c>
      <c r="U801" s="1868">
        <v>4.2342199999999997</v>
      </c>
      <c r="V801" s="1868">
        <v>4.4266300000000003</v>
      </c>
      <c r="W801" s="1868">
        <v>4.0989500000000003</v>
      </c>
      <c r="X801" s="1868">
        <v>3.3760400000000002</v>
      </c>
      <c r="Y801" s="1868">
        <v>2.5665400000000003</v>
      </c>
      <c r="Z801" s="1868">
        <v>3.1348099999999999</v>
      </c>
      <c r="AA801" s="1868">
        <v>3.2835699999999997</v>
      </c>
      <c r="AB801" s="1868">
        <v>3.2267600000000001</v>
      </c>
      <c r="AC801" s="1868">
        <v>3.5305900000000001</v>
      </c>
      <c r="AD801" s="1868">
        <v>3.69835</v>
      </c>
      <c r="AE801" s="1868">
        <v>3.9692500000000002</v>
      </c>
      <c r="AF801" s="1868">
        <v>3.6396099999999998</v>
      </c>
      <c r="AG801" s="1868">
        <v>3.33989</v>
      </c>
      <c r="AH801" s="1868">
        <v>3.3805800000000001</v>
      </c>
      <c r="AI801" s="1868">
        <v>3.4886400000000002</v>
      </c>
      <c r="AJ801" s="1868">
        <v>3.8668</v>
      </c>
      <c r="AK801" s="1868">
        <v>3.9547199999999996</v>
      </c>
      <c r="AL801" s="1868">
        <v>4.1575199999999999</v>
      </c>
      <c r="AM801" s="1868">
        <v>4.0988600000000002</v>
      </c>
      <c r="AN801" s="1868">
        <v>4.1469899999999997</v>
      </c>
      <c r="AO801" s="1868">
        <v>4.0780199999999995</v>
      </c>
      <c r="AP801" s="1868">
        <v>5.4826800000000002</v>
      </c>
      <c r="AQ801" s="1868">
        <v>4.8994200000000001</v>
      </c>
      <c r="AR801" s="1868">
        <v>6.5739800000000006</v>
      </c>
      <c r="AS801" s="1868">
        <v>4.8704300000000007</v>
      </c>
      <c r="AT801" s="1868">
        <v>4.9772600000000002</v>
      </c>
      <c r="AU801" s="1868">
        <v>3.2206700000000001</v>
      </c>
      <c r="AV801" s="1868">
        <v>2.72824</v>
      </c>
      <c r="AW801" s="1868">
        <v>4.2147800000000002</v>
      </c>
      <c r="AX801" s="1868">
        <v>4.9625900000000005</v>
      </c>
      <c r="AY801" s="1868">
        <v>5.3523899999999998</v>
      </c>
      <c r="AZ801" s="1868">
        <v>5.9203599999999996</v>
      </c>
      <c r="BA801" s="1868">
        <v>5.9350800000000001</v>
      </c>
    </row>
    <row r="802" spans="1:53">
      <c r="A802" s="1865" t="str">
        <f t="shared" si="12"/>
        <v>Middle AfricaPulses, nes</v>
      </c>
      <c r="B802" s="1866" t="s">
        <v>1348</v>
      </c>
      <c r="C802" s="1866" t="s">
        <v>1395</v>
      </c>
      <c r="D802" s="1868">
        <v>0.61221000000000003</v>
      </c>
      <c r="E802" s="1868">
        <v>0.63900000000000001</v>
      </c>
      <c r="F802" s="1868">
        <v>0.65242</v>
      </c>
      <c r="G802" s="1868">
        <v>0.69386000000000003</v>
      </c>
      <c r="H802" s="1868">
        <v>0.71116000000000001</v>
      </c>
      <c r="I802" s="1868">
        <v>0.71235000000000004</v>
      </c>
      <c r="J802" s="1868">
        <v>0.67596000000000001</v>
      </c>
      <c r="K802" s="1868">
        <v>0.55295000000000005</v>
      </c>
      <c r="L802" s="1868">
        <v>0.52031000000000005</v>
      </c>
      <c r="M802" s="1868">
        <v>0.52988000000000002</v>
      </c>
      <c r="N802" s="1868">
        <v>0.53525</v>
      </c>
      <c r="O802" s="1868">
        <v>0.45834999999999998</v>
      </c>
      <c r="P802" s="1868">
        <v>0.42108999999999996</v>
      </c>
      <c r="Q802" s="1868">
        <v>0.41448000000000002</v>
      </c>
      <c r="R802" s="1868">
        <v>0.43245</v>
      </c>
      <c r="S802" s="1868">
        <v>0.45138999999999996</v>
      </c>
      <c r="T802" s="1868">
        <v>0.46193999999999996</v>
      </c>
      <c r="U802" s="1868">
        <v>0.47554999999999997</v>
      </c>
      <c r="V802" s="1868">
        <v>0.4864</v>
      </c>
      <c r="W802" s="1868">
        <v>0.50358999999999998</v>
      </c>
      <c r="X802" s="1868">
        <v>0.55857000000000001</v>
      </c>
      <c r="Y802" s="1868">
        <v>0.61093999999999993</v>
      </c>
      <c r="Z802" s="1868">
        <v>0.62926000000000004</v>
      </c>
      <c r="AA802" s="1868">
        <v>0.66369</v>
      </c>
      <c r="AB802" s="1868">
        <v>0.69982</v>
      </c>
      <c r="AC802" s="1868">
        <v>0.72477000000000003</v>
      </c>
      <c r="AD802" s="1868">
        <v>0.75378999999999996</v>
      </c>
      <c r="AE802" s="1868">
        <v>0.78273999999999999</v>
      </c>
      <c r="AF802" s="1868">
        <v>0.80786000000000002</v>
      </c>
      <c r="AG802" s="1868">
        <v>0.83153999999999995</v>
      </c>
      <c r="AH802" s="1868">
        <v>0.88402000000000003</v>
      </c>
      <c r="AI802" s="1868">
        <v>0.88632000000000011</v>
      </c>
      <c r="AJ802" s="1868">
        <v>0.84737000000000007</v>
      </c>
      <c r="AK802" s="1868">
        <v>0.87353999999999998</v>
      </c>
      <c r="AL802" s="1868">
        <v>0.85472000000000004</v>
      </c>
      <c r="AM802" s="1868">
        <v>0.86419000000000001</v>
      </c>
      <c r="AN802" s="1868">
        <v>0.81857000000000002</v>
      </c>
      <c r="AO802" s="1868">
        <v>0.81711999999999996</v>
      </c>
      <c r="AP802" s="1868">
        <v>0.78622999999999998</v>
      </c>
      <c r="AQ802" s="1868">
        <v>0.87687999999999988</v>
      </c>
      <c r="AR802" s="1868">
        <v>0.78588000000000002</v>
      </c>
      <c r="AS802" s="1868">
        <v>0.78416000000000008</v>
      </c>
      <c r="AT802" s="1868">
        <v>0.79271999999999998</v>
      </c>
      <c r="AU802" s="1868">
        <v>0.72509999999999997</v>
      </c>
      <c r="AV802" s="1868">
        <v>0.77332000000000001</v>
      </c>
      <c r="AW802" s="1868">
        <v>0.74929999999999997</v>
      </c>
      <c r="AX802" s="1868">
        <v>0.75113999999999992</v>
      </c>
      <c r="AY802" s="1868">
        <v>0.75503999999999993</v>
      </c>
      <c r="AZ802" s="1868">
        <v>0.87888999999999995</v>
      </c>
      <c r="BA802" s="1868">
        <v>0.86575000000000002</v>
      </c>
    </row>
    <row r="803" spans="1:53">
      <c r="A803" s="1865" t="str">
        <f t="shared" si="12"/>
        <v>Middle AfricaRice, paddy</v>
      </c>
      <c r="B803" s="1866" t="s">
        <v>1348</v>
      </c>
      <c r="C803" s="1866" t="s">
        <v>1396</v>
      </c>
      <c r="D803" s="1868">
        <v>0.88344999999999996</v>
      </c>
      <c r="E803" s="1868">
        <v>0.88639000000000001</v>
      </c>
      <c r="F803" s="1868">
        <v>0.95441000000000009</v>
      </c>
      <c r="G803" s="1868">
        <v>1.0348299999999999</v>
      </c>
      <c r="H803" s="1868">
        <v>0.74981000000000009</v>
      </c>
      <c r="I803" s="1868">
        <v>0.99216000000000004</v>
      </c>
      <c r="J803" s="1868">
        <v>1.0270299999999999</v>
      </c>
      <c r="K803" s="1868">
        <v>0.86599999999999999</v>
      </c>
      <c r="L803" s="1868">
        <v>0.85197000000000012</v>
      </c>
      <c r="M803" s="1868">
        <v>0.80262</v>
      </c>
      <c r="N803" s="1868">
        <v>0.80669999999999997</v>
      </c>
      <c r="O803" s="1868">
        <v>0.77342</v>
      </c>
      <c r="P803" s="1868">
        <v>0.80143999999999993</v>
      </c>
      <c r="Q803" s="1868">
        <v>0.82538999999999996</v>
      </c>
      <c r="R803" s="1868">
        <v>0.85804999999999998</v>
      </c>
      <c r="S803" s="1868">
        <v>0.90636000000000005</v>
      </c>
      <c r="T803" s="1868">
        <v>0.88488999999999995</v>
      </c>
      <c r="U803" s="1868">
        <v>0.87218999999999991</v>
      </c>
      <c r="V803" s="1868">
        <v>0.85427999999999993</v>
      </c>
      <c r="W803" s="1868">
        <v>0.92917000000000005</v>
      </c>
      <c r="X803" s="1868">
        <v>0.94617999999999991</v>
      </c>
      <c r="Y803" s="1868">
        <v>0.93551000000000006</v>
      </c>
      <c r="Z803" s="1868">
        <v>1.0167899999999999</v>
      </c>
      <c r="AA803" s="1868">
        <v>0.97071000000000007</v>
      </c>
      <c r="AB803" s="1868">
        <v>1.01162</v>
      </c>
      <c r="AC803" s="1868">
        <v>0.97552000000000005</v>
      </c>
      <c r="AD803" s="1868">
        <v>0.93084999999999996</v>
      </c>
      <c r="AE803" s="1868">
        <v>1.00593</v>
      </c>
      <c r="AF803" s="1868">
        <v>1.0638299999999998</v>
      </c>
      <c r="AG803" s="1868">
        <v>0.96621000000000001</v>
      </c>
      <c r="AH803" s="1868">
        <v>1.0030700000000001</v>
      </c>
      <c r="AI803" s="1868">
        <v>0.9079299999999999</v>
      </c>
      <c r="AJ803" s="1868">
        <v>0.75185000000000002</v>
      </c>
      <c r="AK803" s="1868">
        <v>0.85697000000000012</v>
      </c>
      <c r="AL803" s="1868">
        <v>0.87032000000000009</v>
      </c>
      <c r="AM803" s="1868">
        <v>0.9220799999999999</v>
      </c>
      <c r="AN803" s="1868">
        <v>0.92207000000000006</v>
      </c>
      <c r="AO803" s="1868">
        <v>0.95145000000000002</v>
      </c>
      <c r="AP803" s="1868">
        <v>0.98302999999999996</v>
      </c>
      <c r="AQ803" s="1868">
        <v>0.90229999999999999</v>
      </c>
      <c r="AR803" s="1868">
        <v>0.94732999999999989</v>
      </c>
      <c r="AS803" s="1868">
        <v>0.90359999999999996</v>
      </c>
      <c r="AT803" s="1868">
        <v>0.92137000000000002</v>
      </c>
      <c r="AU803" s="1868">
        <v>0.86655000000000004</v>
      </c>
      <c r="AV803" s="1868">
        <v>0.95025999999999999</v>
      </c>
      <c r="AW803" s="1868">
        <v>0.91287999999999991</v>
      </c>
      <c r="AX803" s="1868">
        <v>0.88754999999999995</v>
      </c>
      <c r="AY803" s="1868">
        <v>0.93959999999999999</v>
      </c>
      <c r="AZ803" s="1868">
        <v>0.89590999999999998</v>
      </c>
      <c r="BA803" s="1868">
        <v>0.95379999999999998</v>
      </c>
    </row>
    <row r="804" spans="1:53">
      <c r="A804" s="1865" t="str">
        <f t="shared" si="12"/>
        <v>Middle AfricaRoots and Tubers, nes</v>
      </c>
      <c r="B804" s="1866" t="s">
        <v>1348</v>
      </c>
      <c r="C804" s="1866" t="s">
        <v>1356</v>
      </c>
      <c r="D804" s="1868">
        <v>5.8563499999999999</v>
      </c>
      <c r="E804" s="1868">
        <v>5.5823300000000007</v>
      </c>
      <c r="F804" s="1868">
        <v>5.6175300000000004</v>
      </c>
      <c r="G804" s="1868">
        <v>5.6126500000000004</v>
      </c>
      <c r="H804" s="1868">
        <v>5.7154199999999999</v>
      </c>
      <c r="I804" s="1868">
        <v>5.7431900000000002</v>
      </c>
      <c r="J804" s="1868">
        <v>5.83012</v>
      </c>
      <c r="K804" s="1868">
        <v>5.8931300000000002</v>
      </c>
      <c r="L804" s="1868">
        <v>5.8787900000000004</v>
      </c>
      <c r="M804" s="1868">
        <v>5.90299</v>
      </c>
      <c r="N804" s="1868">
        <v>6.2014399999999998</v>
      </c>
      <c r="O804" s="1868">
        <v>6.2214300000000007</v>
      </c>
      <c r="P804" s="1868">
        <v>6.0069699999999999</v>
      </c>
      <c r="Q804" s="1868">
        <v>6.2137900000000004</v>
      </c>
      <c r="R804" s="1868">
        <v>6.2938599999999996</v>
      </c>
      <c r="S804" s="1868">
        <v>6.2222200000000001</v>
      </c>
      <c r="T804" s="1868">
        <v>6.3183699999999998</v>
      </c>
      <c r="U804" s="1868">
        <v>5.9725999999999999</v>
      </c>
      <c r="V804" s="1868">
        <v>6.9338800000000003</v>
      </c>
      <c r="W804" s="1868">
        <v>6.776860000000001</v>
      </c>
      <c r="X804" s="1868">
        <v>6.8211399999999998</v>
      </c>
      <c r="Y804" s="1868">
        <v>6.8959999999999999</v>
      </c>
      <c r="Z804" s="1868">
        <v>6.8862800000000002</v>
      </c>
      <c r="AA804" s="1868">
        <v>6.882810000000001</v>
      </c>
      <c r="AB804" s="1868">
        <v>6.8212100000000007</v>
      </c>
      <c r="AC804" s="1868">
        <v>6.96502</v>
      </c>
      <c r="AD804" s="1868">
        <v>6.6855500000000001</v>
      </c>
      <c r="AE804" s="1868">
        <v>6.59138</v>
      </c>
      <c r="AF804" s="1868">
        <v>6.7074499999999997</v>
      </c>
      <c r="AG804" s="1868">
        <v>6.4016400000000004</v>
      </c>
      <c r="AH804" s="1868">
        <v>6.5314399999999999</v>
      </c>
      <c r="AI804" s="1868">
        <v>6.5306499999999996</v>
      </c>
      <c r="AJ804" s="1868">
        <v>6.6989600000000005</v>
      </c>
      <c r="AK804" s="1868">
        <v>6.8003100000000005</v>
      </c>
      <c r="AL804" s="1868">
        <v>7.07578</v>
      </c>
      <c r="AM804" s="1868">
        <v>7.1336100000000009</v>
      </c>
      <c r="AN804" s="1868">
        <v>7.2670100000000009</v>
      </c>
      <c r="AO804" s="1868">
        <v>7.0394800000000002</v>
      </c>
      <c r="AP804" s="1868">
        <v>7.291360000000001</v>
      </c>
      <c r="AQ804" s="1868">
        <v>7.1313600000000008</v>
      </c>
      <c r="AR804" s="1868">
        <v>7.1284999999999998</v>
      </c>
      <c r="AS804" s="1868">
        <v>7.1801500000000003</v>
      </c>
      <c r="AT804" s="1868">
        <v>7.1306000000000003</v>
      </c>
      <c r="AU804" s="1868">
        <v>7.2430399999999997</v>
      </c>
      <c r="AV804" s="1868">
        <v>7.447960000000001</v>
      </c>
      <c r="AW804" s="1868">
        <v>7.6040199999999993</v>
      </c>
      <c r="AX804" s="1868">
        <v>7.8178700000000001</v>
      </c>
      <c r="AY804" s="1868">
        <v>7.8095699999999999</v>
      </c>
      <c r="AZ804" s="1868">
        <v>7.2289199999999996</v>
      </c>
      <c r="BA804" s="1868">
        <v>7.53</v>
      </c>
    </row>
    <row r="805" spans="1:53">
      <c r="A805" s="1865" t="str">
        <f t="shared" si="12"/>
        <v>Middle AfricaSeed cotton</v>
      </c>
      <c r="B805" s="1866" t="s">
        <v>1348</v>
      </c>
      <c r="C805" s="1866" t="s">
        <v>1397</v>
      </c>
      <c r="D805" s="1868">
        <v>0.27959000000000001</v>
      </c>
      <c r="E805" s="1868">
        <v>0.32774999999999999</v>
      </c>
      <c r="F805" s="1868">
        <v>0.36757000000000001</v>
      </c>
      <c r="G805" s="1868">
        <v>0.37411</v>
      </c>
      <c r="H805" s="1868">
        <v>0.34469</v>
      </c>
      <c r="I805" s="1868">
        <v>0.41688000000000003</v>
      </c>
      <c r="J805" s="1868">
        <v>0.40104000000000001</v>
      </c>
      <c r="K805" s="1868">
        <v>0.52954000000000001</v>
      </c>
      <c r="L805" s="1868">
        <v>0.53271999999999997</v>
      </c>
      <c r="M805" s="1868">
        <v>0.47656000000000004</v>
      </c>
      <c r="N805" s="1868">
        <v>0.43033000000000005</v>
      </c>
      <c r="O805" s="1868">
        <v>0.43125000000000002</v>
      </c>
      <c r="P805" s="1868">
        <v>0.45253999999999994</v>
      </c>
      <c r="Q805" s="1868">
        <v>0.53451000000000004</v>
      </c>
      <c r="R805" s="1868">
        <v>0.46550000000000002</v>
      </c>
      <c r="S805" s="1868">
        <v>0.46271000000000001</v>
      </c>
      <c r="T805" s="1868">
        <v>0.42783999999999994</v>
      </c>
      <c r="U805" s="1868">
        <v>0.49645</v>
      </c>
      <c r="V805" s="1868">
        <v>0.53864999999999996</v>
      </c>
      <c r="W805" s="1868">
        <v>0.55613999999999997</v>
      </c>
      <c r="X805" s="1868">
        <v>0.58050000000000002</v>
      </c>
      <c r="Y805" s="1868">
        <v>0.65981000000000001</v>
      </c>
      <c r="Z805" s="1868">
        <v>0.74253000000000002</v>
      </c>
      <c r="AA805" s="1868">
        <v>0.64890999999999999</v>
      </c>
      <c r="AB805" s="1868">
        <v>0.68547999999999998</v>
      </c>
      <c r="AC805" s="1868">
        <v>0.70250000000000001</v>
      </c>
      <c r="AD805" s="1868">
        <v>0.77183999999999997</v>
      </c>
      <c r="AE805" s="1868">
        <v>0.79186999999999996</v>
      </c>
      <c r="AF805" s="1868">
        <v>0.80781999999999998</v>
      </c>
      <c r="AG805" s="1868">
        <v>0.81546000000000007</v>
      </c>
      <c r="AH805" s="1868">
        <v>0.69938999999999996</v>
      </c>
      <c r="AI805" s="1868">
        <v>0.75576999999999994</v>
      </c>
      <c r="AJ805" s="1868">
        <v>0.75408999999999993</v>
      </c>
      <c r="AK805" s="1868">
        <v>0.79716999999999993</v>
      </c>
      <c r="AL805" s="1868">
        <v>0.82110000000000005</v>
      </c>
      <c r="AM805" s="1868">
        <v>0.87442000000000009</v>
      </c>
      <c r="AN805" s="1868">
        <v>0.77888999999999997</v>
      </c>
      <c r="AO805" s="1868">
        <v>0.71965000000000001</v>
      </c>
      <c r="AP805" s="1868">
        <v>0.70023000000000002</v>
      </c>
      <c r="AQ805" s="1868">
        <v>0.74324999999999997</v>
      </c>
      <c r="AR805" s="1868">
        <v>0.75397999999999998</v>
      </c>
      <c r="AS805" s="1868">
        <v>0.77238000000000007</v>
      </c>
      <c r="AT805" s="1868">
        <v>0.80238999999999994</v>
      </c>
      <c r="AU805" s="1868">
        <v>0.89564999999999995</v>
      </c>
      <c r="AV805" s="1868">
        <v>0.92757000000000012</v>
      </c>
      <c r="AW805" s="1868">
        <v>0.97947000000000006</v>
      </c>
      <c r="AX805" s="1868">
        <v>0.95679999999999998</v>
      </c>
      <c r="AY805" s="1868">
        <v>0.89528999999999992</v>
      </c>
      <c r="AZ805" s="1868">
        <v>0.83067000000000002</v>
      </c>
      <c r="BA805" s="1868">
        <v>0.88717999999999997</v>
      </c>
    </row>
    <row r="806" spans="1:53">
      <c r="A806" s="1865" t="str">
        <f t="shared" si="12"/>
        <v>Middle AfricaSesame seed</v>
      </c>
      <c r="B806" s="1866" t="s">
        <v>1348</v>
      </c>
      <c r="C806" s="1866" t="s">
        <v>1345</v>
      </c>
      <c r="D806" s="1868">
        <v>0.25422</v>
      </c>
      <c r="E806" s="1868">
        <v>0.33764</v>
      </c>
      <c r="F806" s="1868">
        <v>0.28811999999999999</v>
      </c>
      <c r="G806" s="1868">
        <v>0.30564999999999998</v>
      </c>
      <c r="H806" s="1868">
        <v>0.29109000000000002</v>
      </c>
      <c r="I806" s="1868">
        <v>0.32056999999999997</v>
      </c>
      <c r="J806" s="1868">
        <v>0.30620999999999998</v>
      </c>
      <c r="K806" s="1868">
        <v>0.29760999999999999</v>
      </c>
      <c r="L806" s="1868">
        <v>0.35779</v>
      </c>
      <c r="M806" s="1868">
        <v>0.33334999999999998</v>
      </c>
      <c r="N806" s="1868">
        <v>0.35683000000000004</v>
      </c>
      <c r="O806" s="1868">
        <v>0.39143</v>
      </c>
      <c r="P806" s="1868">
        <v>0.39710000000000001</v>
      </c>
      <c r="Q806" s="1868">
        <v>0.38424000000000003</v>
      </c>
      <c r="R806" s="1868">
        <v>0.36076999999999998</v>
      </c>
      <c r="S806" s="1868">
        <v>0.35203000000000001</v>
      </c>
      <c r="T806" s="1868">
        <v>0.33382000000000001</v>
      </c>
      <c r="U806" s="1868">
        <v>0.26913999999999999</v>
      </c>
      <c r="V806" s="1868">
        <v>0.30104999999999998</v>
      </c>
      <c r="W806" s="1868">
        <v>0.27161999999999997</v>
      </c>
      <c r="X806" s="1868">
        <v>0.29686999999999997</v>
      </c>
      <c r="Y806" s="1868">
        <v>0.29896999999999996</v>
      </c>
      <c r="Z806" s="1868">
        <v>0.28681000000000001</v>
      </c>
      <c r="AA806" s="1868">
        <v>0.26979999999999998</v>
      </c>
      <c r="AB806" s="1868">
        <v>0.29619000000000001</v>
      </c>
      <c r="AC806" s="1868">
        <v>0.33394000000000001</v>
      </c>
      <c r="AD806" s="1868">
        <v>0.32606000000000002</v>
      </c>
      <c r="AE806" s="1868">
        <v>0.38248000000000004</v>
      </c>
      <c r="AF806" s="1868">
        <v>0.37667</v>
      </c>
      <c r="AG806" s="1868">
        <v>0.44117000000000001</v>
      </c>
      <c r="AH806" s="1868">
        <v>0.40540999999999999</v>
      </c>
      <c r="AI806" s="1868">
        <v>0.40243000000000001</v>
      </c>
      <c r="AJ806" s="1868">
        <v>0.40544999999999998</v>
      </c>
      <c r="AK806" s="1868">
        <v>0.37844</v>
      </c>
      <c r="AL806" s="1868">
        <v>0.41236999999999996</v>
      </c>
      <c r="AM806" s="1868">
        <v>0.44168000000000002</v>
      </c>
      <c r="AN806" s="1868">
        <v>0.441</v>
      </c>
      <c r="AO806" s="1868">
        <v>0.49871000000000004</v>
      </c>
      <c r="AP806" s="1868">
        <v>0.37893000000000004</v>
      </c>
      <c r="AQ806" s="1868">
        <v>0.42491000000000001</v>
      </c>
      <c r="AR806" s="1868">
        <v>0.49562</v>
      </c>
      <c r="AS806" s="1868">
        <v>0.44055</v>
      </c>
      <c r="AT806" s="1868">
        <v>0.43758999999999998</v>
      </c>
      <c r="AU806" s="1868">
        <v>0.44090000000000001</v>
      </c>
      <c r="AV806" s="1868">
        <v>0.42621999999999999</v>
      </c>
      <c r="AW806" s="1868">
        <v>0.43866000000000005</v>
      </c>
      <c r="AX806" s="1868">
        <v>0.45291000000000003</v>
      </c>
      <c r="AY806" s="1868">
        <v>0.42623</v>
      </c>
      <c r="AZ806" s="1868">
        <v>0.41883000000000004</v>
      </c>
      <c r="BA806" s="1868">
        <v>0.41289999999999999</v>
      </c>
    </row>
    <row r="807" spans="1:53">
      <c r="A807" s="1865" t="str">
        <f t="shared" si="12"/>
        <v>Middle AfricaSisal</v>
      </c>
      <c r="B807" s="1866" t="s">
        <v>1348</v>
      </c>
      <c r="C807" s="1866" t="s">
        <v>1398</v>
      </c>
      <c r="D807" s="1868">
        <v>1.0719399999999999</v>
      </c>
      <c r="E807" s="1868">
        <v>1.2661899999999999</v>
      </c>
      <c r="F807" s="1868">
        <v>1.14209</v>
      </c>
      <c r="G807" s="1868">
        <v>1.23201</v>
      </c>
      <c r="H807" s="1868">
        <v>1.26013</v>
      </c>
      <c r="I807" s="1868">
        <v>1.3327500000000001</v>
      </c>
      <c r="J807" s="1868">
        <v>1.1811499999999999</v>
      </c>
      <c r="K807" s="1868">
        <v>1.2982499999999999</v>
      </c>
      <c r="L807" s="1868">
        <v>1.31579</v>
      </c>
      <c r="M807" s="1868">
        <v>1.2095499999999999</v>
      </c>
      <c r="N807" s="1868">
        <v>1.27485</v>
      </c>
      <c r="O807" s="1868">
        <v>1.31044</v>
      </c>
      <c r="P807" s="1868">
        <v>1.5099400000000001</v>
      </c>
      <c r="Q807" s="1868">
        <v>1.3888400000000001</v>
      </c>
      <c r="R807" s="1868">
        <v>1.31803</v>
      </c>
      <c r="S807" s="1868">
        <v>1.2292700000000001</v>
      </c>
      <c r="T807" s="1868">
        <v>1.3931</v>
      </c>
      <c r="U807" s="1868">
        <v>1.3931</v>
      </c>
      <c r="V807" s="1868">
        <v>1.38947</v>
      </c>
      <c r="W807" s="1868">
        <v>1.3</v>
      </c>
      <c r="X807" s="1868">
        <v>1.2</v>
      </c>
      <c r="Y807" s="1868">
        <v>1.3521700000000001</v>
      </c>
      <c r="Z807" s="1868">
        <v>1.22814</v>
      </c>
      <c r="AA807" s="1868">
        <v>0.92537000000000003</v>
      </c>
      <c r="AB807" s="1868">
        <v>0.91852000000000011</v>
      </c>
      <c r="AC807" s="1868">
        <v>0.92592999999999992</v>
      </c>
      <c r="AD807" s="1868">
        <v>0.91912000000000005</v>
      </c>
      <c r="AE807" s="1868">
        <v>0.91303999999999996</v>
      </c>
      <c r="AF807" s="1868">
        <v>0.90713999999999995</v>
      </c>
      <c r="AG807" s="1868">
        <v>0.85341</v>
      </c>
      <c r="AH807" s="1868">
        <v>0.89198999999999995</v>
      </c>
      <c r="AI807" s="1868">
        <v>0.68859999999999999</v>
      </c>
      <c r="AJ807" s="1868">
        <v>0.68696000000000002</v>
      </c>
      <c r="AK807" s="1868">
        <v>0.81333</v>
      </c>
      <c r="AL807" s="1868">
        <v>0.94281000000000004</v>
      </c>
      <c r="AM807" s="1868">
        <v>0.68400000000000005</v>
      </c>
      <c r="AN807" s="1868">
        <v>0.75456000000000001</v>
      </c>
      <c r="AO807" s="1868">
        <v>0.81779999999999997</v>
      </c>
      <c r="AP807" s="1868">
        <v>0.65078999999999998</v>
      </c>
      <c r="AQ807" s="1868">
        <v>0.62150000000000005</v>
      </c>
      <c r="AR807" s="1868">
        <v>0.67108999999999996</v>
      </c>
      <c r="AS807" s="1868">
        <v>0.67759999999999998</v>
      </c>
      <c r="AT807" s="1868">
        <v>0.44193000000000005</v>
      </c>
      <c r="AU807" s="1868">
        <v>0.58216000000000001</v>
      </c>
      <c r="AV807" s="1868">
        <v>0.57208999999999999</v>
      </c>
      <c r="AW807" s="1868">
        <v>0.48836999999999997</v>
      </c>
      <c r="AX807" s="1868">
        <v>0.49070000000000003</v>
      </c>
      <c r="AY807" s="1868">
        <v>0.49070000000000003</v>
      </c>
      <c r="AZ807" s="1868">
        <v>0.52326000000000006</v>
      </c>
      <c r="BA807" s="1868">
        <v>0.55038999999999993</v>
      </c>
    </row>
    <row r="808" spans="1:53">
      <c r="A808" s="1865" t="str">
        <f t="shared" si="12"/>
        <v>Middle AfricaSorghum</v>
      </c>
      <c r="B808" s="1866" t="s">
        <v>1348</v>
      </c>
      <c r="C808" s="1866" t="s">
        <v>1399</v>
      </c>
      <c r="D808" s="1868">
        <v>0.69131999999999993</v>
      </c>
      <c r="E808" s="1868">
        <v>0.62651000000000001</v>
      </c>
      <c r="F808" s="1868">
        <v>0.77196000000000009</v>
      </c>
      <c r="G808" s="1868">
        <v>0.69341000000000008</v>
      </c>
      <c r="H808" s="1868">
        <v>0.63451999999999997</v>
      </c>
      <c r="I808" s="1868">
        <v>0.74113999999999991</v>
      </c>
      <c r="J808" s="1868">
        <v>0.69157999999999997</v>
      </c>
      <c r="K808" s="1868">
        <v>0.68300000000000005</v>
      </c>
      <c r="L808" s="1868">
        <v>0.74865000000000004</v>
      </c>
      <c r="M808" s="1868">
        <v>0.71921000000000002</v>
      </c>
      <c r="N808" s="1868">
        <v>0.67359999999999998</v>
      </c>
      <c r="O808" s="1868">
        <v>0.59783999999999993</v>
      </c>
      <c r="P808" s="1868">
        <v>0.60323000000000004</v>
      </c>
      <c r="Q808" s="1868">
        <v>0.72366000000000008</v>
      </c>
      <c r="R808" s="1868">
        <v>0.69252999999999998</v>
      </c>
      <c r="S808" s="1868">
        <v>0.60278999999999994</v>
      </c>
      <c r="T808" s="1868">
        <v>0.62339999999999995</v>
      </c>
      <c r="U808" s="1868">
        <v>0.65163000000000004</v>
      </c>
      <c r="V808" s="1868">
        <v>0.61856</v>
      </c>
      <c r="W808" s="1868">
        <v>0.67358000000000007</v>
      </c>
      <c r="X808" s="1868">
        <v>0.70253999999999994</v>
      </c>
      <c r="Y808" s="1868">
        <v>0.67205000000000004</v>
      </c>
      <c r="Z808" s="1868">
        <v>0.61665000000000003</v>
      </c>
      <c r="AA808" s="1868">
        <v>0.61082000000000003</v>
      </c>
      <c r="AB808" s="1868">
        <v>0.74883999999999995</v>
      </c>
      <c r="AC808" s="1868">
        <v>0.85588999999999993</v>
      </c>
      <c r="AD808" s="1868">
        <v>0.66586000000000001</v>
      </c>
      <c r="AE808" s="1868">
        <v>0.79300999999999999</v>
      </c>
      <c r="AF808" s="1868">
        <v>0.64843000000000006</v>
      </c>
      <c r="AG808" s="1868">
        <v>0.72907</v>
      </c>
      <c r="AH808" s="1868">
        <v>0.67615000000000003</v>
      </c>
      <c r="AI808" s="1868">
        <v>0.75638000000000005</v>
      </c>
      <c r="AJ808" s="1868">
        <v>0.63831000000000004</v>
      </c>
      <c r="AK808" s="1868">
        <v>0.75863999999999998</v>
      </c>
      <c r="AL808" s="1868">
        <v>0.74282999999999999</v>
      </c>
      <c r="AM808" s="1868">
        <v>0.75322</v>
      </c>
      <c r="AN808" s="1868">
        <v>0.70096999999999998</v>
      </c>
      <c r="AO808" s="1868">
        <v>0.83538999999999997</v>
      </c>
      <c r="AP808" s="1868">
        <v>0.81768000000000007</v>
      </c>
      <c r="AQ808" s="1868">
        <v>0.80445</v>
      </c>
      <c r="AR808" s="1868">
        <v>0.82647999999999988</v>
      </c>
      <c r="AS808" s="1868">
        <v>0.94710000000000005</v>
      </c>
      <c r="AT808" s="1868">
        <v>0.92136000000000007</v>
      </c>
      <c r="AU808" s="1868">
        <v>0.92152999999999996</v>
      </c>
      <c r="AV808" s="1868">
        <v>1.0028299999999999</v>
      </c>
      <c r="AW808" s="1868">
        <v>1.0079</v>
      </c>
      <c r="AX808" s="1868">
        <v>0.96827000000000008</v>
      </c>
      <c r="AY808" s="1868">
        <v>1.0574700000000001</v>
      </c>
      <c r="AZ808" s="1868">
        <v>0.98283999999999994</v>
      </c>
      <c r="BA808" s="1868">
        <v>0.94076000000000004</v>
      </c>
    </row>
    <row r="809" spans="1:53">
      <c r="A809" s="1865" t="str">
        <f t="shared" si="12"/>
        <v>Middle AfricaSoybeans</v>
      </c>
      <c r="B809" s="1866" t="s">
        <v>1348</v>
      </c>
      <c r="C809" s="1866" t="s">
        <v>1359</v>
      </c>
      <c r="D809" s="1868">
        <v>0.59</v>
      </c>
      <c r="E809" s="1868">
        <v>0.66100000000000003</v>
      </c>
      <c r="F809" s="1868">
        <v>0.71</v>
      </c>
      <c r="G809" s="1868">
        <v>0.73333000000000004</v>
      </c>
      <c r="H809" s="1868">
        <v>0.66666999999999998</v>
      </c>
      <c r="I809" s="1868">
        <v>0.68667</v>
      </c>
      <c r="J809" s="1868">
        <v>0.72099999999999997</v>
      </c>
      <c r="K809" s="1868">
        <v>0.68966000000000005</v>
      </c>
      <c r="L809" s="1868">
        <v>0.71428999999999998</v>
      </c>
      <c r="M809" s="1868">
        <v>0.84211000000000003</v>
      </c>
      <c r="N809" s="1868">
        <v>0.85</v>
      </c>
      <c r="O809" s="1868">
        <v>0.82608999999999999</v>
      </c>
      <c r="P809" s="1868">
        <v>0.80952000000000002</v>
      </c>
      <c r="Q809" s="1868">
        <v>0.81818000000000002</v>
      </c>
      <c r="R809" s="1868">
        <v>0.73913000000000006</v>
      </c>
      <c r="S809" s="1868">
        <v>0.76191000000000009</v>
      </c>
      <c r="T809" s="1868">
        <v>0.66666999999999998</v>
      </c>
      <c r="U809" s="1868">
        <v>0.85224</v>
      </c>
      <c r="V809" s="1868">
        <v>0.83073999999999992</v>
      </c>
      <c r="W809" s="1868">
        <v>0.76361999999999997</v>
      </c>
      <c r="X809" s="1868">
        <v>0.77626000000000006</v>
      </c>
      <c r="Y809" s="1868">
        <v>0.77585999999999999</v>
      </c>
      <c r="Z809" s="1868">
        <v>0.75</v>
      </c>
      <c r="AA809" s="1868">
        <v>0.73973</v>
      </c>
      <c r="AB809" s="1868">
        <v>0.74713999999999992</v>
      </c>
      <c r="AC809" s="1868">
        <v>0.77202999999999999</v>
      </c>
      <c r="AD809" s="1868">
        <v>0.74458000000000002</v>
      </c>
      <c r="AE809" s="1868">
        <v>0.88680999999999999</v>
      </c>
      <c r="AF809" s="1868">
        <v>0.85277999999999998</v>
      </c>
      <c r="AG809" s="1868">
        <v>0.85632999999999992</v>
      </c>
      <c r="AH809" s="1868">
        <v>0.84553999999999996</v>
      </c>
      <c r="AI809" s="1868">
        <v>0.85741000000000001</v>
      </c>
      <c r="AJ809" s="1868">
        <v>0.85536000000000001</v>
      </c>
      <c r="AK809" s="1868">
        <v>0.85426000000000002</v>
      </c>
      <c r="AL809" s="1868">
        <v>0.78327000000000002</v>
      </c>
      <c r="AM809" s="1868">
        <v>0.54726000000000008</v>
      </c>
      <c r="AN809" s="1868">
        <v>0.76307999999999998</v>
      </c>
      <c r="AO809" s="1868">
        <v>0.54286000000000001</v>
      </c>
      <c r="AP809" s="1868">
        <v>0.55723</v>
      </c>
      <c r="AQ809" s="1868">
        <v>0.55523999999999996</v>
      </c>
      <c r="AR809" s="1868">
        <v>0.53217000000000003</v>
      </c>
      <c r="AS809" s="1868">
        <v>0.51391999999999993</v>
      </c>
      <c r="AT809" s="1868">
        <v>0.51258999999999999</v>
      </c>
      <c r="AU809" s="1868">
        <v>0.52218999999999993</v>
      </c>
      <c r="AV809" s="1868">
        <v>0.52944999999999998</v>
      </c>
      <c r="AW809" s="1868">
        <v>0.53216000000000008</v>
      </c>
      <c r="AX809" s="1868">
        <v>0.60609999999999997</v>
      </c>
      <c r="AY809" s="1868">
        <v>0.60509000000000002</v>
      </c>
      <c r="AZ809" s="1868">
        <v>0.59556999999999993</v>
      </c>
      <c r="BA809" s="1868">
        <v>0.60824</v>
      </c>
    </row>
    <row r="810" spans="1:53">
      <c r="A810" s="1865" t="str">
        <f t="shared" si="12"/>
        <v>Middle AfricaSugar cane</v>
      </c>
      <c r="B810" s="1866" t="s">
        <v>1348</v>
      </c>
      <c r="C810" s="1866" t="s">
        <v>1401</v>
      </c>
      <c r="D810" s="1868">
        <v>37.052240000000005</v>
      </c>
      <c r="E810" s="1868">
        <v>39.842350000000003</v>
      </c>
      <c r="F810" s="1868">
        <v>32.898070000000004</v>
      </c>
      <c r="G810" s="1868">
        <v>39.306719999999999</v>
      </c>
      <c r="H810" s="1868">
        <v>40.662990000000001</v>
      </c>
      <c r="I810" s="1868">
        <v>35.80153</v>
      </c>
      <c r="J810" s="1868">
        <v>38.976950000000002</v>
      </c>
      <c r="K810" s="1868">
        <v>33.939590000000003</v>
      </c>
      <c r="L810" s="1868">
        <v>33.092059999999996</v>
      </c>
      <c r="M810" s="1868">
        <v>30.454940000000001</v>
      </c>
      <c r="N810" s="1868">
        <v>28.865209999999998</v>
      </c>
      <c r="O810" s="1868">
        <v>27.56682</v>
      </c>
      <c r="P810" s="1868">
        <v>29.418900000000001</v>
      </c>
      <c r="Q810" s="1868">
        <v>23.632460000000002</v>
      </c>
      <c r="R810" s="1868">
        <v>22.228999999999999</v>
      </c>
      <c r="S810" s="1868">
        <v>22.276959999999999</v>
      </c>
      <c r="T810" s="1868">
        <v>20.348790000000001</v>
      </c>
      <c r="U810" s="1868">
        <v>18.165229999999998</v>
      </c>
      <c r="V810" s="1868">
        <v>20.162020000000002</v>
      </c>
      <c r="W810" s="1868">
        <v>23.180039999999998</v>
      </c>
      <c r="X810" s="1868">
        <v>27.67033</v>
      </c>
      <c r="Y810" s="1868">
        <v>23.825120000000002</v>
      </c>
      <c r="Z810" s="1868">
        <v>18.364850000000001</v>
      </c>
      <c r="AA810" s="1868">
        <v>17.222660000000001</v>
      </c>
      <c r="AB810" s="1868">
        <v>17.152329999999999</v>
      </c>
      <c r="AC810" s="1868">
        <v>16.557289999999998</v>
      </c>
      <c r="AD810" s="1868">
        <v>18.038520000000002</v>
      </c>
      <c r="AE810" s="1868">
        <v>18.291</v>
      </c>
      <c r="AF810" s="1868">
        <v>19.331689999999998</v>
      </c>
      <c r="AG810" s="1868">
        <v>19.833939999999998</v>
      </c>
      <c r="AH810" s="1868">
        <v>20.39443</v>
      </c>
      <c r="AI810" s="1868">
        <v>20.146599999999999</v>
      </c>
      <c r="AJ810" s="1868">
        <v>20.143139999999999</v>
      </c>
      <c r="AK810" s="1868">
        <v>19.998550000000002</v>
      </c>
      <c r="AL810" s="1868">
        <v>20.975290000000001</v>
      </c>
      <c r="AM810" s="1868">
        <v>20.9922</v>
      </c>
      <c r="AN810" s="1868">
        <v>20.849970000000003</v>
      </c>
      <c r="AO810" s="1868">
        <v>21.254470000000001</v>
      </c>
      <c r="AP810" s="1868">
        <v>20.667870000000001</v>
      </c>
      <c r="AQ810" s="1868">
        <v>21.072179999999999</v>
      </c>
      <c r="AR810" s="1868">
        <v>20.654620000000001</v>
      </c>
      <c r="AS810" s="1868">
        <v>20.034079999999999</v>
      </c>
      <c r="AT810" s="1868">
        <v>20.364420000000003</v>
      </c>
      <c r="AU810" s="1868">
        <v>19.902260000000002</v>
      </c>
      <c r="AV810" s="1868">
        <v>20.006399999999999</v>
      </c>
      <c r="AW810" s="1868">
        <v>21.31344</v>
      </c>
      <c r="AX810" s="1868">
        <v>20.622669999999999</v>
      </c>
      <c r="AY810" s="1868">
        <v>21.288610000000002</v>
      </c>
      <c r="AZ810" s="1868">
        <v>21.42548</v>
      </c>
      <c r="BA810" s="1868">
        <v>21.594739999999998</v>
      </c>
    </row>
    <row r="811" spans="1:53">
      <c r="A811" s="1865" t="str">
        <f t="shared" si="12"/>
        <v>Middle AfricaSunflower seed</v>
      </c>
      <c r="B811" s="1866" t="s">
        <v>1348</v>
      </c>
      <c r="C811" s="1866" t="s">
        <v>1402</v>
      </c>
      <c r="D811" s="1868">
        <v>1.5</v>
      </c>
      <c r="E811" s="1868">
        <v>1</v>
      </c>
      <c r="F811" s="1868">
        <v>1</v>
      </c>
      <c r="G811" s="1868">
        <v>1</v>
      </c>
      <c r="H811" s="1868">
        <v>1</v>
      </c>
      <c r="I811" s="1868">
        <v>0.875</v>
      </c>
      <c r="J811" s="1868">
        <v>1</v>
      </c>
      <c r="K811" s="1868">
        <v>0.75</v>
      </c>
      <c r="L811" s="1868">
        <v>0.88888999999999996</v>
      </c>
      <c r="M811" s="1868">
        <v>1</v>
      </c>
      <c r="N811" s="1868">
        <v>0.8</v>
      </c>
      <c r="O811" s="1868">
        <v>1.2</v>
      </c>
      <c r="P811" s="1868">
        <v>1</v>
      </c>
      <c r="Q811" s="1868">
        <v>0.76922999999999997</v>
      </c>
      <c r="R811" s="1868">
        <v>0.76922999999999997</v>
      </c>
      <c r="S811" s="1868">
        <v>0.76922999999999997</v>
      </c>
      <c r="T811" s="1868">
        <v>0.71428999999999998</v>
      </c>
      <c r="U811" s="1868">
        <v>0.71428999999999998</v>
      </c>
      <c r="V811" s="1868">
        <v>0.66666999999999998</v>
      </c>
      <c r="W811" s="1868">
        <v>0.66666999999999998</v>
      </c>
      <c r="X811" s="1868">
        <v>0.66666999999999998</v>
      </c>
      <c r="Y811" s="1868">
        <v>0.64285999999999999</v>
      </c>
      <c r="Z811" s="1868">
        <v>0.66666999999999998</v>
      </c>
      <c r="AA811" s="1868">
        <v>0.63636000000000004</v>
      </c>
      <c r="AB811" s="1868">
        <v>0.63636000000000004</v>
      </c>
      <c r="AC811" s="1868">
        <v>0.63636000000000004</v>
      </c>
      <c r="AD811" s="1868">
        <v>0.66666999999999998</v>
      </c>
      <c r="AE811" s="1868">
        <v>0.63636000000000004</v>
      </c>
      <c r="AF811" s="1868">
        <v>0.66666999999999998</v>
      </c>
      <c r="AG811" s="1868">
        <v>0.64285999999999999</v>
      </c>
      <c r="AH811" s="1868">
        <v>0.66666999999999998</v>
      </c>
      <c r="AI811" s="1868">
        <v>0.6875</v>
      </c>
      <c r="AJ811" s="1868">
        <v>0.66666999999999998</v>
      </c>
      <c r="AK811" s="1868">
        <v>0.66666999999999998</v>
      </c>
      <c r="AL811" s="1868">
        <v>0.64808999999999994</v>
      </c>
      <c r="AM811" s="1868">
        <v>0.69589000000000001</v>
      </c>
      <c r="AN811" s="1868">
        <v>0.56478000000000006</v>
      </c>
      <c r="AO811" s="1868">
        <v>0.64327999999999996</v>
      </c>
      <c r="AP811" s="1868">
        <v>0.68966000000000005</v>
      </c>
      <c r="AQ811" s="1868">
        <v>0.73333000000000004</v>
      </c>
      <c r="AR811" s="1868">
        <v>0.76018999999999992</v>
      </c>
      <c r="AS811" s="1868">
        <v>0.76593999999999995</v>
      </c>
      <c r="AT811" s="1868">
        <v>0.75313999999999992</v>
      </c>
      <c r="AU811" s="1868">
        <v>0.77878000000000003</v>
      </c>
      <c r="AV811" s="1868">
        <v>0.82013999999999998</v>
      </c>
      <c r="AW811" s="1868">
        <v>0.75192000000000003</v>
      </c>
      <c r="AX811" s="1868">
        <v>0.65112000000000003</v>
      </c>
      <c r="AY811" s="1868">
        <v>0.70989999999999998</v>
      </c>
      <c r="AZ811" s="1868">
        <v>0.71826000000000001</v>
      </c>
      <c r="BA811" s="1868">
        <v>0.85145000000000004</v>
      </c>
    </row>
    <row r="812" spans="1:53">
      <c r="A812" s="1865" t="str">
        <f t="shared" si="12"/>
        <v>Middle AfricaSweet potatoes</v>
      </c>
      <c r="B812" s="1866" t="s">
        <v>1348</v>
      </c>
      <c r="C812" s="1866" t="s">
        <v>1403</v>
      </c>
      <c r="D812" s="1868">
        <v>4.5778300000000005</v>
      </c>
      <c r="E812" s="1868">
        <v>4.7007199999999996</v>
      </c>
      <c r="F812" s="1868">
        <v>4.8732600000000001</v>
      </c>
      <c r="G812" s="1868">
        <v>5.1406599999999996</v>
      </c>
      <c r="H812" s="1868">
        <v>4.6162300000000007</v>
      </c>
      <c r="I812" s="1868">
        <v>4.9415300000000002</v>
      </c>
      <c r="J812" s="1868">
        <v>4.8286199999999999</v>
      </c>
      <c r="K812" s="1868">
        <v>4.8011200000000001</v>
      </c>
      <c r="L812" s="1868">
        <v>4.5444500000000003</v>
      </c>
      <c r="M812" s="1868">
        <v>4.96943</v>
      </c>
      <c r="N812" s="1868">
        <v>4.7846699999999993</v>
      </c>
      <c r="O812" s="1868">
        <v>5.02067</v>
      </c>
      <c r="P812" s="1868">
        <v>5.0708800000000007</v>
      </c>
      <c r="Q812" s="1868">
        <v>4.9671799999999999</v>
      </c>
      <c r="R812" s="1868">
        <v>5.0383699999999996</v>
      </c>
      <c r="S812" s="1868">
        <v>5.0629200000000001</v>
      </c>
      <c r="T812" s="1868">
        <v>5.0412099999999995</v>
      </c>
      <c r="U812" s="1868">
        <v>4.9263399999999997</v>
      </c>
      <c r="V812" s="1868">
        <v>5.0722500000000004</v>
      </c>
      <c r="W812" s="1868">
        <v>5.0998199999999994</v>
      </c>
      <c r="X812" s="1868">
        <v>5.1777899999999999</v>
      </c>
      <c r="Y812" s="1868">
        <v>5.1478999999999999</v>
      </c>
      <c r="Z812" s="1868">
        <v>5.0571900000000003</v>
      </c>
      <c r="AA812" s="1868">
        <v>5.47553</v>
      </c>
      <c r="AB812" s="1868">
        <v>5.6533300000000004</v>
      </c>
      <c r="AC812" s="1868">
        <v>5.6623700000000001</v>
      </c>
      <c r="AD812" s="1868">
        <v>5.8871199999999995</v>
      </c>
      <c r="AE812" s="1868">
        <v>5.7037000000000004</v>
      </c>
      <c r="AF812" s="1868">
        <v>5.6288499999999999</v>
      </c>
      <c r="AG812" s="1868">
        <v>5.7329300000000005</v>
      </c>
      <c r="AH812" s="1868">
        <v>5.5939100000000002</v>
      </c>
      <c r="AI812" s="1868">
        <v>5.5373199999999994</v>
      </c>
      <c r="AJ812" s="1868">
        <v>5.5318899999999998</v>
      </c>
      <c r="AK812" s="1868">
        <v>5.5175800000000006</v>
      </c>
      <c r="AL812" s="1868">
        <v>4.4015300000000002</v>
      </c>
      <c r="AM812" s="1868">
        <v>4.9648099999999999</v>
      </c>
      <c r="AN812" s="1868">
        <v>5.3601400000000003</v>
      </c>
      <c r="AO812" s="1868">
        <v>5.1601300000000005</v>
      </c>
      <c r="AP812" s="1868">
        <v>5.1664099999999999</v>
      </c>
      <c r="AQ812" s="1868">
        <v>4.0956299999999999</v>
      </c>
      <c r="AR812" s="1868">
        <v>4.5210400000000002</v>
      </c>
      <c r="AS812" s="1868">
        <v>4.1361400000000001</v>
      </c>
      <c r="AT812" s="1868">
        <v>3.8708999999999998</v>
      </c>
      <c r="AU812" s="1868">
        <v>4.2425100000000002</v>
      </c>
      <c r="AV812" s="1868">
        <v>4.6446300000000003</v>
      </c>
      <c r="AW812" s="1868">
        <v>4.5319099999999999</v>
      </c>
      <c r="AX812" s="1868">
        <v>5.3565300000000002</v>
      </c>
      <c r="AY812" s="1868">
        <v>5.62174</v>
      </c>
      <c r="AZ812" s="1868">
        <v>5.3416199999999998</v>
      </c>
      <c r="BA812" s="1868">
        <v>5.2202999999999999</v>
      </c>
    </row>
    <row r="813" spans="1:53">
      <c r="A813" s="1865" t="str">
        <f t="shared" si="12"/>
        <v>Middle AfricaTangerines, mandarins, clem.</v>
      </c>
      <c r="B813" s="1866" t="s">
        <v>1348</v>
      </c>
      <c r="C813" s="1866" t="s">
        <v>1404</v>
      </c>
      <c r="AM813" s="1868">
        <v>4.2509100000000002</v>
      </c>
      <c r="AN813" s="1868">
        <v>4.8979599999999994</v>
      </c>
      <c r="AO813" s="1868">
        <v>4.9079800000000002</v>
      </c>
      <c r="AP813" s="1868">
        <v>4.77515</v>
      </c>
      <c r="AQ813" s="1868">
        <v>4.7191700000000001</v>
      </c>
      <c r="AR813" s="1868">
        <v>5</v>
      </c>
      <c r="AS813" s="1868">
        <v>3.8843099999999997</v>
      </c>
      <c r="AT813" s="1868">
        <v>4</v>
      </c>
      <c r="AU813" s="1868">
        <v>4.0215100000000001</v>
      </c>
      <c r="AV813" s="1868">
        <v>4.0350900000000003</v>
      </c>
      <c r="AW813" s="1868">
        <v>4</v>
      </c>
      <c r="AX813" s="1868">
        <v>4.0350900000000003</v>
      </c>
      <c r="AY813" s="1868">
        <v>4.1068300000000004</v>
      </c>
      <c r="AZ813" s="1868">
        <v>4.0066800000000002</v>
      </c>
      <c r="BA813" s="1868">
        <v>4.0983599999999996</v>
      </c>
    </row>
    <row r="814" spans="1:53">
      <c r="A814" s="1865" t="str">
        <f t="shared" si="12"/>
        <v>Middle AfricaTea</v>
      </c>
      <c r="B814" s="1866" t="s">
        <v>1348</v>
      </c>
      <c r="C814" s="1866" t="s">
        <v>1405</v>
      </c>
      <c r="D814" s="1868">
        <v>0.75375000000000003</v>
      </c>
      <c r="E814" s="1868">
        <v>0.70686000000000004</v>
      </c>
      <c r="F814" s="1868">
        <v>0.79271000000000003</v>
      </c>
      <c r="G814" s="1868">
        <v>0.91136000000000006</v>
      </c>
      <c r="H814" s="1868">
        <v>1.0334700000000001</v>
      </c>
      <c r="I814" s="1868">
        <v>1.1671200000000002</v>
      </c>
      <c r="J814" s="1868">
        <v>0.69177</v>
      </c>
      <c r="K814" s="1868">
        <v>1.0122799999999998</v>
      </c>
      <c r="L814" s="1868">
        <v>0.92486000000000002</v>
      </c>
      <c r="M814" s="1868">
        <v>0.74166999999999994</v>
      </c>
      <c r="N814" s="1868">
        <v>0.77310000000000001</v>
      </c>
      <c r="O814" s="1868">
        <v>0.78400000000000003</v>
      </c>
      <c r="P814" s="1868">
        <v>0.76207000000000003</v>
      </c>
      <c r="Q814" s="1868">
        <v>0.68493999999999999</v>
      </c>
      <c r="R814" s="1868">
        <v>0.74168000000000001</v>
      </c>
      <c r="S814" s="1868">
        <v>0.69416</v>
      </c>
      <c r="T814" s="1868">
        <v>0.75046999999999997</v>
      </c>
      <c r="U814" s="1868">
        <v>0.75561999999999996</v>
      </c>
      <c r="V814" s="1868">
        <v>0.74287999999999998</v>
      </c>
      <c r="W814" s="1868">
        <v>0.71773999999999993</v>
      </c>
      <c r="X814" s="1868">
        <v>0.59157999999999999</v>
      </c>
      <c r="Y814" s="1868">
        <v>0.53323999999999994</v>
      </c>
      <c r="Z814" s="1868">
        <v>0.56372</v>
      </c>
      <c r="AA814" s="1868">
        <v>0.57709999999999995</v>
      </c>
      <c r="AB814" s="1868">
        <v>0.55810999999999999</v>
      </c>
      <c r="AC814" s="1868">
        <v>0.71814999999999996</v>
      </c>
      <c r="AD814" s="1868">
        <v>0.47361000000000003</v>
      </c>
      <c r="AE814" s="1868">
        <v>0.60870000000000002</v>
      </c>
      <c r="AF814" s="1868">
        <v>0.52327999999999997</v>
      </c>
      <c r="AG814" s="1868">
        <v>0.61241999999999996</v>
      </c>
      <c r="AH814" s="1868">
        <v>0.62813999999999992</v>
      </c>
      <c r="AI814" s="1868">
        <v>0.62176999999999993</v>
      </c>
      <c r="AJ814" s="1868">
        <v>0.69006999999999996</v>
      </c>
      <c r="AK814" s="1868">
        <v>0.92812000000000006</v>
      </c>
      <c r="AL814" s="1868">
        <v>1.1026899999999999</v>
      </c>
      <c r="AM814" s="1868">
        <v>1.0557099999999999</v>
      </c>
      <c r="AN814" s="1868">
        <v>1.1751200000000002</v>
      </c>
      <c r="AO814" s="1868">
        <v>1.14791</v>
      </c>
      <c r="AP814" s="1868">
        <v>1.3172700000000002</v>
      </c>
      <c r="AQ814" s="1868">
        <v>1.3780700000000001</v>
      </c>
      <c r="AR814" s="1868">
        <v>1.49447</v>
      </c>
      <c r="AS814" s="1868">
        <v>1.49156</v>
      </c>
      <c r="AT814" s="1868">
        <v>1.09033</v>
      </c>
      <c r="AU814" s="1868">
        <v>0.96477999999999997</v>
      </c>
      <c r="AV814" s="1868">
        <v>0.98133999999999999</v>
      </c>
      <c r="AW814" s="1868">
        <v>0.93117000000000005</v>
      </c>
      <c r="AX814" s="1868">
        <v>0.85185</v>
      </c>
      <c r="AY814" s="1868">
        <v>0.82765</v>
      </c>
      <c r="AZ814" s="1868">
        <v>1.0225299999999999</v>
      </c>
      <c r="BA814" s="1868">
        <v>0.75568000000000002</v>
      </c>
    </row>
    <row r="815" spans="1:53">
      <c r="A815" s="1865" t="str">
        <f t="shared" si="12"/>
        <v>Middle AfricaTobacco, unmanufactured</v>
      </c>
      <c r="B815" s="1866" t="s">
        <v>1348</v>
      </c>
      <c r="C815" s="1866" t="s">
        <v>1347</v>
      </c>
      <c r="D815" s="1868">
        <v>0.50561999999999996</v>
      </c>
      <c r="E815" s="1868">
        <v>0.53127000000000002</v>
      </c>
      <c r="F815" s="1868">
        <v>0.52928999999999993</v>
      </c>
      <c r="G815" s="1868">
        <v>0.53149000000000002</v>
      </c>
      <c r="H815" s="1868">
        <v>0.58592</v>
      </c>
      <c r="I815" s="1868">
        <v>0.62839999999999996</v>
      </c>
      <c r="J815" s="1868">
        <v>0.65438999999999992</v>
      </c>
      <c r="K815" s="1868">
        <v>0.66156999999999999</v>
      </c>
      <c r="L815" s="1868">
        <v>0.58409</v>
      </c>
      <c r="M815" s="1868">
        <v>0.56128999999999996</v>
      </c>
      <c r="N815" s="1868">
        <v>0.57535999999999998</v>
      </c>
      <c r="O815" s="1868">
        <v>0.56191999999999998</v>
      </c>
      <c r="P815" s="1868">
        <v>0.54393000000000002</v>
      </c>
      <c r="Q815" s="1868">
        <v>0.53108999999999995</v>
      </c>
      <c r="R815" s="1868">
        <v>0.71230000000000004</v>
      </c>
      <c r="S815" s="1868">
        <v>0.72104999999999997</v>
      </c>
      <c r="T815" s="1868">
        <v>0.57926999999999995</v>
      </c>
      <c r="U815" s="1868">
        <v>0.55423</v>
      </c>
      <c r="V815" s="1868">
        <v>0.53486999999999996</v>
      </c>
      <c r="W815" s="1868">
        <v>0.53069999999999995</v>
      </c>
      <c r="X815" s="1868">
        <v>0.59982999999999997</v>
      </c>
      <c r="Y815" s="1868">
        <v>0.56637999999999999</v>
      </c>
      <c r="Z815" s="1868">
        <v>0.57888000000000006</v>
      </c>
      <c r="AA815" s="1868">
        <v>0.54673000000000005</v>
      </c>
      <c r="AB815" s="1868">
        <v>0.60866999999999993</v>
      </c>
      <c r="AC815" s="1868">
        <v>0.79106999999999994</v>
      </c>
      <c r="AD815" s="1868">
        <v>0.68696999999999997</v>
      </c>
      <c r="AE815" s="1868">
        <v>0.78066999999999998</v>
      </c>
      <c r="AF815" s="1868">
        <v>0.69125000000000003</v>
      </c>
      <c r="AG815" s="1868">
        <v>0.73024999999999995</v>
      </c>
      <c r="AH815" s="1868">
        <v>0.63973000000000002</v>
      </c>
      <c r="AI815" s="1868">
        <v>0.69081000000000004</v>
      </c>
      <c r="AJ815" s="1868">
        <v>0.69852999999999998</v>
      </c>
      <c r="AK815" s="1868">
        <v>0.79910999999999999</v>
      </c>
      <c r="AL815" s="1868">
        <v>0.69720000000000004</v>
      </c>
      <c r="AM815" s="1868">
        <v>0.71243000000000001</v>
      </c>
      <c r="AN815" s="1868">
        <v>0.69878999999999991</v>
      </c>
      <c r="AO815" s="1868">
        <v>0.71541999999999994</v>
      </c>
      <c r="AP815" s="1868">
        <v>0.85461000000000009</v>
      </c>
      <c r="AQ815" s="1868">
        <v>0.81133999999999995</v>
      </c>
      <c r="AR815" s="1868">
        <v>0.76485000000000003</v>
      </c>
      <c r="AS815" s="1868">
        <v>0.74875000000000003</v>
      </c>
      <c r="AT815" s="1868">
        <v>0.81051000000000006</v>
      </c>
      <c r="AU815" s="1868">
        <v>0.80441000000000007</v>
      </c>
      <c r="AV815" s="1868">
        <v>0.8236</v>
      </c>
      <c r="AW815" s="1868">
        <v>0.93308999999999997</v>
      </c>
      <c r="AX815" s="1868">
        <v>1.0156100000000001</v>
      </c>
      <c r="AY815" s="1868">
        <v>0.94461000000000006</v>
      </c>
      <c r="AZ815" s="1868">
        <v>1.00464</v>
      </c>
      <c r="BA815" s="1868">
        <v>1.0335799999999999</v>
      </c>
    </row>
    <row r="816" spans="1:53">
      <c r="A816" s="1865" t="str">
        <f t="shared" si="12"/>
        <v>Middle AfricaTomatoes</v>
      </c>
      <c r="B816" s="1866" t="s">
        <v>1348</v>
      </c>
      <c r="C816" s="1866" t="s">
        <v>1406</v>
      </c>
      <c r="D816" s="1868">
        <v>4.2577499999999997</v>
      </c>
      <c r="E816" s="1868">
        <v>4.7336900000000002</v>
      </c>
      <c r="F816" s="1868">
        <v>4.9603099999999998</v>
      </c>
      <c r="G816" s="1868">
        <v>5.2448100000000002</v>
      </c>
      <c r="H816" s="1868">
        <v>5.1909700000000001</v>
      </c>
      <c r="I816" s="1868">
        <v>5.1656000000000004</v>
      </c>
      <c r="J816" s="1868">
        <v>5.5123800000000003</v>
      </c>
      <c r="K816" s="1868">
        <v>5.8520900000000005</v>
      </c>
      <c r="L816" s="1868">
        <v>5.8734900000000003</v>
      </c>
      <c r="M816" s="1868">
        <v>6</v>
      </c>
      <c r="N816" s="1868">
        <v>6.1469800000000001</v>
      </c>
      <c r="O816" s="1868">
        <v>6.2410300000000003</v>
      </c>
      <c r="P816" s="1868">
        <v>6.2047600000000003</v>
      </c>
      <c r="Q816" s="1868">
        <v>6.1040700000000001</v>
      </c>
      <c r="R816" s="1868">
        <v>6.2459499999999997</v>
      </c>
      <c r="S816" s="1868">
        <v>6.0869999999999997</v>
      </c>
      <c r="T816" s="1868">
        <v>6.16275</v>
      </c>
      <c r="U816" s="1868">
        <v>4.4354100000000001</v>
      </c>
      <c r="V816" s="1868">
        <v>3.31514</v>
      </c>
      <c r="W816" s="1868">
        <v>4.8967400000000003</v>
      </c>
      <c r="X816" s="1868">
        <v>5.4414899999999999</v>
      </c>
      <c r="Y816" s="1868">
        <v>5.5608500000000003</v>
      </c>
      <c r="Z816" s="1868">
        <v>5.4020099999999998</v>
      </c>
      <c r="AA816" s="1868">
        <v>5.4822300000000004</v>
      </c>
      <c r="AB816" s="1868">
        <v>4.7963399999999998</v>
      </c>
      <c r="AC816" s="1868">
        <v>5.0827400000000003</v>
      </c>
      <c r="AD816" s="1868">
        <v>4.8795500000000001</v>
      </c>
      <c r="AE816" s="1868">
        <v>4.48543</v>
      </c>
      <c r="AF816" s="1868">
        <v>4.4850400000000006</v>
      </c>
      <c r="AG816" s="1868">
        <v>4.4257200000000001</v>
      </c>
      <c r="AH816" s="1868">
        <v>4.3345400000000005</v>
      </c>
      <c r="AI816" s="1868">
        <v>4.2563000000000004</v>
      </c>
      <c r="AJ816" s="1868">
        <v>4.4497</v>
      </c>
      <c r="AK816" s="1868">
        <v>4.3425500000000001</v>
      </c>
      <c r="AL816" s="1868">
        <v>4.8117199999999993</v>
      </c>
      <c r="AM816" s="1868">
        <v>4.6948600000000003</v>
      </c>
      <c r="AN816" s="1868">
        <v>4.5722899999999997</v>
      </c>
      <c r="AO816" s="1868">
        <v>4.4014300000000004</v>
      </c>
      <c r="AP816" s="1868">
        <v>13.433670000000001</v>
      </c>
      <c r="AQ816" s="1868">
        <v>13.739220000000001</v>
      </c>
      <c r="AR816" s="1868">
        <v>13.085319999999999</v>
      </c>
      <c r="AS816" s="1868">
        <v>9.9155699999999989</v>
      </c>
      <c r="AT816" s="1868">
        <v>9.9034200000000006</v>
      </c>
      <c r="AU816" s="1868">
        <v>8.4823500000000003</v>
      </c>
      <c r="AV816" s="1868">
        <v>8.9253499999999999</v>
      </c>
      <c r="AW816" s="1868">
        <v>11.299149999999999</v>
      </c>
      <c r="AX816" s="1868">
        <v>11.357610000000001</v>
      </c>
      <c r="AY816" s="1868">
        <v>11.63893</v>
      </c>
      <c r="AZ816" s="1868">
        <v>11.550139999999999</v>
      </c>
      <c r="BA816" s="1868">
        <v>11.210750000000001</v>
      </c>
    </row>
    <row r="817" spans="1:53">
      <c r="A817" s="1865" t="str">
        <f t="shared" si="12"/>
        <v>Middle AfricaVegetables fresh nes</v>
      </c>
      <c r="B817" s="1866" t="s">
        <v>1348</v>
      </c>
      <c r="C817" s="1866" t="s">
        <v>1407</v>
      </c>
      <c r="D817" s="1868">
        <v>6.2239399999999998</v>
      </c>
      <c r="E817" s="1868">
        <v>6.2239699999999996</v>
      </c>
      <c r="F817" s="1868">
        <v>6.1704800000000004</v>
      </c>
      <c r="G817" s="1868">
        <v>6.19862</v>
      </c>
      <c r="H817" s="1868">
        <v>6.2062800000000005</v>
      </c>
      <c r="I817" s="1868">
        <v>6.2140500000000003</v>
      </c>
      <c r="J817" s="1868">
        <v>6.21129</v>
      </c>
      <c r="K817" s="1868">
        <v>6.2076099999999999</v>
      </c>
      <c r="L817" s="1868">
        <v>6.21347</v>
      </c>
      <c r="M817" s="1868">
        <v>6.2181499999999996</v>
      </c>
      <c r="N817" s="1868">
        <v>6.2354400000000005</v>
      </c>
      <c r="O817" s="1868">
        <v>5.8504699999999996</v>
      </c>
      <c r="P817" s="1868">
        <v>5.9599699999999993</v>
      </c>
      <c r="Q817" s="1868">
        <v>6.1040700000000001</v>
      </c>
      <c r="R817" s="1868">
        <v>6.0203499999999996</v>
      </c>
      <c r="S817" s="1868">
        <v>6.1211099999999998</v>
      </c>
      <c r="T817" s="1868">
        <v>6.1844299999999999</v>
      </c>
      <c r="U817" s="1868">
        <v>6.29392</v>
      </c>
      <c r="V817" s="1868">
        <v>6.2521300000000002</v>
      </c>
      <c r="W817" s="1868">
        <v>6.3644300000000005</v>
      </c>
      <c r="X817" s="1868">
        <v>6.4207599999999996</v>
      </c>
      <c r="Y817" s="1868">
        <v>6.5277500000000002</v>
      </c>
      <c r="Z817" s="1868">
        <v>6.5381999999999998</v>
      </c>
      <c r="AA817" s="1868">
        <v>6.5736999999999997</v>
      </c>
      <c r="AB817" s="1868">
        <v>6.5369000000000002</v>
      </c>
      <c r="AC817" s="1868">
        <v>6.6315300000000006</v>
      </c>
      <c r="AD817" s="1868">
        <v>6.6780300000000006</v>
      </c>
      <c r="AE817" s="1868">
        <v>6.7493300000000005</v>
      </c>
      <c r="AF817" s="1868">
        <v>6.7393600000000005</v>
      </c>
      <c r="AG817" s="1868">
        <v>6.67842</v>
      </c>
      <c r="AH817" s="1868">
        <v>6.6379199999999994</v>
      </c>
      <c r="AI817" s="1868">
        <v>6.7109699999999997</v>
      </c>
      <c r="AJ817" s="1868">
        <v>6.7965600000000004</v>
      </c>
      <c r="AK817" s="1868">
        <v>6.4147499999999997</v>
      </c>
      <c r="AL817" s="1868">
        <v>6.3096399999999999</v>
      </c>
      <c r="AM817" s="1868">
        <v>6.9245299999999999</v>
      </c>
      <c r="AN817" s="1868">
        <v>6.8997999999999999</v>
      </c>
      <c r="AO817" s="1868">
        <v>6.9096100000000007</v>
      </c>
      <c r="AP817" s="1868">
        <v>6.7105800000000002</v>
      </c>
      <c r="AQ817" s="1868">
        <v>6.9190500000000004</v>
      </c>
      <c r="AR817" s="1868">
        <v>7.0580899999999991</v>
      </c>
      <c r="AS817" s="1868">
        <v>6.8456600000000005</v>
      </c>
      <c r="AT817" s="1868">
        <v>6.1751699999999996</v>
      </c>
      <c r="AU817" s="1868">
        <v>6.7888800000000007</v>
      </c>
      <c r="AV817" s="1868">
        <v>6.94313</v>
      </c>
      <c r="AW817" s="1868">
        <v>8.9129300000000011</v>
      </c>
      <c r="AX817" s="1868">
        <v>9.2817899999999991</v>
      </c>
      <c r="AY817" s="1868">
        <v>9.2391699999999997</v>
      </c>
      <c r="AZ817" s="1868">
        <v>7.7439499999999999</v>
      </c>
      <c r="BA817" s="1868">
        <v>7.8726000000000003</v>
      </c>
    </row>
    <row r="818" spans="1:53">
      <c r="A818" s="1865" t="str">
        <f t="shared" si="12"/>
        <v>Middle AfricaWheat</v>
      </c>
      <c r="B818" s="1866" t="s">
        <v>1348</v>
      </c>
      <c r="C818" s="1866" t="s">
        <v>1409</v>
      </c>
      <c r="D818" s="1868">
        <v>1.05714</v>
      </c>
      <c r="E818" s="1868">
        <v>1.1027200000000001</v>
      </c>
      <c r="F818" s="1868">
        <v>1.12246</v>
      </c>
      <c r="G818" s="1868">
        <v>0.99650000000000005</v>
      </c>
      <c r="H818" s="1868">
        <v>1.1545799999999999</v>
      </c>
      <c r="I818" s="1868">
        <v>1.17096</v>
      </c>
      <c r="J818" s="1868">
        <v>1.3995299999999999</v>
      </c>
      <c r="K818" s="1868">
        <v>1.2789299999999999</v>
      </c>
      <c r="L818" s="1868">
        <v>1.1032799999999998</v>
      </c>
      <c r="M818" s="1868">
        <v>0.90132000000000012</v>
      </c>
      <c r="N818" s="1868">
        <v>0.95683999999999991</v>
      </c>
      <c r="O818" s="1868">
        <v>1.1570200000000002</v>
      </c>
      <c r="P818" s="1868">
        <v>1.06331</v>
      </c>
      <c r="Q818" s="1868">
        <v>1.3522100000000001</v>
      </c>
      <c r="R818" s="1868">
        <v>1.08586</v>
      </c>
      <c r="S818" s="1868">
        <v>1.0300499999999999</v>
      </c>
      <c r="T818" s="1868">
        <v>0.76176999999999995</v>
      </c>
      <c r="U818" s="1868">
        <v>0.71533000000000002</v>
      </c>
      <c r="V818" s="1868">
        <v>0.74731000000000003</v>
      </c>
      <c r="W818" s="1868">
        <v>0.80031000000000008</v>
      </c>
      <c r="X818" s="1868">
        <v>0.82686000000000004</v>
      </c>
      <c r="Y818" s="1868">
        <v>0.82294999999999996</v>
      </c>
      <c r="Z818" s="1868">
        <v>0.76641999999999999</v>
      </c>
      <c r="AA818" s="1868">
        <v>0.61624000000000001</v>
      </c>
      <c r="AB818" s="1868">
        <v>0.78806999999999994</v>
      </c>
      <c r="AC818" s="1868">
        <v>1.03898</v>
      </c>
      <c r="AD818" s="1868">
        <v>0.91293999999999997</v>
      </c>
      <c r="AE818" s="1868">
        <v>0.92500000000000004</v>
      </c>
      <c r="AF818" s="1868">
        <v>0.91852000000000011</v>
      </c>
      <c r="AG818" s="1868">
        <v>0.97182999999999997</v>
      </c>
      <c r="AH818" s="1868">
        <v>0.99260000000000004</v>
      </c>
      <c r="AI818" s="1868">
        <v>1.20495</v>
      </c>
      <c r="AJ818" s="1868">
        <v>1.1746000000000001</v>
      </c>
      <c r="AK818" s="1868">
        <v>1.32636</v>
      </c>
      <c r="AL818" s="1868">
        <v>1.35032</v>
      </c>
      <c r="AM818" s="1868">
        <v>1.4763899999999999</v>
      </c>
      <c r="AN818" s="1868">
        <v>1.5722799999999999</v>
      </c>
      <c r="AO818" s="1868">
        <v>1.5175000000000001</v>
      </c>
      <c r="AP818" s="1868">
        <v>1.4023299999999999</v>
      </c>
      <c r="AQ818" s="1868">
        <v>1.40124</v>
      </c>
      <c r="AR818" s="1868">
        <v>1.40872</v>
      </c>
      <c r="AS818" s="1868">
        <v>1.4166399999999999</v>
      </c>
      <c r="AT818" s="1868">
        <v>1.29253</v>
      </c>
      <c r="AU818" s="1868">
        <v>1.1922200000000001</v>
      </c>
      <c r="AV818" s="1868">
        <v>1.2802799999999999</v>
      </c>
      <c r="AW818" s="1868">
        <v>1.36832</v>
      </c>
      <c r="AX818" s="1868">
        <v>1.6325000000000001</v>
      </c>
      <c r="AY818" s="1868">
        <v>1.58064</v>
      </c>
      <c r="AZ818" s="1868">
        <v>1.71268</v>
      </c>
      <c r="BA818" s="1868">
        <v>1.56829</v>
      </c>
    </row>
    <row r="819" spans="1:53">
      <c r="A819" s="1865" t="str">
        <f t="shared" si="12"/>
        <v>Middle AfricaCereals (Rice Milled Eqv</v>
      </c>
      <c r="B819" s="1866" t="s">
        <v>1348</v>
      </c>
      <c r="C819" s="1866" t="s">
        <v>1410</v>
      </c>
      <c r="D819" s="1868">
        <v>0.70028000000000001</v>
      </c>
      <c r="E819" s="1868">
        <v>0.66603000000000001</v>
      </c>
      <c r="F819" s="1868">
        <v>0.73770000000000002</v>
      </c>
      <c r="G819" s="1868">
        <v>0.71604999999999996</v>
      </c>
      <c r="H819" s="1868">
        <v>0.68606999999999996</v>
      </c>
      <c r="I819" s="1868">
        <v>0.72673999999999994</v>
      </c>
      <c r="J819" s="1868">
        <v>0.70961000000000007</v>
      </c>
      <c r="K819" s="1868">
        <v>0.71046999999999993</v>
      </c>
      <c r="L819" s="1868">
        <v>0.76600000000000001</v>
      </c>
      <c r="M819" s="1868">
        <v>0.74801000000000006</v>
      </c>
      <c r="N819" s="1868">
        <v>0.71101999999999999</v>
      </c>
      <c r="O819" s="1868">
        <v>0.67436000000000007</v>
      </c>
      <c r="P819" s="1868">
        <v>0.67046000000000006</v>
      </c>
      <c r="Q819" s="1868">
        <v>0.71188000000000007</v>
      </c>
      <c r="R819" s="1868">
        <v>0.75470000000000004</v>
      </c>
      <c r="S819" s="1868">
        <v>0.67548999999999992</v>
      </c>
      <c r="T819" s="1868">
        <v>0.64912999999999998</v>
      </c>
      <c r="U819" s="1868">
        <v>0.65096999999999994</v>
      </c>
      <c r="V819" s="1868">
        <v>0.63412000000000002</v>
      </c>
      <c r="W819" s="1868">
        <v>0.67983000000000005</v>
      </c>
      <c r="X819" s="1868">
        <v>0.69943</v>
      </c>
      <c r="Y819" s="1868">
        <v>0.70679999999999998</v>
      </c>
      <c r="Z819" s="1868">
        <v>0.68105000000000004</v>
      </c>
      <c r="AA819" s="1868">
        <v>0.70199999999999996</v>
      </c>
      <c r="AB819" s="1868">
        <v>0.72553000000000001</v>
      </c>
      <c r="AC819" s="1868">
        <v>0.74581999999999993</v>
      </c>
      <c r="AD819" s="1868">
        <v>0.68851000000000007</v>
      </c>
      <c r="AE819" s="1868">
        <v>0.72061000000000008</v>
      </c>
      <c r="AF819" s="1868">
        <v>0.65608999999999995</v>
      </c>
      <c r="AG819" s="1868">
        <v>0.69013999999999998</v>
      </c>
      <c r="AH819" s="1868">
        <v>0.71609999999999996</v>
      </c>
      <c r="AI819" s="1868">
        <v>0.71799999999999997</v>
      </c>
      <c r="AJ819" s="1868">
        <v>0.62287999999999999</v>
      </c>
      <c r="AK819" s="1868">
        <v>0.69976000000000005</v>
      </c>
      <c r="AL819" s="1868">
        <v>0.71514999999999995</v>
      </c>
      <c r="AM819" s="1868">
        <v>0.79116000000000009</v>
      </c>
      <c r="AN819" s="1868">
        <v>0.77541000000000004</v>
      </c>
      <c r="AO819" s="1868">
        <v>0.83330000000000004</v>
      </c>
      <c r="AP819" s="1868">
        <v>0.81733</v>
      </c>
      <c r="AQ819" s="1868">
        <v>0.77461999999999998</v>
      </c>
      <c r="AR819" s="1868">
        <v>0.80947999999999998</v>
      </c>
      <c r="AS819" s="1868">
        <v>0.8329700000000001</v>
      </c>
      <c r="AT819" s="1868">
        <v>0.87457999999999991</v>
      </c>
      <c r="AU819" s="1868">
        <v>0.79853999999999992</v>
      </c>
      <c r="AV819" s="1868">
        <v>0.86258999999999997</v>
      </c>
      <c r="AW819" s="1868">
        <v>0.85112999999999994</v>
      </c>
      <c r="AX819" s="1868">
        <v>0.87208999999999992</v>
      </c>
      <c r="AY819" s="1868">
        <v>0.94525000000000003</v>
      </c>
      <c r="AZ819" s="1868">
        <v>0.91372999999999993</v>
      </c>
      <c r="BA819" s="1868">
        <v>0.92457000000000011</v>
      </c>
    </row>
    <row r="820" spans="1:53">
      <c r="A820" s="1865" t="str">
        <f t="shared" si="12"/>
        <v>Northern AfricaBananas</v>
      </c>
      <c r="B820" s="1866" t="s">
        <v>1419</v>
      </c>
      <c r="C820" s="1866" t="s">
        <v>1362</v>
      </c>
      <c r="D820" s="1868">
        <v>23.698910000000001</v>
      </c>
      <c r="E820" s="1868">
        <v>25.471410000000002</v>
      </c>
      <c r="F820" s="1868">
        <v>23.687479999999997</v>
      </c>
      <c r="G820" s="1868">
        <v>21.66432</v>
      </c>
      <c r="H820" s="1868">
        <v>23.244670000000003</v>
      </c>
      <c r="I820" s="1868">
        <v>25.008520000000001</v>
      </c>
      <c r="J820" s="1868">
        <v>21.349920000000001</v>
      </c>
      <c r="K820" s="1868">
        <v>25.40504</v>
      </c>
      <c r="L820" s="1868">
        <v>26.51605</v>
      </c>
      <c r="M820" s="1868">
        <v>25.414650000000002</v>
      </c>
      <c r="N820" s="1868">
        <v>25.575020000000002</v>
      </c>
      <c r="O820" s="1868">
        <v>25.90521</v>
      </c>
      <c r="P820" s="1868">
        <v>23.93863</v>
      </c>
      <c r="Q820" s="1868">
        <v>25.979500000000002</v>
      </c>
      <c r="R820" s="1868">
        <v>24.792259999999999</v>
      </c>
      <c r="S820" s="1868">
        <v>24.088480000000001</v>
      </c>
      <c r="T820" s="1868">
        <v>25.768820000000002</v>
      </c>
      <c r="U820" s="1868">
        <v>22.80217</v>
      </c>
      <c r="V820" s="1868">
        <v>21.487379999999998</v>
      </c>
      <c r="W820" s="1868">
        <v>23.090389999999999</v>
      </c>
      <c r="X820" s="1868">
        <v>22.106379999999998</v>
      </c>
      <c r="Y820" s="1868">
        <v>24.59159</v>
      </c>
      <c r="Z820" s="1868">
        <v>23.80753</v>
      </c>
      <c r="AA820" s="1868">
        <v>23.03969</v>
      </c>
      <c r="AB820" s="1868">
        <v>22.388059999999999</v>
      </c>
      <c r="AC820" s="1868">
        <v>20.83614</v>
      </c>
      <c r="AD820" s="1868">
        <v>20.887329999999999</v>
      </c>
      <c r="AE820" s="1868">
        <v>23.85267</v>
      </c>
      <c r="AF820" s="1868">
        <v>25.324850000000001</v>
      </c>
      <c r="AG820" s="1868">
        <v>28.875709999999998</v>
      </c>
      <c r="AH820" s="1868">
        <v>28.173309999999997</v>
      </c>
      <c r="AI820" s="1868">
        <v>28.288120000000003</v>
      </c>
      <c r="AJ820" s="1868">
        <v>30.089479999999998</v>
      </c>
      <c r="AK820" s="1868">
        <v>32.67042</v>
      </c>
      <c r="AL820" s="1868">
        <v>33.663980000000002</v>
      </c>
      <c r="AM820" s="1868">
        <v>36.184559999999998</v>
      </c>
      <c r="AN820" s="1868">
        <v>36.844540000000002</v>
      </c>
      <c r="AO820" s="1868">
        <v>37.136509999999994</v>
      </c>
      <c r="AP820" s="1868">
        <v>32.120020000000004</v>
      </c>
      <c r="AQ820" s="1868">
        <v>33.804749999999999</v>
      </c>
      <c r="AR820" s="1868">
        <v>39.11835</v>
      </c>
      <c r="AS820" s="1868">
        <v>39.854950000000002</v>
      </c>
      <c r="AT820" s="1868">
        <v>39.173540000000003</v>
      </c>
      <c r="AU820" s="1868">
        <v>39.67924</v>
      </c>
      <c r="AV820" s="1868">
        <v>40.134500000000003</v>
      </c>
      <c r="AW820" s="1868">
        <v>38.193750000000001</v>
      </c>
      <c r="AX820" s="1868">
        <v>39.884700000000002</v>
      </c>
      <c r="AY820" s="1868">
        <v>42.724579999999996</v>
      </c>
      <c r="AZ820" s="1868">
        <v>44.641090000000005</v>
      </c>
      <c r="BA820" s="1868">
        <v>44.027470000000001</v>
      </c>
    </row>
    <row r="821" spans="1:53">
      <c r="A821" s="1865" t="str">
        <f t="shared" si="12"/>
        <v>Northern AfricaBarley</v>
      </c>
      <c r="B821" s="1866" t="s">
        <v>1419</v>
      </c>
      <c r="C821" s="1866" t="s">
        <v>1363</v>
      </c>
      <c r="D821" s="1868">
        <v>0.33450000000000002</v>
      </c>
      <c r="E821" s="1868">
        <v>0.91959999999999997</v>
      </c>
      <c r="F821" s="1868">
        <v>0.79488999999999999</v>
      </c>
      <c r="G821" s="1868">
        <v>0.66711000000000009</v>
      </c>
      <c r="H821" s="1868">
        <v>0.75434999999999997</v>
      </c>
      <c r="I821" s="1868">
        <v>0.36928</v>
      </c>
      <c r="J821" s="1868">
        <v>0.64900000000000002</v>
      </c>
      <c r="K821" s="1868">
        <v>1.1393899999999999</v>
      </c>
      <c r="L821" s="1868">
        <v>0.84194999999999998</v>
      </c>
      <c r="M821" s="1868">
        <v>0.84693999999999992</v>
      </c>
      <c r="N821" s="1868">
        <v>1.0001100000000001</v>
      </c>
      <c r="O821" s="1868">
        <v>1.03834</v>
      </c>
      <c r="P821" s="1868">
        <v>0.61263999999999996</v>
      </c>
      <c r="Q821" s="1868">
        <v>0.93451000000000006</v>
      </c>
      <c r="R821" s="1868">
        <v>0.85272000000000003</v>
      </c>
      <c r="S821" s="1868">
        <v>0.99437000000000009</v>
      </c>
      <c r="T821" s="1868">
        <v>0.53442000000000001</v>
      </c>
      <c r="U821" s="1868">
        <v>0.81378000000000006</v>
      </c>
      <c r="V821" s="1868">
        <v>0.72109000000000001</v>
      </c>
      <c r="W821" s="1868">
        <v>0.91577999999999993</v>
      </c>
      <c r="X821" s="1868">
        <v>0.53996</v>
      </c>
      <c r="Y821" s="1868">
        <v>0.9821700000000001</v>
      </c>
      <c r="Z821" s="1868">
        <v>0.60043000000000002</v>
      </c>
      <c r="AA821" s="1868">
        <v>0.63248000000000004</v>
      </c>
      <c r="AB821" s="1868">
        <v>0.98886000000000007</v>
      </c>
      <c r="AC821" s="1868">
        <v>1.14907</v>
      </c>
      <c r="AD821" s="1868">
        <v>0.72540000000000004</v>
      </c>
      <c r="AE821" s="1868">
        <v>1.1528799999999999</v>
      </c>
      <c r="AF821" s="1868">
        <v>1.0233000000000001</v>
      </c>
      <c r="AG821" s="1868">
        <v>0.85406000000000004</v>
      </c>
      <c r="AH821" s="1868">
        <v>1.25864</v>
      </c>
      <c r="AI821" s="1868">
        <v>0.74007000000000001</v>
      </c>
      <c r="AJ821" s="1868">
        <v>0.60211999999999999</v>
      </c>
      <c r="AK821" s="1868">
        <v>1.2796399999999999</v>
      </c>
      <c r="AL821" s="1868">
        <v>0.60270000000000001</v>
      </c>
      <c r="AM821" s="1868">
        <v>1.46272</v>
      </c>
      <c r="AN821" s="1868">
        <v>0.67913999999999997</v>
      </c>
      <c r="AO821" s="1868">
        <v>0.8339700000000001</v>
      </c>
      <c r="AP821" s="1868">
        <v>0.80249999999999999</v>
      </c>
      <c r="AQ821" s="1868">
        <v>0.34445999999999999</v>
      </c>
      <c r="AR821" s="1868">
        <v>0.70189999999999997</v>
      </c>
      <c r="AS821" s="1868">
        <v>0.87186000000000008</v>
      </c>
      <c r="AT821" s="1868">
        <v>1.2148000000000001</v>
      </c>
      <c r="AU821" s="1868">
        <v>1.1412500000000001</v>
      </c>
      <c r="AV821" s="1868">
        <v>0.79603000000000002</v>
      </c>
      <c r="AW821" s="1868">
        <v>1.1745299999999999</v>
      </c>
      <c r="AX821" s="1868">
        <v>0.74493999999999994</v>
      </c>
      <c r="AY821" s="1868">
        <v>0.71348999999999996</v>
      </c>
      <c r="AZ821" s="1868">
        <v>1.6532900000000001</v>
      </c>
      <c r="BA821" s="1868">
        <v>1.3378299999999999</v>
      </c>
    </row>
    <row r="822" spans="1:53">
      <c r="A822" s="1865" t="str">
        <f t="shared" si="12"/>
        <v>Northern AfricaBeans, dry</v>
      </c>
      <c r="B822" s="1866" t="s">
        <v>1419</v>
      </c>
      <c r="C822" s="1866" t="s">
        <v>1364</v>
      </c>
      <c r="D822" s="1868">
        <v>1.3305200000000001</v>
      </c>
      <c r="E822" s="1868">
        <v>0.99104999999999999</v>
      </c>
      <c r="F822" s="1868">
        <v>0.90722000000000003</v>
      </c>
      <c r="G822" s="1868">
        <v>1.24878</v>
      </c>
      <c r="H822" s="1868">
        <v>1.2231000000000001</v>
      </c>
      <c r="I822" s="1868">
        <v>1.07056</v>
      </c>
      <c r="J822" s="1868">
        <v>0.93794999999999995</v>
      </c>
      <c r="K822" s="1868">
        <v>0.94253999999999993</v>
      </c>
      <c r="L822" s="1868">
        <v>0.95422000000000007</v>
      </c>
      <c r="M822" s="1868">
        <v>0.96101000000000003</v>
      </c>
      <c r="N822" s="1868">
        <v>1.0652700000000002</v>
      </c>
      <c r="O822" s="1868">
        <v>1.2056799999999999</v>
      </c>
      <c r="P822" s="1868">
        <v>1.1546299999999998</v>
      </c>
      <c r="Q822" s="1868">
        <v>1.3790200000000001</v>
      </c>
      <c r="R822" s="1868">
        <v>1.41517</v>
      </c>
      <c r="S822" s="1868">
        <v>1.6218900000000001</v>
      </c>
      <c r="T822" s="1868">
        <v>1.2558200000000002</v>
      </c>
      <c r="U822" s="1868">
        <v>1.3191899999999999</v>
      </c>
      <c r="V822" s="1868">
        <v>1.10707</v>
      </c>
      <c r="W822" s="1868">
        <v>1.09388</v>
      </c>
      <c r="X822" s="1868">
        <v>1.0856700000000001</v>
      </c>
      <c r="Y822" s="1868">
        <v>1.11591</v>
      </c>
      <c r="Z822" s="1868">
        <v>1.1683299999999999</v>
      </c>
      <c r="AA822" s="1868">
        <v>1.0698299999999998</v>
      </c>
      <c r="AB822" s="1868">
        <v>1.0396100000000001</v>
      </c>
      <c r="AC822" s="1868">
        <v>1.26291</v>
      </c>
      <c r="AD822" s="1868">
        <v>1.5507600000000001</v>
      </c>
      <c r="AE822" s="1868">
        <v>1.2777499999999999</v>
      </c>
      <c r="AF822" s="1868">
        <v>1.38245</v>
      </c>
      <c r="AG822" s="1868">
        <v>1.4751399999999999</v>
      </c>
      <c r="AH822" s="1868">
        <v>1.73613</v>
      </c>
      <c r="AI822" s="1868">
        <v>1.47197</v>
      </c>
      <c r="AJ822" s="1868">
        <v>1.4848600000000001</v>
      </c>
      <c r="AK822" s="1868">
        <v>1.3744700000000001</v>
      </c>
      <c r="AL822" s="1868">
        <v>1.2705200000000001</v>
      </c>
      <c r="AM822" s="1868">
        <v>1.3814</v>
      </c>
      <c r="AN822" s="1868">
        <v>1.3295700000000001</v>
      </c>
      <c r="AO822" s="1868">
        <v>1.36836</v>
      </c>
      <c r="AP822" s="1868">
        <v>1.2765</v>
      </c>
      <c r="AQ822" s="1868">
        <v>1.51047</v>
      </c>
      <c r="AR822" s="1868">
        <v>1.7235599999999998</v>
      </c>
      <c r="AS822" s="1868">
        <v>1.4559299999999999</v>
      </c>
      <c r="AT822" s="1868">
        <v>1.7976799999999999</v>
      </c>
      <c r="AU822" s="1868">
        <v>1.72017</v>
      </c>
      <c r="AV822" s="1868">
        <v>1.8634099999999998</v>
      </c>
      <c r="AW822" s="1868">
        <v>1.8730900000000001</v>
      </c>
      <c r="AX822" s="1868">
        <v>2.6495199999999999</v>
      </c>
      <c r="AY822" s="1868">
        <v>2.8278599999999998</v>
      </c>
      <c r="AZ822" s="1868">
        <v>2.52521</v>
      </c>
      <c r="BA822" s="1868">
        <v>2.5205199999999999</v>
      </c>
    </row>
    <row r="823" spans="1:53">
      <c r="A823" s="1865" t="str">
        <f t="shared" si="12"/>
        <v>Northern AfricaBeans, green</v>
      </c>
      <c r="B823" s="1866" t="s">
        <v>1419</v>
      </c>
      <c r="C823" s="1866" t="s">
        <v>1365</v>
      </c>
      <c r="D823" s="1868">
        <v>6.9591600000000007</v>
      </c>
      <c r="E823" s="1868">
        <v>7.5793399999999993</v>
      </c>
      <c r="F823" s="1868">
        <v>6.1371400000000005</v>
      </c>
      <c r="G823" s="1868">
        <v>7.2949800000000007</v>
      </c>
      <c r="H823" s="1868">
        <v>5.5316599999999996</v>
      </c>
      <c r="I823" s="1868">
        <v>6.5100699999999998</v>
      </c>
      <c r="J823" s="1868">
        <v>6.0386499999999996</v>
      </c>
      <c r="K823" s="1868">
        <v>7.0984899999999991</v>
      </c>
      <c r="L823" s="1868">
        <v>6.6125600000000002</v>
      </c>
      <c r="M823" s="1868">
        <v>6.6130300000000002</v>
      </c>
      <c r="N823" s="1868">
        <v>6.7576800000000006</v>
      </c>
      <c r="O823" s="1868">
        <v>7.5720199999999993</v>
      </c>
      <c r="P823" s="1868">
        <v>6.7049699999999994</v>
      </c>
      <c r="Q823" s="1868">
        <v>6.796310000000001</v>
      </c>
      <c r="R823" s="1868">
        <v>6.6240100000000002</v>
      </c>
      <c r="S823" s="1868">
        <v>7.1082000000000001</v>
      </c>
      <c r="T823" s="1868">
        <v>7.3193399999999995</v>
      </c>
      <c r="U823" s="1868">
        <v>6.1216400000000002</v>
      </c>
      <c r="V823" s="1868">
        <v>6.3707799999999999</v>
      </c>
      <c r="W823" s="1868">
        <v>6.3170900000000003</v>
      </c>
      <c r="X823" s="1868">
        <v>6.3360000000000003</v>
      </c>
      <c r="Y823" s="1868">
        <v>6.4157199999999994</v>
      </c>
      <c r="Z823" s="1868">
        <v>6.41892</v>
      </c>
      <c r="AA823" s="1868">
        <v>6.5234399999999999</v>
      </c>
      <c r="AB823" s="1868">
        <v>7.2580100000000005</v>
      </c>
      <c r="AC823" s="1868">
        <v>8.3568499999999997</v>
      </c>
      <c r="AD823" s="1868">
        <v>8.4914100000000001</v>
      </c>
      <c r="AE823" s="1868">
        <v>7.9745300000000006</v>
      </c>
      <c r="AF823" s="1868">
        <v>8.6533100000000012</v>
      </c>
      <c r="AG823" s="1868">
        <v>8.1724899999999998</v>
      </c>
      <c r="AH823" s="1868">
        <v>8.3668300000000002</v>
      </c>
      <c r="AI823" s="1868">
        <v>7.6205399999999992</v>
      </c>
      <c r="AJ823" s="1868">
        <v>7.0089800000000002</v>
      </c>
      <c r="AK823" s="1868">
        <v>7.726939999999999</v>
      </c>
      <c r="AL823" s="1868">
        <v>8.4384199999999989</v>
      </c>
      <c r="AM823" s="1868">
        <v>8.5643799999999999</v>
      </c>
      <c r="AN823" s="1868">
        <v>9.7126199999999994</v>
      </c>
      <c r="AO823" s="1868">
        <v>9.4647600000000001</v>
      </c>
      <c r="AP823" s="1868">
        <v>8.8432499999999994</v>
      </c>
      <c r="AQ823" s="1868">
        <v>8.7155699999999996</v>
      </c>
      <c r="AR823" s="1868">
        <v>9.5948100000000007</v>
      </c>
      <c r="AS823" s="1868">
        <v>9.8395399999999995</v>
      </c>
      <c r="AT823" s="1868">
        <v>10.18834</v>
      </c>
      <c r="AU823" s="1868">
        <v>11.40935</v>
      </c>
      <c r="AV823" s="1868">
        <v>11.479010000000001</v>
      </c>
      <c r="AW823" s="1868">
        <v>13.71003</v>
      </c>
      <c r="AX823" s="1868">
        <v>11.623060000000001</v>
      </c>
      <c r="AY823" s="1868">
        <v>11.655900000000001</v>
      </c>
      <c r="AZ823" s="1868">
        <v>8.9880499999999994</v>
      </c>
      <c r="BA823" s="1868">
        <v>11.76057</v>
      </c>
    </row>
    <row r="824" spans="1:53">
      <c r="A824" s="1865" t="str">
        <f t="shared" si="12"/>
        <v>Northern AfricaCarrots and turnips</v>
      </c>
      <c r="B824" s="1866" t="s">
        <v>1419</v>
      </c>
      <c r="C824" s="1866" t="s">
        <v>1366</v>
      </c>
      <c r="D824" s="1868">
        <v>8.4048600000000011</v>
      </c>
      <c r="E824" s="1868">
        <v>11.380239999999999</v>
      </c>
      <c r="F824" s="1868">
        <v>9.7942600000000013</v>
      </c>
      <c r="G824" s="1868">
        <v>8.9755500000000001</v>
      </c>
      <c r="H824" s="1868">
        <v>8.4002800000000004</v>
      </c>
      <c r="I824" s="1868">
        <v>9.3229500000000005</v>
      </c>
      <c r="J824" s="1868">
        <v>10.076689999999999</v>
      </c>
      <c r="K824" s="1868">
        <v>9.2565200000000001</v>
      </c>
      <c r="L824" s="1868">
        <v>8.7341699999999989</v>
      </c>
      <c r="M824" s="1868">
        <v>8.9167899999999989</v>
      </c>
      <c r="N824" s="1868">
        <v>8.7965900000000001</v>
      </c>
      <c r="O824" s="1868">
        <v>8.349219999999999</v>
      </c>
      <c r="P824" s="1868">
        <v>8.4615399999999994</v>
      </c>
      <c r="Q824" s="1868">
        <v>9.5097300000000011</v>
      </c>
      <c r="R824" s="1868">
        <v>9.1237700000000004</v>
      </c>
      <c r="S824" s="1868">
        <v>9.21617</v>
      </c>
      <c r="T824" s="1868">
        <v>9.0478199999999998</v>
      </c>
      <c r="U824" s="1868">
        <v>9.7332999999999998</v>
      </c>
      <c r="V824" s="1868">
        <v>10.45505</v>
      </c>
      <c r="W824" s="1868">
        <v>9.85276</v>
      </c>
      <c r="X824" s="1868">
        <v>10.155239999999999</v>
      </c>
      <c r="Y824" s="1868">
        <v>9.4768399999999993</v>
      </c>
      <c r="Z824" s="1868">
        <v>9.6367899999999995</v>
      </c>
      <c r="AA824" s="1868">
        <v>8.7997399999999999</v>
      </c>
      <c r="AB824" s="1868">
        <v>10.295860000000001</v>
      </c>
      <c r="AC824" s="1868">
        <v>11.70195</v>
      </c>
      <c r="AD824" s="1868">
        <v>12.4046</v>
      </c>
      <c r="AE824" s="1868">
        <v>11.138110000000001</v>
      </c>
      <c r="AF824" s="1868">
        <v>12.3695</v>
      </c>
      <c r="AG824" s="1868">
        <v>11.4665</v>
      </c>
      <c r="AH824" s="1868">
        <v>11.72471</v>
      </c>
      <c r="AI824" s="1868">
        <v>11.97082</v>
      </c>
      <c r="AJ824" s="1868">
        <v>12.677910000000001</v>
      </c>
      <c r="AK824" s="1868">
        <v>14.057029999999999</v>
      </c>
      <c r="AL824" s="1868">
        <v>15.466889999999999</v>
      </c>
      <c r="AM824" s="1868">
        <v>13.934139999999999</v>
      </c>
      <c r="AN824" s="1868">
        <v>14.916979999999999</v>
      </c>
      <c r="AO824" s="1868">
        <v>15.14756</v>
      </c>
      <c r="AP824" s="1868">
        <v>14.633120000000002</v>
      </c>
      <c r="AQ824" s="1868">
        <v>14.820650000000001</v>
      </c>
      <c r="AR824" s="1868">
        <v>15.478910000000001</v>
      </c>
      <c r="AS824" s="1868">
        <v>16.222929999999998</v>
      </c>
      <c r="AT824" s="1868">
        <v>18.195550000000001</v>
      </c>
      <c r="AU824" s="1868">
        <v>17.220140000000001</v>
      </c>
      <c r="AV824" s="1868">
        <v>15.507129999999998</v>
      </c>
      <c r="AW824" s="1868">
        <v>16.919439999999998</v>
      </c>
      <c r="AX824" s="1868">
        <v>17.400379999999998</v>
      </c>
      <c r="AY824" s="1868">
        <v>18.162310000000002</v>
      </c>
      <c r="AZ824" s="1868">
        <v>16.904589999999999</v>
      </c>
      <c r="BA824" s="1868">
        <v>15.27094</v>
      </c>
    </row>
    <row r="825" spans="1:53">
      <c r="A825" s="1865" t="str">
        <f t="shared" si="12"/>
        <v>Northern AfricaCassava</v>
      </c>
      <c r="B825" s="1866" t="s">
        <v>1419</v>
      </c>
      <c r="C825" s="1866" t="s">
        <v>1368</v>
      </c>
      <c r="D825" s="1868">
        <v>3.3333300000000001</v>
      </c>
      <c r="E825" s="1868">
        <v>3.3333300000000001</v>
      </c>
      <c r="F825" s="1868">
        <v>3.3333300000000001</v>
      </c>
      <c r="G825" s="1868">
        <v>3.3333300000000001</v>
      </c>
      <c r="H825" s="1868">
        <v>3.3333300000000001</v>
      </c>
      <c r="I825" s="1868">
        <v>3.3333300000000001</v>
      </c>
      <c r="J825" s="1868">
        <v>2.9629599999999998</v>
      </c>
      <c r="K825" s="1868">
        <v>2.97872</v>
      </c>
      <c r="L825" s="1868">
        <v>2.9545499999999998</v>
      </c>
      <c r="M825" s="1868">
        <v>3.6216199999999996</v>
      </c>
      <c r="N825" s="1868">
        <v>3.7222199999999996</v>
      </c>
      <c r="O825" s="1868">
        <v>3.8285699999999996</v>
      </c>
      <c r="P825" s="1868">
        <v>3.6842099999999998</v>
      </c>
      <c r="Q825" s="1868">
        <v>2.7224900000000001</v>
      </c>
      <c r="R825" s="1868">
        <v>3.0618400000000001</v>
      </c>
      <c r="S825" s="1868">
        <v>2.5897900000000003</v>
      </c>
      <c r="T825" s="1868">
        <v>2.48515</v>
      </c>
      <c r="U825" s="1868">
        <v>2.4276400000000002</v>
      </c>
      <c r="V825" s="1868">
        <v>2.5405099999999998</v>
      </c>
      <c r="W825" s="1868">
        <v>2.68906</v>
      </c>
      <c r="X825" s="1868">
        <v>2.7777799999999999</v>
      </c>
      <c r="Y825" s="1868">
        <v>2.7777799999999999</v>
      </c>
      <c r="Z825" s="1868">
        <v>2.7777799999999999</v>
      </c>
      <c r="AA825" s="1868">
        <v>2.5</v>
      </c>
      <c r="AB825" s="1868">
        <v>2.36842</v>
      </c>
      <c r="AC825" s="1868">
        <v>2.2857099999999999</v>
      </c>
      <c r="AD825" s="1868">
        <v>2.2857099999999999</v>
      </c>
      <c r="AE825" s="1868">
        <v>2.1666699999999999</v>
      </c>
      <c r="AF825" s="1868">
        <v>1.5</v>
      </c>
      <c r="AG825" s="1868">
        <v>1.5</v>
      </c>
      <c r="AH825" s="1868">
        <v>1.7754099999999999</v>
      </c>
      <c r="AI825" s="1868">
        <v>2.0080299999999998</v>
      </c>
      <c r="AJ825" s="1868">
        <v>2.0024999999999999</v>
      </c>
      <c r="AK825" s="1868">
        <v>2.2181599999999997</v>
      </c>
      <c r="AL825" s="1868">
        <v>2</v>
      </c>
      <c r="AM825" s="1868">
        <v>1.9</v>
      </c>
      <c r="AN825" s="1868">
        <v>1.88462</v>
      </c>
      <c r="AO825" s="1868">
        <v>1.8</v>
      </c>
      <c r="AP825" s="1868">
        <v>1.7142900000000001</v>
      </c>
      <c r="AQ825" s="1868">
        <v>1.7391299999999998</v>
      </c>
      <c r="AR825" s="1868">
        <v>1.7586200000000001</v>
      </c>
      <c r="AS825" s="1868">
        <v>1.7457599999999998</v>
      </c>
      <c r="AT825" s="1868">
        <v>1.73333</v>
      </c>
      <c r="AU825" s="1868">
        <v>1.7337099999999999</v>
      </c>
      <c r="AV825" s="1868">
        <v>1.7213099999999999</v>
      </c>
      <c r="AW825" s="1868">
        <v>1.73333</v>
      </c>
      <c r="AX825" s="1868">
        <v>1.5915999999999999</v>
      </c>
      <c r="AY825" s="1868">
        <v>1.57819</v>
      </c>
      <c r="AZ825" s="1868">
        <v>1.575</v>
      </c>
      <c r="BA825" s="1868">
        <v>1.7307700000000001</v>
      </c>
    </row>
    <row r="826" spans="1:53">
      <c r="A826" s="1865" t="str">
        <f t="shared" si="12"/>
        <v>Northern AfricaCauliflowers and broccoli</v>
      </c>
      <c r="B826" s="1866" t="s">
        <v>1419</v>
      </c>
      <c r="C826" s="1866" t="s">
        <v>1369</v>
      </c>
      <c r="D826" s="1868">
        <v>21.049189999999999</v>
      </c>
      <c r="E826" s="1868">
        <v>21.59965</v>
      </c>
      <c r="F826" s="1868">
        <v>21.873460000000001</v>
      </c>
      <c r="G826" s="1868">
        <v>22.310379999999999</v>
      </c>
      <c r="H826" s="1868">
        <v>21.59807</v>
      </c>
      <c r="I826" s="1868">
        <v>21.959949999999999</v>
      </c>
      <c r="J826" s="1868">
        <v>20.803560000000001</v>
      </c>
      <c r="K826" s="1868">
        <v>19.50957</v>
      </c>
      <c r="L826" s="1868">
        <v>19.660060000000001</v>
      </c>
      <c r="M826" s="1868">
        <v>20.603470000000002</v>
      </c>
      <c r="N826" s="1868">
        <v>21.93779</v>
      </c>
      <c r="O826" s="1868">
        <v>19.343959999999999</v>
      </c>
      <c r="P826" s="1868">
        <v>20.0016</v>
      </c>
      <c r="Q826" s="1868">
        <v>17.059170000000002</v>
      </c>
      <c r="R826" s="1868">
        <v>16.381779999999999</v>
      </c>
      <c r="S826" s="1868">
        <v>16.75075</v>
      </c>
      <c r="T826" s="1868">
        <v>17.123179999999998</v>
      </c>
      <c r="U826" s="1868">
        <v>17.065660000000001</v>
      </c>
      <c r="V826" s="1868">
        <v>17.668009999999999</v>
      </c>
      <c r="W826" s="1868">
        <v>17.799020000000002</v>
      </c>
      <c r="X826" s="1868">
        <v>17.404910000000001</v>
      </c>
      <c r="Y826" s="1868">
        <v>15.89669</v>
      </c>
      <c r="Z826" s="1868">
        <v>15.810479999999998</v>
      </c>
      <c r="AA826" s="1868">
        <v>15.92371</v>
      </c>
      <c r="AB826" s="1868">
        <v>15.533250000000001</v>
      </c>
      <c r="AC826" s="1868">
        <v>15.052129999999998</v>
      </c>
      <c r="AD826" s="1868">
        <v>18.6051</v>
      </c>
      <c r="AE826" s="1868">
        <v>17.044610000000002</v>
      </c>
      <c r="AF826" s="1868">
        <v>14.83792</v>
      </c>
      <c r="AG826" s="1868">
        <v>15.036979999999998</v>
      </c>
      <c r="AH826" s="1868">
        <v>15.2813</v>
      </c>
      <c r="AI826" s="1868">
        <v>15.466660000000001</v>
      </c>
      <c r="AJ826" s="1868">
        <v>16.728279999999998</v>
      </c>
      <c r="AK826" s="1868">
        <v>16.680220000000002</v>
      </c>
      <c r="AL826" s="1868">
        <v>16.236239999999999</v>
      </c>
      <c r="AM826" s="1868">
        <v>16.136310000000002</v>
      </c>
      <c r="AN826" s="1868">
        <v>17.784320000000001</v>
      </c>
      <c r="AO826" s="1868">
        <v>18.019909999999999</v>
      </c>
      <c r="AP826" s="1868">
        <v>18.087820000000001</v>
      </c>
      <c r="AQ826" s="1868">
        <v>18.630389999999998</v>
      </c>
      <c r="AR826" s="1868">
        <v>18.593679999999999</v>
      </c>
      <c r="AS826" s="1868">
        <v>19.97128</v>
      </c>
      <c r="AT826" s="1868">
        <v>15.330410000000001</v>
      </c>
      <c r="AU826" s="1868">
        <v>19.62377</v>
      </c>
      <c r="AV826" s="1868">
        <v>18.17586</v>
      </c>
      <c r="AW826" s="1868">
        <v>20.481079999999999</v>
      </c>
      <c r="AX826" s="1868">
        <v>20.42896</v>
      </c>
      <c r="AY826" s="1868">
        <v>20.685140000000001</v>
      </c>
      <c r="AZ826" s="1868">
        <v>20.171990000000001</v>
      </c>
      <c r="BA826" s="1868">
        <v>21.30348</v>
      </c>
    </row>
    <row r="827" spans="1:53">
      <c r="A827" s="1865" t="str">
        <f t="shared" si="12"/>
        <v>Northern AfricaCereals, nes</v>
      </c>
      <c r="B827" s="1866" t="s">
        <v>1419</v>
      </c>
      <c r="C827" s="1866" t="s">
        <v>1370</v>
      </c>
      <c r="D827" s="1868">
        <v>0.72143000000000002</v>
      </c>
      <c r="E827" s="1868">
        <v>0.74666999999999994</v>
      </c>
      <c r="F827" s="1868">
        <v>0.65263000000000004</v>
      </c>
      <c r="G827" s="1868">
        <v>0.63963999999999999</v>
      </c>
      <c r="H827" s="1868">
        <v>0.75333000000000006</v>
      </c>
      <c r="I827" s="1868">
        <v>0.65138000000000007</v>
      </c>
      <c r="J827" s="1868">
        <v>0.65385000000000004</v>
      </c>
      <c r="K827" s="1868">
        <v>0.89339999999999997</v>
      </c>
      <c r="L827" s="1868">
        <v>0.72221999999999997</v>
      </c>
      <c r="M827" s="1868">
        <v>0.67596000000000001</v>
      </c>
      <c r="N827" s="1868">
        <v>0.55411999999999995</v>
      </c>
      <c r="O827" s="1868">
        <v>0.84389999999999998</v>
      </c>
      <c r="P827" s="1868">
        <v>0.94027999999999989</v>
      </c>
      <c r="Q827" s="1868">
        <v>0.42354999999999998</v>
      </c>
      <c r="R827" s="1868">
        <v>0.70173999999999992</v>
      </c>
      <c r="S827" s="1868">
        <v>0.8222799999999999</v>
      </c>
      <c r="T827" s="1868">
        <v>0.43473999999999996</v>
      </c>
      <c r="U827" s="1868">
        <v>0.69194</v>
      </c>
      <c r="V827" s="1868">
        <v>0.71776000000000006</v>
      </c>
      <c r="W827" s="1868">
        <v>0.85714000000000001</v>
      </c>
      <c r="X827" s="1868">
        <v>0.73171000000000008</v>
      </c>
      <c r="Y827" s="1868">
        <v>0.77612000000000003</v>
      </c>
      <c r="Z827" s="1868">
        <v>0.77518999999999993</v>
      </c>
      <c r="AA827" s="1868">
        <v>0.68868000000000007</v>
      </c>
      <c r="AB827" s="1868">
        <v>0.85832999999999993</v>
      </c>
      <c r="AC827" s="1868">
        <v>0.91428999999999994</v>
      </c>
      <c r="AD827" s="1868">
        <v>0.9166700000000001</v>
      </c>
      <c r="AE827" s="1868">
        <v>0.91177000000000008</v>
      </c>
      <c r="AF827" s="1868">
        <v>0.90625</v>
      </c>
      <c r="AG827" s="1868">
        <v>1.0046700000000002</v>
      </c>
      <c r="AH827" s="1868">
        <v>1.01481</v>
      </c>
      <c r="AI827" s="1868">
        <v>0.85172000000000003</v>
      </c>
      <c r="AJ827" s="1868">
        <v>0.61782000000000004</v>
      </c>
      <c r="AK827" s="1868">
        <v>0.99696000000000007</v>
      </c>
      <c r="AL827" s="1868">
        <v>1.0445899999999999</v>
      </c>
      <c r="AM827" s="1868">
        <v>0.60168999999999995</v>
      </c>
      <c r="AN827" s="1868">
        <v>0.57876000000000005</v>
      </c>
      <c r="AO827" s="1868">
        <v>0.79976000000000003</v>
      </c>
      <c r="AP827" s="1868">
        <v>0.93318999999999996</v>
      </c>
      <c r="AQ827" s="1868">
        <v>0.54466999999999999</v>
      </c>
      <c r="AR827" s="1868">
        <v>0.79283999999999999</v>
      </c>
      <c r="AS827" s="1868">
        <v>0.98216000000000003</v>
      </c>
      <c r="AT827" s="1868">
        <v>0.88995000000000002</v>
      </c>
      <c r="AU827" s="1868">
        <v>0.81162000000000001</v>
      </c>
      <c r="AV827" s="1868">
        <v>0.86411000000000004</v>
      </c>
      <c r="AW827" s="1868">
        <v>0.78046000000000004</v>
      </c>
      <c r="AX827" s="1868">
        <v>0.98283999999999994</v>
      </c>
      <c r="AY827" s="1868">
        <v>1.5021799999999998</v>
      </c>
      <c r="AZ827" s="1868">
        <v>1.9211499999999999</v>
      </c>
      <c r="BA827" s="1868">
        <v>1.5333299999999999</v>
      </c>
    </row>
    <row r="828" spans="1:53">
      <c r="A828" s="1865" t="str">
        <f t="shared" si="12"/>
        <v>Northern AfricaCitrus fruit, nes</v>
      </c>
      <c r="B828" s="1866" t="s">
        <v>1419</v>
      </c>
      <c r="C828" s="1866" t="s">
        <v>1372</v>
      </c>
      <c r="U828" s="1868">
        <v>24.94</v>
      </c>
      <c r="V828" s="1868">
        <v>62.873680000000007</v>
      </c>
      <c r="W828" s="1868">
        <v>66.595510000000004</v>
      </c>
      <c r="X828" s="1868">
        <v>70.043009999999995</v>
      </c>
      <c r="Y828" s="1868">
        <v>14</v>
      </c>
      <c r="Z828" s="1868">
        <v>12.75281</v>
      </c>
      <c r="AA828" s="1868">
        <v>11.62105</v>
      </c>
      <c r="AB828" s="1868">
        <v>9.79697</v>
      </c>
      <c r="AC828" s="1868">
        <v>9.3772599999999997</v>
      </c>
      <c r="AD828" s="1868">
        <v>9.3577100000000009</v>
      </c>
      <c r="AE828" s="1868">
        <v>9.3483600000000013</v>
      </c>
      <c r="AF828" s="1868">
        <v>9.3221899999999991</v>
      </c>
      <c r="AG828" s="1868">
        <v>9.6804000000000006</v>
      </c>
      <c r="AH828" s="1868">
        <v>9.5451100000000011</v>
      </c>
      <c r="AI828" s="1868">
        <v>9.6989800000000006</v>
      </c>
      <c r="AJ828" s="1868">
        <v>9.7971599999999999</v>
      </c>
      <c r="AK828" s="1868">
        <v>9.842080000000001</v>
      </c>
      <c r="AL828" s="1868">
        <v>9.7889499999999998</v>
      </c>
      <c r="AM828" s="1868">
        <v>9.7511100000000006</v>
      </c>
      <c r="AN828" s="1868">
        <v>9.7620199999999997</v>
      </c>
      <c r="AO828" s="1868">
        <v>9.6641600000000007</v>
      </c>
      <c r="AP828" s="1868">
        <v>9.6931700000000003</v>
      </c>
      <c r="AQ828" s="1868">
        <v>9.72241</v>
      </c>
      <c r="AR828" s="1868">
        <v>9.9808800000000009</v>
      </c>
      <c r="AS828" s="1868">
        <v>9.9060399999999991</v>
      </c>
      <c r="AT828" s="1868">
        <v>9.9228699999999996</v>
      </c>
      <c r="AU828" s="1868">
        <v>9.8769799999999996</v>
      </c>
      <c r="AV828" s="1868">
        <v>9.7667600000000014</v>
      </c>
      <c r="AW828" s="1868">
        <v>9.2050300000000007</v>
      </c>
      <c r="AX828" s="1868">
        <v>9.336269999999999</v>
      </c>
      <c r="AY828" s="1868">
        <v>9.422369999999999</v>
      </c>
      <c r="AZ828" s="1868">
        <v>9.4896499999999993</v>
      </c>
      <c r="BA828" s="1868">
        <v>9.6317599999999999</v>
      </c>
    </row>
    <row r="829" spans="1:53">
      <c r="A829" s="1865" t="str">
        <f t="shared" si="12"/>
        <v>Northern AfricaCow peas, dry</v>
      </c>
      <c r="B829" s="1866" t="s">
        <v>1419</v>
      </c>
      <c r="C829" s="1866" t="s">
        <v>1355</v>
      </c>
      <c r="D829" s="1868">
        <v>1.6059700000000001</v>
      </c>
      <c r="E829" s="1868">
        <v>1.6650799999999999</v>
      </c>
      <c r="F829" s="1868">
        <v>1.6042399999999999</v>
      </c>
      <c r="G829" s="1868">
        <v>1.5079899999999999</v>
      </c>
      <c r="H829" s="1868">
        <v>1.6217600000000001</v>
      </c>
      <c r="I829" s="1868">
        <v>1.5825</v>
      </c>
      <c r="J829" s="1868">
        <v>1.7003900000000001</v>
      </c>
      <c r="K829" s="1868">
        <v>1.9043099999999999</v>
      </c>
      <c r="L829" s="1868">
        <v>1.6662700000000001</v>
      </c>
      <c r="M829" s="1868">
        <v>1.4282299999999999</v>
      </c>
      <c r="N829" s="1868">
        <v>1.1901899999999999</v>
      </c>
      <c r="O829" s="1868">
        <v>1.5868799999999998</v>
      </c>
      <c r="P829" s="1868">
        <v>1.7000999999999999</v>
      </c>
      <c r="Q829" s="1868">
        <v>1.8513599999999999</v>
      </c>
      <c r="R829" s="1868">
        <v>1.8513599999999999</v>
      </c>
      <c r="S829" s="1868">
        <v>1.6544099999999999</v>
      </c>
      <c r="T829" s="1868">
        <v>1.6601099999999998</v>
      </c>
      <c r="U829" s="1868">
        <v>1.8787700000000001</v>
      </c>
      <c r="V829" s="1868">
        <v>1.8692</v>
      </c>
      <c r="W829" s="1868">
        <v>1.9337200000000001</v>
      </c>
      <c r="X829" s="1868">
        <v>2.0811299999999999</v>
      </c>
      <c r="Y829" s="1868">
        <v>2.0147300000000001</v>
      </c>
      <c r="Z829" s="1868">
        <v>2.3809499999999999</v>
      </c>
      <c r="AA829" s="1868">
        <v>2.3809499999999999</v>
      </c>
      <c r="AB829" s="1868">
        <v>2.3809499999999999</v>
      </c>
      <c r="AC829" s="1868">
        <v>1.85185</v>
      </c>
      <c r="AD829" s="1868">
        <v>2.0833300000000001</v>
      </c>
      <c r="AE829" s="1868">
        <v>2.3809499999999999</v>
      </c>
      <c r="AF829" s="1868">
        <v>1.9841299999999999</v>
      </c>
      <c r="AG829" s="1868">
        <v>2.3439200000000002</v>
      </c>
      <c r="AH829" s="1868">
        <v>1.9852599999999998</v>
      </c>
      <c r="AI829" s="1868">
        <v>2.1242700000000001</v>
      </c>
      <c r="AJ829" s="1868">
        <v>2.1666699999999999</v>
      </c>
      <c r="AK829" s="1868">
        <v>2.4</v>
      </c>
      <c r="AL829" s="1868">
        <v>2.3461500000000002</v>
      </c>
      <c r="AM829" s="1868">
        <v>2.33962</v>
      </c>
      <c r="AN829" s="1868">
        <v>2.3333300000000001</v>
      </c>
      <c r="AO829" s="1868">
        <v>2.3214299999999999</v>
      </c>
      <c r="AP829" s="1868">
        <v>2.2758599999999998</v>
      </c>
      <c r="AQ829" s="1868">
        <v>2.9538799999999998</v>
      </c>
      <c r="AR829" s="1868">
        <v>2.9934099999999999</v>
      </c>
      <c r="AS829" s="1868">
        <v>0.49</v>
      </c>
      <c r="AT829" s="1868">
        <v>0.38577</v>
      </c>
      <c r="AU829" s="1868">
        <v>0.31224000000000002</v>
      </c>
      <c r="AV829" s="1868">
        <v>0.25948000000000004</v>
      </c>
      <c r="AW829" s="1868">
        <v>0.23690999999999998</v>
      </c>
      <c r="AX829" s="1868">
        <v>0.23948000000000003</v>
      </c>
      <c r="AY829" s="1868">
        <v>0.45851000000000003</v>
      </c>
      <c r="AZ829" s="1868">
        <v>0.21826999999999999</v>
      </c>
      <c r="BA829" s="1868">
        <v>0.25441999999999998</v>
      </c>
    </row>
    <row r="830" spans="1:53">
      <c r="A830" s="1865" t="str">
        <f t="shared" si="12"/>
        <v>Northern AfricaDates</v>
      </c>
      <c r="B830" s="1866" t="s">
        <v>1419</v>
      </c>
      <c r="C830" s="1866" t="s">
        <v>1374</v>
      </c>
      <c r="D830" s="1868">
        <v>8.2109699999999997</v>
      </c>
      <c r="E830" s="1868">
        <v>7.1859999999999999</v>
      </c>
      <c r="F830" s="1868">
        <v>7.1412300000000002</v>
      </c>
      <c r="G830" s="1868">
        <v>6.0624000000000002</v>
      </c>
      <c r="H830" s="1868">
        <v>6.9872500000000004</v>
      </c>
      <c r="I830" s="1868">
        <v>6.2994300000000001</v>
      </c>
      <c r="J830" s="1868">
        <v>5.8364799999999999</v>
      </c>
      <c r="K830" s="1868">
        <v>5.7393000000000001</v>
      </c>
      <c r="L830" s="1868">
        <v>7.2226699999999999</v>
      </c>
      <c r="M830" s="1868">
        <v>7.0397499999999997</v>
      </c>
      <c r="N830" s="1868">
        <v>6.2422800000000001</v>
      </c>
      <c r="O830" s="1868">
        <v>6.6622100000000009</v>
      </c>
      <c r="P830" s="1868">
        <v>6.5606300000000006</v>
      </c>
      <c r="Q830" s="1868">
        <v>6.8475000000000001</v>
      </c>
      <c r="R830" s="1868">
        <v>7.0430600000000005</v>
      </c>
      <c r="S830" s="1868">
        <v>6.9889899999999994</v>
      </c>
      <c r="T830" s="1868">
        <v>7.8765300000000007</v>
      </c>
      <c r="U830" s="1868">
        <v>6.7779300000000005</v>
      </c>
      <c r="V830" s="1868">
        <v>6.8687399999999998</v>
      </c>
      <c r="W830" s="1868">
        <v>7.3420500000000004</v>
      </c>
      <c r="X830" s="1868">
        <v>6.5338199999999995</v>
      </c>
      <c r="Y830" s="1868">
        <v>6.6569199999999995</v>
      </c>
      <c r="Z830" s="1868">
        <v>6.9350600000000009</v>
      </c>
      <c r="AA830" s="1868">
        <v>6.6981000000000002</v>
      </c>
      <c r="AB830" s="1868">
        <v>6.0140599999999997</v>
      </c>
      <c r="AC830" s="1868">
        <v>6.0204300000000002</v>
      </c>
      <c r="AD830" s="1868">
        <v>6.3378899999999998</v>
      </c>
      <c r="AE830" s="1868">
        <v>6.07517</v>
      </c>
      <c r="AF830" s="1868">
        <v>6.69468</v>
      </c>
      <c r="AG830" s="1868">
        <v>6.4867699999999999</v>
      </c>
      <c r="AH830" s="1868">
        <v>6.4683199999999994</v>
      </c>
      <c r="AI830" s="1868">
        <v>6.5079500000000001</v>
      </c>
      <c r="AJ830" s="1868">
        <v>6.8801800000000002</v>
      </c>
      <c r="AK830" s="1868">
        <v>6.7218999999999998</v>
      </c>
      <c r="AL830" s="1868">
        <v>6.2504999999999997</v>
      </c>
      <c r="AM830" s="1868">
        <v>6.4154800000000005</v>
      </c>
      <c r="AN830" s="1868">
        <v>6.5413699999999997</v>
      </c>
      <c r="AO830" s="1868">
        <v>7.1289600000000002</v>
      </c>
      <c r="AP830" s="1868">
        <v>7.3775899999999996</v>
      </c>
      <c r="AQ830" s="1868">
        <v>8.0109999999999992</v>
      </c>
      <c r="AR830" s="1868">
        <v>7.5272800000000002</v>
      </c>
      <c r="AS830" s="1868">
        <v>7.6055999999999999</v>
      </c>
      <c r="AT830" s="1868">
        <v>7.8186</v>
      </c>
      <c r="AU830" s="1868">
        <v>7.4552199999999997</v>
      </c>
      <c r="AV830" s="1868">
        <v>7.2766800000000007</v>
      </c>
      <c r="AW830" s="1868">
        <v>7.4425499999999998</v>
      </c>
      <c r="AX830" s="1868">
        <v>7.4941800000000001</v>
      </c>
      <c r="AY830" s="1868">
        <v>7.6262800000000004</v>
      </c>
      <c r="AZ830" s="1868">
        <v>7.77508</v>
      </c>
      <c r="BA830" s="1868">
        <v>8.0856300000000001</v>
      </c>
    </row>
    <row r="831" spans="1:53">
      <c r="A831" s="1865" t="str">
        <f t="shared" si="12"/>
        <v>Northern AfricaEggplants (aubergines)</v>
      </c>
      <c r="B831" s="1866" t="s">
        <v>1419</v>
      </c>
      <c r="C831" s="1866" t="s">
        <v>1375</v>
      </c>
      <c r="D831" s="1868">
        <v>21.07987</v>
      </c>
      <c r="E831" s="1868">
        <v>21.726289999999999</v>
      </c>
      <c r="F831" s="1868">
        <v>21.901610000000002</v>
      </c>
      <c r="G831" s="1868">
        <v>22.264949999999999</v>
      </c>
      <c r="H831" s="1868">
        <v>22.474460000000001</v>
      </c>
      <c r="I831" s="1868">
        <v>22.74756</v>
      </c>
      <c r="J831" s="1868">
        <v>22.577629999999999</v>
      </c>
      <c r="K831" s="1868">
        <v>22.022660000000002</v>
      </c>
      <c r="L831" s="1868">
        <v>24.018470000000001</v>
      </c>
      <c r="M831" s="1868">
        <v>21.9406</v>
      </c>
      <c r="N831" s="1868">
        <v>21.93141</v>
      </c>
      <c r="O831" s="1868">
        <v>21.43778</v>
      </c>
      <c r="P831" s="1868">
        <v>21.45505</v>
      </c>
      <c r="Q831" s="1868">
        <v>21.263100000000001</v>
      </c>
      <c r="R831" s="1868">
        <v>21.013179999999998</v>
      </c>
      <c r="S831" s="1868">
        <v>21.765840000000001</v>
      </c>
      <c r="T831" s="1868">
        <v>20.138189999999998</v>
      </c>
      <c r="U831" s="1868">
        <v>20.429110000000001</v>
      </c>
      <c r="V831" s="1868">
        <v>20.534510000000001</v>
      </c>
      <c r="W831" s="1868">
        <v>20.258700000000001</v>
      </c>
      <c r="X831" s="1868">
        <v>20.354279999999999</v>
      </c>
      <c r="Y831" s="1868">
        <v>20.376839999999998</v>
      </c>
      <c r="Z831" s="1868">
        <v>20.20833</v>
      </c>
      <c r="AA831" s="1868">
        <v>20.41413</v>
      </c>
      <c r="AB831" s="1868">
        <v>20.872810000000001</v>
      </c>
      <c r="AC831" s="1868">
        <v>21.409510000000001</v>
      </c>
      <c r="AD831" s="1868">
        <v>22.423349999999999</v>
      </c>
      <c r="AE831" s="1868">
        <v>20.888470000000002</v>
      </c>
      <c r="AF831" s="1868">
        <v>20.698339999999998</v>
      </c>
      <c r="AG831" s="1868">
        <v>21.077649999999998</v>
      </c>
      <c r="AH831" s="1868">
        <v>20.949189999999998</v>
      </c>
      <c r="AI831" s="1868">
        <v>19.931149999999999</v>
      </c>
      <c r="AJ831" s="1868">
        <v>19.898529999999997</v>
      </c>
      <c r="AK831" s="1868">
        <v>19.622589999999999</v>
      </c>
      <c r="AL831" s="1868">
        <v>20.43028</v>
      </c>
      <c r="AM831" s="1868">
        <v>21.13597</v>
      </c>
      <c r="AN831" s="1868">
        <v>20.023759999999999</v>
      </c>
      <c r="AO831" s="1868">
        <v>19.527550000000002</v>
      </c>
      <c r="AP831" s="1868">
        <v>18.03528</v>
      </c>
      <c r="AQ831" s="1868">
        <v>20.39743</v>
      </c>
      <c r="AR831" s="1868">
        <v>21.17765</v>
      </c>
      <c r="AS831" s="1868">
        <v>21.43749</v>
      </c>
      <c r="AT831" s="1868">
        <v>22.178840000000001</v>
      </c>
      <c r="AU831" s="1868">
        <v>21.98001</v>
      </c>
      <c r="AV831" s="1868">
        <v>20.788120000000003</v>
      </c>
      <c r="AW831" s="1868">
        <v>22.72964</v>
      </c>
      <c r="AX831" s="1868">
        <v>23.38804</v>
      </c>
      <c r="AY831" s="1868">
        <v>21.314800000000002</v>
      </c>
      <c r="AZ831" s="1868">
        <v>25.92914</v>
      </c>
      <c r="BA831" s="1868">
        <v>40.03322</v>
      </c>
    </row>
    <row r="832" spans="1:53">
      <c r="A832" s="1865" t="str">
        <f t="shared" si="12"/>
        <v>Northern AfricaGrapefruit (inc. pomelos)</v>
      </c>
      <c r="B832" s="1866" t="s">
        <v>1419</v>
      </c>
      <c r="C832" s="1866" t="s">
        <v>1377</v>
      </c>
      <c r="D832" s="1868">
        <v>17.55219</v>
      </c>
      <c r="E832" s="1868">
        <v>17.826350000000001</v>
      </c>
      <c r="F832" s="1868">
        <v>17.93994</v>
      </c>
      <c r="G832" s="1868">
        <v>18.27862</v>
      </c>
      <c r="H832" s="1868">
        <v>17.86027</v>
      </c>
      <c r="I832" s="1868">
        <v>18.667560000000002</v>
      </c>
      <c r="J832" s="1868">
        <v>17.908910000000002</v>
      </c>
      <c r="K832" s="1868">
        <v>19.16788</v>
      </c>
      <c r="L832" s="1868">
        <v>18.35999</v>
      </c>
      <c r="M832" s="1868">
        <v>20.179200000000002</v>
      </c>
      <c r="N832" s="1868">
        <v>18.78894</v>
      </c>
      <c r="O832" s="1868">
        <v>20.767289999999999</v>
      </c>
      <c r="P832" s="1868">
        <v>17.983499999999999</v>
      </c>
      <c r="Q832" s="1868">
        <v>17.98433</v>
      </c>
      <c r="R832" s="1868">
        <v>17.580170000000003</v>
      </c>
      <c r="S832" s="1868">
        <v>18.806100000000001</v>
      </c>
      <c r="T832" s="1868">
        <v>18.210739999999998</v>
      </c>
      <c r="U832" s="1868">
        <v>24.99071</v>
      </c>
      <c r="V832" s="1868">
        <v>25.476129999999998</v>
      </c>
      <c r="W832" s="1868">
        <v>23.878060000000001</v>
      </c>
      <c r="X832" s="1868">
        <v>24.32554</v>
      </c>
      <c r="Y832" s="1868">
        <v>24.746379999999998</v>
      </c>
      <c r="Z832" s="1868">
        <v>23.86337</v>
      </c>
      <c r="AA832" s="1868">
        <v>24.995929999999998</v>
      </c>
      <c r="AB832" s="1868">
        <v>14.164979999999998</v>
      </c>
      <c r="AC832" s="1868">
        <v>15.57109</v>
      </c>
      <c r="AD832" s="1868">
        <v>16.636150000000001</v>
      </c>
      <c r="AE832" s="1868">
        <v>16.071899999999999</v>
      </c>
      <c r="AF832" s="1868">
        <v>15.819879999999999</v>
      </c>
      <c r="AG832" s="1868">
        <v>14.368600000000001</v>
      </c>
      <c r="AH832" s="1868">
        <v>16.89968</v>
      </c>
      <c r="AI832" s="1868">
        <v>13.659549999999999</v>
      </c>
      <c r="AJ832" s="1868">
        <v>14.923670000000001</v>
      </c>
      <c r="AK832" s="1868">
        <v>15.386699999999999</v>
      </c>
      <c r="AL832" s="1868">
        <v>14.010660000000001</v>
      </c>
      <c r="AM832" s="1868">
        <v>15.591189999999999</v>
      </c>
      <c r="AN832" s="1868">
        <v>17.630129999999998</v>
      </c>
      <c r="AO832" s="1868">
        <v>17.4816</v>
      </c>
      <c r="AP832" s="1868">
        <v>17.19089</v>
      </c>
      <c r="AQ832" s="1868">
        <v>17.448689999999999</v>
      </c>
      <c r="AR832" s="1868">
        <v>16.430410000000002</v>
      </c>
      <c r="AS832" s="1868">
        <v>17.22607</v>
      </c>
      <c r="AT832" s="1868">
        <v>17.418020000000002</v>
      </c>
      <c r="AU832" s="1868">
        <v>17.012640000000001</v>
      </c>
      <c r="AV832" s="1868">
        <v>18.562439999999999</v>
      </c>
      <c r="AW832" s="1868">
        <v>18.68873</v>
      </c>
      <c r="AX832" s="1868">
        <v>16.17895</v>
      </c>
      <c r="AY832" s="1868">
        <v>17.68741</v>
      </c>
      <c r="AZ832" s="1868">
        <v>18.26801</v>
      </c>
      <c r="BA832" s="1868">
        <v>18.71125</v>
      </c>
    </row>
    <row r="833" spans="1:53">
      <c r="A833" s="1865" t="str">
        <f t="shared" si="12"/>
        <v>Northern AfricaGrapes</v>
      </c>
      <c r="B833" s="1866" t="s">
        <v>1419</v>
      </c>
      <c r="C833" s="1866" t="s">
        <v>1378</v>
      </c>
      <c r="D833" s="1868">
        <v>5.3053900000000001</v>
      </c>
      <c r="E833" s="1868">
        <v>4.94184</v>
      </c>
      <c r="F833" s="1868">
        <v>5.15097</v>
      </c>
      <c r="G833" s="1868">
        <v>4.45791</v>
      </c>
      <c r="H833" s="1868">
        <v>5.7310999999999996</v>
      </c>
      <c r="I833" s="1868">
        <v>3.3488900000000004</v>
      </c>
      <c r="J833" s="1868">
        <v>3.1274799999999998</v>
      </c>
      <c r="K833" s="1868">
        <v>4.61564</v>
      </c>
      <c r="L833" s="1868">
        <v>3.81969</v>
      </c>
      <c r="M833" s="1868">
        <v>4.07667</v>
      </c>
      <c r="N833" s="1868">
        <v>4.6120900000000002</v>
      </c>
      <c r="O833" s="1868">
        <v>3.6202199999999998</v>
      </c>
      <c r="P833" s="1868">
        <v>3.9763500000000001</v>
      </c>
      <c r="Q833" s="1868">
        <v>4.4029800000000003</v>
      </c>
      <c r="R833" s="1868">
        <v>3.7851800000000004</v>
      </c>
      <c r="S833" s="1868">
        <v>3.6284000000000001</v>
      </c>
      <c r="T833" s="1868">
        <v>2.9250400000000001</v>
      </c>
      <c r="U833" s="1868">
        <v>2.7052</v>
      </c>
      <c r="V833" s="1868">
        <v>3.31264</v>
      </c>
      <c r="W833" s="1868">
        <v>3.4136199999999999</v>
      </c>
      <c r="X833" s="1868">
        <v>3.6123099999999999</v>
      </c>
      <c r="Y833" s="1868">
        <v>2.77664</v>
      </c>
      <c r="Z833" s="1868">
        <v>3.3558500000000002</v>
      </c>
      <c r="AA833" s="1868">
        <v>3.9517900000000004</v>
      </c>
      <c r="AB833" s="1868">
        <v>4.3874500000000003</v>
      </c>
      <c r="AC833" s="1868">
        <v>4.9885599999999997</v>
      </c>
      <c r="AD833" s="1868">
        <v>4.6065699999999996</v>
      </c>
      <c r="AE833" s="1868">
        <v>5.0255800000000006</v>
      </c>
      <c r="AF833" s="1868">
        <v>5.3222100000000001</v>
      </c>
      <c r="AG833" s="1868">
        <v>5.6360400000000004</v>
      </c>
      <c r="AH833" s="1868">
        <v>5.7482199999999999</v>
      </c>
      <c r="AI833" s="1868">
        <v>6.0501699999999996</v>
      </c>
      <c r="AJ833" s="1868">
        <v>6.2859699999999998</v>
      </c>
      <c r="AK833" s="1868">
        <v>6.30382</v>
      </c>
      <c r="AL833" s="1868">
        <v>6.4486800000000004</v>
      </c>
      <c r="AM833" s="1868">
        <v>7.82552</v>
      </c>
      <c r="AN833" s="1868">
        <v>7.98</v>
      </c>
      <c r="AO833" s="1868">
        <v>8.2064699999999995</v>
      </c>
      <c r="AP833" s="1868">
        <v>8.8062899999999988</v>
      </c>
      <c r="AQ833" s="1868">
        <v>8.9723600000000001</v>
      </c>
      <c r="AR833" s="1868">
        <v>8.4817100000000014</v>
      </c>
      <c r="AS833" s="1868">
        <v>8.8773699999999991</v>
      </c>
      <c r="AT833" s="1868">
        <v>9.7766800000000007</v>
      </c>
      <c r="AU833" s="1868">
        <v>10.06232</v>
      </c>
      <c r="AV833" s="1868">
        <v>10.406080000000001</v>
      </c>
      <c r="AW833" s="1868">
        <v>10.197710000000001</v>
      </c>
      <c r="AX833" s="1868">
        <v>9.5083099999999998</v>
      </c>
      <c r="AY833" s="1868">
        <v>10.70026</v>
      </c>
      <c r="AZ833" s="1868">
        <v>11.04379</v>
      </c>
      <c r="BA833" s="1868">
        <v>10.73822</v>
      </c>
    </row>
    <row r="834" spans="1:53">
      <c r="A834" s="1865" t="str">
        <f t="shared" si="12"/>
        <v>Northern AfricaGroundnuts, with shell</v>
      </c>
      <c r="B834" s="1866" t="s">
        <v>1419</v>
      </c>
      <c r="C834" s="1866" t="s">
        <v>1379</v>
      </c>
      <c r="D834" s="1868">
        <v>1.3697600000000001</v>
      </c>
      <c r="E834" s="1868">
        <v>1.1977599999999999</v>
      </c>
      <c r="F834" s="1868">
        <v>1.17428</v>
      </c>
      <c r="G834" s="1868">
        <v>1.1452500000000001</v>
      </c>
      <c r="H834" s="1868">
        <v>0.86943999999999999</v>
      </c>
      <c r="I834" s="1868">
        <v>0.92490000000000006</v>
      </c>
      <c r="J834" s="1868">
        <v>0.96132000000000006</v>
      </c>
      <c r="K834" s="1868">
        <v>0.93851000000000007</v>
      </c>
      <c r="L834" s="1868">
        <v>0.91069999999999995</v>
      </c>
      <c r="M834" s="1868">
        <v>0.94606000000000001</v>
      </c>
      <c r="N834" s="1868">
        <v>0.65566999999999998</v>
      </c>
      <c r="O834" s="1868">
        <v>0.85838999999999999</v>
      </c>
      <c r="P834" s="1868">
        <v>0.78137000000000001</v>
      </c>
      <c r="Q834" s="1868">
        <v>1.23824</v>
      </c>
      <c r="R834" s="1868">
        <v>0.8347</v>
      </c>
      <c r="S834" s="1868">
        <v>0.94857999999999998</v>
      </c>
      <c r="T834" s="1868">
        <v>0.92876000000000003</v>
      </c>
      <c r="U834" s="1868">
        <v>0.84392999999999996</v>
      </c>
      <c r="V834" s="1868">
        <v>0.89539999999999997</v>
      </c>
      <c r="W834" s="1868">
        <v>0.83617999999999992</v>
      </c>
      <c r="X834" s="1868">
        <v>0.77916000000000007</v>
      </c>
      <c r="Y834" s="1868">
        <v>0.75029000000000001</v>
      </c>
      <c r="Z834" s="1868">
        <v>0.58313000000000004</v>
      </c>
      <c r="AA834" s="1868">
        <v>0.59030000000000005</v>
      </c>
      <c r="AB834" s="1868">
        <v>0.74838000000000005</v>
      </c>
      <c r="AC834" s="1868">
        <v>0.75827</v>
      </c>
      <c r="AD834" s="1868">
        <v>0.69738</v>
      </c>
      <c r="AE834" s="1868">
        <v>0.94867999999999997</v>
      </c>
      <c r="AF834" s="1868">
        <v>0.48444999999999999</v>
      </c>
      <c r="AG834" s="1868">
        <v>0.67148999999999992</v>
      </c>
      <c r="AH834" s="1868">
        <v>0.90954999999999997</v>
      </c>
      <c r="AI834" s="1868">
        <v>0.78328999999999993</v>
      </c>
      <c r="AJ834" s="1868">
        <v>0.68247000000000002</v>
      </c>
      <c r="AK834" s="1868">
        <v>0.90732000000000013</v>
      </c>
      <c r="AL834" s="1868">
        <v>0.78521000000000007</v>
      </c>
      <c r="AM834" s="1868">
        <v>0.96340000000000003</v>
      </c>
      <c r="AN834" s="1868">
        <v>0.79710999999999999</v>
      </c>
      <c r="AO834" s="1868">
        <v>0.66256000000000004</v>
      </c>
      <c r="AP834" s="1868">
        <v>0.80364999999999998</v>
      </c>
      <c r="AQ834" s="1868">
        <v>0.76858000000000004</v>
      </c>
      <c r="AR834" s="1868">
        <v>0.77456000000000003</v>
      </c>
      <c r="AS834" s="1868">
        <v>1.05416</v>
      </c>
      <c r="AT834" s="1868">
        <v>0.89572999999999992</v>
      </c>
      <c r="AU834" s="1868">
        <v>0.91077000000000008</v>
      </c>
      <c r="AV834" s="1868">
        <v>0.75401000000000007</v>
      </c>
      <c r="AW834" s="1868">
        <v>1.1842299999999999</v>
      </c>
      <c r="AX834" s="1868">
        <v>1.23197</v>
      </c>
      <c r="AY834" s="1868">
        <v>0.94543999999999995</v>
      </c>
      <c r="AZ834" s="1868">
        <v>1.16934</v>
      </c>
      <c r="BA834" s="1868">
        <v>0.82952999999999988</v>
      </c>
    </row>
    <row r="835" spans="1:53">
      <c r="A835" s="1865" t="str">
        <f t="shared" si="12"/>
        <v>Northern AfricaLeguminous vegetables, nes</v>
      </c>
      <c r="B835" s="1866" t="s">
        <v>1419</v>
      </c>
      <c r="C835" s="1866" t="s">
        <v>1380</v>
      </c>
      <c r="D835" s="1868">
        <v>3.7309600000000001</v>
      </c>
      <c r="E835" s="1868">
        <v>3.63089</v>
      </c>
      <c r="F835" s="1868">
        <v>3.7257899999999999</v>
      </c>
      <c r="G835" s="1868">
        <v>3.9994099999999997</v>
      </c>
      <c r="H835" s="1868">
        <v>3.56324</v>
      </c>
      <c r="I835" s="1868">
        <v>3.5542400000000001</v>
      </c>
      <c r="J835" s="1868">
        <v>3.3697599999999999</v>
      </c>
      <c r="K835" s="1868">
        <v>3.51661</v>
      </c>
      <c r="L835" s="1868">
        <v>3.2824300000000002</v>
      </c>
      <c r="M835" s="1868">
        <v>3.18465</v>
      </c>
      <c r="N835" s="1868">
        <v>3.1822499999999998</v>
      </c>
      <c r="O835" s="1868">
        <v>2.8290299999999999</v>
      </c>
      <c r="P835" s="1868">
        <v>2.9141599999999999</v>
      </c>
      <c r="Q835" s="1868">
        <v>2.9716999999999998</v>
      </c>
      <c r="R835" s="1868">
        <v>3.14737</v>
      </c>
      <c r="S835" s="1868">
        <v>3.1817500000000001</v>
      </c>
      <c r="T835" s="1868">
        <v>3.24661</v>
      </c>
      <c r="U835" s="1868">
        <v>3.4481699999999997</v>
      </c>
      <c r="V835" s="1868">
        <v>3.4820500000000001</v>
      </c>
      <c r="W835" s="1868">
        <v>3.4981</v>
      </c>
      <c r="X835" s="1868">
        <v>3.5701199999999997</v>
      </c>
      <c r="Y835" s="1868">
        <v>3.78979</v>
      </c>
      <c r="Z835" s="1868">
        <v>3.9293099999999996</v>
      </c>
      <c r="AA835" s="1868">
        <v>3.82959</v>
      </c>
      <c r="AB835" s="1868">
        <v>4.6917</v>
      </c>
      <c r="AC835" s="1868">
        <v>4.641</v>
      </c>
      <c r="AD835" s="1868">
        <v>4.6453100000000003</v>
      </c>
      <c r="AE835" s="1868">
        <v>4.8635199999999994</v>
      </c>
      <c r="AF835" s="1868">
        <v>5.2226699999999999</v>
      </c>
      <c r="AG835" s="1868">
        <v>4.9736400000000005</v>
      </c>
      <c r="AH835" s="1868">
        <v>5.3271300000000004</v>
      </c>
      <c r="AI835" s="1868">
        <v>6.04413</v>
      </c>
      <c r="AJ835" s="1868">
        <v>4.8086900000000004</v>
      </c>
      <c r="AK835" s="1868">
        <v>5.20343</v>
      </c>
      <c r="AL835" s="1868">
        <v>6.26281</v>
      </c>
      <c r="AM835" s="1868">
        <v>6.29413</v>
      </c>
      <c r="AN835" s="1868">
        <v>5.9659500000000003</v>
      </c>
      <c r="AO835" s="1868">
        <v>6.0311300000000001</v>
      </c>
      <c r="AP835" s="1868">
        <v>7.1001699999999994</v>
      </c>
      <c r="AQ835" s="1868">
        <v>5.4972500000000002</v>
      </c>
      <c r="AR835" s="1868">
        <v>6.6809399999999997</v>
      </c>
      <c r="AS835" s="1868">
        <v>7.2716600000000007</v>
      </c>
      <c r="AT835" s="1868">
        <v>7.6641000000000004</v>
      </c>
      <c r="AU835" s="1868">
        <v>8.3501499999999993</v>
      </c>
      <c r="AV835" s="1868">
        <v>8.0563099999999999</v>
      </c>
      <c r="AW835" s="1868">
        <v>7.7160100000000007</v>
      </c>
      <c r="AX835" s="1868">
        <v>8.1904000000000003</v>
      </c>
      <c r="AY835" s="1868">
        <v>8.7319300000000002</v>
      </c>
      <c r="AZ835" s="1868">
        <v>9.8240600000000011</v>
      </c>
      <c r="BA835" s="1868">
        <v>11.9153</v>
      </c>
    </row>
    <row r="836" spans="1:53">
      <c r="A836" s="1865" t="str">
        <f t="shared" ref="A836:A899" si="13">CONCATENATE(B836,C836)</f>
        <v>Northern AfricaLinseed</v>
      </c>
      <c r="B836" s="1866" t="s">
        <v>1419</v>
      </c>
      <c r="C836" s="1866" t="s">
        <v>1381</v>
      </c>
      <c r="D836" s="1868">
        <v>0.58608000000000005</v>
      </c>
      <c r="E836" s="1868">
        <v>0.74202000000000001</v>
      </c>
      <c r="F836" s="1868">
        <v>0.88949</v>
      </c>
      <c r="G836" s="1868">
        <v>0.83327000000000007</v>
      </c>
      <c r="H836" s="1868">
        <v>0.72156000000000009</v>
      </c>
      <c r="I836" s="1868">
        <v>0.76795000000000002</v>
      </c>
      <c r="J836" s="1868">
        <v>0.80201999999999996</v>
      </c>
      <c r="K836" s="1868">
        <v>0.90431000000000006</v>
      </c>
      <c r="L836" s="1868">
        <v>0.96486000000000005</v>
      </c>
      <c r="M836" s="1868">
        <v>1.0471200000000001</v>
      </c>
      <c r="N836" s="1868">
        <v>0.96599000000000002</v>
      </c>
      <c r="O836" s="1868">
        <v>1.1314600000000001</v>
      </c>
      <c r="P836" s="1868">
        <v>1.0982700000000001</v>
      </c>
      <c r="Q836" s="1868">
        <v>1.1768100000000001</v>
      </c>
      <c r="R836" s="1868">
        <v>1.1426700000000001</v>
      </c>
      <c r="S836" s="1868">
        <v>1.1717200000000001</v>
      </c>
      <c r="T836" s="1868">
        <v>1.21757</v>
      </c>
      <c r="U836" s="1868">
        <v>1.2554000000000001</v>
      </c>
      <c r="V836" s="1868">
        <v>1.21455</v>
      </c>
      <c r="W836" s="1868">
        <v>1.2334399999999999</v>
      </c>
      <c r="X836" s="1868">
        <v>1.26417</v>
      </c>
      <c r="Y836" s="1868">
        <v>1.22366</v>
      </c>
      <c r="Z836" s="1868">
        <v>1.3266100000000001</v>
      </c>
      <c r="AA836" s="1868">
        <v>1.9227099999999999</v>
      </c>
      <c r="AB836" s="1868">
        <v>1.3205499999999999</v>
      </c>
      <c r="AC836" s="1868">
        <v>1.6568900000000002</v>
      </c>
      <c r="AD836" s="1868">
        <v>1.62791</v>
      </c>
      <c r="AE836" s="1868">
        <v>1.6700299999999999</v>
      </c>
      <c r="AF836" s="1868">
        <v>1.6164700000000001</v>
      </c>
      <c r="AG836" s="1868">
        <v>1.6008599999999999</v>
      </c>
      <c r="AH836" s="1868">
        <v>1.5225600000000001</v>
      </c>
      <c r="AI836" s="1868">
        <v>1.2857100000000001</v>
      </c>
      <c r="AJ836" s="1868">
        <v>1.65625</v>
      </c>
      <c r="AK836" s="1868">
        <v>1.5219799999999999</v>
      </c>
      <c r="AL836" s="1868">
        <v>1.3866399999999999</v>
      </c>
      <c r="AM836" s="1868">
        <v>1.5220899999999999</v>
      </c>
      <c r="AN836" s="1868">
        <v>1.5464100000000001</v>
      </c>
      <c r="AO836" s="1868">
        <v>1.6404299999999998</v>
      </c>
      <c r="AP836" s="1868">
        <v>1.7138599999999999</v>
      </c>
      <c r="AQ836" s="1868">
        <v>1.7274700000000001</v>
      </c>
      <c r="AR836" s="1868">
        <v>1.7231400000000001</v>
      </c>
      <c r="AS836" s="1868">
        <v>1.5142200000000001</v>
      </c>
      <c r="AT836" s="1868">
        <v>1.5322100000000001</v>
      </c>
      <c r="AU836" s="1868">
        <v>1.62645</v>
      </c>
      <c r="AV836" s="1868">
        <v>1.7110599999999998</v>
      </c>
      <c r="AW836" s="1868">
        <v>1.3500099999999999</v>
      </c>
      <c r="AX836" s="1868">
        <v>1.3169999999999999</v>
      </c>
      <c r="AY836" s="1868">
        <v>1.4306099999999999</v>
      </c>
      <c r="AZ836" s="1868">
        <v>1.6767099999999999</v>
      </c>
      <c r="BA836" s="1868">
        <v>1.4190499999999999</v>
      </c>
    </row>
    <row r="837" spans="1:53">
      <c r="A837" s="1865" t="str">
        <f t="shared" si="13"/>
        <v>Northern AfricaMaize</v>
      </c>
      <c r="B837" s="1866" t="s">
        <v>1419</v>
      </c>
      <c r="C837" s="1866" t="s">
        <v>1382</v>
      </c>
      <c r="D837" s="1868">
        <v>1.5913999999999999</v>
      </c>
      <c r="E837" s="1868">
        <v>1.9409400000000001</v>
      </c>
      <c r="F837" s="1868">
        <v>1.9493499999999999</v>
      </c>
      <c r="G837" s="1868">
        <v>1.9773099999999999</v>
      </c>
      <c r="H837" s="1868">
        <v>2.5444299999999997</v>
      </c>
      <c r="I837" s="1868">
        <v>2.1887400000000001</v>
      </c>
      <c r="J837" s="1868">
        <v>2.11999</v>
      </c>
      <c r="K837" s="1868">
        <v>2.2704499999999999</v>
      </c>
      <c r="L837" s="1868">
        <v>2.4852400000000001</v>
      </c>
      <c r="M837" s="1868">
        <v>2.2993700000000001</v>
      </c>
      <c r="N837" s="1868">
        <v>2.4664700000000002</v>
      </c>
      <c r="O837" s="1868">
        <v>2.4504900000000003</v>
      </c>
      <c r="P837" s="1868">
        <v>2.3011499999999998</v>
      </c>
      <c r="Q837" s="1868">
        <v>2.4224999999999999</v>
      </c>
      <c r="R837" s="1868">
        <v>2.3802699999999999</v>
      </c>
      <c r="S837" s="1868">
        <v>2.7309299999999999</v>
      </c>
      <c r="T837" s="1868">
        <v>2.4010500000000001</v>
      </c>
      <c r="U837" s="1868">
        <v>2.80965</v>
      </c>
      <c r="V837" s="1868">
        <v>2.5804299999999998</v>
      </c>
      <c r="W837" s="1868">
        <v>2.8134999999999999</v>
      </c>
      <c r="X837" s="1868">
        <v>2.77515</v>
      </c>
      <c r="Y837" s="1868">
        <v>2.8444199999999999</v>
      </c>
      <c r="Z837" s="1868">
        <v>2.89466</v>
      </c>
      <c r="AA837" s="1868">
        <v>3.1499000000000001</v>
      </c>
      <c r="AB837" s="1868">
        <v>3.2345000000000002</v>
      </c>
      <c r="AC837" s="1868">
        <v>3.3975199999999997</v>
      </c>
      <c r="AD837" s="1868">
        <v>3.2816800000000002</v>
      </c>
      <c r="AE837" s="1868">
        <v>3.4924800000000005</v>
      </c>
      <c r="AF837" s="1868">
        <v>3.7936199999999998</v>
      </c>
      <c r="AG837" s="1868">
        <v>4.1717500000000003</v>
      </c>
      <c r="AH837" s="1868">
        <v>4.0002300000000002</v>
      </c>
      <c r="AI837" s="1868">
        <v>3.8102099999999997</v>
      </c>
      <c r="AJ837" s="1868">
        <v>3.8091699999999995</v>
      </c>
      <c r="AK837" s="1868">
        <v>4.1578400000000002</v>
      </c>
      <c r="AL837" s="1868">
        <v>3.9703499999999998</v>
      </c>
      <c r="AM837" s="1868">
        <v>5.0499400000000003</v>
      </c>
      <c r="AN837" s="1868">
        <v>5.04427</v>
      </c>
      <c r="AO837" s="1868">
        <v>5.25807</v>
      </c>
      <c r="AP837" s="1868">
        <v>5.2111800000000006</v>
      </c>
      <c r="AQ837" s="1868">
        <v>5.7411699999999994</v>
      </c>
      <c r="AR837" s="1868">
        <v>5.1673999999999998</v>
      </c>
      <c r="AS837" s="1868">
        <v>5.77203</v>
      </c>
      <c r="AT837" s="1868">
        <v>5.8273000000000001</v>
      </c>
      <c r="AU837" s="1868">
        <v>5.9665900000000001</v>
      </c>
      <c r="AV837" s="1868">
        <v>6.3496899999999998</v>
      </c>
      <c r="AW837" s="1868">
        <v>6.1068499999999997</v>
      </c>
      <c r="AX837" s="1868">
        <v>6.1516599999999997</v>
      </c>
      <c r="AY837" s="1868">
        <v>6.3883400000000004</v>
      </c>
      <c r="AZ837" s="1868">
        <v>6.3935500000000003</v>
      </c>
      <c r="BA837" s="1868">
        <v>5.9985999999999997</v>
      </c>
    </row>
    <row r="838" spans="1:53">
      <c r="A838" s="1865" t="str">
        <f t="shared" si="13"/>
        <v>Northern AfricaMangoes, mangosteens, guavas</v>
      </c>
      <c r="B838" s="1866" t="s">
        <v>1419</v>
      </c>
      <c r="C838" s="1866" t="s">
        <v>1384</v>
      </c>
      <c r="D838" s="1868">
        <v>8.0718199999999989</v>
      </c>
      <c r="E838" s="1868">
        <v>10.476039999999999</v>
      </c>
      <c r="F838" s="1868">
        <v>10.78416</v>
      </c>
      <c r="G838" s="1868">
        <v>10.63522</v>
      </c>
      <c r="H838" s="1868">
        <v>8.9875000000000007</v>
      </c>
      <c r="I838" s="1868">
        <v>10.24137</v>
      </c>
      <c r="J838" s="1868">
        <v>8.2217199999999995</v>
      </c>
      <c r="K838" s="1868">
        <v>6.8293300000000006</v>
      </c>
      <c r="L838" s="1868">
        <v>6.9417899999999992</v>
      </c>
      <c r="M838" s="1868">
        <v>6.1028199999999995</v>
      </c>
      <c r="N838" s="1868">
        <v>7.26363</v>
      </c>
      <c r="O838" s="1868">
        <v>7.2319699999999996</v>
      </c>
      <c r="P838" s="1868">
        <v>8.4641199999999994</v>
      </c>
      <c r="Q838" s="1868">
        <v>9.4680999999999997</v>
      </c>
      <c r="R838" s="1868">
        <v>10.675520000000001</v>
      </c>
      <c r="S838" s="1868">
        <v>9.7253699999999998</v>
      </c>
      <c r="T838" s="1868">
        <v>8.7146399999999993</v>
      </c>
      <c r="U838" s="1868">
        <v>11.1355</v>
      </c>
      <c r="V838" s="1868">
        <v>13.337579999999999</v>
      </c>
      <c r="W838" s="1868">
        <v>12.40578</v>
      </c>
      <c r="X838" s="1868">
        <v>12.43454</v>
      </c>
      <c r="Y838" s="1868">
        <v>13.28839</v>
      </c>
      <c r="Z838" s="1868">
        <v>14.28571</v>
      </c>
      <c r="AA838" s="1868">
        <v>12.937060000000001</v>
      </c>
      <c r="AB838" s="1868">
        <v>11.937380000000001</v>
      </c>
      <c r="AC838" s="1868">
        <v>10.23015</v>
      </c>
      <c r="AD838" s="1868">
        <v>9.5161899999999999</v>
      </c>
      <c r="AE838" s="1868">
        <v>8.438839999999999</v>
      </c>
      <c r="AF838" s="1868">
        <v>9.2691400000000002</v>
      </c>
      <c r="AG838" s="1868">
        <v>8.8223099999999999</v>
      </c>
      <c r="AH838" s="1868">
        <v>10.36045</v>
      </c>
      <c r="AI838" s="1868">
        <v>9.9462200000000003</v>
      </c>
      <c r="AJ838" s="1868">
        <v>10.316469999999999</v>
      </c>
      <c r="AK838" s="1868">
        <v>10.92038</v>
      </c>
      <c r="AL838" s="1868">
        <v>12.72175</v>
      </c>
      <c r="AM838" s="1868">
        <v>12.507989999999999</v>
      </c>
      <c r="AN838" s="1868">
        <v>12.8621</v>
      </c>
      <c r="AO838" s="1868">
        <v>11.91522</v>
      </c>
      <c r="AP838" s="1868">
        <v>11.683489999999999</v>
      </c>
      <c r="AQ838" s="1868">
        <v>10.194050000000001</v>
      </c>
      <c r="AR838" s="1868">
        <v>9.8928100000000008</v>
      </c>
      <c r="AS838" s="1868">
        <v>12.565810000000001</v>
      </c>
      <c r="AT838" s="1868">
        <v>12.624310000000001</v>
      </c>
      <c r="AU838" s="1868">
        <v>12.97184</v>
      </c>
      <c r="AV838" s="1868">
        <v>12.583460000000001</v>
      </c>
      <c r="AW838" s="1868">
        <v>13.771649999999999</v>
      </c>
      <c r="AX838" s="1868">
        <v>12.093810000000001</v>
      </c>
      <c r="AY838" s="1868">
        <v>9.5243800000000007</v>
      </c>
      <c r="AZ838" s="1868">
        <v>9.7763799999999996</v>
      </c>
      <c r="BA838" s="1868">
        <v>8.9476499999999994</v>
      </c>
    </row>
    <row r="839" spans="1:53">
      <c r="A839" s="1865" t="str">
        <f t="shared" si="13"/>
        <v>Northern AfricaMillet</v>
      </c>
      <c r="B839" s="1866" t="s">
        <v>1419</v>
      </c>
      <c r="C839" s="1866" t="s">
        <v>1385</v>
      </c>
      <c r="D839" s="1868">
        <v>0.63691999999999993</v>
      </c>
      <c r="E839" s="1868">
        <v>0.65263000000000004</v>
      </c>
      <c r="F839" s="1868">
        <v>0.63491000000000009</v>
      </c>
      <c r="G839" s="1868">
        <v>0.58948999999999996</v>
      </c>
      <c r="H839" s="1868">
        <v>0.41881999999999997</v>
      </c>
      <c r="I839" s="1868">
        <v>0.46426000000000006</v>
      </c>
      <c r="J839" s="1868">
        <v>0.60258999999999996</v>
      </c>
      <c r="K839" s="1868">
        <v>0.44573000000000002</v>
      </c>
      <c r="L839" s="1868">
        <v>0.60897999999999997</v>
      </c>
      <c r="M839" s="1868">
        <v>0.60498999999999992</v>
      </c>
      <c r="N839" s="1868">
        <v>0.50644</v>
      </c>
      <c r="O839" s="1868">
        <v>0.32128000000000001</v>
      </c>
      <c r="P839" s="1868">
        <v>0.25243000000000004</v>
      </c>
      <c r="Q839" s="1868">
        <v>0.37369999999999998</v>
      </c>
      <c r="R839" s="1868">
        <v>0.37039</v>
      </c>
      <c r="S839" s="1868">
        <v>0.40100999999999998</v>
      </c>
      <c r="T839" s="1868">
        <v>0.39223000000000002</v>
      </c>
      <c r="U839" s="1868">
        <v>0.42691000000000001</v>
      </c>
      <c r="V839" s="1868">
        <v>0.32090000000000002</v>
      </c>
      <c r="W839" s="1868">
        <v>0.31046000000000001</v>
      </c>
      <c r="X839" s="1868">
        <v>0.41783000000000003</v>
      </c>
      <c r="Y839" s="1868">
        <v>0.23451</v>
      </c>
      <c r="Z839" s="1868">
        <v>0.25189</v>
      </c>
      <c r="AA839" s="1868">
        <v>0.12130999999999999</v>
      </c>
      <c r="AB839" s="1868">
        <v>0.24429000000000001</v>
      </c>
      <c r="AC839" s="1868">
        <v>0.18875999999999998</v>
      </c>
      <c r="AD839" s="1868">
        <v>0.14643</v>
      </c>
      <c r="AE839" s="1868">
        <v>0.20976999999999998</v>
      </c>
      <c r="AF839" s="1868">
        <v>0.10772999999999999</v>
      </c>
      <c r="AG839" s="1868">
        <v>0.13764999999999999</v>
      </c>
      <c r="AH839" s="1868">
        <v>0.28021999999999997</v>
      </c>
      <c r="AI839" s="1868">
        <v>0.29138999999999998</v>
      </c>
      <c r="AJ839" s="1868">
        <v>0.21329000000000001</v>
      </c>
      <c r="AK839" s="1868">
        <v>0.30354000000000003</v>
      </c>
      <c r="AL839" s="1868">
        <v>0.16420000000000001</v>
      </c>
      <c r="AM839" s="1868">
        <v>0.27773000000000003</v>
      </c>
      <c r="AN839" s="1868">
        <v>0.23279</v>
      </c>
      <c r="AO839" s="1868">
        <v>0.24679000000000001</v>
      </c>
      <c r="AP839" s="1868">
        <v>0.21310000000000001</v>
      </c>
      <c r="AQ839" s="1868">
        <v>0.24304000000000001</v>
      </c>
      <c r="AR839" s="1868">
        <v>0.22789999999999999</v>
      </c>
      <c r="AS839" s="1868">
        <v>0.24344000000000002</v>
      </c>
      <c r="AT839" s="1868">
        <v>0.31036999999999998</v>
      </c>
      <c r="AU839" s="1868">
        <v>0.22919999999999999</v>
      </c>
      <c r="AV839" s="1868">
        <v>0.33773000000000003</v>
      </c>
      <c r="AW839" s="1868">
        <v>0.30898999999999999</v>
      </c>
      <c r="AX839" s="1868">
        <v>0.34778999999999999</v>
      </c>
      <c r="AY839" s="1868">
        <v>0.31398000000000004</v>
      </c>
      <c r="AZ839" s="1868">
        <v>0.27176999999999996</v>
      </c>
      <c r="BA839" s="1868">
        <v>0.23936999999999997</v>
      </c>
    </row>
    <row r="840" spans="1:53">
      <c r="A840" s="1865" t="str">
        <f t="shared" si="13"/>
        <v>Northern AfricaOats</v>
      </c>
      <c r="B840" s="1866" t="s">
        <v>1419</v>
      </c>
      <c r="C840" s="1866" t="s">
        <v>1349</v>
      </c>
      <c r="D840" s="1868">
        <v>0.38689000000000001</v>
      </c>
      <c r="E840" s="1868">
        <v>0.71814999999999996</v>
      </c>
      <c r="F840" s="1868">
        <v>0.60806000000000004</v>
      </c>
      <c r="G840" s="1868">
        <v>0.63222</v>
      </c>
      <c r="H840" s="1868">
        <v>0.56362999999999996</v>
      </c>
      <c r="I840" s="1868">
        <v>0.31924000000000002</v>
      </c>
      <c r="J840" s="1868">
        <v>0.62729000000000001</v>
      </c>
      <c r="K840" s="1868">
        <v>0.67253000000000007</v>
      </c>
      <c r="L840" s="1868">
        <v>0.55236000000000007</v>
      </c>
      <c r="M840" s="1868">
        <v>0.55973000000000006</v>
      </c>
      <c r="N840" s="1868">
        <v>0.53095999999999999</v>
      </c>
      <c r="O840" s="1868">
        <v>0.56033999999999995</v>
      </c>
      <c r="P840" s="1868">
        <v>0.52263999999999999</v>
      </c>
      <c r="Q840" s="1868">
        <v>0.62993999999999994</v>
      </c>
      <c r="R840" s="1868">
        <v>0.79081000000000001</v>
      </c>
      <c r="S840" s="1868">
        <v>0.75217000000000001</v>
      </c>
      <c r="T840" s="1868">
        <v>0.34821999999999997</v>
      </c>
      <c r="U840" s="1868">
        <v>0.52817000000000003</v>
      </c>
      <c r="V840" s="1868">
        <v>0.54128999999999994</v>
      </c>
      <c r="W840" s="1868">
        <v>0.68731000000000009</v>
      </c>
      <c r="X840" s="1868">
        <v>0.52138000000000007</v>
      </c>
      <c r="Y840" s="1868">
        <v>0.67358000000000007</v>
      </c>
      <c r="Z840" s="1868">
        <v>0.55613999999999997</v>
      </c>
      <c r="AA840" s="1868">
        <v>0.55447000000000002</v>
      </c>
      <c r="AB840" s="1868">
        <v>0.71028999999999998</v>
      </c>
      <c r="AC840" s="1868">
        <v>0.81623999999999997</v>
      </c>
      <c r="AD840" s="1868">
        <v>0.57335000000000003</v>
      </c>
      <c r="AE840" s="1868">
        <v>0.51768999999999998</v>
      </c>
      <c r="AF840" s="1868">
        <v>0.67127000000000003</v>
      </c>
      <c r="AG840" s="1868">
        <v>0.64644999999999997</v>
      </c>
      <c r="AH840" s="1868">
        <v>1.0240100000000001</v>
      </c>
      <c r="AI840" s="1868">
        <v>0.67746000000000006</v>
      </c>
      <c r="AJ840" s="1868">
        <v>0.50797000000000003</v>
      </c>
      <c r="AK840" s="1868">
        <v>0.92307000000000006</v>
      </c>
      <c r="AL840" s="1868">
        <v>0.64036000000000004</v>
      </c>
      <c r="AM840" s="1868">
        <v>1.0347999999999999</v>
      </c>
      <c r="AN840" s="1868">
        <v>0.59846999999999995</v>
      </c>
      <c r="AO840" s="1868">
        <v>0.70448</v>
      </c>
      <c r="AP840" s="1868">
        <v>0.66658000000000006</v>
      </c>
      <c r="AQ840" s="1868">
        <v>0.38136999999999999</v>
      </c>
      <c r="AR840" s="1868">
        <v>0.71201999999999999</v>
      </c>
      <c r="AS840" s="1868">
        <v>0.6915</v>
      </c>
      <c r="AT840" s="1868">
        <v>0.95835999999999999</v>
      </c>
      <c r="AU840" s="1868">
        <v>1.0751500000000001</v>
      </c>
      <c r="AV840" s="1868">
        <v>0.99231000000000003</v>
      </c>
      <c r="AW840" s="1868">
        <v>1.0686</v>
      </c>
      <c r="AX840" s="1868">
        <v>0.89656000000000002</v>
      </c>
      <c r="AY840" s="1868">
        <v>0.61588999999999994</v>
      </c>
      <c r="AZ840" s="1868">
        <v>1.11494</v>
      </c>
      <c r="BA840" s="1868">
        <v>1.0088200000000001</v>
      </c>
    </row>
    <row r="841" spans="1:53">
      <c r="A841" s="1865" t="str">
        <f t="shared" si="13"/>
        <v>Northern AfricaOlives</v>
      </c>
      <c r="B841" s="1866" t="s">
        <v>1419</v>
      </c>
      <c r="C841" s="1866" t="s">
        <v>1387</v>
      </c>
      <c r="D841" s="1868">
        <v>0.76276999999999995</v>
      </c>
      <c r="E841" s="1868">
        <v>0.68971000000000005</v>
      </c>
      <c r="F841" s="1868">
        <v>0.54551000000000005</v>
      </c>
      <c r="G841" s="1868">
        <v>0.53508</v>
      </c>
      <c r="H841" s="1868">
        <v>0.84887999999999997</v>
      </c>
      <c r="I841" s="1868">
        <v>1.07389</v>
      </c>
      <c r="J841" s="1868">
        <v>0.83235999999999999</v>
      </c>
      <c r="K841" s="1868">
        <v>0.87317000000000011</v>
      </c>
      <c r="L841" s="1868">
        <v>0.79305999999999999</v>
      </c>
      <c r="M841" s="1868">
        <v>0.62106000000000006</v>
      </c>
      <c r="N841" s="1868">
        <v>0.84562999999999988</v>
      </c>
      <c r="O841" s="1868">
        <v>0.51175000000000004</v>
      </c>
      <c r="P841" s="1868">
        <v>0.69256000000000006</v>
      </c>
      <c r="Q841" s="1868">
        <v>0.62258000000000002</v>
      </c>
      <c r="R841" s="1868">
        <v>0.86382000000000003</v>
      </c>
      <c r="S841" s="1868">
        <v>0.60851</v>
      </c>
      <c r="T841" s="1868">
        <v>0.57701999999999998</v>
      </c>
      <c r="U841" s="1868">
        <v>0.49253000000000002</v>
      </c>
      <c r="V841" s="1868">
        <v>0.56061000000000005</v>
      </c>
      <c r="W841" s="1868">
        <v>0.69821</v>
      </c>
      <c r="X841" s="1868">
        <v>0.55006999999999995</v>
      </c>
      <c r="Y841" s="1868">
        <v>0.58077000000000001</v>
      </c>
      <c r="Z841" s="1868">
        <v>0.74192999999999998</v>
      </c>
      <c r="AA841" s="1868">
        <v>0.58699000000000001</v>
      </c>
      <c r="AB841" s="1868">
        <v>0.64788000000000001</v>
      </c>
      <c r="AC841" s="1868">
        <v>0.70851999999999993</v>
      </c>
      <c r="AD841" s="1868">
        <v>0.66053000000000006</v>
      </c>
      <c r="AE841" s="1868">
        <v>0.44455</v>
      </c>
      <c r="AF841" s="1868">
        <v>0.76717999999999997</v>
      </c>
      <c r="AG841" s="1868">
        <v>0.75501000000000007</v>
      </c>
      <c r="AH841" s="1868">
        <v>1.0482400000000001</v>
      </c>
      <c r="AI841" s="1868">
        <v>0.73855999999999999</v>
      </c>
      <c r="AJ841" s="1868">
        <v>0.89261000000000001</v>
      </c>
      <c r="AK841" s="1868">
        <v>0.62671999999999994</v>
      </c>
      <c r="AL841" s="1868">
        <v>0.57881000000000005</v>
      </c>
      <c r="AM841" s="1868">
        <v>1.35781</v>
      </c>
      <c r="AN841" s="1868">
        <v>0.90024999999999999</v>
      </c>
      <c r="AO841" s="1868">
        <v>1.0141</v>
      </c>
      <c r="AP841" s="1868">
        <v>1.05732</v>
      </c>
      <c r="AQ841" s="1868">
        <v>0.71068999999999993</v>
      </c>
      <c r="AR841" s="1868">
        <v>0.53908</v>
      </c>
      <c r="AS841" s="1868">
        <v>0.67586000000000002</v>
      </c>
      <c r="AT841" s="1868">
        <v>1.1149799999999999</v>
      </c>
      <c r="AU841" s="1868">
        <v>0.76885000000000003</v>
      </c>
      <c r="AV841" s="1868">
        <v>0.80813999999999997</v>
      </c>
      <c r="AW841" s="1868">
        <v>0.79915000000000003</v>
      </c>
      <c r="AX841" s="1868">
        <v>0.84597999999999995</v>
      </c>
      <c r="AY841" s="1868">
        <v>0.83212999999999993</v>
      </c>
      <c r="AZ841" s="1868">
        <v>0.99172000000000005</v>
      </c>
      <c r="BA841" s="1868">
        <v>1.2232299999999998</v>
      </c>
    </row>
    <row r="842" spans="1:53">
      <c r="A842" s="1865" t="str">
        <f t="shared" si="13"/>
        <v>Northern AfricaOnions, dry</v>
      </c>
      <c r="B842" s="1866" t="s">
        <v>1419</v>
      </c>
      <c r="C842" s="1866" t="s">
        <v>1388</v>
      </c>
      <c r="D842" s="1868">
        <v>15.87175</v>
      </c>
      <c r="E842" s="1868">
        <v>18.60941</v>
      </c>
      <c r="F842" s="1868">
        <v>19.418610000000001</v>
      </c>
      <c r="G842" s="1868">
        <v>18.652670000000001</v>
      </c>
      <c r="H842" s="1868">
        <v>19.92605</v>
      </c>
      <c r="I842" s="1868">
        <v>18.761399999999998</v>
      </c>
      <c r="J842" s="1868">
        <v>17.295999999999999</v>
      </c>
      <c r="K842" s="1868">
        <v>14.529770000000001</v>
      </c>
      <c r="L842" s="1868">
        <v>14.48978</v>
      </c>
      <c r="M842" s="1868">
        <v>14.4047</v>
      </c>
      <c r="N842" s="1868">
        <v>16.549630000000001</v>
      </c>
      <c r="O842" s="1868">
        <v>15.156689999999999</v>
      </c>
      <c r="P842" s="1868">
        <v>15.609</v>
      </c>
      <c r="Q842" s="1868">
        <v>17.0671</v>
      </c>
      <c r="R842" s="1868">
        <v>16.28265</v>
      </c>
      <c r="S842" s="1868">
        <v>15.380470000000001</v>
      </c>
      <c r="T842" s="1868">
        <v>15.804589999999999</v>
      </c>
      <c r="U842" s="1868">
        <v>15.4505</v>
      </c>
      <c r="V842" s="1868">
        <v>16.26896</v>
      </c>
      <c r="W842" s="1868">
        <v>18.647839999999999</v>
      </c>
      <c r="X842" s="1868">
        <v>18.556100000000001</v>
      </c>
      <c r="Y842" s="1868">
        <v>18.733139999999999</v>
      </c>
      <c r="Z842" s="1868">
        <v>18.122309999999999</v>
      </c>
      <c r="AA842" s="1868">
        <v>18.45187</v>
      </c>
      <c r="AB842" s="1868">
        <v>19.660510000000002</v>
      </c>
      <c r="AC842" s="1868">
        <v>20.2502</v>
      </c>
      <c r="AD842" s="1868">
        <v>18.9087</v>
      </c>
      <c r="AE842" s="1868">
        <v>17.396940000000001</v>
      </c>
      <c r="AF842" s="1868">
        <v>17.93749</v>
      </c>
      <c r="AG842" s="1868">
        <v>18.596640000000001</v>
      </c>
      <c r="AH842" s="1868">
        <v>19.572990000000001</v>
      </c>
      <c r="AI842" s="1868">
        <v>18.383979999999998</v>
      </c>
      <c r="AJ842" s="1868">
        <v>20.05913</v>
      </c>
      <c r="AK842" s="1868">
        <v>18.07349</v>
      </c>
      <c r="AL842" s="1868">
        <v>16.249939999999999</v>
      </c>
      <c r="AM842" s="1868">
        <v>16.021179999999998</v>
      </c>
      <c r="AN842" s="1868">
        <v>17.51164</v>
      </c>
      <c r="AO842" s="1868">
        <v>18.671500000000002</v>
      </c>
      <c r="AP842" s="1868">
        <v>18.769629999999999</v>
      </c>
      <c r="AQ842" s="1868">
        <v>16.35914</v>
      </c>
      <c r="AR842" s="1868">
        <v>18.252479999999998</v>
      </c>
      <c r="AS842" s="1868">
        <v>19.57554</v>
      </c>
      <c r="AT842" s="1868">
        <v>20.50142</v>
      </c>
      <c r="AU842" s="1868">
        <v>23.12848</v>
      </c>
      <c r="AV842" s="1868">
        <v>23.144029999999997</v>
      </c>
      <c r="AW842" s="1868">
        <v>23.740300000000001</v>
      </c>
      <c r="AX842" s="1868">
        <v>24.80416</v>
      </c>
      <c r="AY842" s="1868">
        <v>26.033709999999999</v>
      </c>
      <c r="AZ842" s="1868">
        <v>27.776459999999997</v>
      </c>
      <c r="BA842" s="1868">
        <v>30.134459999999997</v>
      </c>
    </row>
    <row r="843" spans="1:53">
      <c r="A843" s="1865" t="str">
        <f t="shared" si="13"/>
        <v>Northern AfricaOranges</v>
      </c>
      <c r="B843" s="1866" t="s">
        <v>1419</v>
      </c>
      <c r="C843" s="1866" t="s">
        <v>1389</v>
      </c>
      <c r="D843" s="1868">
        <v>15.15959</v>
      </c>
      <c r="E843" s="1868">
        <v>15.77416</v>
      </c>
      <c r="F843" s="1868">
        <v>15.448120000000001</v>
      </c>
      <c r="G843" s="1868">
        <v>15.667289999999999</v>
      </c>
      <c r="H843" s="1868">
        <v>14.46095</v>
      </c>
      <c r="I843" s="1868">
        <v>16.164960000000001</v>
      </c>
      <c r="J843" s="1868">
        <v>17.090429999999998</v>
      </c>
      <c r="K843" s="1868">
        <v>16.719760000000001</v>
      </c>
      <c r="L843" s="1868">
        <v>16.966750000000001</v>
      </c>
      <c r="M843" s="1868">
        <v>16.908860000000001</v>
      </c>
      <c r="N843" s="1868">
        <v>16.94811</v>
      </c>
      <c r="O843" s="1868">
        <v>16.67154</v>
      </c>
      <c r="P843" s="1868">
        <v>18.85108</v>
      </c>
      <c r="Q843" s="1868">
        <v>17.903670000000002</v>
      </c>
      <c r="R843" s="1868">
        <v>16.495179999999998</v>
      </c>
      <c r="S843" s="1868">
        <v>15.024279999999999</v>
      </c>
      <c r="T843" s="1868">
        <v>14.406429999999999</v>
      </c>
      <c r="U843" s="1868">
        <v>17.888360000000002</v>
      </c>
      <c r="V843" s="1868">
        <v>18.527100000000001</v>
      </c>
      <c r="W843" s="1868">
        <v>18.664010000000001</v>
      </c>
      <c r="X843" s="1868">
        <v>18.597520000000003</v>
      </c>
      <c r="Y843" s="1868">
        <v>21.035779999999999</v>
      </c>
      <c r="Z843" s="1868">
        <v>22.051749999999998</v>
      </c>
      <c r="AA843" s="1868">
        <v>21.37717</v>
      </c>
      <c r="AB843" s="1868">
        <v>13.91816</v>
      </c>
      <c r="AC843" s="1868">
        <v>13.961589999999999</v>
      </c>
      <c r="AD843" s="1868">
        <v>13.862489999999999</v>
      </c>
      <c r="AE843" s="1868">
        <v>14.088420000000001</v>
      </c>
      <c r="AF843" s="1868">
        <v>15.63575</v>
      </c>
      <c r="AG843" s="1868">
        <v>15.203779999999998</v>
      </c>
      <c r="AH843" s="1868">
        <v>17.53435</v>
      </c>
      <c r="AI843" s="1868">
        <v>15.447420000000001</v>
      </c>
      <c r="AJ843" s="1868">
        <v>13.811229999999998</v>
      </c>
      <c r="AK843" s="1868">
        <v>15.37936</v>
      </c>
      <c r="AL843" s="1868">
        <v>14.78795</v>
      </c>
      <c r="AM843" s="1868">
        <v>16.963979999999999</v>
      </c>
      <c r="AN843" s="1868">
        <v>15.31644</v>
      </c>
      <c r="AO843" s="1868">
        <v>16.928829999999998</v>
      </c>
      <c r="AP843" s="1868">
        <v>15.964270000000001</v>
      </c>
      <c r="AQ843" s="1868">
        <v>16.256270000000001</v>
      </c>
      <c r="AR843" s="1868">
        <v>15.816520000000001</v>
      </c>
      <c r="AS843" s="1868">
        <v>16.47458</v>
      </c>
      <c r="AT843" s="1868">
        <v>17.60417</v>
      </c>
      <c r="AU843" s="1868">
        <v>17.808520000000001</v>
      </c>
      <c r="AV843" s="1868">
        <v>17.568750000000001</v>
      </c>
      <c r="AW843" s="1868">
        <v>19.454520000000002</v>
      </c>
      <c r="AX843" s="1868">
        <v>17.940170000000002</v>
      </c>
      <c r="AY843" s="1868">
        <v>16.95251</v>
      </c>
      <c r="AZ843" s="1868">
        <v>19.22991</v>
      </c>
      <c r="BA843" s="1868">
        <v>20.853660000000001</v>
      </c>
    </row>
    <row r="844" spans="1:53">
      <c r="A844" s="1865" t="str">
        <f t="shared" si="13"/>
        <v>Northern AfricaPeaches and nectarines</v>
      </c>
      <c r="B844" s="1866" t="s">
        <v>1419</v>
      </c>
      <c r="C844" s="1866" t="s">
        <v>1390</v>
      </c>
      <c r="D844" s="1868">
        <v>1.61582</v>
      </c>
      <c r="E844" s="1868">
        <v>1.80732</v>
      </c>
      <c r="F844" s="1868">
        <v>1.7177799999999999</v>
      </c>
      <c r="G844" s="1868">
        <v>3.0989800000000001</v>
      </c>
      <c r="H844" s="1868">
        <v>2.6614</v>
      </c>
      <c r="I844" s="1868">
        <v>3.89574</v>
      </c>
      <c r="J844" s="1868">
        <v>3.5824300000000004</v>
      </c>
      <c r="K844" s="1868">
        <v>3.2905000000000002</v>
      </c>
      <c r="L844" s="1868">
        <v>3.7294900000000002</v>
      </c>
      <c r="M844" s="1868">
        <v>3.3333300000000001</v>
      </c>
      <c r="N844" s="1868">
        <v>4.2113100000000001</v>
      </c>
      <c r="O844" s="1868">
        <v>3.7286199999999998</v>
      </c>
      <c r="P844" s="1868">
        <v>3.7926900000000003</v>
      </c>
      <c r="Q844" s="1868">
        <v>3.7475199999999997</v>
      </c>
      <c r="R844" s="1868">
        <v>3.6224099999999999</v>
      </c>
      <c r="S844" s="1868">
        <v>4.0770800000000005</v>
      </c>
      <c r="T844" s="1868">
        <v>4.1529499999999997</v>
      </c>
      <c r="U844" s="1868">
        <v>4.1124700000000001</v>
      </c>
      <c r="V844" s="1868">
        <v>3.9952300000000003</v>
      </c>
      <c r="W844" s="1868">
        <v>3.9619800000000005</v>
      </c>
      <c r="X844" s="1868">
        <v>4.4077599999999997</v>
      </c>
      <c r="Y844" s="1868">
        <v>3.6916800000000003</v>
      </c>
      <c r="Z844" s="1868">
        <v>3.7544499999999998</v>
      </c>
      <c r="AA844" s="1868">
        <v>4.60459</v>
      </c>
      <c r="AB844" s="1868">
        <v>3.7654000000000001</v>
      </c>
      <c r="AC844" s="1868">
        <v>3.7064300000000001</v>
      </c>
      <c r="AD844" s="1868">
        <v>3.8196400000000001</v>
      </c>
      <c r="AE844" s="1868">
        <v>3.5949699999999996</v>
      </c>
      <c r="AF844" s="1868">
        <v>3.7327599999999999</v>
      </c>
      <c r="AG844" s="1868">
        <v>3.6629999999999998</v>
      </c>
      <c r="AH844" s="1868">
        <v>3.9666000000000001</v>
      </c>
      <c r="AI844" s="1868">
        <v>4.8472</v>
      </c>
      <c r="AJ844" s="1868">
        <v>5.3872999999999998</v>
      </c>
      <c r="AK844" s="1868">
        <v>5.7441699999999996</v>
      </c>
      <c r="AL844" s="1868">
        <v>6.3007099999999996</v>
      </c>
      <c r="AM844" s="1868">
        <v>6.9005100000000006</v>
      </c>
      <c r="AN844" s="1868">
        <v>7.4978800000000003</v>
      </c>
      <c r="AO844" s="1868">
        <v>8.6317699999999995</v>
      </c>
      <c r="AP844" s="1868">
        <v>7.0100300000000004</v>
      </c>
      <c r="AQ844" s="1868">
        <v>6.6167600000000002</v>
      </c>
      <c r="AR844" s="1868">
        <v>6.5857600000000005</v>
      </c>
      <c r="AS844" s="1868">
        <v>8.5004600000000003</v>
      </c>
      <c r="AT844" s="1868">
        <v>7.6906499999999998</v>
      </c>
      <c r="AU844" s="1868">
        <v>8.3145299999999995</v>
      </c>
      <c r="AV844" s="1868">
        <v>9.1619799999999998</v>
      </c>
      <c r="AW844" s="1868">
        <v>10.257719999999999</v>
      </c>
      <c r="AX844" s="1868">
        <v>9.3808799999999994</v>
      </c>
      <c r="AY844" s="1868">
        <v>9.66981</v>
      </c>
      <c r="AZ844" s="1868">
        <v>9.6819299999999995</v>
      </c>
      <c r="BA844" s="1868">
        <v>8.8030200000000001</v>
      </c>
    </row>
    <row r="845" spans="1:53">
      <c r="A845" s="1865" t="str">
        <f t="shared" si="13"/>
        <v>Northern AfricaPeas, dry</v>
      </c>
      <c r="B845" s="1866" t="s">
        <v>1419</v>
      </c>
      <c r="C845" s="1866" t="s">
        <v>1391</v>
      </c>
      <c r="D845" s="1868">
        <v>0.42036999999999997</v>
      </c>
      <c r="E845" s="1868">
        <v>0.82552999999999988</v>
      </c>
      <c r="F845" s="1868">
        <v>0.62483999999999995</v>
      </c>
      <c r="G845" s="1868">
        <v>0.70298000000000005</v>
      </c>
      <c r="H845" s="1868">
        <v>0.78025</v>
      </c>
      <c r="I845" s="1868">
        <v>0.63136999999999999</v>
      </c>
      <c r="J845" s="1868">
        <v>0.58977999999999997</v>
      </c>
      <c r="K845" s="1868">
        <v>0.78990000000000005</v>
      </c>
      <c r="L845" s="1868">
        <v>0.68257999999999996</v>
      </c>
      <c r="M845" s="1868">
        <v>0.55794999999999995</v>
      </c>
      <c r="N845" s="1868">
        <v>0.72401000000000004</v>
      </c>
      <c r="O845" s="1868">
        <v>0.68081999999999998</v>
      </c>
      <c r="P845" s="1868">
        <v>0.40263000000000004</v>
      </c>
      <c r="Q845" s="1868">
        <v>1.1189899999999999</v>
      </c>
      <c r="R845" s="1868">
        <v>0.73494999999999999</v>
      </c>
      <c r="S845" s="1868">
        <v>0.86014999999999997</v>
      </c>
      <c r="T845" s="1868">
        <v>0.33505999999999997</v>
      </c>
      <c r="U845" s="1868">
        <v>0.5212</v>
      </c>
      <c r="V845" s="1868">
        <v>0.62556999999999996</v>
      </c>
      <c r="W845" s="1868">
        <v>0.61503999999999992</v>
      </c>
      <c r="X845" s="1868">
        <v>0.37401000000000001</v>
      </c>
      <c r="Y845" s="1868">
        <v>0.64478000000000002</v>
      </c>
      <c r="Z845" s="1868">
        <v>0.4375</v>
      </c>
      <c r="AA845" s="1868">
        <v>0.51317000000000002</v>
      </c>
      <c r="AB845" s="1868">
        <v>0.76576</v>
      </c>
      <c r="AC845" s="1868">
        <v>0.78651000000000004</v>
      </c>
      <c r="AD845" s="1868">
        <v>0.52632000000000001</v>
      </c>
      <c r="AE845" s="1868">
        <v>0.74781999999999993</v>
      </c>
      <c r="AF845" s="1868">
        <v>0.77154999999999996</v>
      </c>
      <c r="AG845" s="1868">
        <v>0.85824999999999996</v>
      </c>
      <c r="AH845" s="1868">
        <v>1.03569</v>
      </c>
      <c r="AI845" s="1868">
        <v>0.44753999999999994</v>
      </c>
      <c r="AJ845" s="1868">
        <v>1.05104</v>
      </c>
      <c r="AK845" s="1868">
        <v>0.61907999999999996</v>
      </c>
      <c r="AL845" s="1868">
        <v>0.28865000000000002</v>
      </c>
      <c r="AM845" s="1868">
        <v>0.93227999999999989</v>
      </c>
      <c r="AN845" s="1868">
        <v>0.48603000000000002</v>
      </c>
      <c r="AO845" s="1868">
        <v>0.63512000000000002</v>
      </c>
      <c r="AP845" s="1868">
        <v>0.54285000000000005</v>
      </c>
      <c r="AQ845" s="1868">
        <v>0.34226000000000001</v>
      </c>
      <c r="AR845" s="1868">
        <v>0.59482999999999997</v>
      </c>
      <c r="AS845" s="1868">
        <v>0.59709999999999996</v>
      </c>
      <c r="AT845" s="1868">
        <v>0.71257999999999999</v>
      </c>
      <c r="AU845" s="1868">
        <v>0.73607</v>
      </c>
      <c r="AV845" s="1868">
        <v>0.57948</v>
      </c>
      <c r="AW845" s="1868">
        <v>0.70484999999999998</v>
      </c>
      <c r="AX845" s="1868">
        <v>0.55318999999999996</v>
      </c>
      <c r="AY845" s="1868">
        <v>0.55471000000000004</v>
      </c>
      <c r="AZ845" s="1868">
        <v>0.79653999999999991</v>
      </c>
      <c r="BA845" s="1868">
        <v>0.70387</v>
      </c>
    </row>
    <row r="846" spans="1:53">
      <c r="A846" s="1865" t="str">
        <f t="shared" si="13"/>
        <v>Northern AfricaPeas, green</v>
      </c>
      <c r="B846" s="1866" t="s">
        <v>1419</v>
      </c>
      <c r="C846" s="1866" t="s">
        <v>1392</v>
      </c>
      <c r="D846" s="1868">
        <v>3.9479000000000002</v>
      </c>
      <c r="E846" s="1868">
        <v>5.7182000000000004</v>
      </c>
      <c r="F846" s="1868">
        <v>5.7789900000000003</v>
      </c>
      <c r="G846" s="1868">
        <v>5.4817200000000001</v>
      </c>
      <c r="H846" s="1868">
        <v>3.5897399999999999</v>
      </c>
      <c r="I846" s="1868">
        <v>5.8119300000000003</v>
      </c>
      <c r="J846" s="1868">
        <v>3.7799199999999997</v>
      </c>
      <c r="K846" s="1868">
        <v>4.5833000000000004</v>
      </c>
      <c r="L846" s="1868">
        <v>4.4694900000000004</v>
      </c>
      <c r="M846" s="1868">
        <v>4.3812600000000002</v>
      </c>
      <c r="N846" s="1868">
        <v>4.2576999999999998</v>
      </c>
      <c r="O846" s="1868">
        <v>4.7402100000000003</v>
      </c>
      <c r="P846" s="1868">
        <v>4.51539</v>
      </c>
      <c r="Q846" s="1868">
        <v>4.4440300000000006</v>
      </c>
      <c r="R846" s="1868">
        <v>4.8874599999999999</v>
      </c>
      <c r="S846" s="1868">
        <v>4.7289699999999995</v>
      </c>
      <c r="T846" s="1868">
        <v>4.6026300000000004</v>
      </c>
      <c r="U846" s="1868">
        <v>4.1381899999999998</v>
      </c>
      <c r="V846" s="1868">
        <v>4.3212199999999994</v>
      </c>
      <c r="W846" s="1868">
        <v>4.1323999999999996</v>
      </c>
      <c r="X846" s="1868">
        <v>4.2394400000000001</v>
      </c>
      <c r="Y846" s="1868">
        <v>4.69815</v>
      </c>
      <c r="Z846" s="1868">
        <v>5.4321000000000002</v>
      </c>
      <c r="AA846" s="1868">
        <v>5.00305</v>
      </c>
      <c r="AB846" s="1868">
        <v>5.2511099999999997</v>
      </c>
      <c r="AC846" s="1868">
        <v>4.8914499999999999</v>
      </c>
      <c r="AD846" s="1868">
        <v>4.8519800000000002</v>
      </c>
      <c r="AE846" s="1868">
        <v>4.7218499999999999</v>
      </c>
      <c r="AF846" s="1868">
        <v>5.2858999999999998</v>
      </c>
      <c r="AG846" s="1868">
        <v>5.98651</v>
      </c>
      <c r="AH846" s="1868">
        <v>5.6123799999999999</v>
      </c>
      <c r="AI846" s="1868">
        <v>4.9069099999999999</v>
      </c>
      <c r="AJ846" s="1868">
        <v>4.7006800000000002</v>
      </c>
      <c r="AK846" s="1868">
        <v>4.90069</v>
      </c>
      <c r="AL846" s="1868">
        <v>6.2618800000000006</v>
      </c>
      <c r="AM846" s="1868">
        <v>5.5375899999999998</v>
      </c>
      <c r="AN846" s="1868">
        <v>4.99871</v>
      </c>
      <c r="AO846" s="1868">
        <v>4.8711800000000007</v>
      </c>
      <c r="AP846" s="1868">
        <v>5.1913199999999993</v>
      </c>
      <c r="AQ846" s="1868">
        <v>6.5229499999999998</v>
      </c>
      <c r="AR846" s="1868">
        <v>5.9588599999999996</v>
      </c>
      <c r="AS846" s="1868">
        <v>6.2844100000000003</v>
      </c>
      <c r="AT846" s="1868">
        <v>6.4211900000000002</v>
      </c>
      <c r="AU846" s="1868">
        <v>7.085560000000001</v>
      </c>
      <c r="AV846" s="1868">
        <v>6.7634300000000005</v>
      </c>
      <c r="AW846" s="1868">
        <v>5.82897</v>
      </c>
      <c r="AX846" s="1868">
        <v>6.5922399999999994</v>
      </c>
      <c r="AY846" s="1868">
        <v>6.7173699999999998</v>
      </c>
      <c r="AZ846" s="1868">
        <v>7.0601899999999995</v>
      </c>
      <c r="BA846" s="1868">
        <v>7.1004500000000004</v>
      </c>
    </row>
    <row r="847" spans="1:53">
      <c r="A847" s="1865" t="str">
        <f t="shared" si="13"/>
        <v>Northern AfricaPineapples</v>
      </c>
      <c r="B847" s="1866" t="s">
        <v>1419</v>
      </c>
      <c r="C847" s="1866" t="s">
        <v>1351</v>
      </c>
      <c r="D847" s="1868">
        <v>9.0500000000000007</v>
      </c>
      <c r="E847" s="1868">
        <v>9.1</v>
      </c>
      <c r="F847" s="1868">
        <v>9.1</v>
      </c>
      <c r="G847" s="1868">
        <v>6.7666699999999995</v>
      </c>
      <c r="H847" s="1868">
        <v>5.25</v>
      </c>
      <c r="I847" s="1868">
        <v>5.5</v>
      </c>
      <c r="J847" s="1868">
        <v>5.3333300000000001</v>
      </c>
      <c r="K847" s="1868">
        <v>6.2</v>
      </c>
      <c r="L847" s="1868">
        <v>5.5</v>
      </c>
      <c r="M847" s="1868">
        <v>5.1428599999999998</v>
      </c>
      <c r="N847" s="1868">
        <v>5.125</v>
      </c>
      <c r="O847" s="1868">
        <v>5.1190499999999997</v>
      </c>
      <c r="P847" s="1868">
        <v>5.1190499999999997</v>
      </c>
      <c r="Q847" s="1868">
        <v>5.0588199999999999</v>
      </c>
      <c r="R847" s="1868">
        <v>4.9411800000000001</v>
      </c>
      <c r="S847" s="1868">
        <v>4.7777799999999999</v>
      </c>
      <c r="T847" s="1868">
        <v>4.7222200000000001</v>
      </c>
      <c r="U847" s="1868">
        <v>4.7222200000000001</v>
      </c>
      <c r="V847" s="1868">
        <v>4.6666699999999999</v>
      </c>
      <c r="W847" s="1868">
        <v>4.7368399999999999</v>
      </c>
      <c r="X847" s="1868">
        <v>4.7368399999999999</v>
      </c>
      <c r="Y847" s="1868">
        <v>4.7368399999999999</v>
      </c>
      <c r="Z847" s="1868">
        <v>4.7368399999999999</v>
      </c>
      <c r="AA847" s="1868">
        <v>4.7368399999999999</v>
      </c>
      <c r="AB847" s="1868">
        <v>4.7422699999999995</v>
      </c>
      <c r="AC847" s="1868">
        <v>4.7449000000000003</v>
      </c>
      <c r="AD847" s="1868">
        <v>4.7</v>
      </c>
      <c r="AE847" s="1868">
        <v>4.6938800000000001</v>
      </c>
      <c r="AF847" s="1868">
        <v>4.5</v>
      </c>
      <c r="AG847" s="1868">
        <v>3.4722199999999996</v>
      </c>
      <c r="AH847" s="1868">
        <v>4.2727300000000001</v>
      </c>
      <c r="AI847" s="1868">
        <v>4.1739100000000002</v>
      </c>
      <c r="AJ847" s="1868">
        <v>3.5492499999999998</v>
      </c>
      <c r="AK847" s="1868">
        <v>4.0833300000000001</v>
      </c>
      <c r="AL847" s="1868">
        <v>3.8180300000000003</v>
      </c>
      <c r="AM847" s="1868">
        <v>3.8155800000000002</v>
      </c>
      <c r="AN847" s="1868">
        <v>3.7504</v>
      </c>
      <c r="AO847" s="1868">
        <v>3.92</v>
      </c>
      <c r="AP847" s="1868">
        <v>3.80769</v>
      </c>
      <c r="AQ847" s="1868">
        <v>3.7037</v>
      </c>
      <c r="AR847" s="1868">
        <v>3.6428599999999998</v>
      </c>
      <c r="AS847" s="1868">
        <v>3.7372999999999998</v>
      </c>
      <c r="AT847" s="1868">
        <v>3.7818199999999997</v>
      </c>
      <c r="AU847" s="1868">
        <v>3.8213800000000004</v>
      </c>
      <c r="AV847" s="1868">
        <v>3.5394600000000001</v>
      </c>
      <c r="AW847" s="1868">
        <v>3.0849900000000003</v>
      </c>
      <c r="AX847" s="1868">
        <v>1.8648</v>
      </c>
      <c r="AY847" s="1868">
        <v>2.3266200000000001</v>
      </c>
      <c r="AZ847" s="1868">
        <v>2.5338700000000003</v>
      </c>
      <c r="BA847" s="1868">
        <v>2.75</v>
      </c>
    </row>
    <row r="848" spans="1:53">
      <c r="A848" s="1865" t="str">
        <f t="shared" si="13"/>
        <v>Northern AfricaPotatoes</v>
      </c>
      <c r="B848" s="1866" t="s">
        <v>1419</v>
      </c>
      <c r="C848" s="1866" t="s">
        <v>1394</v>
      </c>
      <c r="D848" s="1868">
        <v>12.08873</v>
      </c>
      <c r="E848" s="1868">
        <v>10.928039999999999</v>
      </c>
      <c r="F848" s="1868">
        <v>11.39884</v>
      </c>
      <c r="G848" s="1868">
        <v>10.73277</v>
      </c>
      <c r="H848" s="1868">
        <v>11.61745</v>
      </c>
      <c r="I848" s="1868">
        <v>10.20369</v>
      </c>
      <c r="J848" s="1868">
        <v>9.3519299999999994</v>
      </c>
      <c r="K848" s="1868">
        <v>9.97424</v>
      </c>
      <c r="L848" s="1868">
        <v>9.8499100000000013</v>
      </c>
      <c r="M848" s="1868">
        <v>10.40765</v>
      </c>
      <c r="N848" s="1868">
        <v>9.8847100000000001</v>
      </c>
      <c r="O848" s="1868">
        <v>10.37734</v>
      </c>
      <c r="P848" s="1868">
        <v>10.726929999999999</v>
      </c>
      <c r="Q848" s="1868">
        <v>10.608700000000001</v>
      </c>
      <c r="R848" s="1868">
        <v>10.59545</v>
      </c>
      <c r="S848" s="1868">
        <v>10.70036</v>
      </c>
      <c r="T848" s="1868">
        <v>10.28909</v>
      </c>
      <c r="U848" s="1868">
        <v>10.23141</v>
      </c>
      <c r="V848" s="1868">
        <v>11.496180000000001</v>
      </c>
      <c r="W848" s="1868">
        <v>12.292899999999999</v>
      </c>
      <c r="X848" s="1868">
        <v>11.647080000000001</v>
      </c>
      <c r="Y848" s="1868">
        <v>11.33938</v>
      </c>
      <c r="Z848" s="1868">
        <v>12.4773</v>
      </c>
      <c r="AA848" s="1868">
        <v>12.818210000000001</v>
      </c>
      <c r="AB848" s="1868">
        <v>13.55475</v>
      </c>
      <c r="AC848" s="1868">
        <v>13.2818</v>
      </c>
      <c r="AD848" s="1868">
        <v>14.919360000000001</v>
      </c>
      <c r="AE848" s="1868">
        <v>14.662710000000001</v>
      </c>
      <c r="AF848" s="1868">
        <v>14.64569</v>
      </c>
      <c r="AG848" s="1868">
        <v>13.899189999999999</v>
      </c>
      <c r="AH848" s="1868">
        <v>14.218310000000001</v>
      </c>
      <c r="AI848" s="1868">
        <v>14.58963</v>
      </c>
      <c r="AJ848" s="1868">
        <v>15.07836</v>
      </c>
      <c r="AK848" s="1868">
        <v>15.132279999999998</v>
      </c>
      <c r="AL848" s="1868">
        <v>17.54185</v>
      </c>
      <c r="AM848" s="1868">
        <v>17.662120000000002</v>
      </c>
      <c r="AN848" s="1868">
        <v>18.066579999999998</v>
      </c>
      <c r="AO848" s="1868">
        <v>19.040860000000002</v>
      </c>
      <c r="AP848" s="1868">
        <v>18.808979999999998</v>
      </c>
      <c r="AQ848" s="1868">
        <v>18.92784</v>
      </c>
      <c r="AR848" s="1868">
        <v>18.604410000000001</v>
      </c>
      <c r="AS848" s="1868">
        <v>20.769660000000002</v>
      </c>
      <c r="AT848" s="1868">
        <v>21.39809</v>
      </c>
      <c r="AU848" s="1868">
        <v>21.822420000000001</v>
      </c>
      <c r="AV848" s="1868">
        <v>22.224339999999998</v>
      </c>
      <c r="AW848" s="1868">
        <v>22.79842</v>
      </c>
      <c r="AX848" s="1868">
        <v>21.991120000000002</v>
      </c>
      <c r="AY848" s="1868">
        <v>23.537189999999999</v>
      </c>
      <c r="AZ848" s="1868">
        <v>26.535720000000001</v>
      </c>
      <c r="BA848" s="1868">
        <v>24.61636</v>
      </c>
    </row>
    <row r="849" spans="1:53">
      <c r="A849" s="1865" t="str">
        <f t="shared" si="13"/>
        <v>Northern AfricaPulses, nes</v>
      </c>
      <c r="B849" s="1866" t="s">
        <v>1419</v>
      </c>
      <c r="C849" s="1866" t="s">
        <v>1395</v>
      </c>
      <c r="D849" s="1868">
        <v>1.0089900000000001</v>
      </c>
      <c r="E849" s="1868">
        <v>1.2348700000000001</v>
      </c>
      <c r="F849" s="1868">
        <v>1.1459700000000002</v>
      </c>
      <c r="G849" s="1868">
        <v>1.0811200000000001</v>
      </c>
      <c r="H849" s="1868">
        <v>1.0658799999999999</v>
      </c>
      <c r="I849" s="1868">
        <v>1.0699100000000001</v>
      </c>
      <c r="J849" s="1868">
        <v>1.01068</v>
      </c>
      <c r="K849" s="1868">
        <v>0.97832999999999992</v>
      </c>
      <c r="L849" s="1868">
        <v>0.96007999999999993</v>
      </c>
      <c r="M849" s="1868">
        <v>0.95599000000000001</v>
      </c>
      <c r="N849" s="1868">
        <v>0.97737999999999992</v>
      </c>
      <c r="O849" s="1868">
        <v>0.96167000000000002</v>
      </c>
      <c r="P849" s="1868">
        <v>0.93786000000000003</v>
      </c>
      <c r="Q849" s="1868">
        <v>0.98768999999999996</v>
      </c>
      <c r="R849" s="1868">
        <v>0.98055000000000003</v>
      </c>
      <c r="S849" s="1868">
        <v>0.93336000000000008</v>
      </c>
      <c r="T849" s="1868">
        <v>0.67948999999999993</v>
      </c>
      <c r="U849" s="1868">
        <v>0.66127000000000002</v>
      </c>
      <c r="V849" s="1868">
        <v>0.94271000000000005</v>
      </c>
      <c r="W849" s="1868">
        <v>0.83577999999999997</v>
      </c>
      <c r="X849" s="1868">
        <v>0.87761</v>
      </c>
      <c r="Y849" s="1868">
        <v>0.85022999999999993</v>
      </c>
      <c r="Z849" s="1868">
        <v>0.84167000000000003</v>
      </c>
      <c r="AA849" s="1868">
        <v>0.95957999999999988</v>
      </c>
      <c r="AB849" s="1868">
        <v>0.87961</v>
      </c>
      <c r="AC849" s="1868">
        <v>0.90643999999999991</v>
      </c>
      <c r="AD849" s="1868">
        <v>0.79276000000000002</v>
      </c>
      <c r="AE849" s="1868">
        <v>0.90787999999999991</v>
      </c>
      <c r="AF849" s="1868">
        <v>0.85067999999999988</v>
      </c>
      <c r="AG849" s="1868">
        <v>0.83276000000000006</v>
      </c>
      <c r="AH849" s="1868">
        <v>0.90790000000000004</v>
      </c>
      <c r="AI849" s="1868">
        <v>0.79561000000000004</v>
      </c>
      <c r="AJ849" s="1868">
        <v>0.85822000000000009</v>
      </c>
      <c r="AK849" s="1868">
        <v>0.89632000000000012</v>
      </c>
      <c r="AL849" s="1868">
        <v>0.79903000000000002</v>
      </c>
      <c r="AM849" s="1868">
        <v>0.82789000000000001</v>
      </c>
      <c r="AN849" s="1868">
        <v>0.8430200000000001</v>
      </c>
      <c r="AO849" s="1868">
        <v>0.83057000000000003</v>
      </c>
      <c r="AP849" s="1868">
        <v>0.68566000000000005</v>
      </c>
      <c r="AQ849" s="1868">
        <v>0.8733200000000001</v>
      </c>
      <c r="AR849" s="1868">
        <v>0.74131000000000002</v>
      </c>
      <c r="AS849" s="1868">
        <v>0.8125</v>
      </c>
      <c r="AT849" s="1868">
        <v>0.92652999999999996</v>
      </c>
      <c r="AU849" s="1868">
        <v>0.92620000000000002</v>
      </c>
      <c r="AV849" s="1868">
        <v>0.77376999999999996</v>
      </c>
      <c r="AW849" s="1868">
        <v>0.8263299999999999</v>
      </c>
      <c r="AX849" s="1868">
        <v>0.73987999999999998</v>
      </c>
      <c r="AY849" s="1868">
        <v>0.80489999999999995</v>
      </c>
      <c r="AZ849" s="1868">
        <v>0.55310000000000004</v>
      </c>
      <c r="BA849" s="1868">
        <v>0.78718999999999995</v>
      </c>
    </row>
    <row r="850" spans="1:53">
      <c r="A850" s="1865" t="str">
        <f t="shared" si="13"/>
        <v>Northern AfricaRice, paddy</v>
      </c>
      <c r="B850" s="1866" t="s">
        <v>1419</v>
      </c>
      <c r="C850" s="1866" t="s">
        <v>1396</v>
      </c>
      <c r="D850" s="1868">
        <v>4.9835500000000001</v>
      </c>
      <c r="E850" s="1868">
        <v>5.7889099999999996</v>
      </c>
      <c r="F850" s="1868">
        <v>5.4860699999999998</v>
      </c>
      <c r="G850" s="1868">
        <v>5.0145</v>
      </c>
      <c r="H850" s="1868">
        <v>4.9881199999999994</v>
      </c>
      <c r="I850" s="1868">
        <v>4.7087199999999996</v>
      </c>
      <c r="J850" s="1868">
        <v>5.0099599999999995</v>
      </c>
      <c r="K850" s="1868">
        <v>5.09117</v>
      </c>
      <c r="L850" s="1868">
        <v>5.0798199999999998</v>
      </c>
      <c r="M850" s="1868">
        <v>5.3635999999999999</v>
      </c>
      <c r="N850" s="1868">
        <v>5.2523999999999997</v>
      </c>
      <c r="O850" s="1868">
        <v>5.1528700000000001</v>
      </c>
      <c r="P850" s="1868">
        <v>5.35703</v>
      </c>
      <c r="Q850" s="1868">
        <v>4.9932600000000003</v>
      </c>
      <c r="R850" s="1868">
        <v>5.3950800000000001</v>
      </c>
      <c r="S850" s="1868">
        <v>4.9783400000000002</v>
      </c>
      <c r="T850" s="1868">
        <v>5.0760300000000003</v>
      </c>
      <c r="U850" s="1868">
        <v>5.2610299999999999</v>
      </c>
      <c r="V850" s="1868">
        <v>5.5778800000000004</v>
      </c>
      <c r="W850" s="1868">
        <v>5.66364</v>
      </c>
      <c r="X850" s="1868">
        <v>5.4305199999999996</v>
      </c>
      <c r="Y850" s="1868">
        <v>5.5644499999999999</v>
      </c>
      <c r="Z850" s="1868">
        <v>5.72797</v>
      </c>
      <c r="AA850" s="1868">
        <v>5.3680699999999995</v>
      </c>
      <c r="AB850" s="1868">
        <v>5.9168000000000003</v>
      </c>
      <c r="AC850" s="1868">
        <v>5.7421499999999996</v>
      </c>
      <c r="AD850" s="1868">
        <v>5.8024399999999998</v>
      </c>
      <c r="AE850" s="1868">
        <v>6.00854</v>
      </c>
      <c r="AF850" s="1868">
        <v>6.4708800000000002</v>
      </c>
      <c r="AG850" s="1868">
        <v>7.2440199999999999</v>
      </c>
      <c r="AH850" s="1868">
        <v>7.3901699999999995</v>
      </c>
      <c r="AI850" s="1868">
        <v>7.5649800000000003</v>
      </c>
      <c r="AJ850" s="1868">
        <v>7.6400199999999998</v>
      </c>
      <c r="AK850" s="1868">
        <v>7.8569000000000004</v>
      </c>
      <c r="AL850" s="1868">
        <v>8.1044100000000014</v>
      </c>
      <c r="AM850" s="1868">
        <v>8.2103900000000003</v>
      </c>
      <c r="AN850" s="1868">
        <v>8.3179400000000001</v>
      </c>
      <c r="AO850" s="1868">
        <v>8.5567299999999999</v>
      </c>
      <c r="AP850" s="1868">
        <v>8.7199799999999996</v>
      </c>
      <c r="AQ850" s="1868">
        <v>8.9996200000000002</v>
      </c>
      <c r="AR850" s="1868">
        <v>9.1488700000000005</v>
      </c>
      <c r="AS850" s="1868">
        <v>9.2804199999999994</v>
      </c>
      <c r="AT850" s="1868">
        <v>9.6246200000000002</v>
      </c>
      <c r="AU850" s="1868">
        <v>9.7568000000000001</v>
      </c>
      <c r="AV850" s="1868">
        <v>9.8910100000000014</v>
      </c>
      <c r="AW850" s="1868">
        <v>9.9821100000000005</v>
      </c>
      <c r="AX850" s="1868">
        <v>9.6967600000000012</v>
      </c>
      <c r="AY850" s="1868">
        <v>9.6624499999999998</v>
      </c>
      <c r="AZ850" s="1868">
        <v>9.4847600000000014</v>
      </c>
      <c r="BA850" s="1868">
        <v>9.30077</v>
      </c>
    </row>
    <row r="851" spans="1:53">
      <c r="A851" s="1865" t="str">
        <f t="shared" si="13"/>
        <v>Northern AfricaRoots and Tubers, nes</v>
      </c>
      <c r="B851" s="1866" t="s">
        <v>1419</v>
      </c>
      <c r="C851" s="1866" t="s">
        <v>1356</v>
      </c>
      <c r="D851" s="1868">
        <v>6.5217400000000003</v>
      </c>
      <c r="E851" s="1868">
        <v>6.6666699999999999</v>
      </c>
      <c r="F851" s="1868">
        <v>6.5217400000000003</v>
      </c>
      <c r="G851" s="1868">
        <v>6.6666699999999999</v>
      </c>
      <c r="H851" s="1868">
        <v>6.6666699999999999</v>
      </c>
      <c r="I851" s="1868">
        <v>6.6666699999999999</v>
      </c>
      <c r="J851" s="1868">
        <v>6.6666699999999999</v>
      </c>
      <c r="K851" s="1868">
        <v>6.6666699999999999</v>
      </c>
      <c r="L851" s="1868">
        <v>6.6666699999999999</v>
      </c>
      <c r="M851" s="1868">
        <v>6.5217400000000003</v>
      </c>
      <c r="N851" s="1868">
        <v>6.6666699999999999</v>
      </c>
      <c r="O851" s="1868">
        <v>6.6666699999999999</v>
      </c>
      <c r="P851" s="1868">
        <v>6.6666699999999999</v>
      </c>
      <c r="Q851" s="1868">
        <v>6.6666699999999999</v>
      </c>
      <c r="R851" s="1868">
        <v>6.6666699999999999</v>
      </c>
      <c r="S851" s="1868">
        <v>6.6666699999999999</v>
      </c>
      <c r="T851" s="1868">
        <v>6.6666699999999999</v>
      </c>
      <c r="U851" s="1868">
        <v>6.6666699999999999</v>
      </c>
      <c r="V851" s="1868">
        <v>6.6666699999999999</v>
      </c>
      <c r="W851" s="1868">
        <v>6.6666699999999999</v>
      </c>
      <c r="X851" s="1868">
        <v>6.6666699999999999</v>
      </c>
      <c r="Y851" s="1868">
        <v>6.6666699999999999</v>
      </c>
      <c r="Z851" s="1868">
        <v>6.6666699999999999</v>
      </c>
      <c r="AA851" s="1868">
        <v>5.3614499999999996</v>
      </c>
      <c r="AB851" s="1868">
        <v>4.1566300000000007</v>
      </c>
      <c r="AC851" s="1868">
        <v>5.0602400000000003</v>
      </c>
      <c r="AD851" s="1868">
        <v>4.51145</v>
      </c>
      <c r="AE851" s="1868">
        <v>5.0839699999999999</v>
      </c>
      <c r="AF851" s="1868">
        <v>5.0839699999999999</v>
      </c>
      <c r="AG851" s="1868">
        <v>5.6797599999999999</v>
      </c>
      <c r="AH851" s="1868">
        <v>6.0115699999999999</v>
      </c>
      <c r="AI851" s="1868">
        <v>5.4205800000000002</v>
      </c>
      <c r="AJ851" s="1868">
        <v>4.5815700000000001</v>
      </c>
      <c r="AK851" s="1868">
        <v>3.9833699999999999</v>
      </c>
      <c r="AL851" s="1868">
        <v>3.3366199999999999</v>
      </c>
      <c r="AM851" s="1868">
        <v>3.1135200000000003</v>
      </c>
      <c r="AN851" s="1868">
        <v>3.64479</v>
      </c>
      <c r="AO851" s="1868">
        <v>5.3590499999999999</v>
      </c>
      <c r="AP851" s="1868">
        <v>6.0124199999999997</v>
      </c>
      <c r="AQ851" s="1868">
        <v>6.2032800000000003</v>
      </c>
      <c r="AR851" s="1868">
        <v>6.2484900000000003</v>
      </c>
      <c r="AS851" s="1868">
        <v>6.2859300000000005</v>
      </c>
      <c r="AT851" s="1868">
        <v>6.4971199999999998</v>
      </c>
      <c r="AU851" s="1868">
        <v>6.4610799999999999</v>
      </c>
      <c r="AV851" s="1868">
        <v>6.6131000000000002</v>
      </c>
      <c r="AW851" s="1868">
        <v>6.6216200000000001</v>
      </c>
      <c r="AX851" s="1868">
        <v>7.8257899999999996</v>
      </c>
      <c r="AY851" s="1868">
        <v>4.6189400000000003</v>
      </c>
      <c r="AZ851" s="1868">
        <v>5.06351</v>
      </c>
      <c r="BA851" s="1868">
        <v>4.6739100000000002</v>
      </c>
    </row>
    <row r="852" spans="1:53">
      <c r="A852" s="1865" t="str">
        <f t="shared" si="13"/>
        <v>Northern AfricaRye</v>
      </c>
      <c r="B852" s="1866" t="s">
        <v>1419</v>
      </c>
      <c r="C852" s="1866" t="s">
        <v>1353</v>
      </c>
      <c r="D852" s="1868">
        <v>0.50053999999999998</v>
      </c>
      <c r="E852" s="1868">
        <v>0.52896999999999994</v>
      </c>
      <c r="F852" s="1868">
        <v>0.45</v>
      </c>
      <c r="G852" s="1868">
        <v>0.36667</v>
      </c>
      <c r="H852" s="1868">
        <v>0.45966000000000001</v>
      </c>
      <c r="I852" s="1868">
        <v>0.36841999999999997</v>
      </c>
      <c r="J852" s="1868">
        <v>0.52288000000000001</v>
      </c>
      <c r="K852" s="1868">
        <v>0.7</v>
      </c>
      <c r="L852" s="1868">
        <v>0.53332999999999997</v>
      </c>
      <c r="M852" s="1868">
        <v>0.88696000000000008</v>
      </c>
      <c r="N852" s="1868">
        <v>0.58946999999999994</v>
      </c>
      <c r="O852" s="1868">
        <v>1.85185</v>
      </c>
      <c r="P852" s="1868">
        <v>1.8640000000000001</v>
      </c>
      <c r="Q852" s="1868">
        <v>1.75</v>
      </c>
      <c r="R852" s="1868">
        <v>1.5920000000000001</v>
      </c>
      <c r="S852" s="1868">
        <v>1.1844399999999999</v>
      </c>
      <c r="T852" s="1868">
        <v>1.11765</v>
      </c>
      <c r="U852" s="1868">
        <v>1.12429</v>
      </c>
      <c r="V852" s="1868">
        <v>1.0943399999999999</v>
      </c>
      <c r="W852" s="1868">
        <v>1.1028</v>
      </c>
      <c r="X852" s="1868">
        <v>1.0149999999999999</v>
      </c>
      <c r="Y852" s="1868">
        <v>1.0496700000000001</v>
      </c>
      <c r="Z852" s="1868">
        <v>1.0555600000000001</v>
      </c>
      <c r="AA852" s="1868">
        <v>1.0133299999999998</v>
      </c>
      <c r="AB852" s="1868">
        <v>1.0133299999999998</v>
      </c>
      <c r="AC852" s="1868">
        <v>1.0256399999999999</v>
      </c>
      <c r="AD852" s="1868">
        <v>1</v>
      </c>
      <c r="AE852" s="1868">
        <v>1</v>
      </c>
      <c r="AF852" s="1868">
        <v>1.7920799999999999</v>
      </c>
      <c r="AG852" s="1868">
        <v>1.7194200000000002</v>
      </c>
      <c r="AH852" s="1868">
        <v>1.7732000000000001</v>
      </c>
      <c r="AI852" s="1868">
        <v>1.84372</v>
      </c>
      <c r="AJ852" s="1868">
        <v>1.73072</v>
      </c>
      <c r="AK852" s="1868">
        <v>1.7983200000000001</v>
      </c>
      <c r="AL852" s="1868">
        <v>1.8209</v>
      </c>
      <c r="AM852" s="1868">
        <v>1.76745</v>
      </c>
      <c r="AN852" s="1868">
        <v>1.7678599999999998</v>
      </c>
      <c r="AO852" s="1868">
        <v>1.7662099999999998</v>
      </c>
      <c r="AP852" s="1868">
        <v>1.8949200000000002</v>
      </c>
      <c r="AQ852" s="1868">
        <v>1.8136700000000001</v>
      </c>
      <c r="AR852" s="1868">
        <v>1.8327500000000001</v>
      </c>
      <c r="AS852" s="1868">
        <v>1.9379999999999999</v>
      </c>
      <c r="AT852" s="1868">
        <v>1.9371599999999998</v>
      </c>
      <c r="AU852" s="1868">
        <v>1.98068</v>
      </c>
      <c r="AV852" s="1868">
        <v>1.83782</v>
      </c>
      <c r="AW852" s="1868">
        <v>1.91652</v>
      </c>
      <c r="AX852" s="1868">
        <v>1.8713400000000002</v>
      </c>
      <c r="AY852" s="1868">
        <v>1.8217099999999999</v>
      </c>
      <c r="AZ852" s="1868">
        <v>1.8107099999999998</v>
      </c>
      <c r="BA852" s="1868">
        <v>1.6296299999999999</v>
      </c>
    </row>
    <row r="853" spans="1:53">
      <c r="A853" s="1865" t="str">
        <f t="shared" si="13"/>
        <v>Northern AfricaSeed cotton</v>
      </c>
      <c r="B853" s="1866" t="s">
        <v>1419</v>
      </c>
      <c r="C853" s="1866" t="s">
        <v>1397</v>
      </c>
      <c r="D853" s="1868">
        <v>1.0944799999999999</v>
      </c>
      <c r="E853" s="1868">
        <v>1.63506</v>
      </c>
      <c r="F853" s="1868">
        <v>1.5603</v>
      </c>
      <c r="G853" s="1868">
        <v>1.5382200000000001</v>
      </c>
      <c r="H853" s="1868">
        <v>1.53826</v>
      </c>
      <c r="I853" s="1868">
        <v>1.41903</v>
      </c>
      <c r="J853" s="1868">
        <v>1.4815499999999999</v>
      </c>
      <c r="K853" s="1868">
        <v>1.5744799999999999</v>
      </c>
      <c r="L853" s="1868">
        <v>1.8415599999999999</v>
      </c>
      <c r="M853" s="1868">
        <v>1.7059500000000001</v>
      </c>
      <c r="N853" s="1868">
        <v>1.8629799999999999</v>
      </c>
      <c r="O853" s="1868">
        <v>1.8065799999999999</v>
      </c>
      <c r="P853" s="1868">
        <v>1.6617599999999999</v>
      </c>
      <c r="Q853" s="1868">
        <v>1.66042</v>
      </c>
      <c r="R853" s="1868">
        <v>1.5933299999999999</v>
      </c>
      <c r="S853" s="1868">
        <v>1.4785200000000001</v>
      </c>
      <c r="T853" s="1868">
        <v>1.5169700000000002</v>
      </c>
      <c r="U853" s="1868">
        <v>1.7984599999999999</v>
      </c>
      <c r="V853" s="1868">
        <v>1.7988500000000001</v>
      </c>
      <c r="W853" s="1868">
        <v>1.86178</v>
      </c>
      <c r="X853" s="1868">
        <v>1.8148099999999998</v>
      </c>
      <c r="Y853" s="1868">
        <v>1.96757</v>
      </c>
      <c r="Z853" s="1868">
        <v>1.9468900000000002</v>
      </c>
      <c r="AA853" s="1868">
        <v>1.9893900000000002</v>
      </c>
      <c r="AB853" s="1868">
        <v>2.1042999999999998</v>
      </c>
      <c r="AC853" s="1868">
        <v>1.96777</v>
      </c>
      <c r="AD853" s="1868">
        <v>2.0137700000000001</v>
      </c>
      <c r="AE853" s="1868">
        <v>1.7509099999999997</v>
      </c>
      <c r="AF853" s="1868">
        <v>1.7713000000000001</v>
      </c>
      <c r="AG853" s="1868">
        <v>1.7458799999999999</v>
      </c>
      <c r="AH853" s="1868">
        <v>1.9245000000000001</v>
      </c>
      <c r="AI853" s="1868">
        <v>2.2990300000000001</v>
      </c>
      <c r="AJ853" s="1868">
        <v>2.4021300000000001</v>
      </c>
      <c r="AK853" s="1868">
        <v>1.9436500000000001</v>
      </c>
      <c r="AL853" s="1868">
        <v>1.8609</v>
      </c>
      <c r="AM853" s="1868">
        <v>1.9968599999999999</v>
      </c>
      <c r="AN853" s="1868">
        <v>1.869</v>
      </c>
      <c r="AO853" s="1868">
        <v>1.6984999999999999</v>
      </c>
      <c r="AP853" s="1868">
        <v>1.92675</v>
      </c>
      <c r="AQ853" s="1868">
        <v>1.79752</v>
      </c>
      <c r="AR853" s="1868">
        <v>2.2277999999999998</v>
      </c>
      <c r="AS853" s="1868">
        <v>2.1217700000000002</v>
      </c>
      <c r="AT853" s="1868">
        <v>2.04616</v>
      </c>
      <c r="AU853" s="1868">
        <v>2.1980499999999998</v>
      </c>
      <c r="AV853" s="1868">
        <v>1.8315900000000001</v>
      </c>
      <c r="AW853" s="1868">
        <v>2.1105900000000002</v>
      </c>
      <c r="AX853" s="1868">
        <v>2.0339700000000001</v>
      </c>
      <c r="AY853" s="1868">
        <v>1.84873</v>
      </c>
      <c r="AZ853" s="1868">
        <v>1.8019799999999999</v>
      </c>
      <c r="BA853" s="1868">
        <v>1.7440599999999999</v>
      </c>
    </row>
    <row r="854" spans="1:53">
      <c r="A854" s="1865" t="str">
        <f t="shared" si="13"/>
        <v>Northern AfricaSesame seed</v>
      </c>
      <c r="B854" s="1866" t="s">
        <v>1419</v>
      </c>
      <c r="C854" s="1866" t="s">
        <v>1345</v>
      </c>
      <c r="D854" s="1868">
        <v>0.57286000000000004</v>
      </c>
      <c r="E854" s="1868">
        <v>0.46276000000000006</v>
      </c>
      <c r="F854" s="1868">
        <v>0.38228000000000001</v>
      </c>
      <c r="G854" s="1868">
        <v>0.42053000000000001</v>
      </c>
      <c r="H854" s="1868">
        <v>0.43491000000000002</v>
      </c>
      <c r="I854" s="1868">
        <v>0.35951</v>
      </c>
      <c r="J854" s="1868">
        <v>0.36846999999999996</v>
      </c>
      <c r="K854" s="1868">
        <v>0.29028999999999999</v>
      </c>
      <c r="L854" s="1868">
        <v>0.32403000000000004</v>
      </c>
      <c r="M854" s="1868">
        <v>0.39760999999999996</v>
      </c>
      <c r="N854" s="1868">
        <v>0.38394</v>
      </c>
      <c r="O854" s="1868">
        <v>0.29994999999999999</v>
      </c>
      <c r="P854" s="1868">
        <v>0.27865999999999996</v>
      </c>
      <c r="Q854" s="1868">
        <v>0.25685999999999998</v>
      </c>
      <c r="R854" s="1868">
        <v>0.25811999999999996</v>
      </c>
      <c r="S854" s="1868">
        <v>0.26144000000000001</v>
      </c>
      <c r="T854" s="1868">
        <v>0.27776000000000001</v>
      </c>
      <c r="U854" s="1868">
        <v>0.25975999999999999</v>
      </c>
      <c r="V854" s="1868">
        <v>0.28109000000000001</v>
      </c>
      <c r="W854" s="1868">
        <v>0.27483000000000002</v>
      </c>
      <c r="X854" s="1868">
        <v>0.29536999999999997</v>
      </c>
      <c r="Y854" s="1868">
        <v>0.30141999999999997</v>
      </c>
      <c r="Z854" s="1868">
        <v>0.23459000000000002</v>
      </c>
      <c r="AA854" s="1868">
        <v>0.18110999999999999</v>
      </c>
      <c r="AB854" s="1868">
        <v>0.13413</v>
      </c>
      <c r="AC854" s="1868">
        <v>0.23878000000000002</v>
      </c>
      <c r="AD854" s="1868">
        <v>0.25436999999999999</v>
      </c>
      <c r="AE854" s="1868">
        <v>0.17572000000000002</v>
      </c>
      <c r="AF854" s="1868">
        <v>0.13747000000000001</v>
      </c>
      <c r="AG854" s="1868">
        <v>0.21344000000000002</v>
      </c>
      <c r="AH854" s="1868">
        <v>0.22754000000000002</v>
      </c>
      <c r="AI854" s="1868">
        <v>0.21520999999999998</v>
      </c>
      <c r="AJ854" s="1868">
        <v>0.16452999999999998</v>
      </c>
      <c r="AK854" s="1868">
        <v>0.14476</v>
      </c>
      <c r="AL854" s="1868">
        <v>0.22691</v>
      </c>
      <c r="AM854" s="1868">
        <v>0.23964000000000002</v>
      </c>
      <c r="AN854" s="1868">
        <v>0.19538</v>
      </c>
      <c r="AO854" s="1868">
        <v>0.20225000000000001</v>
      </c>
      <c r="AP854" s="1868">
        <v>0.16513</v>
      </c>
      <c r="AQ854" s="1868">
        <v>0.157</v>
      </c>
      <c r="AR854" s="1868">
        <v>0.20549999999999999</v>
      </c>
      <c r="AS854" s="1868">
        <v>0.13274</v>
      </c>
      <c r="AT854" s="1868">
        <v>0.23710000000000001</v>
      </c>
      <c r="AU854" s="1868">
        <v>0.26979000000000003</v>
      </c>
      <c r="AV854" s="1868">
        <v>0.20289000000000001</v>
      </c>
      <c r="AW854" s="1868">
        <v>0.24029</v>
      </c>
      <c r="AX854" s="1868">
        <v>0.24943000000000001</v>
      </c>
      <c r="AY854" s="1868">
        <v>0.25561</v>
      </c>
      <c r="AZ854" s="1868">
        <v>0.28994000000000003</v>
      </c>
      <c r="BA854" s="1868">
        <v>0.22516999999999998</v>
      </c>
    </row>
    <row r="855" spans="1:53">
      <c r="A855" s="1865" t="str">
        <f t="shared" si="13"/>
        <v>Northern AfricaSisal</v>
      </c>
      <c r="B855" s="1866" t="s">
        <v>1419</v>
      </c>
      <c r="C855" s="1866" t="s">
        <v>1398</v>
      </c>
      <c r="D855" s="1868">
        <v>0.3</v>
      </c>
      <c r="E855" s="1868">
        <v>0.3</v>
      </c>
      <c r="F855" s="1868">
        <v>0.3</v>
      </c>
      <c r="G855" s="1868">
        <v>0.25385000000000002</v>
      </c>
      <c r="H855" s="1868">
        <v>0.23076999999999998</v>
      </c>
      <c r="I855" s="1868">
        <v>0.23076999999999998</v>
      </c>
      <c r="J855" s="1868">
        <v>0.23076999999999998</v>
      </c>
      <c r="K855" s="1868">
        <v>0.23076999999999998</v>
      </c>
      <c r="L855" s="1868">
        <v>0.23076999999999998</v>
      </c>
      <c r="M855" s="1868">
        <v>0.23076999999999998</v>
      </c>
      <c r="N855" s="1868">
        <v>0.23076999999999998</v>
      </c>
      <c r="O855" s="1868">
        <v>0.28570999999999996</v>
      </c>
      <c r="P855" s="1868">
        <v>0.28570999999999996</v>
      </c>
      <c r="Q855" s="1868">
        <v>0.35714000000000001</v>
      </c>
      <c r="R855" s="1868">
        <v>0.42857000000000001</v>
      </c>
      <c r="S855" s="1868">
        <v>0.4</v>
      </c>
      <c r="T855" s="1868">
        <v>0.46666999999999997</v>
      </c>
      <c r="U855" s="1868">
        <v>0.45</v>
      </c>
      <c r="V855" s="1868">
        <v>0.42941000000000001</v>
      </c>
      <c r="W855" s="1868">
        <v>0.42941000000000001</v>
      </c>
      <c r="X855" s="1868">
        <v>0.625</v>
      </c>
      <c r="Y855" s="1868">
        <v>0.64706000000000008</v>
      </c>
      <c r="Z855" s="1868">
        <v>0.64706000000000008</v>
      </c>
      <c r="AA855" s="1868">
        <v>0.70588000000000006</v>
      </c>
      <c r="AB855" s="1868">
        <v>0.72221999999999997</v>
      </c>
      <c r="AC855" s="1868">
        <v>0.77778000000000003</v>
      </c>
      <c r="AD855" s="1868">
        <v>0.8333299999999999</v>
      </c>
      <c r="AE855" s="1868">
        <v>0.8</v>
      </c>
      <c r="AF855" s="1868">
        <v>0.80952000000000002</v>
      </c>
      <c r="AG855" s="1868">
        <v>0.81818000000000002</v>
      </c>
      <c r="AH855" s="1868">
        <v>0.82608999999999999</v>
      </c>
      <c r="AI855" s="1868">
        <v>0.8333299999999999</v>
      </c>
      <c r="AJ855" s="1868">
        <v>1.04843</v>
      </c>
      <c r="AK855" s="1868">
        <v>0.88</v>
      </c>
      <c r="AL855" s="1868">
        <v>0.87327999999999995</v>
      </c>
      <c r="AM855" s="1868">
        <v>0.88</v>
      </c>
      <c r="AN855" s="1868">
        <v>0.94753999999999994</v>
      </c>
      <c r="AO855" s="1868">
        <v>0.74065999999999999</v>
      </c>
      <c r="AP855" s="1868">
        <v>0.70845000000000002</v>
      </c>
      <c r="AQ855" s="1868">
        <v>0.74941000000000002</v>
      </c>
      <c r="AR855" s="1868">
        <v>0.94566000000000006</v>
      </c>
      <c r="AS855" s="1868">
        <v>0.74387000000000003</v>
      </c>
      <c r="AT855" s="1868">
        <v>0.61988999999999994</v>
      </c>
      <c r="AU855" s="1868">
        <v>0.71283999999999992</v>
      </c>
      <c r="AV855" s="1868">
        <v>0.60870000000000002</v>
      </c>
      <c r="AW855" s="1868">
        <v>0.48708000000000001</v>
      </c>
      <c r="AX855" s="1868">
        <v>0.44363999999999998</v>
      </c>
      <c r="AY855" s="1868">
        <v>0.37058000000000002</v>
      </c>
      <c r="AZ855" s="1868">
        <v>0.36454999999999999</v>
      </c>
      <c r="BA855" s="1868">
        <v>0.375</v>
      </c>
    </row>
    <row r="856" spans="1:53">
      <c r="A856" s="1865" t="str">
        <f t="shared" si="13"/>
        <v>Northern AfricaSorghum</v>
      </c>
      <c r="B856" s="1866" t="s">
        <v>1419</v>
      </c>
      <c r="C856" s="1866" t="s">
        <v>1399</v>
      </c>
      <c r="D856" s="1868">
        <v>1.20933</v>
      </c>
      <c r="E856" s="1868">
        <v>1.1132600000000001</v>
      </c>
      <c r="F856" s="1868">
        <v>1.2472299999999998</v>
      </c>
      <c r="G856" s="1868">
        <v>1.1752499999999999</v>
      </c>
      <c r="H856" s="1868">
        <v>1.1876</v>
      </c>
      <c r="I856" s="1868">
        <v>1.05687</v>
      </c>
      <c r="J856" s="1868">
        <v>1.2737399999999999</v>
      </c>
      <c r="K856" s="1868">
        <v>1.3002400000000001</v>
      </c>
      <c r="L856" s="1868">
        <v>1.1755200000000001</v>
      </c>
      <c r="M856" s="1868">
        <v>1.05386</v>
      </c>
      <c r="N856" s="1868">
        <v>1.16062</v>
      </c>
      <c r="O856" s="1868">
        <v>1.09812</v>
      </c>
      <c r="P856" s="1868">
        <v>1.0175399999999999</v>
      </c>
      <c r="Q856" s="1868">
        <v>1.0281100000000001</v>
      </c>
      <c r="R856" s="1868">
        <v>0.99741000000000002</v>
      </c>
      <c r="S856" s="1868">
        <v>1.09958</v>
      </c>
      <c r="T856" s="1868">
        <v>0.88067000000000006</v>
      </c>
      <c r="U856" s="1868">
        <v>0.98294999999999999</v>
      </c>
      <c r="V856" s="1868">
        <v>0.81681000000000004</v>
      </c>
      <c r="W856" s="1868">
        <v>0.87457999999999991</v>
      </c>
      <c r="X856" s="1868">
        <v>0.96842000000000006</v>
      </c>
      <c r="Y856" s="1868">
        <v>0.66766999999999999</v>
      </c>
      <c r="Z856" s="1868">
        <v>0.67978000000000005</v>
      </c>
      <c r="AA856" s="1868">
        <v>0.47416000000000003</v>
      </c>
      <c r="AB856" s="1868">
        <v>0.72791000000000006</v>
      </c>
      <c r="AC856" s="1868">
        <v>0.75712000000000002</v>
      </c>
      <c r="AD856" s="1868">
        <v>0.54271000000000003</v>
      </c>
      <c r="AE856" s="1868">
        <v>0.87575000000000003</v>
      </c>
      <c r="AF856" s="1868">
        <v>0.54048000000000007</v>
      </c>
      <c r="AG856" s="1868">
        <v>0.62429000000000001</v>
      </c>
      <c r="AH856" s="1868">
        <v>0.81043999999999994</v>
      </c>
      <c r="AI856" s="1868">
        <v>0.75588</v>
      </c>
      <c r="AJ856" s="1868">
        <v>0.65554000000000001</v>
      </c>
      <c r="AK856" s="1868">
        <v>0.66398999999999997</v>
      </c>
      <c r="AL856" s="1868">
        <v>0.59618000000000004</v>
      </c>
      <c r="AM856" s="1868">
        <v>0.71391000000000004</v>
      </c>
      <c r="AN856" s="1868">
        <v>0.54463000000000006</v>
      </c>
      <c r="AO856" s="1868">
        <v>0.79827000000000004</v>
      </c>
      <c r="AP856" s="1868">
        <v>0.70252999999999999</v>
      </c>
      <c r="AQ856" s="1868">
        <v>0.78669</v>
      </c>
      <c r="AR856" s="1868">
        <v>0.89115</v>
      </c>
      <c r="AS856" s="1868">
        <v>0.72167000000000003</v>
      </c>
      <c r="AT856" s="1868">
        <v>0.84752999999999989</v>
      </c>
      <c r="AU856" s="1868">
        <v>0.89772000000000007</v>
      </c>
      <c r="AV856" s="1868">
        <v>0.58440000000000003</v>
      </c>
      <c r="AW856" s="1868">
        <v>0.78511999999999993</v>
      </c>
      <c r="AX856" s="1868">
        <v>0.87508999999999992</v>
      </c>
      <c r="AY856" s="1868">
        <v>0.69948999999999995</v>
      </c>
      <c r="AZ856" s="1868">
        <v>0.73209000000000002</v>
      </c>
      <c r="BA856" s="1868">
        <v>0.57920000000000005</v>
      </c>
    </row>
    <row r="857" spans="1:53">
      <c r="A857" s="1865" t="str">
        <f t="shared" si="13"/>
        <v>Northern AfricaSoybeans</v>
      </c>
      <c r="B857" s="1866" t="s">
        <v>1419</v>
      </c>
      <c r="C857" s="1866" t="s">
        <v>1359</v>
      </c>
      <c r="O857" s="1868">
        <v>1.1357899999999999</v>
      </c>
      <c r="P857" s="1868">
        <v>0.94945000000000002</v>
      </c>
      <c r="Q857" s="1868">
        <v>1.13476</v>
      </c>
      <c r="R857" s="1868">
        <v>1.3460299999999998</v>
      </c>
      <c r="S857" s="1868">
        <v>1.6014299999999999</v>
      </c>
      <c r="T857" s="1868">
        <v>1.9039999999999999</v>
      </c>
      <c r="U857" s="1868">
        <v>2.2833000000000001</v>
      </c>
      <c r="V857" s="1868">
        <v>2.5140599999999997</v>
      </c>
      <c r="W857" s="1868">
        <v>2.65741</v>
      </c>
      <c r="X857" s="1868">
        <v>2.8168599999999997</v>
      </c>
      <c r="Y857" s="1868">
        <v>2.9635700000000003</v>
      </c>
      <c r="Z857" s="1868">
        <v>2.64228</v>
      </c>
      <c r="AA857" s="1868">
        <v>2.69794</v>
      </c>
      <c r="AB857" s="1868">
        <v>2.76471</v>
      </c>
      <c r="AC857" s="1868">
        <v>2.8149700000000002</v>
      </c>
      <c r="AD857" s="1868">
        <v>2.6811700000000003</v>
      </c>
      <c r="AE857" s="1868">
        <v>2.5313699999999999</v>
      </c>
      <c r="AF857" s="1868">
        <v>2.3567299999999998</v>
      </c>
      <c r="AG857" s="1868">
        <v>2.46862</v>
      </c>
      <c r="AH857" s="1868">
        <v>2.5528</v>
      </c>
      <c r="AI857" s="1868">
        <v>2.4853800000000001</v>
      </c>
      <c r="AJ857" s="1868">
        <v>2.43933</v>
      </c>
      <c r="AK857" s="1868">
        <v>2.7157499999999999</v>
      </c>
      <c r="AL857" s="1868">
        <v>2.3210099999999998</v>
      </c>
      <c r="AM857" s="1868">
        <v>2.60101</v>
      </c>
      <c r="AN857" s="1868">
        <v>2.5083900000000003</v>
      </c>
      <c r="AO857" s="1868">
        <v>2.4010700000000003</v>
      </c>
      <c r="AP857" s="1868">
        <v>2.4509500000000002</v>
      </c>
      <c r="AQ857" s="1868">
        <v>2.4076400000000002</v>
      </c>
      <c r="AR857" s="1868">
        <v>2.50908</v>
      </c>
      <c r="AS857" s="1868">
        <v>2.7025700000000001</v>
      </c>
      <c r="AT857" s="1868">
        <v>3.1942499999999998</v>
      </c>
      <c r="AU857" s="1868">
        <v>2.8945099999999999</v>
      </c>
      <c r="AV857" s="1868">
        <v>3.25</v>
      </c>
      <c r="AW857" s="1868">
        <v>2.83589</v>
      </c>
      <c r="AX857" s="1868">
        <v>3.02765</v>
      </c>
      <c r="AY857" s="1868">
        <v>3.1163099999999999</v>
      </c>
      <c r="AZ857" s="1868">
        <v>2.8653900000000001</v>
      </c>
      <c r="BA857" s="1868">
        <v>2.7271200000000002</v>
      </c>
    </row>
    <row r="858" spans="1:53">
      <c r="A858" s="1865" t="str">
        <f t="shared" si="13"/>
        <v>Northern AfricaStrawberries</v>
      </c>
      <c r="B858" s="1866" t="s">
        <v>1419</v>
      </c>
      <c r="C858" s="1866" t="s">
        <v>1400</v>
      </c>
      <c r="W858" s="1868">
        <v>4.9476199999999997</v>
      </c>
      <c r="X858" s="1868">
        <v>5.8690499999999997</v>
      </c>
      <c r="Y858" s="1868">
        <v>10.36191</v>
      </c>
      <c r="Z858" s="1868">
        <v>10.584519999999999</v>
      </c>
      <c r="AA858" s="1868">
        <v>9.2519100000000005</v>
      </c>
      <c r="AB858" s="1868">
        <v>10.194369999999999</v>
      </c>
      <c r="AC858" s="1868">
        <v>16.138200000000001</v>
      </c>
      <c r="AD858" s="1868">
        <v>15.224839999999999</v>
      </c>
      <c r="AE858" s="1868">
        <v>13.974539999999999</v>
      </c>
      <c r="AF858" s="1868">
        <v>14.885199999999999</v>
      </c>
      <c r="AG858" s="1868">
        <v>15.774560000000001</v>
      </c>
      <c r="AH858" s="1868">
        <v>14.630879999999999</v>
      </c>
      <c r="AI858" s="1868">
        <v>14.801439999999999</v>
      </c>
      <c r="AJ858" s="1868">
        <v>14.35666</v>
      </c>
      <c r="AK858" s="1868">
        <v>14.723929999999999</v>
      </c>
      <c r="AL858" s="1868">
        <v>16</v>
      </c>
      <c r="AM858" s="1868">
        <v>20.91112</v>
      </c>
      <c r="AN858" s="1868">
        <v>25.184329999999999</v>
      </c>
      <c r="AO858" s="1868">
        <v>26.207160000000002</v>
      </c>
      <c r="AP858" s="1868">
        <v>28.865820000000003</v>
      </c>
      <c r="AQ858" s="1868">
        <v>33.121340000000004</v>
      </c>
      <c r="AR858" s="1868">
        <v>29.3889</v>
      </c>
      <c r="AS858" s="1868">
        <v>29.51642</v>
      </c>
      <c r="AT858" s="1868">
        <v>30.865159999999996</v>
      </c>
      <c r="AU858" s="1868">
        <v>31.439579999999999</v>
      </c>
      <c r="AV858" s="1868">
        <v>31.05048</v>
      </c>
      <c r="AW858" s="1868">
        <v>18.594560000000001</v>
      </c>
      <c r="AX858" s="1868">
        <v>16.511770000000002</v>
      </c>
      <c r="AY858" s="1868">
        <v>39.633620000000001</v>
      </c>
      <c r="AZ858" s="1868">
        <v>64.860389999999995</v>
      </c>
      <c r="BA858" s="1868">
        <v>44.922509999999996</v>
      </c>
    </row>
    <row r="859" spans="1:53">
      <c r="A859" s="1865" t="str">
        <f t="shared" si="13"/>
        <v>Northern AfricaSugar beet</v>
      </c>
      <c r="B859" s="1866" t="s">
        <v>1419</v>
      </c>
      <c r="C859" s="1866" t="s">
        <v>1358</v>
      </c>
      <c r="D859" s="1868">
        <v>19.633329999999997</v>
      </c>
      <c r="E859" s="1868">
        <v>20.683800000000002</v>
      </c>
      <c r="F859" s="1868">
        <v>19.406330000000001</v>
      </c>
      <c r="G859" s="1868">
        <v>17.343389999999999</v>
      </c>
      <c r="H859" s="1868">
        <v>14.528479999999998</v>
      </c>
      <c r="I859" s="1868">
        <v>24.291520000000002</v>
      </c>
      <c r="J859" s="1868">
        <v>18.169039999999999</v>
      </c>
      <c r="K859" s="1868">
        <v>27.622809999999998</v>
      </c>
      <c r="L859" s="1868">
        <v>27.566740000000003</v>
      </c>
      <c r="M859" s="1868">
        <v>30.144820000000003</v>
      </c>
      <c r="N859" s="1868">
        <v>35.930859999999996</v>
      </c>
      <c r="O859" s="1868">
        <v>27.112759999999998</v>
      </c>
      <c r="P859" s="1868">
        <v>27.605370000000001</v>
      </c>
      <c r="Q859" s="1868">
        <v>32.63991</v>
      </c>
      <c r="R859" s="1868">
        <v>27.981870000000001</v>
      </c>
      <c r="S859" s="1868">
        <v>33.997</v>
      </c>
      <c r="T859" s="1868">
        <v>30.303850000000001</v>
      </c>
      <c r="U859" s="1868">
        <v>38.538229999999999</v>
      </c>
      <c r="V859" s="1868">
        <v>33.548749999999998</v>
      </c>
      <c r="W859" s="1868">
        <v>34.032790000000006</v>
      </c>
      <c r="X859" s="1868">
        <v>35.979659999999996</v>
      </c>
      <c r="Y859" s="1868">
        <v>38.713270000000001</v>
      </c>
      <c r="Z859" s="1868">
        <v>36.840809999999998</v>
      </c>
      <c r="AA859" s="1868">
        <v>43.372669999999999</v>
      </c>
      <c r="AB859" s="1868">
        <v>37.52458</v>
      </c>
      <c r="AC859" s="1868">
        <v>43.550509999999996</v>
      </c>
      <c r="AD859" s="1868">
        <v>44.805259999999997</v>
      </c>
      <c r="AE859" s="1868">
        <v>46.962260000000001</v>
      </c>
      <c r="AF859" s="1868">
        <v>44.805590000000002</v>
      </c>
      <c r="AG859" s="1868">
        <v>45.853349999999999</v>
      </c>
      <c r="AH859" s="1868">
        <v>46.139569999999999</v>
      </c>
      <c r="AI859" s="1868">
        <v>51.3583</v>
      </c>
      <c r="AJ859" s="1868">
        <v>48.453769999999999</v>
      </c>
      <c r="AK859" s="1868">
        <v>48.921900000000001</v>
      </c>
      <c r="AL859" s="1868">
        <v>46.047640000000001</v>
      </c>
      <c r="AM859" s="1868">
        <v>46.513009999999994</v>
      </c>
      <c r="AN859" s="1868">
        <v>42.060229999999997</v>
      </c>
      <c r="AO859" s="1868">
        <v>51.465070000000004</v>
      </c>
      <c r="AP859" s="1868">
        <v>50.395070000000004</v>
      </c>
      <c r="AQ859" s="1868">
        <v>51.936109999999999</v>
      </c>
      <c r="AR859" s="1868">
        <v>50.506159999999994</v>
      </c>
      <c r="AS859" s="1868">
        <v>49.589599999999997</v>
      </c>
      <c r="AT859" s="1868">
        <v>50.967040000000004</v>
      </c>
      <c r="AU859" s="1868">
        <v>51.044069999999998</v>
      </c>
      <c r="AV859" s="1868">
        <v>48.1462</v>
      </c>
      <c r="AW859" s="1868">
        <v>50.59404</v>
      </c>
      <c r="AX859" s="1868">
        <v>51.395579999999995</v>
      </c>
      <c r="AY859" s="1868">
        <v>48.861809999999998</v>
      </c>
      <c r="AZ859" s="1868">
        <v>50.064259999999997</v>
      </c>
      <c r="BA859" s="1868">
        <v>57.816619999999993</v>
      </c>
    </row>
    <row r="860" spans="1:53">
      <c r="A860" s="1865" t="str">
        <f t="shared" si="13"/>
        <v>Northern AfricaSugar cane</v>
      </c>
      <c r="B860" s="1866" t="s">
        <v>1419</v>
      </c>
      <c r="C860" s="1866" t="s">
        <v>1401</v>
      </c>
      <c r="D860" s="1868">
        <v>86.52</v>
      </c>
      <c r="E860" s="1868">
        <v>91.629630000000006</v>
      </c>
      <c r="F860" s="1868">
        <v>88.640199999999993</v>
      </c>
      <c r="G860" s="1868">
        <v>80.678399999999996</v>
      </c>
      <c r="H860" s="1868">
        <v>79.603759999999994</v>
      </c>
      <c r="I860" s="1868">
        <v>84.95787</v>
      </c>
      <c r="J860" s="1868">
        <v>84.396079999999998</v>
      </c>
      <c r="K860" s="1868">
        <v>88.215869999999995</v>
      </c>
      <c r="L860" s="1868">
        <v>91.53376999999999</v>
      </c>
      <c r="M860" s="1868">
        <v>86.321010000000001</v>
      </c>
      <c r="N860" s="1868">
        <v>87.883340000000004</v>
      </c>
      <c r="O860" s="1868">
        <v>87.639719999999997</v>
      </c>
      <c r="P860" s="1868">
        <v>86.290219999999991</v>
      </c>
      <c r="Q860" s="1868">
        <v>78.602999999999994</v>
      </c>
      <c r="R860" s="1868">
        <v>82.071700000000007</v>
      </c>
      <c r="S860" s="1868">
        <v>83.677669999999992</v>
      </c>
      <c r="T860" s="1868">
        <v>80.293540000000007</v>
      </c>
      <c r="U860" s="1868">
        <v>76.052660000000003</v>
      </c>
      <c r="V860" s="1868">
        <v>75.92716999999999</v>
      </c>
      <c r="W860" s="1868">
        <v>77.530180000000001</v>
      </c>
      <c r="X860" s="1868">
        <v>79.199209999999994</v>
      </c>
      <c r="Y860" s="1868">
        <v>75.208690000000004</v>
      </c>
      <c r="Z860" s="1868">
        <v>76.642240000000001</v>
      </c>
      <c r="AA860" s="1868">
        <v>81.514449999999997</v>
      </c>
      <c r="AB860" s="1868">
        <v>80.939930000000004</v>
      </c>
      <c r="AC860" s="1868">
        <v>79.689230000000009</v>
      </c>
      <c r="AD860" s="1868">
        <v>67.584429999999998</v>
      </c>
      <c r="AE860" s="1868">
        <v>79.927999999999997</v>
      </c>
      <c r="AF860" s="1868">
        <v>81.613900000000001</v>
      </c>
      <c r="AG860" s="1868">
        <v>85.553179999999998</v>
      </c>
      <c r="AH860" s="1868">
        <v>88.323859999999996</v>
      </c>
      <c r="AI860" s="1868">
        <v>88.542749999999998</v>
      </c>
      <c r="AJ860" s="1868">
        <v>88.968400000000003</v>
      </c>
      <c r="AK860" s="1868">
        <v>93.671869999999998</v>
      </c>
      <c r="AL860" s="1868">
        <v>95.022009999999995</v>
      </c>
      <c r="AM860" s="1868">
        <v>97.613309999999998</v>
      </c>
      <c r="AN860" s="1868">
        <v>99.884819999999991</v>
      </c>
      <c r="AO860" s="1868">
        <v>101.74157</v>
      </c>
      <c r="AP860" s="1868">
        <v>98.449640000000002</v>
      </c>
      <c r="AQ860" s="1868">
        <v>102.93451999999999</v>
      </c>
      <c r="AR860" s="1868">
        <v>104.27117</v>
      </c>
      <c r="AS860" s="1868">
        <v>107.73505</v>
      </c>
      <c r="AT860" s="1868">
        <v>109.92918999999999</v>
      </c>
      <c r="AU860" s="1868">
        <v>112.20021000000001</v>
      </c>
      <c r="AV860" s="1868">
        <v>111.38798999999999</v>
      </c>
      <c r="AW860" s="1868">
        <v>111.25135</v>
      </c>
      <c r="AX860" s="1868">
        <v>113.42301999999999</v>
      </c>
      <c r="AY860" s="1868">
        <v>113.68035</v>
      </c>
      <c r="AZ860" s="1868">
        <v>110.54161999999999</v>
      </c>
      <c r="BA860" s="1868">
        <v>112.56416000000002</v>
      </c>
    </row>
    <row r="861" spans="1:53">
      <c r="A861" s="1865" t="str">
        <f t="shared" si="13"/>
        <v>Northern AfricaSunflower seed</v>
      </c>
      <c r="B861" s="1866" t="s">
        <v>1419</v>
      </c>
      <c r="C861" s="1866" t="s">
        <v>1402</v>
      </c>
      <c r="D861" s="1868">
        <v>0.49836000000000003</v>
      </c>
      <c r="E861" s="1868">
        <v>0.69140000000000001</v>
      </c>
      <c r="F861" s="1868">
        <v>0.84078999999999993</v>
      </c>
      <c r="G861" s="1868">
        <v>0.99307999999999996</v>
      </c>
      <c r="H861" s="1868">
        <v>0.40128000000000003</v>
      </c>
      <c r="I861" s="1868">
        <v>0.28309000000000001</v>
      </c>
      <c r="J861" s="1868">
        <v>0.24903000000000003</v>
      </c>
      <c r="K861" s="1868">
        <v>0.43638999999999994</v>
      </c>
      <c r="L861" s="1868">
        <v>0.18212</v>
      </c>
      <c r="M861" s="1868">
        <v>0.82184999999999997</v>
      </c>
      <c r="N861" s="1868">
        <v>0.63919999999999999</v>
      </c>
      <c r="O861" s="1868">
        <v>0.63812999999999998</v>
      </c>
      <c r="P861" s="1868">
        <v>0.77611000000000008</v>
      </c>
      <c r="Q861" s="1868">
        <v>0.79990000000000006</v>
      </c>
      <c r="R861" s="1868">
        <v>0.82399</v>
      </c>
      <c r="S861" s="1868">
        <v>0.87688999999999995</v>
      </c>
      <c r="T861" s="1868">
        <v>0.54381999999999997</v>
      </c>
      <c r="U861" s="1868">
        <v>1.0656299999999999</v>
      </c>
      <c r="V861" s="1868">
        <v>1.24542</v>
      </c>
      <c r="W861" s="1868">
        <v>1.0238</v>
      </c>
      <c r="X861" s="1868">
        <v>0.84256000000000009</v>
      </c>
      <c r="Y861" s="1868">
        <v>0.91633999999999993</v>
      </c>
      <c r="Z861" s="1868">
        <v>0.93872000000000011</v>
      </c>
      <c r="AA861" s="1868">
        <v>0.8464299999999999</v>
      </c>
      <c r="AB861" s="1868">
        <v>0.89233999999999991</v>
      </c>
      <c r="AC861" s="1868">
        <v>0.68340000000000001</v>
      </c>
      <c r="AD861" s="1868">
        <v>0.74729000000000001</v>
      </c>
      <c r="AE861" s="1868">
        <v>0.80957000000000001</v>
      </c>
      <c r="AF861" s="1868">
        <v>0.74963000000000002</v>
      </c>
      <c r="AG861" s="1868">
        <v>0.84221000000000001</v>
      </c>
      <c r="AH861" s="1868">
        <v>0.73682999999999998</v>
      </c>
      <c r="AI861" s="1868">
        <v>0.74712000000000001</v>
      </c>
      <c r="AJ861" s="1868">
        <v>0.43869999999999998</v>
      </c>
      <c r="AK861" s="1868">
        <v>0.88611000000000006</v>
      </c>
      <c r="AL861" s="1868">
        <v>0.69433999999999996</v>
      </c>
      <c r="AM861" s="1868">
        <v>0.83160000000000001</v>
      </c>
      <c r="AN861" s="1868">
        <v>0.78825000000000001</v>
      </c>
      <c r="AO861" s="1868">
        <v>0.77841000000000005</v>
      </c>
      <c r="AP861" s="1868">
        <v>0.75241000000000002</v>
      </c>
      <c r="AQ861" s="1868">
        <v>1.1171899999999999</v>
      </c>
      <c r="AR861" s="1868">
        <v>0.88001000000000007</v>
      </c>
      <c r="AS861" s="1868">
        <v>1.12629</v>
      </c>
      <c r="AT861" s="1868">
        <v>1.0369200000000001</v>
      </c>
      <c r="AU861" s="1868">
        <v>1.1597500000000001</v>
      </c>
      <c r="AV861" s="1868">
        <v>0.84817999999999993</v>
      </c>
      <c r="AW861" s="1868">
        <v>1.3809899999999999</v>
      </c>
      <c r="AX861" s="1868">
        <v>1.2201500000000001</v>
      </c>
      <c r="AY861" s="1868">
        <v>0.98426000000000002</v>
      </c>
      <c r="AZ861" s="1868">
        <v>0.92630000000000001</v>
      </c>
      <c r="BA861" s="1868">
        <v>0.96162999999999987</v>
      </c>
    </row>
    <row r="862" spans="1:53">
      <c r="A862" s="1865" t="str">
        <f t="shared" si="13"/>
        <v>Northern AfricaSweet potatoes</v>
      </c>
      <c r="B862" s="1866" t="s">
        <v>1419</v>
      </c>
      <c r="C862" s="1866" t="s">
        <v>1403</v>
      </c>
      <c r="D862" s="1868">
        <v>19.472490000000001</v>
      </c>
      <c r="E862" s="1868">
        <v>20.216829999999998</v>
      </c>
      <c r="F862" s="1868">
        <v>20.279789999999998</v>
      </c>
      <c r="G862" s="1868">
        <v>20.320540000000001</v>
      </c>
      <c r="H862" s="1868">
        <v>20.84656</v>
      </c>
      <c r="I862" s="1868">
        <v>21.290110000000002</v>
      </c>
      <c r="J862" s="1868">
        <v>21.806660000000001</v>
      </c>
      <c r="K862" s="1868">
        <v>21.404299999999999</v>
      </c>
      <c r="L862" s="1868">
        <v>22.096250000000001</v>
      </c>
      <c r="M862" s="1868">
        <v>20.953329999999998</v>
      </c>
      <c r="N862" s="1868">
        <v>23.26078</v>
      </c>
      <c r="O862" s="1868">
        <v>23.30592</v>
      </c>
      <c r="P862" s="1868">
        <v>19.419550000000001</v>
      </c>
      <c r="Q862" s="1868">
        <v>22.07657</v>
      </c>
      <c r="R862" s="1868">
        <v>20.915979999999998</v>
      </c>
      <c r="S862" s="1868">
        <v>21.654309999999999</v>
      </c>
      <c r="T862" s="1868">
        <v>21.676500000000001</v>
      </c>
      <c r="U862" s="1868">
        <v>22.293229999999998</v>
      </c>
      <c r="V862" s="1868">
        <v>23.70036</v>
      </c>
      <c r="W862" s="1868">
        <v>24.067599999999999</v>
      </c>
      <c r="X862" s="1868">
        <v>22.698820000000001</v>
      </c>
      <c r="Y862" s="1868">
        <v>22.235199999999999</v>
      </c>
      <c r="Z862" s="1868">
        <v>22.053229999999999</v>
      </c>
      <c r="AA862" s="1868">
        <v>22.627739999999999</v>
      </c>
      <c r="AB862" s="1868">
        <v>24.06832</v>
      </c>
      <c r="AC862" s="1868">
        <v>22.105260000000001</v>
      </c>
      <c r="AD862" s="1868">
        <v>21.485410000000002</v>
      </c>
      <c r="AE862" s="1868">
        <v>22.26266</v>
      </c>
      <c r="AF862" s="1868">
        <v>21.393529999999998</v>
      </c>
      <c r="AG862" s="1868">
        <v>22.295179999999998</v>
      </c>
      <c r="AH862" s="1868">
        <v>23.40136</v>
      </c>
      <c r="AI862" s="1868">
        <v>21.378610000000002</v>
      </c>
      <c r="AJ862" s="1868">
        <v>23.361049999999999</v>
      </c>
      <c r="AK862" s="1868">
        <v>22.72109</v>
      </c>
      <c r="AL862" s="1868">
        <v>24.148629999999997</v>
      </c>
      <c r="AM862" s="1868">
        <v>21.814320000000002</v>
      </c>
      <c r="AN862" s="1868">
        <v>21.55114</v>
      </c>
      <c r="AO862" s="1868">
        <v>23.472049999999999</v>
      </c>
      <c r="AP862" s="1868">
        <v>23.368389999999998</v>
      </c>
      <c r="AQ862" s="1868">
        <v>25.71396</v>
      </c>
      <c r="AR862" s="1868">
        <v>25.456979999999998</v>
      </c>
      <c r="AS862" s="1868">
        <v>26.045379999999998</v>
      </c>
      <c r="AT862" s="1868">
        <v>26.735459999999996</v>
      </c>
      <c r="AU862" s="1868">
        <v>26.345570000000002</v>
      </c>
      <c r="AV862" s="1868">
        <v>17.246229999999997</v>
      </c>
      <c r="AW862" s="1868">
        <v>12.11002</v>
      </c>
      <c r="AX862" s="1868">
        <v>28.544129999999999</v>
      </c>
      <c r="AY862" s="1868">
        <v>22.157859999999999</v>
      </c>
      <c r="AZ862" s="1868">
        <v>25.583600000000001</v>
      </c>
      <c r="BA862" s="1868">
        <v>26.077110000000001</v>
      </c>
    </row>
    <row r="863" spans="1:53">
      <c r="A863" s="1865" t="str">
        <f t="shared" si="13"/>
        <v>Northern AfricaTangerines, mandarins, clem.</v>
      </c>
      <c r="B863" s="1866" t="s">
        <v>1419</v>
      </c>
      <c r="C863" s="1866" t="s">
        <v>1404</v>
      </c>
      <c r="D863" s="1868">
        <v>10.528280000000001</v>
      </c>
      <c r="E863" s="1868">
        <v>11.427580000000001</v>
      </c>
      <c r="F863" s="1868">
        <v>10.849930000000001</v>
      </c>
      <c r="G863" s="1868">
        <v>11.853400000000001</v>
      </c>
      <c r="H863" s="1868">
        <v>12.29217</v>
      </c>
      <c r="I863" s="1868">
        <v>14.533710000000001</v>
      </c>
      <c r="J863" s="1868">
        <v>15.705500000000001</v>
      </c>
      <c r="K863" s="1868">
        <v>15.582510000000001</v>
      </c>
      <c r="L863" s="1868">
        <v>15.961720000000001</v>
      </c>
      <c r="M863" s="1868">
        <v>16.665929999999999</v>
      </c>
      <c r="N863" s="1868">
        <v>18.189599999999999</v>
      </c>
      <c r="O863" s="1868">
        <v>19.078299999999999</v>
      </c>
      <c r="P863" s="1868">
        <v>18.77758</v>
      </c>
      <c r="Q863" s="1868">
        <v>20.772489999999998</v>
      </c>
      <c r="R863" s="1868">
        <v>16.315829999999998</v>
      </c>
      <c r="S863" s="1868">
        <v>17.767039999999998</v>
      </c>
      <c r="T863" s="1868">
        <v>21.67726</v>
      </c>
      <c r="U863" s="1868">
        <v>25.53003</v>
      </c>
      <c r="V863" s="1868">
        <v>25.174970000000002</v>
      </c>
      <c r="W863" s="1868">
        <v>22.912929999999999</v>
      </c>
      <c r="X863" s="1868">
        <v>24.739249999999998</v>
      </c>
      <c r="Y863" s="1868">
        <v>27.644870000000001</v>
      </c>
      <c r="Z863" s="1868">
        <v>23.13588</v>
      </c>
      <c r="AA863" s="1868">
        <v>21.147079999999999</v>
      </c>
      <c r="AB863" s="1868">
        <v>12.132610000000001</v>
      </c>
      <c r="AC863" s="1868">
        <v>13.513420000000002</v>
      </c>
      <c r="AD863" s="1868">
        <v>12.245660000000001</v>
      </c>
      <c r="AE863" s="1868">
        <v>12.412739999999999</v>
      </c>
      <c r="AF863" s="1868">
        <v>14.94431</v>
      </c>
      <c r="AG863" s="1868">
        <v>11.05585</v>
      </c>
      <c r="AH863" s="1868">
        <v>12.76693</v>
      </c>
      <c r="AI863" s="1868">
        <v>11.112069999999999</v>
      </c>
      <c r="AJ863" s="1868">
        <v>9.7096400000000003</v>
      </c>
      <c r="AK863" s="1868">
        <v>12.583089999999999</v>
      </c>
      <c r="AL863" s="1868">
        <v>11.660589999999999</v>
      </c>
      <c r="AM863" s="1868">
        <v>14.01816</v>
      </c>
      <c r="AN863" s="1868">
        <v>13.80415</v>
      </c>
      <c r="AO863" s="1868">
        <v>14.329929999999999</v>
      </c>
      <c r="AP863" s="1868">
        <v>14.663839999999999</v>
      </c>
      <c r="AQ863" s="1868">
        <v>15.182970000000001</v>
      </c>
      <c r="AR863" s="1868">
        <v>12.565489999999999</v>
      </c>
      <c r="AS863" s="1868">
        <v>14.718329999999998</v>
      </c>
      <c r="AT863" s="1868">
        <v>15.732079999999998</v>
      </c>
      <c r="AU863" s="1868">
        <v>15.35599</v>
      </c>
      <c r="AV863" s="1868">
        <v>15.97148</v>
      </c>
      <c r="AW863" s="1868">
        <v>16.41292</v>
      </c>
      <c r="AX863" s="1868">
        <v>15.56052</v>
      </c>
      <c r="AY863" s="1868">
        <v>15.343370000000002</v>
      </c>
      <c r="AZ863" s="1868">
        <v>16.77318</v>
      </c>
      <c r="BA863" s="1868">
        <v>17.788450000000001</v>
      </c>
    </row>
    <row r="864" spans="1:53">
      <c r="A864" s="1865" t="str">
        <f t="shared" si="13"/>
        <v>Northern AfricaTobacco, unmanufactured</v>
      </c>
      <c r="B864" s="1866" t="s">
        <v>1419</v>
      </c>
      <c r="C864" s="1866" t="s">
        <v>1347</v>
      </c>
      <c r="D864" s="1868">
        <v>0.57284000000000002</v>
      </c>
      <c r="E864" s="1868">
        <v>0.82656000000000007</v>
      </c>
      <c r="F864" s="1868">
        <v>0.70816000000000001</v>
      </c>
      <c r="G864" s="1868">
        <v>0.96189999999999998</v>
      </c>
      <c r="H864" s="1868">
        <v>0.62866999999999995</v>
      </c>
      <c r="I864" s="1868">
        <v>0.74751999999999996</v>
      </c>
      <c r="J864" s="1868">
        <v>0.82417000000000007</v>
      </c>
      <c r="K864" s="1868">
        <v>0.81977000000000011</v>
      </c>
      <c r="L864" s="1868">
        <v>0.75017</v>
      </c>
      <c r="M864" s="1868">
        <v>0.83183999999999991</v>
      </c>
      <c r="N864" s="1868">
        <v>0.83625000000000005</v>
      </c>
      <c r="O864" s="1868">
        <v>0.90243999999999991</v>
      </c>
      <c r="P864" s="1868">
        <v>0.95422999999999991</v>
      </c>
      <c r="Q864" s="1868">
        <v>0.93894999999999995</v>
      </c>
      <c r="R864" s="1868">
        <v>1.0058100000000001</v>
      </c>
      <c r="S864" s="1868">
        <v>1.2268700000000001</v>
      </c>
      <c r="T864" s="1868">
        <v>1.2051499999999999</v>
      </c>
      <c r="U864" s="1868">
        <v>1.0249200000000001</v>
      </c>
      <c r="V864" s="1868">
        <v>1.1355</v>
      </c>
      <c r="W864" s="1868">
        <v>1.0863499999999999</v>
      </c>
      <c r="X864" s="1868">
        <v>1.12269</v>
      </c>
      <c r="Y864" s="1868">
        <v>1.2141500000000001</v>
      </c>
      <c r="Z864" s="1868">
        <v>1.14367</v>
      </c>
      <c r="AA864" s="1868">
        <v>1.2887299999999999</v>
      </c>
      <c r="AB864" s="1868">
        <v>1.2414499999999999</v>
      </c>
      <c r="AC864" s="1868">
        <v>1.0499700000000001</v>
      </c>
      <c r="AD864" s="1868">
        <v>1.09185</v>
      </c>
      <c r="AE864" s="1868">
        <v>1.1404299999999998</v>
      </c>
      <c r="AF864" s="1868">
        <v>1.1900999999999999</v>
      </c>
      <c r="AG864" s="1868">
        <v>1.2947299999999999</v>
      </c>
      <c r="AH864" s="1868">
        <v>1.1851200000000002</v>
      </c>
      <c r="AI864" s="1868">
        <v>1.3083400000000001</v>
      </c>
      <c r="AJ864" s="1868">
        <v>1.1357200000000001</v>
      </c>
      <c r="AK864" s="1868">
        <v>1.03837</v>
      </c>
      <c r="AL864" s="1868">
        <v>1.1533</v>
      </c>
      <c r="AM864" s="1868">
        <v>1.1683399999999999</v>
      </c>
      <c r="AN864" s="1868">
        <v>1.15567</v>
      </c>
      <c r="AO864" s="1868">
        <v>1.10405</v>
      </c>
      <c r="AP864" s="1868">
        <v>1.02233</v>
      </c>
      <c r="AQ864" s="1868">
        <v>1.1679299999999999</v>
      </c>
      <c r="AR864" s="1868">
        <v>1.1464700000000001</v>
      </c>
      <c r="AS864" s="1868">
        <v>1.27193</v>
      </c>
      <c r="AT864" s="1868">
        <v>1.2681</v>
      </c>
      <c r="AU864" s="1868">
        <v>1.37235</v>
      </c>
      <c r="AV864" s="1868">
        <v>1.50546</v>
      </c>
      <c r="AW864" s="1868">
        <v>1.5012399999999999</v>
      </c>
      <c r="AX864" s="1868">
        <v>1.5642399999999999</v>
      </c>
      <c r="AY864" s="1868">
        <v>1.5510299999999999</v>
      </c>
      <c r="AZ864" s="1868">
        <v>1.75183</v>
      </c>
      <c r="BA864" s="1868">
        <v>1.78</v>
      </c>
    </row>
    <row r="865" spans="1:53">
      <c r="A865" s="1865" t="str">
        <f t="shared" si="13"/>
        <v>Northern AfricaTomatoes</v>
      </c>
      <c r="B865" s="1866" t="s">
        <v>1419</v>
      </c>
      <c r="C865" s="1866" t="s">
        <v>1406</v>
      </c>
      <c r="D865" s="1868">
        <v>13.649020000000002</v>
      </c>
      <c r="E865" s="1868">
        <v>14.90859</v>
      </c>
      <c r="F865" s="1868">
        <v>14.710579999999998</v>
      </c>
      <c r="G865" s="1868">
        <v>14.725479999999999</v>
      </c>
      <c r="H865" s="1868">
        <v>15.254060000000001</v>
      </c>
      <c r="I865" s="1868">
        <v>15.146839999999999</v>
      </c>
      <c r="J865" s="1868">
        <v>13.669320000000001</v>
      </c>
      <c r="K865" s="1868">
        <v>14.282060000000001</v>
      </c>
      <c r="L865" s="1868">
        <v>14.795179999999998</v>
      </c>
      <c r="M865" s="1868">
        <v>14.995810000000001</v>
      </c>
      <c r="N865" s="1868">
        <v>14.822829999999998</v>
      </c>
      <c r="O865" s="1868">
        <v>14.227529999999998</v>
      </c>
      <c r="P865" s="1868">
        <v>13.59445</v>
      </c>
      <c r="Q865" s="1868">
        <v>15.085000000000001</v>
      </c>
      <c r="R865" s="1868">
        <v>16.485329999999998</v>
      </c>
      <c r="S865" s="1868">
        <v>15.89241</v>
      </c>
      <c r="T865" s="1868">
        <v>16.349070000000001</v>
      </c>
      <c r="U865" s="1868">
        <v>16.443620000000003</v>
      </c>
      <c r="V865" s="1868">
        <v>17.151209999999999</v>
      </c>
      <c r="W865" s="1868">
        <v>18.24661</v>
      </c>
      <c r="X865" s="1868">
        <v>17.845089999999999</v>
      </c>
      <c r="Y865" s="1868">
        <v>18.180520000000001</v>
      </c>
      <c r="Z865" s="1868">
        <v>18.502089999999999</v>
      </c>
      <c r="AA865" s="1868">
        <v>19.713560000000001</v>
      </c>
      <c r="AB865" s="1868">
        <v>21.23865</v>
      </c>
      <c r="AC865" s="1868">
        <v>23.503770000000003</v>
      </c>
      <c r="AD865" s="1868">
        <v>25.515460000000001</v>
      </c>
      <c r="AE865" s="1868">
        <v>22.116229999999998</v>
      </c>
      <c r="AF865" s="1868">
        <v>21.18683</v>
      </c>
      <c r="AG865" s="1868">
        <v>23.792000000000002</v>
      </c>
      <c r="AH865" s="1868">
        <v>23.577549999999999</v>
      </c>
      <c r="AI865" s="1868">
        <v>25.786349999999999</v>
      </c>
      <c r="AJ865" s="1868">
        <v>25.884260000000001</v>
      </c>
      <c r="AK865" s="1868">
        <v>26.444259999999996</v>
      </c>
      <c r="AL865" s="1868">
        <v>27.203859999999999</v>
      </c>
      <c r="AM865" s="1868">
        <v>27.58428</v>
      </c>
      <c r="AN865" s="1868">
        <v>27.40587</v>
      </c>
      <c r="AO865" s="1868">
        <v>27.303920000000002</v>
      </c>
      <c r="AP865" s="1868">
        <v>28.651590000000002</v>
      </c>
      <c r="AQ865" s="1868">
        <v>29.162220000000001</v>
      </c>
      <c r="AR865" s="1868">
        <v>30.21753</v>
      </c>
      <c r="AS865" s="1868">
        <v>30.907820000000001</v>
      </c>
      <c r="AT865" s="1868">
        <v>33.341120000000004</v>
      </c>
      <c r="AU865" s="1868">
        <v>34.97983</v>
      </c>
      <c r="AV865" s="1868">
        <v>34.783380000000001</v>
      </c>
      <c r="AW865" s="1868">
        <v>35.740879999999997</v>
      </c>
      <c r="AX865" s="1868">
        <v>35.92774</v>
      </c>
      <c r="AY865" s="1868">
        <v>37.231459999999998</v>
      </c>
      <c r="AZ865" s="1868">
        <v>38.512709999999998</v>
      </c>
      <c r="BA865" s="1868">
        <v>37.60736</v>
      </c>
    </row>
    <row r="866" spans="1:53">
      <c r="A866" s="1865" t="str">
        <f t="shared" si="13"/>
        <v>Northern AfricaTriticale</v>
      </c>
      <c r="B866" s="1866" t="s">
        <v>1419</v>
      </c>
      <c r="C866" s="1866" t="s">
        <v>1361</v>
      </c>
      <c r="AE866" s="1868">
        <v>1</v>
      </c>
      <c r="AF866" s="1868">
        <v>1.2015499999999999</v>
      </c>
      <c r="AG866" s="1868">
        <v>2.1795100000000001</v>
      </c>
      <c r="AH866" s="1868">
        <v>2.6945999999999999</v>
      </c>
      <c r="AI866" s="1868">
        <v>2.6171599999999997</v>
      </c>
      <c r="AJ866" s="1868">
        <v>1.9589400000000001</v>
      </c>
      <c r="AK866" s="1868">
        <v>0.91337000000000013</v>
      </c>
      <c r="AL866" s="1868">
        <v>1.5049700000000001</v>
      </c>
      <c r="AM866" s="1868">
        <v>2.4979299999999998</v>
      </c>
      <c r="AN866" s="1868">
        <v>1.51227</v>
      </c>
      <c r="AO866" s="1868">
        <v>2.20668</v>
      </c>
      <c r="AP866" s="1868">
        <v>1.7471299999999998</v>
      </c>
      <c r="AQ866" s="1868">
        <v>1.4476</v>
      </c>
      <c r="AR866" s="1868">
        <v>1.4955200000000002</v>
      </c>
      <c r="AS866" s="1868">
        <v>0.5</v>
      </c>
      <c r="AT866" s="1868">
        <v>2.3333300000000001</v>
      </c>
      <c r="AU866" s="1868">
        <v>1.6</v>
      </c>
      <c r="AV866" s="1868">
        <v>1.6666700000000001</v>
      </c>
      <c r="AW866" s="1868">
        <v>1.8666700000000001</v>
      </c>
      <c r="AX866" s="1868">
        <v>2.1</v>
      </c>
      <c r="AY866" s="1868">
        <v>2.0821900000000002</v>
      </c>
      <c r="AZ866" s="1868">
        <v>2.4038499999999998</v>
      </c>
      <c r="BA866" s="1868">
        <v>2.10101</v>
      </c>
    </row>
    <row r="867" spans="1:53">
      <c r="A867" s="1865" t="str">
        <f t="shared" si="13"/>
        <v>Northern AfricaVegetables fresh nes</v>
      </c>
      <c r="B867" s="1866" t="s">
        <v>1419</v>
      </c>
      <c r="C867" s="1866" t="s">
        <v>1407</v>
      </c>
      <c r="D867" s="1868">
        <v>9.37026</v>
      </c>
      <c r="E867" s="1868">
        <v>9.5028800000000011</v>
      </c>
      <c r="F867" s="1868">
        <v>9.2220100000000009</v>
      </c>
      <c r="G867" s="1868">
        <v>9.4743600000000008</v>
      </c>
      <c r="H867" s="1868">
        <v>9.39147</v>
      </c>
      <c r="I867" s="1868">
        <v>9.326039999999999</v>
      </c>
      <c r="J867" s="1868">
        <v>9.520389999999999</v>
      </c>
      <c r="K867" s="1868">
        <v>10.112219999999999</v>
      </c>
      <c r="L867" s="1868">
        <v>9.8716399999999993</v>
      </c>
      <c r="M867" s="1868">
        <v>9.5060099999999998</v>
      </c>
      <c r="N867" s="1868">
        <v>9.5374300000000005</v>
      </c>
      <c r="O867" s="1868">
        <v>8.8256600000000009</v>
      </c>
      <c r="P867" s="1868">
        <v>8.7160100000000007</v>
      </c>
      <c r="Q867" s="1868">
        <v>8.5469000000000008</v>
      </c>
      <c r="R867" s="1868">
        <v>8.8132099999999998</v>
      </c>
      <c r="S867" s="1868">
        <v>8.7826199999999996</v>
      </c>
      <c r="T867" s="1868">
        <v>8.7880599999999998</v>
      </c>
      <c r="U867" s="1868">
        <v>8.3129000000000008</v>
      </c>
      <c r="V867" s="1868">
        <v>8.2111000000000001</v>
      </c>
      <c r="W867" s="1868">
        <v>9.1942500000000003</v>
      </c>
      <c r="X867" s="1868">
        <v>9.26736</v>
      </c>
      <c r="Y867" s="1868">
        <v>9.7300500000000003</v>
      </c>
      <c r="Z867" s="1868">
        <v>9.7986300000000011</v>
      </c>
      <c r="AA867" s="1868">
        <v>9.697989999999999</v>
      </c>
      <c r="AB867" s="1868">
        <v>9.469619999999999</v>
      </c>
      <c r="AC867" s="1868">
        <v>10.056480000000001</v>
      </c>
      <c r="AD867" s="1868">
        <v>10.177960000000001</v>
      </c>
      <c r="AE867" s="1868">
        <v>10.32953</v>
      </c>
      <c r="AF867" s="1868">
        <v>9.8357399999999995</v>
      </c>
      <c r="AG867" s="1868">
        <v>10.243780000000001</v>
      </c>
      <c r="AH867" s="1868">
        <v>10.66192</v>
      </c>
      <c r="AI867" s="1868">
        <v>10.67384</v>
      </c>
      <c r="AJ867" s="1868">
        <v>11.00243</v>
      </c>
      <c r="AK867" s="1868">
        <v>10.173689999999999</v>
      </c>
      <c r="AL867" s="1868">
        <v>10.30499</v>
      </c>
      <c r="AM867" s="1868">
        <v>10.664949999999999</v>
      </c>
      <c r="AN867" s="1868">
        <v>10.32762</v>
      </c>
      <c r="AO867" s="1868">
        <v>10.92942</v>
      </c>
      <c r="AP867" s="1868">
        <v>11.16751</v>
      </c>
      <c r="AQ867" s="1868">
        <v>8.51281</v>
      </c>
      <c r="AR867" s="1868">
        <v>8.5014500000000002</v>
      </c>
      <c r="AS867" s="1868">
        <v>8.9844200000000001</v>
      </c>
      <c r="AT867" s="1868">
        <v>8.5831600000000012</v>
      </c>
      <c r="AU867" s="1868">
        <v>8.4460999999999995</v>
      </c>
      <c r="AV867" s="1868">
        <v>8.8034499999999998</v>
      </c>
      <c r="AW867" s="1868">
        <v>5.5475099999999999</v>
      </c>
      <c r="AX867" s="1868">
        <v>5.92204</v>
      </c>
      <c r="AY867" s="1868">
        <v>5.0989699999999996</v>
      </c>
      <c r="AZ867" s="1868">
        <v>5.3039100000000001</v>
      </c>
      <c r="BA867" s="1868">
        <v>4.8645199999999997</v>
      </c>
    </row>
    <row r="868" spans="1:53">
      <c r="A868" s="1865" t="str">
        <f t="shared" si="13"/>
        <v>Northern AfricaVetches</v>
      </c>
      <c r="B868" s="1866" t="s">
        <v>1419</v>
      </c>
      <c r="C868" s="1866" t="s">
        <v>1408</v>
      </c>
      <c r="D868" s="1868">
        <v>0.25290999999999997</v>
      </c>
      <c r="E868" s="1868">
        <v>0.74236000000000002</v>
      </c>
      <c r="F868" s="1868">
        <v>0.46056000000000002</v>
      </c>
      <c r="G868" s="1868">
        <v>0.47215000000000001</v>
      </c>
      <c r="H868" s="1868">
        <v>0.52606999999999993</v>
      </c>
      <c r="I868" s="1868">
        <v>0.54127999999999998</v>
      </c>
      <c r="J868" s="1868">
        <v>0.73185</v>
      </c>
      <c r="K868" s="1868">
        <v>0.97693999999999992</v>
      </c>
      <c r="L868" s="1868">
        <v>0.45996999999999999</v>
      </c>
      <c r="M868" s="1868">
        <v>0.56861000000000006</v>
      </c>
      <c r="N868" s="1868">
        <v>0.96381000000000006</v>
      </c>
      <c r="O868" s="1868">
        <v>0.82441000000000009</v>
      </c>
      <c r="P868" s="1868">
        <v>0.63353000000000004</v>
      </c>
      <c r="Q868" s="1868">
        <v>0.83277999999999996</v>
      </c>
      <c r="R868" s="1868">
        <v>0.78</v>
      </c>
      <c r="S868" s="1868">
        <v>0.48549999999999999</v>
      </c>
      <c r="T868" s="1868">
        <v>0.15833</v>
      </c>
      <c r="U868" s="1868">
        <v>0.17480999999999999</v>
      </c>
      <c r="V868" s="1868">
        <v>0.40168999999999999</v>
      </c>
      <c r="W868" s="1868">
        <v>0.53961999999999999</v>
      </c>
      <c r="X868" s="1868">
        <v>0.58428000000000002</v>
      </c>
      <c r="Y868" s="1868">
        <v>0.56006999999999996</v>
      </c>
      <c r="Z868" s="1868">
        <v>0.59255000000000002</v>
      </c>
      <c r="AA868" s="1868">
        <v>0.35407</v>
      </c>
      <c r="AB868" s="1868">
        <v>0.58466000000000007</v>
      </c>
      <c r="AC868" s="1868">
        <v>0.78695999999999999</v>
      </c>
      <c r="AD868" s="1868">
        <v>0.51949999999999996</v>
      </c>
      <c r="AE868" s="1868">
        <v>0.58982999999999997</v>
      </c>
      <c r="AF868" s="1868">
        <v>0.61086000000000007</v>
      </c>
      <c r="AG868" s="1868">
        <v>0.62631999999999999</v>
      </c>
      <c r="AH868" s="1868">
        <v>0.73734999999999995</v>
      </c>
      <c r="AI868" s="1868">
        <v>0.31958000000000003</v>
      </c>
      <c r="AJ868" s="1868">
        <v>0.22796999999999998</v>
      </c>
      <c r="AK868" s="1868">
        <v>0.65059999999999996</v>
      </c>
      <c r="AL868" s="1868">
        <v>0.48981999999999998</v>
      </c>
      <c r="AM868" s="1868">
        <v>0.73258999999999996</v>
      </c>
      <c r="AN868" s="1868">
        <v>0.60577000000000003</v>
      </c>
      <c r="AO868" s="1868">
        <v>0.52916000000000007</v>
      </c>
      <c r="AP868" s="1868">
        <v>0.34166999999999997</v>
      </c>
      <c r="AQ868" s="1868">
        <v>0.21838000000000002</v>
      </c>
      <c r="AR868" s="1868">
        <v>0.47951000000000005</v>
      </c>
      <c r="AS868" s="1868">
        <v>0.70062000000000002</v>
      </c>
      <c r="AT868" s="1868">
        <v>0.46563000000000004</v>
      </c>
      <c r="AU868" s="1868">
        <v>0.49211000000000005</v>
      </c>
      <c r="AV868" s="1868">
        <v>0.44676000000000005</v>
      </c>
      <c r="AW868" s="1868">
        <v>0.61998999999999993</v>
      </c>
      <c r="AX868" s="1868">
        <v>0.33116999999999996</v>
      </c>
      <c r="AY868" s="1868">
        <v>0.49451000000000006</v>
      </c>
      <c r="AZ868" s="1868">
        <v>0.63038000000000005</v>
      </c>
      <c r="BA868" s="1868">
        <v>0.66252</v>
      </c>
    </row>
    <row r="869" spans="1:53">
      <c r="A869" s="1865" t="str">
        <f t="shared" si="13"/>
        <v>Northern AfricaWheat</v>
      </c>
      <c r="B869" s="1866" t="s">
        <v>1419</v>
      </c>
      <c r="C869" s="1866" t="s">
        <v>1409</v>
      </c>
      <c r="D869" s="1868">
        <v>0.69586999999999999</v>
      </c>
      <c r="E869" s="1868">
        <v>1.07731</v>
      </c>
      <c r="F869" s="1868">
        <v>1.0171399999999999</v>
      </c>
      <c r="G869" s="1868">
        <v>0.91057999999999995</v>
      </c>
      <c r="H869" s="1868">
        <v>0.91452999999999995</v>
      </c>
      <c r="I869" s="1868">
        <v>0.81067</v>
      </c>
      <c r="J869" s="1868">
        <v>0.84781000000000006</v>
      </c>
      <c r="K869" s="1868">
        <v>1.0905499999999999</v>
      </c>
      <c r="L869" s="1868">
        <v>0.8242799999999999</v>
      </c>
      <c r="M869" s="1868">
        <v>0.9149799999999999</v>
      </c>
      <c r="N869" s="1868">
        <v>1.0573399999999999</v>
      </c>
      <c r="O869" s="1868">
        <v>1.06342</v>
      </c>
      <c r="P869" s="1868">
        <v>0.94527000000000005</v>
      </c>
      <c r="Q869" s="1868">
        <v>1.0012000000000001</v>
      </c>
      <c r="R869" s="1868">
        <v>1.1418700000000002</v>
      </c>
      <c r="S869" s="1868">
        <v>1.09293</v>
      </c>
      <c r="T869" s="1868">
        <v>0.83504</v>
      </c>
      <c r="U869" s="1868">
        <v>1.0701000000000001</v>
      </c>
      <c r="V869" s="1868">
        <v>0.99460999999999999</v>
      </c>
      <c r="W869" s="1868">
        <v>1.1132299999999999</v>
      </c>
      <c r="X869" s="1868">
        <v>1.0234299999999998</v>
      </c>
      <c r="Y869" s="1868">
        <v>1.2860200000000002</v>
      </c>
      <c r="Z869" s="1868">
        <v>1.1066799999999999</v>
      </c>
      <c r="AA869" s="1868">
        <v>1.1053899999999999</v>
      </c>
      <c r="AB869" s="1868">
        <v>1.36971</v>
      </c>
      <c r="AC869" s="1868">
        <v>1.54722</v>
      </c>
      <c r="AD869" s="1868">
        <v>1.4163700000000001</v>
      </c>
      <c r="AE869" s="1868">
        <v>1.79142</v>
      </c>
      <c r="AF869" s="1868">
        <v>1.59965</v>
      </c>
      <c r="AG869" s="1868">
        <v>1.7231099999999999</v>
      </c>
      <c r="AH869" s="1868">
        <v>2.0077500000000001</v>
      </c>
      <c r="AI869" s="1868">
        <v>1.6599400000000002</v>
      </c>
      <c r="AJ869" s="1868">
        <v>1.57216</v>
      </c>
      <c r="AK869" s="1868">
        <v>2.0255299999999998</v>
      </c>
      <c r="AL869" s="1868">
        <v>1.6930400000000001</v>
      </c>
      <c r="AM869" s="1868">
        <v>2.1036099999999998</v>
      </c>
      <c r="AN869" s="1868">
        <v>1.8612400000000002</v>
      </c>
      <c r="AO869" s="1868">
        <v>1.84307</v>
      </c>
      <c r="AP869" s="1868">
        <v>1.8365599999999997</v>
      </c>
      <c r="AQ869" s="1868">
        <v>1.7250700000000001</v>
      </c>
      <c r="AR869" s="1868">
        <v>2.0657000000000001</v>
      </c>
      <c r="AS869" s="1868">
        <v>2.1800299999999999</v>
      </c>
      <c r="AT869" s="1868">
        <v>2.3565</v>
      </c>
      <c r="AU869" s="1868">
        <v>2.3383500000000002</v>
      </c>
      <c r="AV869" s="1868">
        <v>2.21475</v>
      </c>
      <c r="AW869" s="1868">
        <v>2.63801</v>
      </c>
      <c r="AX869" s="1868">
        <v>2.0289599999999997</v>
      </c>
      <c r="AY869" s="1868">
        <v>2.38734</v>
      </c>
      <c r="AZ869" s="1868">
        <v>2.7067600000000001</v>
      </c>
      <c r="BA869" s="1868">
        <v>2.4121099999999998</v>
      </c>
    </row>
    <row r="870" spans="1:53">
      <c r="A870" s="1865" t="str">
        <f t="shared" si="13"/>
        <v>Northern AfricaCereals (Rice Milled Eqv</v>
      </c>
      <c r="B870" s="1866" t="s">
        <v>1419</v>
      </c>
      <c r="C870" s="1866" t="s">
        <v>1410</v>
      </c>
      <c r="D870" s="1868">
        <v>0.80984999999999996</v>
      </c>
      <c r="E870" s="1868">
        <v>1.1980299999999999</v>
      </c>
      <c r="F870" s="1868">
        <v>1.12697</v>
      </c>
      <c r="G870" s="1868">
        <v>1.0455000000000001</v>
      </c>
      <c r="H870" s="1868">
        <v>1.0799099999999999</v>
      </c>
      <c r="I870" s="1868">
        <v>0.91707000000000005</v>
      </c>
      <c r="J870" s="1868">
        <v>1.05159</v>
      </c>
      <c r="K870" s="1868">
        <v>1.28504</v>
      </c>
      <c r="L870" s="1868">
        <v>1.10192</v>
      </c>
      <c r="M870" s="1868">
        <v>1.1095600000000001</v>
      </c>
      <c r="N870" s="1868">
        <v>1.2159</v>
      </c>
      <c r="O870" s="1868">
        <v>1.18682</v>
      </c>
      <c r="P870" s="1868">
        <v>1.0059100000000001</v>
      </c>
      <c r="Q870" s="1868">
        <v>1.1277299999999999</v>
      </c>
      <c r="R870" s="1868">
        <v>1.17065</v>
      </c>
      <c r="S870" s="1868">
        <v>1.2061899999999999</v>
      </c>
      <c r="T870" s="1868">
        <v>0.92762000000000011</v>
      </c>
      <c r="U870" s="1868">
        <v>1.1347100000000001</v>
      </c>
      <c r="V870" s="1868">
        <v>1.0577000000000001</v>
      </c>
      <c r="W870" s="1868">
        <v>1.1650499999999999</v>
      </c>
      <c r="X870" s="1868">
        <v>1.04111</v>
      </c>
      <c r="Y870" s="1868">
        <v>1.1842999999999999</v>
      </c>
      <c r="Z870" s="1868">
        <v>1.0247999999999999</v>
      </c>
      <c r="AA870" s="1868">
        <v>0.97943999999999998</v>
      </c>
      <c r="AB870" s="1868">
        <v>1.14896</v>
      </c>
      <c r="AC870" s="1868">
        <v>1.27264</v>
      </c>
      <c r="AD870" s="1868">
        <v>1.1472200000000001</v>
      </c>
      <c r="AE870" s="1868">
        <v>1.3168899999999999</v>
      </c>
      <c r="AF870" s="1868">
        <v>1.3041799999999999</v>
      </c>
      <c r="AG870" s="1868">
        <v>1.4835799999999999</v>
      </c>
      <c r="AH870" s="1868">
        <v>1.6145200000000002</v>
      </c>
      <c r="AI870" s="1868">
        <v>1.30193</v>
      </c>
      <c r="AJ870" s="1868">
        <v>1.3160000000000001</v>
      </c>
      <c r="AK870" s="1868">
        <v>1.427</v>
      </c>
      <c r="AL870" s="1868">
        <v>1.2599200000000002</v>
      </c>
      <c r="AM870" s="1868">
        <v>1.6580999999999999</v>
      </c>
      <c r="AN870" s="1868">
        <v>1.3379099999999999</v>
      </c>
      <c r="AO870" s="1868">
        <v>1.4558899999999999</v>
      </c>
      <c r="AP870" s="1868">
        <v>1.5184</v>
      </c>
      <c r="AQ870" s="1868">
        <v>1.4897200000000002</v>
      </c>
      <c r="AR870" s="1868">
        <v>1.5616700000000001</v>
      </c>
      <c r="AS870" s="1868">
        <v>1.66747</v>
      </c>
      <c r="AT870" s="1868">
        <v>1.7445099999999998</v>
      </c>
      <c r="AU870" s="1868">
        <v>1.97584</v>
      </c>
      <c r="AV870" s="1868">
        <v>1.4726299999999999</v>
      </c>
      <c r="AW870" s="1868">
        <v>1.8768900000000002</v>
      </c>
      <c r="AX870" s="1868">
        <v>1.6033600000000001</v>
      </c>
      <c r="AY870" s="1868">
        <v>1.70505</v>
      </c>
      <c r="AZ870" s="1868">
        <v>1.9566400000000002</v>
      </c>
      <c r="BA870" s="1868">
        <v>1.7778</v>
      </c>
    </row>
    <row r="871" spans="1:53">
      <c r="A871" s="1865" t="str">
        <f t="shared" si="13"/>
        <v>Northern AmericaBananas</v>
      </c>
      <c r="B871" s="1866" t="s">
        <v>1344</v>
      </c>
      <c r="C871" s="1866" t="s">
        <v>1362</v>
      </c>
      <c r="D871" s="1868">
        <v>10.8675</v>
      </c>
      <c r="E871" s="1868">
        <v>10.06085</v>
      </c>
      <c r="F871" s="1868">
        <v>9.9854199999999995</v>
      </c>
      <c r="G871" s="1868">
        <v>11.9697</v>
      </c>
      <c r="H871" s="1868">
        <v>9.1904800000000009</v>
      </c>
      <c r="I871" s="1868">
        <v>10.21739</v>
      </c>
      <c r="J871" s="1868">
        <v>9.5261999999999993</v>
      </c>
      <c r="K871" s="1868">
        <v>8.3000000000000007</v>
      </c>
      <c r="L871" s="1868">
        <v>8.1936300000000006</v>
      </c>
      <c r="M871" s="1868">
        <v>9.0672499999999996</v>
      </c>
      <c r="N871" s="1868">
        <v>8.2477100000000014</v>
      </c>
      <c r="O871" s="1868">
        <v>8.8553899999999999</v>
      </c>
      <c r="P871" s="1868">
        <v>11.820600000000001</v>
      </c>
      <c r="Q871" s="1868">
        <v>12.88172</v>
      </c>
      <c r="R871" s="1868">
        <v>12.327529999999999</v>
      </c>
      <c r="S871" s="1868">
        <v>11.27309</v>
      </c>
      <c r="T871" s="1868">
        <v>12.69547</v>
      </c>
      <c r="U871" s="1868">
        <v>12.44</v>
      </c>
      <c r="V871" s="1868">
        <v>11.4834</v>
      </c>
      <c r="W871" s="1868">
        <v>10.36</v>
      </c>
      <c r="X871" s="1868">
        <v>11.51079</v>
      </c>
      <c r="Y871" s="1868">
        <v>9.9673199999999991</v>
      </c>
      <c r="Z871" s="1868">
        <v>6.630139999999999</v>
      </c>
      <c r="AA871" s="1868">
        <v>11.978019999999999</v>
      </c>
      <c r="AB871" s="1868">
        <v>11.274789999999999</v>
      </c>
      <c r="AC871" s="1868">
        <v>11.36919</v>
      </c>
      <c r="AD871" s="1868">
        <v>12.160270000000001</v>
      </c>
      <c r="AE871" s="1868">
        <v>14.03612</v>
      </c>
      <c r="AF871" s="1868">
        <v>13.57381</v>
      </c>
      <c r="AG871" s="1868">
        <v>14.43085</v>
      </c>
      <c r="AH871" s="1868">
        <v>14.64456</v>
      </c>
      <c r="AI871" s="1868">
        <v>15.589039999999999</v>
      </c>
      <c r="AJ871" s="1868">
        <v>16.096870000000003</v>
      </c>
      <c r="AK871" s="1868">
        <v>17.771509999999999</v>
      </c>
      <c r="AL871" s="1868">
        <v>16.755320000000001</v>
      </c>
      <c r="AM871" s="1868">
        <v>15.262260000000001</v>
      </c>
      <c r="AN871" s="1868">
        <v>16.188120000000001</v>
      </c>
      <c r="AO871" s="1868">
        <v>16.549579999999999</v>
      </c>
      <c r="AP871" s="1868">
        <v>18.98508</v>
      </c>
      <c r="AQ871" s="1868">
        <v>21.75807</v>
      </c>
      <c r="AR871" s="1868">
        <v>20.55134</v>
      </c>
      <c r="AS871" s="1868">
        <v>16.810040000000001</v>
      </c>
      <c r="AT871" s="1868">
        <v>18.63251</v>
      </c>
      <c r="AU871" s="1868">
        <v>18.442350000000001</v>
      </c>
      <c r="AV871" s="1868">
        <v>23.395679999999999</v>
      </c>
      <c r="AW871" s="1868">
        <v>18.767060000000001</v>
      </c>
      <c r="AX871" s="1868">
        <v>21.501809999999999</v>
      </c>
      <c r="AY871" s="1868">
        <v>17.665949999999999</v>
      </c>
      <c r="AZ871" s="1868">
        <v>18.648820000000001</v>
      </c>
      <c r="BA871" s="1868">
        <v>18.07281</v>
      </c>
    </row>
    <row r="872" spans="1:53">
      <c r="A872" s="1865" t="str">
        <f t="shared" si="13"/>
        <v>Northern AmericaBarley</v>
      </c>
      <c r="B872" s="1866" t="s">
        <v>1344</v>
      </c>
      <c r="C872" s="1866" t="s">
        <v>1363</v>
      </c>
      <c r="D872" s="1868">
        <v>1.48217</v>
      </c>
      <c r="E872" s="1868">
        <v>1.8247200000000001</v>
      </c>
      <c r="F872" s="1868">
        <v>1.8971499999999999</v>
      </c>
      <c r="G872" s="1868">
        <v>1.8915400000000002</v>
      </c>
      <c r="H872" s="1868">
        <v>2.15157</v>
      </c>
      <c r="I872" s="1868">
        <v>2.10615</v>
      </c>
      <c r="J872" s="1868">
        <v>1.94295</v>
      </c>
      <c r="K872" s="1868">
        <v>2.17726</v>
      </c>
      <c r="L872" s="1868">
        <v>2.2706599999999999</v>
      </c>
      <c r="M872" s="1868">
        <v>2.26213</v>
      </c>
      <c r="N872" s="1868">
        <v>2.3767</v>
      </c>
      <c r="O872" s="1868">
        <v>2.2825799999999998</v>
      </c>
      <c r="P872" s="1868">
        <v>2.1441699999999999</v>
      </c>
      <c r="Q872" s="1868">
        <v>1.9154200000000001</v>
      </c>
      <c r="R872" s="1868">
        <v>2.2347099999999998</v>
      </c>
      <c r="S872" s="1868">
        <v>2.4267099999999999</v>
      </c>
      <c r="T872" s="1868">
        <v>2.43024</v>
      </c>
      <c r="U872" s="1868">
        <v>2.53478</v>
      </c>
      <c r="V872" s="1868">
        <v>2.48265</v>
      </c>
      <c r="W872" s="1868">
        <v>2.5254300000000001</v>
      </c>
      <c r="X872" s="1868">
        <v>2.6313900000000001</v>
      </c>
      <c r="Y872" s="1868">
        <v>2.8647</v>
      </c>
      <c r="Z872" s="1868">
        <v>2.57233</v>
      </c>
      <c r="AA872" s="1868">
        <v>2.56304</v>
      </c>
      <c r="AB872" s="1868">
        <v>2.6730400000000003</v>
      </c>
      <c r="AC872" s="1868">
        <v>2.8752299999999997</v>
      </c>
      <c r="AD872" s="1868">
        <v>2.8018800000000001</v>
      </c>
      <c r="AE872" s="1868">
        <v>2.2823900000000004</v>
      </c>
      <c r="AF872" s="1868">
        <v>2.54406</v>
      </c>
      <c r="AG872" s="1868">
        <v>2.9876299999999998</v>
      </c>
      <c r="AH872" s="1868">
        <v>2.8504299999999998</v>
      </c>
      <c r="AI872" s="1868">
        <v>3.1066599999999998</v>
      </c>
      <c r="AJ872" s="1868">
        <v>3.13964</v>
      </c>
      <c r="AK872" s="1868">
        <v>2.9238200000000001</v>
      </c>
      <c r="AL872" s="1868">
        <v>3.0209299999999999</v>
      </c>
      <c r="AM872" s="1868">
        <v>3.1710099999999999</v>
      </c>
      <c r="AN872" s="1868">
        <v>2.9636499999999999</v>
      </c>
      <c r="AO872" s="1868">
        <v>3.0662599999999998</v>
      </c>
      <c r="AP872" s="1868">
        <v>3.2244000000000002</v>
      </c>
      <c r="AQ872" s="1868">
        <v>3.06548</v>
      </c>
      <c r="AR872" s="1868">
        <v>2.76458</v>
      </c>
      <c r="AS872" s="1868">
        <v>2.4764599999999999</v>
      </c>
      <c r="AT872" s="1868">
        <v>2.8879200000000003</v>
      </c>
      <c r="AU872" s="1868">
        <v>3.4102800000000002</v>
      </c>
      <c r="AV872" s="1868">
        <v>3.2865099999999998</v>
      </c>
      <c r="AW872" s="1868">
        <v>3.0552900000000003</v>
      </c>
      <c r="AX872" s="1868">
        <v>2.8732500000000001</v>
      </c>
      <c r="AY872" s="1868">
        <v>3.3812900000000004</v>
      </c>
      <c r="AZ872" s="1868">
        <v>3.46306</v>
      </c>
      <c r="BA872" s="1868">
        <v>3.4064999999999999</v>
      </c>
    </row>
    <row r="873" spans="1:53">
      <c r="A873" s="1865" t="str">
        <f t="shared" si="13"/>
        <v>Northern AmericaBeans, dry</v>
      </c>
      <c r="B873" s="1866" t="s">
        <v>1344</v>
      </c>
      <c r="C873" s="1866" t="s">
        <v>1364</v>
      </c>
      <c r="D873" s="1868">
        <v>1.5258200000000002</v>
      </c>
      <c r="E873" s="1868">
        <v>1.4052200000000001</v>
      </c>
      <c r="F873" s="1868">
        <v>1.60514</v>
      </c>
      <c r="G873" s="1868">
        <v>1.39209</v>
      </c>
      <c r="H873" s="1868">
        <v>1.2464600000000001</v>
      </c>
      <c r="I873" s="1868">
        <v>1.4819899999999999</v>
      </c>
      <c r="J873" s="1868">
        <v>1.39836</v>
      </c>
      <c r="K873" s="1868">
        <v>1.3578399999999999</v>
      </c>
      <c r="L873" s="1868">
        <v>1.43682</v>
      </c>
      <c r="M873" s="1868">
        <v>1.39381</v>
      </c>
      <c r="N873" s="1868">
        <v>1.3815899999999999</v>
      </c>
      <c r="O873" s="1868">
        <v>1.4764700000000002</v>
      </c>
      <c r="P873" s="1868">
        <v>1.3858700000000002</v>
      </c>
      <c r="Q873" s="1868">
        <v>1.48109</v>
      </c>
      <c r="R873" s="1868">
        <v>1.34727</v>
      </c>
      <c r="S873" s="1868">
        <v>1.3444</v>
      </c>
      <c r="T873" s="1868">
        <v>1.37201</v>
      </c>
      <c r="U873" s="1868">
        <v>1.43998</v>
      </c>
      <c r="V873" s="1868">
        <v>1.70366</v>
      </c>
      <c r="W873" s="1868">
        <v>1.6429799999999999</v>
      </c>
      <c r="X873" s="1868">
        <v>1.6096600000000001</v>
      </c>
      <c r="Y873" s="1868">
        <v>1.60765</v>
      </c>
      <c r="Z873" s="1868">
        <v>1.5203200000000001</v>
      </c>
      <c r="AA873" s="1868">
        <v>1.61059</v>
      </c>
      <c r="AB873" s="1868">
        <v>1.6825000000000001</v>
      </c>
      <c r="AC873" s="1868">
        <v>1.6698</v>
      </c>
      <c r="AD873" s="1868">
        <v>1.78775</v>
      </c>
      <c r="AE873" s="1868">
        <v>1.6479700000000002</v>
      </c>
      <c r="AF873" s="1868">
        <v>1.6103399999999999</v>
      </c>
      <c r="AG873" s="1868">
        <v>1.75237</v>
      </c>
      <c r="AH873" s="1868">
        <v>1.9153799999999999</v>
      </c>
      <c r="AI873" s="1868">
        <v>1.6829700000000001</v>
      </c>
      <c r="AJ873" s="1868">
        <v>1.5260400000000001</v>
      </c>
      <c r="AK873" s="1868">
        <v>1.8082900000000002</v>
      </c>
      <c r="AL873" s="1868">
        <v>1.8286099999999998</v>
      </c>
      <c r="AM873" s="1868">
        <v>1.7706599999999999</v>
      </c>
      <c r="AN873" s="1868">
        <v>1.8762900000000002</v>
      </c>
      <c r="AO873" s="1868">
        <v>1.7986799999999998</v>
      </c>
      <c r="AP873" s="1868">
        <v>1.9628400000000001</v>
      </c>
      <c r="AQ873" s="1868">
        <v>1.80335</v>
      </c>
      <c r="AR873" s="1868">
        <v>1.7434700000000001</v>
      </c>
      <c r="AS873" s="1868">
        <v>1.9463299999999999</v>
      </c>
      <c r="AT873" s="1868">
        <v>1.9358599999999999</v>
      </c>
      <c r="AU873" s="1868">
        <v>1.6670499999999999</v>
      </c>
      <c r="AV873" s="1868">
        <v>1.9384999999999999</v>
      </c>
      <c r="AW873" s="1868">
        <v>1.8440000000000001</v>
      </c>
      <c r="AX873" s="1868">
        <v>1.9132400000000001</v>
      </c>
      <c r="AY873" s="1868">
        <v>2.0067200000000001</v>
      </c>
      <c r="AZ873" s="1868">
        <v>1.9453400000000001</v>
      </c>
      <c r="BA873" s="1868">
        <v>1.88313</v>
      </c>
    </row>
    <row r="874" spans="1:53">
      <c r="A874" s="1865" t="str">
        <f t="shared" si="13"/>
        <v>Northern AmericaBeans, green</v>
      </c>
      <c r="B874" s="1866" t="s">
        <v>1344</v>
      </c>
      <c r="C874" s="1866" t="s">
        <v>1365</v>
      </c>
      <c r="D874" s="1868">
        <v>4.7777199999999995</v>
      </c>
      <c r="E874" s="1868">
        <v>4.7929199999999996</v>
      </c>
      <c r="F874" s="1868">
        <v>4.6604299999999999</v>
      </c>
      <c r="G874" s="1868">
        <v>4.0013699999999996</v>
      </c>
      <c r="H874" s="1868">
        <v>4.70824</v>
      </c>
      <c r="I874" s="1868">
        <v>4.6501700000000001</v>
      </c>
      <c r="J874" s="1868">
        <v>4.9552699999999996</v>
      </c>
      <c r="K874" s="1868">
        <v>4.7011099999999999</v>
      </c>
      <c r="L874" s="1868">
        <v>4.9262199999999998</v>
      </c>
      <c r="M874" s="1868">
        <v>4.7033199999999997</v>
      </c>
      <c r="N874" s="1868">
        <v>4.8121900000000002</v>
      </c>
      <c r="O874" s="1868">
        <v>4.8724099999999995</v>
      </c>
      <c r="P874" s="1868">
        <v>5.1424500000000002</v>
      </c>
      <c r="Q874" s="1868">
        <v>4.9939099999999996</v>
      </c>
      <c r="R874" s="1868">
        <v>5.1707599999999996</v>
      </c>
      <c r="S874" s="1868">
        <v>4.7335699999999994</v>
      </c>
      <c r="T874" s="1868">
        <v>5.1509499999999999</v>
      </c>
      <c r="U874" s="1868">
        <v>5.4244900000000005</v>
      </c>
      <c r="V874" s="1868">
        <v>5.88</v>
      </c>
      <c r="W874" s="1868">
        <v>5.4673999999999996</v>
      </c>
      <c r="X874" s="1868">
        <v>5.5995999999999997</v>
      </c>
      <c r="Y874" s="1868">
        <v>5.6040999999999999</v>
      </c>
      <c r="Z874" s="1868">
        <v>5.5626100000000003</v>
      </c>
      <c r="AA874" s="1868">
        <v>5.9066300000000007</v>
      </c>
      <c r="AB874" s="1868">
        <v>5.7472799999999999</v>
      </c>
      <c r="AC874" s="1868">
        <v>5.5502000000000002</v>
      </c>
      <c r="AD874" s="1868">
        <v>5.6903699999999997</v>
      </c>
      <c r="AE874" s="1868">
        <v>5.8386800000000001</v>
      </c>
      <c r="AF874" s="1868">
        <v>6.03437</v>
      </c>
      <c r="AG874" s="1868">
        <v>6.3457300000000005</v>
      </c>
      <c r="AH874" s="1868">
        <v>6.2840400000000001</v>
      </c>
      <c r="AI874" s="1868">
        <v>6.0341100000000001</v>
      </c>
      <c r="AJ874" s="1868">
        <v>5.7530199999999994</v>
      </c>
      <c r="AK874" s="1868">
        <v>6.2285599999999999</v>
      </c>
      <c r="AL874" s="1868">
        <v>5.7724099999999998</v>
      </c>
      <c r="AM874" s="1868">
        <v>6.1879800000000005</v>
      </c>
      <c r="AN874" s="1868">
        <v>6.17814</v>
      </c>
      <c r="AO874" s="1868">
        <v>6.5398899999999998</v>
      </c>
      <c r="AP874" s="1868">
        <v>5.7994399999999997</v>
      </c>
      <c r="AQ874" s="1868">
        <v>5.5954699999999997</v>
      </c>
      <c r="AR874" s="1868">
        <v>5.45472</v>
      </c>
      <c r="AS874" s="1868">
        <v>5.5452699999999995</v>
      </c>
      <c r="AT874" s="1868">
        <v>5.93696</v>
      </c>
      <c r="AU874" s="1868">
        <v>5.7973400000000002</v>
      </c>
      <c r="AV874" s="1868">
        <v>6.1241500000000002</v>
      </c>
      <c r="AW874" s="1868">
        <v>6.1038500000000004</v>
      </c>
      <c r="AX874" s="1868">
        <v>3.9942599999999997</v>
      </c>
      <c r="AY874" s="1868">
        <v>4.0591800000000005</v>
      </c>
      <c r="AZ874" s="1868">
        <v>3.9876699999999996</v>
      </c>
      <c r="BA874" s="1868">
        <v>4.0769500000000001</v>
      </c>
    </row>
    <row r="875" spans="1:53">
      <c r="A875" s="1865" t="str">
        <f t="shared" si="13"/>
        <v>Northern AmericaCarrots and turnips</v>
      </c>
      <c r="B875" s="1866" t="s">
        <v>1344</v>
      </c>
      <c r="C875" s="1866" t="s">
        <v>1366</v>
      </c>
      <c r="D875" s="1868">
        <v>24.26219</v>
      </c>
      <c r="E875" s="1868">
        <v>23.49371</v>
      </c>
      <c r="F875" s="1868">
        <v>22.787240000000001</v>
      </c>
      <c r="G875" s="1868">
        <v>22.58942</v>
      </c>
      <c r="H875" s="1868">
        <v>23.89433</v>
      </c>
      <c r="I875" s="1868">
        <v>24.848849999999999</v>
      </c>
      <c r="J875" s="1868">
        <v>24.726790000000001</v>
      </c>
      <c r="K875" s="1868">
        <v>29.347090000000001</v>
      </c>
      <c r="L875" s="1868">
        <v>26.229840000000003</v>
      </c>
      <c r="M875" s="1868">
        <v>26.55733</v>
      </c>
      <c r="N875" s="1868">
        <v>28.557709999999997</v>
      </c>
      <c r="O875" s="1868">
        <v>28.070609999999999</v>
      </c>
      <c r="P875" s="1868">
        <v>29.154070000000001</v>
      </c>
      <c r="Q875" s="1868">
        <v>32.061240000000005</v>
      </c>
      <c r="R875" s="1868">
        <v>30.884729999999998</v>
      </c>
      <c r="S875" s="1868">
        <v>29.684390000000004</v>
      </c>
      <c r="T875" s="1868">
        <v>30.827159999999999</v>
      </c>
      <c r="U875" s="1868">
        <v>29.6571</v>
      </c>
      <c r="V875" s="1868">
        <v>33.09252</v>
      </c>
      <c r="W875" s="1868">
        <v>29.059979999999999</v>
      </c>
      <c r="X875" s="1868">
        <v>29.993240000000004</v>
      </c>
      <c r="Y875" s="1868">
        <v>33.097050000000003</v>
      </c>
      <c r="Z875" s="1868">
        <v>30.607129999999998</v>
      </c>
      <c r="AA875" s="1868">
        <v>29.503450000000001</v>
      </c>
      <c r="AB875" s="1868">
        <v>29.556899999999999</v>
      </c>
      <c r="AC875" s="1868">
        <v>31.150679999999998</v>
      </c>
      <c r="AD875" s="1868">
        <v>33.066309999999994</v>
      </c>
      <c r="AE875" s="1868">
        <v>30.487200000000001</v>
      </c>
      <c r="AF875" s="1868">
        <v>32.385690000000004</v>
      </c>
      <c r="AG875" s="1868">
        <v>36.71922</v>
      </c>
      <c r="AH875" s="1868">
        <v>33.858159999999998</v>
      </c>
      <c r="AI875" s="1868">
        <v>35.220820000000003</v>
      </c>
      <c r="AJ875" s="1868">
        <v>34.711069999999999</v>
      </c>
      <c r="AK875" s="1868">
        <v>39.462620000000001</v>
      </c>
      <c r="AL875" s="1868">
        <v>35.990250000000003</v>
      </c>
      <c r="AM875" s="1868">
        <v>36.174900000000001</v>
      </c>
      <c r="AN875" s="1868">
        <v>40.593359999999997</v>
      </c>
      <c r="AO875" s="1868">
        <v>38.395850000000003</v>
      </c>
      <c r="AP875" s="1868">
        <v>37.351440000000004</v>
      </c>
      <c r="AQ875" s="1868">
        <v>37.676290000000002</v>
      </c>
      <c r="AR875" s="1868">
        <v>38.459920000000004</v>
      </c>
      <c r="AS875" s="1868">
        <v>37.528680000000001</v>
      </c>
      <c r="AT875" s="1868">
        <v>39.339880000000001</v>
      </c>
      <c r="AU875" s="1868">
        <v>39.781509999999997</v>
      </c>
      <c r="AV875" s="1868">
        <v>41.321620000000003</v>
      </c>
      <c r="AW875" s="1868">
        <v>38.936030000000002</v>
      </c>
      <c r="AX875" s="1868">
        <v>37.307949999999998</v>
      </c>
      <c r="AY875" s="1868">
        <v>39.322859999999999</v>
      </c>
      <c r="AZ875" s="1868">
        <v>33.996970000000005</v>
      </c>
      <c r="BA875" s="1868">
        <v>42.49145</v>
      </c>
    </row>
    <row r="876" spans="1:53">
      <c r="A876" s="1865" t="str">
        <f t="shared" si="13"/>
        <v>Northern AmericaCauliflowers and broccoli</v>
      </c>
      <c r="B876" s="1866" t="s">
        <v>1344</v>
      </c>
      <c r="C876" s="1866" t="s">
        <v>1369</v>
      </c>
      <c r="D876" s="1868">
        <v>10.280419999999999</v>
      </c>
      <c r="E876" s="1868">
        <v>11.00806</v>
      </c>
      <c r="F876" s="1868">
        <v>10.736560000000001</v>
      </c>
      <c r="G876" s="1868">
        <v>10.75365</v>
      </c>
      <c r="H876" s="1868">
        <v>11.28561</v>
      </c>
      <c r="I876" s="1868">
        <v>10.99607</v>
      </c>
      <c r="J876" s="1868">
        <v>10.65554</v>
      </c>
      <c r="K876" s="1868">
        <v>11.170580000000001</v>
      </c>
      <c r="L876" s="1868">
        <v>10.857060000000001</v>
      </c>
      <c r="M876" s="1868">
        <v>10.93408</v>
      </c>
      <c r="N876" s="1868">
        <v>11.19979</v>
      </c>
      <c r="O876" s="1868">
        <v>11.8171</v>
      </c>
      <c r="P876" s="1868">
        <v>10.50756</v>
      </c>
      <c r="Q876" s="1868">
        <v>10.814730000000001</v>
      </c>
      <c r="R876" s="1868">
        <v>10.913739999999999</v>
      </c>
      <c r="S876" s="1868">
        <v>10.8238</v>
      </c>
      <c r="T876" s="1868">
        <v>11.477160000000001</v>
      </c>
      <c r="U876" s="1868">
        <v>11.16371</v>
      </c>
      <c r="V876" s="1868">
        <v>12.010120000000001</v>
      </c>
      <c r="W876" s="1868">
        <v>12.194939999999999</v>
      </c>
      <c r="X876" s="1868">
        <v>12.78312</v>
      </c>
      <c r="Y876" s="1868">
        <v>12.16976</v>
      </c>
      <c r="Z876" s="1868">
        <v>11.731010000000001</v>
      </c>
      <c r="AA876" s="1868">
        <v>12.775960000000001</v>
      </c>
      <c r="AB876" s="1868">
        <v>12.37398</v>
      </c>
      <c r="AC876" s="1868">
        <v>12.871130000000001</v>
      </c>
      <c r="AD876" s="1868">
        <v>12.913160000000001</v>
      </c>
      <c r="AE876" s="1868">
        <v>13.69459</v>
      </c>
      <c r="AF876" s="1868">
        <v>13.001200000000001</v>
      </c>
      <c r="AG876" s="1868">
        <v>13.299539999999999</v>
      </c>
      <c r="AH876" s="1868">
        <v>13.653829999999999</v>
      </c>
      <c r="AI876" s="1868">
        <v>12.55429</v>
      </c>
      <c r="AJ876" s="1868">
        <v>12.965530000000001</v>
      </c>
      <c r="AK876" s="1868">
        <v>14.082700000000001</v>
      </c>
      <c r="AL876" s="1868">
        <v>13.62674</v>
      </c>
      <c r="AM876" s="1868">
        <v>15.539720000000001</v>
      </c>
      <c r="AN876" s="1868">
        <v>17.256589999999999</v>
      </c>
      <c r="AO876" s="1868">
        <v>17.331770000000002</v>
      </c>
      <c r="AP876" s="1868">
        <v>18.53332</v>
      </c>
      <c r="AQ876" s="1868">
        <v>18.1357</v>
      </c>
      <c r="AR876" s="1868">
        <v>17.668089999999999</v>
      </c>
      <c r="AS876" s="1868">
        <v>16.568839999999998</v>
      </c>
      <c r="AT876" s="1868">
        <v>18.323779999999999</v>
      </c>
      <c r="AU876" s="1868">
        <v>18.787010000000002</v>
      </c>
      <c r="AV876" s="1868">
        <v>19.225070000000002</v>
      </c>
      <c r="AW876" s="1868">
        <v>19.55011</v>
      </c>
      <c r="AX876" s="1868">
        <v>20.29008</v>
      </c>
      <c r="AY876" s="1868">
        <v>19.955189999999998</v>
      </c>
      <c r="AZ876" s="1868">
        <v>20.416079999999997</v>
      </c>
      <c r="BA876" s="1868">
        <v>19.273220000000002</v>
      </c>
    </row>
    <row r="877" spans="1:53">
      <c r="A877" s="1865" t="str">
        <f t="shared" si="13"/>
        <v>Northern AmericaCitrus fruit, nes</v>
      </c>
      <c r="B877" s="1866" t="s">
        <v>1344</v>
      </c>
      <c r="C877" s="1866" t="s">
        <v>1372</v>
      </c>
      <c r="AN877" s="1868">
        <v>39.6875</v>
      </c>
      <c r="AO877" s="1868">
        <v>15.083329999999998</v>
      </c>
      <c r="AP877" s="1868">
        <v>44.814820000000005</v>
      </c>
      <c r="AQ877" s="1868">
        <v>56.049380000000006</v>
      </c>
      <c r="AR877" s="1868">
        <v>22.345679999999998</v>
      </c>
      <c r="AS877" s="1868">
        <v>11.23457</v>
      </c>
      <c r="AT877" s="1868">
        <v>35</v>
      </c>
      <c r="AU877" s="1868">
        <v>41.496729999999999</v>
      </c>
      <c r="AV877" s="1868">
        <v>22.385529999999999</v>
      </c>
      <c r="AW877" s="1868">
        <v>28.685770000000002</v>
      </c>
      <c r="AX877" s="1868">
        <v>22.821200000000001</v>
      </c>
      <c r="AY877" s="1868">
        <v>29.320340000000002</v>
      </c>
      <c r="AZ877" s="1868">
        <v>22.4192</v>
      </c>
      <c r="BA877" s="1868">
        <v>20.809520000000003</v>
      </c>
    </row>
    <row r="878" spans="1:53">
      <c r="A878" s="1865" t="str">
        <f t="shared" si="13"/>
        <v>Northern AmericaCoffee, green</v>
      </c>
      <c r="B878" s="1866" t="s">
        <v>1344</v>
      </c>
      <c r="C878" s="1866" t="s">
        <v>1373</v>
      </c>
      <c r="D878" s="1868">
        <v>1.55</v>
      </c>
      <c r="E878" s="1868">
        <v>2.4500000000000002</v>
      </c>
      <c r="F878" s="1868">
        <v>1.2</v>
      </c>
      <c r="G878" s="1868">
        <v>2.2813699999999999</v>
      </c>
      <c r="H878" s="1868">
        <v>1.76983</v>
      </c>
      <c r="I878" s="1868">
        <v>1.94923</v>
      </c>
      <c r="J878" s="1868">
        <v>1.3940700000000001</v>
      </c>
      <c r="K878" s="1868">
        <v>1.5969100000000001</v>
      </c>
      <c r="L878" s="1868">
        <v>1.2759799999999999</v>
      </c>
      <c r="M878" s="1868">
        <v>1.42726</v>
      </c>
      <c r="N878" s="1868">
        <v>1.0947499999999999</v>
      </c>
      <c r="O878" s="1868">
        <v>1.3604499999999999</v>
      </c>
      <c r="P878" s="1868">
        <v>1.08992</v>
      </c>
      <c r="Q878" s="1868">
        <v>0.55237000000000003</v>
      </c>
      <c r="R878" s="1868">
        <v>0.83435999999999999</v>
      </c>
      <c r="S878" s="1868">
        <v>0.95178999999999991</v>
      </c>
      <c r="T878" s="1868">
        <v>1.0173099999999999</v>
      </c>
      <c r="U878" s="1868">
        <v>0.79323999999999995</v>
      </c>
      <c r="V878" s="1868">
        <v>1.0876700000000001</v>
      </c>
      <c r="W878" s="1868">
        <v>0.75651999999999997</v>
      </c>
      <c r="X878" s="1868">
        <v>1.16232</v>
      </c>
      <c r="Y878" s="1868">
        <v>0.46753</v>
      </c>
      <c r="Z878" s="1868">
        <v>1.39178</v>
      </c>
      <c r="AA878" s="1868">
        <v>0.92028999999999994</v>
      </c>
      <c r="AB878" s="1868">
        <v>0.97245999999999999</v>
      </c>
      <c r="AC878" s="1868">
        <v>1.34321</v>
      </c>
      <c r="AD878" s="1868">
        <v>0.76823999999999992</v>
      </c>
      <c r="AE878" s="1868">
        <v>0.81461000000000006</v>
      </c>
      <c r="AF878" s="1868">
        <v>1.2473100000000001</v>
      </c>
      <c r="AG878" s="1868">
        <v>1.04742</v>
      </c>
      <c r="AH878" s="1868">
        <v>1.04742</v>
      </c>
      <c r="AI878" s="1868">
        <v>0.53764999999999996</v>
      </c>
      <c r="AJ878" s="1868">
        <v>0.62118000000000007</v>
      </c>
      <c r="AK878" s="1868">
        <v>0.87639999999999996</v>
      </c>
      <c r="AL878" s="1868">
        <v>0.89497999999999989</v>
      </c>
      <c r="AM878" s="1868">
        <v>1.0841100000000001</v>
      </c>
      <c r="AN878" s="1868">
        <v>1.4361200000000001</v>
      </c>
      <c r="AO878" s="1868">
        <v>1.39676</v>
      </c>
      <c r="AP878" s="1868">
        <v>1.40154</v>
      </c>
      <c r="AQ878" s="1868">
        <v>1.4353200000000002</v>
      </c>
      <c r="AR878" s="1868">
        <v>1.42353</v>
      </c>
      <c r="AS878" s="1868">
        <v>1.42259</v>
      </c>
      <c r="AT878" s="1868">
        <v>1.5732200000000001</v>
      </c>
      <c r="AU878" s="1868">
        <v>1.08223</v>
      </c>
      <c r="AV878" s="1868">
        <v>1.5062799999999998</v>
      </c>
      <c r="AW878" s="1868">
        <v>1.29843</v>
      </c>
      <c r="AX878" s="1868">
        <v>1.31274</v>
      </c>
      <c r="AY878" s="1868">
        <v>1.5490200000000001</v>
      </c>
      <c r="AZ878" s="1868">
        <v>1.5490200000000001</v>
      </c>
      <c r="BA878" s="1868">
        <v>1.4039200000000001</v>
      </c>
    </row>
    <row r="879" spans="1:53">
      <c r="A879" s="1865" t="str">
        <f t="shared" si="13"/>
        <v>Northern AmericaCow peas, dry</v>
      </c>
      <c r="B879" s="1866" t="s">
        <v>1344</v>
      </c>
      <c r="C879" s="1866" t="s">
        <v>1355</v>
      </c>
      <c r="D879" s="1868">
        <v>0.65188999999999997</v>
      </c>
      <c r="E879" s="1868">
        <v>0.54532000000000003</v>
      </c>
      <c r="F879" s="1868">
        <v>0.65478000000000003</v>
      </c>
      <c r="G879" s="1868">
        <v>0.59093000000000007</v>
      </c>
      <c r="H879" s="1868">
        <v>0.58287</v>
      </c>
      <c r="I879" s="1868">
        <v>0.64390999999999998</v>
      </c>
      <c r="J879" s="1868">
        <v>0.57706999999999997</v>
      </c>
      <c r="U879" s="1868">
        <v>0.59863999999999995</v>
      </c>
      <c r="V879" s="1868">
        <v>0.58015000000000005</v>
      </c>
      <c r="W879" s="1868">
        <v>0.57962000000000002</v>
      </c>
      <c r="X879" s="1868">
        <v>0.59948999999999997</v>
      </c>
      <c r="Y879" s="1868">
        <v>0.90232000000000012</v>
      </c>
      <c r="Z879" s="1868">
        <v>0.60666999999999993</v>
      </c>
      <c r="AA879" s="1868">
        <v>0.90400000000000003</v>
      </c>
      <c r="AB879" s="1868">
        <v>0.9</v>
      </c>
      <c r="AC879" s="1868">
        <v>0.90322999999999998</v>
      </c>
      <c r="AD879" s="1868">
        <v>0.8958799999999999</v>
      </c>
      <c r="AE879" s="1868">
        <v>0.90625</v>
      </c>
      <c r="AF879" s="1868">
        <v>0.89285999999999999</v>
      </c>
      <c r="AG879" s="1868">
        <v>0.9</v>
      </c>
      <c r="AH879" s="1868">
        <v>0.90243999999999991</v>
      </c>
      <c r="AI879" s="1868">
        <v>0.89815</v>
      </c>
      <c r="AJ879" s="1868">
        <v>0.9</v>
      </c>
      <c r="AK879" s="1868">
        <v>0.89796000000000009</v>
      </c>
      <c r="AL879" s="1868">
        <v>0.90141000000000004</v>
      </c>
      <c r="AM879" s="1868">
        <v>0.89831000000000005</v>
      </c>
      <c r="AN879" s="1868">
        <v>0.89854999999999996</v>
      </c>
      <c r="AO879" s="1868">
        <v>0.89772999999999992</v>
      </c>
      <c r="AP879" s="1868">
        <v>0.88976</v>
      </c>
      <c r="AQ879" s="1868">
        <v>1.9957799999999999</v>
      </c>
      <c r="AR879" s="1868">
        <v>1.5393700000000001</v>
      </c>
      <c r="AS879" s="1868">
        <v>1.5778399999999999</v>
      </c>
      <c r="AT879" s="1868">
        <v>1.2502799999999998</v>
      </c>
      <c r="AU879" s="1868">
        <v>1.3313200000000001</v>
      </c>
      <c r="AV879" s="1868">
        <v>1.4044399999999999</v>
      </c>
      <c r="AW879" s="1868">
        <v>1.2901400000000001</v>
      </c>
      <c r="AX879" s="1868">
        <v>1.32246</v>
      </c>
      <c r="AY879" s="1868">
        <v>1.5073000000000001</v>
      </c>
      <c r="AZ879" s="1868">
        <v>4.4212099999999994</v>
      </c>
      <c r="BA879" s="1868">
        <v>4.6692300000000007</v>
      </c>
    </row>
    <row r="880" spans="1:53">
      <c r="A880" s="1865" t="str">
        <f t="shared" si="13"/>
        <v>Northern AmericaDates</v>
      </c>
      <c r="B880" s="1866" t="s">
        <v>1344</v>
      </c>
      <c r="C880" s="1866" t="s">
        <v>1374</v>
      </c>
      <c r="D880" s="1868">
        <v>11.42</v>
      </c>
      <c r="E880" s="1868">
        <v>12.91412</v>
      </c>
      <c r="F880" s="1868">
        <v>11.793530000000001</v>
      </c>
      <c r="G880" s="1868">
        <v>12.967650000000001</v>
      </c>
      <c r="H880" s="1868">
        <v>11.824949999999999</v>
      </c>
      <c r="I880" s="1868">
        <v>11.96471</v>
      </c>
      <c r="J880" s="1868">
        <v>11.374319999999999</v>
      </c>
      <c r="K880" s="1868">
        <v>12.10267</v>
      </c>
      <c r="L880" s="1868">
        <v>8.5239200000000004</v>
      </c>
      <c r="M880" s="1868">
        <v>10.191980000000001</v>
      </c>
      <c r="N880" s="1868">
        <v>10.919750000000001</v>
      </c>
      <c r="O880" s="1868">
        <v>8.5801199999999991</v>
      </c>
      <c r="P880" s="1868">
        <v>12.327060000000001</v>
      </c>
      <c r="Q880" s="1868">
        <v>12.405419999999999</v>
      </c>
      <c r="R880" s="1868">
        <v>13.55301</v>
      </c>
      <c r="S880" s="1868">
        <v>13.195460000000001</v>
      </c>
      <c r="T880" s="1868">
        <v>14.582279999999999</v>
      </c>
      <c r="U880" s="1868">
        <v>12.0679</v>
      </c>
      <c r="V880" s="1868">
        <v>12.22785</v>
      </c>
      <c r="W880" s="1868">
        <v>12.54321</v>
      </c>
      <c r="X880" s="1868">
        <v>12.18675</v>
      </c>
      <c r="Y880" s="1868">
        <v>13.06024</v>
      </c>
      <c r="Z880" s="1868">
        <v>9.0705899999999993</v>
      </c>
      <c r="AA880" s="1868">
        <v>11.471260000000001</v>
      </c>
      <c r="AB880" s="1868">
        <v>14.775279999999999</v>
      </c>
      <c r="AC880" s="1868">
        <v>8.9560399999999998</v>
      </c>
      <c r="AD880" s="1868">
        <v>8.686869999999999</v>
      </c>
      <c r="AE880" s="1868">
        <v>9.6893200000000004</v>
      </c>
      <c r="AF880" s="1868">
        <v>9.8811900000000001</v>
      </c>
      <c r="AG880" s="1868">
        <v>10.777229999999999</v>
      </c>
      <c r="AH880" s="1868">
        <v>9.504760000000001</v>
      </c>
      <c r="AI880" s="1868">
        <v>8.8811199999999992</v>
      </c>
      <c r="AJ880" s="1868">
        <v>11.814919999999999</v>
      </c>
      <c r="AK880" s="1868">
        <v>9.3710699999999996</v>
      </c>
      <c r="AL880" s="1868">
        <v>9.7861200000000004</v>
      </c>
      <c r="AM880" s="1868">
        <v>11.037039999999999</v>
      </c>
      <c r="AN880" s="1868">
        <v>11.64433</v>
      </c>
      <c r="AO880" s="1868">
        <v>11.368689999999999</v>
      </c>
      <c r="AP880" s="1868">
        <v>10.156330000000001</v>
      </c>
      <c r="AQ880" s="1868">
        <v>8.124039999999999</v>
      </c>
      <c r="AR880" s="1868">
        <v>9.0126100000000005</v>
      </c>
      <c r="AS880" s="1868">
        <v>11.304839999999999</v>
      </c>
      <c r="AT880" s="1868">
        <v>7.718160000000001</v>
      </c>
      <c r="AU880" s="1868">
        <v>7.0098799999999999</v>
      </c>
      <c r="AV880" s="1868">
        <v>6.8802699999999994</v>
      </c>
      <c r="AW880" s="1868">
        <v>7.0581199999999997</v>
      </c>
      <c r="AX880" s="1868">
        <v>6.8937100000000004</v>
      </c>
      <c r="AY880" s="1868">
        <v>8.2184699999999999</v>
      </c>
      <c r="AZ880" s="1868">
        <v>7.93065</v>
      </c>
      <c r="BA880" s="1868">
        <v>7.93065</v>
      </c>
    </row>
    <row r="881" spans="1:53">
      <c r="A881" s="1865" t="str">
        <f t="shared" si="13"/>
        <v>Northern AmericaEggplants (aubergines)</v>
      </c>
      <c r="B881" s="1866" t="s">
        <v>1344</v>
      </c>
      <c r="C881" s="1866" t="s">
        <v>1375</v>
      </c>
      <c r="D881" s="1868">
        <v>14.160020000000001</v>
      </c>
      <c r="E881" s="1868">
        <v>17.601120000000002</v>
      </c>
      <c r="F881" s="1868">
        <v>14.14073</v>
      </c>
      <c r="G881" s="1868">
        <v>15.182970000000001</v>
      </c>
      <c r="H881" s="1868">
        <v>17.189550000000001</v>
      </c>
      <c r="I881" s="1868">
        <v>17.21022</v>
      </c>
      <c r="J881" s="1868">
        <v>17.518260000000001</v>
      </c>
      <c r="K881" s="1868">
        <v>16.55181</v>
      </c>
      <c r="L881" s="1868">
        <v>16.151429999999998</v>
      </c>
      <c r="M881" s="1868">
        <v>17.668839999999999</v>
      </c>
      <c r="N881" s="1868">
        <v>17.86749</v>
      </c>
      <c r="O881" s="1868">
        <v>18.956009999999999</v>
      </c>
      <c r="P881" s="1868">
        <v>21.153510000000001</v>
      </c>
      <c r="Q881" s="1868">
        <v>20.948989999999998</v>
      </c>
      <c r="R881" s="1868">
        <v>23.205170000000003</v>
      </c>
      <c r="S881" s="1868">
        <v>22.809460000000001</v>
      </c>
      <c r="T881" s="1868">
        <v>22.803920000000002</v>
      </c>
      <c r="U881" s="1868">
        <v>21.280929999999998</v>
      </c>
      <c r="V881" s="1868">
        <v>20.46518</v>
      </c>
      <c r="W881" s="1868">
        <v>20.781040000000001</v>
      </c>
      <c r="X881" s="1868">
        <v>21.578949999999999</v>
      </c>
      <c r="Y881" s="1868">
        <v>25.56391</v>
      </c>
      <c r="Z881" s="1868">
        <v>25.384620000000002</v>
      </c>
      <c r="AA881" s="1868">
        <v>26</v>
      </c>
      <c r="AB881" s="1868">
        <v>26.153849999999998</v>
      </c>
      <c r="AC881" s="1868">
        <v>26.5625</v>
      </c>
      <c r="AD881" s="1868">
        <v>26.953129999999998</v>
      </c>
      <c r="AE881" s="1868">
        <v>27.272729999999999</v>
      </c>
      <c r="AF881" s="1868">
        <v>27.923079999999999</v>
      </c>
      <c r="AG881" s="1868">
        <v>27.53623</v>
      </c>
      <c r="AH881" s="1868">
        <v>27.905909999999999</v>
      </c>
      <c r="AI881" s="1868">
        <v>27.453670000000002</v>
      </c>
      <c r="AJ881" s="1868">
        <v>29.196579999999997</v>
      </c>
      <c r="AK881" s="1868">
        <v>25.63768</v>
      </c>
      <c r="AL881" s="1868">
        <v>21.50562</v>
      </c>
      <c r="AM881" s="1868">
        <v>25.67783</v>
      </c>
      <c r="AN881" s="1868">
        <v>26.943820000000002</v>
      </c>
      <c r="AO881" s="1868">
        <v>26.8</v>
      </c>
      <c r="AP881" s="1868">
        <v>28.584070000000001</v>
      </c>
      <c r="AQ881" s="1868">
        <v>33.458870000000005</v>
      </c>
      <c r="AR881" s="1868">
        <v>28.700940000000003</v>
      </c>
      <c r="AS881" s="1868">
        <v>29.047620000000002</v>
      </c>
      <c r="AT881" s="1868">
        <v>34.793289999999999</v>
      </c>
      <c r="AU881" s="1868">
        <v>34.627400000000002</v>
      </c>
      <c r="AV881" s="1868">
        <v>35.0214</v>
      </c>
      <c r="AW881" s="1868">
        <v>34.711739999999999</v>
      </c>
      <c r="AX881" s="1868">
        <v>34.090910000000001</v>
      </c>
      <c r="AY881" s="1868">
        <v>33.980800000000002</v>
      </c>
      <c r="AZ881" s="1868">
        <v>34.145509999999994</v>
      </c>
      <c r="BA881" s="1868">
        <v>32</v>
      </c>
    </row>
    <row r="882" spans="1:53">
      <c r="A882" s="1865" t="str">
        <f t="shared" si="13"/>
        <v>Northern AmericaFibre Crops Nes</v>
      </c>
      <c r="B882" s="1866" t="s">
        <v>1344</v>
      </c>
      <c r="C882" s="1866" t="s">
        <v>1376</v>
      </c>
      <c r="G882" s="1868">
        <v>1.2307700000000001</v>
      </c>
      <c r="I882" s="1868">
        <v>1.2075499999999999</v>
      </c>
      <c r="K882" s="1868">
        <v>1.2222200000000001</v>
      </c>
      <c r="M882" s="1868">
        <v>1.2179500000000001</v>
      </c>
      <c r="N882" s="1868">
        <v>1.2093</v>
      </c>
      <c r="O882" s="1868">
        <v>1.20455</v>
      </c>
      <c r="P882" s="1868">
        <v>1.20492</v>
      </c>
      <c r="Q882" s="1868">
        <v>1.2020200000000001</v>
      </c>
      <c r="R882" s="1868">
        <v>1.2035899999999999</v>
      </c>
      <c r="S882" s="1868">
        <v>1.2021299999999999</v>
      </c>
      <c r="T882" s="1868">
        <v>1.20455</v>
      </c>
      <c r="U882" s="1868">
        <v>1.20313</v>
      </c>
      <c r="V882" s="1868">
        <v>1.20455</v>
      </c>
      <c r="W882" s="1868">
        <v>1.20313</v>
      </c>
      <c r="X882" s="1868">
        <v>1.20062</v>
      </c>
      <c r="Y882" s="1868">
        <v>1.2089700000000001</v>
      </c>
      <c r="Z882" s="1868">
        <v>1.20184</v>
      </c>
      <c r="AA882" s="1868">
        <v>1.2027399999999999</v>
      </c>
      <c r="AB882" s="1868">
        <v>1.2020600000000001</v>
      </c>
      <c r="AC882" s="1868">
        <v>1.2061999999999999</v>
      </c>
      <c r="AD882" s="1868">
        <v>1.20526</v>
      </c>
      <c r="AE882" s="1868">
        <v>1.2018200000000001</v>
      </c>
      <c r="AF882" s="1868">
        <v>1.21143</v>
      </c>
      <c r="AG882" s="1868">
        <v>1.21149</v>
      </c>
      <c r="AH882" s="1868">
        <v>1.2097200000000001</v>
      </c>
      <c r="AI882" s="1868">
        <v>1.20164</v>
      </c>
      <c r="AJ882" s="1868">
        <v>1.20364</v>
      </c>
      <c r="AK882" s="1868">
        <v>1.2276899999999999</v>
      </c>
      <c r="AL882" s="1868">
        <v>1.2011399999999999</v>
      </c>
      <c r="AM882" s="1868">
        <v>1.2032799999999999</v>
      </c>
      <c r="AN882" s="1868">
        <v>1.1991499999999999</v>
      </c>
      <c r="AO882" s="1868">
        <v>1.2008299999999998</v>
      </c>
      <c r="AP882" s="1868">
        <v>1.2061999999999999</v>
      </c>
      <c r="AQ882" s="1868">
        <v>1.20435</v>
      </c>
      <c r="AR882" s="1868">
        <v>1.20102</v>
      </c>
      <c r="AS882" s="1868">
        <v>1.20069</v>
      </c>
      <c r="AT882" s="1868">
        <v>1.2014100000000001</v>
      </c>
      <c r="AU882" s="1868">
        <v>1.2030100000000001</v>
      </c>
      <c r="AV882" s="1868">
        <v>1.2016799999999999</v>
      </c>
      <c r="AW882" s="1868">
        <v>1.20129</v>
      </c>
      <c r="AX882" s="1868">
        <v>1.2024900000000001</v>
      </c>
      <c r="AY882" s="1868">
        <v>1.1956500000000001</v>
      </c>
      <c r="AZ882" s="1868">
        <v>1.1666700000000001</v>
      </c>
      <c r="BA882" s="1868">
        <v>1.1666700000000001</v>
      </c>
    </row>
    <row r="883" spans="1:53">
      <c r="A883" s="1865" t="str">
        <f t="shared" si="13"/>
        <v>Northern AmericaGrapefruit (inc. pomelos)</v>
      </c>
      <c r="B883" s="1866" t="s">
        <v>1344</v>
      </c>
      <c r="C883" s="1866" t="s">
        <v>1377</v>
      </c>
      <c r="D883" s="1868">
        <v>27.223140000000001</v>
      </c>
      <c r="E883" s="1868">
        <v>25.576889999999999</v>
      </c>
      <c r="F883" s="1868">
        <v>22.91939</v>
      </c>
      <c r="G883" s="1868">
        <v>22.548560000000002</v>
      </c>
      <c r="H883" s="1868">
        <v>27.077529999999999</v>
      </c>
      <c r="I883" s="1868">
        <v>29.85538</v>
      </c>
      <c r="J883" s="1868">
        <v>35.174859999999995</v>
      </c>
      <c r="K883" s="1868">
        <v>26.81812</v>
      </c>
      <c r="L883" s="1868">
        <v>33.936479999999996</v>
      </c>
      <c r="M883" s="1868">
        <v>31.992899999999999</v>
      </c>
      <c r="N883" s="1868">
        <v>34.485009999999996</v>
      </c>
      <c r="O883" s="1868">
        <v>35.148299999999999</v>
      </c>
      <c r="P883" s="1868">
        <v>33.442149999999998</v>
      </c>
      <c r="Q883" s="1868">
        <v>33.140590000000003</v>
      </c>
      <c r="R883" s="1868">
        <v>30.593779999999999</v>
      </c>
      <c r="S883" s="1868">
        <v>34.514220000000002</v>
      </c>
      <c r="T883" s="1868">
        <v>37.5105</v>
      </c>
      <c r="U883" s="1868">
        <v>36.014959999999995</v>
      </c>
      <c r="V883" s="1868">
        <v>32.056470000000004</v>
      </c>
      <c r="W883" s="1868">
        <v>33.485590000000002</v>
      </c>
      <c r="X883" s="1868">
        <v>31.395600000000002</v>
      </c>
      <c r="Y883" s="1868">
        <v>32.420809999999996</v>
      </c>
      <c r="Z883" s="1868">
        <v>27.723709999999997</v>
      </c>
      <c r="AA883" s="1868">
        <v>25.56129</v>
      </c>
      <c r="AB883" s="1868">
        <v>31.206359999999997</v>
      </c>
      <c r="AC883" s="1868">
        <v>36.378509999999999</v>
      </c>
      <c r="AD883" s="1868">
        <v>39.746540000000003</v>
      </c>
      <c r="AE883" s="1868">
        <v>42.670029999999997</v>
      </c>
      <c r="AF883" s="1868">
        <v>42.448170000000005</v>
      </c>
      <c r="AG883" s="1868">
        <v>30.09562</v>
      </c>
      <c r="AH883" s="1868">
        <v>37.970320000000001</v>
      </c>
      <c r="AI883" s="1868">
        <v>36.50441</v>
      </c>
      <c r="AJ883" s="1868">
        <v>42.942909999999998</v>
      </c>
      <c r="AK883" s="1868">
        <v>38.494040000000005</v>
      </c>
      <c r="AL883" s="1868">
        <v>39.229279999999996</v>
      </c>
      <c r="AM883" s="1868">
        <v>34.934829999999998</v>
      </c>
      <c r="AN883" s="1868">
        <v>35.531480000000002</v>
      </c>
      <c r="AO883" s="1868">
        <v>33.849029999999999</v>
      </c>
      <c r="AP883" s="1868">
        <v>35.998109999999997</v>
      </c>
      <c r="AQ883" s="1868">
        <v>40.206029999999998</v>
      </c>
      <c r="AR883" s="1868">
        <v>38.010379999999998</v>
      </c>
      <c r="AS883" s="1868">
        <v>39.577059999999996</v>
      </c>
      <c r="AT883" s="1868">
        <v>35.98939</v>
      </c>
      <c r="AU883" s="1868">
        <v>42.276029999999999</v>
      </c>
      <c r="AV883" s="1868">
        <v>22.155560000000001</v>
      </c>
      <c r="AW883" s="1868">
        <v>30.34948</v>
      </c>
      <c r="AX883" s="1868">
        <v>42.325509999999994</v>
      </c>
      <c r="AY883" s="1868">
        <v>41.608249999999998</v>
      </c>
      <c r="AZ883" s="1868">
        <v>36.357690000000005</v>
      </c>
      <c r="BA883" s="1868">
        <v>36.420209999999997</v>
      </c>
    </row>
    <row r="884" spans="1:53">
      <c r="A884" s="1865" t="str">
        <f t="shared" si="13"/>
        <v>Northern AmericaGrapes</v>
      </c>
      <c r="B884" s="1866" t="s">
        <v>1344</v>
      </c>
      <c r="C884" s="1866" t="s">
        <v>1378</v>
      </c>
      <c r="D884" s="1868">
        <v>13.83761</v>
      </c>
      <c r="E884" s="1868">
        <v>13.279179999999998</v>
      </c>
      <c r="F884" s="1868">
        <v>15.23216</v>
      </c>
      <c r="G884" s="1868">
        <v>13.81175</v>
      </c>
      <c r="H884" s="1868">
        <v>17.051679999999998</v>
      </c>
      <c r="I884" s="1868">
        <v>14.682920000000001</v>
      </c>
      <c r="J884" s="1868">
        <v>12.10477</v>
      </c>
      <c r="K884" s="1868">
        <v>14.09769</v>
      </c>
      <c r="L884" s="1868">
        <v>15.398910000000001</v>
      </c>
      <c r="M884" s="1868">
        <v>12.398639999999999</v>
      </c>
      <c r="N884" s="1868">
        <v>16.311350000000001</v>
      </c>
      <c r="O884" s="1868">
        <v>10.74798</v>
      </c>
      <c r="P884" s="1868">
        <v>16.779620000000001</v>
      </c>
      <c r="Q884" s="1868">
        <v>15.719029999999998</v>
      </c>
      <c r="R884" s="1868">
        <v>15.275920000000001</v>
      </c>
      <c r="S884" s="1868">
        <v>13.787979999999999</v>
      </c>
      <c r="T884" s="1868">
        <v>13.11825</v>
      </c>
      <c r="U884" s="1868">
        <v>13.934829999999998</v>
      </c>
      <c r="V884" s="1868">
        <v>15.739549999999999</v>
      </c>
      <c r="W884" s="1868">
        <v>17.61074</v>
      </c>
      <c r="X884" s="1868">
        <v>13.670679999999999</v>
      </c>
      <c r="Y884" s="1868">
        <v>19.235810000000001</v>
      </c>
      <c r="Z884" s="1868">
        <v>16.21968</v>
      </c>
      <c r="AA884" s="1868">
        <v>14.82925</v>
      </c>
      <c r="AB884" s="1868">
        <v>15.795110000000001</v>
      </c>
      <c r="AC884" s="1868">
        <v>14.88897</v>
      </c>
      <c r="AD884" s="1868">
        <v>15.224839999999999</v>
      </c>
      <c r="AE884" s="1868">
        <v>17.486179999999997</v>
      </c>
      <c r="AF884" s="1868">
        <v>17.589020000000001</v>
      </c>
      <c r="AG884" s="1868">
        <v>16.97457</v>
      </c>
      <c r="AH884" s="1868">
        <v>16.790150000000001</v>
      </c>
      <c r="AI884" s="1868">
        <v>17.992539999999998</v>
      </c>
      <c r="AJ884" s="1868">
        <v>17.548410000000001</v>
      </c>
      <c r="AK884" s="1868">
        <v>16.761520000000001</v>
      </c>
      <c r="AL884" s="1868">
        <v>16.76538</v>
      </c>
      <c r="AM884" s="1868">
        <v>15.24601</v>
      </c>
      <c r="AN884" s="1868">
        <v>19.26709</v>
      </c>
      <c r="AO884" s="1868">
        <v>15.103320000000002</v>
      </c>
      <c r="AP884" s="1868">
        <v>15.35384</v>
      </c>
      <c r="AQ884" s="1868">
        <v>18.02272</v>
      </c>
      <c r="AR884" s="1868">
        <v>15.64696</v>
      </c>
      <c r="AS884" s="1868">
        <v>17.094650000000001</v>
      </c>
      <c r="AT884" s="1868">
        <v>15.0916</v>
      </c>
      <c r="AU884" s="1868">
        <v>14.82649</v>
      </c>
      <c r="AV884" s="1868">
        <v>18.426649999999999</v>
      </c>
      <c r="AW884" s="1868">
        <v>14.997999999999999</v>
      </c>
      <c r="AX884" s="1868">
        <v>16.660020000000003</v>
      </c>
      <c r="AY884" s="1868">
        <v>17.306750000000001</v>
      </c>
      <c r="AZ884" s="1868">
        <v>17.057670000000002</v>
      </c>
      <c r="BA884" s="1868">
        <v>16.013860000000001</v>
      </c>
    </row>
    <row r="885" spans="1:53">
      <c r="A885" s="1865" t="str">
        <f t="shared" si="13"/>
        <v>Northern AmericaGroundnuts, with shell</v>
      </c>
      <c r="B885" s="1866" t="s">
        <v>1344</v>
      </c>
      <c r="C885" s="1866" t="s">
        <v>1379</v>
      </c>
      <c r="D885" s="1868">
        <v>1.3286200000000001</v>
      </c>
      <c r="E885" s="1868">
        <v>1.3756600000000001</v>
      </c>
      <c r="F885" s="1868">
        <v>1.5592900000000001</v>
      </c>
      <c r="G885" s="1868">
        <v>1.6837099999999998</v>
      </c>
      <c r="H885" s="1868">
        <v>1.8622099999999999</v>
      </c>
      <c r="I885" s="1868">
        <v>1.9059099999999998</v>
      </c>
      <c r="J885" s="1868">
        <v>1.9783900000000001</v>
      </c>
      <c r="K885" s="1868">
        <v>1.9844099999999998</v>
      </c>
      <c r="L885" s="1868">
        <v>1.9521999999999999</v>
      </c>
      <c r="M885" s="1868">
        <v>2.27583</v>
      </c>
      <c r="N885" s="1868">
        <v>2.3158099999999999</v>
      </c>
      <c r="O885" s="1868">
        <v>2.46943</v>
      </c>
      <c r="P885" s="1868">
        <v>2.6032599999999997</v>
      </c>
      <c r="Q885" s="1868">
        <v>2.7925200000000001</v>
      </c>
      <c r="R885" s="1868">
        <v>2.8744400000000003</v>
      </c>
      <c r="S885" s="1868">
        <v>2.7618499999999999</v>
      </c>
      <c r="T885" s="1868">
        <v>2.7534299999999998</v>
      </c>
      <c r="U885" s="1868">
        <v>2.9355700000000002</v>
      </c>
      <c r="V885" s="1868">
        <v>2.9269799999999999</v>
      </c>
      <c r="W885" s="1868">
        <v>1.84388</v>
      </c>
      <c r="X885" s="1868">
        <v>2.9979299999999998</v>
      </c>
      <c r="Y885" s="1868">
        <v>3.0188999999999999</v>
      </c>
      <c r="Z885" s="1868">
        <v>2.68946</v>
      </c>
      <c r="AA885" s="1868">
        <v>3.23183</v>
      </c>
      <c r="AB885" s="1868">
        <v>3.1481499999999998</v>
      </c>
      <c r="AC885" s="1868">
        <v>2.6991800000000001</v>
      </c>
      <c r="AD885" s="1868">
        <v>2.61897</v>
      </c>
      <c r="AE885" s="1868">
        <v>2.7400599999999997</v>
      </c>
      <c r="AF885" s="1868">
        <v>2.7193499999999999</v>
      </c>
      <c r="AG885" s="1868">
        <v>2.2233999999999998</v>
      </c>
      <c r="AH885" s="1868">
        <v>2.7399800000000001</v>
      </c>
      <c r="AI885" s="1868">
        <v>2.8763900000000002</v>
      </c>
      <c r="AJ885" s="1868">
        <v>2.2504900000000001</v>
      </c>
      <c r="AK885" s="1868">
        <v>2.9415100000000001</v>
      </c>
      <c r="AL885" s="1868">
        <v>2.5575799999999997</v>
      </c>
      <c r="AM885" s="1868">
        <v>2.9736599999999997</v>
      </c>
      <c r="AN885" s="1868">
        <v>2.8066400000000002</v>
      </c>
      <c r="AO885" s="1868">
        <v>3.0282299999999998</v>
      </c>
      <c r="AP885" s="1868">
        <v>2.9889999999999999</v>
      </c>
      <c r="AQ885" s="1868">
        <v>2.7395800000000001</v>
      </c>
      <c r="AR885" s="1868">
        <v>3.3950800000000001</v>
      </c>
      <c r="AS885" s="1868">
        <v>2.8701699999999999</v>
      </c>
      <c r="AT885" s="1868">
        <v>3.5403500000000001</v>
      </c>
      <c r="AU885" s="1868">
        <v>3.4478900000000001</v>
      </c>
      <c r="AV885" s="1868">
        <v>3.3507199999999999</v>
      </c>
      <c r="AW885" s="1868">
        <v>3.2210799999999997</v>
      </c>
      <c r="AX885" s="1868">
        <v>3.5085500000000001</v>
      </c>
      <c r="AY885" s="1868">
        <v>3.8395599999999996</v>
      </c>
      <c r="AZ885" s="1868">
        <v>3.8347900000000004</v>
      </c>
      <c r="BA885" s="1868">
        <v>3.7113400000000003</v>
      </c>
    </row>
    <row r="886" spans="1:53">
      <c r="A886" s="1865" t="str">
        <f t="shared" si="13"/>
        <v>Northern AmericaLeguminous vegetables, nes</v>
      </c>
      <c r="B886" s="1866" t="s">
        <v>1344</v>
      </c>
      <c r="C886" s="1866" t="s">
        <v>1380</v>
      </c>
      <c r="AU886" s="1868">
        <v>5.5504300000000004</v>
      </c>
      <c r="AV886" s="1868">
        <v>3.3018900000000002</v>
      </c>
      <c r="AW886" s="1868">
        <v>3.1440799999999998</v>
      </c>
      <c r="AX886" s="1868">
        <v>3.1333299999999999</v>
      </c>
      <c r="AY886" s="1868">
        <v>3.12296</v>
      </c>
      <c r="AZ886" s="1868">
        <v>3.13802</v>
      </c>
      <c r="BA886" s="1868">
        <v>3.05674</v>
      </c>
    </row>
    <row r="887" spans="1:53">
      <c r="A887" s="1865" t="str">
        <f t="shared" si="13"/>
        <v>Northern AmericaLinseed</v>
      </c>
      <c r="B887" s="1866" t="s">
        <v>1344</v>
      </c>
      <c r="C887" s="1866" t="s">
        <v>1381</v>
      </c>
      <c r="D887" s="1868">
        <v>0.50018999999999991</v>
      </c>
      <c r="E887" s="1868">
        <v>0.71251999999999993</v>
      </c>
      <c r="F887" s="1868">
        <v>0.67438999999999993</v>
      </c>
      <c r="G887" s="1868">
        <v>0.58435999999999999</v>
      </c>
      <c r="H887" s="1868">
        <v>0.7964</v>
      </c>
      <c r="I887" s="1868">
        <v>0.63428000000000007</v>
      </c>
      <c r="J887" s="1868">
        <v>0.61575000000000002</v>
      </c>
      <c r="K887" s="1868">
        <v>0.80966000000000005</v>
      </c>
      <c r="L887" s="1868">
        <v>0.79927000000000004</v>
      </c>
      <c r="M887" s="1868">
        <v>0.78985000000000005</v>
      </c>
      <c r="N887" s="1868">
        <v>0.76896999999999993</v>
      </c>
      <c r="O887" s="1868">
        <v>0.80047999999999997</v>
      </c>
      <c r="P887" s="1868">
        <v>0.71351999999999993</v>
      </c>
      <c r="Q887" s="1868">
        <v>0.56293000000000004</v>
      </c>
      <c r="R887" s="1868">
        <v>0.7127</v>
      </c>
      <c r="S887" s="1868">
        <v>0.66091999999999995</v>
      </c>
      <c r="T887" s="1868">
        <v>0.92371000000000003</v>
      </c>
      <c r="U887" s="1868">
        <v>0.98288999999999993</v>
      </c>
      <c r="V887" s="1868">
        <v>0.87129000000000001</v>
      </c>
      <c r="W887" s="1868">
        <v>0.77561999999999998</v>
      </c>
      <c r="X887" s="1868">
        <v>0.93297000000000008</v>
      </c>
      <c r="Y887" s="1868">
        <v>1.09074</v>
      </c>
      <c r="Z887" s="1868">
        <v>0.93252999999999997</v>
      </c>
      <c r="AA887" s="1868">
        <v>0.92942999999999998</v>
      </c>
      <c r="AB887" s="1868">
        <v>1.1344299999999998</v>
      </c>
      <c r="AC887" s="1868">
        <v>1.27864</v>
      </c>
      <c r="AD887" s="1868">
        <v>1.17889</v>
      </c>
      <c r="AE887" s="1868">
        <v>0.69833000000000001</v>
      </c>
      <c r="AF887" s="1868">
        <v>0.79764999999999997</v>
      </c>
      <c r="AG887" s="1868">
        <v>1.2378200000000001</v>
      </c>
      <c r="AH887" s="1868">
        <v>1.2433000000000001</v>
      </c>
      <c r="AI887" s="1868">
        <v>1.31542</v>
      </c>
      <c r="AJ887" s="1868">
        <v>1.2275799999999999</v>
      </c>
      <c r="AK887" s="1868">
        <v>1.3100700000000001</v>
      </c>
      <c r="AL887" s="1868">
        <v>1.2628299999999999</v>
      </c>
      <c r="AM887" s="1868">
        <v>1.4564600000000001</v>
      </c>
      <c r="AN887" s="1868">
        <v>1.2027000000000001</v>
      </c>
      <c r="AO887" s="1868">
        <v>1.26261</v>
      </c>
      <c r="AP887" s="1868">
        <v>1.3181200000000002</v>
      </c>
      <c r="AQ887" s="1868">
        <v>1.2072499999999999</v>
      </c>
      <c r="AR887" s="1868">
        <v>1.1232200000000001</v>
      </c>
      <c r="AS887" s="1868">
        <v>1.06846</v>
      </c>
      <c r="AT887" s="1868">
        <v>1.05708</v>
      </c>
      <c r="AU887" s="1868">
        <v>1.0765200000000001</v>
      </c>
      <c r="AV887" s="1868">
        <v>1.33223</v>
      </c>
      <c r="AW887" s="1868">
        <v>1.1579899999999999</v>
      </c>
      <c r="AX887" s="1868">
        <v>1.1774200000000001</v>
      </c>
      <c r="AY887" s="1868">
        <v>1.3192200000000001</v>
      </c>
      <c r="AZ887" s="1868">
        <v>1.4907999999999999</v>
      </c>
      <c r="BA887" s="1868">
        <v>1.5505100000000001</v>
      </c>
    </row>
    <row r="888" spans="1:53">
      <c r="A888" s="1865" t="str">
        <f t="shared" si="13"/>
        <v>Northern AmericaMaize</v>
      </c>
      <c r="B888" s="1866" t="s">
        <v>1344</v>
      </c>
      <c r="C888" s="1866" t="s">
        <v>1382</v>
      </c>
      <c r="D888" s="1868">
        <v>3.9229400000000001</v>
      </c>
      <c r="E888" s="1868">
        <v>4.0676399999999999</v>
      </c>
      <c r="F888" s="1868">
        <v>4.2581800000000003</v>
      </c>
      <c r="G888" s="1868">
        <v>3.96286</v>
      </c>
      <c r="H888" s="1868">
        <v>4.6539699999999993</v>
      </c>
      <c r="I888" s="1868">
        <v>4.5971500000000001</v>
      </c>
      <c r="J888" s="1868">
        <v>5.0305099999999996</v>
      </c>
      <c r="K888" s="1868">
        <v>4.99472</v>
      </c>
      <c r="L888" s="1868">
        <v>5.3787699999999994</v>
      </c>
      <c r="M888" s="1868">
        <v>4.5592800000000002</v>
      </c>
      <c r="N888" s="1868">
        <v>5.5191300000000005</v>
      </c>
      <c r="O888" s="1868">
        <v>6.0585000000000004</v>
      </c>
      <c r="P888" s="1868">
        <v>5.7186900000000005</v>
      </c>
      <c r="Q888" s="1868">
        <v>4.5101500000000003</v>
      </c>
      <c r="R888" s="1868">
        <v>5.4284999999999997</v>
      </c>
      <c r="S888" s="1868">
        <v>5.5154100000000001</v>
      </c>
      <c r="T888" s="1868">
        <v>5.7032999999999996</v>
      </c>
      <c r="U888" s="1868">
        <v>6.3112599999999999</v>
      </c>
      <c r="V888" s="1868">
        <v>6.8313899999999999</v>
      </c>
      <c r="W888" s="1868">
        <v>5.7090399999999999</v>
      </c>
      <c r="X888" s="1868">
        <v>6.8022199999999993</v>
      </c>
      <c r="Y888" s="1868">
        <v>7.0636600000000005</v>
      </c>
      <c r="Z888" s="1868">
        <v>5.1102999999999996</v>
      </c>
      <c r="AA888" s="1868">
        <v>6.6676199999999994</v>
      </c>
      <c r="AB888" s="1868">
        <v>7.3646199999999995</v>
      </c>
      <c r="AC888" s="1868">
        <v>7.43987</v>
      </c>
      <c r="AD888" s="1868">
        <v>7.5024699999999998</v>
      </c>
      <c r="AE888" s="1868">
        <v>5.3173000000000004</v>
      </c>
      <c r="AF888" s="1868">
        <v>7.2618600000000004</v>
      </c>
      <c r="AG888" s="1868">
        <v>7.4168699999999994</v>
      </c>
      <c r="AH888" s="1868">
        <v>6.8131100000000009</v>
      </c>
      <c r="AI888" s="1868">
        <v>8.1795000000000009</v>
      </c>
      <c r="AJ888" s="1868">
        <v>6.3250099999999998</v>
      </c>
      <c r="AK888" s="1868">
        <v>8.6579499999999996</v>
      </c>
      <c r="AL888" s="1868">
        <v>7.1277600000000003</v>
      </c>
      <c r="AM888" s="1868">
        <v>7.9396300000000002</v>
      </c>
      <c r="AN888" s="1868">
        <v>7.9150899999999993</v>
      </c>
      <c r="AO888" s="1868">
        <v>8.422369999999999</v>
      </c>
      <c r="AP888" s="1868">
        <v>8.3814799999999998</v>
      </c>
      <c r="AQ888" s="1868">
        <v>8.5071300000000001</v>
      </c>
      <c r="AR888" s="1868">
        <v>8.5837899999999987</v>
      </c>
      <c r="AS888" s="1868">
        <v>8.0695499999999996</v>
      </c>
      <c r="AT888" s="1868">
        <v>8.8793000000000006</v>
      </c>
      <c r="AU888" s="1868">
        <v>10.000349999999999</v>
      </c>
      <c r="AV888" s="1868">
        <v>9.2617200000000004</v>
      </c>
      <c r="AW888" s="1868">
        <v>9.3259699999999999</v>
      </c>
      <c r="AX888" s="1868">
        <v>9.4227600000000002</v>
      </c>
      <c r="AY888" s="1868">
        <v>9.6384399999999992</v>
      </c>
      <c r="AZ888" s="1868">
        <v>10.270250000000001</v>
      </c>
      <c r="BA888" s="1868">
        <v>9.5974199999999996</v>
      </c>
    </row>
    <row r="889" spans="1:53">
      <c r="A889" s="1865" t="str">
        <f t="shared" si="13"/>
        <v>Northern AmericaMaize, green</v>
      </c>
      <c r="B889" s="1866" t="s">
        <v>1344</v>
      </c>
      <c r="C889" s="1866" t="s">
        <v>1383</v>
      </c>
      <c r="D889" s="1868">
        <v>8.08066</v>
      </c>
      <c r="E889" s="1868">
        <v>8.3391800000000007</v>
      </c>
      <c r="F889" s="1868">
        <v>8.5533699999999993</v>
      </c>
      <c r="G889" s="1868">
        <v>8.2901299999999996</v>
      </c>
      <c r="H889" s="1868">
        <v>8.5900400000000001</v>
      </c>
      <c r="I889" s="1868">
        <v>8.7180600000000013</v>
      </c>
      <c r="J889" s="1868">
        <v>9.0663699999999992</v>
      </c>
      <c r="K889" s="1868">
        <v>9.6172699999999995</v>
      </c>
      <c r="L889" s="1868">
        <v>9.3722399999999997</v>
      </c>
      <c r="M889" s="1868">
        <v>9.1559399999999993</v>
      </c>
      <c r="N889" s="1868">
        <v>9.7671299999999999</v>
      </c>
      <c r="O889" s="1868">
        <v>9.8455100000000009</v>
      </c>
      <c r="P889" s="1868">
        <v>9.9857899999999997</v>
      </c>
      <c r="Q889" s="1868">
        <v>9.5033499999999993</v>
      </c>
      <c r="R889" s="1868">
        <v>10.01604</v>
      </c>
      <c r="S889" s="1868">
        <v>10.18587</v>
      </c>
      <c r="T889" s="1868">
        <v>10.86439</v>
      </c>
      <c r="U889" s="1868">
        <v>11.28248</v>
      </c>
      <c r="V889" s="1868">
        <v>11.6884</v>
      </c>
      <c r="W889" s="1868">
        <v>11.383010000000001</v>
      </c>
      <c r="X889" s="1868">
        <v>11.572649999999999</v>
      </c>
      <c r="Y889" s="1868">
        <v>11.985910000000001</v>
      </c>
      <c r="Z889" s="1868">
        <v>10.96603</v>
      </c>
      <c r="AA889" s="1868">
        <v>11.784289999999999</v>
      </c>
      <c r="AB889" s="1868">
        <v>11.95866</v>
      </c>
      <c r="AC889" s="1868">
        <v>11.983139999999999</v>
      </c>
      <c r="AD889" s="1868">
        <v>12.830410000000001</v>
      </c>
      <c r="AE889" s="1868">
        <v>10.88673</v>
      </c>
      <c r="AF889" s="1868">
        <v>12.657830000000001</v>
      </c>
      <c r="AG889" s="1868">
        <v>12.673410000000001</v>
      </c>
      <c r="AH889" s="1868">
        <v>12.435639999999999</v>
      </c>
      <c r="AI889" s="1868">
        <v>12.82254</v>
      </c>
      <c r="AJ889" s="1868">
        <v>11.720039999999999</v>
      </c>
      <c r="AK889" s="1868">
        <v>14.247160000000001</v>
      </c>
      <c r="AL889" s="1868">
        <v>13.587289999999999</v>
      </c>
      <c r="AM889" s="1868">
        <v>13.720470000000001</v>
      </c>
      <c r="AN889" s="1868">
        <v>14.046749999999999</v>
      </c>
      <c r="AO889" s="1868">
        <v>14.113239999999999</v>
      </c>
      <c r="AP889" s="1868">
        <v>14.17273</v>
      </c>
      <c r="AQ889" s="1868">
        <v>14.65024</v>
      </c>
      <c r="AR889" s="1868">
        <v>14.869429999999999</v>
      </c>
      <c r="AS889" s="1868">
        <v>15.22153</v>
      </c>
      <c r="AT889" s="1868">
        <v>16.1751</v>
      </c>
      <c r="AU889" s="1868">
        <v>15.72649</v>
      </c>
      <c r="AV889" s="1868">
        <v>16.427889999999998</v>
      </c>
      <c r="AW889" s="1868">
        <v>16.878399999999999</v>
      </c>
      <c r="AX889" s="1868">
        <v>16.64575</v>
      </c>
      <c r="AY889" s="1868">
        <v>15.673</v>
      </c>
      <c r="AZ889" s="1868">
        <v>16.627179999999999</v>
      </c>
      <c r="BA889" s="1868">
        <v>15.48826</v>
      </c>
    </row>
    <row r="890" spans="1:53">
      <c r="A890" s="1865" t="str">
        <f t="shared" si="13"/>
        <v>Northern AmericaMangoes, mangosteens, guavas</v>
      </c>
      <c r="B890" s="1866" t="s">
        <v>1344</v>
      </c>
      <c r="C890" s="1866" t="s">
        <v>1384</v>
      </c>
      <c r="M890" s="1868">
        <v>6.4736799999999999</v>
      </c>
      <c r="N890" s="1868">
        <v>7.8771899999999997</v>
      </c>
      <c r="O890" s="1868">
        <v>7.6578999999999997</v>
      </c>
      <c r="P890" s="1868">
        <v>10.942110000000001</v>
      </c>
      <c r="Q890" s="1868">
        <v>10.20546</v>
      </c>
      <c r="R890" s="1868">
        <v>12.10149</v>
      </c>
      <c r="S890" s="1868">
        <v>14.462320000000002</v>
      </c>
      <c r="T890" s="1868">
        <v>6.5164200000000001</v>
      </c>
      <c r="U890" s="1868">
        <v>8.3776100000000007</v>
      </c>
      <c r="V890" s="1868">
        <v>10.993219999999999</v>
      </c>
      <c r="W890" s="1868">
        <v>10.57119</v>
      </c>
      <c r="X890" s="1868">
        <v>10.147460000000001</v>
      </c>
      <c r="Y890" s="1868">
        <v>9.2016399999999994</v>
      </c>
      <c r="Z890" s="1868">
        <v>14.86885</v>
      </c>
      <c r="AA890" s="1868">
        <v>15.78261</v>
      </c>
      <c r="AB890" s="1868">
        <v>14.917810000000001</v>
      </c>
      <c r="AC890" s="1868">
        <v>11.74</v>
      </c>
      <c r="AD890" s="1868">
        <v>15.29214</v>
      </c>
      <c r="AE890" s="1868">
        <v>9.3505199999999995</v>
      </c>
      <c r="AF890" s="1868">
        <v>9.8802000000000003</v>
      </c>
      <c r="AG890" s="1868">
        <v>8.6435600000000008</v>
      </c>
      <c r="AH890" s="1868">
        <v>12.346539999999999</v>
      </c>
      <c r="AI890" s="1868">
        <v>9.8811900000000001</v>
      </c>
      <c r="AJ890" s="1868">
        <v>1.40649</v>
      </c>
      <c r="AK890" s="1868">
        <v>4.1885599999999998</v>
      </c>
      <c r="AL890" s="1868">
        <v>5.9802300000000006</v>
      </c>
      <c r="AM890" s="1868">
        <v>4.4810499999999998</v>
      </c>
      <c r="AN890" s="1868">
        <v>4.79718</v>
      </c>
      <c r="AO890" s="1868">
        <v>4.6737199999999994</v>
      </c>
      <c r="AP890" s="1868">
        <v>4.1710799999999999</v>
      </c>
      <c r="AQ890" s="1868">
        <v>4.3478300000000001</v>
      </c>
      <c r="AR890" s="1868">
        <v>3.9927300000000003</v>
      </c>
      <c r="AS890" s="1868">
        <v>4.3726199999999995</v>
      </c>
      <c r="AT890" s="1868">
        <v>4.3333300000000001</v>
      </c>
      <c r="AU890" s="1868">
        <v>4.30769</v>
      </c>
      <c r="AV890" s="1868">
        <v>4.4531300000000007</v>
      </c>
      <c r="AW890" s="1868">
        <v>4.6666699999999999</v>
      </c>
      <c r="AX890" s="1868">
        <v>3.2592599999999998</v>
      </c>
      <c r="AY890" s="1868">
        <v>2.8346499999999999</v>
      </c>
      <c r="AZ890" s="1868">
        <v>1.8333299999999999</v>
      </c>
      <c r="BA890" s="1868">
        <v>1.6666700000000001</v>
      </c>
    </row>
    <row r="891" spans="1:53">
      <c r="A891" s="1865" t="str">
        <f t="shared" si="13"/>
        <v>Northern AmericaMillet</v>
      </c>
      <c r="B891" s="1866" t="s">
        <v>1344</v>
      </c>
      <c r="C891" s="1866" t="s">
        <v>1385</v>
      </c>
      <c r="D891" s="1868">
        <v>1.1546399999999999</v>
      </c>
      <c r="E891" s="1868">
        <v>1.1717200000000001</v>
      </c>
      <c r="F891" s="1868">
        <v>1.25</v>
      </c>
      <c r="G891" s="1868">
        <v>1.2526299999999999</v>
      </c>
      <c r="H891" s="1868">
        <v>1.2727299999999999</v>
      </c>
      <c r="I891" s="1868">
        <v>1.27451</v>
      </c>
      <c r="J891" s="1868">
        <v>1.2963</v>
      </c>
      <c r="K891" s="1868">
        <v>1.32534</v>
      </c>
      <c r="L891" s="1868">
        <v>1.3247899999999999</v>
      </c>
      <c r="M891" s="1868">
        <v>1.3274299999999999</v>
      </c>
      <c r="N891" s="1868">
        <v>1.3198000000000001</v>
      </c>
      <c r="O891" s="1868">
        <v>1.3198000000000001</v>
      </c>
      <c r="P891" s="1868">
        <v>1.25</v>
      </c>
      <c r="Q891" s="1868">
        <v>1.2195100000000001</v>
      </c>
      <c r="R891" s="1868">
        <v>1.2101899999999999</v>
      </c>
      <c r="S891" s="1868">
        <v>1.2142899999999999</v>
      </c>
      <c r="T891" s="1868">
        <v>1.2222200000000001</v>
      </c>
      <c r="U891" s="1868">
        <v>1.2176400000000001</v>
      </c>
      <c r="V891" s="1868">
        <v>1.19737</v>
      </c>
      <c r="W891" s="1868">
        <v>1.3714299999999999</v>
      </c>
      <c r="X891" s="1868">
        <v>1.3605399999999999</v>
      </c>
      <c r="Y891" s="1868">
        <v>1.3528200000000001</v>
      </c>
      <c r="Z891" s="1868">
        <v>1.3541700000000001</v>
      </c>
      <c r="AA891" s="1868">
        <v>1.3852799999999998</v>
      </c>
      <c r="AB891" s="1868">
        <v>1.3861399999999999</v>
      </c>
      <c r="AC891" s="1868">
        <v>1.4206799999999999</v>
      </c>
      <c r="AD891" s="1868">
        <v>1.5084299999999999</v>
      </c>
      <c r="AE891" s="1868">
        <v>1.4953299999999998</v>
      </c>
      <c r="AF891" s="1868">
        <v>1.5044299999999999</v>
      </c>
      <c r="AG891" s="1868">
        <v>1.5</v>
      </c>
      <c r="AH891" s="1868">
        <v>1.4228399999999999</v>
      </c>
      <c r="AI891" s="1868">
        <v>1.6911599999999998</v>
      </c>
      <c r="AJ891" s="1868">
        <v>1.3568499999999999</v>
      </c>
      <c r="AK891" s="1868">
        <v>1.7552099999999999</v>
      </c>
      <c r="AL891" s="1868">
        <v>1.5007900000000001</v>
      </c>
      <c r="AM891" s="1868">
        <v>1.6724000000000001</v>
      </c>
      <c r="AN891" s="1868">
        <v>1.7051900000000002</v>
      </c>
      <c r="AO891" s="1868">
        <v>1.50376</v>
      </c>
      <c r="AP891" s="1868">
        <v>1.8587400000000001</v>
      </c>
      <c r="AQ891" s="1868">
        <v>1.0993600000000001</v>
      </c>
      <c r="AR891" s="1868">
        <v>1.8432599999999999</v>
      </c>
      <c r="AS891" s="1868">
        <v>0.74118000000000006</v>
      </c>
      <c r="AT891" s="1868">
        <v>1.02623</v>
      </c>
      <c r="AU891" s="1868">
        <v>1.40696</v>
      </c>
      <c r="AV891" s="1868">
        <v>1.4750000000000001</v>
      </c>
      <c r="AW891" s="1868">
        <v>1.1926700000000001</v>
      </c>
      <c r="AX891" s="1868">
        <v>1.8059700000000001</v>
      </c>
      <c r="AY891" s="1868">
        <v>1.79752</v>
      </c>
      <c r="AZ891" s="1868">
        <v>1.8769099999999999</v>
      </c>
      <c r="BA891" s="1868">
        <v>1.7808700000000002</v>
      </c>
    </row>
    <row r="892" spans="1:53">
      <c r="A892" s="1865" t="str">
        <f t="shared" si="13"/>
        <v>Northern AmericaOats</v>
      </c>
      <c r="B892" s="1866" t="s">
        <v>1344</v>
      </c>
      <c r="C892" s="1866" t="s">
        <v>1349</v>
      </c>
      <c r="D892" s="1868">
        <v>1.45116</v>
      </c>
      <c r="E892" s="1868">
        <v>1.6717900000000001</v>
      </c>
      <c r="F892" s="1868">
        <v>1.68449</v>
      </c>
      <c r="G892" s="1868">
        <v>1.5786100000000001</v>
      </c>
      <c r="H892" s="1868">
        <v>1.80722</v>
      </c>
      <c r="I892" s="1868">
        <v>1.6701099999999998</v>
      </c>
      <c r="J892" s="1868">
        <v>1.7017599999999999</v>
      </c>
      <c r="K892" s="1868">
        <v>1.89716</v>
      </c>
      <c r="L892" s="1868">
        <v>1.9061999999999999</v>
      </c>
      <c r="M892" s="1868">
        <v>1.8167200000000001</v>
      </c>
      <c r="N892" s="1868">
        <v>2.0122</v>
      </c>
      <c r="O892" s="1868">
        <v>1.85565</v>
      </c>
      <c r="P892" s="1868">
        <v>1.7636700000000001</v>
      </c>
      <c r="Q892" s="1868">
        <v>1.67642</v>
      </c>
      <c r="R892" s="1868">
        <v>1.7884799999999998</v>
      </c>
      <c r="S892" s="1868">
        <v>1.7609299999999999</v>
      </c>
      <c r="T892" s="1868">
        <v>2.0072700000000001</v>
      </c>
      <c r="U892" s="1868">
        <v>1.9049900000000002</v>
      </c>
      <c r="V892" s="1868">
        <v>1.9453099999999999</v>
      </c>
      <c r="W892" s="1868">
        <v>1.9316599999999999</v>
      </c>
      <c r="X892" s="1868">
        <v>1.97193</v>
      </c>
      <c r="Y892" s="1868">
        <v>2.1232799999999998</v>
      </c>
      <c r="Z892" s="1868">
        <v>1.91208</v>
      </c>
      <c r="AA892" s="1868">
        <v>2.0369200000000003</v>
      </c>
      <c r="AB892" s="1868">
        <v>2.2502299999999997</v>
      </c>
      <c r="AC892" s="1868">
        <v>2.1798299999999999</v>
      </c>
      <c r="AD892" s="1868">
        <v>2.0787400000000003</v>
      </c>
      <c r="AE892" s="1868">
        <v>1.7041900000000001</v>
      </c>
      <c r="AF892" s="1868">
        <v>1.9899200000000001</v>
      </c>
      <c r="AG892" s="1868">
        <v>2.2137599999999997</v>
      </c>
      <c r="AH892" s="1868">
        <v>1.9108900000000002</v>
      </c>
      <c r="AI892" s="1868">
        <v>2.3184299999999998</v>
      </c>
      <c r="AJ892" s="1868">
        <v>2.27752</v>
      </c>
      <c r="AK892" s="1868">
        <v>2.2349900000000003</v>
      </c>
      <c r="AL892" s="1868">
        <v>2.1657500000000001</v>
      </c>
      <c r="AM892" s="1868">
        <v>2.3875999999999999</v>
      </c>
      <c r="AN892" s="1868">
        <v>2.2426300000000001</v>
      </c>
      <c r="AO892" s="1868">
        <v>2.3523000000000001</v>
      </c>
      <c r="AP892" s="1868">
        <v>2.41031</v>
      </c>
      <c r="AQ892" s="1868">
        <v>2.47926</v>
      </c>
      <c r="AR892" s="1868">
        <v>2.1859900000000003</v>
      </c>
      <c r="AS892" s="1868">
        <v>2.0773000000000001</v>
      </c>
      <c r="AT892" s="1868">
        <v>2.3657300000000001</v>
      </c>
      <c r="AU892" s="1868">
        <v>2.6291500000000001</v>
      </c>
      <c r="AV892" s="1868">
        <v>2.4637899999999999</v>
      </c>
      <c r="AW892" s="1868">
        <v>2.4010599999999998</v>
      </c>
      <c r="AX892" s="1868">
        <v>2.4785499999999998</v>
      </c>
      <c r="AY892" s="1868">
        <v>2.7625299999999999</v>
      </c>
      <c r="AZ892" s="1868">
        <v>2.6970099999999997</v>
      </c>
      <c r="BA892" s="1868">
        <v>2.5700699999999999</v>
      </c>
    </row>
    <row r="893" spans="1:53">
      <c r="A893" s="1865" t="str">
        <f t="shared" si="13"/>
        <v>Northern AmericaOlives</v>
      </c>
      <c r="B893" s="1866" t="s">
        <v>1344</v>
      </c>
      <c r="C893" s="1866" t="s">
        <v>1387</v>
      </c>
      <c r="D893" s="1868">
        <v>3.4982500000000001</v>
      </c>
      <c r="E893" s="1868">
        <v>4.11991</v>
      </c>
      <c r="F893" s="1868">
        <v>4.5003500000000001</v>
      </c>
      <c r="G893" s="1868">
        <v>4.2340499999999999</v>
      </c>
      <c r="H893" s="1868">
        <v>4.0462999999999996</v>
      </c>
      <c r="I893" s="1868">
        <v>5.3095499999999998</v>
      </c>
      <c r="J893" s="1868">
        <v>1.1623700000000001</v>
      </c>
      <c r="K893" s="1868">
        <v>7.1404899999999998</v>
      </c>
      <c r="L893" s="1868">
        <v>5.7476500000000001</v>
      </c>
      <c r="M893" s="1868">
        <v>4.2231899999999998</v>
      </c>
      <c r="N893" s="1868">
        <v>4.4509400000000001</v>
      </c>
      <c r="O893" s="1868">
        <v>1.9173799999999999</v>
      </c>
      <c r="P893" s="1868">
        <v>5.4885900000000003</v>
      </c>
      <c r="Q893" s="1868">
        <v>4.6027800000000001</v>
      </c>
      <c r="R893" s="1868">
        <v>5.1596800000000007</v>
      </c>
      <c r="S893" s="1868">
        <v>5.82456</v>
      </c>
      <c r="T893" s="1868">
        <v>2.9132899999999999</v>
      </c>
      <c r="U893" s="1868">
        <v>7.5950199999999999</v>
      </c>
      <c r="V893" s="1868">
        <v>3.7675800000000002</v>
      </c>
      <c r="W893" s="1868">
        <v>6.7311100000000001</v>
      </c>
      <c r="X893" s="1868">
        <v>2.9344399999999999</v>
      </c>
      <c r="Y893" s="1868">
        <v>9.3855899999999988</v>
      </c>
      <c r="Z893" s="1868">
        <v>3.8971800000000001</v>
      </c>
      <c r="AA893" s="1868">
        <v>6.0087699999999993</v>
      </c>
      <c r="AB893" s="1868">
        <v>6.5431999999999997</v>
      </c>
      <c r="AC893" s="1868">
        <v>7.7391699999999997</v>
      </c>
      <c r="AD893" s="1868">
        <v>4.7914699999999995</v>
      </c>
      <c r="AE893" s="1868">
        <v>6.2258800000000001</v>
      </c>
      <c r="AF893" s="1868">
        <v>9.2523199999999992</v>
      </c>
      <c r="AG893" s="1868">
        <v>9.6991899999999998</v>
      </c>
      <c r="AH893" s="1868">
        <v>4.9059900000000001</v>
      </c>
      <c r="AI893" s="1868">
        <v>12.29064</v>
      </c>
      <c r="AJ893" s="1868">
        <v>9.0870300000000004</v>
      </c>
      <c r="AK893" s="1868">
        <v>5.8841700000000001</v>
      </c>
      <c r="AL893" s="1868">
        <v>5.1546900000000004</v>
      </c>
      <c r="AM893" s="1868">
        <v>11.04106</v>
      </c>
      <c r="AN893" s="1868">
        <v>6.5827800000000005</v>
      </c>
      <c r="AO893" s="1868">
        <v>5.7157900000000001</v>
      </c>
      <c r="AP893" s="1868">
        <v>7.9383999999999997</v>
      </c>
      <c r="AQ893" s="1868">
        <v>4.9807800000000002</v>
      </c>
      <c r="AR893" s="1868">
        <v>8.3431699999999989</v>
      </c>
      <c r="AS893" s="1868">
        <v>6.4136199999999999</v>
      </c>
      <c r="AT893" s="1868">
        <v>7.3472899999999992</v>
      </c>
      <c r="AU893" s="1868">
        <v>7.5248499999999998</v>
      </c>
      <c r="AV893" s="1868">
        <v>9.9474900000000002</v>
      </c>
      <c r="AW893" s="1868">
        <v>1.6994799999999999</v>
      </c>
      <c r="AX893" s="1868">
        <v>9.9003399999999999</v>
      </c>
      <c r="AY893" s="1868">
        <v>4.9913499999999997</v>
      </c>
      <c r="AZ893" s="1868">
        <v>3.3481900000000002</v>
      </c>
      <c r="BA893" s="1868">
        <v>12.907739999999999</v>
      </c>
    </row>
    <row r="894" spans="1:53">
      <c r="A894" s="1865" t="str">
        <f t="shared" si="13"/>
        <v>Northern AmericaOnions, dry</v>
      </c>
      <c r="B894" s="1866" t="s">
        <v>1344</v>
      </c>
      <c r="C894" s="1866" t="s">
        <v>1388</v>
      </c>
      <c r="D894" s="1868">
        <v>28.027659999999997</v>
      </c>
      <c r="E894" s="1868">
        <v>29.652750000000001</v>
      </c>
      <c r="F894" s="1868">
        <v>29.812840000000001</v>
      </c>
      <c r="G894" s="1868">
        <v>27.870890000000003</v>
      </c>
      <c r="H894" s="1868">
        <v>31.94143</v>
      </c>
      <c r="I894" s="1868">
        <v>28.83653</v>
      </c>
      <c r="J894" s="1868">
        <v>30.63532</v>
      </c>
      <c r="K894" s="1868">
        <v>30.25225</v>
      </c>
      <c r="L894" s="1868">
        <v>30.852009999999996</v>
      </c>
      <c r="M894" s="1868">
        <v>33.6038</v>
      </c>
      <c r="N894" s="1868">
        <v>33.62238</v>
      </c>
      <c r="O894" s="1868">
        <v>33.02149</v>
      </c>
      <c r="P894" s="1868">
        <v>31.564359999999997</v>
      </c>
      <c r="Q894" s="1868">
        <v>33.524009999999997</v>
      </c>
      <c r="R894" s="1868">
        <v>34.261159999999997</v>
      </c>
      <c r="S894" s="1868">
        <v>35.567040000000006</v>
      </c>
      <c r="T894" s="1868">
        <v>35.22495</v>
      </c>
      <c r="U894" s="1868">
        <v>33.551970000000004</v>
      </c>
      <c r="V894" s="1868">
        <v>34.736040000000003</v>
      </c>
      <c r="W894" s="1868">
        <v>32.895820000000001</v>
      </c>
      <c r="X894" s="1868">
        <v>35.087009999999999</v>
      </c>
      <c r="Y894" s="1868">
        <v>36.989199999999997</v>
      </c>
      <c r="Z894" s="1868">
        <v>35.12538</v>
      </c>
      <c r="AA894" s="1868">
        <v>37.73404</v>
      </c>
      <c r="AB894" s="1868">
        <v>40.968730000000001</v>
      </c>
      <c r="AC894" s="1868">
        <v>41.57253</v>
      </c>
      <c r="AD894" s="1868">
        <v>40.530590000000004</v>
      </c>
      <c r="AE894" s="1868">
        <v>39.902090000000001</v>
      </c>
      <c r="AF894" s="1868">
        <v>40.020600000000002</v>
      </c>
      <c r="AG894" s="1868">
        <v>41.983670000000004</v>
      </c>
      <c r="AH894" s="1868">
        <v>41.556020000000004</v>
      </c>
      <c r="AI894" s="1868">
        <v>42.337479999999999</v>
      </c>
      <c r="AJ894" s="1868">
        <v>42.261580000000002</v>
      </c>
      <c r="AK894" s="1868">
        <v>43.416550000000001</v>
      </c>
      <c r="AL894" s="1868">
        <v>43.317840000000004</v>
      </c>
      <c r="AM894" s="1868">
        <v>42.887509999999999</v>
      </c>
      <c r="AN894" s="1868">
        <v>45.869959999999999</v>
      </c>
      <c r="AO894" s="1868">
        <v>43.55744</v>
      </c>
      <c r="AP894" s="1868">
        <v>46.918009999999995</v>
      </c>
      <c r="AQ894" s="1868">
        <v>47.719720000000002</v>
      </c>
      <c r="AR894" s="1868">
        <v>45.818129999999996</v>
      </c>
      <c r="AS894" s="1868">
        <v>46.809290000000004</v>
      </c>
      <c r="AT894" s="1868">
        <v>48.003990000000002</v>
      </c>
      <c r="AU894" s="1868">
        <v>53.432790000000004</v>
      </c>
      <c r="AV894" s="1868">
        <v>48.381679999999996</v>
      </c>
      <c r="AW894" s="1868">
        <v>48.424840000000003</v>
      </c>
      <c r="AX894" s="1868">
        <v>54.147109999999998</v>
      </c>
      <c r="AY894" s="1868">
        <v>53.394659999999995</v>
      </c>
      <c r="AZ894" s="1868">
        <v>54.5032</v>
      </c>
      <c r="BA894" s="1868">
        <v>53.462169999999993</v>
      </c>
    </row>
    <row r="895" spans="1:53">
      <c r="A895" s="1865" t="str">
        <f t="shared" si="13"/>
        <v>Northern AmericaOranges</v>
      </c>
      <c r="B895" s="1866" t="s">
        <v>1344</v>
      </c>
      <c r="C895" s="1866" t="s">
        <v>1389</v>
      </c>
      <c r="D895" s="1868">
        <v>20.308610000000002</v>
      </c>
      <c r="E895" s="1868">
        <v>23.184839999999998</v>
      </c>
      <c r="F895" s="1868">
        <v>18.568110000000001</v>
      </c>
      <c r="G895" s="1868">
        <v>15.861599999999999</v>
      </c>
      <c r="H895" s="1868">
        <v>19.404070000000001</v>
      </c>
      <c r="I895" s="1868">
        <v>20.984749999999998</v>
      </c>
      <c r="J895" s="1868">
        <v>25.201789999999999</v>
      </c>
      <c r="K895" s="1868">
        <v>16.304839999999999</v>
      </c>
      <c r="L895" s="1868">
        <v>22.13233</v>
      </c>
      <c r="M895" s="1868">
        <v>21.142250000000001</v>
      </c>
      <c r="N895" s="1868">
        <v>20.853560000000002</v>
      </c>
      <c r="O895" s="1868">
        <v>21.365110000000001</v>
      </c>
      <c r="P895" s="1868">
        <v>25.229520000000001</v>
      </c>
      <c r="Q895" s="1868">
        <v>24.3245</v>
      </c>
      <c r="R895" s="1868">
        <v>26.643520000000002</v>
      </c>
      <c r="S895" s="1868">
        <v>27.738440000000001</v>
      </c>
      <c r="T895" s="1868">
        <v>28.280140000000003</v>
      </c>
      <c r="U895" s="1868">
        <v>26.328320000000001</v>
      </c>
      <c r="V895" s="1868">
        <v>25.629370000000002</v>
      </c>
      <c r="W895" s="1868">
        <v>32.9084</v>
      </c>
      <c r="X895" s="1868">
        <v>29.585859999999997</v>
      </c>
      <c r="Y895" s="1868">
        <v>21.92529</v>
      </c>
      <c r="Z895" s="1868">
        <v>28.420120000000001</v>
      </c>
      <c r="AA895" s="1868">
        <v>23.57348</v>
      </c>
      <c r="AB895" s="1868">
        <v>24.38683</v>
      </c>
      <c r="AC895" s="1868">
        <v>29.846409999999999</v>
      </c>
      <c r="AD895" s="1868">
        <v>30.294620000000002</v>
      </c>
      <c r="AE895" s="1868">
        <v>33.3643</v>
      </c>
      <c r="AF895" s="1868">
        <v>34.075600000000001</v>
      </c>
      <c r="AG895" s="1868">
        <v>29.042899999999999</v>
      </c>
      <c r="AH895" s="1868">
        <v>28.715809999999998</v>
      </c>
      <c r="AI895" s="1868">
        <v>31.204629999999998</v>
      </c>
      <c r="AJ895" s="1868">
        <v>35.806100000000001</v>
      </c>
      <c r="AK895" s="1868">
        <v>32.523429999999998</v>
      </c>
      <c r="AL895" s="1868">
        <v>33.229729999999996</v>
      </c>
      <c r="AM895" s="1868">
        <v>31.690609999999996</v>
      </c>
      <c r="AN895" s="1868">
        <v>33.725840000000005</v>
      </c>
      <c r="AO895" s="1868">
        <v>37.009070000000001</v>
      </c>
      <c r="AP895" s="1868">
        <v>26.532240000000002</v>
      </c>
      <c r="AQ895" s="1868">
        <v>35.841259999999998</v>
      </c>
      <c r="AR895" s="1868">
        <v>33.62265</v>
      </c>
      <c r="AS895" s="1868">
        <v>34.874040000000001</v>
      </c>
      <c r="AT895" s="1868">
        <v>32.689749999999997</v>
      </c>
      <c r="AU895" s="1868">
        <v>37.813009999999998</v>
      </c>
      <c r="AV895" s="1868">
        <v>28.118440000000003</v>
      </c>
      <c r="AW895" s="1868">
        <v>35.936109999999999</v>
      </c>
      <c r="AX895" s="1868">
        <v>25.236650000000001</v>
      </c>
      <c r="AY895" s="1868">
        <v>34.063320000000004</v>
      </c>
      <c r="AZ895" s="1868">
        <v>31.178109999999997</v>
      </c>
      <c r="BA895" s="1868">
        <v>28.750140000000002</v>
      </c>
    </row>
    <row r="896" spans="1:53">
      <c r="A896" s="1865" t="str">
        <f t="shared" si="13"/>
        <v>Northern AmericaPeaches and nectarines</v>
      </c>
      <c r="B896" s="1866" t="s">
        <v>1344</v>
      </c>
      <c r="C896" s="1866" t="s">
        <v>1390</v>
      </c>
      <c r="D896" s="1868">
        <v>12.217599999999999</v>
      </c>
      <c r="E896" s="1868">
        <v>12.12018</v>
      </c>
      <c r="F896" s="1868">
        <v>12.53678</v>
      </c>
      <c r="G896" s="1868">
        <v>12.80152</v>
      </c>
      <c r="H896" s="1868">
        <v>13.3362</v>
      </c>
      <c r="I896" s="1868">
        <v>13.34521</v>
      </c>
      <c r="J896" s="1868">
        <v>11.02101</v>
      </c>
      <c r="K896" s="1868">
        <v>14.47015</v>
      </c>
      <c r="L896" s="1868">
        <v>15.41465</v>
      </c>
      <c r="M896" s="1868">
        <v>13.437779999999998</v>
      </c>
      <c r="N896" s="1868">
        <v>13.69781</v>
      </c>
      <c r="O896" s="1868">
        <v>12.17972</v>
      </c>
      <c r="P896" s="1868">
        <v>13.190539999999999</v>
      </c>
      <c r="Q896" s="1868">
        <v>14.93723</v>
      </c>
      <c r="R896" s="1868">
        <v>14.552979999999998</v>
      </c>
      <c r="S896" s="1868">
        <v>15.67094</v>
      </c>
      <c r="T896" s="1868">
        <v>16.342559999999999</v>
      </c>
      <c r="U896" s="1868">
        <v>15.199910000000001</v>
      </c>
      <c r="V896" s="1868">
        <v>17.229949999999999</v>
      </c>
      <c r="W896" s="1868">
        <v>17.737500000000001</v>
      </c>
      <c r="X896" s="1868">
        <v>16.43882</v>
      </c>
      <c r="Y896" s="1868">
        <v>13.69408</v>
      </c>
      <c r="Z896" s="1868">
        <v>11.506030000000001</v>
      </c>
      <c r="AA896" s="1868">
        <v>15.192449999999999</v>
      </c>
      <c r="AB896" s="1868">
        <v>13.058149999999999</v>
      </c>
      <c r="AC896" s="1868">
        <v>13.664010000000001</v>
      </c>
      <c r="AD896" s="1868">
        <v>14.179570000000002</v>
      </c>
      <c r="AE896" s="1868">
        <v>15.752239999999999</v>
      </c>
      <c r="AF896" s="1868">
        <v>14.6907</v>
      </c>
      <c r="AG896" s="1868">
        <v>14.293370000000001</v>
      </c>
      <c r="AH896" s="1868">
        <v>16.715789999999998</v>
      </c>
      <c r="AI896" s="1868">
        <v>16.78558</v>
      </c>
      <c r="AJ896" s="1868">
        <v>16.656300000000002</v>
      </c>
      <c r="AK896" s="1868">
        <v>16.536660000000001</v>
      </c>
      <c r="AL896" s="1868">
        <v>14.799189999999999</v>
      </c>
      <c r="AM896" s="1868">
        <v>14.525310000000001</v>
      </c>
      <c r="AN896" s="1868">
        <v>17.87781</v>
      </c>
      <c r="AO896" s="1868">
        <v>16.159670000000002</v>
      </c>
      <c r="AP896" s="1868">
        <v>17.66769</v>
      </c>
      <c r="AQ896" s="1868">
        <v>18.100189999999998</v>
      </c>
      <c r="AR896" s="1868">
        <v>17.863499999999998</v>
      </c>
      <c r="AS896" s="1868">
        <v>18.902179999999998</v>
      </c>
      <c r="AT896" s="1868">
        <v>17.8978</v>
      </c>
      <c r="AU896" s="1868">
        <v>19.067610000000002</v>
      </c>
      <c r="AV896" s="1868">
        <v>17.813790000000001</v>
      </c>
      <c r="AW896" s="1868">
        <v>16.15653</v>
      </c>
      <c r="AX896" s="1868">
        <v>19.656270000000003</v>
      </c>
      <c r="AY896" s="1868">
        <v>20.071479999999998</v>
      </c>
      <c r="AZ896" s="1868">
        <v>19.422799999999999</v>
      </c>
      <c r="BA896" s="1868">
        <v>17.291</v>
      </c>
    </row>
    <row r="897" spans="1:53">
      <c r="A897" s="1865" t="str">
        <f t="shared" si="13"/>
        <v>Northern AmericaPeas, dry</v>
      </c>
      <c r="B897" s="1866" t="s">
        <v>1344</v>
      </c>
      <c r="C897" s="1866" t="s">
        <v>1391</v>
      </c>
      <c r="D897" s="1868">
        <v>1.1721200000000001</v>
      </c>
      <c r="E897" s="1868">
        <v>1.6086100000000001</v>
      </c>
      <c r="F897" s="1868">
        <v>1.6586799999999999</v>
      </c>
      <c r="G897" s="1868">
        <v>1.87758</v>
      </c>
      <c r="H897" s="1868">
        <v>1.9058200000000001</v>
      </c>
      <c r="I897" s="1868">
        <v>1.5659700000000001</v>
      </c>
      <c r="J897" s="1868">
        <v>1.6211899999999999</v>
      </c>
      <c r="K897" s="1868">
        <v>1.62958</v>
      </c>
      <c r="L897" s="1868">
        <v>1.68652</v>
      </c>
      <c r="M897" s="1868">
        <v>1.3793600000000001</v>
      </c>
      <c r="N897" s="1868">
        <v>2.0052099999999999</v>
      </c>
      <c r="O897" s="1868">
        <v>1.7484500000000001</v>
      </c>
      <c r="P897" s="1868">
        <v>1.42719</v>
      </c>
      <c r="Q897" s="1868">
        <v>1.6388900000000002</v>
      </c>
      <c r="R897" s="1868">
        <v>1.6097700000000001</v>
      </c>
      <c r="S897" s="1868">
        <v>1.8786</v>
      </c>
      <c r="T897" s="1868">
        <v>0.91387999999999991</v>
      </c>
      <c r="U897" s="1868">
        <v>1.93</v>
      </c>
      <c r="V897" s="1868">
        <v>1.9218999999999999</v>
      </c>
      <c r="W897" s="1868">
        <v>2.1993299999999998</v>
      </c>
      <c r="X897" s="1868">
        <v>2.0855399999999999</v>
      </c>
      <c r="Y897" s="1868">
        <v>1.82613</v>
      </c>
      <c r="Z897" s="1868">
        <v>1.9491099999999999</v>
      </c>
      <c r="AA897" s="1868">
        <v>1.6637999999999999</v>
      </c>
      <c r="AB897" s="1868">
        <v>2.00657</v>
      </c>
      <c r="AC897" s="1868">
        <v>2.0475500000000002</v>
      </c>
      <c r="AD897" s="1868">
        <v>1.9765200000000001</v>
      </c>
      <c r="AE897" s="1868">
        <v>1.5931200000000001</v>
      </c>
      <c r="AF897" s="1868">
        <v>2.1151</v>
      </c>
      <c r="AG897" s="1868">
        <v>2.1777599999999997</v>
      </c>
      <c r="AH897" s="1868">
        <v>2.2865599999999997</v>
      </c>
      <c r="AI897" s="1868">
        <v>1.9941599999999999</v>
      </c>
      <c r="AJ897" s="1868">
        <v>2.19693</v>
      </c>
      <c r="AK897" s="1868">
        <v>2.1419299999999999</v>
      </c>
      <c r="AL897" s="1868">
        <v>1.9751599999999998</v>
      </c>
      <c r="AM897" s="1868">
        <v>2.1847599999999998</v>
      </c>
      <c r="AN897" s="1868">
        <v>2.14194</v>
      </c>
      <c r="AO897" s="1868">
        <v>2.1890400000000003</v>
      </c>
      <c r="AP897" s="1868">
        <v>2.6619900000000003</v>
      </c>
      <c r="AQ897" s="1868">
        <v>2.3405</v>
      </c>
      <c r="AR897" s="1868">
        <v>1.6258999999999999</v>
      </c>
      <c r="AS897" s="1868">
        <v>1.36856</v>
      </c>
      <c r="AT897" s="1868">
        <v>1.6900299999999999</v>
      </c>
      <c r="AU897" s="1868">
        <v>2.49424</v>
      </c>
      <c r="AV897" s="1868">
        <v>2.3015599999999998</v>
      </c>
      <c r="AW897" s="1868">
        <v>1.9636099999999999</v>
      </c>
      <c r="AX897" s="1868">
        <v>2.0742599999999998</v>
      </c>
      <c r="AY897" s="1868">
        <v>2.1442399999999999</v>
      </c>
      <c r="AZ897" s="1868">
        <v>2.2760500000000001</v>
      </c>
      <c r="BA897" s="1868">
        <v>2.1543900000000002</v>
      </c>
    </row>
    <row r="898" spans="1:53">
      <c r="A898" s="1865" t="str">
        <f t="shared" si="13"/>
        <v>Northern AmericaPeas, green</v>
      </c>
      <c r="B898" s="1866" t="s">
        <v>1344</v>
      </c>
      <c r="C898" s="1866" t="s">
        <v>1392</v>
      </c>
      <c r="D898" s="1868">
        <v>6.5955899999999996</v>
      </c>
      <c r="E898" s="1868">
        <v>6.7148199999999996</v>
      </c>
      <c r="F898" s="1868">
        <v>6.3510200000000001</v>
      </c>
      <c r="G898" s="1868">
        <v>5.9576900000000004</v>
      </c>
      <c r="H898" s="1868">
        <v>7.0912699999999997</v>
      </c>
      <c r="I898" s="1868">
        <v>6.1425599999999996</v>
      </c>
      <c r="J898" s="1868">
        <v>6.6985999999999999</v>
      </c>
      <c r="K898" s="1868">
        <v>6.7579500000000001</v>
      </c>
      <c r="L898" s="1868">
        <v>6.7555500000000004</v>
      </c>
      <c r="M898" s="1868">
        <v>6.6065699999999996</v>
      </c>
      <c r="N898" s="1868">
        <v>7.1330200000000001</v>
      </c>
      <c r="O898" s="1868">
        <v>7.0550100000000002</v>
      </c>
      <c r="P898" s="1868">
        <v>6.2270199999999996</v>
      </c>
      <c r="Q898" s="1868">
        <v>6.98935</v>
      </c>
      <c r="R898" s="1868">
        <v>6.6996399999999996</v>
      </c>
      <c r="S898" s="1868">
        <v>6.7657399999999992</v>
      </c>
      <c r="T898" s="1868">
        <v>7.2309100000000006</v>
      </c>
      <c r="U898" s="1868">
        <v>6.78735</v>
      </c>
      <c r="V898" s="1868">
        <v>8.1917200000000001</v>
      </c>
      <c r="W898" s="1868">
        <v>7.8658899999999994</v>
      </c>
      <c r="X898" s="1868">
        <v>8.0164500000000007</v>
      </c>
      <c r="Y898" s="1868">
        <v>8.33535</v>
      </c>
      <c r="Z898" s="1868">
        <v>7.1134500000000003</v>
      </c>
      <c r="AA898" s="1868">
        <v>7.7999700000000001</v>
      </c>
      <c r="AB898" s="1868">
        <v>8.5792300000000008</v>
      </c>
      <c r="AC898" s="1868">
        <v>8.0682299999999998</v>
      </c>
      <c r="AD898" s="1868">
        <v>8.0573899999999998</v>
      </c>
      <c r="AE898" s="1868">
        <v>5.7839199999999993</v>
      </c>
      <c r="AF898" s="1868">
        <v>8.3399600000000014</v>
      </c>
      <c r="AG898" s="1868">
        <v>8.1148299999999995</v>
      </c>
      <c r="AH898" s="1868">
        <v>7.6784100000000004</v>
      </c>
      <c r="AI898" s="1868">
        <v>8.9456799999999994</v>
      </c>
      <c r="AJ898" s="1868">
        <v>8.1692199999999993</v>
      </c>
      <c r="AK898" s="1868">
        <v>8.9162199999999991</v>
      </c>
      <c r="AL898" s="1868">
        <v>8.5152699999999992</v>
      </c>
      <c r="AM898" s="1868">
        <v>8.6512600000000006</v>
      </c>
      <c r="AN898" s="1868">
        <v>9.0893699999999988</v>
      </c>
      <c r="AO898" s="1868">
        <v>9.0467300000000002</v>
      </c>
      <c r="AP898" s="1868">
        <v>8.7718899999999991</v>
      </c>
      <c r="AQ898" s="1868">
        <v>9.8168500000000005</v>
      </c>
      <c r="AR898" s="1868">
        <v>9.4197299999999995</v>
      </c>
      <c r="AS898" s="1868">
        <v>8.3738899999999994</v>
      </c>
      <c r="AT898" s="1868">
        <v>10.20562</v>
      </c>
      <c r="AU898" s="1868">
        <v>9.6406500000000008</v>
      </c>
      <c r="AV898" s="1868">
        <v>9.0852199999999996</v>
      </c>
      <c r="AW898" s="1868">
        <v>10.36957</v>
      </c>
      <c r="AX898" s="1868">
        <v>10.705730000000001</v>
      </c>
      <c r="AY898" s="1868">
        <v>4.4607099999999997</v>
      </c>
      <c r="AZ898" s="1868">
        <v>4.7843300000000006</v>
      </c>
      <c r="BA898" s="1868">
        <v>4.5610900000000001</v>
      </c>
    </row>
    <row r="899" spans="1:53">
      <c r="A899" s="1865" t="str">
        <f t="shared" si="13"/>
        <v>Northern AmericaPineapples</v>
      </c>
      <c r="B899" s="1866" t="s">
        <v>1344</v>
      </c>
      <c r="C899" s="1866" t="s">
        <v>1351</v>
      </c>
      <c r="D899" s="1868">
        <v>26.062620000000003</v>
      </c>
      <c r="E899" s="1868">
        <v>27.865059999999996</v>
      </c>
      <c r="F899" s="1868">
        <v>30.019479999999998</v>
      </c>
      <c r="G899" s="1868">
        <v>29.487490000000001</v>
      </c>
      <c r="H899" s="1868">
        <v>32.384500000000003</v>
      </c>
      <c r="I899" s="1868">
        <v>34.695370000000004</v>
      </c>
      <c r="J899" s="1868">
        <v>34.833329999999997</v>
      </c>
      <c r="K899" s="1868">
        <v>31.763840000000002</v>
      </c>
      <c r="L899" s="1868">
        <v>32.049149999999997</v>
      </c>
      <c r="M899" s="1868">
        <v>35.038579999999996</v>
      </c>
      <c r="N899" s="1868">
        <v>34.597850000000001</v>
      </c>
      <c r="O899" s="1868">
        <v>36.60257</v>
      </c>
      <c r="P899" s="1868">
        <v>31.579309999999996</v>
      </c>
      <c r="Q899" s="1868">
        <v>28.53152</v>
      </c>
      <c r="R899" s="1868">
        <v>32.280809999999995</v>
      </c>
      <c r="S899" s="1868">
        <v>31.75712</v>
      </c>
      <c r="T899" s="1868">
        <v>34.374190000000006</v>
      </c>
      <c r="U899" s="1868">
        <v>35.192529999999998</v>
      </c>
      <c r="V899" s="1868">
        <v>34.687820000000002</v>
      </c>
      <c r="W899" s="1868">
        <v>34.254020000000004</v>
      </c>
      <c r="X899" s="1868">
        <v>34.778179999999999</v>
      </c>
      <c r="Y899" s="1868">
        <v>41.716540000000002</v>
      </c>
      <c r="Z899" s="1868">
        <v>46.257059999999996</v>
      </c>
      <c r="AA899" s="1868">
        <v>38.439970000000002</v>
      </c>
      <c r="AB899" s="1868">
        <v>36.711069999999999</v>
      </c>
      <c r="AC899" s="1868">
        <v>40.225140000000003</v>
      </c>
      <c r="AD899" s="1868">
        <v>42.973509999999997</v>
      </c>
      <c r="AE899" s="1868">
        <v>42.70214</v>
      </c>
      <c r="AF899" s="1868">
        <v>39.773240000000001</v>
      </c>
      <c r="AG899" s="1868">
        <v>41.730400000000003</v>
      </c>
      <c r="AH899" s="1868">
        <v>43.782609999999998</v>
      </c>
      <c r="AI899" s="1868">
        <v>47.07076</v>
      </c>
      <c r="AJ899" s="1868">
        <v>37.71461</v>
      </c>
      <c r="AK899" s="1868">
        <v>36.689419999999998</v>
      </c>
      <c r="AL899" s="1868">
        <v>38.881990000000002</v>
      </c>
      <c r="AM899" s="1868">
        <v>38.936959999999999</v>
      </c>
      <c r="AN899" s="1868">
        <v>36.39255</v>
      </c>
      <c r="AO899" s="1868">
        <v>35.432940000000002</v>
      </c>
      <c r="AP899" s="1868">
        <v>37.572769999999998</v>
      </c>
      <c r="AQ899" s="1868">
        <v>38.33652</v>
      </c>
      <c r="AR899" s="1868">
        <v>36.024340000000002</v>
      </c>
      <c r="AS899" s="1868">
        <v>37.555109999999999</v>
      </c>
      <c r="AT899" s="1868">
        <v>42.031820000000003</v>
      </c>
      <c r="AU899" s="1868">
        <v>37.935940000000002</v>
      </c>
      <c r="AV899" s="1868">
        <v>33.943350000000002</v>
      </c>
      <c r="AW899" s="1868">
        <v>30.320180000000001</v>
      </c>
      <c r="AX899" s="1868">
        <v>30.175440000000002</v>
      </c>
      <c r="AY899" s="1868">
        <v>31.304349999999999</v>
      </c>
      <c r="AZ899" s="1868">
        <v>34.482759999999999</v>
      </c>
      <c r="BA899" s="1868">
        <v>29.824559999999998</v>
      </c>
    </row>
    <row r="900" spans="1:53">
      <c r="A900" s="1865" t="str">
        <f t="shared" ref="A900:A963" si="14">CONCATENATE(B900,C900)</f>
        <v>Northern AmericaPotatoes</v>
      </c>
      <c r="B900" s="1866" t="s">
        <v>1344</v>
      </c>
      <c r="C900" s="1866" t="s">
        <v>1394</v>
      </c>
      <c r="D900" s="1868">
        <v>21.14686</v>
      </c>
      <c r="E900" s="1868">
        <v>21.356809999999999</v>
      </c>
      <c r="F900" s="1868">
        <v>22.07489</v>
      </c>
      <c r="G900" s="1868">
        <v>20.847709999999999</v>
      </c>
      <c r="H900" s="1868">
        <v>22.474729999999997</v>
      </c>
      <c r="I900" s="1868">
        <v>22.748570000000001</v>
      </c>
      <c r="J900" s="1868">
        <v>22.378699999999998</v>
      </c>
      <c r="K900" s="1868">
        <v>23.122299999999999</v>
      </c>
      <c r="L900" s="1868">
        <v>23.71311</v>
      </c>
      <c r="M900" s="1868">
        <v>24.454239999999999</v>
      </c>
      <c r="N900" s="1868">
        <v>24.497979999999998</v>
      </c>
      <c r="O900" s="1868">
        <v>25.077079999999999</v>
      </c>
      <c r="P900" s="1868">
        <v>24.55386</v>
      </c>
      <c r="Q900" s="1868">
        <v>26.474900000000002</v>
      </c>
      <c r="R900" s="1868">
        <v>27.166509999999999</v>
      </c>
      <c r="S900" s="1868">
        <v>27.93713</v>
      </c>
      <c r="T900" s="1868">
        <v>28.015999999999998</v>
      </c>
      <c r="U900" s="1868">
        <v>28.555159999999997</v>
      </c>
      <c r="V900" s="1868">
        <v>29.254070000000002</v>
      </c>
      <c r="W900" s="1868">
        <v>28.3383</v>
      </c>
      <c r="X900" s="1868">
        <v>29.576809999999998</v>
      </c>
      <c r="Y900" s="1868">
        <v>30.038550000000001</v>
      </c>
      <c r="Z900" s="1868">
        <v>28.627579999999998</v>
      </c>
      <c r="AA900" s="1868">
        <v>29.77205</v>
      </c>
      <c r="AB900" s="1868">
        <v>32.15401</v>
      </c>
      <c r="AC900" s="1868">
        <v>31.64892</v>
      </c>
      <c r="AD900" s="1868">
        <v>32.46707</v>
      </c>
      <c r="AE900" s="1868">
        <v>30.436559999999997</v>
      </c>
      <c r="AF900" s="1868">
        <v>31.083559999999999</v>
      </c>
      <c r="AG900" s="1868">
        <v>31.499109999999998</v>
      </c>
      <c r="AH900" s="1868">
        <v>32.25806</v>
      </c>
      <c r="AI900" s="1868">
        <v>34.910319999999999</v>
      </c>
      <c r="AJ900" s="1868">
        <v>34.59778</v>
      </c>
      <c r="AK900" s="1868">
        <v>35.965829999999997</v>
      </c>
      <c r="AL900" s="1868">
        <v>34.250489999999999</v>
      </c>
      <c r="AM900" s="1868">
        <v>36.861709999999995</v>
      </c>
      <c r="AN900" s="1868">
        <v>36.326140000000002</v>
      </c>
      <c r="AO900" s="1868">
        <v>36.086269999999999</v>
      </c>
      <c r="AP900" s="1868">
        <v>37.306340000000006</v>
      </c>
      <c r="AQ900" s="1868">
        <v>39.543009999999995</v>
      </c>
      <c r="AR900" s="1868">
        <v>36.432580000000002</v>
      </c>
      <c r="AS900" s="1868">
        <v>37.305129999999998</v>
      </c>
      <c r="AT900" s="1868">
        <v>37.963250000000002</v>
      </c>
      <c r="AU900" s="1868">
        <v>40.257919999999999</v>
      </c>
      <c r="AV900" s="1868">
        <v>39.702849999999998</v>
      </c>
      <c r="AW900" s="1868">
        <v>41.011920000000003</v>
      </c>
      <c r="AX900" s="1868">
        <v>41.068509999999996</v>
      </c>
      <c r="AY900" s="1868">
        <v>40.952750000000002</v>
      </c>
      <c r="AZ900" s="1868">
        <v>42.530270000000002</v>
      </c>
      <c r="BA900" s="1868">
        <v>41.056940000000004</v>
      </c>
    </row>
    <row r="901" spans="1:53">
      <c r="A901" s="1865" t="str">
        <f t="shared" si="14"/>
        <v>Northern AmericaRice, paddy</v>
      </c>
      <c r="B901" s="1866" t="s">
        <v>1344</v>
      </c>
      <c r="C901" s="1866" t="s">
        <v>1396</v>
      </c>
      <c r="D901" s="1868">
        <v>3.8227099999999998</v>
      </c>
      <c r="E901" s="1868">
        <v>4.1785199999999998</v>
      </c>
      <c r="F901" s="1868">
        <v>4.4449100000000001</v>
      </c>
      <c r="G901" s="1868">
        <v>4.5906000000000002</v>
      </c>
      <c r="H901" s="1868">
        <v>4.7693199999999996</v>
      </c>
      <c r="I901" s="1868">
        <v>4.8442300000000005</v>
      </c>
      <c r="J901" s="1868">
        <v>5.0850900000000001</v>
      </c>
      <c r="K901" s="1868">
        <v>4.9600099999999996</v>
      </c>
      <c r="L901" s="1868">
        <v>4.8398599999999998</v>
      </c>
      <c r="M901" s="1868">
        <v>5.1762699999999997</v>
      </c>
      <c r="N901" s="1868">
        <v>5.2881900000000002</v>
      </c>
      <c r="O901" s="1868">
        <v>5.2679099999999996</v>
      </c>
      <c r="P901" s="1868">
        <v>4.7911099999999998</v>
      </c>
      <c r="Q901" s="1868">
        <v>4.9770300000000001</v>
      </c>
      <c r="R901" s="1868">
        <v>5.1085799999999999</v>
      </c>
      <c r="S901" s="1868">
        <v>5.2268099999999995</v>
      </c>
      <c r="T901" s="1868">
        <v>4.9449899999999998</v>
      </c>
      <c r="U901" s="1868">
        <v>5.0256600000000002</v>
      </c>
      <c r="V901" s="1868">
        <v>5.1547900000000002</v>
      </c>
      <c r="W901" s="1868">
        <v>4.9460899999999999</v>
      </c>
      <c r="X901" s="1868">
        <v>5.4015000000000004</v>
      </c>
      <c r="Y901" s="1868">
        <v>5.2790699999999999</v>
      </c>
      <c r="Z901" s="1868">
        <v>5.1531799999999999</v>
      </c>
      <c r="AA901" s="1868">
        <v>5.5522900000000002</v>
      </c>
      <c r="AB901" s="1868">
        <v>6.0704000000000002</v>
      </c>
      <c r="AC901" s="1868">
        <v>6.3340300000000003</v>
      </c>
      <c r="AD901" s="1868">
        <v>6.2271000000000001</v>
      </c>
      <c r="AE901" s="1868">
        <v>6.1801300000000001</v>
      </c>
      <c r="AF901" s="1868">
        <v>6.4465500000000002</v>
      </c>
      <c r="AG901" s="1868">
        <v>6.1974800000000005</v>
      </c>
      <c r="AH901" s="1868">
        <v>6.4243800000000002</v>
      </c>
      <c r="AI901" s="1868">
        <v>6.4291900000000002</v>
      </c>
      <c r="AJ901" s="1868">
        <v>6.1761900000000001</v>
      </c>
      <c r="AK901" s="1868">
        <v>6.6851199999999995</v>
      </c>
      <c r="AL901" s="1868">
        <v>6.3010299999999999</v>
      </c>
      <c r="AM901" s="1868">
        <v>6.8593100000000007</v>
      </c>
      <c r="AN901" s="1868">
        <v>6.61015</v>
      </c>
      <c r="AO901" s="1868">
        <v>6.3457499999999998</v>
      </c>
      <c r="AP901" s="1868">
        <v>6.57437</v>
      </c>
      <c r="AQ901" s="1868">
        <v>7.0397399999999992</v>
      </c>
      <c r="AR901" s="1868">
        <v>7.2807500000000003</v>
      </c>
      <c r="AS901" s="1868">
        <v>7.3730100000000007</v>
      </c>
      <c r="AT901" s="1868">
        <v>7.4758699999999996</v>
      </c>
      <c r="AU901" s="1868">
        <v>7.8328499999999996</v>
      </c>
      <c r="AV901" s="1868">
        <v>7.4244500000000002</v>
      </c>
      <c r="AW901" s="1868">
        <v>7.7312500000000002</v>
      </c>
      <c r="AX901" s="1868">
        <v>8.0917300000000001</v>
      </c>
      <c r="AY901" s="1868">
        <v>7.6730999999999998</v>
      </c>
      <c r="AZ901" s="1868">
        <v>7.9412500000000001</v>
      </c>
      <c r="BA901" s="1868">
        <v>7.5375100000000002</v>
      </c>
    </row>
    <row r="902" spans="1:53">
      <c r="A902" s="1865" t="str">
        <f t="shared" si="14"/>
        <v>Northern AmericaRye</v>
      </c>
      <c r="B902" s="1866" t="s">
        <v>1344</v>
      </c>
      <c r="C902" s="1866" t="s">
        <v>1353</v>
      </c>
      <c r="D902" s="1868">
        <v>1.01058</v>
      </c>
      <c r="E902" s="1868">
        <v>1.26894</v>
      </c>
      <c r="F902" s="1868">
        <v>1.17676</v>
      </c>
      <c r="G902" s="1868">
        <v>1.1767299999999998</v>
      </c>
      <c r="H902" s="1868">
        <v>1.41286</v>
      </c>
      <c r="I902" s="1868">
        <v>1.4113500000000001</v>
      </c>
      <c r="J902" s="1868">
        <v>1.2899100000000001</v>
      </c>
      <c r="K902" s="1868">
        <v>1.34999</v>
      </c>
      <c r="L902" s="1868">
        <v>1.33073</v>
      </c>
      <c r="M902" s="1868">
        <v>1.5492600000000001</v>
      </c>
      <c r="N902" s="1868">
        <v>1.6488900000000002</v>
      </c>
      <c r="O902" s="1868">
        <v>1.5568200000000001</v>
      </c>
      <c r="P902" s="1868">
        <v>1.5394299999999999</v>
      </c>
      <c r="Q902" s="1868">
        <v>1.4335500000000001</v>
      </c>
      <c r="R902" s="1868">
        <v>1.5205899999999999</v>
      </c>
      <c r="S902" s="1868">
        <v>1.5120899999999999</v>
      </c>
      <c r="T902" s="1868">
        <v>1.57718</v>
      </c>
      <c r="U902" s="1868">
        <v>1.7560500000000001</v>
      </c>
      <c r="V902" s="1868">
        <v>1.60562</v>
      </c>
      <c r="W902" s="1868">
        <v>1.4945200000000001</v>
      </c>
      <c r="X902" s="1868">
        <v>1.9266400000000001</v>
      </c>
      <c r="Y902" s="1868">
        <v>1.9537</v>
      </c>
      <c r="Z902" s="1868">
        <v>1.9198500000000001</v>
      </c>
      <c r="AA902" s="1868">
        <v>1.94042</v>
      </c>
      <c r="AB902" s="1868">
        <v>1.6999200000000001</v>
      </c>
      <c r="AC902" s="1868">
        <v>1.8782799999999999</v>
      </c>
      <c r="AD902" s="1868">
        <v>1.6899500000000001</v>
      </c>
      <c r="AE902" s="1868">
        <v>1.2868899999999999</v>
      </c>
      <c r="AF902" s="1868">
        <v>1.7725599999999999</v>
      </c>
      <c r="AG902" s="1868">
        <v>1.7397</v>
      </c>
      <c r="AH902" s="1868">
        <v>1.7205999999999999</v>
      </c>
      <c r="AI902" s="1868">
        <v>1.8905400000000001</v>
      </c>
      <c r="AJ902" s="1868">
        <v>1.8433200000000001</v>
      </c>
      <c r="AK902" s="1868">
        <v>1.96061</v>
      </c>
      <c r="AL902" s="1868">
        <v>1.7785500000000001</v>
      </c>
      <c r="AM902" s="1868">
        <v>1.7820799999999999</v>
      </c>
      <c r="AN902" s="1868">
        <v>1.8164799999999999</v>
      </c>
      <c r="AO902" s="1868">
        <v>1.90333</v>
      </c>
      <c r="AP902" s="1868">
        <v>2.0605500000000001</v>
      </c>
      <c r="AQ902" s="1868">
        <v>2.0202200000000001</v>
      </c>
      <c r="AR902" s="1868">
        <v>1.7975599999999998</v>
      </c>
      <c r="AS902" s="1868">
        <v>1.6296299999999999</v>
      </c>
      <c r="AT902" s="1868">
        <v>1.97692</v>
      </c>
      <c r="AU902" s="1868">
        <v>2.18249</v>
      </c>
      <c r="AV902" s="1868">
        <v>2.0956999999999999</v>
      </c>
      <c r="AW902" s="1868">
        <v>2.05837</v>
      </c>
      <c r="AX902" s="1868">
        <v>1.8975599999999999</v>
      </c>
      <c r="AY902" s="1868">
        <v>2.1587200000000002</v>
      </c>
      <c r="AZ902" s="1868">
        <v>2.1074799999999998</v>
      </c>
      <c r="BA902" s="1868">
        <v>2.0635599999999998</v>
      </c>
    </row>
    <row r="903" spans="1:53">
      <c r="A903" s="1865" t="str">
        <f t="shared" si="14"/>
        <v>Northern AmericaSeed cotton</v>
      </c>
      <c r="B903" s="1866" t="s">
        <v>1344</v>
      </c>
      <c r="C903" s="1866" t="s">
        <v>1397</v>
      </c>
      <c r="D903" s="1868">
        <v>1.34863</v>
      </c>
      <c r="E903" s="1868">
        <v>1.39628</v>
      </c>
      <c r="F903" s="1868">
        <v>1.5557099999999999</v>
      </c>
      <c r="G903" s="1868">
        <v>1.5744400000000001</v>
      </c>
      <c r="H903" s="1868">
        <v>1.59331</v>
      </c>
      <c r="I903" s="1868">
        <v>1.46753</v>
      </c>
      <c r="J903" s="1868">
        <v>1.4005799999999999</v>
      </c>
      <c r="K903" s="1868">
        <v>1.6022299999999998</v>
      </c>
      <c r="L903" s="1868">
        <v>1.3115299999999999</v>
      </c>
      <c r="M903" s="1868">
        <v>1.3090899999999999</v>
      </c>
      <c r="N903" s="1868">
        <v>1.32</v>
      </c>
      <c r="O903" s="1868">
        <v>1.4989700000000001</v>
      </c>
      <c r="P903" s="1868">
        <v>1.5225299999999999</v>
      </c>
      <c r="Q903" s="1868">
        <v>1.30064</v>
      </c>
      <c r="R903" s="1868">
        <v>1.3279000000000001</v>
      </c>
      <c r="S903" s="1868">
        <v>1.36829</v>
      </c>
      <c r="T903" s="1868">
        <v>1.51552</v>
      </c>
      <c r="U903" s="1868">
        <v>1.24282</v>
      </c>
      <c r="V903" s="1868">
        <v>1.62297</v>
      </c>
      <c r="W903" s="1868">
        <v>1.21126</v>
      </c>
      <c r="X903" s="1868">
        <v>1.6442099999999999</v>
      </c>
      <c r="Y903" s="1868">
        <v>1.7537499999999999</v>
      </c>
      <c r="Z903" s="1868">
        <v>1.5075000000000001</v>
      </c>
      <c r="AA903" s="1868">
        <v>1.78512</v>
      </c>
      <c r="AB903" s="1868">
        <v>1.8632200000000001</v>
      </c>
      <c r="AC903" s="1868">
        <v>1.6244499999999999</v>
      </c>
      <c r="AD903" s="1868">
        <v>2.0812300000000001</v>
      </c>
      <c r="AE903" s="1868">
        <v>1.8312299999999999</v>
      </c>
      <c r="AF903" s="1868">
        <v>1.78677</v>
      </c>
      <c r="AG903" s="1868">
        <v>1.8512</v>
      </c>
      <c r="AH903" s="1868">
        <v>1.9290799999999999</v>
      </c>
      <c r="AI903" s="1868">
        <v>2.0361400000000001</v>
      </c>
      <c r="AJ903" s="1868">
        <v>1.79122</v>
      </c>
      <c r="AK903" s="1868">
        <v>2.0734900000000001</v>
      </c>
      <c r="AL903" s="1868">
        <v>1.56067</v>
      </c>
      <c r="AM903" s="1868">
        <v>2.0688499999999999</v>
      </c>
      <c r="AN903" s="1868">
        <v>1.9136799999999998</v>
      </c>
      <c r="AO903" s="1868">
        <v>1.8265099999999999</v>
      </c>
      <c r="AP903" s="1868">
        <v>1.74088</v>
      </c>
      <c r="AQ903" s="1868">
        <v>1.8138299999999998</v>
      </c>
      <c r="AR903" s="1868">
        <v>1.99803</v>
      </c>
      <c r="AS903" s="1868">
        <v>1.86202</v>
      </c>
      <c r="AT903" s="1868">
        <v>2.0628500000000001</v>
      </c>
      <c r="AU903" s="1868">
        <v>2.3730700000000002</v>
      </c>
      <c r="AV903" s="1868">
        <v>2.30518</v>
      </c>
      <c r="AW903" s="1868">
        <v>2.26187</v>
      </c>
      <c r="AX903" s="1868">
        <v>2.3932599999999997</v>
      </c>
      <c r="AY903" s="1868">
        <v>2.1846000000000001</v>
      </c>
      <c r="AZ903" s="1868">
        <v>2.10623</v>
      </c>
      <c r="BA903" s="1868">
        <v>2.1881200000000001</v>
      </c>
    </row>
    <row r="904" spans="1:53">
      <c r="A904" s="1865" t="str">
        <f t="shared" si="14"/>
        <v>Northern AmericaSorghum</v>
      </c>
      <c r="B904" s="1866" t="s">
        <v>1344</v>
      </c>
      <c r="C904" s="1866" t="s">
        <v>1399</v>
      </c>
      <c r="D904" s="1868">
        <v>2.7442099999999998</v>
      </c>
      <c r="E904" s="1868">
        <v>2.7678799999999999</v>
      </c>
      <c r="F904" s="1868">
        <v>2.7572799999999997</v>
      </c>
      <c r="G904" s="1868">
        <v>2.6180599999999998</v>
      </c>
      <c r="H904" s="1868">
        <v>3.2404700000000002</v>
      </c>
      <c r="I904" s="1868">
        <v>3.5025900000000001</v>
      </c>
      <c r="J904" s="1868">
        <v>3.1633</v>
      </c>
      <c r="K904" s="1868">
        <v>3.3046000000000002</v>
      </c>
      <c r="L904" s="1868">
        <v>3.4096699999999998</v>
      </c>
      <c r="M904" s="1868">
        <v>3.1605099999999999</v>
      </c>
      <c r="N904" s="1868">
        <v>3.3752</v>
      </c>
      <c r="O904" s="1868">
        <v>3.8070900000000001</v>
      </c>
      <c r="P904" s="1868">
        <v>3.6910199999999995</v>
      </c>
      <c r="Q904" s="1868">
        <v>2.8304999999999998</v>
      </c>
      <c r="R904" s="1868">
        <v>3.07403</v>
      </c>
      <c r="S904" s="1868">
        <v>3.0841599999999998</v>
      </c>
      <c r="T904" s="1868">
        <v>3.5528400000000002</v>
      </c>
      <c r="U904" s="1868">
        <v>3.42279</v>
      </c>
      <c r="V904" s="1868">
        <v>3.9283000000000001</v>
      </c>
      <c r="W904" s="1868">
        <v>2.9060999999999999</v>
      </c>
      <c r="X904" s="1868">
        <v>4.0194999999999999</v>
      </c>
      <c r="Y904" s="1868">
        <v>3.7077300000000002</v>
      </c>
      <c r="Z904" s="1868">
        <v>3.0597699999999999</v>
      </c>
      <c r="AA904" s="1868">
        <v>3.5410400000000002</v>
      </c>
      <c r="AB904" s="1868">
        <v>4.18994</v>
      </c>
      <c r="AC904" s="1868">
        <v>4.2521199999999997</v>
      </c>
      <c r="AD904" s="1868">
        <v>4.3557699999999997</v>
      </c>
      <c r="AE904" s="1868">
        <v>4.0032800000000002</v>
      </c>
      <c r="AF904" s="1868">
        <v>3.47919</v>
      </c>
      <c r="AG904" s="1868">
        <v>3.9592199999999997</v>
      </c>
      <c r="AH904" s="1868">
        <v>3.7195800000000001</v>
      </c>
      <c r="AI904" s="1868">
        <v>4.5579000000000001</v>
      </c>
      <c r="AJ904" s="1868">
        <v>3.7604900000000003</v>
      </c>
      <c r="AK904" s="1868">
        <v>4.56372</v>
      </c>
      <c r="AL904" s="1868">
        <v>3.4880199999999997</v>
      </c>
      <c r="AM904" s="1868">
        <v>4.2261499999999996</v>
      </c>
      <c r="AN904" s="1868">
        <v>4.3424199999999997</v>
      </c>
      <c r="AO904" s="1868">
        <v>4.22621</v>
      </c>
      <c r="AP904" s="1868">
        <v>4.3722699999999994</v>
      </c>
      <c r="AQ904" s="1868">
        <v>3.8226100000000001</v>
      </c>
      <c r="AR904" s="1868">
        <v>3.7606599999999997</v>
      </c>
      <c r="AS904" s="1868">
        <v>3.1782900000000001</v>
      </c>
      <c r="AT904" s="1868">
        <v>3.3100999999999998</v>
      </c>
      <c r="AU904" s="1868">
        <v>4.3692599999999997</v>
      </c>
      <c r="AV904" s="1868">
        <v>4.2997300000000003</v>
      </c>
      <c r="AW904" s="1868">
        <v>3.5171300000000003</v>
      </c>
      <c r="AX904" s="1868">
        <v>4.5983000000000001</v>
      </c>
      <c r="AY904" s="1868">
        <v>4.0774900000000001</v>
      </c>
      <c r="AZ904" s="1868">
        <v>4.3548300000000006</v>
      </c>
      <c r="BA904" s="1868">
        <v>4.5090300000000001</v>
      </c>
    </row>
    <row r="905" spans="1:53">
      <c r="A905" s="1865" t="str">
        <f t="shared" si="14"/>
        <v>Northern AmericaSoybeans</v>
      </c>
      <c r="B905" s="1866" t="s">
        <v>1344</v>
      </c>
      <c r="C905" s="1866" t="s">
        <v>1359</v>
      </c>
      <c r="D905" s="1868">
        <v>1.6931900000000002</v>
      </c>
      <c r="E905" s="1868">
        <v>1.6332599999999999</v>
      </c>
      <c r="F905" s="1868">
        <v>1.64185</v>
      </c>
      <c r="G905" s="1868">
        <v>1.5345799999999998</v>
      </c>
      <c r="H905" s="1868">
        <v>1.65377</v>
      </c>
      <c r="I905" s="1868">
        <v>1.7122200000000001</v>
      </c>
      <c r="J905" s="1868">
        <v>1.6514</v>
      </c>
      <c r="K905" s="1868">
        <v>1.8004500000000001</v>
      </c>
      <c r="L905" s="1868">
        <v>1.84165</v>
      </c>
      <c r="M905" s="1868">
        <v>1.79644</v>
      </c>
      <c r="N905" s="1868">
        <v>1.8524200000000002</v>
      </c>
      <c r="O905" s="1868">
        <v>1.8742099999999999</v>
      </c>
      <c r="P905" s="1868">
        <v>1.8714400000000002</v>
      </c>
      <c r="Q905" s="1868">
        <v>1.59385</v>
      </c>
      <c r="R905" s="1868">
        <v>1.9448900000000002</v>
      </c>
      <c r="S905" s="1868">
        <v>1.7534000000000001</v>
      </c>
      <c r="T905" s="1868">
        <v>2.0604200000000001</v>
      </c>
      <c r="U905" s="1868">
        <v>1.9722599999999999</v>
      </c>
      <c r="V905" s="1868">
        <v>2.16323</v>
      </c>
      <c r="W905" s="1868">
        <v>1.7897599999999998</v>
      </c>
      <c r="X905" s="1868">
        <v>2.0345499999999999</v>
      </c>
      <c r="Y905" s="1868">
        <v>2.12392</v>
      </c>
      <c r="Z905" s="1868">
        <v>1.76312</v>
      </c>
      <c r="AA905" s="1868">
        <v>1.8985599999999998</v>
      </c>
      <c r="AB905" s="1868">
        <v>2.2955700000000001</v>
      </c>
      <c r="AC905" s="1868">
        <v>2.2452200000000002</v>
      </c>
      <c r="AD905" s="1868">
        <v>2.28871</v>
      </c>
      <c r="AE905" s="1868">
        <v>1.8233200000000001</v>
      </c>
      <c r="AF905" s="1868">
        <v>2.1800299999999999</v>
      </c>
      <c r="AG905" s="1868">
        <v>2.2985900000000004</v>
      </c>
      <c r="AH905" s="1868">
        <v>2.3064299999999998</v>
      </c>
      <c r="AI905" s="1868">
        <v>2.5246</v>
      </c>
      <c r="AJ905" s="1868">
        <v>2.2056</v>
      </c>
      <c r="AK905" s="1868">
        <v>2.7802199999999999</v>
      </c>
      <c r="AL905" s="1868">
        <v>2.3889200000000002</v>
      </c>
      <c r="AM905" s="1868">
        <v>2.5272299999999999</v>
      </c>
      <c r="AN905" s="1868">
        <v>2.6153499999999998</v>
      </c>
      <c r="AO905" s="1868">
        <v>2.6227099999999997</v>
      </c>
      <c r="AP905" s="1868">
        <v>2.4735800000000001</v>
      </c>
      <c r="AQ905" s="1868">
        <v>2.5608599999999999</v>
      </c>
      <c r="AR905" s="1868">
        <v>2.62425</v>
      </c>
      <c r="AS905" s="1868">
        <v>2.5473499999999998</v>
      </c>
      <c r="AT905" s="1868">
        <v>2.27311</v>
      </c>
      <c r="AU905" s="1868">
        <v>2.8311099999999998</v>
      </c>
      <c r="AV905" s="1868">
        <v>2.8887</v>
      </c>
      <c r="AW905" s="1868">
        <v>2.88178</v>
      </c>
      <c r="AX905" s="1868">
        <v>2.7847900000000001</v>
      </c>
      <c r="AY905" s="1868">
        <v>2.67631</v>
      </c>
      <c r="AZ905" s="1868">
        <v>2.9397099999999998</v>
      </c>
      <c r="BA905" s="1868">
        <v>2.92327</v>
      </c>
    </row>
    <row r="906" spans="1:53">
      <c r="A906" s="1865" t="str">
        <f t="shared" si="14"/>
        <v>Northern AmericaStrawberries</v>
      </c>
      <c r="B906" s="1866" t="s">
        <v>1344</v>
      </c>
      <c r="C906" s="1866" t="s">
        <v>1400</v>
      </c>
      <c r="D906" s="1868">
        <v>5.9380300000000004</v>
      </c>
      <c r="E906" s="1868">
        <v>6.09476</v>
      </c>
      <c r="F906" s="1868">
        <v>6.4921899999999999</v>
      </c>
      <c r="G906" s="1868">
        <v>7.2585399999999991</v>
      </c>
      <c r="H906" s="1868">
        <v>5.7321</v>
      </c>
      <c r="I906" s="1868">
        <v>5.8441000000000001</v>
      </c>
      <c r="J906" s="1868">
        <v>6.7502000000000004</v>
      </c>
      <c r="K906" s="1868">
        <v>7.8237199999999998</v>
      </c>
      <c r="L906" s="1868">
        <v>8.052719999999999</v>
      </c>
      <c r="M906" s="1868">
        <v>8.7514000000000003</v>
      </c>
      <c r="N906" s="1868">
        <v>10.45248</v>
      </c>
      <c r="O906" s="1868">
        <v>10.624739999999999</v>
      </c>
      <c r="P906" s="1868">
        <v>11.59535</v>
      </c>
      <c r="Q906" s="1868">
        <v>13.181660000000001</v>
      </c>
      <c r="R906" s="1868">
        <v>13.151999999999999</v>
      </c>
      <c r="S906" s="1868">
        <v>15.12866</v>
      </c>
      <c r="T906" s="1868">
        <v>16.367820000000002</v>
      </c>
      <c r="U906" s="1868">
        <v>15.042810000000001</v>
      </c>
      <c r="V906" s="1868">
        <v>14.947120000000002</v>
      </c>
      <c r="W906" s="1868">
        <v>16.048560000000002</v>
      </c>
      <c r="X906" s="1868">
        <v>15.57155</v>
      </c>
      <c r="Y906" s="1868">
        <v>16.639140000000001</v>
      </c>
      <c r="Z906" s="1868">
        <v>15.773370000000002</v>
      </c>
      <c r="AA906" s="1868">
        <v>16.33372</v>
      </c>
      <c r="AB906" s="1868">
        <v>15.87575</v>
      </c>
      <c r="AC906" s="1868">
        <v>21.301779999999997</v>
      </c>
      <c r="AD906" s="1868">
        <v>22.04702</v>
      </c>
      <c r="AE906" s="1868">
        <v>23.06026</v>
      </c>
      <c r="AF906" s="1868">
        <v>23.004189999999998</v>
      </c>
      <c r="AG906" s="1868">
        <v>25.2821</v>
      </c>
      <c r="AH906" s="1868">
        <v>26.981750000000002</v>
      </c>
      <c r="AI906" s="1868">
        <v>25.1767</v>
      </c>
      <c r="AJ906" s="1868">
        <v>26.391359999999999</v>
      </c>
      <c r="AK906" s="1868">
        <v>30.833170000000003</v>
      </c>
      <c r="AL906" s="1868">
        <v>30.284870000000002</v>
      </c>
      <c r="AM906" s="1868">
        <v>31.03528</v>
      </c>
      <c r="AN906" s="1868">
        <v>33.322179999999996</v>
      </c>
      <c r="AO906" s="1868">
        <v>32.676940000000002</v>
      </c>
      <c r="AP906" s="1868">
        <v>36.785640000000001</v>
      </c>
      <c r="AQ906" s="1868">
        <v>37.645990000000005</v>
      </c>
      <c r="AR906" s="1868">
        <v>34.34816</v>
      </c>
      <c r="AS906" s="1868">
        <v>36.744370000000004</v>
      </c>
      <c r="AT906" s="1868">
        <v>41.65663</v>
      </c>
      <c r="AU906" s="1868">
        <v>41.088799999999999</v>
      </c>
      <c r="AV906" s="1868">
        <v>42.768459999999997</v>
      </c>
      <c r="AW906" s="1868">
        <v>44.180529999999997</v>
      </c>
      <c r="AX906" s="1868">
        <v>45.303190000000001</v>
      </c>
      <c r="AY906" s="1868">
        <v>45.774609999999996</v>
      </c>
      <c r="AZ906" s="1868">
        <v>48.377189999999999</v>
      </c>
      <c r="BA906" s="1868">
        <v>50.268159999999995</v>
      </c>
    </row>
    <row r="907" spans="1:53">
      <c r="A907" s="1865" t="str">
        <f t="shared" si="14"/>
        <v>Northern AmericaSugar beet</v>
      </c>
      <c r="B907" s="1866" t="s">
        <v>1344</v>
      </c>
      <c r="C907" s="1866" t="s">
        <v>1358</v>
      </c>
      <c r="D907" s="1868">
        <v>36.283340000000003</v>
      </c>
      <c r="E907" s="1868">
        <v>36.506630000000001</v>
      </c>
      <c r="F907" s="1868">
        <v>41.210590000000003</v>
      </c>
      <c r="G907" s="1868">
        <v>37.358829999999998</v>
      </c>
      <c r="H907" s="1868">
        <v>36.564820000000005</v>
      </c>
      <c r="I907" s="1868">
        <v>39.052929999999996</v>
      </c>
      <c r="J907" s="1868">
        <v>38.020440000000001</v>
      </c>
      <c r="K907" s="1868">
        <v>39.434429999999999</v>
      </c>
      <c r="L907" s="1868">
        <v>39.194510000000001</v>
      </c>
      <c r="M907" s="1868">
        <v>40.963120000000004</v>
      </c>
      <c r="N907" s="1868">
        <v>44.240250000000003</v>
      </c>
      <c r="O907" s="1868">
        <v>47.081740000000003</v>
      </c>
      <c r="P907" s="1868">
        <v>44.555259999999997</v>
      </c>
      <c r="Q907" s="1868">
        <v>40.191279999999999</v>
      </c>
      <c r="R907" s="1868">
        <v>43.179009999999998</v>
      </c>
      <c r="S907" s="1868">
        <v>44.059240000000003</v>
      </c>
      <c r="T907" s="1868">
        <v>45.76623</v>
      </c>
      <c r="U907" s="1868">
        <v>45.214829999999999</v>
      </c>
      <c r="V907" s="1868">
        <v>43.636479999999999</v>
      </c>
      <c r="W907" s="1868">
        <v>43.709359999999997</v>
      </c>
      <c r="X907" s="1868">
        <v>49.77863</v>
      </c>
      <c r="Y907" s="1868">
        <v>44.976590000000002</v>
      </c>
      <c r="Z907" s="1868">
        <v>44.113190000000003</v>
      </c>
      <c r="AA907" s="1868">
        <v>44.59187</v>
      </c>
      <c r="AB907" s="1868">
        <v>45.477959999999996</v>
      </c>
      <c r="AC907" s="1868">
        <v>47.025320000000001</v>
      </c>
      <c r="AD907" s="1868">
        <v>49.971670000000003</v>
      </c>
      <c r="AE907" s="1868">
        <v>42.457039999999999</v>
      </c>
      <c r="AF907" s="1868">
        <v>43.231470000000002</v>
      </c>
      <c r="AG907" s="1868">
        <v>44.548850000000002</v>
      </c>
      <c r="AH907" s="1868">
        <v>45.506120000000003</v>
      </c>
      <c r="AI907" s="1868">
        <v>45.825109999999995</v>
      </c>
      <c r="AJ907" s="1868">
        <v>41.499510000000001</v>
      </c>
      <c r="AK907" s="1868">
        <v>49.201479999999997</v>
      </c>
      <c r="AL907" s="1868">
        <v>44.189019999999999</v>
      </c>
      <c r="AM907" s="1868">
        <v>45.158529999999999</v>
      </c>
      <c r="AN907" s="1868">
        <v>46.865180000000002</v>
      </c>
      <c r="AO907" s="1868">
        <v>50.163559999999997</v>
      </c>
      <c r="AP907" s="1868">
        <v>48.879429999999999</v>
      </c>
      <c r="AQ907" s="1868">
        <v>58.300709999999995</v>
      </c>
      <c r="AR907" s="1868">
        <v>51.078389999999999</v>
      </c>
      <c r="AS907" s="1868">
        <v>50.024250000000002</v>
      </c>
      <c r="AT907" s="1868">
        <v>56.30151</v>
      </c>
      <c r="AU907" s="1868">
        <v>56.656230000000008</v>
      </c>
      <c r="AV907" s="1868">
        <v>54.301590000000004</v>
      </c>
      <c r="AW907" s="1868">
        <v>64.389719999999997</v>
      </c>
      <c r="AX907" s="1868">
        <v>63.032559999999997</v>
      </c>
      <c r="AY907" s="1868">
        <v>59.821100000000001</v>
      </c>
      <c r="AZ907" s="1868">
        <v>58.18159</v>
      </c>
      <c r="BA907" s="1868">
        <v>61.478290000000001</v>
      </c>
    </row>
    <row r="908" spans="1:53">
      <c r="A908" s="1865" t="str">
        <f t="shared" si="14"/>
        <v>Northern AmericaSugar cane</v>
      </c>
      <c r="B908" s="1866" t="s">
        <v>1344</v>
      </c>
      <c r="C908" s="1866" t="s">
        <v>1401</v>
      </c>
      <c r="D908" s="1868">
        <v>99.36927</v>
      </c>
      <c r="E908" s="1868">
        <v>94.187049999999999</v>
      </c>
      <c r="F908" s="1868">
        <v>93.646559999999994</v>
      </c>
      <c r="G908" s="1868">
        <v>82.156530000000004</v>
      </c>
      <c r="H908" s="1868">
        <v>85.974100000000007</v>
      </c>
      <c r="I908" s="1868">
        <v>87.901080000000007</v>
      </c>
      <c r="J908" s="1868">
        <v>95.194450000000003</v>
      </c>
      <c r="K908" s="1868">
        <v>91.863519999999994</v>
      </c>
      <c r="L908" s="1868">
        <v>94.653680000000008</v>
      </c>
      <c r="M908" s="1868">
        <v>92.125880000000009</v>
      </c>
      <c r="N908" s="1868">
        <v>83.609059999999999</v>
      </c>
      <c r="O908" s="1868">
        <v>90.499430000000004</v>
      </c>
      <c r="P908" s="1868">
        <v>78.13364</v>
      </c>
      <c r="Q908" s="1868">
        <v>76.769919999999999</v>
      </c>
      <c r="R908" s="1868">
        <v>82.092250000000007</v>
      </c>
      <c r="S908" s="1868">
        <v>84.387159999999994</v>
      </c>
      <c r="T908" s="1868">
        <v>79.19953000000001</v>
      </c>
      <c r="U908" s="1868">
        <v>78.35996999999999</v>
      </c>
      <c r="V908" s="1868">
        <v>81.172600000000003</v>
      </c>
      <c r="W908" s="1868">
        <v>82.496799999999993</v>
      </c>
      <c r="X908" s="1868">
        <v>81.334969999999998</v>
      </c>
      <c r="Y908" s="1868">
        <v>89.977680000000007</v>
      </c>
      <c r="Z908" s="1868">
        <v>82.23227</v>
      </c>
      <c r="AA908" s="1868">
        <v>82.01276</v>
      </c>
      <c r="AB908" s="1868">
        <v>82.138319999999993</v>
      </c>
      <c r="AC908" s="1868">
        <v>85.34451</v>
      </c>
      <c r="AD908" s="1868">
        <v>79.525949999999995</v>
      </c>
      <c r="AE908" s="1868">
        <v>79.298450000000003</v>
      </c>
      <c r="AF908" s="1868">
        <v>77.421689999999998</v>
      </c>
      <c r="AG908" s="1868">
        <v>79.415059999999997</v>
      </c>
      <c r="AH908" s="1868">
        <v>75.603309999999993</v>
      </c>
      <c r="AI908" s="1868">
        <v>73.57105</v>
      </c>
      <c r="AJ908" s="1868">
        <v>73.512249999999995</v>
      </c>
      <c r="AK908" s="1868">
        <v>74.012129999999999</v>
      </c>
      <c r="AL908" s="1868">
        <v>74.047180000000012</v>
      </c>
      <c r="AM908" s="1868">
        <v>74.297390000000007</v>
      </c>
      <c r="AN908" s="1868">
        <v>77.873780000000011</v>
      </c>
      <c r="AO908" s="1868">
        <v>82.150959999999998</v>
      </c>
      <c r="AP908" s="1868">
        <v>79.662419999999997</v>
      </c>
      <c r="AQ908" s="1868">
        <v>86.446759999999998</v>
      </c>
      <c r="AR908" s="1868">
        <v>83.153819999999996</v>
      </c>
      <c r="AS908" s="1868">
        <v>85.860219999999998</v>
      </c>
      <c r="AT908" s="1868">
        <v>84.313230000000004</v>
      </c>
      <c r="AU908" s="1868">
        <v>76.414349999999999</v>
      </c>
      <c r="AV908" s="1868">
        <v>71.313699999999997</v>
      </c>
      <c r="AW908" s="1868">
        <v>81.378509999999991</v>
      </c>
      <c r="AX908" s="1868">
        <v>77.958790000000008</v>
      </c>
      <c r="AY908" s="1868">
        <v>71.286839999999998</v>
      </c>
      <c r="AZ908" s="1868">
        <v>78.062480000000008</v>
      </c>
      <c r="BA908" s="1868">
        <v>69.893559999999994</v>
      </c>
    </row>
    <row r="909" spans="1:53">
      <c r="A909" s="1865" t="str">
        <f t="shared" si="14"/>
        <v>Northern AmericaSunflower seed</v>
      </c>
      <c r="B909" s="1866" t="s">
        <v>1344</v>
      </c>
      <c r="C909" s="1866" t="s">
        <v>1402</v>
      </c>
      <c r="D909" s="1868">
        <v>0.90937000000000012</v>
      </c>
      <c r="E909" s="1868">
        <v>0.98229999999999995</v>
      </c>
      <c r="F909" s="1868">
        <v>1.0914299999999999</v>
      </c>
      <c r="G909" s="1868">
        <v>0.58438999999999997</v>
      </c>
      <c r="H909" s="1868">
        <v>0.68801999999999996</v>
      </c>
      <c r="I909" s="1868">
        <v>0.88216000000000006</v>
      </c>
      <c r="J909" s="1868">
        <v>1.1131500000000001</v>
      </c>
      <c r="K909" s="1868">
        <v>1.0551999999999999</v>
      </c>
      <c r="L909" s="1868">
        <v>0.99001000000000006</v>
      </c>
      <c r="M909" s="1868">
        <v>0.97831000000000001</v>
      </c>
      <c r="N909" s="1868">
        <v>1.0344899999999999</v>
      </c>
      <c r="O909" s="1868">
        <v>0.98611000000000004</v>
      </c>
      <c r="P909" s="1868">
        <v>1.10683</v>
      </c>
      <c r="Q909" s="1868">
        <v>1.0991899999999999</v>
      </c>
      <c r="R909" s="1868">
        <v>1.1340600000000001</v>
      </c>
      <c r="S909" s="1868">
        <v>1.0939000000000001</v>
      </c>
      <c r="T909" s="1868">
        <v>1.4705600000000001</v>
      </c>
      <c r="U909" s="1868">
        <v>1.5878399999999999</v>
      </c>
      <c r="V909" s="1868">
        <v>1.50081</v>
      </c>
      <c r="W909" s="1868">
        <v>1.14533</v>
      </c>
      <c r="X909" s="1868">
        <v>1.2974000000000001</v>
      </c>
      <c r="Y909" s="1868">
        <v>1.2637499999999999</v>
      </c>
      <c r="Z909" s="1868">
        <v>1.1731200000000002</v>
      </c>
      <c r="AA909" s="1868">
        <v>1.13341</v>
      </c>
      <c r="AB909" s="1868">
        <v>1.2401899999999999</v>
      </c>
      <c r="AC909" s="1868">
        <v>1.53017</v>
      </c>
      <c r="AD909" s="1868">
        <v>1.64195</v>
      </c>
      <c r="AE909" s="1868">
        <v>1.0522100000000001</v>
      </c>
      <c r="AF909" s="1868">
        <v>1.11595</v>
      </c>
      <c r="AG909" s="1868">
        <v>1.4036600000000001</v>
      </c>
      <c r="AH909" s="1868">
        <v>1.5235799999999999</v>
      </c>
      <c r="AI909" s="1868">
        <v>1.39876</v>
      </c>
      <c r="AJ909" s="1868">
        <v>1.14968</v>
      </c>
      <c r="AK909" s="1868">
        <v>1.5707100000000001</v>
      </c>
      <c r="AL909" s="1868">
        <v>1.33911</v>
      </c>
      <c r="AM909" s="1868">
        <v>1.5642799999999999</v>
      </c>
      <c r="AN909" s="1868">
        <v>1.46794</v>
      </c>
      <c r="AO909" s="1868">
        <v>1.68947</v>
      </c>
      <c r="AP909" s="1868">
        <v>1.42103</v>
      </c>
      <c r="AQ909" s="1868">
        <v>1.5149299999999999</v>
      </c>
      <c r="AR909" s="1868">
        <v>1.5030399999999999</v>
      </c>
      <c r="AS909" s="1868">
        <v>1.3064200000000001</v>
      </c>
      <c r="AT909" s="1868">
        <v>1.3584200000000002</v>
      </c>
      <c r="AU909" s="1868">
        <v>1.3129899999999999</v>
      </c>
      <c r="AV909" s="1868">
        <v>1.6916400000000003</v>
      </c>
      <c r="AW909" s="1868">
        <v>1.42414</v>
      </c>
      <c r="AX909" s="1868">
        <v>1.59673</v>
      </c>
      <c r="AY909" s="1868">
        <v>1.6031500000000001</v>
      </c>
      <c r="AZ909" s="1868">
        <v>1.7319799999999999</v>
      </c>
      <c r="BA909" s="1868">
        <v>1.61592</v>
      </c>
    </row>
    <row r="910" spans="1:53">
      <c r="A910" s="1865" t="str">
        <f t="shared" si="14"/>
        <v>Northern AmericaSweet potatoes</v>
      </c>
      <c r="B910" s="1866" t="s">
        <v>1344</v>
      </c>
      <c r="C910" s="1866" t="s">
        <v>1403</v>
      </c>
      <c r="D910" s="1868">
        <v>8.8218499999999995</v>
      </c>
      <c r="E910" s="1868">
        <v>9.473180000000001</v>
      </c>
      <c r="F910" s="1868">
        <v>9.4241600000000005</v>
      </c>
      <c r="G910" s="1868">
        <v>9.6164300000000011</v>
      </c>
      <c r="H910" s="1868">
        <v>10.314360000000001</v>
      </c>
      <c r="I910" s="1868">
        <v>9.9236899999999988</v>
      </c>
      <c r="J910" s="1868">
        <v>10.836399999999999</v>
      </c>
      <c r="K910" s="1868">
        <v>11.0907</v>
      </c>
      <c r="L910" s="1868">
        <v>11.56128</v>
      </c>
      <c r="M910" s="1868">
        <v>11.59178</v>
      </c>
      <c r="N910" s="1868">
        <v>11.443949999999999</v>
      </c>
      <c r="O910" s="1868">
        <v>12.04257</v>
      </c>
      <c r="P910" s="1868">
        <v>12.2121</v>
      </c>
      <c r="Q910" s="1868">
        <v>12.66235</v>
      </c>
      <c r="R910" s="1868">
        <v>12.64471</v>
      </c>
      <c r="S910" s="1868">
        <v>12.972530000000001</v>
      </c>
      <c r="T910" s="1868">
        <v>12.450510000000001</v>
      </c>
      <c r="U910" s="1868">
        <v>13.09897</v>
      </c>
      <c r="V910" s="1868">
        <v>13.117770000000002</v>
      </c>
      <c r="W910" s="1868">
        <v>12.011439999999999</v>
      </c>
      <c r="X910" s="1868">
        <v>13.065760000000001</v>
      </c>
      <c r="Y910" s="1868">
        <v>14.406179999999999</v>
      </c>
      <c r="Z910" s="1868">
        <v>13.220870000000001</v>
      </c>
      <c r="AA910" s="1868">
        <v>14.048450000000001</v>
      </c>
      <c r="AB910" s="1868">
        <v>15.803510000000001</v>
      </c>
      <c r="AC910" s="1868">
        <v>15.248820000000002</v>
      </c>
      <c r="AD910" s="1868">
        <v>14.629129999999998</v>
      </c>
      <c r="AE910" s="1868">
        <v>14.344629999999999</v>
      </c>
      <c r="AF910" s="1868">
        <v>14.800689999999999</v>
      </c>
      <c r="AG910" s="1868">
        <v>15.778720000000002</v>
      </c>
      <c r="AH910" s="1868">
        <v>16.125820000000001</v>
      </c>
      <c r="AI910" s="1868">
        <v>16.325810000000001</v>
      </c>
      <c r="AJ910" s="1868">
        <v>15.45185</v>
      </c>
      <c r="AK910" s="1868">
        <v>18.13137</v>
      </c>
      <c r="AL910" s="1868">
        <v>17.291520000000002</v>
      </c>
      <c r="AM910" s="1868">
        <v>17.697649999999999</v>
      </c>
      <c r="AN910" s="1868">
        <v>18.1952</v>
      </c>
      <c r="AO910" s="1868">
        <v>16.561239999999998</v>
      </c>
      <c r="AP910" s="1868">
        <v>16.49869</v>
      </c>
      <c r="AQ910" s="1868">
        <v>16.291220000000003</v>
      </c>
      <c r="AR910" s="1868">
        <v>17.380289999999999</v>
      </c>
      <c r="AS910" s="1868">
        <v>17.429279999999999</v>
      </c>
      <c r="AT910" s="1868">
        <v>19.23199</v>
      </c>
      <c r="AU910" s="1868">
        <v>19.45795</v>
      </c>
      <c r="AV910" s="1868">
        <v>19.94257</v>
      </c>
      <c r="AW910" s="1868">
        <v>21.055720000000001</v>
      </c>
      <c r="AX910" s="1868">
        <v>20.791889999999999</v>
      </c>
      <c r="AY910" s="1868">
        <v>21.24316</v>
      </c>
      <c r="AZ910" s="1868">
        <v>22.517579999999999</v>
      </c>
      <c r="BA910" s="1868">
        <v>22.841339999999999</v>
      </c>
    </row>
    <row r="911" spans="1:53">
      <c r="A911" s="1865" t="str">
        <f t="shared" si="14"/>
        <v>Northern AmericaTangerines, mandarins, clem.</v>
      </c>
      <c r="B911" s="1866" t="s">
        <v>1344</v>
      </c>
      <c r="C911" s="1866" t="s">
        <v>1404</v>
      </c>
      <c r="D911" s="1868">
        <v>12.7285</v>
      </c>
      <c r="E911" s="1868">
        <v>12.500869999999999</v>
      </c>
      <c r="F911" s="1868">
        <v>8.0632000000000001</v>
      </c>
      <c r="G911" s="1868">
        <v>14.001250000000001</v>
      </c>
      <c r="H911" s="1868">
        <v>13.752360000000001</v>
      </c>
      <c r="I911" s="1868">
        <v>22.34254</v>
      </c>
      <c r="J911" s="1868">
        <v>23.605420000000002</v>
      </c>
      <c r="K911" s="1868">
        <v>18.324390000000001</v>
      </c>
      <c r="L911" s="1868">
        <v>17.07949</v>
      </c>
      <c r="M911" s="1868">
        <v>17.60069</v>
      </c>
      <c r="N911" s="1868">
        <v>17.510110000000001</v>
      </c>
      <c r="O911" s="1868">
        <v>18.311589999999999</v>
      </c>
      <c r="P911" s="1868">
        <v>17.522500000000001</v>
      </c>
      <c r="Q911" s="1868">
        <v>18.167200000000001</v>
      </c>
      <c r="R911" s="1868">
        <v>19.328240000000001</v>
      </c>
      <c r="S911" s="1868">
        <v>21.995889999999999</v>
      </c>
      <c r="T911" s="1868">
        <v>19.79983</v>
      </c>
      <c r="U911" s="1868">
        <v>22.420179999999998</v>
      </c>
      <c r="V911" s="1868">
        <v>22.520659999999999</v>
      </c>
      <c r="W911" s="1868">
        <v>29.928320000000003</v>
      </c>
      <c r="X911" s="1868">
        <v>22.821839999999998</v>
      </c>
      <c r="Y911" s="1868">
        <v>22.72805</v>
      </c>
      <c r="Z911" s="1868">
        <v>24.063860000000002</v>
      </c>
      <c r="AA911" s="1868">
        <v>24.21002</v>
      </c>
      <c r="AB911" s="1868">
        <v>24.687670000000001</v>
      </c>
      <c r="AC911" s="1868">
        <v>25.82255</v>
      </c>
      <c r="AD911" s="1868">
        <v>32.917209999999997</v>
      </c>
      <c r="AE911" s="1868">
        <v>33.272959999999998</v>
      </c>
      <c r="AF911" s="1868">
        <v>34.06615</v>
      </c>
      <c r="AG911" s="1868">
        <v>21.932660000000002</v>
      </c>
      <c r="AH911" s="1868">
        <v>24.982700000000001</v>
      </c>
      <c r="AI911" s="1868">
        <v>26.401450000000001</v>
      </c>
      <c r="AJ911" s="1868">
        <v>25.210079999999998</v>
      </c>
      <c r="AK911" s="1868">
        <v>26.635709999999996</v>
      </c>
      <c r="AL911" s="1868">
        <v>22.752890000000001</v>
      </c>
      <c r="AM911" s="1868">
        <v>21.536490000000001</v>
      </c>
      <c r="AN911" s="1868">
        <v>27.528809999999996</v>
      </c>
      <c r="AO911" s="1868">
        <v>22.029699999999998</v>
      </c>
      <c r="AP911" s="1868">
        <v>19.703489999999999</v>
      </c>
      <c r="AQ911" s="1868">
        <v>35.613509999999998</v>
      </c>
      <c r="AR911" s="1868">
        <v>20.938199999999998</v>
      </c>
      <c r="AS911" s="1868">
        <v>24.969290000000001</v>
      </c>
      <c r="AT911" s="1868">
        <v>23.396229999999999</v>
      </c>
      <c r="AU911" s="1868">
        <v>25.82225</v>
      </c>
      <c r="AV911" s="1868">
        <v>20.13316</v>
      </c>
      <c r="AW911" s="1868">
        <v>26.482320000000001</v>
      </c>
      <c r="AX911" s="1868">
        <v>21.989789999999999</v>
      </c>
      <c r="AY911" s="1868">
        <v>29.169620000000002</v>
      </c>
      <c r="AZ911" s="1868">
        <v>22.46771</v>
      </c>
      <c r="BA911" s="1868">
        <v>29.121659999999999</v>
      </c>
    </row>
    <row r="912" spans="1:53">
      <c r="A912" s="1865" t="str">
        <f t="shared" si="14"/>
        <v>Northern AmericaTobacco, unmanufactured</v>
      </c>
      <c r="B912" s="1866" t="s">
        <v>1344</v>
      </c>
      <c r="C912" s="1866" t="s">
        <v>1347</v>
      </c>
      <c r="D912" s="1868">
        <v>1.9406599999999998</v>
      </c>
      <c r="E912" s="1868">
        <v>2.0839699999999999</v>
      </c>
      <c r="F912" s="1868">
        <v>2.2108400000000001</v>
      </c>
      <c r="G912" s="1868">
        <v>2.2957000000000001</v>
      </c>
      <c r="H912" s="1868">
        <v>2.1203799999999999</v>
      </c>
      <c r="I912" s="1868">
        <v>2.1552799999999999</v>
      </c>
      <c r="J912" s="1868">
        <v>2.2212099999999997</v>
      </c>
      <c r="K912" s="1868">
        <v>2.13212</v>
      </c>
      <c r="L912" s="1868">
        <v>2.1869499999999999</v>
      </c>
      <c r="M912" s="1868">
        <v>2.37012</v>
      </c>
      <c r="N912" s="1868">
        <v>2.3131300000000001</v>
      </c>
      <c r="O912" s="1868">
        <v>2.29454</v>
      </c>
      <c r="P912" s="1868">
        <v>2.2235800000000001</v>
      </c>
      <c r="Q912" s="1868">
        <v>2.3221799999999999</v>
      </c>
      <c r="R912" s="1868">
        <v>2.2766500000000001</v>
      </c>
      <c r="S912" s="1868">
        <v>2.27874</v>
      </c>
      <c r="T912" s="1868">
        <v>2.2366099999999998</v>
      </c>
      <c r="U912" s="1868">
        <v>2.3580900000000002</v>
      </c>
      <c r="V912" s="1868">
        <v>2.07721</v>
      </c>
      <c r="W912" s="1868">
        <v>2.19062</v>
      </c>
      <c r="X912" s="1868">
        <v>2.36896</v>
      </c>
      <c r="Y912" s="1868">
        <v>2.43316</v>
      </c>
      <c r="Z912" s="1868">
        <v>2.07314</v>
      </c>
      <c r="AA912" s="1868">
        <v>2.4185099999999999</v>
      </c>
      <c r="AB912" s="1868">
        <v>2.4576700000000002</v>
      </c>
      <c r="AC912" s="1868">
        <v>2.2362700000000002</v>
      </c>
      <c r="AD912" s="1868">
        <v>2.2509700000000001</v>
      </c>
      <c r="AE912" s="1868">
        <v>2.3782099999999997</v>
      </c>
      <c r="AF912" s="1868">
        <v>2.2806099999999998</v>
      </c>
      <c r="AG912" s="1868">
        <v>2.4555700000000003</v>
      </c>
      <c r="AH912" s="1868">
        <v>2.45601</v>
      </c>
      <c r="AI912" s="1868">
        <v>2.4601799999999998</v>
      </c>
      <c r="AJ912" s="1868">
        <v>2.4263699999999999</v>
      </c>
      <c r="AK912" s="1868">
        <v>2.64771</v>
      </c>
      <c r="AL912" s="1868">
        <v>2.2023099999999998</v>
      </c>
      <c r="AM912" s="1868">
        <v>2.3545700000000003</v>
      </c>
      <c r="AN912" s="1868">
        <v>2.4234499999999999</v>
      </c>
      <c r="AO912" s="1868">
        <v>2.3404799999999999</v>
      </c>
      <c r="AP912" s="1868">
        <v>2.2864</v>
      </c>
      <c r="AQ912" s="1868">
        <v>2.4828700000000001</v>
      </c>
      <c r="AR912" s="1868">
        <v>2.5572499999999998</v>
      </c>
      <c r="AS912" s="1868">
        <v>2.3437299999999999</v>
      </c>
      <c r="AT912" s="1868">
        <v>2.25007</v>
      </c>
      <c r="AU912" s="1868">
        <v>2.4466799999999997</v>
      </c>
      <c r="AV912" s="1868">
        <v>2.4633799999999999</v>
      </c>
      <c r="AW912" s="1868">
        <v>2.43615</v>
      </c>
      <c r="AX912" s="1868">
        <v>2.49905</v>
      </c>
      <c r="AY912" s="1868">
        <v>2.5506799999999998</v>
      </c>
      <c r="AZ912" s="1868">
        <v>2.62453</v>
      </c>
      <c r="BA912" s="1868">
        <v>2.4071899999999999</v>
      </c>
    </row>
    <row r="913" spans="1:53">
      <c r="A913" s="1865" t="str">
        <f t="shared" si="14"/>
        <v>Northern AmericaTomatoes</v>
      </c>
      <c r="B913" s="1866" t="s">
        <v>1344</v>
      </c>
      <c r="C913" s="1866" t="s">
        <v>1406</v>
      </c>
      <c r="D913" s="1868">
        <v>25.57687</v>
      </c>
      <c r="E913" s="1868">
        <v>29.6602</v>
      </c>
      <c r="F913" s="1868">
        <v>27.951250000000002</v>
      </c>
      <c r="G913" s="1868">
        <v>29.060970000000001</v>
      </c>
      <c r="H913" s="1868">
        <v>30.162659999999999</v>
      </c>
      <c r="I913" s="1868">
        <v>28.319809999999997</v>
      </c>
      <c r="J913" s="1868">
        <v>29.254390000000001</v>
      </c>
      <c r="K913" s="1868">
        <v>34.269259999999996</v>
      </c>
      <c r="L913" s="1868">
        <v>31.327159999999999</v>
      </c>
      <c r="M913" s="1868">
        <v>34.102319999999999</v>
      </c>
      <c r="N913" s="1868">
        <v>36.287750000000003</v>
      </c>
      <c r="O913" s="1868">
        <v>36.795380000000002</v>
      </c>
      <c r="P913" s="1868">
        <v>35.728490000000001</v>
      </c>
      <c r="Q913" s="1868">
        <v>38.519870000000004</v>
      </c>
      <c r="R913" s="1868">
        <v>41.664770000000004</v>
      </c>
      <c r="S913" s="1868">
        <v>38.702170000000002</v>
      </c>
      <c r="T913" s="1868">
        <v>41.67568</v>
      </c>
      <c r="U913" s="1868">
        <v>39.367870000000003</v>
      </c>
      <c r="V913" s="1868">
        <v>43.27393</v>
      </c>
      <c r="W913" s="1868">
        <v>42.492420000000003</v>
      </c>
      <c r="X913" s="1868">
        <v>40.893599999999999</v>
      </c>
      <c r="Y913" s="1868">
        <v>45.969239999999999</v>
      </c>
      <c r="Z913" s="1868">
        <v>44.833120000000001</v>
      </c>
      <c r="AA913" s="1868">
        <v>48.141150000000003</v>
      </c>
      <c r="AB913" s="1868">
        <v>49.03792</v>
      </c>
      <c r="AC913" s="1868">
        <v>51.936489999999999</v>
      </c>
      <c r="AD913" s="1868">
        <v>52.223669999999998</v>
      </c>
      <c r="AE913" s="1868">
        <v>48.5687</v>
      </c>
      <c r="AF913" s="1868">
        <v>53.626109999999997</v>
      </c>
      <c r="AG913" s="1868">
        <v>54.649640000000005</v>
      </c>
      <c r="AH913" s="1868">
        <v>56.888040000000004</v>
      </c>
      <c r="AI913" s="1868">
        <v>58.141849999999998</v>
      </c>
      <c r="AJ913" s="1868">
        <v>57.995809999999999</v>
      </c>
      <c r="AK913" s="1868">
        <v>62.825569999999992</v>
      </c>
      <c r="AL913" s="1868">
        <v>61.027169999999998</v>
      </c>
      <c r="AM913" s="1868">
        <v>63.710809999999995</v>
      </c>
      <c r="AN913" s="1868">
        <v>65.162230000000008</v>
      </c>
      <c r="AO913" s="1868">
        <v>59.700559999999996</v>
      </c>
      <c r="AP913" s="1868">
        <v>68.593069999999997</v>
      </c>
      <c r="AQ913" s="1868">
        <v>75.548740000000009</v>
      </c>
      <c r="AR913" s="1868">
        <v>67.311790000000002</v>
      </c>
      <c r="AS913" s="1868">
        <v>75.915909999999997</v>
      </c>
      <c r="AT913" s="1868">
        <v>68.994569999999996</v>
      </c>
      <c r="AU913" s="1868">
        <v>81.370540000000005</v>
      </c>
      <c r="AV913" s="1868">
        <v>73.741730000000004</v>
      </c>
      <c r="AW913" s="1868">
        <v>73.791169999999994</v>
      </c>
      <c r="AX913" s="1868">
        <v>84.025990000000007</v>
      </c>
      <c r="AY913" s="1868">
        <v>79.187299999999993</v>
      </c>
      <c r="AZ913" s="1868">
        <v>79.939449999999994</v>
      </c>
      <c r="BA913" s="1868">
        <v>80.772800000000004</v>
      </c>
    </row>
    <row r="914" spans="1:53">
      <c r="A914" s="1865" t="str">
        <f t="shared" si="14"/>
        <v>Northern AmericaTriticale</v>
      </c>
      <c r="B914" s="1866" t="s">
        <v>1344</v>
      </c>
      <c r="C914" s="1866" t="s">
        <v>1361</v>
      </c>
      <c r="AF914" s="1868">
        <v>2.1957900000000001</v>
      </c>
      <c r="AG914" s="1868">
        <v>2.6396700000000002</v>
      </c>
      <c r="AH914" s="1868">
        <v>2.1957900000000001</v>
      </c>
      <c r="AI914" s="1868">
        <v>2.3333300000000001</v>
      </c>
      <c r="AJ914" s="1868">
        <v>2.3923099999999997</v>
      </c>
      <c r="AK914" s="1868">
        <v>2.2994400000000002</v>
      </c>
      <c r="AL914" s="1868">
        <v>2.41818</v>
      </c>
      <c r="AM914" s="1868">
        <v>2.1204800000000001</v>
      </c>
      <c r="AN914" s="1868">
        <v>2.0666700000000002</v>
      </c>
      <c r="AO914" s="1868">
        <v>2.4028200000000002</v>
      </c>
      <c r="AP914" s="1868">
        <v>3.0263800000000001</v>
      </c>
      <c r="AQ914" s="1868">
        <v>2.4642900000000001</v>
      </c>
      <c r="AR914" s="1868">
        <v>2.4186099999999997</v>
      </c>
      <c r="AS914" s="1868">
        <v>1.9548900000000002</v>
      </c>
      <c r="AT914" s="1868">
        <v>1.9166700000000001</v>
      </c>
      <c r="AU914" s="1868">
        <v>2.8268599999999999</v>
      </c>
      <c r="AV914" s="1868">
        <v>2.5411799999999998</v>
      </c>
      <c r="AW914" s="1868">
        <v>2.20492</v>
      </c>
      <c r="AX914" s="1868">
        <v>2.32673</v>
      </c>
      <c r="AY914" s="1868">
        <v>2.39873</v>
      </c>
      <c r="AZ914" s="1868">
        <v>2.4793400000000001</v>
      </c>
      <c r="BA914" s="1868">
        <v>2.9729700000000001</v>
      </c>
    </row>
    <row r="915" spans="1:53">
      <c r="A915" s="1865" t="str">
        <f t="shared" si="14"/>
        <v>Northern AmericaVegetables fresh nes</v>
      </c>
      <c r="B915" s="1866" t="s">
        <v>1344</v>
      </c>
      <c r="C915" s="1866" t="s">
        <v>1407</v>
      </c>
      <c r="D915" s="1868">
        <v>23.119770000000003</v>
      </c>
      <c r="E915" s="1868">
        <v>24.118089999999999</v>
      </c>
      <c r="F915" s="1868">
        <v>23.68543</v>
      </c>
      <c r="G915" s="1868">
        <v>23.706889999999998</v>
      </c>
      <c r="H915" s="1868">
        <v>24.099079999999997</v>
      </c>
      <c r="I915" s="1868">
        <v>22.346879999999999</v>
      </c>
      <c r="J915" s="1868">
        <v>24.28302</v>
      </c>
      <c r="K915" s="1868">
        <v>25.072240000000001</v>
      </c>
      <c r="L915" s="1868">
        <v>24.51483</v>
      </c>
      <c r="M915" s="1868">
        <v>25.150359999999999</v>
      </c>
      <c r="N915" s="1868">
        <v>25.839679999999998</v>
      </c>
      <c r="O915" s="1868">
        <v>25.909199999999998</v>
      </c>
      <c r="P915" s="1868">
        <v>30.340399999999999</v>
      </c>
      <c r="Q915" s="1868">
        <v>27.65523</v>
      </c>
      <c r="R915" s="1868">
        <v>32.824339999999999</v>
      </c>
      <c r="S915" s="1868">
        <v>26.738509999999998</v>
      </c>
      <c r="T915" s="1868">
        <v>26.77525</v>
      </c>
      <c r="U915" s="1868">
        <v>24.010720000000003</v>
      </c>
      <c r="V915" s="1868">
        <v>26.855840000000001</v>
      </c>
      <c r="W915" s="1868">
        <v>26.868509999999997</v>
      </c>
      <c r="X915" s="1868">
        <v>27.745249999999999</v>
      </c>
      <c r="Y915" s="1868">
        <v>28.625679999999999</v>
      </c>
      <c r="Z915" s="1868">
        <v>28.729040000000001</v>
      </c>
      <c r="AA915" s="1868">
        <v>29.589509999999997</v>
      </c>
      <c r="AB915" s="1868">
        <v>32.603429999999996</v>
      </c>
      <c r="AC915" s="1868">
        <v>33.287079999999996</v>
      </c>
      <c r="AD915" s="1868">
        <v>33.379860000000001</v>
      </c>
      <c r="AE915" s="1868">
        <v>35.328490000000002</v>
      </c>
      <c r="AF915" s="1868">
        <v>38.784649999999999</v>
      </c>
      <c r="AG915" s="1868">
        <v>39.432459999999999</v>
      </c>
      <c r="AH915" s="1868">
        <v>40.197949999999999</v>
      </c>
      <c r="AI915" s="1868">
        <v>48.725110000000001</v>
      </c>
      <c r="AJ915" s="1868">
        <v>49.815899999999999</v>
      </c>
      <c r="AK915" s="1868">
        <v>48.578070000000004</v>
      </c>
      <c r="AL915" s="1868">
        <v>51.728259999999999</v>
      </c>
      <c r="AM915" s="1868">
        <v>50.842300000000002</v>
      </c>
      <c r="AN915" s="1868">
        <v>54.748230000000007</v>
      </c>
      <c r="AO915" s="1868">
        <v>53.480240000000002</v>
      </c>
      <c r="AP915" s="1868">
        <v>51.401140000000005</v>
      </c>
      <c r="AQ915" s="1868">
        <v>62.581480000000006</v>
      </c>
      <c r="AR915" s="1868">
        <v>58.8767</v>
      </c>
      <c r="AS915" s="1868">
        <v>61.154540000000004</v>
      </c>
      <c r="AT915" s="1868">
        <v>61.871180000000003</v>
      </c>
      <c r="AU915" s="1868">
        <v>62.082749999999997</v>
      </c>
      <c r="AV915" s="1868">
        <v>61.347619999999992</v>
      </c>
      <c r="AW915" s="1868">
        <v>61.276680000000006</v>
      </c>
      <c r="AX915" s="1868">
        <v>63.808259999999997</v>
      </c>
      <c r="AY915" s="1868">
        <v>63.169800000000002</v>
      </c>
      <c r="AZ915" s="1868">
        <v>60.789730000000006</v>
      </c>
      <c r="BA915" s="1868">
        <v>58.261519999999997</v>
      </c>
    </row>
    <row r="916" spans="1:53">
      <c r="A916" s="1865" t="str">
        <f t="shared" si="14"/>
        <v>Northern AmericaWheat</v>
      </c>
      <c r="B916" s="1866" t="s">
        <v>1344</v>
      </c>
      <c r="C916" s="1866" t="s">
        <v>1409</v>
      </c>
      <c r="D916" s="1868">
        <v>1.32579</v>
      </c>
      <c r="E916" s="1868">
        <v>1.58101</v>
      </c>
      <c r="F916" s="1868">
        <v>1.7213799999999999</v>
      </c>
      <c r="G916" s="1868">
        <v>1.59463</v>
      </c>
      <c r="H916" s="1868">
        <v>1.6972599999999998</v>
      </c>
      <c r="I916" s="1868">
        <v>1.8081799999999999</v>
      </c>
      <c r="J916" s="1868">
        <v>1.5967</v>
      </c>
      <c r="K916" s="1868">
        <v>1.7626700000000002</v>
      </c>
      <c r="L916" s="1868">
        <v>1.9715900000000002</v>
      </c>
      <c r="M916" s="1868">
        <v>2.0196499999999999</v>
      </c>
      <c r="N916" s="1868">
        <v>2.1533599999999997</v>
      </c>
      <c r="O916" s="1868">
        <v>2.0371000000000001</v>
      </c>
      <c r="P916" s="1868">
        <v>1.9919</v>
      </c>
      <c r="Q916" s="1868">
        <v>1.7462099999999998</v>
      </c>
      <c r="R916" s="1868">
        <v>1.9936200000000002</v>
      </c>
      <c r="S916" s="1868">
        <v>2.0540500000000002</v>
      </c>
      <c r="T916" s="1868">
        <v>2.03573</v>
      </c>
      <c r="U916" s="1868">
        <v>2.0772599999999999</v>
      </c>
      <c r="V916" s="1868">
        <v>2.10284</v>
      </c>
      <c r="W916" s="1868">
        <v>2.1027099999999996</v>
      </c>
      <c r="X916" s="1868">
        <v>2.2326799999999998</v>
      </c>
      <c r="Y916" s="1868">
        <v>2.31419</v>
      </c>
      <c r="Z916" s="1868">
        <v>2.3965200000000002</v>
      </c>
      <c r="AA916" s="1868">
        <v>2.28112</v>
      </c>
      <c r="AB916" s="1868">
        <v>2.2605900000000001</v>
      </c>
      <c r="AC916" s="1868">
        <v>2.2758099999999999</v>
      </c>
      <c r="AD916" s="1868">
        <v>2.3074300000000001</v>
      </c>
      <c r="AE916" s="1868">
        <v>1.8925000000000001</v>
      </c>
      <c r="AF916" s="1868">
        <v>2.0631400000000002</v>
      </c>
      <c r="AG916" s="1868">
        <v>2.5293799999999997</v>
      </c>
      <c r="AH916" s="1868">
        <v>2.28573</v>
      </c>
      <c r="AI916" s="1868">
        <v>2.4729900000000002</v>
      </c>
      <c r="AJ916" s="1868">
        <v>2.44956</v>
      </c>
      <c r="AK916" s="1868">
        <v>2.4066999999999998</v>
      </c>
      <c r="AL916" s="1868">
        <v>2.3568500000000001</v>
      </c>
      <c r="AM916" s="1868">
        <v>2.4361200000000003</v>
      </c>
      <c r="AN916" s="1868">
        <v>2.4933900000000002</v>
      </c>
      <c r="AO916" s="1868">
        <v>2.7029999999999998</v>
      </c>
      <c r="AP916" s="1868">
        <v>2.7835799999999997</v>
      </c>
      <c r="AQ916" s="1868">
        <v>2.6964999999999999</v>
      </c>
      <c r="AR916" s="1868">
        <v>2.4363099999999998</v>
      </c>
      <c r="AS916" s="1868">
        <v>2.1891500000000002</v>
      </c>
      <c r="AT916" s="1868">
        <v>2.7407900000000001</v>
      </c>
      <c r="AU916" s="1868">
        <v>2.8196500000000002</v>
      </c>
      <c r="AV916" s="1868">
        <v>2.7961299999999998</v>
      </c>
      <c r="AW916" s="1868">
        <v>2.6023099999999997</v>
      </c>
      <c r="AX916" s="1868">
        <v>2.5917699999999999</v>
      </c>
      <c r="AY916" s="1868">
        <v>2.9665300000000001</v>
      </c>
      <c r="AZ916" s="1868">
        <v>2.92374</v>
      </c>
      <c r="BA916" s="1868">
        <v>3.0228200000000003</v>
      </c>
    </row>
    <row r="917" spans="1:53">
      <c r="A917" s="1865" t="str">
        <f t="shared" si="14"/>
        <v>Northern AmericaCereals (Rice Milled Eqv</v>
      </c>
      <c r="B917" s="1866" t="s">
        <v>1344</v>
      </c>
      <c r="C917" s="1866" t="s">
        <v>1410</v>
      </c>
      <c r="D917" s="1868">
        <v>2.1932800000000001</v>
      </c>
      <c r="E917" s="1868">
        <v>2.4174000000000002</v>
      </c>
      <c r="F917" s="1868">
        <v>2.5669</v>
      </c>
      <c r="G917" s="1868">
        <v>2.3644099999999999</v>
      </c>
      <c r="H917" s="1868">
        <v>2.7168299999999999</v>
      </c>
      <c r="I917" s="1868">
        <v>2.74674</v>
      </c>
      <c r="J917" s="1868">
        <v>2.7654700000000001</v>
      </c>
      <c r="K917" s="1868">
        <v>2.8393799999999998</v>
      </c>
      <c r="L917" s="1868">
        <v>3.0903700000000001</v>
      </c>
      <c r="M917" s="1868">
        <v>2.9427400000000001</v>
      </c>
      <c r="N917" s="1868">
        <v>3.35981</v>
      </c>
      <c r="O917" s="1868">
        <v>3.4412400000000001</v>
      </c>
      <c r="P917" s="1868">
        <v>3.2759999999999998</v>
      </c>
      <c r="Q917" s="1868">
        <v>2.71373</v>
      </c>
      <c r="R917" s="1868">
        <v>3.1565400000000001</v>
      </c>
      <c r="S917" s="1868">
        <v>3.2478199999999999</v>
      </c>
      <c r="T917" s="1868">
        <v>3.3757999999999999</v>
      </c>
      <c r="U917" s="1868">
        <v>3.6891199999999995</v>
      </c>
      <c r="V917" s="1868">
        <v>3.9106300000000003</v>
      </c>
      <c r="W917" s="1868">
        <v>3.4003199999999998</v>
      </c>
      <c r="X917" s="1868">
        <v>3.8121199999999997</v>
      </c>
      <c r="Y917" s="1868">
        <v>3.9317699999999998</v>
      </c>
      <c r="Z917" s="1868">
        <v>3.1600700000000002</v>
      </c>
      <c r="AA917" s="1868">
        <v>3.8195999999999999</v>
      </c>
      <c r="AB917" s="1868">
        <v>4.1584699999999994</v>
      </c>
      <c r="AC917" s="1868">
        <v>4.1479099999999995</v>
      </c>
      <c r="AD917" s="1868">
        <v>4.0873800000000005</v>
      </c>
      <c r="AE917" s="1868">
        <v>3.15496</v>
      </c>
      <c r="AF917" s="1868">
        <v>3.8615900000000001</v>
      </c>
      <c r="AG917" s="1868">
        <v>4.20479</v>
      </c>
      <c r="AH917" s="1868">
        <v>3.9957800000000003</v>
      </c>
      <c r="AI917" s="1868">
        <v>4.6488899999999997</v>
      </c>
      <c r="AJ917" s="1868">
        <v>3.86781</v>
      </c>
      <c r="AK917" s="1868">
        <v>4.8760500000000002</v>
      </c>
      <c r="AL917" s="1868">
        <v>4.1556499999999996</v>
      </c>
      <c r="AM917" s="1868">
        <v>4.5853199999999994</v>
      </c>
      <c r="AN917" s="1868">
        <v>4.6216499999999998</v>
      </c>
      <c r="AO917" s="1868">
        <v>4.9775499999999999</v>
      </c>
      <c r="AP917" s="1868">
        <v>5.0828300000000004</v>
      </c>
      <c r="AQ917" s="1868">
        <v>5.0932699999999995</v>
      </c>
      <c r="AR917" s="1868">
        <v>5.0088999999999997</v>
      </c>
      <c r="AS917" s="1868">
        <v>4.8008199999999999</v>
      </c>
      <c r="AT917" s="1868">
        <v>5.2147600000000001</v>
      </c>
      <c r="AU917" s="1868">
        <v>5.9815500000000004</v>
      </c>
      <c r="AV917" s="1868">
        <v>5.6990499999999997</v>
      </c>
      <c r="AW917" s="1868">
        <v>5.5802199999999997</v>
      </c>
      <c r="AX917" s="1868">
        <v>5.8895400000000002</v>
      </c>
      <c r="AY917" s="1868">
        <v>5.8901500000000002</v>
      </c>
      <c r="AZ917" s="1868">
        <v>6.3795900000000003</v>
      </c>
      <c r="BA917" s="1868">
        <v>6.2898100000000001</v>
      </c>
    </row>
    <row r="918" spans="1:53">
      <c r="A918" s="1865" t="str">
        <f t="shared" si="14"/>
        <v>Northern EuropeBarley</v>
      </c>
      <c r="B918" s="1866" t="s">
        <v>1346</v>
      </c>
      <c r="C918" s="1866" t="s">
        <v>1363</v>
      </c>
      <c r="D918" s="1868">
        <v>3.1785999999999999</v>
      </c>
      <c r="E918" s="1868">
        <v>3.4047900000000002</v>
      </c>
      <c r="F918" s="1868">
        <v>3.2737099999999999</v>
      </c>
      <c r="G918" s="1868">
        <v>3.5119400000000001</v>
      </c>
      <c r="H918" s="1868">
        <v>3.5556199999999998</v>
      </c>
      <c r="I918" s="1868">
        <v>3.2800599999999998</v>
      </c>
      <c r="J918" s="1868">
        <v>3.5088499999999998</v>
      </c>
      <c r="K918" s="1868">
        <v>3.4862099999999998</v>
      </c>
      <c r="L918" s="1868">
        <v>3.4750699999999997</v>
      </c>
      <c r="M918" s="1868">
        <v>3.3042899999999999</v>
      </c>
      <c r="N918" s="1868">
        <v>3.6709400000000003</v>
      </c>
      <c r="O918" s="1868">
        <v>3.7321300000000002</v>
      </c>
      <c r="P918" s="1868">
        <v>3.58935</v>
      </c>
      <c r="Q918" s="1868">
        <v>3.9382099999999998</v>
      </c>
      <c r="R918" s="1868">
        <v>3.4607999999999999</v>
      </c>
      <c r="S918" s="1868">
        <v>3.3447</v>
      </c>
      <c r="T918" s="1868">
        <v>3.9778300000000004</v>
      </c>
      <c r="U918" s="1868">
        <v>3.8993900000000004</v>
      </c>
      <c r="V918" s="1868">
        <v>3.86206</v>
      </c>
      <c r="W918" s="1868">
        <v>3.9752000000000001</v>
      </c>
      <c r="X918" s="1868">
        <v>3.9081999999999999</v>
      </c>
      <c r="Y918" s="1868">
        <v>4.3824300000000003</v>
      </c>
      <c r="Z918" s="1868">
        <v>3.9319800000000003</v>
      </c>
      <c r="AA918" s="1868">
        <v>4.9345699999999999</v>
      </c>
      <c r="AB918" s="1868">
        <v>4.3959900000000003</v>
      </c>
      <c r="AC918" s="1868">
        <v>4.5391300000000001</v>
      </c>
      <c r="AD918" s="1868">
        <v>4.3265900000000004</v>
      </c>
      <c r="AE918" s="1868">
        <v>4.2052899999999998</v>
      </c>
      <c r="AF918" s="1868">
        <v>4.5652300000000006</v>
      </c>
      <c r="AG918" s="1868">
        <v>4.9769600000000001</v>
      </c>
      <c r="AH918" s="1868">
        <v>4.8982299999999999</v>
      </c>
      <c r="AI918" s="1868">
        <v>3.4451499999999999</v>
      </c>
      <c r="AJ918" s="1868">
        <v>3.9571999999999998</v>
      </c>
      <c r="AK918" s="1868">
        <v>3.8800300000000001</v>
      </c>
      <c r="AL918" s="1868">
        <v>4.17584</v>
      </c>
      <c r="AM918" s="1868">
        <v>4.6707099999999997</v>
      </c>
      <c r="AN918" s="1868">
        <v>4.4473599999999998</v>
      </c>
      <c r="AO918" s="1868">
        <v>4.0294400000000001</v>
      </c>
      <c r="AP918" s="1868">
        <v>4.1249000000000002</v>
      </c>
      <c r="AQ918" s="1868">
        <v>4.5454600000000003</v>
      </c>
      <c r="AR918" s="1868">
        <v>4.4293899999999997</v>
      </c>
      <c r="AS918" s="1868">
        <v>4.3349000000000002</v>
      </c>
      <c r="AT918" s="1868">
        <v>4.5989500000000003</v>
      </c>
      <c r="AU918" s="1868">
        <v>4.6170499999999999</v>
      </c>
      <c r="AV918" s="1868">
        <v>4.5410399999999997</v>
      </c>
      <c r="AW918" s="1868">
        <v>4.26051</v>
      </c>
      <c r="AX918" s="1868">
        <v>4.4544899999999998</v>
      </c>
      <c r="AY918" s="1868">
        <v>4.6060400000000001</v>
      </c>
      <c r="AZ918" s="1868">
        <v>4.8728300000000004</v>
      </c>
      <c r="BA918" s="1868">
        <v>4.5439800000000004</v>
      </c>
    </row>
    <row r="919" spans="1:53">
      <c r="A919" s="1865" t="str">
        <f t="shared" si="14"/>
        <v>Northern EuropeBeans, dry</v>
      </c>
      <c r="B919" s="1866" t="s">
        <v>1346</v>
      </c>
      <c r="C919" s="1866" t="s">
        <v>1364</v>
      </c>
      <c r="D919" s="1868">
        <v>2</v>
      </c>
      <c r="E919" s="1868">
        <v>1.3</v>
      </c>
      <c r="F919" s="1868">
        <v>1.4969299999999999</v>
      </c>
      <c r="G919" s="1868">
        <v>1</v>
      </c>
      <c r="H919" s="1868">
        <v>1.7</v>
      </c>
      <c r="I919" s="1868">
        <v>2.1</v>
      </c>
      <c r="J919" s="1868">
        <v>1.4</v>
      </c>
      <c r="K919" s="1868">
        <v>1.8</v>
      </c>
      <c r="L919" s="1868">
        <v>1.38571</v>
      </c>
      <c r="M919" s="1868">
        <v>1.93333</v>
      </c>
      <c r="N919" s="1868">
        <v>1.6666700000000001</v>
      </c>
      <c r="O919" s="1868">
        <v>2</v>
      </c>
      <c r="P919" s="1868">
        <v>1.47407</v>
      </c>
      <c r="Q919" s="1868">
        <v>1.45455</v>
      </c>
      <c r="R919" s="1868">
        <v>1.0480799999999999</v>
      </c>
      <c r="S919" s="1868">
        <v>1.7317099999999999</v>
      </c>
      <c r="T919" s="1868">
        <v>1.8333299999999999</v>
      </c>
      <c r="U919" s="1868">
        <v>1.8057799999999999</v>
      </c>
      <c r="V919" s="1868">
        <v>2.4105500000000002</v>
      </c>
      <c r="W919" s="1868">
        <v>1.9324400000000002</v>
      </c>
      <c r="X919" s="1868">
        <v>1.0222200000000001</v>
      </c>
      <c r="Y919" s="1868">
        <v>0.66064999999999996</v>
      </c>
      <c r="Z919" s="1868">
        <v>0.73971000000000009</v>
      </c>
      <c r="AA919" s="1868">
        <v>1.1886000000000001</v>
      </c>
      <c r="AB919" s="1868">
        <v>1.6600400000000002</v>
      </c>
      <c r="AC919" s="1868">
        <v>2.0144299999999999</v>
      </c>
      <c r="AD919" s="1868">
        <v>1.6039399999999999</v>
      </c>
      <c r="AE919" s="1868">
        <v>2.1878799999999998</v>
      </c>
      <c r="AF919" s="1868">
        <v>3.10859</v>
      </c>
      <c r="AG919" s="1868">
        <v>2.6089000000000002</v>
      </c>
      <c r="AH919" s="1868">
        <v>2.4855499999999999</v>
      </c>
      <c r="AI919" s="1868">
        <v>2.5567199999999999</v>
      </c>
      <c r="AJ919" s="1868">
        <v>3.07517</v>
      </c>
      <c r="AK919" s="1868">
        <v>2.9892799999999999</v>
      </c>
      <c r="AL919" s="1868">
        <v>3.36164</v>
      </c>
      <c r="AM919" s="1868">
        <v>3.2673900000000002</v>
      </c>
      <c r="AN919" s="1868">
        <v>2.93662</v>
      </c>
      <c r="AO919" s="1868">
        <v>3.3747500000000001</v>
      </c>
      <c r="AP919" s="1868">
        <v>2.6898499999999999</v>
      </c>
      <c r="AQ919" s="1868">
        <v>2.7668699999999999</v>
      </c>
      <c r="AR919" s="1868">
        <v>2.8501400000000001</v>
      </c>
      <c r="AS919" s="1868">
        <v>2.0819700000000001</v>
      </c>
      <c r="AT919" s="1868">
        <v>2.9229599999999998</v>
      </c>
      <c r="AU919" s="1868">
        <v>3.2972099999999998</v>
      </c>
      <c r="AV919" s="1868">
        <v>2.6622699999999999</v>
      </c>
      <c r="AW919" s="1868">
        <v>2.1655799999999998</v>
      </c>
      <c r="AX919" s="1868">
        <v>2.75332</v>
      </c>
      <c r="AY919" s="1868">
        <v>2.5990700000000002</v>
      </c>
      <c r="AZ919" s="1868">
        <v>3.4329000000000001</v>
      </c>
      <c r="BA919" s="1868">
        <v>2.7557200000000002</v>
      </c>
    </row>
    <row r="920" spans="1:53">
      <c r="A920" s="1865" t="str">
        <f t="shared" si="14"/>
        <v>Northern EuropeBeans, green</v>
      </c>
      <c r="B920" s="1866" t="s">
        <v>1346</v>
      </c>
      <c r="C920" s="1866" t="s">
        <v>1365</v>
      </c>
      <c r="D920" s="1868">
        <v>7.6147800000000005</v>
      </c>
      <c r="E920" s="1868">
        <v>7.2035800000000005</v>
      </c>
      <c r="F920" s="1868">
        <v>7.877489999999999</v>
      </c>
      <c r="G920" s="1868">
        <v>8.522689999999999</v>
      </c>
      <c r="H920" s="1868">
        <v>8.3112999999999992</v>
      </c>
      <c r="I920" s="1868">
        <v>8.8081700000000005</v>
      </c>
      <c r="J920" s="1868">
        <v>9.8744300000000003</v>
      </c>
      <c r="K920" s="1868">
        <v>7.8596699999999995</v>
      </c>
      <c r="L920" s="1868">
        <v>10.32057</v>
      </c>
      <c r="M920" s="1868">
        <v>10.159239999999999</v>
      </c>
      <c r="N920" s="1868">
        <v>10.8576</v>
      </c>
      <c r="O920" s="1868">
        <v>9.7054100000000005</v>
      </c>
      <c r="P920" s="1868">
        <v>10.203200000000001</v>
      </c>
      <c r="Q920" s="1868">
        <v>10.24722</v>
      </c>
      <c r="R920" s="1868">
        <v>7.3989500000000001</v>
      </c>
      <c r="S920" s="1868">
        <v>7.4130199999999995</v>
      </c>
      <c r="T920" s="1868">
        <v>8.2568999999999999</v>
      </c>
      <c r="U920" s="1868">
        <v>8.4475300000000004</v>
      </c>
      <c r="V920" s="1868">
        <v>9.5647199999999994</v>
      </c>
      <c r="W920" s="1868">
        <v>7.5992699999999997</v>
      </c>
      <c r="X920" s="1868">
        <v>8.7324099999999998</v>
      </c>
      <c r="Y920" s="1868">
        <v>10.422499999999999</v>
      </c>
      <c r="Z920" s="1868">
        <v>9.143889999999999</v>
      </c>
      <c r="AA920" s="1868">
        <v>10.21768</v>
      </c>
      <c r="AB920" s="1868">
        <v>8.8141499999999997</v>
      </c>
      <c r="AC920" s="1868">
        <v>9.3337199999999996</v>
      </c>
      <c r="AD920" s="1868">
        <v>6.972760000000001</v>
      </c>
      <c r="AE920" s="1868">
        <v>7.2210600000000005</v>
      </c>
      <c r="AF920" s="1868">
        <v>7.0825399999999998</v>
      </c>
      <c r="AG920" s="1868">
        <v>6.4604699999999999</v>
      </c>
      <c r="AH920" s="1868">
        <v>8.1128</v>
      </c>
      <c r="AI920" s="1868">
        <v>7.8213100000000004</v>
      </c>
      <c r="AJ920" s="1868">
        <v>11.04163</v>
      </c>
      <c r="AK920" s="1868">
        <v>10.23868</v>
      </c>
      <c r="AL920" s="1868">
        <v>8.3321000000000005</v>
      </c>
      <c r="AM920" s="1868">
        <v>10.09351</v>
      </c>
      <c r="AN920" s="1868">
        <v>9.9676899999999993</v>
      </c>
      <c r="AO920" s="1868">
        <v>12.06587</v>
      </c>
      <c r="AP920" s="1868">
        <v>11.554219999999999</v>
      </c>
      <c r="AQ920" s="1868">
        <v>11.454369999999999</v>
      </c>
      <c r="AR920" s="1868">
        <v>10.497769999999999</v>
      </c>
      <c r="AS920" s="1868">
        <v>10.83897</v>
      </c>
      <c r="AT920" s="1868">
        <v>9.8812800000000003</v>
      </c>
      <c r="AU920" s="1868">
        <v>9.1443700000000003</v>
      </c>
      <c r="AV920" s="1868">
        <v>9.49817</v>
      </c>
      <c r="AW920" s="1868">
        <v>8.4042899999999996</v>
      </c>
      <c r="AX920" s="1868">
        <v>7.6261800000000006</v>
      </c>
      <c r="AY920" s="1868">
        <v>8.0289399999999986</v>
      </c>
      <c r="AZ920" s="1868">
        <v>7.67638</v>
      </c>
      <c r="BA920" s="1868">
        <v>8.1089000000000002</v>
      </c>
    </row>
    <row r="921" spans="1:53">
      <c r="A921" s="1865" t="str">
        <f t="shared" si="14"/>
        <v>Northern EuropeCarrots and turnips</v>
      </c>
      <c r="B921" s="1866" t="s">
        <v>1346</v>
      </c>
      <c r="C921" s="1866" t="s">
        <v>1366</v>
      </c>
      <c r="D921" s="1868">
        <v>24.311420000000002</v>
      </c>
      <c r="E921" s="1868">
        <v>23.9725</v>
      </c>
      <c r="F921" s="1868">
        <v>37.19473</v>
      </c>
      <c r="G921" s="1868">
        <v>34.410579999999996</v>
      </c>
      <c r="H921" s="1868">
        <v>33.68479</v>
      </c>
      <c r="I921" s="1868">
        <v>39.765039999999999</v>
      </c>
      <c r="J921" s="1868">
        <v>38.519240000000003</v>
      </c>
      <c r="K921" s="1868">
        <v>38.03492</v>
      </c>
      <c r="L921" s="1868">
        <v>38.492199999999997</v>
      </c>
      <c r="M921" s="1868">
        <v>34.040770000000002</v>
      </c>
      <c r="N921" s="1868">
        <v>37.863390000000003</v>
      </c>
      <c r="O921" s="1868">
        <v>37.26652</v>
      </c>
      <c r="P921" s="1868">
        <v>40.608559999999997</v>
      </c>
      <c r="Q921" s="1868">
        <v>38.345059999999997</v>
      </c>
      <c r="R921" s="1868">
        <v>37.529040000000002</v>
      </c>
      <c r="S921" s="1868">
        <v>30.590740000000004</v>
      </c>
      <c r="T921" s="1868">
        <v>41.974029999999999</v>
      </c>
      <c r="U921" s="1868">
        <v>40.293300000000002</v>
      </c>
      <c r="V921" s="1868">
        <v>42.388909999999996</v>
      </c>
      <c r="W921" s="1868">
        <v>40.315350000000002</v>
      </c>
      <c r="X921" s="1868">
        <v>45.338169999999998</v>
      </c>
      <c r="Y921" s="1868">
        <v>48.607199999999999</v>
      </c>
      <c r="Z921" s="1868">
        <v>41.960149999999999</v>
      </c>
      <c r="AA921" s="1868">
        <v>41.416820000000001</v>
      </c>
      <c r="AB921" s="1868">
        <v>42.031659999999995</v>
      </c>
      <c r="AC921" s="1868">
        <v>41.943979999999996</v>
      </c>
      <c r="AD921" s="1868">
        <v>38.275240000000004</v>
      </c>
      <c r="AE921" s="1868">
        <v>43.454999999999998</v>
      </c>
      <c r="AF921" s="1868">
        <v>39.331780000000002</v>
      </c>
      <c r="AG921" s="1868">
        <v>36.841889999999999</v>
      </c>
      <c r="AH921" s="1868">
        <v>38.12415</v>
      </c>
      <c r="AI921" s="1868">
        <v>34.487679999999997</v>
      </c>
      <c r="AJ921" s="1868">
        <v>38.59055</v>
      </c>
      <c r="AK921" s="1868">
        <v>36.351999999999997</v>
      </c>
      <c r="AL921" s="1868">
        <v>30.049529999999997</v>
      </c>
      <c r="AM921" s="1868">
        <v>34.997320000000002</v>
      </c>
      <c r="AN921" s="1868">
        <v>37.133470000000003</v>
      </c>
      <c r="AO921" s="1868">
        <v>37.326949999999997</v>
      </c>
      <c r="AP921" s="1868">
        <v>38.311570000000003</v>
      </c>
      <c r="AQ921" s="1868">
        <v>47.824159999999999</v>
      </c>
      <c r="AR921" s="1868">
        <v>45.411299999999997</v>
      </c>
      <c r="AS921" s="1868">
        <v>45.523350000000001</v>
      </c>
      <c r="AT921" s="1868">
        <v>39.959600000000002</v>
      </c>
      <c r="AU921" s="1868">
        <v>43.539009999999998</v>
      </c>
      <c r="AV921" s="1868">
        <v>44.939079999999997</v>
      </c>
      <c r="AW921" s="1868">
        <v>46.070619999999998</v>
      </c>
      <c r="AX921" s="1868">
        <v>48.534399999999998</v>
      </c>
      <c r="AY921" s="1868">
        <v>48.135290000000005</v>
      </c>
      <c r="AZ921" s="1868">
        <v>49.279670000000003</v>
      </c>
      <c r="BA921" s="1868">
        <v>49.286369999999998</v>
      </c>
    </row>
    <row r="922" spans="1:53">
      <c r="A922" s="1865" t="str">
        <f t="shared" si="14"/>
        <v>Northern EuropeCauliflowers and broccoli</v>
      </c>
      <c r="B922" s="1866" t="s">
        <v>1346</v>
      </c>
      <c r="C922" s="1866" t="s">
        <v>1369</v>
      </c>
      <c r="D922" s="1868">
        <v>14.637320000000001</v>
      </c>
      <c r="E922" s="1868">
        <v>10.65287</v>
      </c>
      <c r="F922" s="1868">
        <v>17.64809</v>
      </c>
      <c r="G922" s="1868">
        <v>19.176159999999999</v>
      </c>
      <c r="H922" s="1868">
        <v>18.819389999999999</v>
      </c>
      <c r="I922" s="1868">
        <v>19.294879999999999</v>
      </c>
      <c r="J922" s="1868">
        <v>18.910029999999999</v>
      </c>
      <c r="K922" s="1868">
        <v>16.538489999999999</v>
      </c>
      <c r="L922" s="1868">
        <v>17.46031</v>
      </c>
      <c r="M922" s="1868">
        <v>18.191220000000001</v>
      </c>
      <c r="N922" s="1868">
        <v>18.82968</v>
      </c>
      <c r="O922" s="1868">
        <v>19.715670000000003</v>
      </c>
      <c r="P922" s="1868">
        <v>20.13813</v>
      </c>
      <c r="Q922" s="1868">
        <v>19.427109999999999</v>
      </c>
      <c r="R922" s="1868">
        <v>17.77946</v>
      </c>
      <c r="S922" s="1868">
        <v>16.078800000000001</v>
      </c>
      <c r="T922" s="1868">
        <v>19.699059999999999</v>
      </c>
      <c r="U922" s="1868">
        <v>20.43365</v>
      </c>
      <c r="V922" s="1868">
        <v>16.88242</v>
      </c>
      <c r="W922" s="1868">
        <v>20.83558</v>
      </c>
      <c r="X922" s="1868">
        <v>19.883779999999998</v>
      </c>
      <c r="Y922" s="1868">
        <v>20.09798</v>
      </c>
      <c r="Z922" s="1868">
        <v>17.6585</v>
      </c>
      <c r="AA922" s="1868">
        <v>19.377549999999999</v>
      </c>
      <c r="AB922" s="1868">
        <v>19.211489999999998</v>
      </c>
      <c r="AC922" s="1868">
        <v>18.312539999999998</v>
      </c>
      <c r="AD922" s="1868">
        <v>13.86159</v>
      </c>
      <c r="AE922" s="1868">
        <v>16.243729999999999</v>
      </c>
      <c r="AF922" s="1868">
        <v>13.496179999999999</v>
      </c>
      <c r="AG922" s="1868">
        <v>12.684330000000001</v>
      </c>
      <c r="AH922" s="1868">
        <v>10.781739999999999</v>
      </c>
      <c r="AI922" s="1868">
        <v>13.297629999999998</v>
      </c>
      <c r="AJ922" s="1868">
        <v>11.888680000000001</v>
      </c>
      <c r="AK922" s="1868">
        <v>11.271319999999999</v>
      </c>
      <c r="AL922" s="1868">
        <v>10.817110000000001</v>
      </c>
      <c r="AM922" s="1868">
        <v>10.62964</v>
      </c>
      <c r="AN922" s="1868">
        <v>12.502130000000001</v>
      </c>
      <c r="AO922" s="1868">
        <v>11.94683</v>
      </c>
      <c r="AP922" s="1868">
        <v>12.160270000000001</v>
      </c>
      <c r="AQ922" s="1868">
        <v>11.765260000000001</v>
      </c>
      <c r="AR922" s="1868">
        <v>10.77913</v>
      </c>
      <c r="AS922" s="1868">
        <v>10.749189999999999</v>
      </c>
      <c r="AT922" s="1868">
        <v>9.8079399999999985</v>
      </c>
      <c r="AU922" s="1868">
        <v>12.949769999999999</v>
      </c>
      <c r="AV922" s="1868">
        <v>11.55911</v>
      </c>
      <c r="AW922" s="1868">
        <v>10.939439999999999</v>
      </c>
      <c r="AX922" s="1868">
        <v>11.02797</v>
      </c>
      <c r="AY922" s="1868">
        <v>11.011389999999999</v>
      </c>
      <c r="AZ922" s="1868">
        <v>11.117649999999999</v>
      </c>
      <c r="BA922" s="1868">
        <v>11.08508</v>
      </c>
    </row>
    <row r="923" spans="1:53">
      <c r="A923" s="1865" t="str">
        <f t="shared" si="14"/>
        <v>Northern EuropeCereals, nes</v>
      </c>
      <c r="B923" s="1866" t="s">
        <v>1346</v>
      </c>
      <c r="C923" s="1866" t="s">
        <v>1370</v>
      </c>
      <c r="AM923" s="1868">
        <v>2.88889</v>
      </c>
      <c r="AN923" s="1868">
        <v>2.4736799999999999</v>
      </c>
      <c r="AO923" s="1868">
        <v>2.44828</v>
      </c>
      <c r="AP923" s="1868">
        <v>2.0833300000000001</v>
      </c>
      <c r="AQ923" s="1868">
        <v>2.6</v>
      </c>
      <c r="AR923" s="1868">
        <v>2</v>
      </c>
      <c r="AS923" s="1868">
        <v>2.6666699999999999</v>
      </c>
      <c r="AT923" s="1868">
        <v>2.69231</v>
      </c>
      <c r="AU923" s="1868">
        <v>2.1538499999999998</v>
      </c>
      <c r="AV923" s="1868">
        <v>1.15385</v>
      </c>
      <c r="AW923" s="1868">
        <v>1.4697</v>
      </c>
      <c r="AX923" s="1868">
        <v>1.6923099999999998</v>
      </c>
      <c r="AY923" s="1868">
        <v>1.6140399999999999</v>
      </c>
      <c r="AZ923" s="1868">
        <v>1.41936</v>
      </c>
      <c r="BA923" s="1868">
        <v>1.5540499999999999</v>
      </c>
    </row>
    <row r="924" spans="1:53">
      <c r="A924" s="1865" t="str">
        <f t="shared" si="14"/>
        <v>Northern EuropeEggplants (aubergines)</v>
      </c>
      <c r="B924" s="1866" t="s">
        <v>1346</v>
      </c>
      <c r="C924" s="1866" t="s">
        <v>1375</v>
      </c>
      <c r="AI924" s="1868">
        <v>4</v>
      </c>
      <c r="AJ924" s="1868">
        <v>6</v>
      </c>
      <c r="AK924" s="1868">
        <v>6</v>
      </c>
      <c r="AL924" s="1868">
        <v>5</v>
      </c>
      <c r="AM924" s="1868">
        <v>5</v>
      </c>
      <c r="AN924" s="1868">
        <v>5</v>
      </c>
      <c r="AO924" s="1868">
        <v>5</v>
      </c>
      <c r="AP924" s="1868">
        <v>5</v>
      </c>
      <c r="AQ924" s="1868">
        <v>3.3333300000000001</v>
      </c>
      <c r="AR924" s="1868">
        <v>2.5</v>
      </c>
      <c r="AS924" s="1868">
        <v>2.5</v>
      </c>
      <c r="AU924" s="1868">
        <v>2.2069400000000003</v>
      </c>
      <c r="AV924" s="1868">
        <v>2.2517099999999997</v>
      </c>
      <c r="AW924" s="1868">
        <v>2.5</v>
      </c>
      <c r="AX924" s="1868">
        <v>2.5</v>
      </c>
      <c r="AY924" s="1868">
        <v>2.5</v>
      </c>
      <c r="AZ924" s="1868">
        <v>2.5</v>
      </c>
      <c r="BA924" s="1868">
        <v>2.5789499999999999</v>
      </c>
    </row>
    <row r="925" spans="1:53">
      <c r="A925" s="1865" t="str">
        <f t="shared" si="14"/>
        <v>Northern EuropeGrapes</v>
      </c>
      <c r="B925" s="1866" t="s">
        <v>1346</v>
      </c>
      <c r="C925" s="1866" t="s">
        <v>1378</v>
      </c>
      <c r="AF925" s="1868">
        <v>3.3333300000000001</v>
      </c>
      <c r="AG925" s="1868">
        <v>3.3333300000000001</v>
      </c>
      <c r="AH925" s="1868">
        <v>3.3333300000000001</v>
      </c>
      <c r="AI925" s="1868">
        <v>4</v>
      </c>
      <c r="AJ925" s="1868">
        <v>4</v>
      </c>
      <c r="AK925" s="1868">
        <v>4</v>
      </c>
      <c r="AL925" s="1868">
        <v>4</v>
      </c>
      <c r="AM925" s="1868">
        <v>2.2222200000000001</v>
      </c>
      <c r="AN925" s="1868">
        <v>2.2988499999999998</v>
      </c>
      <c r="AO925" s="1868">
        <v>2.3753000000000002</v>
      </c>
      <c r="AP925" s="1868">
        <v>1.59287</v>
      </c>
      <c r="AQ925" s="1868">
        <v>1.7305299999999999</v>
      </c>
      <c r="AR925" s="1868">
        <v>1.8097599999999998</v>
      </c>
      <c r="AS925" s="1868">
        <v>2.0436000000000001</v>
      </c>
      <c r="AT925" s="1868">
        <v>1.5872999999999999</v>
      </c>
      <c r="AU925" s="1868">
        <v>1.744</v>
      </c>
      <c r="AV925" s="1868">
        <v>2.1840299999999999</v>
      </c>
      <c r="AW925" s="1868">
        <v>1.84798</v>
      </c>
      <c r="AX925" s="1868">
        <v>1.4285700000000001</v>
      </c>
      <c r="AY925" s="1868">
        <v>1.4839599999999999</v>
      </c>
      <c r="AZ925" s="1868">
        <v>1.51468</v>
      </c>
      <c r="BA925" s="1868">
        <v>1.5625</v>
      </c>
    </row>
    <row r="926" spans="1:53">
      <c r="A926" s="1865" t="str">
        <f t="shared" si="14"/>
        <v>Northern EuropeLeguminous vegetables, nes</v>
      </c>
      <c r="B926" s="1866" t="s">
        <v>1346</v>
      </c>
      <c r="C926" s="1866" t="s">
        <v>1380</v>
      </c>
      <c r="D926" s="1868">
        <v>10.435139999999999</v>
      </c>
      <c r="E926" s="1868">
        <v>10.602169999999999</v>
      </c>
      <c r="F926" s="1868">
        <v>10.602169999999999</v>
      </c>
      <c r="G926" s="1868">
        <v>10.58375</v>
      </c>
      <c r="H926" s="1868">
        <v>10.64429</v>
      </c>
      <c r="I926" s="1868">
        <v>11.296480000000001</v>
      </c>
      <c r="J926" s="1868">
        <v>11.679839999999999</v>
      </c>
      <c r="K926" s="1868">
        <v>9.7075200000000006</v>
      </c>
      <c r="L926" s="1868">
        <v>10.551450000000001</v>
      </c>
      <c r="M926" s="1868">
        <v>9.4584899999999994</v>
      </c>
      <c r="N926" s="1868">
        <v>11.02957</v>
      </c>
      <c r="O926" s="1868">
        <v>10.2723</v>
      </c>
      <c r="P926" s="1868">
        <v>10.601319999999999</v>
      </c>
      <c r="Q926" s="1868">
        <v>9.7428600000000003</v>
      </c>
      <c r="R926" s="1868">
        <v>10.97368</v>
      </c>
      <c r="S926" s="1868">
        <v>6.4615400000000003</v>
      </c>
      <c r="T926" s="1868">
        <v>10.38636</v>
      </c>
      <c r="U926" s="1868">
        <v>9.9672100000000015</v>
      </c>
      <c r="V926" s="1868">
        <v>10.3125</v>
      </c>
      <c r="W926" s="1868">
        <v>12.977780000000001</v>
      </c>
      <c r="X926" s="1868">
        <v>16.268219999999999</v>
      </c>
      <c r="Y926" s="1868">
        <v>17.16499</v>
      </c>
      <c r="Z926" s="1868">
        <v>14.88069</v>
      </c>
      <c r="AA926" s="1868">
        <v>17.476600000000001</v>
      </c>
      <c r="AB926" s="1868">
        <v>15.92924</v>
      </c>
      <c r="AC926" s="1868">
        <v>16.041989999999998</v>
      </c>
      <c r="AD926" s="1868">
        <v>15.748170000000002</v>
      </c>
      <c r="AE926" s="1868">
        <v>5.4263599999999999</v>
      </c>
      <c r="AF926" s="1868">
        <v>4.9185499999999998</v>
      </c>
      <c r="AG926" s="1868">
        <v>4.2542499999999999</v>
      </c>
      <c r="AH926" s="1868">
        <v>4.4148500000000004</v>
      </c>
      <c r="AI926" s="1868">
        <v>4.93811</v>
      </c>
      <c r="AJ926" s="1868">
        <v>5.4156199999999997</v>
      </c>
      <c r="AK926" s="1868">
        <v>5.9955499999999997</v>
      </c>
      <c r="AL926" s="1868">
        <v>4.78261</v>
      </c>
      <c r="AM926" s="1868">
        <v>4.3499999999999996</v>
      </c>
      <c r="AN926" s="1868">
        <v>3.84</v>
      </c>
      <c r="AO926" s="1868">
        <v>3.4516100000000001</v>
      </c>
      <c r="AP926" s="1868">
        <v>3.5666699999999998</v>
      </c>
      <c r="AQ926" s="1868">
        <v>3.5666699999999998</v>
      </c>
      <c r="AR926" s="1868">
        <v>3.3717099999999998</v>
      </c>
      <c r="AS926" s="1868">
        <v>3.2031299999999998</v>
      </c>
      <c r="AT926" s="1868">
        <v>5.4173200000000001</v>
      </c>
      <c r="AU926" s="1868">
        <v>4.4802099999999996</v>
      </c>
      <c r="AV926" s="1868">
        <v>4.4658899999999999</v>
      </c>
      <c r="AW926" s="1868">
        <v>4.34077</v>
      </c>
      <c r="AX926" s="1868">
        <v>4.29033</v>
      </c>
      <c r="AY926" s="1868">
        <v>4.1849600000000002</v>
      </c>
      <c r="AZ926" s="1868">
        <v>4.79826</v>
      </c>
      <c r="BA926" s="1868">
        <v>3.90246</v>
      </c>
    </row>
    <row r="927" spans="1:53">
      <c r="A927" s="1865" t="str">
        <f t="shared" si="14"/>
        <v>Northern EuropeLinseed</v>
      </c>
      <c r="B927" s="1866" t="s">
        <v>1346</v>
      </c>
      <c r="C927" s="1866" t="s">
        <v>1381</v>
      </c>
      <c r="D927" s="1868">
        <v>1.0004200000000001</v>
      </c>
      <c r="E927" s="1868">
        <v>0.90166000000000002</v>
      </c>
      <c r="F927" s="1868">
        <v>1.0432900000000001</v>
      </c>
      <c r="G927" s="1868">
        <v>1.20496</v>
      </c>
      <c r="H927" s="1868">
        <v>1.2645899999999999</v>
      </c>
      <c r="I927" s="1868">
        <v>1.1284700000000001</v>
      </c>
      <c r="J927" s="1868">
        <v>0.64141000000000004</v>
      </c>
      <c r="K927" s="1868">
        <v>0.23664000000000002</v>
      </c>
      <c r="L927" s="1868">
        <v>0.44473999999999997</v>
      </c>
      <c r="M927" s="1868">
        <v>1.48485</v>
      </c>
      <c r="N927" s="1868">
        <v>1.35294</v>
      </c>
      <c r="O927" s="1868">
        <v>1.0588200000000001</v>
      </c>
      <c r="P927" s="1868">
        <v>1.32609</v>
      </c>
      <c r="Q927" s="1868">
        <v>0.97987000000000002</v>
      </c>
      <c r="R927" s="1868">
        <v>1.0977399999999999</v>
      </c>
      <c r="S927" s="1868">
        <v>1.0377399999999999</v>
      </c>
      <c r="T927" s="1868">
        <v>0.50703999999999994</v>
      </c>
      <c r="U927" s="1868">
        <v>0.73171000000000008</v>
      </c>
      <c r="V927" s="1868">
        <v>0.8</v>
      </c>
      <c r="W927" s="1868">
        <v>0.94776000000000005</v>
      </c>
      <c r="X927" s="1868">
        <v>0.84033999999999998</v>
      </c>
      <c r="Y927" s="1868">
        <v>0.48</v>
      </c>
      <c r="Z927" s="1868">
        <v>1.01111</v>
      </c>
      <c r="AA927" s="1868">
        <v>1.47343</v>
      </c>
      <c r="AB927" s="1868">
        <v>1.34</v>
      </c>
      <c r="AC927" s="1868">
        <v>1.3218399999999999</v>
      </c>
      <c r="AD927" s="1868">
        <v>1.3688100000000001</v>
      </c>
      <c r="AE927" s="1868">
        <v>1.9264400000000002</v>
      </c>
      <c r="AF927" s="1868">
        <v>1.94963</v>
      </c>
      <c r="AG927" s="1868">
        <v>2.0733700000000002</v>
      </c>
      <c r="AH927" s="1868">
        <v>1.7497</v>
      </c>
      <c r="AI927" s="1868">
        <v>1.31447</v>
      </c>
      <c r="AJ927" s="1868">
        <v>1.16736</v>
      </c>
      <c r="AK927" s="1868">
        <v>1.14954</v>
      </c>
      <c r="AL927" s="1868">
        <v>1.1551799999999999</v>
      </c>
      <c r="AM927" s="1868">
        <v>1.42692</v>
      </c>
      <c r="AN927" s="1868">
        <v>1.2847</v>
      </c>
      <c r="AO927" s="1868">
        <v>1.21193</v>
      </c>
      <c r="AP927" s="1868">
        <v>1.27948</v>
      </c>
      <c r="AQ927" s="1868">
        <v>0.56889999999999996</v>
      </c>
      <c r="AR927" s="1868">
        <v>0.95132000000000005</v>
      </c>
      <c r="AS927" s="1868">
        <v>0.98032999999999992</v>
      </c>
      <c r="AT927" s="1868">
        <v>1.4098200000000001</v>
      </c>
      <c r="AU927" s="1868">
        <v>1.46587</v>
      </c>
      <c r="AV927" s="1868">
        <v>1.6820099999999998</v>
      </c>
      <c r="AW927" s="1868">
        <v>1.3204799999999999</v>
      </c>
      <c r="AX927" s="1868">
        <v>1.6779599999999999</v>
      </c>
      <c r="AY927" s="1868">
        <v>1.7429700000000001</v>
      </c>
      <c r="AZ927" s="1868">
        <v>1.89828</v>
      </c>
      <c r="BA927" s="1868">
        <v>1.50159</v>
      </c>
    </row>
    <row r="928" spans="1:53">
      <c r="A928" s="1865" t="str">
        <f t="shared" si="14"/>
        <v>Northern EuropeMaize</v>
      </c>
      <c r="B928" s="1866" t="s">
        <v>1346</v>
      </c>
      <c r="C928" s="1866" t="s">
        <v>1382</v>
      </c>
      <c r="M928" s="1868">
        <v>4</v>
      </c>
      <c r="N928" s="1868">
        <v>5</v>
      </c>
      <c r="O928" s="1868">
        <v>4</v>
      </c>
      <c r="P928" s="1868">
        <v>4</v>
      </c>
      <c r="Q928" s="1868">
        <v>3</v>
      </c>
      <c r="R928" s="1868">
        <v>3</v>
      </c>
      <c r="S928" s="1868">
        <v>2</v>
      </c>
      <c r="T928" s="1868">
        <v>3.2715400000000003</v>
      </c>
      <c r="U928" s="1868">
        <v>3.0627900000000001</v>
      </c>
      <c r="V928" s="1868">
        <v>1.79</v>
      </c>
      <c r="W928" s="1868">
        <v>1.57</v>
      </c>
      <c r="AS928" s="1868">
        <v>2.8620700000000001</v>
      </c>
      <c r="AT928" s="1868">
        <v>1</v>
      </c>
      <c r="AU928" s="1868">
        <v>2.1428599999999998</v>
      </c>
      <c r="AV928" s="1868">
        <v>3.0625</v>
      </c>
      <c r="AW928" s="1868">
        <v>2.35</v>
      </c>
      <c r="AX928" s="1868">
        <v>4.8148200000000001</v>
      </c>
      <c r="AY928" s="1868">
        <v>4.2105300000000003</v>
      </c>
      <c r="AZ928" s="1868">
        <v>4.3272699999999995</v>
      </c>
      <c r="BA928" s="1868">
        <v>6.0640999999999998</v>
      </c>
    </row>
    <row r="929" spans="1:53">
      <c r="A929" s="1865" t="str">
        <f t="shared" si="14"/>
        <v>Northern EuropeMaize, green</v>
      </c>
      <c r="B929" s="1866" t="s">
        <v>1346</v>
      </c>
      <c r="C929" s="1866" t="s">
        <v>1383</v>
      </c>
      <c r="AR929" s="1868">
        <v>4.5945999999999998</v>
      </c>
      <c r="AS929" s="1868">
        <v>6.1648399999999999</v>
      </c>
      <c r="AT929" s="1868">
        <v>5.6354199999999999</v>
      </c>
      <c r="AU929" s="1868">
        <v>5.4230800000000006</v>
      </c>
      <c r="AV929" s="1868">
        <v>4.9743599999999999</v>
      </c>
      <c r="AW929" s="1868">
        <v>5.49505</v>
      </c>
      <c r="AX929" s="1868">
        <v>4.4086999999999996</v>
      </c>
      <c r="AY929" s="1868">
        <v>6.7169800000000004</v>
      </c>
      <c r="AZ929" s="1868">
        <v>3.1477300000000001</v>
      </c>
      <c r="BA929" s="1868">
        <v>4.1379299999999999</v>
      </c>
    </row>
    <row r="930" spans="1:53">
      <c r="A930" s="1865" t="str">
        <f t="shared" si="14"/>
        <v>Northern EuropeOats</v>
      </c>
      <c r="B930" s="1866" t="s">
        <v>1346</v>
      </c>
      <c r="C930" s="1866" t="s">
        <v>1349</v>
      </c>
      <c r="D930" s="1868">
        <v>2.5861400000000003</v>
      </c>
      <c r="E930" s="1868">
        <v>2.4582900000000003</v>
      </c>
      <c r="F930" s="1868">
        <v>2.5336400000000001</v>
      </c>
      <c r="G930" s="1868">
        <v>2.6958099999999998</v>
      </c>
      <c r="H930" s="1868">
        <v>2.8470499999999999</v>
      </c>
      <c r="I930" s="1868">
        <v>2.6175299999999999</v>
      </c>
      <c r="J930" s="1868">
        <v>2.9599700000000002</v>
      </c>
      <c r="K930" s="1868">
        <v>3.0388799999999998</v>
      </c>
      <c r="L930" s="1868">
        <v>2.8180400000000003</v>
      </c>
      <c r="M930" s="1868">
        <v>3.06291</v>
      </c>
      <c r="N930" s="1868">
        <v>3.3205199999999997</v>
      </c>
      <c r="O930" s="1868">
        <v>3.20065</v>
      </c>
      <c r="P930" s="1868">
        <v>2.8102800000000001</v>
      </c>
      <c r="Q930" s="1868">
        <v>3.13096</v>
      </c>
      <c r="R930" s="1868">
        <v>2.8488599999999997</v>
      </c>
      <c r="S930" s="1868">
        <v>2.8910200000000001</v>
      </c>
      <c r="T930" s="1868">
        <v>3.1202299999999998</v>
      </c>
      <c r="U930" s="1868">
        <v>3.1744500000000002</v>
      </c>
      <c r="V930" s="1868">
        <v>3.3154599999999999</v>
      </c>
      <c r="W930" s="1868">
        <v>3.3534699999999997</v>
      </c>
      <c r="X930" s="1868">
        <v>3.37825</v>
      </c>
      <c r="Y930" s="1868">
        <v>3.4265199999999996</v>
      </c>
      <c r="Z930" s="1868">
        <v>3.3007300000000002</v>
      </c>
      <c r="AA930" s="1868">
        <v>4.0743800000000006</v>
      </c>
      <c r="AB930" s="1868">
        <v>3.6064400000000001</v>
      </c>
      <c r="AC930" s="1868">
        <v>3.3394699999999995</v>
      </c>
      <c r="AD930" s="1868">
        <v>3.19631</v>
      </c>
      <c r="AE930" s="1868">
        <v>3.0733900000000003</v>
      </c>
      <c r="AF930" s="1868">
        <v>3.5438099999999997</v>
      </c>
      <c r="AG930" s="1868">
        <v>4.2000599999999997</v>
      </c>
      <c r="AH930" s="1868">
        <v>4.0630800000000002</v>
      </c>
      <c r="AI930" s="1868">
        <v>2.6680700000000002</v>
      </c>
      <c r="AJ930" s="1868">
        <v>3.8118199999999995</v>
      </c>
      <c r="AK930" s="1868">
        <v>3.3413699999999995</v>
      </c>
      <c r="AL930" s="1868">
        <v>3.55796</v>
      </c>
      <c r="AM930" s="1868">
        <v>3.8408199999999999</v>
      </c>
      <c r="AN930" s="1868">
        <v>3.7165900000000001</v>
      </c>
      <c r="AO930" s="1868">
        <v>3.3040500000000002</v>
      </c>
      <c r="AP930" s="1868">
        <v>3.10669</v>
      </c>
      <c r="AQ930" s="1868">
        <v>3.8253400000000002</v>
      </c>
      <c r="AR930" s="1868">
        <v>3.4277699999999998</v>
      </c>
      <c r="AS930" s="1868">
        <v>3.7428300000000001</v>
      </c>
      <c r="AT930" s="1868">
        <v>3.7084900000000003</v>
      </c>
      <c r="AU930" s="1868">
        <v>3.7708400000000002</v>
      </c>
      <c r="AV930" s="1868">
        <v>3.5639599999999998</v>
      </c>
      <c r="AW930" s="1868">
        <v>3.3004300000000004</v>
      </c>
      <c r="AX930" s="1868">
        <v>3.9244599999999998</v>
      </c>
      <c r="AY930" s="1868">
        <v>3.7572199999999998</v>
      </c>
      <c r="AZ930" s="1868">
        <v>3.8418000000000001</v>
      </c>
      <c r="BA930" s="1868">
        <v>3.46766</v>
      </c>
    </row>
    <row r="931" spans="1:53">
      <c r="A931" s="1865" t="str">
        <f t="shared" si="14"/>
        <v>Northern EuropeOnions, dry</v>
      </c>
      <c r="B931" s="1866" t="s">
        <v>1346</v>
      </c>
      <c r="C931" s="1866" t="s">
        <v>1388</v>
      </c>
      <c r="D931" s="1868">
        <v>19.384260000000001</v>
      </c>
      <c r="E931" s="1868">
        <v>17.70787</v>
      </c>
      <c r="F931" s="1868">
        <v>21.187290000000001</v>
      </c>
      <c r="G931" s="1868">
        <v>22.027650000000001</v>
      </c>
      <c r="H931" s="1868">
        <v>22.079969999999999</v>
      </c>
      <c r="I931" s="1868">
        <v>22.686450000000001</v>
      </c>
      <c r="J931" s="1868">
        <v>22.899160000000002</v>
      </c>
      <c r="K931" s="1868">
        <v>23.286529999999999</v>
      </c>
      <c r="L931" s="1868">
        <v>24.419829999999997</v>
      </c>
      <c r="M931" s="1868">
        <v>24.490790000000001</v>
      </c>
      <c r="N931" s="1868">
        <v>29.698209999999996</v>
      </c>
      <c r="O931" s="1868">
        <v>26.983059999999998</v>
      </c>
      <c r="P931" s="1868">
        <v>28.429740000000002</v>
      </c>
      <c r="Q931" s="1868">
        <v>30.066320000000001</v>
      </c>
      <c r="R931" s="1868">
        <v>26.304940000000002</v>
      </c>
      <c r="S931" s="1868">
        <v>20.84864</v>
      </c>
      <c r="T931" s="1868">
        <v>33.307049999999997</v>
      </c>
      <c r="U931" s="1868">
        <v>28.944420000000001</v>
      </c>
      <c r="V931" s="1868">
        <v>30.878359999999997</v>
      </c>
      <c r="W931" s="1868">
        <v>30.5944</v>
      </c>
      <c r="X931" s="1868">
        <v>30.404540000000001</v>
      </c>
      <c r="Y931" s="1868">
        <v>33.223440000000004</v>
      </c>
      <c r="Z931" s="1868">
        <v>26.047460000000001</v>
      </c>
      <c r="AA931" s="1868">
        <v>33.376010000000001</v>
      </c>
      <c r="AB931" s="1868">
        <v>30.872229999999998</v>
      </c>
      <c r="AC931" s="1868">
        <v>31.666159999999998</v>
      </c>
      <c r="AD931" s="1868">
        <v>34.897059999999996</v>
      </c>
      <c r="AE931" s="1868">
        <v>34.851480000000002</v>
      </c>
      <c r="AF931" s="1868">
        <v>30.548840000000002</v>
      </c>
      <c r="AG931" s="1868">
        <v>31.004559999999998</v>
      </c>
      <c r="AH931" s="1868">
        <v>32.95852</v>
      </c>
      <c r="AI931" s="1868">
        <v>28.696899999999999</v>
      </c>
      <c r="AJ931" s="1868">
        <v>33.12229</v>
      </c>
      <c r="AK931" s="1868">
        <v>26.017889999999998</v>
      </c>
      <c r="AL931" s="1868">
        <v>26.971920000000001</v>
      </c>
      <c r="AM931" s="1868">
        <v>24.796779999999998</v>
      </c>
      <c r="AN931" s="1868">
        <v>29.054640000000003</v>
      </c>
      <c r="AO931" s="1868">
        <v>27.245559999999998</v>
      </c>
      <c r="AP931" s="1868">
        <v>30.214500000000001</v>
      </c>
      <c r="AQ931" s="1868">
        <v>31.482150000000001</v>
      </c>
      <c r="AR931" s="1868">
        <v>31.802029999999998</v>
      </c>
      <c r="AS931" s="1868">
        <v>25.704239999999999</v>
      </c>
      <c r="AT931" s="1868">
        <v>32.277440000000006</v>
      </c>
      <c r="AU931" s="1868">
        <v>28.86138</v>
      </c>
      <c r="AV931" s="1868">
        <v>35.307780000000001</v>
      </c>
      <c r="AW931" s="1868">
        <v>32.813780000000001</v>
      </c>
      <c r="AX931" s="1868">
        <v>29.501009999999997</v>
      </c>
      <c r="AY931" s="1868">
        <v>33.22878</v>
      </c>
      <c r="AZ931" s="1868">
        <v>33.027670000000001</v>
      </c>
      <c r="BA931" s="1868">
        <v>34.302709999999998</v>
      </c>
    </row>
    <row r="932" spans="1:53">
      <c r="A932" s="1865" t="str">
        <f t="shared" si="14"/>
        <v>Northern EuropePeas, dry</v>
      </c>
      <c r="B932" s="1866" t="s">
        <v>1346</v>
      </c>
      <c r="C932" s="1866" t="s">
        <v>1391</v>
      </c>
      <c r="D932" s="1868">
        <v>2.1581599999999996</v>
      </c>
      <c r="E932" s="1868">
        <v>2.1855799999999999</v>
      </c>
      <c r="F932" s="1868">
        <v>2.3997900000000003</v>
      </c>
      <c r="G932" s="1868">
        <v>2.6028899999999999</v>
      </c>
      <c r="H932" s="1868">
        <v>2.6072299999999999</v>
      </c>
      <c r="I932" s="1868">
        <v>2.5856699999999999</v>
      </c>
      <c r="J932" s="1868">
        <v>3.26572</v>
      </c>
      <c r="K932" s="1868">
        <v>2.4956299999999998</v>
      </c>
      <c r="L932" s="1868">
        <v>2.6362700000000001</v>
      </c>
      <c r="M932" s="1868">
        <v>2.80823</v>
      </c>
      <c r="N932" s="1868">
        <v>2.8211400000000002</v>
      </c>
      <c r="O932" s="1868">
        <v>2.95072</v>
      </c>
      <c r="P932" s="1868">
        <v>2.8796200000000001</v>
      </c>
      <c r="Q932" s="1868">
        <v>3.1460699999999999</v>
      </c>
      <c r="R932" s="1868">
        <v>2.63043</v>
      </c>
      <c r="S932" s="1868">
        <v>2.6074999999999999</v>
      </c>
      <c r="T932" s="1868">
        <v>2.89724</v>
      </c>
      <c r="U932" s="1868">
        <v>2.6280299999999999</v>
      </c>
      <c r="V932" s="1868">
        <v>3.03694</v>
      </c>
      <c r="W932" s="1868">
        <v>3.1171199999999999</v>
      </c>
      <c r="X932" s="1868">
        <v>2.8868900000000002</v>
      </c>
      <c r="Y932" s="1868">
        <v>3.5057900000000002</v>
      </c>
      <c r="Z932" s="1868">
        <v>2.4565399999999999</v>
      </c>
      <c r="AA932" s="1868">
        <v>3.3618900000000003</v>
      </c>
      <c r="AB932" s="1868">
        <v>3.4117999999999999</v>
      </c>
      <c r="AC932" s="1868">
        <v>3.6951499999999999</v>
      </c>
      <c r="AD932" s="1868">
        <v>2.57619</v>
      </c>
      <c r="AE932" s="1868">
        <v>3.39621</v>
      </c>
      <c r="AF932" s="1868">
        <v>3.5781000000000001</v>
      </c>
      <c r="AG932" s="1868">
        <v>4.4590399999999999</v>
      </c>
      <c r="AH932" s="1868">
        <v>3.8087400000000002</v>
      </c>
      <c r="AI932" s="1868">
        <v>2.6411599999999997</v>
      </c>
      <c r="AJ932" s="1868">
        <v>3.6776599999999999</v>
      </c>
      <c r="AK932" s="1868">
        <v>3.8845800000000001</v>
      </c>
      <c r="AL932" s="1868">
        <v>3.5038999999999998</v>
      </c>
      <c r="AM932" s="1868">
        <v>3.1741799999999998</v>
      </c>
      <c r="AN932" s="1868">
        <v>3.5986300000000004</v>
      </c>
      <c r="AO932" s="1868">
        <v>2.8126000000000002</v>
      </c>
      <c r="AP932" s="1868">
        <v>3.0394299999999999</v>
      </c>
      <c r="AQ932" s="1868">
        <v>3.2003300000000001</v>
      </c>
      <c r="AR932" s="1868">
        <v>3.05979</v>
      </c>
      <c r="AS932" s="1868">
        <v>3.1421600000000001</v>
      </c>
      <c r="AT932" s="1868">
        <v>3.5124499999999999</v>
      </c>
      <c r="AU932" s="1868">
        <v>3.0444800000000001</v>
      </c>
      <c r="AV932" s="1868">
        <v>3.0186700000000002</v>
      </c>
      <c r="AW932" s="1868">
        <v>2.66289</v>
      </c>
      <c r="AX932" s="1868">
        <v>2.8249400000000002</v>
      </c>
      <c r="AY932" s="1868">
        <v>2.5579700000000001</v>
      </c>
      <c r="AZ932" s="1868">
        <v>2.9206099999999999</v>
      </c>
      <c r="BA932" s="1868">
        <v>2.7125300000000001</v>
      </c>
    </row>
    <row r="933" spans="1:53">
      <c r="A933" s="1865" t="str">
        <f t="shared" si="14"/>
        <v>Northern EuropePeas, green</v>
      </c>
      <c r="B933" s="1866" t="s">
        <v>1346</v>
      </c>
      <c r="C933" s="1866" t="s">
        <v>1392</v>
      </c>
      <c r="D933" s="1868">
        <v>8.7802500000000006</v>
      </c>
      <c r="E933" s="1868">
        <v>9.314589999999999</v>
      </c>
      <c r="F933" s="1868">
        <v>8.9112799999999996</v>
      </c>
      <c r="G933" s="1868">
        <v>10.57334</v>
      </c>
      <c r="H933" s="1868">
        <v>9.1052199999999992</v>
      </c>
      <c r="I933" s="1868">
        <v>10.331710000000001</v>
      </c>
      <c r="J933" s="1868">
        <v>9.5401399999999992</v>
      </c>
      <c r="K933" s="1868">
        <v>8.7839700000000001</v>
      </c>
      <c r="L933" s="1868">
        <v>9.4657499999999999</v>
      </c>
      <c r="M933" s="1868">
        <v>8.8798899999999996</v>
      </c>
      <c r="N933" s="1868">
        <v>9.9983000000000004</v>
      </c>
      <c r="O933" s="1868">
        <v>9.9081399999999995</v>
      </c>
      <c r="P933" s="1868">
        <v>10.532960000000001</v>
      </c>
      <c r="Q933" s="1868">
        <v>11.020060000000001</v>
      </c>
      <c r="R933" s="1868">
        <v>9.9662600000000001</v>
      </c>
      <c r="S933" s="1868">
        <v>6.5799100000000008</v>
      </c>
      <c r="T933" s="1868">
        <v>9.9449500000000004</v>
      </c>
      <c r="U933" s="1868">
        <v>8.4821000000000009</v>
      </c>
      <c r="V933" s="1868">
        <v>9.2798100000000012</v>
      </c>
      <c r="W933" s="1868">
        <v>9.5556399999999986</v>
      </c>
      <c r="X933" s="1868">
        <v>11.522910000000001</v>
      </c>
      <c r="Y933" s="1868">
        <v>11.091089999999999</v>
      </c>
      <c r="Z933" s="1868">
        <v>10.344569999999999</v>
      </c>
      <c r="AA933" s="1868">
        <v>12.003399999999999</v>
      </c>
      <c r="AB933" s="1868">
        <v>8.6818200000000001</v>
      </c>
      <c r="AC933" s="1868">
        <v>8.87059</v>
      </c>
      <c r="AD933" s="1868">
        <v>8.8496800000000011</v>
      </c>
      <c r="AE933" s="1868">
        <v>8.6546899999999987</v>
      </c>
      <c r="AF933" s="1868">
        <v>8.7473299999999998</v>
      </c>
      <c r="AG933" s="1868">
        <v>8.7618299999999998</v>
      </c>
      <c r="AH933" s="1868">
        <v>8.9601500000000005</v>
      </c>
      <c r="AI933" s="1868">
        <v>8.1577199999999994</v>
      </c>
      <c r="AJ933" s="1868">
        <v>8.51356</v>
      </c>
      <c r="AK933" s="1868">
        <v>7.3471299999999999</v>
      </c>
      <c r="AL933" s="1868">
        <v>8.2857199999999995</v>
      </c>
      <c r="AM933" s="1868">
        <v>9.0591299999999997</v>
      </c>
      <c r="AN933" s="1868">
        <v>8.9311500000000006</v>
      </c>
      <c r="AO933" s="1868">
        <v>8.2169899999999991</v>
      </c>
      <c r="AP933" s="1868">
        <v>7.5317300000000005</v>
      </c>
      <c r="AQ933" s="1868">
        <v>9.3915500000000005</v>
      </c>
      <c r="AR933" s="1868">
        <v>9.1623000000000001</v>
      </c>
      <c r="AS933" s="1868">
        <v>9.2988</v>
      </c>
      <c r="AT933" s="1868">
        <v>8.6060800000000004</v>
      </c>
      <c r="AU933" s="1868">
        <v>7.9660600000000006</v>
      </c>
      <c r="AV933" s="1868">
        <v>8.0394800000000011</v>
      </c>
      <c r="AW933" s="1868">
        <v>7.4800899999999997</v>
      </c>
      <c r="AX933" s="1868">
        <v>6.1260199999999996</v>
      </c>
      <c r="AY933" s="1868">
        <v>8.4748699999999992</v>
      </c>
      <c r="AZ933" s="1868">
        <v>8.8844700000000003</v>
      </c>
      <c r="BA933" s="1868">
        <v>8.3443899999999989</v>
      </c>
    </row>
    <row r="934" spans="1:53">
      <c r="A934" s="1865" t="str">
        <f t="shared" si="14"/>
        <v>Northern EuropePotatoes</v>
      </c>
      <c r="B934" s="1866" t="s">
        <v>1346</v>
      </c>
      <c r="C934" s="1866" t="s">
        <v>1394</v>
      </c>
      <c r="D934" s="1868">
        <v>21.004429999999999</v>
      </c>
      <c r="E934" s="1868">
        <v>20.74014</v>
      </c>
      <c r="F934" s="1868">
        <v>21.46538</v>
      </c>
      <c r="G934" s="1868">
        <v>20.55959</v>
      </c>
      <c r="H934" s="1868">
        <v>23.791910000000001</v>
      </c>
      <c r="I934" s="1868">
        <v>23.44746</v>
      </c>
      <c r="J934" s="1868">
        <v>23.60744</v>
      </c>
      <c r="K934" s="1868">
        <v>23.89123</v>
      </c>
      <c r="L934" s="1868">
        <v>22.787790000000001</v>
      </c>
      <c r="M934" s="1868">
        <v>26.3812</v>
      </c>
      <c r="N934" s="1868">
        <v>26.311320000000002</v>
      </c>
      <c r="O934" s="1868">
        <v>25.21923</v>
      </c>
      <c r="P934" s="1868">
        <v>26.461340000000003</v>
      </c>
      <c r="Q934" s="1868">
        <v>27.925340000000002</v>
      </c>
      <c r="R934" s="1868">
        <v>21.691489999999998</v>
      </c>
      <c r="S934" s="1868">
        <v>21.227629999999998</v>
      </c>
      <c r="T934" s="1868">
        <v>26.525270000000003</v>
      </c>
      <c r="U934" s="1868">
        <v>29.76728</v>
      </c>
      <c r="V934" s="1868">
        <v>27.995440000000002</v>
      </c>
      <c r="W934" s="1868">
        <v>29.228020000000001</v>
      </c>
      <c r="X934" s="1868">
        <v>27.975370000000002</v>
      </c>
      <c r="Y934" s="1868">
        <v>30.531570000000002</v>
      </c>
      <c r="Z934" s="1868">
        <v>26.357399999999998</v>
      </c>
      <c r="AA934" s="1868">
        <v>32.481960000000001</v>
      </c>
      <c r="AB934" s="1868">
        <v>31.477590000000003</v>
      </c>
      <c r="AC934" s="1868">
        <v>31.369730000000001</v>
      </c>
      <c r="AD934" s="1868">
        <v>30.398540000000001</v>
      </c>
      <c r="AE934" s="1868">
        <v>33.458599999999997</v>
      </c>
      <c r="AF934" s="1868">
        <v>32.235300000000002</v>
      </c>
      <c r="AG934" s="1868">
        <v>33.085029999999996</v>
      </c>
      <c r="AH934" s="1868">
        <v>31.392909999999997</v>
      </c>
      <c r="AI934" s="1868">
        <v>25.741800000000001</v>
      </c>
      <c r="AJ934" s="1868">
        <v>26.77487</v>
      </c>
      <c r="AK934" s="1868">
        <v>24.594170000000002</v>
      </c>
      <c r="AL934" s="1868">
        <v>24.422070000000001</v>
      </c>
      <c r="AM934" s="1868">
        <v>27.089879999999997</v>
      </c>
      <c r="AN934" s="1868">
        <v>27.575050000000001</v>
      </c>
      <c r="AO934" s="1868">
        <v>25.397040000000001</v>
      </c>
      <c r="AP934" s="1868">
        <v>27.651759999999996</v>
      </c>
      <c r="AQ934" s="1868">
        <v>28.190840000000001</v>
      </c>
      <c r="AR934" s="1868">
        <v>26.800620000000002</v>
      </c>
      <c r="AS934" s="1868">
        <v>29.715359999999997</v>
      </c>
      <c r="AT934" s="1868">
        <v>27.797259999999998</v>
      </c>
      <c r="AU934" s="1868">
        <v>29.2501</v>
      </c>
      <c r="AV934" s="1868">
        <v>29.662809999999997</v>
      </c>
      <c r="AW934" s="1868">
        <v>27.953109999999999</v>
      </c>
      <c r="AX934" s="1868">
        <v>29.51868</v>
      </c>
      <c r="AY934" s="1868">
        <v>32.068559999999998</v>
      </c>
      <c r="AZ934" s="1868">
        <v>33.379379999999998</v>
      </c>
      <c r="BA934" s="1868">
        <v>32.21969</v>
      </c>
    </row>
    <row r="935" spans="1:53">
      <c r="A935" s="1865" t="str">
        <f t="shared" si="14"/>
        <v>Northern EuropePulses, nes</v>
      </c>
      <c r="B935" s="1866" t="s">
        <v>1346</v>
      </c>
      <c r="C935" s="1866" t="s">
        <v>1395</v>
      </c>
      <c r="D935" s="1868">
        <v>2.3331599999999999</v>
      </c>
      <c r="E935" s="1868">
        <v>2.8112900000000001</v>
      </c>
      <c r="F935" s="1868">
        <v>2.5815900000000003</v>
      </c>
      <c r="G935" s="1868">
        <v>3.0788500000000001</v>
      </c>
      <c r="H935" s="1868">
        <v>2.6552700000000002</v>
      </c>
      <c r="I935" s="1868">
        <v>2.5165900000000003</v>
      </c>
      <c r="J935" s="1868">
        <v>3.0623900000000002</v>
      </c>
      <c r="K935" s="1868">
        <v>2.43085</v>
      </c>
      <c r="L935" s="1868">
        <v>2.6557499999999998</v>
      </c>
      <c r="M935" s="1868">
        <v>2.1223799999999997</v>
      </c>
      <c r="N935" s="1868">
        <v>2.2386699999999999</v>
      </c>
      <c r="O935" s="1868">
        <v>2.8213200000000001</v>
      </c>
      <c r="P935" s="1868">
        <v>2.8820099999999997</v>
      </c>
      <c r="Q935" s="1868">
        <v>2.9139900000000001</v>
      </c>
      <c r="R935" s="1868">
        <v>3.2870499999999998</v>
      </c>
      <c r="S935" s="1868">
        <v>3.4516499999999999</v>
      </c>
      <c r="T935" s="1868">
        <v>2.9411900000000002</v>
      </c>
      <c r="U935" s="1868">
        <v>3.3458600000000001</v>
      </c>
      <c r="V935" s="1868">
        <v>2.1987900000000002</v>
      </c>
      <c r="W935" s="1868">
        <v>2.8565999999999998</v>
      </c>
      <c r="X935" s="1868">
        <v>2.65334</v>
      </c>
      <c r="Y935" s="1868">
        <v>3.0781400000000003</v>
      </c>
      <c r="Z935" s="1868">
        <v>3.10345</v>
      </c>
      <c r="AA935" s="1868">
        <v>3.6</v>
      </c>
      <c r="AB935" s="1868">
        <v>3.5384099999999998</v>
      </c>
      <c r="AC935" s="1868">
        <v>4.10297</v>
      </c>
      <c r="AD935" s="1868">
        <v>3.2068300000000001</v>
      </c>
      <c r="AE935" s="1868">
        <v>3.8982399999999999</v>
      </c>
      <c r="AF935" s="1868">
        <v>3.5003500000000001</v>
      </c>
      <c r="AG935" s="1868">
        <v>3.3969400000000003</v>
      </c>
      <c r="AH935" s="1868">
        <v>2.7914699999999999</v>
      </c>
      <c r="AI935" s="1868">
        <v>3.39784</v>
      </c>
      <c r="AJ935" s="1868">
        <v>3.6901199999999998</v>
      </c>
      <c r="AK935" s="1868">
        <v>3.0206300000000001</v>
      </c>
      <c r="AL935" s="1868">
        <v>2.5521799999999999</v>
      </c>
      <c r="AM935" s="1868">
        <v>3.27475</v>
      </c>
      <c r="AN935" s="1868">
        <v>3.4323800000000002</v>
      </c>
      <c r="AO935" s="1868">
        <v>3.2273200000000002</v>
      </c>
      <c r="AP935" s="1868">
        <v>3.1767699999999999</v>
      </c>
      <c r="AQ935" s="1868">
        <v>3.84199</v>
      </c>
      <c r="AR935" s="1868">
        <v>3.3703500000000002</v>
      </c>
      <c r="AS935" s="1868">
        <v>3.6854900000000002</v>
      </c>
      <c r="AT935" s="1868">
        <v>4.0347200000000001</v>
      </c>
      <c r="AU935" s="1868">
        <v>3.5620400000000001</v>
      </c>
      <c r="AV935" s="1868">
        <v>3.6606000000000001</v>
      </c>
      <c r="AW935" s="1868">
        <v>3.3471800000000003</v>
      </c>
      <c r="AX935" s="1868">
        <v>2.7563400000000002</v>
      </c>
      <c r="AY935" s="1868">
        <v>4.61029</v>
      </c>
      <c r="AZ935" s="1868">
        <v>3.6807199999999995</v>
      </c>
      <c r="BA935" s="1868">
        <v>3.8588199999999997</v>
      </c>
    </row>
    <row r="936" spans="1:53">
      <c r="A936" s="1865" t="str">
        <f t="shared" si="14"/>
        <v>Northern EuropeRoots and Tubers, nes</v>
      </c>
      <c r="B936" s="1866" t="s">
        <v>1346</v>
      </c>
      <c r="C936" s="1866" t="s">
        <v>1356</v>
      </c>
      <c r="AU936" s="1868">
        <v>30.824890000000003</v>
      </c>
      <c r="AV936" s="1868">
        <v>19.68554</v>
      </c>
      <c r="AW936" s="1868">
        <v>24.65</v>
      </c>
      <c r="AX936" s="1868">
        <v>18.934070000000002</v>
      </c>
      <c r="AY936" s="1868">
        <v>12.882350000000001</v>
      </c>
      <c r="AZ936" s="1868">
        <v>19.91667</v>
      </c>
      <c r="BA936" s="1868">
        <v>5.4603199999999994</v>
      </c>
    </row>
    <row r="937" spans="1:53">
      <c r="A937" s="1865" t="str">
        <f t="shared" si="14"/>
        <v>Northern EuropeRye</v>
      </c>
      <c r="B937" s="1866" t="s">
        <v>1346</v>
      </c>
      <c r="C937" s="1866" t="s">
        <v>1353</v>
      </c>
      <c r="D937" s="1868">
        <v>2.34192</v>
      </c>
      <c r="E937" s="1868">
        <v>2.3958699999999999</v>
      </c>
      <c r="F937" s="1868">
        <v>2.2784200000000001</v>
      </c>
      <c r="G937" s="1868">
        <v>2.45343</v>
      </c>
      <c r="H937" s="1868">
        <v>2.4304900000000003</v>
      </c>
      <c r="I937" s="1868">
        <v>1.9303299999999999</v>
      </c>
      <c r="J937" s="1868">
        <v>2.4599900000000003</v>
      </c>
      <c r="K937" s="1868">
        <v>2.6524700000000001</v>
      </c>
      <c r="L937" s="1868">
        <v>2.4340299999999999</v>
      </c>
      <c r="M937" s="1868">
        <v>2.60764</v>
      </c>
      <c r="N937" s="1868">
        <v>3.0708000000000002</v>
      </c>
      <c r="O937" s="1868">
        <v>3.0615799999999997</v>
      </c>
      <c r="P937" s="1868">
        <v>3.1234599999999997</v>
      </c>
      <c r="Q937" s="1868">
        <v>3.2686299999999999</v>
      </c>
      <c r="R937" s="1868">
        <v>3.1168800000000001</v>
      </c>
      <c r="S937" s="1868">
        <v>3.12235</v>
      </c>
      <c r="T937" s="1868">
        <v>3.0285900000000003</v>
      </c>
      <c r="U937" s="1868">
        <v>3.3902800000000002</v>
      </c>
      <c r="V937" s="1868">
        <v>3.20519</v>
      </c>
      <c r="W937" s="1868">
        <v>3.1330499999999999</v>
      </c>
      <c r="X937" s="1868">
        <v>3.2371599999999998</v>
      </c>
      <c r="Y937" s="1868">
        <v>3.8472199999999996</v>
      </c>
      <c r="Z937" s="1868">
        <v>3.5975300000000003</v>
      </c>
      <c r="AA937" s="1868">
        <v>4.1676400000000005</v>
      </c>
      <c r="AB937" s="1868">
        <v>3.9267599999999998</v>
      </c>
      <c r="AC937" s="1868">
        <v>4.1602699999999997</v>
      </c>
      <c r="AD937" s="1868">
        <v>3.4327400000000003</v>
      </c>
      <c r="AE937" s="1868">
        <v>3.9258500000000001</v>
      </c>
      <c r="AF937" s="1868">
        <v>4.2583500000000001</v>
      </c>
      <c r="AG937" s="1868">
        <v>4.3261500000000002</v>
      </c>
      <c r="AH937" s="1868">
        <v>4.5149499999999998</v>
      </c>
      <c r="AI937" s="1868">
        <v>2.6106099999999999</v>
      </c>
      <c r="AJ937" s="1868">
        <v>2.4948200000000003</v>
      </c>
      <c r="AK937" s="1868">
        <v>2.63524</v>
      </c>
      <c r="AL937" s="1868">
        <v>3.15367</v>
      </c>
      <c r="AM937" s="1868">
        <v>2.85494</v>
      </c>
      <c r="AN937" s="1868">
        <v>3.1020400000000001</v>
      </c>
      <c r="AO937" s="1868">
        <v>2.8643099999999997</v>
      </c>
      <c r="AP937" s="1868">
        <v>2.7243900000000001</v>
      </c>
      <c r="AQ937" s="1868">
        <v>3.0706000000000002</v>
      </c>
      <c r="AR937" s="1868">
        <v>3.0420799999999999</v>
      </c>
      <c r="AS937" s="1868">
        <v>3.20357</v>
      </c>
      <c r="AT937" s="1868">
        <v>3.06108</v>
      </c>
      <c r="AU937" s="1868">
        <v>3.27312</v>
      </c>
      <c r="AV937" s="1868">
        <v>3.2691699999999999</v>
      </c>
      <c r="AW937" s="1868">
        <v>3.1567099999999999</v>
      </c>
      <c r="AX937" s="1868">
        <v>3.4393199999999995</v>
      </c>
      <c r="AY937" s="1868">
        <v>3.7339599999999997</v>
      </c>
      <c r="AZ937" s="1868">
        <v>3.6387999999999998</v>
      </c>
      <c r="BA937" s="1868">
        <v>3.22228</v>
      </c>
    </row>
    <row r="938" spans="1:53">
      <c r="A938" s="1865" t="str">
        <f t="shared" si="14"/>
        <v>Northern EuropeStrawberries</v>
      </c>
      <c r="B938" s="1866" t="s">
        <v>1346</v>
      </c>
      <c r="C938" s="1866" t="s">
        <v>1400</v>
      </c>
      <c r="D938" s="1868">
        <v>6.8642100000000008</v>
      </c>
      <c r="E938" s="1868">
        <v>7.2104800000000004</v>
      </c>
      <c r="F938" s="1868">
        <v>7.3730500000000001</v>
      </c>
      <c r="G938" s="1868">
        <v>8.0240299999999998</v>
      </c>
      <c r="H938" s="1868">
        <v>7.4038600000000008</v>
      </c>
      <c r="I938" s="1868">
        <v>7.624039999999999</v>
      </c>
      <c r="J938" s="1868">
        <v>9.4438100000000009</v>
      </c>
      <c r="K938" s="1868">
        <v>9.2917300000000012</v>
      </c>
      <c r="L938" s="1868">
        <v>9.3853799999999996</v>
      </c>
      <c r="M938" s="1868">
        <v>8.5342899999999986</v>
      </c>
      <c r="N938" s="1868">
        <v>8.9861800000000009</v>
      </c>
      <c r="O938" s="1868">
        <v>9.6717399999999998</v>
      </c>
      <c r="P938" s="1868">
        <v>8.8104300000000002</v>
      </c>
      <c r="Q938" s="1868">
        <v>9.3525399999999994</v>
      </c>
      <c r="R938" s="1868">
        <v>8.2173600000000011</v>
      </c>
      <c r="S938" s="1868">
        <v>7.3156399999999993</v>
      </c>
      <c r="T938" s="1868">
        <v>7.6082999999999998</v>
      </c>
      <c r="U938" s="1868">
        <v>8.7038200000000003</v>
      </c>
      <c r="V938" s="1868">
        <v>8.8874600000000008</v>
      </c>
      <c r="W938" s="1868">
        <v>8.9837600000000002</v>
      </c>
      <c r="X938" s="1868">
        <v>8.2144499999999994</v>
      </c>
      <c r="Y938" s="1868">
        <v>9.2222299999999997</v>
      </c>
      <c r="Z938" s="1868">
        <v>8.8202800000000003</v>
      </c>
      <c r="AA938" s="1868">
        <v>8.7885500000000008</v>
      </c>
      <c r="AB938" s="1868">
        <v>7.9862000000000002</v>
      </c>
      <c r="AC938" s="1868">
        <v>6.9711999999999996</v>
      </c>
      <c r="AD938" s="1868">
        <v>7.3202999999999996</v>
      </c>
      <c r="AE938" s="1868">
        <v>7.0650100000000009</v>
      </c>
      <c r="AF938" s="1868">
        <v>6.2637199999999993</v>
      </c>
      <c r="AG938" s="1868">
        <v>7.08643</v>
      </c>
      <c r="AH938" s="1868">
        <v>6.9142999999999999</v>
      </c>
      <c r="AI938" s="1868">
        <v>6.90123</v>
      </c>
      <c r="AJ938" s="1868">
        <v>7.3998600000000003</v>
      </c>
      <c r="AK938" s="1868">
        <v>6.3332899999999999</v>
      </c>
      <c r="AL938" s="1868">
        <v>5.6002099999999997</v>
      </c>
      <c r="AM938" s="1868">
        <v>5.2350500000000002</v>
      </c>
      <c r="AN938" s="1868">
        <v>4.4169</v>
      </c>
      <c r="AO938" s="1868">
        <v>4.5114199999999993</v>
      </c>
      <c r="AP938" s="1868">
        <v>5.3575400000000002</v>
      </c>
      <c r="AQ938" s="1868">
        <v>5.0798399999999999</v>
      </c>
      <c r="AR938" s="1868">
        <v>5.0726100000000001</v>
      </c>
      <c r="AS938" s="1868">
        <v>5.3102499999999999</v>
      </c>
      <c r="AT938" s="1868">
        <v>5.6528900000000002</v>
      </c>
      <c r="AU938" s="1868">
        <v>6.7090899999999998</v>
      </c>
      <c r="AV938" s="1868">
        <v>7.3564100000000003</v>
      </c>
      <c r="AW938" s="1868">
        <v>7.6461699999999997</v>
      </c>
      <c r="AX938" s="1868">
        <v>9.1284600000000005</v>
      </c>
      <c r="AY938" s="1868">
        <v>10.15788</v>
      </c>
      <c r="AZ938" s="1868">
        <v>10.3986</v>
      </c>
      <c r="BA938" s="1868">
        <v>9.8637899999999998</v>
      </c>
    </row>
    <row r="939" spans="1:53">
      <c r="A939" s="1865" t="str">
        <f t="shared" si="14"/>
        <v>Northern EuropeSugar beet</v>
      </c>
      <c r="B939" s="1866" t="s">
        <v>1346</v>
      </c>
      <c r="C939" s="1866" t="s">
        <v>1358</v>
      </c>
      <c r="D939" s="1868">
        <v>34.710239999999999</v>
      </c>
      <c r="E939" s="1868">
        <v>30.920579999999998</v>
      </c>
      <c r="F939" s="1868">
        <v>32.90907</v>
      </c>
      <c r="G939" s="1868">
        <v>34.920590000000004</v>
      </c>
      <c r="H939" s="1868">
        <v>33.822119999999998</v>
      </c>
      <c r="I939" s="1868">
        <v>35.97457</v>
      </c>
      <c r="J939" s="1868">
        <v>38.230359999999997</v>
      </c>
      <c r="K939" s="1868">
        <v>39.594059999999999</v>
      </c>
      <c r="L939" s="1868">
        <v>34.295250000000003</v>
      </c>
      <c r="M939" s="1868">
        <v>35.923569999999998</v>
      </c>
      <c r="N939" s="1868">
        <v>40.771529999999998</v>
      </c>
      <c r="O939" s="1868">
        <v>35.09451</v>
      </c>
      <c r="P939" s="1868">
        <v>39.020159999999997</v>
      </c>
      <c r="Q939" s="1868">
        <v>30.760070000000002</v>
      </c>
      <c r="R939" s="1868">
        <v>30.43722</v>
      </c>
      <c r="S939" s="1868">
        <v>33.245930000000001</v>
      </c>
      <c r="T939" s="1868">
        <v>34.595209999999994</v>
      </c>
      <c r="U939" s="1868">
        <v>35.663379999999997</v>
      </c>
      <c r="V939" s="1868">
        <v>36.388919999999999</v>
      </c>
      <c r="W939" s="1868">
        <v>36.396679999999996</v>
      </c>
      <c r="X939" s="1868">
        <v>37.120359999999998</v>
      </c>
      <c r="Y939" s="1868">
        <v>45.940750000000001</v>
      </c>
      <c r="Z939" s="1868">
        <v>37.206070000000004</v>
      </c>
      <c r="AA939" s="1868">
        <v>45.091909999999999</v>
      </c>
      <c r="AB939" s="1868">
        <v>39.132390000000001</v>
      </c>
      <c r="AC939" s="1868">
        <v>39.668399999999998</v>
      </c>
      <c r="AD939" s="1868">
        <v>37.084429999999998</v>
      </c>
      <c r="AE939" s="1868">
        <v>42.914450000000002</v>
      </c>
      <c r="AF939" s="1868">
        <v>43.760300000000001</v>
      </c>
      <c r="AG939" s="1868">
        <v>45.192399999999999</v>
      </c>
      <c r="AH939" s="1868">
        <v>44.296929999999996</v>
      </c>
      <c r="AI939" s="1868">
        <v>43.555640000000004</v>
      </c>
      <c r="AJ939" s="1868">
        <v>44.788409999999999</v>
      </c>
      <c r="AK939" s="1868">
        <v>41.14499</v>
      </c>
      <c r="AL939" s="1868">
        <v>41.525309999999998</v>
      </c>
      <c r="AM939" s="1868">
        <v>44.128459999999997</v>
      </c>
      <c r="AN939" s="1868">
        <v>47.854129999999998</v>
      </c>
      <c r="AO939" s="1868">
        <v>46.682279999999999</v>
      </c>
      <c r="AP939" s="1868">
        <v>49.407159999999998</v>
      </c>
      <c r="AQ939" s="1868">
        <v>48.898409999999998</v>
      </c>
      <c r="AR939" s="1868">
        <v>46.342770000000002</v>
      </c>
      <c r="AS939" s="1868">
        <v>50.532299999999999</v>
      </c>
      <c r="AT939" s="1868">
        <v>50.875690000000006</v>
      </c>
      <c r="AU939" s="1868">
        <v>53.015409999999996</v>
      </c>
      <c r="AV939" s="1868">
        <v>52.005040000000001</v>
      </c>
      <c r="AW939" s="1868">
        <v>51.398569999999999</v>
      </c>
      <c r="AX939" s="1868">
        <v>52.896560000000001</v>
      </c>
      <c r="AY939" s="1868">
        <v>57.948349999999998</v>
      </c>
      <c r="AZ939" s="1868">
        <v>63.422319999999992</v>
      </c>
      <c r="BA939" s="1868">
        <v>60.634039999999999</v>
      </c>
    </row>
    <row r="940" spans="1:53">
      <c r="A940" s="1865" t="str">
        <f t="shared" si="14"/>
        <v>Northern EuropeTomatoes</v>
      </c>
      <c r="B940" s="1866" t="s">
        <v>1346</v>
      </c>
      <c r="C940" s="1866" t="s">
        <v>1406</v>
      </c>
      <c r="D940" s="1868">
        <v>86.33717</v>
      </c>
      <c r="E940" s="1868">
        <v>91.992350000000002</v>
      </c>
      <c r="F940" s="1868">
        <v>87.069130000000001</v>
      </c>
      <c r="G940" s="1868">
        <v>94.939830000000001</v>
      </c>
      <c r="H940" s="1868">
        <v>94.973569999999995</v>
      </c>
      <c r="I940" s="1868">
        <v>98.258980000000008</v>
      </c>
      <c r="J940" s="1868">
        <v>103.15729</v>
      </c>
      <c r="K940" s="1868">
        <v>103.89378000000001</v>
      </c>
      <c r="L940" s="1868">
        <v>106.28543999999999</v>
      </c>
      <c r="M940" s="1868">
        <v>114.45007</v>
      </c>
      <c r="N940" s="1868">
        <v>114.02216000000001</v>
      </c>
      <c r="O940" s="1868">
        <v>122.79021999999999</v>
      </c>
      <c r="P940" s="1868">
        <v>126.56808000000001</v>
      </c>
      <c r="Q940" s="1868">
        <v>131.46042</v>
      </c>
      <c r="R940" s="1868">
        <v>133.13962000000001</v>
      </c>
      <c r="S940" s="1868">
        <v>138.97987000000001</v>
      </c>
      <c r="T940" s="1868">
        <v>144.71066999999999</v>
      </c>
      <c r="U940" s="1868">
        <v>148.46367000000001</v>
      </c>
      <c r="V940" s="1868">
        <v>156.43974</v>
      </c>
      <c r="W940" s="1868">
        <v>149.59779</v>
      </c>
      <c r="X940" s="1868">
        <v>154.17351000000002</v>
      </c>
      <c r="Y940" s="1868">
        <v>162.83543</v>
      </c>
      <c r="Z940" s="1868">
        <v>165.32239999999999</v>
      </c>
      <c r="AA940" s="1868">
        <v>177.15093999999999</v>
      </c>
      <c r="AB940" s="1868">
        <v>179.28252000000001</v>
      </c>
      <c r="AC940" s="1868">
        <v>185.44633000000002</v>
      </c>
      <c r="AD940" s="1868">
        <v>196.18241</v>
      </c>
      <c r="AE940" s="1868">
        <v>207.34976</v>
      </c>
      <c r="AF940" s="1868">
        <v>212.98457000000002</v>
      </c>
      <c r="AG940" s="1868">
        <v>232.06507999999999</v>
      </c>
      <c r="AH940" s="1868">
        <v>236.73220000000001</v>
      </c>
      <c r="AI940" s="1868">
        <v>70.236540000000005</v>
      </c>
      <c r="AJ940" s="1868">
        <v>67.564269999999993</v>
      </c>
      <c r="AK940" s="1868">
        <v>70.273430000000005</v>
      </c>
      <c r="AL940" s="1868">
        <v>73.239699999999999</v>
      </c>
      <c r="AM940" s="1868">
        <v>77.516069999999999</v>
      </c>
      <c r="AN940" s="1868">
        <v>112.27296000000001</v>
      </c>
      <c r="AO940" s="1868">
        <v>82.311940000000007</v>
      </c>
      <c r="AP940" s="1868">
        <v>110.23951000000001</v>
      </c>
      <c r="AQ940" s="1868">
        <v>112.18895000000001</v>
      </c>
      <c r="AR940" s="1868">
        <v>90.241039999999998</v>
      </c>
      <c r="AS940" s="1868">
        <v>102.55374</v>
      </c>
      <c r="AT940" s="1868">
        <v>83.768619999999999</v>
      </c>
      <c r="AU940" s="1868">
        <v>96.554360000000003</v>
      </c>
      <c r="AV940" s="1868">
        <v>99.795929999999998</v>
      </c>
      <c r="AW940" s="1868">
        <v>179.22243</v>
      </c>
      <c r="AX940" s="1868">
        <v>174.39118999999999</v>
      </c>
      <c r="AY940" s="1868">
        <v>208.83698999999999</v>
      </c>
      <c r="AZ940" s="1868">
        <v>208.39893000000001</v>
      </c>
      <c r="BA940" s="1868">
        <v>177.36436</v>
      </c>
    </row>
    <row r="941" spans="1:53">
      <c r="A941" s="1865" t="str">
        <f t="shared" si="14"/>
        <v>Northern EuropeTriticale</v>
      </c>
      <c r="B941" s="1866" t="s">
        <v>1346</v>
      </c>
      <c r="C941" s="1866" t="s">
        <v>1361</v>
      </c>
      <c r="AB941" s="1868">
        <v>5</v>
      </c>
      <c r="AC941" s="1868">
        <v>5</v>
      </c>
      <c r="AD941" s="1868">
        <v>5</v>
      </c>
      <c r="AE941" s="1868">
        <v>5.8</v>
      </c>
      <c r="AF941" s="1868">
        <v>5.2002100000000002</v>
      </c>
      <c r="AG941" s="1868">
        <v>5.6521699999999999</v>
      </c>
      <c r="AH941" s="1868">
        <v>5.2727300000000001</v>
      </c>
      <c r="AI941" s="1868">
        <v>4.12643</v>
      </c>
      <c r="AJ941" s="1868">
        <v>4.5277099999999999</v>
      </c>
      <c r="AK941" s="1868">
        <v>4.21854</v>
      </c>
      <c r="AL941" s="1868">
        <v>4.1340500000000002</v>
      </c>
      <c r="AM941" s="1868">
        <v>4.1619599999999997</v>
      </c>
      <c r="AN941" s="1868">
        <v>4.2488800000000007</v>
      </c>
      <c r="AO941" s="1868">
        <v>4.16866</v>
      </c>
      <c r="AP941" s="1868">
        <v>3.8746800000000001</v>
      </c>
      <c r="AQ941" s="1868">
        <v>4.0867599999999999</v>
      </c>
      <c r="AR941" s="1868">
        <v>3.5301</v>
      </c>
      <c r="AS941" s="1868">
        <v>3.7687499999999998</v>
      </c>
      <c r="AT941" s="1868">
        <v>3.4712999999999998</v>
      </c>
      <c r="AU941" s="1868">
        <v>3.9021400000000002</v>
      </c>
      <c r="AV941" s="1868">
        <v>3.8329599999999999</v>
      </c>
      <c r="AW941" s="1868">
        <v>3.4013300000000002</v>
      </c>
      <c r="AX941" s="1868">
        <v>3.8580900000000002</v>
      </c>
      <c r="AY941" s="1868">
        <v>4.1305399999999999</v>
      </c>
      <c r="AZ941" s="1868">
        <v>3.8028400000000002</v>
      </c>
      <c r="BA941" s="1868">
        <v>3.1951000000000001</v>
      </c>
    </row>
    <row r="942" spans="1:53">
      <c r="A942" s="1865" t="str">
        <f t="shared" si="14"/>
        <v>Northern EuropeVegetables fresh nes</v>
      </c>
      <c r="B942" s="1866" t="s">
        <v>1346</v>
      </c>
      <c r="C942" s="1866" t="s">
        <v>1407</v>
      </c>
      <c r="D942" s="1868">
        <v>24.30124</v>
      </c>
      <c r="E942" s="1868">
        <v>24.494250000000001</v>
      </c>
      <c r="F942" s="1868">
        <v>25.834420000000001</v>
      </c>
      <c r="G942" s="1868">
        <v>25.999479999999998</v>
      </c>
      <c r="H942" s="1868">
        <v>26.17343</v>
      </c>
      <c r="I942" s="1868">
        <v>26.155200000000001</v>
      </c>
      <c r="J942" s="1868">
        <v>26.551449999999999</v>
      </c>
      <c r="K942" s="1868">
        <v>28.069970000000001</v>
      </c>
      <c r="L942" s="1868">
        <v>28.126909999999999</v>
      </c>
      <c r="M942" s="1868">
        <v>28.930579999999999</v>
      </c>
      <c r="N942" s="1868">
        <v>28.648759999999999</v>
      </c>
      <c r="O942" s="1868">
        <v>34.825920000000004</v>
      </c>
      <c r="P942" s="1868">
        <v>34.927869999999999</v>
      </c>
      <c r="Q942" s="1868">
        <v>35.369799999999998</v>
      </c>
      <c r="R942" s="1868">
        <v>37.107840000000003</v>
      </c>
      <c r="S942" s="1868">
        <v>37.444890000000001</v>
      </c>
      <c r="T942" s="1868">
        <v>37.748129999999996</v>
      </c>
      <c r="U942" s="1868">
        <v>37.98771</v>
      </c>
      <c r="V942" s="1868">
        <v>39.232779999999998</v>
      </c>
      <c r="W942" s="1868">
        <v>38.174999999999997</v>
      </c>
      <c r="X942" s="1868">
        <v>40.840220000000002</v>
      </c>
      <c r="Y942" s="1868">
        <v>39.460259999999998</v>
      </c>
      <c r="Z942" s="1868">
        <v>35.40296</v>
      </c>
      <c r="AA942" s="1868">
        <v>34.18224</v>
      </c>
      <c r="AB942" s="1868">
        <v>35.982729999999997</v>
      </c>
      <c r="AC942" s="1868">
        <v>36.69491</v>
      </c>
      <c r="AD942" s="1868">
        <v>35.572189999999999</v>
      </c>
      <c r="AE942" s="1868">
        <v>36.130749999999999</v>
      </c>
      <c r="AF942" s="1868">
        <v>35.900440000000003</v>
      </c>
      <c r="AG942" s="1868">
        <v>34.009070000000001</v>
      </c>
      <c r="AH942" s="1868">
        <v>32.398020000000002</v>
      </c>
      <c r="AI942" s="1868">
        <v>30.396909999999998</v>
      </c>
      <c r="AJ942" s="1868">
        <v>30.139129999999998</v>
      </c>
      <c r="AK942" s="1868">
        <v>13.3476</v>
      </c>
      <c r="AL942" s="1868">
        <v>10.433719999999999</v>
      </c>
      <c r="AM942" s="1868">
        <v>12.51196</v>
      </c>
      <c r="AN942" s="1868">
        <v>10.663629999999999</v>
      </c>
      <c r="AO942" s="1868">
        <v>8.7095399999999987</v>
      </c>
      <c r="AP942" s="1868">
        <v>10.952639999999999</v>
      </c>
      <c r="AQ942" s="1868">
        <v>10.223280000000001</v>
      </c>
      <c r="AR942" s="1868">
        <v>12.087160000000001</v>
      </c>
      <c r="AS942" s="1868">
        <v>11.586600000000001</v>
      </c>
      <c r="AT942" s="1868">
        <v>14.289770000000001</v>
      </c>
      <c r="AU942" s="1868">
        <v>14.178729999999998</v>
      </c>
      <c r="AV942" s="1868">
        <v>13.548550000000001</v>
      </c>
      <c r="AW942" s="1868">
        <v>13.903960000000001</v>
      </c>
      <c r="AX942" s="1868">
        <v>14.755699999999999</v>
      </c>
      <c r="AY942" s="1868">
        <v>15.47059</v>
      </c>
      <c r="AZ942" s="1868">
        <v>16.351430000000001</v>
      </c>
      <c r="BA942" s="1868">
        <v>16.751439999999999</v>
      </c>
    </row>
    <row r="943" spans="1:53">
      <c r="A943" s="1865" t="str">
        <f t="shared" si="14"/>
        <v>Northern EuropeVetches</v>
      </c>
      <c r="B943" s="1866" t="s">
        <v>1346</v>
      </c>
      <c r="C943" s="1866" t="s">
        <v>1408</v>
      </c>
      <c r="D943" s="1868">
        <v>1.7774299999999998</v>
      </c>
      <c r="E943" s="1868">
        <v>1.3271600000000001</v>
      </c>
      <c r="F943" s="1868">
        <v>1.5196799999999999</v>
      </c>
      <c r="G943" s="1868">
        <v>1.83507</v>
      </c>
      <c r="H943" s="1868">
        <v>1.8675200000000001</v>
      </c>
      <c r="I943" s="1868">
        <v>1.7656000000000001</v>
      </c>
      <c r="J943" s="1868">
        <v>1.90703</v>
      </c>
      <c r="K943" s="1868">
        <v>1.9913400000000001</v>
      </c>
      <c r="L943" s="1868">
        <v>1.55006</v>
      </c>
      <c r="M943" s="1868">
        <v>1.8205499999999999</v>
      </c>
      <c r="N943" s="1868">
        <v>1.9766400000000002</v>
      </c>
      <c r="O943" s="1868">
        <v>1.92998</v>
      </c>
      <c r="P943" s="1868">
        <v>1.5971799999999998</v>
      </c>
      <c r="Q943" s="1868">
        <v>2.1534299999999997</v>
      </c>
      <c r="R943" s="1868">
        <v>1.6479700000000002</v>
      </c>
      <c r="S943" s="1868">
        <v>2.2316199999999999</v>
      </c>
      <c r="T943" s="1868">
        <v>2.2026400000000002</v>
      </c>
      <c r="U943" s="1868">
        <v>2.2266900000000001</v>
      </c>
      <c r="V943" s="1868">
        <v>2.20458</v>
      </c>
      <c r="W943" s="1868">
        <v>2.2142900000000001</v>
      </c>
      <c r="X943" s="1868">
        <v>2.8</v>
      </c>
      <c r="Y943" s="1868">
        <v>2.8036799999999999</v>
      </c>
      <c r="Z943" s="1868">
        <v>2.80287</v>
      </c>
      <c r="AA943" s="1868">
        <v>2.8033999999999999</v>
      </c>
      <c r="AB943" s="1868">
        <v>2.8015500000000002</v>
      </c>
      <c r="AC943" s="1868">
        <v>2.6357300000000001</v>
      </c>
      <c r="AD943" s="1868">
        <v>2.2921299999999998</v>
      </c>
      <c r="AE943" s="1868">
        <v>2.9060799999999998</v>
      </c>
      <c r="AF943" s="1868">
        <v>2.4473799999999999</v>
      </c>
      <c r="AG943" s="1868">
        <v>2.6124999999999998</v>
      </c>
      <c r="AH943" s="1868">
        <v>2.8015300000000001</v>
      </c>
      <c r="AI943" s="1868">
        <v>1.8779099999999997</v>
      </c>
      <c r="AJ943" s="1868">
        <v>3.0876700000000001</v>
      </c>
      <c r="AK943" s="1868">
        <v>2.5638099999999997</v>
      </c>
      <c r="AL943" s="1868">
        <v>1.5333000000000001</v>
      </c>
      <c r="AM943" s="1868">
        <v>2.2674400000000001</v>
      </c>
      <c r="AN943" s="1868">
        <v>1.91228</v>
      </c>
      <c r="AO943" s="1868">
        <v>1.5333299999999999</v>
      </c>
      <c r="AP943" s="1868">
        <v>0.96</v>
      </c>
      <c r="AQ943" s="1868">
        <v>1.5428600000000001</v>
      </c>
      <c r="AR943" s="1868">
        <v>1.2093</v>
      </c>
      <c r="AS943" s="1868">
        <v>1.4173200000000001</v>
      </c>
      <c r="AT943" s="1868">
        <v>1.84</v>
      </c>
      <c r="AU943" s="1868">
        <v>1.5294099999999999</v>
      </c>
      <c r="AV943" s="1868">
        <v>1.7407400000000002</v>
      </c>
      <c r="AW943" s="1868">
        <v>0.78947000000000001</v>
      </c>
      <c r="AX943" s="1868">
        <v>1.7</v>
      </c>
      <c r="AY943" s="1868">
        <v>1.7</v>
      </c>
      <c r="AZ943" s="1868">
        <v>1.5940000000000001</v>
      </c>
      <c r="BA943" s="1868">
        <v>1.4231400000000001</v>
      </c>
    </row>
    <row r="944" spans="1:53">
      <c r="A944" s="1865" t="str">
        <f t="shared" si="14"/>
        <v>Northern EuropeWheat</v>
      </c>
      <c r="B944" s="1866" t="s">
        <v>1346</v>
      </c>
      <c r="C944" s="1866" t="s">
        <v>1409</v>
      </c>
      <c r="D944" s="1868">
        <v>3.2566099999999998</v>
      </c>
      <c r="E944" s="1868">
        <v>3.5870000000000002</v>
      </c>
      <c r="F944" s="1868">
        <v>3.3338400000000004</v>
      </c>
      <c r="G944" s="1868">
        <v>3.7457800000000003</v>
      </c>
      <c r="H944" s="1868">
        <v>3.6734300000000002</v>
      </c>
      <c r="I944" s="1868">
        <v>3.4457599999999999</v>
      </c>
      <c r="J944" s="1868">
        <v>3.8945300000000005</v>
      </c>
      <c r="K944" s="1868">
        <v>3.58819</v>
      </c>
      <c r="L944" s="1868">
        <v>3.7433099999999997</v>
      </c>
      <c r="M944" s="1868">
        <v>3.9159699999999997</v>
      </c>
      <c r="N944" s="1868">
        <v>4.1789399999999999</v>
      </c>
      <c r="O944" s="1868">
        <v>4.0711500000000003</v>
      </c>
      <c r="P944" s="1868">
        <v>4.17957</v>
      </c>
      <c r="Q944" s="1868">
        <v>4.77881</v>
      </c>
      <c r="R944" s="1868">
        <v>4.2684199999999999</v>
      </c>
      <c r="S944" s="1868">
        <v>3.9243000000000001</v>
      </c>
      <c r="T944" s="1868">
        <v>4.5518199999999993</v>
      </c>
      <c r="U944" s="1868">
        <v>4.91899</v>
      </c>
      <c r="V944" s="1868">
        <v>4.9071699999999998</v>
      </c>
      <c r="W944" s="1868">
        <v>5.34213</v>
      </c>
      <c r="X944" s="1868">
        <v>5.5007099999999998</v>
      </c>
      <c r="Y944" s="1868">
        <v>5.94252</v>
      </c>
      <c r="Z944" s="1868">
        <v>6.00753</v>
      </c>
      <c r="AA944" s="1868">
        <v>7.1654899999999992</v>
      </c>
      <c r="AB944" s="1868">
        <v>5.9080599999999999</v>
      </c>
      <c r="AC944" s="1868">
        <v>6.4337200000000001</v>
      </c>
      <c r="AD944" s="1868">
        <v>5.62662</v>
      </c>
      <c r="AE944" s="1868">
        <v>6.0182199999999995</v>
      </c>
      <c r="AF944" s="1868">
        <v>6.5720499999999999</v>
      </c>
      <c r="AG944" s="1868">
        <v>6.7919999999999998</v>
      </c>
      <c r="AH944" s="1868">
        <v>6.9339899999999997</v>
      </c>
      <c r="AI944" s="1868">
        <v>5.9502600000000001</v>
      </c>
      <c r="AJ944" s="1868">
        <v>6.1317300000000001</v>
      </c>
      <c r="AK944" s="1868">
        <v>6.2401099999999996</v>
      </c>
      <c r="AL944" s="1868">
        <v>6.7263100000000007</v>
      </c>
      <c r="AM944" s="1868">
        <v>6.7985800000000003</v>
      </c>
      <c r="AN944" s="1868">
        <v>6.3976199999999999</v>
      </c>
      <c r="AO944" s="1868">
        <v>6.4042399999999997</v>
      </c>
      <c r="AP944" s="1868">
        <v>6.6002600000000005</v>
      </c>
      <c r="AQ944" s="1868">
        <v>6.7788300000000001</v>
      </c>
      <c r="AR944" s="1868">
        <v>6.1564899999999998</v>
      </c>
      <c r="AS944" s="1868">
        <v>6.7503899999999994</v>
      </c>
      <c r="AT944" s="1868">
        <v>6.4689800000000002</v>
      </c>
      <c r="AU944" s="1868">
        <v>6.6182999999999996</v>
      </c>
      <c r="AV944" s="1868">
        <v>6.6950100000000008</v>
      </c>
      <c r="AW944" s="1868">
        <v>6.4119699999999993</v>
      </c>
      <c r="AX944" s="1868">
        <v>6.2119400000000002</v>
      </c>
      <c r="AY944" s="1868">
        <v>6.9692600000000002</v>
      </c>
      <c r="AZ944" s="1868">
        <v>6.2984400000000003</v>
      </c>
      <c r="BA944" s="1868">
        <v>6.0682599999999995</v>
      </c>
    </row>
    <row r="945" spans="1:53">
      <c r="A945" s="1865" t="str">
        <f t="shared" si="14"/>
        <v>Northern EuropeCereals (Rice Milled Eqv</v>
      </c>
      <c r="B945" s="1866" t="s">
        <v>1346</v>
      </c>
      <c r="C945" s="1866" t="s">
        <v>1410</v>
      </c>
      <c r="D945" s="1868">
        <v>2.9653900000000002</v>
      </c>
      <c r="E945" s="1868">
        <v>3.1344500000000002</v>
      </c>
      <c r="F945" s="1868">
        <v>3.0553599999999999</v>
      </c>
      <c r="G945" s="1868">
        <v>3.3241000000000001</v>
      </c>
      <c r="H945" s="1868">
        <v>3.3806300000000005</v>
      </c>
      <c r="I945" s="1868">
        <v>3.12988</v>
      </c>
      <c r="J945" s="1868">
        <v>3.4310999999999998</v>
      </c>
      <c r="K945" s="1868">
        <v>3.3887800000000001</v>
      </c>
      <c r="L945" s="1868">
        <v>3.3557900000000003</v>
      </c>
      <c r="M945" s="1868">
        <v>3.3478800000000004</v>
      </c>
      <c r="N945" s="1868">
        <v>3.6766300000000003</v>
      </c>
      <c r="O945" s="1868">
        <v>3.6756199999999999</v>
      </c>
      <c r="P945" s="1868">
        <v>3.54806</v>
      </c>
      <c r="Q945" s="1868">
        <v>3.9579</v>
      </c>
      <c r="R945" s="1868">
        <v>3.4946999999999999</v>
      </c>
      <c r="S945" s="1868">
        <v>3.3878699999999995</v>
      </c>
      <c r="T945" s="1868">
        <v>3.9265099999999999</v>
      </c>
      <c r="U945" s="1868">
        <v>3.9828099999999997</v>
      </c>
      <c r="V945" s="1868">
        <v>3.98366</v>
      </c>
      <c r="W945" s="1868">
        <v>4.17394</v>
      </c>
      <c r="X945" s="1868">
        <v>4.1722400000000004</v>
      </c>
      <c r="Y945" s="1868">
        <v>4.62887</v>
      </c>
      <c r="Z945" s="1868">
        <v>4.4109300000000005</v>
      </c>
      <c r="AA945" s="1868">
        <v>5.4910800000000002</v>
      </c>
      <c r="AB945" s="1868">
        <v>4.7373500000000002</v>
      </c>
      <c r="AC945" s="1868">
        <v>4.9877199999999995</v>
      </c>
      <c r="AD945" s="1868">
        <v>4.6069000000000004</v>
      </c>
      <c r="AE945" s="1868">
        <v>4.6019100000000002</v>
      </c>
      <c r="AF945" s="1868">
        <v>5.1279199999999996</v>
      </c>
      <c r="AG945" s="1868">
        <v>5.5348199999999999</v>
      </c>
      <c r="AH945" s="1868">
        <v>5.5553699999999999</v>
      </c>
      <c r="AI945" s="1868">
        <v>4.2033199999999997</v>
      </c>
      <c r="AJ945" s="1868">
        <v>4.6458500000000003</v>
      </c>
      <c r="AK945" s="1868">
        <v>4.5863800000000001</v>
      </c>
      <c r="AL945" s="1868">
        <v>5.0012400000000001</v>
      </c>
      <c r="AM945" s="1868">
        <v>5.3227900000000004</v>
      </c>
      <c r="AN945" s="1868">
        <v>5.0526400000000002</v>
      </c>
      <c r="AO945" s="1868">
        <v>4.8299500000000002</v>
      </c>
      <c r="AP945" s="1868">
        <v>4.8751499999999997</v>
      </c>
      <c r="AQ945" s="1868">
        <v>5.30504</v>
      </c>
      <c r="AR945" s="1868">
        <v>4.8869099999999994</v>
      </c>
      <c r="AS945" s="1868">
        <v>5.1910999999999996</v>
      </c>
      <c r="AT945" s="1868">
        <v>5.1969099999999999</v>
      </c>
      <c r="AU945" s="1868">
        <v>5.3491999999999997</v>
      </c>
      <c r="AV945" s="1868">
        <v>5.3117199999999993</v>
      </c>
      <c r="AW945" s="1868">
        <v>5.0180099999999994</v>
      </c>
      <c r="AX945" s="1868">
        <v>5.1030199999999999</v>
      </c>
      <c r="AY945" s="1868">
        <v>5.5025300000000001</v>
      </c>
      <c r="AZ945" s="1868">
        <v>5.3282400000000001</v>
      </c>
      <c r="BA945" s="1868">
        <v>5.1037099999999995</v>
      </c>
    </row>
    <row r="946" spans="1:53">
      <c r="A946" s="1865" t="str">
        <f t="shared" si="14"/>
        <v>PolynesiaBananas</v>
      </c>
      <c r="B946" s="1866" t="s">
        <v>1420</v>
      </c>
      <c r="C946" s="1866" t="s">
        <v>1362</v>
      </c>
      <c r="D946" s="1868">
        <v>3.6981099999999998</v>
      </c>
      <c r="E946" s="1868">
        <v>3.7841099999999996</v>
      </c>
      <c r="F946" s="1868">
        <v>4.3597000000000001</v>
      </c>
      <c r="G946" s="1868">
        <v>3.7274300000000005</v>
      </c>
      <c r="H946" s="1868">
        <v>4.0058699999999998</v>
      </c>
      <c r="I946" s="1868">
        <v>3.3304999999999998</v>
      </c>
      <c r="J946" s="1868">
        <v>4.5060500000000001</v>
      </c>
      <c r="K946" s="1868">
        <v>4.5970699999999995</v>
      </c>
      <c r="L946" s="1868">
        <v>4.3967700000000001</v>
      </c>
      <c r="M946" s="1868">
        <v>4.0126200000000001</v>
      </c>
      <c r="N946" s="1868">
        <v>3.8185099999999998</v>
      </c>
      <c r="O946" s="1868">
        <v>3.1712099999999999</v>
      </c>
      <c r="P946" s="1868">
        <v>3.6930699999999996</v>
      </c>
      <c r="Q946" s="1868">
        <v>4.14602</v>
      </c>
      <c r="R946" s="1868">
        <v>4.7859699999999998</v>
      </c>
      <c r="S946" s="1868">
        <v>4.8721100000000002</v>
      </c>
      <c r="T946" s="1868">
        <v>4.7760199999999999</v>
      </c>
      <c r="U946" s="1868">
        <v>4.77867</v>
      </c>
      <c r="V946" s="1868">
        <v>4.6332100000000001</v>
      </c>
      <c r="W946" s="1868">
        <v>4.4388100000000001</v>
      </c>
      <c r="X946" s="1868">
        <v>4.3459699999999994</v>
      </c>
      <c r="Y946" s="1868">
        <v>5.3033900000000003</v>
      </c>
      <c r="Z946" s="1868">
        <v>4.7190099999999999</v>
      </c>
      <c r="AA946" s="1868">
        <v>4.1610500000000004</v>
      </c>
      <c r="AB946" s="1868">
        <v>4.2284499999999996</v>
      </c>
      <c r="AC946" s="1868">
        <v>3.4188400000000003</v>
      </c>
      <c r="AD946" s="1868">
        <v>3.6822199999999996</v>
      </c>
      <c r="AE946" s="1868">
        <v>4.4767800000000006</v>
      </c>
      <c r="AF946" s="1868">
        <v>4.6007600000000002</v>
      </c>
      <c r="AG946" s="1868">
        <v>4.6733400000000005</v>
      </c>
      <c r="AH946" s="1868">
        <v>4.08758</v>
      </c>
      <c r="AI946" s="1868">
        <v>1.9656400000000001</v>
      </c>
      <c r="AJ946" s="1868">
        <v>3.8849800000000001</v>
      </c>
      <c r="AK946" s="1868">
        <v>3.9548199999999998</v>
      </c>
      <c r="AL946" s="1868">
        <v>4.1887400000000001</v>
      </c>
      <c r="AM946" s="1868">
        <v>4.2024400000000002</v>
      </c>
      <c r="AN946" s="1868">
        <v>4.1744699999999995</v>
      </c>
      <c r="AO946" s="1868">
        <v>4.2301500000000001</v>
      </c>
      <c r="AP946" s="1868">
        <v>3.95451</v>
      </c>
      <c r="AQ946" s="1868">
        <v>4.3190099999999996</v>
      </c>
      <c r="AR946" s="1868">
        <v>4.8846300000000005</v>
      </c>
      <c r="AS946" s="1868">
        <v>4.5893100000000002</v>
      </c>
      <c r="AT946" s="1868">
        <v>4.6035599999999999</v>
      </c>
      <c r="AU946" s="1868">
        <v>4.4060600000000001</v>
      </c>
      <c r="AV946" s="1868">
        <v>4.7743000000000002</v>
      </c>
      <c r="AW946" s="1868">
        <v>4.6505900000000002</v>
      </c>
      <c r="AX946" s="1868">
        <v>4.8414099999999998</v>
      </c>
      <c r="AY946" s="1868">
        <v>4.6072699999999998</v>
      </c>
      <c r="AZ946" s="1868">
        <v>5.3275499999999996</v>
      </c>
      <c r="BA946" s="1868">
        <v>6.7492100000000006</v>
      </c>
    </row>
    <row r="947" spans="1:53">
      <c r="A947" s="1865" t="str">
        <f t="shared" si="14"/>
        <v>PolynesiaBeans, green</v>
      </c>
      <c r="B947" s="1866" t="s">
        <v>1420</v>
      </c>
      <c r="C947" s="1866" t="s">
        <v>1365</v>
      </c>
      <c r="AO947" s="1868">
        <v>6.625</v>
      </c>
      <c r="AP947" s="1868">
        <v>6</v>
      </c>
      <c r="AQ947" s="1868">
        <v>4</v>
      </c>
      <c r="AR947" s="1868">
        <v>3.6666699999999999</v>
      </c>
      <c r="AS947" s="1868">
        <v>3.25</v>
      </c>
      <c r="AT947" s="1868">
        <v>2.9166699999999999</v>
      </c>
      <c r="AU947" s="1868">
        <v>3</v>
      </c>
      <c r="AV947" s="1868">
        <v>3.8571400000000002</v>
      </c>
      <c r="AW947" s="1868">
        <v>3.64</v>
      </c>
      <c r="AX947" s="1868">
        <v>2.8958300000000001</v>
      </c>
      <c r="AY947" s="1868">
        <v>3.09524</v>
      </c>
      <c r="AZ947" s="1868">
        <v>3.6216199999999996</v>
      </c>
      <c r="BA947" s="1868">
        <v>3.5</v>
      </c>
    </row>
    <row r="948" spans="1:53">
      <c r="A948" s="1865" t="str">
        <f t="shared" si="14"/>
        <v>PolynesiaCarrots and turnips</v>
      </c>
      <c r="B948" s="1866" t="s">
        <v>1420</v>
      </c>
      <c r="C948" s="1866" t="s">
        <v>1366</v>
      </c>
      <c r="D948" s="1868">
        <v>10</v>
      </c>
      <c r="E948" s="1868">
        <v>10</v>
      </c>
      <c r="F948" s="1868">
        <v>10</v>
      </c>
      <c r="G948" s="1868">
        <v>10</v>
      </c>
      <c r="H948" s="1868">
        <v>10</v>
      </c>
      <c r="I948" s="1868">
        <v>10</v>
      </c>
      <c r="J948" s="1868">
        <v>10</v>
      </c>
      <c r="K948" s="1868">
        <v>10</v>
      </c>
      <c r="L948" s="1868">
        <v>10</v>
      </c>
      <c r="M948" s="1868">
        <v>10</v>
      </c>
      <c r="N948" s="1868">
        <v>10</v>
      </c>
      <c r="O948" s="1868">
        <v>10</v>
      </c>
      <c r="P948" s="1868">
        <v>10.050000000000001</v>
      </c>
      <c r="Q948" s="1868">
        <v>10.35</v>
      </c>
      <c r="R948" s="1868">
        <v>10.5</v>
      </c>
      <c r="S948" s="1868">
        <v>10</v>
      </c>
      <c r="T948" s="1868">
        <v>11.25</v>
      </c>
      <c r="U948" s="1868">
        <v>10</v>
      </c>
      <c r="V948" s="1868">
        <v>16.899999999999999</v>
      </c>
      <c r="W948" s="1868">
        <v>12.3</v>
      </c>
      <c r="X948" s="1868">
        <v>11.3</v>
      </c>
      <c r="Y948" s="1868">
        <v>12.26667</v>
      </c>
      <c r="Z948" s="1868">
        <v>10.93333</v>
      </c>
      <c r="AA948" s="1868">
        <v>14</v>
      </c>
      <c r="AB948" s="1868">
        <v>13.35</v>
      </c>
      <c r="AC948" s="1868">
        <v>10.133330000000001</v>
      </c>
      <c r="AD948" s="1868">
        <v>12.5</v>
      </c>
      <c r="AE948" s="1868">
        <v>14.8</v>
      </c>
      <c r="AF948" s="1868">
        <v>15.533329999999999</v>
      </c>
      <c r="AG948" s="1868">
        <v>17.857140000000001</v>
      </c>
      <c r="AH948" s="1868">
        <v>13.88</v>
      </c>
      <c r="AI948" s="1868">
        <v>11.61539</v>
      </c>
      <c r="AJ948" s="1868">
        <v>14.12</v>
      </c>
      <c r="AK948" s="1868">
        <v>23.4</v>
      </c>
      <c r="AL948" s="1868">
        <v>17.814820000000001</v>
      </c>
      <c r="AM948" s="1868">
        <v>18.100000000000001</v>
      </c>
      <c r="AN948" s="1868">
        <v>27.24</v>
      </c>
      <c r="AO948" s="1868">
        <v>23</v>
      </c>
      <c r="AP948" s="1868">
        <v>18.533329999999999</v>
      </c>
      <c r="AQ948" s="1868">
        <v>16.66667</v>
      </c>
      <c r="AR948" s="1868">
        <v>16.600000000000001</v>
      </c>
      <c r="AS948" s="1868">
        <v>17.94444</v>
      </c>
      <c r="AT948" s="1868">
        <v>17.600000000000001</v>
      </c>
      <c r="AU948" s="1868">
        <v>15.933329999999998</v>
      </c>
      <c r="AV948" s="1868">
        <v>15.65</v>
      </c>
      <c r="AW948" s="1868">
        <v>15.933329999999998</v>
      </c>
      <c r="AX948" s="1868">
        <v>15.789470000000001</v>
      </c>
      <c r="AY948" s="1868">
        <v>18.8125</v>
      </c>
      <c r="AZ948" s="1868">
        <v>17.117650000000001</v>
      </c>
      <c r="BA948" s="1868">
        <v>15</v>
      </c>
    </row>
    <row r="949" spans="1:53">
      <c r="A949" s="1865" t="str">
        <f t="shared" si="14"/>
        <v>PolynesiaCassava</v>
      </c>
      <c r="B949" s="1866" t="s">
        <v>1420</v>
      </c>
      <c r="C949" s="1866" t="s">
        <v>1368</v>
      </c>
      <c r="D949" s="1868">
        <v>8.1057000000000006</v>
      </c>
      <c r="E949" s="1868">
        <v>11.012689999999999</v>
      </c>
      <c r="F949" s="1868">
        <v>11.824920000000001</v>
      </c>
      <c r="G949" s="1868">
        <v>11.569879999999999</v>
      </c>
      <c r="H949" s="1868">
        <v>11.41098</v>
      </c>
      <c r="I949" s="1868">
        <v>11.373900000000001</v>
      </c>
      <c r="J949" s="1868">
        <v>11.30303</v>
      </c>
      <c r="K949" s="1868">
        <v>11.1754</v>
      </c>
      <c r="L949" s="1868">
        <v>11.31701</v>
      </c>
      <c r="M949" s="1868">
        <v>11.214369999999999</v>
      </c>
      <c r="N949" s="1868">
        <v>11.188750000000001</v>
      </c>
      <c r="O949" s="1868">
        <v>10.487450000000001</v>
      </c>
      <c r="P949" s="1868">
        <v>10.132610000000001</v>
      </c>
      <c r="Q949" s="1868">
        <v>9.9054800000000007</v>
      </c>
      <c r="R949" s="1868">
        <v>9.5721500000000006</v>
      </c>
      <c r="S949" s="1868">
        <v>9.5377799999999997</v>
      </c>
      <c r="T949" s="1868">
        <v>9.3281299999999998</v>
      </c>
      <c r="U949" s="1868">
        <v>9.0479099999999999</v>
      </c>
      <c r="V949" s="1868">
        <v>8.9444100000000013</v>
      </c>
      <c r="W949" s="1868">
        <v>8.9252199999999995</v>
      </c>
      <c r="X949" s="1868">
        <v>9.00596</v>
      </c>
      <c r="Y949" s="1868">
        <v>8.8372200000000003</v>
      </c>
      <c r="Z949" s="1868">
        <v>8.8570100000000007</v>
      </c>
      <c r="AA949" s="1868">
        <v>8.6210699999999996</v>
      </c>
      <c r="AB949" s="1868">
        <v>8.19923</v>
      </c>
      <c r="AC949" s="1868">
        <v>9.0507299999999997</v>
      </c>
      <c r="AD949" s="1868">
        <v>10.041230000000001</v>
      </c>
      <c r="AE949" s="1868">
        <v>11.399289999999999</v>
      </c>
      <c r="AF949" s="1868">
        <v>12.539710000000001</v>
      </c>
      <c r="AG949" s="1868">
        <v>11.992699999999999</v>
      </c>
      <c r="AH949" s="1868">
        <v>18.892150000000001</v>
      </c>
      <c r="AI949" s="1868">
        <v>17.157900000000001</v>
      </c>
      <c r="AJ949" s="1868">
        <v>17.001750000000001</v>
      </c>
      <c r="AK949" s="1868">
        <v>13.673010000000001</v>
      </c>
      <c r="AL949" s="1868">
        <v>13.682929999999999</v>
      </c>
      <c r="AM949" s="1868">
        <v>13.752520000000001</v>
      </c>
      <c r="AN949" s="1868">
        <v>13.259479999999998</v>
      </c>
      <c r="AO949" s="1868">
        <v>14.33184</v>
      </c>
      <c r="AP949" s="1868">
        <v>14.0847</v>
      </c>
      <c r="AQ949" s="1868">
        <v>14.408029999999998</v>
      </c>
      <c r="AR949" s="1868">
        <v>13.979870000000002</v>
      </c>
      <c r="AS949" s="1868">
        <v>14.3613</v>
      </c>
      <c r="AT949" s="1868">
        <v>14.235610000000001</v>
      </c>
      <c r="AU949" s="1868">
        <v>14.806800000000001</v>
      </c>
      <c r="AV949" s="1868">
        <v>14.320539999999999</v>
      </c>
      <c r="AW949" s="1868">
        <v>13.558820000000001</v>
      </c>
      <c r="AX949" s="1868">
        <v>14.38411</v>
      </c>
      <c r="AY949" s="1868">
        <v>12.878260000000001</v>
      </c>
      <c r="AZ949" s="1868">
        <v>14.674220000000002</v>
      </c>
      <c r="BA949" s="1868">
        <v>15.77885</v>
      </c>
    </row>
    <row r="950" spans="1:53">
      <c r="A950" s="1865" t="str">
        <f t="shared" si="14"/>
        <v>PolynesiaCitrus fruit, nes</v>
      </c>
      <c r="B950" s="1866" t="s">
        <v>1420</v>
      </c>
      <c r="C950" s="1866" t="s">
        <v>1372</v>
      </c>
      <c r="D950" s="1868">
        <v>6.1686100000000001</v>
      </c>
      <c r="E950" s="1868">
        <v>6.1802299999999999</v>
      </c>
      <c r="F950" s="1868">
        <v>6.1791900000000002</v>
      </c>
      <c r="G950" s="1868">
        <v>6.2528699999999997</v>
      </c>
      <c r="H950" s="1868">
        <v>6.1828599999999998</v>
      </c>
      <c r="I950" s="1868">
        <v>6.2797599999999996</v>
      </c>
      <c r="J950" s="1868">
        <v>6.2916699999999999</v>
      </c>
      <c r="K950" s="1868">
        <v>6.25</v>
      </c>
      <c r="L950" s="1868">
        <v>6.2023800000000007</v>
      </c>
      <c r="M950" s="1868">
        <v>6.16568</v>
      </c>
      <c r="N950" s="1868">
        <v>6.1538500000000003</v>
      </c>
      <c r="O950" s="1868">
        <v>6.1242599999999996</v>
      </c>
      <c r="P950" s="1868">
        <v>6.0650900000000005</v>
      </c>
      <c r="Q950" s="1868">
        <v>6.0294099999999995</v>
      </c>
      <c r="R950" s="1868">
        <v>6.0294099999999995</v>
      </c>
      <c r="S950" s="1868">
        <v>6.0465099999999996</v>
      </c>
      <c r="T950" s="1868">
        <v>6.1686100000000001</v>
      </c>
      <c r="U950" s="1868">
        <v>5.9337400000000002</v>
      </c>
      <c r="V950" s="1868">
        <v>5.8554199999999996</v>
      </c>
      <c r="W950" s="1868">
        <v>5.7090899999999998</v>
      </c>
      <c r="X950" s="1868">
        <v>5.73203</v>
      </c>
      <c r="Y950" s="1868">
        <v>5.8709699999999998</v>
      </c>
      <c r="Z950" s="1868">
        <v>5.9241400000000004</v>
      </c>
      <c r="AA950" s="1868">
        <v>5.9310300000000007</v>
      </c>
      <c r="AB950" s="1868">
        <v>6.1751800000000001</v>
      </c>
      <c r="AC950" s="1868">
        <v>6.4428599999999996</v>
      </c>
      <c r="AD950" s="1868">
        <v>6.4461500000000003</v>
      </c>
      <c r="AE950" s="1868">
        <v>7.056</v>
      </c>
      <c r="AF950" s="1868">
        <v>6.9249999999999998</v>
      </c>
      <c r="AG950" s="1868">
        <v>6.9338800000000003</v>
      </c>
      <c r="AH950" s="1868">
        <v>7.3412699999999997</v>
      </c>
      <c r="AI950" s="1868">
        <v>8.8582099999999997</v>
      </c>
      <c r="AJ950" s="1868">
        <v>7.97872</v>
      </c>
      <c r="AK950" s="1868">
        <v>8.3783799999999999</v>
      </c>
      <c r="AL950" s="1868">
        <v>8.4413800000000005</v>
      </c>
      <c r="AM950" s="1868">
        <v>7.4256800000000007</v>
      </c>
      <c r="AN950" s="1868">
        <v>8.5197399999999988</v>
      </c>
      <c r="AO950" s="1868">
        <v>5.9419399999999998</v>
      </c>
      <c r="AP950" s="1868">
        <v>6.08</v>
      </c>
      <c r="AQ950" s="1868">
        <v>6.6</v>
      </c>
      <c r="AR950" s="1868">
        <v>6.3372800000000007</v>
      </c>
      <c r="AS950" s="1868">
        <v>6.2872900000000005</v>
      </c>
      <c r="AT950" s="1868">
        <v>6.3646400000000005</v>
      </c>
      <c r="AU950" s="1868">
        <v>6.2967000000000004</v>
      </c>
      <c r="AV950" s="1868">
        <v>6.6526300000000003</v>
      </c>
      <c r="AW950" s="1868">
        <v>5.6806300000000007</v>
      </c>
      <c r="AX950" s="1868">
        <v>7.6909100000000006</v>
      </c>
      <c r="AY950" s="1868">
        <v>8.5329300000000003</v>
      </c>
      <c r="AZ950" s="1868">
        <v>7.8381499999999997</v>
      </c>
      <c r="BA950" s="1868">
        <v>7.7058800000000005</v>
      </c>
    </row>
    <row r="951" spans="1:53">
      <c r="A951" s="1865" t="str">
        <f t="shared" si="14"/>
        <v>PolynesiaCoffee, green</v>
      </c>
      <c r="B951" s="1866" t="s">
        <v>1420</v>
      </c>
      <c r="C951" s="1866" t="s">
        <v>1373</v>
      </c>
      <c r="D951" s="1868">
        <v>0.15379999999999999</v>
      </c>
      <c r="E951" s="1868">
        <v>0.17637</v>
      </c>
      <c r="F951" s="1868">
        <v>0.1188</v>
      </c>
      <c r="G951" s="1868">
        <v>0.26333000000000001</v>
      </c>
      <c r="H951" s="1868">
        <v>0.29962</v>
      </c>
      <c r="I951" s="1868">
        <v>0.41698000000000002</v>
      </c>
      <c r="J951" s="1868">
        <v>0.38919000000000004</v>
      </c>
      <c r="K951" s="1868">
        <v>0.4375</v>
      </c>
      <c r="L951" s="1868">
        <v>0.38077</v>
      </c>
      <c r="M951" s="1868">
        <v>0.32708999999999999</v>
      </c>
      <c r="N951" s="1868">
        <v>0.33707999999999999</v>
      </c>
      <c r="O951" s="1868">
        <v>0.22191</v>
      </c>
      <c r="P951" s="1868">
        <v>0.23578000000000002</v>
      </c>
      <c r="Q951" s="1868">
        <v>0.24965000000000001</v>
      </c>
      <c r="R951" s="1868">
        <v>0.24966999999999998</v>
      </c>
      <c r="S951" s="1868">
        <v>0.18507999999999999</v>
      </c>
      <c r="T951" s="1868">
        <v>0.15970000000000001</v>
      </c>
      <c r="U951" s="1868">
        <v>0.21940000000000001</v>
      </c>
      <c r="V951" s="1868">
        <v>0.30149000000000004</v>
      </c>
      <c r="W951" s="1868">
        <v>0.28358</v>
      </c>
      <c r="X951" s="1868">
        <v>0.21343000000000001</v>
      </c>
      <c r="Y951" s="1868">
        <v>0.11729000000000001</v>
      </c>
      <c r="Z951" s="1868">
        <v>0.26048000000000004</v>
      </c>
      <c r="AA951" s="1868">
        <v>0.14631</v>
      </c>
      <c r="AB951" s="1868">
        <v>0.13788</v>
      </c>
      <c r="AC951" s="1868">
        <v>7.6100000000000001E-2</v>
      </c>
      <c r="AD951" s="1868">
        <v>0.12987000000000001</v>
      </c>
      <c r="AE951" s="1868">
        <v>0.22941</v>
      </c>
      <c r="AF951" s="1868">
        <v>0.23810000000000001</v>
      </c>
      <c r="AG951" s="1868">
        <v>0.22286</v>
      </c>
      <c r="AH951" s="1868">
        <v>0.22703000000000001</v>
      </c>
      <c r="AI951" s="1868">
        <v>0.25531999999999999</v>
      </c>
      <c r="AJ951" s="1868">
        <v>0.27703</v>
      </c>
      <c r="AK951" s="1868">
        <v>0.30263000000000001</v>
      </c>
      <c r="AL951" s="1868">
        <v>0.25366</v>
      </c>
      <c r="AM951" s="1868">
        <v>0.35404000000000002</v>
      </c>
      <c r="AN951" s="1868">
        <v>0.42063999999999996</v>
      </c>
      <c r="AO951" s="1868">
        <v>0.37063000000000001</v>
      </c>
      <c r="AP951" s="1868">
        <v>0.35460999999999998</v>
      </c>
      <c r="AQ951" s="1868">
        <v>0.36364000000000002</v>
      </c>
      <c r="AR951" s="1868">
        <v>0.31914999999999999</v>
      </c>
      <c r="AS951" s="1868">
        <v>0.33571000000000001</v>
      </c>
      <c r="AT951" s="1868">
        <v>0.32608999999999999</v>
      </c>
      <c r="AU951" s="1868">
        <v>0.26563000000000003</v>
      </c>
      <c r="AV951" s="1868">
        <v>0.28058</v>
      </c>
      <c r="AW951" s="1868">
        <v>0.21333000000000002</v>
      </c>
      <c r="AX951" s="1868">
        <v>0.31818000000000002</v>
      </c>
      <c r="AY951" s="1868">
        <v>0.35605999999999999</v>
      </c>
      <c r="AZ951" s="1868">
        <v>0.34849000000000002</v>
      </c>
      <c r="BA951" s="1868">
        <v>0.45455000000000001</v>
      </c>
    </row>
    <row r="952" spans="1:53">
      <c r="A952" s="1865" t="str">
        <f t="shared" si="14"/>
        <v>PolynesiaEggplants (aubergines)</v>
      </c>
      <c r="B952" s="1866" t="s">
        <v>1420</v>
      </c>
      <c r="C952" s="1866" t="s">
        <v>1375</v>
      </c>
      <c r="AO952" s="1868">
        <v>7.5384600000000006</v>
      </c>
      <c r="AP952" s="1868">
        <v>7</v>
      </c>
      <c r="AQ952" s="1868">
        <v>6</v>
      </c>
      <c r="AR952" s="1868">
        <v>5.6</v>
      </c>
      <c r="AS952" s="1868">
        <v>5</v>
      </c>
      <c r="AT952" s="1868">
        <v>4.4359000000000002</v>
      </c>
      <c r="AU952" s="1868">
        <v>4.5714300000000003</v>
      </c>
      <c r="AV952" s="1868">
        <v>4.4117699999999997</v>
      </c>
      <c r="AW952" s="1868">
        <v>4.7272699999999999</v>
      </c>
      <c r="AX952" s="1868">
        <v>4.78125</v>
      </c>
      <c r="AY952" s="1868">
        <v>5.4285699999999997</v>
      </c>
      <c r="AZ952" s="1868">
        <v>5.3103499999999997</v>
      </c>
      <c r="BA952" s="1868">
        <v>5.3333300000000001</v>
      </c>
    </row>
    <row r="953" spans="1:53">
      <c r="A953" s="1865" t="str">
        <f t="shared" si="14"/>
        <v>PolynesiaGrapefruit (inc. pomelos)</v>
      </c>
      <c r="B953" s="1866" t="s">
        <v>1420</v>
      </c>
      <c r="C953" s="1866" t="s">
        <v>1377</v>
      </c>
      <c r="D953" s="1868">
        <v>14</v>
      </c>
      <c r="E953" s="1868">
        <v>21.538460000000001</v>
      </c>
      <c r="F953" s="1868">
        <v>23.461539999999999</v>
      </c>
      <c r="G953" s="1868">
        <v>21.481479999999998</v>
      </c>
      <c r="H953" s="1868">
        <v>20.68966</v>
      </c>
      <c r="I953" s="1868">
        <v>20.882349999999999</v>
      </c>
      <c r="J953" s="1868">
        <v>22</v>
      </c>
      <c r="K953" s="1868">
        <v>23.714289999999998</v>
      </c>
      <c r="L953" s="1868">
        <v>24.72222</v>
      </c>
      <c r="M953" s="1868">
        <v>25.67568</v>
      </c>
      <c r="N953" s="1868">
        <v>25.205880000000001</v>
      </c>
      <c r="O953" s="1868">
        <v>12.423080000000001</v>
      </c>
      <c r="P953" s="1868">
        <v>11.866669999999999</v>
      </c>
      <c r="Q953" s="1868">
        <v>9.2761899999999997</v>
      </c>
      <c r="R953" s="1868">
        <v>10.098039999999999</v>
      </c>
      <c r="S953" s="1868">
        <v>11.904760000000001</v>
      </c>
      <c r="T953" s="1868">
        <v>19.785710000000002</v>
      </c>
      <c r="U953" s="1868">
        <v>20.476189999999999</v>
      </c>
      <c r="V953" s="1868">
        <v>18.947370000000003</v>
      </c>
      <c r="W953" s="1868">
        <v>16.25</v>
      </c>
      <c r="X953" s="1868">
        <v>16.55556</v>
      </c>
      <c r="Y953" s="1868">
        <v>16.727270000000001</v>
      </c>
      <c r="Z953" s="1868">
        <v>16.45</v>
      </c>
      <c r="AA953" s="1868">
        <v>16.600000000000001</v>
      </c>
      <c r="AB953" s="1868">
        <v>16.857140000000001</v>
      </c>
      <c r="AC953" s="1868">
        <v>17.260870000000001</v>
      </c>
      <c r="AD953" s="1868">
        <v>16.95</v>
      </c>
      <c r="AE953" s="1868">
        <v>16.64</v>
      </c>
      <c r="AF953" s="1868">
        <v>16</v>
      </c>
      <c r="AG953" s="1868">
        <v>18</v>
      </c>
      <c r="AH953" s="1868">
        <v>21.35</v>
      </c>
      <c r="AI953" s="1868">
        <v>12.928570000000001</v>
      </c>
      <c r="AJ953" s="1868">
        <v>17.29167</v>
      </c>
      <c r="AK953" s="1868">
        <v>17.77778</v>
      </c>
      <c r="AL953" s="1868">
        <v>18.8</v>
      </c>
      <c r="AM953" s="1868">
        <v>20.866670000000003</v>
      </c>
      <c r="AN953" s="1868">
        <v>19.875</v>
      </c>
      <c r="AO953" s="1868">
        <v>18.294119999999999</v>
      </c>
      <c r="AP953" s="1868">
        <v>23.15</v>
      </c>
      <c r="AQ953" s="1868">
        <v>20</v>
      </c>
      <c r="AR953" s="1868">
        <v>22.956520000000001</v>
      </c>
      <c r="AS953" s="1868">
        <v>21.76</v>
      </c>
      <c r="AT953" s="1868">
        <v>27.27778</v>
      </c>
      <c r="AU953" s="1868">
        <v>27.578949999999999</v>
      </c>
      <c r="AV953" s="1868">
        <v>18.433329999999998</v>
      </c>
      <c r="AW953" s="1868">
        <v>16</v>
      </c>
      <c r="AX953" s="1868">
        <v>18.181820000000002</v>
      </c>
      <c r="AY953" s="1868">
        <v>17.96</v>
      </c>
      <c r="AZ953" s="1868">
        <v>17.83333</v>
      </c>
      <c r="BA953" s="1868">
        <v>14.333329999999998</v>
      </c>
    </row>
    <row r="954" spans="1:53">
      <c r="A954" s="1865" t="str">
        <f t="shared" si="14"/>
        <v>PolynesiaGroundnuts, with shell</v>
      </c>
      <c r="B954" s="1866" t="s">
        <v>1420</v>
      </c>
      <c r="C954" s="1866" t="s">
        <v>1379</v>
      </c>
      <c r="D954" s="1868">
        <v>0.9375</v>
      </c>
      <c r="E954" s="1868">
        <v>0.95122000000000007</v>
      </c>
      <c r="F954" s="1868">
        <v>0.96386000000000005</v>
      </c>
      <c r="G954" s="1868">
        <v>0.97647000000000006</v>
      </c>
      <c r="H954" s="1868">
        <v>1.0227299999999999</v>
      </c>
      <c r="I954" s="1868">
        <v>1.0112399999999999</v>
      </c>
      <c r="J954" s="1868">
        <v>1.0555600000000001</v>
      </c>
      <c r="K954" s="1868">
        <v>1.04348</v>
      </c>
      <c r="L954" s="1868">
        <v>1.0319200000000002</v>
      </c>
      <c r="M954" s="1868">
        <v>1.0315799999999999</v>
      </c>
      <c r="N954" s="1868">
        <v>1.0416700000000001</v>
      </c>
      <c r="O954" s="1868">
        <v>1.0309299999999999</v>
      </c>
      <c r="P954" s="1868">
        <v>1.02041</v>
      </c>
      <c r="Q954" s="1868">
        <v>1</v>
      </c>
      <c r="R954" s="1868">
        <v>1</v>
      </c>
      <c r="S954" s="1868">
        <v>1.09091</v>
      </c>
      <c r="T954" s="1868">
        <v>1.0869599999999999</v>
      </c>
      <c r="U954" s="1868">
        <v>1.0833299999999999</v>
      </c>
      <c r="V954" s="1868">
        <v>1.08</v>
      </c>
      <c r="W954" s="1868">
        <v>1.0769200000000001</v>
      </c>
      <c r="X954" s="1868">
        <v>1.0583899999999999</v>
      </c>
      <c r="Y954" s="1868">
        <v>1</v>
      </c>
      <c r="Z954" s="1868">
        <v>1.15385</v>
      </c>
      <c r="AA954" s="1868">
        <v>1.25</v>
      </c>
      <c r="AB954" s="1868">
        <v>1.25</v>
      </c>
      <c r="AC954" s="1868">
        <v>1.25</v>
      </c>
      <c r="AD954" s="1868">
        <v>1.2142899999999999</v>
      </c>
      <c r="AE954" s="1868">
        <v>1.14286</v>
      </c>
      <c r="AF954" s="1868">
        <v>1.2142899999999999</v>
      </c>
      <c r="AG954" s="1868">
        <v>1.3973799999999998</v>
      </c>
      <c r="AH954" s="1868">
        <v>1.3181</v>
      </c>
      <c r="AI954" s="1868">
        <v>0.93238999999999994</v>
      </c>
      <c r="AJ954" s="1868">
        <v>1.04322</v>
      </c>
      <c r="AK954" s="1868">
        <v>1.2195100000000001</v>
      </c>
      <c r="AL954" s="1868">
        <v>0.53332999999999997</v>
      </c>
      <c r="AM954" s="1868">
        <v>0.49782999999999999</v>
      </c>
      <c r="AN954" s="1868">
        <v>0.50153000000000003</v>
      </c>
      <c r="AO954" s="1868">
        <v>0.52580000000000005</v>
      </c>
      <c r="AP954" s="1868">
        <v>0.61575000000000002</v>
      </c>
      <c r="AQ954" s="1868">
        <v>0.57998000000000005</v>
      </c>
      <c r="AR954" s="1868">
        <v>0.71548999999999996</v>
      </c>
      <c r="AS954" s="1868">
        <v>0.77941000000000005</v>
      </c>
      <c r="AT954" s="1868">
        <v>0.51141999999999999</v>
      </c>
      <c r="AU954" s="1868">
        <v>0.46763999999999994</v>
      </c>
      <c r="AV954" s="1868">
        <v>0.66213</v>
      </c>
      <c r="AW954" s="1868">
        <v>0.60945000000000005</v>
      </c>
      <c r="AX954" s="1868">
        <v>0.54838999999999993</v>
      </c>
      <c r="AY954" s="1868">
        <v>0.46336000000000005</v>
      </c>
      <c r="AZ954" s="1868">
        <v>0.66564000000000001</v>
      </c>
      <c r="BA954" s="1868">
        <v>0.6</v>
      </c>
    </row>
    <row r="955" spans="1:53">
      <c r="A955" s="1865" t="str">
        <f t="shared" si="14"/>
        <v>PolynesiaMaize, green</v>
      </c>
      <c r="B955" s="1866" t="s">
        <v>1420</v>
      </c>
      <c r="C955" s="1866" t="s">
        <v>1383</v>
      </c>
      <c r="D955" s="1868">
        <v>1.19048</v>
      </c>
      <c r="E955" s="1868">
        <v>1.1304399999999999</v>
      </c>
      <c r="F955" s="1868">
        <v>1.0384599999999999</v>
      </c>
      <c r="G955" s="1868">
        <v>0.96552000000000004</v>
      </c>
      <c r="H955" s="1868">
        <v>0.93547999999999998</v>
      </c>
      <c r="I955" s="1868">
        <v>0.93938999999999995</v>
      </c>
      <c r="J955" s="1868">
        <v>0.97058999999999995</v>
      </c>
      <c r="K955" s="1868">
        <v>0.9714299999999999</v>
      </c>
      <c r="L955" s="1868">
        <v>0.94594999999999996</v>
      </c>
      <c r="M955" s="1868">
        <v>0.94594999999999996</v>
      </c>
      <c r="N955" s="1868">
        <v>0.97367999999999988</v>
      </c>
      <c r="O955" s="1868">
        <v>0.97367999999999988</v>
      </c>
      <c r="P955" s="1868">
        <v>1</v>
      </c>
      <c r="Q955" s="1868">
        <v>0.97499999999999998</v>
      </c>
      <c r="R955" s="1868">
        <v>0.95122000000000007</v>
      </c>
      <c r="S955" s="1868">
        <v>0.97619</v>
      </c>
      <c r="T955" s="1868">
        <v>1</v>
      </c>
      <c r="U955" s="1868">
        <v>1</v>
      </c>
      <c r="V955" s="1868">
        <v>1.0208299999999999</v>
      </c>
      <c r="W955" s="1868">
        <v>1.06</v>
      </c>
      <c r="X955" s="1868">
        <v>1.1000000000000001</v>
      </c>
      <c r="Y955" s="1868">
        <v>1.1372599999999999</v>
      </c>
      <c r="Z955" s="1868">
        <v>1.1764700000000001</v>
      </c>
      <c r="AA955" s="1868">
        <v>1.1454600000000001</v>
      </c>
      <c r="AB955" s="1868">
        <v>1.1929799999999999</v>
      </c>
      <c r="AC955" s="1868">
        <v>1.20339</v>
      </c>
      <c r="AD955" s="1868">
        <v>1.21312</v>
      </c>
      <c r="AE955" s="1868">
        <v>1.2222200000000001</v>
      </c>
      <c r="AF955" s="1868">
        <v>1.03077</v>
      </c>
      <c r="AG955" s="1868">
        <v>1.2698399999999999</v>
      </c>
      <c r="AH955" s="1868">
        <v>1.3278700000000001</v>
      </c>
      <c r="AI955" s="1868">
        <v>1.3898299999999999</v>
      </c>
      <c r="AJ955" s="1868">
        <v>1.3064499999999999</v>
      </c>
      <c r="AK955" s="1868">
        <v>1.7758599999999998</v>
      </c>
      <c r="AL955" s="1868">
        <v>1.7258099999999998</v>
      </c>
      <c r="AM955" s="1868">
        <v>2.0714299999999999</v>
      </c>
      <c r="AN955" s="1868">
        <v>2.0816300000000001</v>
      </c>
      <c r="AO955" s="1868">
        <v>2.2978700000000001</v>
      </c>
      <c r="AP955" s="1868">
        <v>2</v>
      </c>
      <c r="AQ955" s="1868">
        <v>1.9821400000000002</v>
      </c>
      <c r="AR955" s="1868">
        <v>2.1454599999999999</v>
      </c>
      <c r="AS955" s="1868">
        <v>2.2978700000000001</v>
      </c>
      <c r="AT955" s="1868">
        <v>1.9464299999999999</v>
      </c>
      <c r="AU955" s="1868">
        <v>2.0178599999999998</v>
      </c>
      <c r="AV955" s="1868">
        <v>2.07843</v>
      </c>
      <c r="AW955" s="1868">
        <v>1.9672099999999999</v>
      </c>
      <c r="AX955" s="1868">
        <v>1.60606</v>
      </c>
      <c r="AY955" s="1868">
        <v>1.7966099999999998</v>
      </c>
      <c r="AZ955" s="1868">
        <v>2.0655700000000001</v>
      </c>
      <c r="BA955" s="1868">
        <v>1.9090900000000002</v>
      </c>
    </row>
    <row r="956" spans="1:53">
      <c r="A956" s="1865" t="str">
        <f t="shared" si="14"/>
        <v>PolynesiaMangoes, mangosteens, guavas</v>
      </c>
      <c r="B956" s="1866" t="s">
        <v>1420</v>
      </c>
      <c r="C956" s="1866" t="s">
        <v>1384</v>
      </c>
      <c r="D956" s="1868">
        <v>30.72</v>
      </c>
      <c r="E956" s="1868">
        <v>31.302629999999997</v>
      </c>
      <c r="F956" s="1868">
        <v>31.987100000000002</v>
      </c>
      <c r="G956" s="1868">
        <v>32.446539999999999</v>
      </c>
      <c r="H956" s="1868">
        <v>32.676829999999995</v>
      </c>
      <c r="I956" s="1868">
        <v>33.186750000000004</v>
      </c>
      <c r="J956" s="1868">
        <v>33.78698</v>
      </c>
      <c r="K956" s="1868">
        <v>33.87283</v>
      </c>
      <c r="L956" s="1868">
        <v>34.342859999999995</v>
      </c>
      <c r="M956" s="1868">
        <v>34.505559999999996</v>
      </c>
      <c r="N956" s="1868">
        <v>35.06044</v>
      </c>
      <c r="O956" s="1868">
        <v>34.484209999999997</v>
      </c>
      <c r="P956" s="1868">
        <v>34.328209999999999</v>
      </c>
      <c r="Q956" s="1868">
        <v>35.020509999999994</v>
      </c>
      <c r="R956" s="1868">
        <v>34.260870000000004</v>
      </c>
      <c r="S956" s="1868">
        <v>34.66827</v>
      </c>
      <c r="T956" s="1868">
        <v>34.502390000000005</v>
      </c>
      <c r="U956" s="1868">
        <v>34.490569999999998</v>
      </c>
      <c r="V956" s="1868">
        <v>34.77778</v>
      </c>
      <c r="W956" s="1868">
        <v>35.671230000000001</v>
      </c>
      <c r="X956" s="1868">
        <v>36.090090000000004</v>
      </c>
      <c r="Y956" s="1868">
        <v>36.053329999999995</v>
      </c>
      <c r="Z956" s="1868">
        <v>34.084029999999998</v>
      </c>
      <c r="AA956" s="1868">
        <v>34.282159999999998</v>
      </c>
      <c r="AB956" s="1868">
        <v>34.065570000000001</v>
      </c>
      <c r="AC956" s="1868">
        <v>33.651820000000001</v>
      </c>
      <c r="AD956" s="1868">
        <v>33.048000000000002</v>
      </c>
      <c r="AE956" s="1868">
        <v>32.853760000000001</v>
      </c>
      <c r="AF956" s="1868">
        <v>32.102559999999997</v>
      </c>
      <c r="AG956" s="1868">
        <v>33.703879999999998</v>
      </c>
      <c r="AH956" s="1868">
        <v>29.775859999999998</v>
      </c>
      <c r="AI956" s="1868">
        <v>26.078129999999998</v>
      </c>
      <c r="AJ956" s="1868">
        <v>26.598770000000002</v>
      </c>
      <c r="AK956" s="1868">
        <v>27.827159999999999</v>
      </c>
      <c r="AL956" s="1868">
        <v>30.011979999999998</v>
      </c>
      <c r="AM956" s="1868">
        <v>27.297029999999999</v>
      </c>
      <c r="AN956" s="1868">
        <v>33.267240000000001</v>
      </c>
      <c r="AO956" s="1868">
        <v>27.88382</v>
      </c>
      <c r="AP956" s="1868">
        <v>22.009129999999999</v>
      </c>
      <c r="AQ956" s="1868">
        <v>22.77533</v>
      </c>
      <c r="AR956" s="1868">
        <v>21.760960000000001</v>
      </c>
      <c r="AS956" s="1868">
        <v>25.082420000000003</v>
      </c>
      <c r="AT956" s="1868">
        <v>23.78125</v>
      </c>
      <c r="AU956" s="1868">
        <v>26.792859999999997</v>
      </c>
      <c r="AV956" s="1868">
        <v>34.934640000000002</v>
      </c>
      <c r="AW956" s="1868">
        <v>32.76923</v>
      </c>
      <c r="AX956" s="1868">
        <v>28.828359999999996</v>
      </c>
      <c r="AY956" s="1868">
        <v>31.514709999999997</v>
      </c>
      <c r="AZ956" s="1868">
        <v>27.839159999999996</v>
      </c>
      <c r="BA956" s="1868">
        <v>27.62238</v>
      </c>
    </row>
    <row r="957" spans="1:53">
      <c r="A957" s="1865" t="str">
        <f t="shared" si="14"/>
        <v>PolynesiaOranges</v>
      </c>
      <c r="B957" s="1866" t="s">
        <v>1420</v>
      </c>
      <c r="C957" s="1866" t="s">
        <v>1389</v>
      </c>
      <c r="D957" s="1868">
        <v>8.5561399999999992</v>
      </c>
      <c r="E957" s="1868">
        <v>7.3684199999999995</v>
      </c>
      <c r="F957" s="1868">
        <v>7.7473700000000001</v>
      </c>
      <c r="G957" s="1868">
        <v>8.2831299999999999</v>
      </c>
      <c r="H957" s="1868">
        <v>8.5457300000000007</v>
      </c>
      <c r="I957" s="1868">
        <v>11.24438</v>
      </c>
      <c r="J957" s="1868">
        <v>10.044980000000001</v>
      </c>
      <c r="K957" s="1868">
        <v>7.7961</v>
      </c>
      <c r="L957" s="1868">
        <v>12.143930000000001</v>
      </c>
      <c r="M957" s="1868">
        <v>10.86957</v>
      </c>
      <c r="N957" s="1868">
        <v>8.581430000000001</v>
      </c>
      <c r="O957" s="1868">
        <v>8.0823499999999999</v>
      </c>
      <c r="P957" s="1868">
        <v>11.953489999999999</v>
      </c>
      <c r="Q957" s="1868">
        <v>8.7061499999999992</v>
      </c>
      <c r="R957" s="1868">
        <v>9.1246399999999994</v>
      </c>
      <c r="S957" s="1868">
        <v>7.5963100000000008</v>
      </c>
      <c r="T957" s="1868">
        <v>7.5988199999999999</v>
      </c>
      <c r="U957" s="1868">
        <v>6.6761899999999992</v>
      </c>
      <c r="V957" s="1868">
        <v>6.8363600000000009</v>
      </c>
      <c r="W957" s="1868">
        <v>5.2096999999999998</v>
      </c>
      <c r="X957" s="1868">
        <v>7.0459899999999998</v>
      </c>
      <c r="Y957" s="1868">
        <v>4.5338699999999994</v>
      </c>
      <c r="Z957" s="1868">
        <v>9.0305300000000006</v>
      </c>
      <c r="AA957" s="1868">
        <v>9.1374100000000009</v>
      </c>
      <c r="AB957" s="1868">
        <v>9.0178100000000008</v>
      </c>
      <c r="AC957" s="1868">
        <v>8.6226899999999986</v>
      </c>
      <c r="AD957" s="1868">
        <v>8.4220399999999991</v>
      </c>
      <c r="AE957" s="1868">
        <v>8.5266000000000002</v>
      </c>
      <c r="AF957" s="1868">
        <v>8.59788</v>
      </c>
      <c r="AG957" s="1868">
        <v>6.9432300000000007</v>
      </c>
      <c r="AH957" s="1868">
        <v>7.0394699999999997</v>
      </c>
      <c r="AI957" s="1868">
        <v>6.04115</v>
      </c>
      <c r="AJ957" s="1868">
        <v>8.0325199999999999</v>
      </c>
      <c r="AK957" s="1868">
        <v>6.7159500000000003</v>
      </c>
      <c r="AL957" s="1868">
        <v>7.4324300000000001</v>
      </c>
      <c r="AM957" s="1868">
        <v>7.5901600000000009</v>
      </c>
      <c r="AN957" s="1868">
        <v>8.022219999999999</v>
      </c>
      <c r="AO957" s="1868">
        <v>6.7226899999999992</v>
      </c>
      <c r="AP957" s="1868">
        <v>5.42056</v>
      </c>
      <c r="AQ957" s="1868">
        <v>5.4166699999999999</v>
      </c>
      <c r="AR957" s="1868">
        <v>5.7359300000000006</v>
      </c>
      <c r="AS957" s="1868">
        <v>5.1894300000000007</v>
      </c>
      <c r="AT957" s="1868">
        <v>6.7521399999999998</v>
      </c>
      <c r="AU957" s="1868">
        <v>4.6208300000000007</v>
      </c>
      <c r="AV957" s="1868">
        <v>5.6638999999999999</v>
      </c>
      <c r="AW957" s="1868">
        <v>6.67293</v>
      </c>
      <c r="AX957" s="1868">
        <v>6.6308199999999999</v>
      </c>
      <c r="AY957" s="1868">
        <v>5.6654900000000001</v>
      </c>
      <c r="AZ957" s="1868">
        <v>4.6815100000000003</v>
      </c>
      <c r="BA957" s="1868">
        <v>5.4035099999999998</v>
      </c>
    </row>
    <row r="958" spans="1:53">
      <c r="A958" s="1865" t="str">
        <f t="shared" si="14"/>
        <v>PolynesiaPineapples</v>
      </c>
      <c r="B958" s="1866" t="s">
        <v>1420</v>
      </c>
      <c r="C958" s="1866" t="s">
        <v>1351</v>
      </c>
      <c r="D958" s="1868">
        <v>20.352710000000002</v>
      </c>
      <c r="E958" s="1868">
        <v>21.007999999999999</v>
      </c>
      <c r="F958" s="1868">
        <v>20.22269</v>
      </c>
      <c r="G958" s="1868">
        <v>20.493980000000001</v>
      </c>
      <c r="H958" s="1868">
        <v>19.969349999999999</v>
      </c>
      <c r="I958" s="1868">
        <v>20.808</v>
      </c>
      <c r="J958" s="1868">
        <v>20.532900000000001</v>
      </c>
      <c r="K958" s="1868">
        <v>17.790320000000001</v>
      </c>
      <c r="L958" s="1868">
        <v>23.045460000000002</v>
      </c>
      <c r="M958" s="1868">
        <v>23.637360000000001</v>
      </c>
      <c r="N958" s="1868">
        <v>23.132079999999998</v>
      </c>
      <c r="O958" s="1868">
        <v>19.5</v>
      </c>
      <c r="P958" s="1868">
        <v>19.622420000000002</v>
      </c>
      <c r="Q958" s="1868">
        <v>5.2192300000000005</v>
      </c>
      <c r="R958" s="1868">
        <v>5.3536800000000007</v>
      </c>
      <c r="S958" s="1868">
        <v>6.0613900000000003</v>
      </c>
      <c r="T958" s="1868">
        <v>14.790100000000001</v>
      </c>
      <c r="U958" s="1868">
        <v>16.75094</v>
      </c>
      <c r="V958" s="1868">
        <v>22.002579999999998</v>
      </c>
      <c r="W958" s="1868">
        <v>22.794599999999999</v>
      </c>
      <c r="X958" s="1868">
        <v>22.897300000000001</v>
      </c>
      <c r="Y958" s="1868">
        <v>21.407689999999999</v>
      </c>
      <c r="Z958" s="1868">
        <v>22.267499999999998</v>
      </c>
      <c r="AA958" s="1868">
        <v>21.923259999999999</v>
      </c>
      <c r="AB958" s="1868">
        <v>21.085509999999999</v>
      </c>
      <c r="AC958" s="1868">
        <v>21.99231</v>
      </c>
      <c r="AD958" s="1868">
        <v>21.68421</v>
      </c>
      <c r="AE958" s="1868">
        <v>22.873170000000002</v>
      </c>
      <c r="AF958" s="1868">
        <v>22.937059999999999</v>
      </c>
      <c r="AG958" s="1868">
        <v>22.35952</v>
      </c>
      <c r="AH958" s="1868">
        <v>24.85258</v>
      </c>
      <c r="AI958" s="1868">
        <v>21.874320000000001</v>
      </c>
      <c r="AJ958" s="1868">
        <v>23.444129999999998</v>
      </c>
      <c r="AK958" s="1868">
        <v>22.548490000000001</v>
      </c>
      <c r="AL958" s="1868">
        <v>22.30857</v>
      </c>
      <c r="AM958" s="1868">
        <v>27.072370000000003</v>
      </c>
      <c r="AN958" s="1868">
        <v>28.41667</v>
      </c>
      <c r="AO958" s="1868">
        <v>24.662420000000001</v>
      </c>
      <c r="AP958" s="1868">
        <v>24.727270000000001</v>
      </c>
      <c r="AQ958" s="1868">
        <v>23.739520000000002</v>
      </c>
      <c r="AR958" s="1868">
        <v>23.57846</v>
      </c>
      <c r="AS958" s="1868">
        <v>21.707650000000001</v>
      </c>
      <c r="AT958" s="1868">
        <v>24.671879999999998</v>
      </c>
      <c r="AU958" s="1868">
        <v>23.742999999999999</v>
      </c>
      <c r="AV958" s="1868">
        <v>23.736840000000001</v>
      </c>
      <c r="AW958" s="1868">
        <v>21.694050000000001</v>
      </c>
      <c r="AX958" s="1868">
        <v>22.468669999999999</v>
      </c>
      <c r="AY958" s="1868">
        <v>21.2</v>
      </c>
      <c r="AZ958" s="1868">
        <v>20.544499999999999</v>
      </c>
      <c r="BA958" s="1868">
        <v>21.03275</v>
      </c>
    </row>
    <row r="959" spans="1:53">
      <c r="A959" s="1865" t="str">
        <f t="shared" si="14"/>
        <v>PolynesiaPlantains</v>
      </c>
      <c r="B959" s="1866" t="s">
        <v>1420</v>
      </c>
      <c r="C959" s="1866" t="s">
        <v>1393</v>
      </c>
      <c r="D959" s="1868">
        <v>12</v>
      </c>
      <c r="E959" s="1868">
        <v>13.75</v>
      </c>
      <c r="F959" s="1868">
        <v>13.75</v>
      </c>
      <c r="G959" s="1868">
        <v>12.5</v>
      </c>
      <c r="H959" s="1868">
        <v>14.28571</v>
      </c>
      <c r="I959" s="1868">
        <v>15</v>
      </c>
      <c r="J959" s="1868">
        <v>18</v>
      </c>
      <c r="K959" s="1868">
        <v>18</v>
      </c>
      <c r="L959" s="1868">
        <v>16</v>
      </c>
      <c r="M959" s="1868">
        <v>19.33333</v>
      </c>
      <c r="N959" s="1868">
        <v>18.928570000000001</v>
      </c>
      <c r="O959" s="1868">
        <v>18.928570000000001</v>
      </c>
      <c r="P959" s="1868">
        <v>18.518520000000002</v>
      </c>
      <c r="Q959" s="1868">
        <v>19.23077</v>
      </c>
      <c r="R959" s="1868">
        <v>13.2</v>
      </c>
      <c r="S959" s="1868">
        <v>14</v>
      </c>
      <c r="T959" s="1868">
        <v>16</v>
      </c>
      <c r="U959" s="1868">
        <v>12</v>
      </c>
      <c r="V959" s="1868">
        <v>16</v>
      </c>
      <c r="W959" s="1868">
        <v>14</v>
      </c>
      <c r="X959" s="1868">
        <v>12</v>
      </c>
      <c r="Y959" s="1868">
        <v>10</v>
      </c>
      <c r="Z959" s="1868">
        <v>8</v>
      </c>
      <c r="AA959" s="1868">
        <v>15.55556</v>
      </c>
      <c r="AB959" s="1868">
        <v>17.044250000000002</v>
      </c>
      <c r="AC959" s="1868">
        <v>14.814820000000001</v>
      </c>
      <c r="AD959" s="1868">
        <v>12.727269999999999</v>
      </c>
      <c r="AE959" s="1868">
        <v>12.98508</v>
      </c>
      <c r="AF959" s="1868">
        <v>13.043480000000001</v>
      </c>
      <c r="AG959" s="1868">
        <v>13.40058</v>
      </c>
      <c r="AH959" s="1868">
        <v>13.663789999999999</v>
      </c>
      <c r="AI959" s="1868">
        <v>14.630770000000002</v>
      </c>
      <c r="AJ959" s="1868">
        <v>12.355080000000001</v>
      </c>
      <c r="AK959" s="1868">
        <v>12</v>
      </c>
      <c r="AL959" s="1868">
        <v>15.366529999999999</v>
      </c>
      <c r="AM959" s="1868">
        <v>16.24803</v>
      </c>
      <c r="AN959" s="1868">
        <v>15.6791</v>
      </c>
      <c r="AO959" s="1868">
        <v>15.31541</v>
      </c>
      <c r="AP959" s="1868">
        <v>11.919639999999999</v>
      </c>
      <c r="AQ959" s="1868">
        <v>10.88603</v>
      </c>
      <c r="AR959" s="1868">
        <v>12</v>
      </c>
      <c r="AS959" s="1868">
        <v>6.7947800000000003</v>
      </c>
      <c r="AT959" s="1868">
        <v>6.593160000000001</v>
      </c>
      <c r="AU959" s="1868">
        <v>6.9160600000000008</v>
      </c>
      <c r="AV959" s="1868">
        <v>7.0928600000000008</v>
      </c>
      <c r="AW959" s="1868">
        <v>12.307689999999999</v>
      </c>
      <c r="AX959" s="1868">
        <v>12.22222</v>
      </c>
      <c r="AY959" s="1868">
        <v>11.941610000000001</v>
      </c>
      <c r="AZ959" s="1868">
        <v>10.89007</v>
      </c>
      <c r="BA959" s="1868">
        <v>10</v>
      </c>
    </row>
    <row r="960" spans="1:53">
      <c r="A960" s="1865" t="str">
        <f t="shared" si="14"/>
        <v>PolynesiaPotatoes</v>
      </c>
      <c r="B960" s="1866" t="s">
        <v>1420</v>
      </c>
      <c r="C960" s="1866" t="s">
        <v>1394</v>
      </c>
      <c r="D960" s="1868">
        <v>10</v>
      </c>
      <c r="E960" s="1868">
        <v>10</v>
      </c>
      <c r="F960" s="1868">
        <v>10</v>
      </c>
      <c r="G960" s="1868">
        <v>10</v>
      </c>
      <c r="H960" s="1868">
        <v>10</v>
      </c>
      <c r="I960" s="1868">
        <v>10</v>
      </c>
      <c r="J960" s="1868">
        <v>10</v>
      </c>
      <c r="K960" s="1868">
        <v>10</v>
      </c>
      <c r="L960" s="1868">
        <v>10</v>
      </c>
      <c r="M960" s="1868">
        <v>10</v>
      </c>
      <c r="N960" s="1868">
        <v>10</v>
      </c>
      <c r="O960" s="1868">
        <v>10</v>
      </c>
      <c r="P960" s="1868">
        <v>10</v>
      </c>
      <c r="Q960" s="1868">
        <v>10</v>
      </c>
      <c r="R960" s="1868">
        <v>10</v>
      </c>
      <c r="S960" s="1868">
        <v>10</v>
      </c>
      <c r="T960" s="1868">
        <v>10</v>
      </c>
      <c r="U960" s="1868">
        <v>10</v>
      </c>
      <c r="V960" s="1868">
        <v>10</v>
      </c>
      <c r="W960" s="1868">
        <v>10</v>
      </c>
      <c r="X960" s="1868">
        <v>10</v>
      </c>
      <c r="Y960" s="1868">
        <v>10</v>
      </c>
      <c r="Z960" s="1868">
        <v>10</v>
      </c>
      <c r="AA960" s="1868">
        <v>10</v>
      </c>
      <c r="AB960" s="1868">
        <v>10</v>
      </c>
      <c r="AC960" s="1868">
        <v>10</v>
      </c>
      <c r="AD960" s="1868">
        <v>10</v>
      </c>
      <c r="AE960" s="1868">
        <v>10</v>
      </c>
      <c r="AF960" s="1868">
        <v>10</v>
      </c>
      <c r="AG960" s="1868">
        <v>10.40741</v>
      </c>
      <c r="AH960" s="1868">
        <v>10.91</v>
      </c>
      <c r="AI960" s="1868">
        <v>11.48</v>
      </c>
      <c r="AJ960" s="1868">
        <v>11.567310000000001</v>
      </c>
      <c r="AK960" s="1868">
        <v>11.61111</v>
      </c>
      <c r="AL960" s="1868">
        <v>7.6</v>
      </c>
      <c r="AM960" s="1868">
        <v>9.4513300000000005</v>
      </c>
      <c r="AN960" s="1868">
        <v>8.9279299999999999</v>
      </c>
      <c r="AO960" s="1868">
        <v>6.9024399999999995</v>
      </c>
      <c r="AP960" s="1868">
        <v>7.4913800000000004</v>
      </c>
      <c r="AQ960" s="1868">
        <v>7.6923100000000009</v>
      </c>
      <c r="AR960" s="1868">
        <v>8.6036000000000001</v>
      </c>
      <c r="AS960" s="1868">
        <v>8.9473699999999994</v>
      </c>
      <c r="AT960" s="1868">
        <v>8.8235299999999999</v>
      </c>
      <c r="AU960" s="1868">
        <v>8.6624999999999996</v>
      </c>
      <c r="AV960" s="1868">
        <v>8.4878100000000014</v>
      </c>
      <c r="AW960" s="1868">
        <v>8.8166700000000002</v>
      </c>
      <c r="AX960" s="1868">
        <v>9.2307699999999997</v>
      </c>
      <c r="AY960" s="1868">
        <v>9.49315</v>
      </c>
      <c r="AZ960" s="1868">
        <v>9.4032300000000006</v>
      </c>
      <c r="BA960" s="1868">
        <v>9</v>
      </c>
    </row>
    <row r="961" spans="1:53">
      <c r="A961" s="1865" t="str">
        <f t="shared" si="14"/>
        <v>PolynesiaRoots and Tubers, nes</v>
      </c>
      <c r="B961" s="1866" t="s">
        <v>1420</v>
      </c>
      <c r="C961" s="1866" t="s">
        <v>1356</v>
      </c>
      <c r="D961" s="1868">
        <v>12.841989999999999</v>
      </c>
      <c r="E961" s="1868">
        <v>12.796519999999999</v>
      </c>
      <c r="F961" s="1868">
        <v>12.83151</v>
      </c>
      <c r="G961" s="1868">
        <v>13.095239999999999</v>
      </c>
      <c r="H961" s="1868">
        <v>13.151339999999999</v>
      </c>
      <c r="I961" s="1868">
        <v>13.13899</v>
      </c>
      <c r="J961" s="1868">
        <v>12.66208</v>
      </c>
      <c r="K961" s="1868">
        <v>12.40132</v>
      </c>
      <c r="L961" s="1868">
        <v>12.304869999999999</v>
      </c>
      <c r="M961" s="1868">
        <v>12.29223</v>
      </c>
      <c r="N961" s="1868">
        <v>12.756930000000001</v>
      </c>
      <c r="O961" s="1868">
        <v>12.11542</v>
      </c>
      <c r="P961" s="1868">
        <v>13.31395</v>
      </c>
      <c r="Q961" s="1868">
        <v>13.162529999999999</v>
      </c>
      <c r="R961" s="1868">
        <v>13.10478</v>
      </c>
      <c r="S961" s="1868">
        <v>12.89551</v>
      </c>
      <c r="T961" s="1868">
        <v>12.928519999999999</v>
      </c>
      <c r="U961" s="1868">
        <v>12.671380000000001</v>
      </c>
      <c r="V961" s="1868">
        <v>12.36537</v>
      </c>
      <c r="W961" s="1868">
        <v>12.075660000000001</v>
      </c>
      <c r="X961" s="1868">
        <v>11.75736</v>
      </c>
      <c r="Y961" s="1868">
        <v>10.95477</v>
      </c>
      <c r="Z961" s="1868">
        <v>10.046099999999999</v>
      </c>
      <c r="AA961" s="1868">
        <v>9.8059100000000008</v>
      </c>
      <c r="AB961" s="1868">
        <v>9.4736799999999999</v>
      </c>
      <c r="AC961" s="1868">
        <v>9.0725899999999999</v>
      </c>
      <c r="AD961" s="1868">
        <v>8.6221100000000011</v>
      </c>
      <c r="AE961" s="1868">
        <v>8.1790599999999998</v>
      </c>
      <c r="AF961" s="1868">
        <v>9.3368199999999995</v>
      </c>
      <c r="AG961" s="1868">
        <v>10.896100000000001</v>
      </c>
      <c r="AH961" s="1868">
        <v>12.42794</v>
      </c>
      <c r="AI961" s="1868">
        <v>11.703430000000001</v>
      </c>
      <c r="AJ961" s="1868">
        <v>7.83148</v>
      </c>
      <c r="AK961" s="1868">
        <v>8.2967600000000008</v>
      </c>
      <c r="AL961" s="1868">
        <v>8.4400300000000001</v>
      </c>
      <c r="AM961" s="1868">
        <v>10.822430000000001</v>
      </c>
      <c r="AN961" s="1868">
        <v>9.1944900000000001</v>
      </c>
      <c r="AO961" s="1868">
        <v>9.2441999999999993</v>
      </c>
      <c r="AP961" s="1868">
        <v>9.4793199999999995</v>
      </c>
      <c r="AQ961" s="1868">
        <v>9.2071300000000011</v>
      </c>
      <c r="AR961" s="1868">
        <v>9.4492999999999991</v>
      </c>
      <c r="AS961" s="1868">
        <v>9.632060000000001</v>
      </c>
      <c r="AT961" s="1868">
        <v>9.5234100000000002</v>
      </c>
      <c r="AU961" s="1868">
        <v>9.7899200000000004</v>
      </c>
      <c r="AV961" s="1868">
        <v>9.5948200000000003</v>
      </c>
      <c r="AW961" s="1868">
        <v>8.7881800000000005</v>
      </c>
      <c r="AX961" s="1868">
        <v>9.4449899999999989</v>
      </c>
      <c r="AY961" s="1868">
        <v>8.6409699999999994</v>
      </c>
      <c r="AZ961" s="1868">
        <v>9.4909400000000002</v>
      </c>
      <c r="BA961" s="1868">
        <v>9.1883100000000013</v>
      </c>
    </row>
    <row r="962" spans="1:53">
      <c r="A962" s="1865" t="str">
        <f t="shared" si="14"/>
        <v>PolynesiaSugar cane</v>
      </c>
      <c r="B962" s="1866" t="s">
        <v>1420</v>
      </c>
      <c r="C962" s="1866" t="s">
        <v>1401</v>
      </c>
      <c r="D962" s="1868">
        <v>25.212770000000003</v>
      </c>
      <c r="E962" s="1868">
        <v>26.33333</v>
      </c>
      <c r="F962" s="1868">
        <v>26.33333</v>
      </c>
      <c r="G962" s="1868">
        <v>28.468090000000004</v>
      </c>
      <c r="H962" s="1868">
        <v>28.468090000000004</v>
      </c>
      <c r="I962" s="1868">
        <v>28.53192</v>
      </c>
      <c r="J962" s="1868">
        <v>30.88</v>
      </c>
      <c r="K962" s="1868">
        <v>31.571429999999999</v>
      </c>
      <c r="L962" s="1868">
        <v>31.571429999999999</v>
      </c>
      <c r="M962" s="1868">
        <v>33.653849999999998</v>
      </c>
      <c r="N962" s="1868">
        <v>33.653849999999998</v>
      </c>
      <c r="O962" s="1868">
        <v>33.711539999999999</v>
      </c>
      <c r="P962" s="1868">
        <v>36.166670000000003</v>
      </c>
      <c r="Q962" s="1868">
        <v>38.018520000000002</v>
      </c>
      <c r="R962" s="1868">
        <v>39.14546</v>
      </c>
      <c r="S962" s="1868">
        <v>40.232140000000001</v>
      </c>
      <c r="T962" s="1868">
        <v>41.280700000000003</v>
      </c>
      <c r="U962" s="1868">
        <v>43.070180000000001</v>
      </c>
      <c r="V962" s="1868">
        <v>44.051720000000003</v>
      </c>
      <c r="W962" s="1868">
        <v>45</v>
      </c>
      <c r="X962" s="1868">
        <v>46.677970000000002</v>
      </c>
      <c r="Y962" s="1868">
        <v>48.327590000000001</v>
      </c>
      <c r="Z962" s="1868">
        <v>44.771929999999998</v>
      </c>
      <c r="AA962" s="1868">
        <v>45.553570000000001</v>
      </c>
      <c r="AB962" s="1868">
        <v>49.074069999999999</v>
      </c>
      <c r="AC962" s="1868">
        <v>49.98113</v>
      </c>
      <c r="AD962" s="1868">
        <v>49.962260000000001</v>
      </c>
      <c r="AE962" s="1868">
        <v>51.830190000000002</v>
      </c>
      <c r="AF962" s="1868">
        <v>53.823530000000005</v>
      </c>
      <c r="AG962" s="1868">
        <v>52.769230000000007</v>
      </c>
      <c r="AH962" s="1868">
        <v>54.673080000000006</v>
      </c>
      <c r="AI962" s="1868">
        <v>53.622640000000004</v>
      </c>
      <c r="AJ962" s="1868">
        <v>53.641509999999997</v>
      </c>
      <c r="AK962" s="1868">
        <v>53.622640000000004</v>
      </c>
      <c r="AL962" s="1868">
        <v>53.622640000000004</v>
      </c>
      <c r="AM962" s="1868">
        <v>53.622640000000004</v>
      </c>
      <c r="AN962" s="1868">
        <v>53.622640000000004</v>
      </c>
      <c r="AO962" s="1868">
        <v>50.344259999999998</v>
      </c>
      <c r="AP962" s="1868">
        <v>44.304349999999999</v>
      </c>
      <c r="AQ962" s="1868">
        <v>45.873240000000003</v>
      </c>
      <c r="AR962" s="1868">
        <v>44.304349999999999</v>
      </c>
      <c r="AS962" s="1868">
        <v>44.304349999999999</v>
      </c>
      <c r="AT962" s="1868">
        <v>42.689190000000004</v>
      </c>
      <c r="AU962" s="1868">
        <v>42.486109999999996</v>
      </c>
      <c r="AV962" s="1868">
        <v>42.486109999999996</v>
      </c>
      <c r="AW962" s="1868">
        <v>41.917809999999996</v>
      </c>
      <c r="AX962" s="1868">
        <v>41.917809999999996</v>
      </c>
      <c r="AY962" s="1868">
        <v>41.917809999999996</v>
      </c>
      <c r="AZ962" s="1868">
        <v>41.917809999999996</v>
      </c>
      <c r="BA962" s="1868">
        <v>41.917809999999996</v>
      </c>
    </row>
    <row r="963" spans="1:53">
      <c r="A963" s="1865" t="str">
        <f t="shared" si="14"/>
        <v>PolynesiaSweet potatoes</v>
      </c>
      <c r="B963" s="1866" t="s">
        <v>1420</v>
      </c>
      <c r="C963" s="1866" t="s">
        <v>1403</v>
      </c>
      <c r="D963" s="1868">
        <v>12.946429999999999</v>
      </c>
      <c r="E963" s="1868">
        <v>12.92107</v>
      </c>
      <c r="F963" s="1868">
        <v>12.88916</v>
      </c>
      <c r="G963" s="1868">
        <v>12.50075</v>
      </c>
      <c r="H963" s="1868">
        <v>12.6251</v>
      </c>
      <c r="I963" s="1868">
        <v>12.13809</v>
      </c>
      <c r="J963" s="1868">
        <v>12.19239</v>
      </c>
      <c r="K963" s="1868">
        <v>12.63524</v>
      </c>
      <c r="L963" s="1868">
        <v>12.2904</v>
      </c>
      <c r="M963" s="1868">
        <v>12.480499999999999</v>
      </c>
      <c r="N963" s="1868">
        <v>12.9071</v>
      </c>
      <c r="O963" s="1868">
        <v>12.45547</v>
      </c>
      <c r="P963" s="1868">
        <v>12.174530000000001</v>
      </c>
      <c r="Q963" s="1868">
        <v>12.26004</v>
      </c>
      <c r="R963" s="1868">
        <v>12.5</v>
      </c>
      <c r="S963" s="1868">
        <v>12.22836</v>
      </c>
      <c r="T963" s="1868">
        <v>12.745100000000001</v>
      </c>
      <c r="U963" s="1868">
        <v>13.13993</v>
      </c>
      <c r="V963" s="1868">
        <v>13.653479999999998</v>
      </c>
      <c r="W963" s="1868">
        <v>12.68657</v>
      </c>
      <c r="X963" s="1868">
        <v>12.80242</v>
      </c>
      <c r="Y963" s="1868">
        <v>12.96095</v>
      </c>
      <c r="Z963" s="1868">
        <v>13.028169999999999</v>
      </c>
      <c r="AA963" s="1868">
        <v>13.277200000000001</v>
      </c>
      <c r="AB963" s="1868">
        <v>13.105410000000001</v>
      </c>
      <c r="AC963" s="1868">
        <v>13.6076</v>
      </c>
      <c r="AD963" s="1868">
        <v>13.949279999999998</v>
      </c>
      <c r="AE963" s="1868">
        <v>14.639829999999998</v>
      </c>
      <c r="AF963" s="1868">
        <v>14.694379999999999</v>
      </c>
      <c r="AG963" s="1868">
        <v>14.68571</v>
      </c>
      <c r="AH963" s="1868">
        <v>15.177520000000001</v>
      </c>
      <c r="AI963" s="1868">
        <v>15.224270000000001</v>
      </c>
      <c r="AJ963" s="1868">
        <v>12.207039999999999</v>
      </c>
      <c r="AK963" s="1868">
        <v>13.480839999999999</v>
      </c>
      <c r="AL963" s="1868">
        <v>13.979379999999999</v>
      </c>
      <c r="AM963" s="1868">
        <v>13.64373</v>
      </c>
      <c r="AN963" s="1868">
        <v>13.315179999999998</v>
      </c>
      <c r="AO963" s="1868">
        <v>13.530970000000002</v>
      </c>
      <c r="AP963" s="1868">
        <v>15.332270000000001</v>
      </c>
      <c r="AQ963" s="1868">
        <v>13.661989999999999</v>
      </c>
      <c r="AR963" s="1868">
        <v>13.38664</v>
      </c>
      <c r="AS963" s="1868">
        <v>13.3028</v>
      </c>
      <c r="AT963" s="1868">
        <v>14</v>
      </c>
      <c r="AU963" s="1868">
        <v>12.905950000000001</v>
      </c>
      <c r="AV963" s="1868">
        <v>12.03551</v>
      </c>
      <c r="AW963" s="1868">
        <v>12.836180000000001</v>
      </c>
      <c r="AX963" s="1868">
        <v>12.125</v>
      </c>
      <c r="AY963" s="1868">
        <v>8.1853699999999989</v>
      </c>
      <c r="AZ963" s="1868">
        <v>11.599030000000001</v>
      </c>
      <c r="BA963" s="1868">
        <v>11.24638</v>
      </c>
    </row>
    <row r="964" spans="1:53">
      <c r="A964" s="1865" t="str">
        <f t="shared" ref="A964:A1027" si="15">CONCATENATE(B964,C964)</f>
        <v>PolynesiaTangerines, mandarins, clem.</v>
      </c>
      <c r="B964" s="1866" t="s">
        <v>1420</v>
      </c>
      <c r="C964" s="1866" t="s">
        <v>1404</v>
      </c>
      <c r="D964" s="1868">
        <v>18.765429999999999</v>
      </c>
      <c r="E964" s="1868">
        <v>18.77778</v>
      </c>
      <c r="F964" s="1868">
        <v>20.021979999999999</v>
      </c>
      <c r="G964" s="1868">
        <v>21.582520000000002</v>
      </c>
      <c r="H964" s="1868">
        <v>21.127270000000003</v>
      </c>
      <c r="I964" s="1868">
        <v>22.045460000000002</v>
      </c>
      <c r="J964" s="1868">
        <v>22.963639999999998</v>
      </c>
      <c r="K964" s="1868">
        <v>23.66667</v>
      </c>
      <c r="L964" s="1868">
        <v>24.57658</v>
      </c>
      <c r="M964" s="1868">
        <v>25.48649</v>
      </c>
      <c r="N964" s="1868">
        <v>25.042739999999998</v>
      </c>
      <c r="O964" s="1868">
        <v>19.599270000000001</v>
      </c>
      <c r="P964" s="1868">
        <v>16.523610000000001</v>
      </c>
      <c r="Q964" s="1868">
        <v>15.340639999999999</v>
      </c>
      <c r="R964" s="1868">
        <v>19.68317</v>
      </c>
      <c r="S964" s="1868">
        <v>19.996029999999998</v>
      </c>
      <c r="T964" s="1868">
        <v>20.29365</v>
      </c>
      <c r="U964" s="1868">
        <v>19.447510000000001</v>
      </c>
      <c r="V964" s="1868">
        <v>18.773009999999999</v>
      </c>
      <c r="W964" s="1868">
        <v>19.973510000000001</v>
      </c>
      <c r="X964" s="1868">
        <v>20.696720000000003</v>
      </c>
      <c r="Y964" s="1868">
        <v>19.990100000000002</v>
      </c>
      <c r="Z964" s="1868">
        <v>20</v>
      </c>
      <c r="AA964" s="1868">
        <v>21.33803</v>
      </c>
      <c r="AB964" s="1868">
        <v>19.878050000000002</v>
      </c>
      <c r="AC964" s="1868">
        <v>19.857140000000001</v>
      </c>
      <c r="AD964" s="1868">
        <v>19.272729999999999</v>
      </c>
      <c r="AE964" s="1868">
        <v>10.54546</v>
      </c>
      <c r="AF964" s="1868">
        <v>8</v>
      </c>
      <c r="AG964" s="1868">
        <v>14</v>
      </c>
      <c r="AH964" s="1868">
        <v>13</v>
      </c>
      <c r="AI964" s="1868">
        <v>18</v>
      </c>
      <c r="AJ964" s="1868">
        <v>16.5</v>
      </c>
      <c r="AK964" s="1868">
        <v>11</v>
      </c>
      <c r="AL964" s="1868">
        <v>12.5</v>
      </c>
      <c r="AM964" s="1868">
        <v>13.333329999999998</v>
      </c>
      <c r="AN964" s="1868">
        <v>18.5</v>
      </c>
      <c r="AO964" s="1868">
        <v>19</v>
      </c>
      <c r="AP964" s="1868">
        <v>10</v>
      </c>
      <c r="AQ964" s="1868">
        <v>22</v>
      </c>
      <c r="AR964" s="1868">
        <v>23</v>
      </c>
      <c r="AS964" s="1868">
        <v>24</v>
      </c>
      <c r="AT964" s="1868">
        <v>25</v>
      </c>
      <c r="AU964" s="1868">
        <v>26</v>
      </c>
      <c r="AV964" s="1868">
        <v>11.5</v>
      </c>
      <c r="AW964" s="1868">
        <v>24</v>
      </c>
      <c r="AX964" s="1868">
        <v>27</v>
      </c>
      <c r="AY964" s="1868">
        <v>24</v>
      </c>
      <c r="AZ964" s="1868">
        <v>23</v>
      </c>
      <c r="BA964" s="1868">
        <v>23</v>
      </c>
    </row>
    <row r="965" spans="1:53">
      <c r="A965" s="1865" t="str">
        <f t="shared" si="15"/>
        <v>PolynesiaTobacco, unmanufactured</v>
      </c>
      <c r="B965" s="1866" t="s">
        <v>1420</v>
      </c>
      <c r="C965" s="1866" t="s">
        <v>1347</v>
      </c>
      <c r="D965" s="1868">
        <v>3</v>
      </c>
      <c r="E965" s="1868">
        <v>3</v>
      </c>
      <c r="F965" s="1868">
        <v>2</v>
      </c>
      <c r="G965" s="1868">
        <v>1.8181799999999999</v>
      </c>
      <c r="H965" s="1868">
        <v>2.38462</v>
      </c>
      <c r="I965" s="1868">
        <v>2.625</v>
      </c>
      <c r="J965" s="1868">
        <v>3.0526299999999997</v>
      </c>
      <c r="K965" s="1868">
        <v>3.1363599999999998</v>
      </c>
      <c r="L965" s="1868">
        <v>3.24</v>
      </c>
      <c r="M965" s="1868">
        <v>3.3571400000000002</v>
      </c>
      <c r="N965" s="1868">
        <v>3.3548400000000003</v>
      </c>
      <c r="O965" s="1868">
        <v>3.4117699999999997</v>
      </c>
      <c r="P965" s="1868">
        <v>3.4864900000000003</v>
      </c>
      <c r="Q965" s="1868">
        <v>3.5750000000000002</v>
      </c>
      <c r="R965" s="1868">
        <v>3.6744199999999996</v>
      </c>
      <c r="S965" s="1868">
        <v>3.7907000000000002</v>
      </c>
      <c r="T965" s="1868">
        <v>3.8571400000000002</v>
      </c>
      <c r="U965" s="1868">
        <v>3.9761900000000003</v>
      </c>
      <c r="V965" s="1868">
        <v>3.9761900000000003</v>
      </c>
      <c r="W965" s="1868">
        <v>4.0487800000000007</v>
      </c>
      <c r="X965" s="1868">
        <v>4.0487800000000007</v>
      </c>
      <c r="Y965" s="1868">
        <v>4.0487800000000007</v>
      </c>
      <c r="Z965" s="1868">
        <v>4.0487800000000007</v>
      </c>
      <c r="AA965" s="1868">
        <v>4.0487800000000007</v>
      </c>
      <c r="AB965" s="1868">
        <v>4.1500000000000004</v>
      </c>
      <c r="AC965" s="1868">
        <v>4.1500000000000004</v>
      </c>
      <c r="AD965" s="1868">
        <v>4.1500000000000004</v>
      </c>
      <c r="AE965" s="1868">
        <v>4.1500000000000004</v>
      </c>
      <c r="AF965" s="1868">
        <v>4.1749999999999998</v>
      </c>
      <c r="AG965" s="1868">
        <v>3.6222199999999996</v>
      </c>
      <c r="AH965" s="1868">
        <v>3.6976699999999996</v>
      </c>
      <c r="AI965" s="1868">
        <v>3.8157900000000002</v>
      </c>
      <c r="AJ965" s="1868">
        <v>3.8250000000000002</v>
      </c>
      <c r="AK965" s="1868">
        <v>5.7037000000000004</v>
      </c>
      <c r="AL965" s="1868">
        <v>4.7307699999999997</v>
      </c>
      <c r="AM965" s="1868">
        <v>5.9629599999999998</v>
      </c>
      <c r="AN965" s="1868">
        <v>5.8214300000000003</v>
      </c>
      <c r="AO965" s="1868">
        <v>6.36</v>
      </c>
      <c r="AP965" s="1868">
        <v>5.4166699999999999</v>
      </c>
      <c r="AQ965" s="1868">
        <v>3.8250000000000002</v>
      </c>
      <c r="AR965" s="1868">
        <v>6.84</v>
      </c>
      <c r="AS965" s="1868">
        <v>4.2249999999999996</v>
      </c>
      <c r="AT965" s="1868">
        <v>3.0750000000000002</v>
      </c>
      <c r="AU965" s="1868">
        <v>5.55</v>
      </c>
      <c r="AV965" s="1868">
        <v>5.4749999999999996</v>
      </c>
      <c r="AW965" s="1868">
        <v>5.25</v>
      </c>
      <c r="AX965" s="1868">
        <v>3.58</v>
      </c>
      <c r="AY965" s="1868">
        <v>3.48</v>
      </c>
      <c r="AZ965" s="1868">
        <v>4.3</v>
      </c>
      <c r="BA965" s="1868">
        <v>4.3</v>
      </c>
    </row>
    <row r="966" spans="1:53">
      <c r="A966" s="1865" t="str">
        <f t="shared" si="15"/>
        <v>PolynesiaTomatoes</v>
      </c>
      <c r="B966" s="1866" t="s">
        <v>1420</v>
      </c>
      <c r="C966" s="1866" t="s">
        <v>1406</v>
      </c>
      <c r="D966" s="1868">
        <v>7</v>
      </c>
      <c r="E966" s="1868">
        <v>6.3333300000000001</v>
      </c>
      <c r="F966" s="1868">
        <v>8.4408600000000007</v>
      </c>
      <c r="G966" s="1868">
        <v>5.9042599999999998</v>
      </c>
      <c r="H966" s="1868">
        <v>8.0729199999999999</v>
      </c>
      <c r="I966" s="1868">
        <v>11.06195</v>
      </c>
      <c r="J966" s="1868">
        <v>9.0434800000000006</v>
      </c>
      <c r="K966" s="1868">
        <v>10.79167</v>
      </c>
      <c r="L966" s="1868">
        <v>18.432839999999999</v>
      </c>
      <c r="M966" s="1868">
        <v>17.659570000000002</v>
      </c>
      <c r="N966" s="1868">
        <v>7.4480000000000004</v>
      </c>
      <c r="O966" s="1868">
        <v>17.678570000000001</v>
      </c>
      <c r="P966" s="1868">
        <v>16.773589999999999</v>
      </c>
      <c r="Q966" s="1868">
        <v>16.212499999999999</v>
      </c>
      <c r="R966" s="1868">
        <v>17.4557</v>
      </c>
      <c r="S966" s="1868">
        <v>18.765429999999999</v>
      </c>
      <c r="T966" s="1868">
        <v>17.621949999999998</v>
      </c>
      <c r="U966" s="1868">
        <v>16.655560000000001</v>
      </c>
      <c r="V966" s="1868">
        <v>17.62651</v>
      </c>
      <c r="W966" s="1868">
        <v>17.159089999999999</v>
      </c>
      <c r="X966" s="1868">
        <v>17.177779999999998</v>
      </c>
      <c r="Y966" s="1868">
        <v>18.11957</v>
      </c>
      <c r="Z966" s="1868">
        <v>16.18085</v>
      </c>
      <c r="AA966" s="1868">
        <v>16.31532</v>
      </c>
      <c r="AB966" s="1868">
        <v>17.106200000000001</v>
      </c>
      <c r="AC966" s="1868">
        <v>15.97414</v>
      </c>
      <c r="AD966" s="1868">
        <v>11.532110000000001</v>
      </c>
      <c r="AE966" s="1868">
        <v>12.098360000000001</v>
      </c>
      <c r="AF966" s="1868">
        <v>14.794120000000001</v>
      </c>
      <c r="AG966" s="1868">
        <v>14.66981</v>
      </c>
      <c r="AH966" s="1868">
        <v>17.426970000000001</v>
      </c>
      <c r="AI966" s="1868">
        <v>20.422539999999998</v>
      </c>
      <c r="AJ966" s="1868">
        <v>20.24194</v>
      </c>
      <c r="AK966" s="1868">
        <v>19.5</v>
      </c>
      <c r="AL966" s="1868">
        <v>17.901239999999998</v>
      </c>
      <c r="AM966" s="1868">
        <v>22.152940000000001</v>
      </c>
      <c r="AN966" s="1868">
        <v>18.66234</v>
      </c>
      <c r="AO966" s="1868">
        <v>21.247060000000001</v>
      </c>
      <c r="AP966" s="1868">
        <v>20.515149999999998</v>
      </c>
      <c r="AQ966" s="1868">
        <v>21.580950000000001</v>
      </c>
      <c r="AR966" s="1868">
        <v>21.06504</v>
      </c>
      <c r="AS966" s="1868">
        <v>20.828279999999999</v>
      </c>
      <c r="AT966" s="1868">
        <v>18.661020000000001</v>
      </c>
      <c r="AU966" s="1868">
        <v>16.246029999999998</v>
      </c>
      <c r="AV966" s="1868">
        <v>15.864000000000001</v>
      </c>
      <c r="AW966" s="1868">
        <v>18.358329999999999</v>
      </c>
      <c r="AX966" s="1868">
        <v>16.938600000000001</v>
      </c>
      <c r="AY966" s="1868">
        <v>19.254239999999999</v>
      </c>
      <c r="AZ966" s="1868">
        <v>18.94697</v>
      </c>
      <c r="BA966" s="1868">
        <v>20.857140000000001</v>
      </c>
    </row>
    <row r="967" spans="1:53">
      <c r="A967" s="1865" t="str">
        <f t="shared" si="15"/>
        <v>PolynesiaVegetables fresh nes</v>
      </c>
      <c r="B967" s="1866" t="s">
        <v>1420</v>
      </c>
      <c r="C967" s="1866" t="s">
        <v>1407</v>
      </c>
      <c r="D967" s="1868">
        <v>1.4176600000000001</v>
      </c>
      <c r="E967" s="1868">
        <v>1.4464600000000001</v>
      </c>
      <c r="F967" s="1868">
        <v>1.4739100000000001</v>
      </c>
      <c r="G967" s="1868">
        <v>1.46621</v>
      </c>
      <c r="H967" s="1868">
        <v>1.4373100000000001</v>
      </c>
      <c r="I967" s="1868">
        <v>1.4438500000000001</v>
      </c>
      <c r="J967" s="1868">
        <v>1.54589</v>
      </c>
      <c r="K967" s="1868">
        <v>1.48959</v>
      </c>
      <c r="L967" s="1868">
        <v>1.5148299999999999</v>
      </c>
      <c r="M967" s="1868">
        <v>1.5332399999999999</v>
      </c>
      <c r="N967" s="1868">
        <v>1.55999</v>
      </c>
      <c r="O967" s="1868">
        <v>1.5791899999999999</v>
      </c>
      <c r="P967" s="1868">
        <v>1.4132200000000001</v>
      </c>
      <c r="Q967" s="1868">
        <v>1.4257299999999999</v>
      </c>
      <c r="R967" s="1868">
        <v>1.5018899999999999</v>
      </c>
      <c r="S967" s="1868">
        <v>1.5244799999999998</v>
      </c>
      <c r="T967" s="1868">
        <v>1.61714</v>
      </c>
      <c r="U967" s="1868">
        <v>1.6555099999999998</v>
      </c>
      <c r="V967" s="1868">
        <v>1.6344799999999999</v>
      </c>
      <c r="W967" s="1868">
        <v>1.5222599999999999</v>
      </c>
      <c r="X967" s="1868">
        <v>1.57874</v>
      </c>
      <c r="Y967" s="1868">
        <v>1.6212</v>
      </c>
      <c r="Z967" s="1868">
        <v>1.63127</v>
      </c>
      <c r="AA967" s="1868">
        <v>1.7366200000000001</v>
      </c>
      <c r="AB967" s="1868">
        <v>1.5511700000000002</v>
      </c>
      <c r="AC967" s="1868">
        <v>1.6899299999999999</v>
      </c>
      <c r="AD967" s="1868">
        <v>1.8363799999999999</v>
      </c>
      <c r="AE967" s="1868">
        <v>1.7742500000000001</v>
      </c>
      <c r="AF967" s="1868">
        <v>1.8620000000000001</v>
      </c>
      <c r="AG967" s="1868">
        <v>1.8951200000000001</v>
      </c>
      <c r="AH967" s="1868">
        <v>1.88045</v>
      </c>
      <c r="AI967" s="1868">
        <v>1.7480599999999999</v>
      </c>
      <c r="AJ967" s="1868">
        <v>1.9280999999999999</v>
      </c>
      <c r="AK967" s="1868">
        <v>2.2270400000000001</v>
      </c>
      <c r="AL967" s="1868">
        <v>2.0836000000000001</v>
      </c>
      <c r="AM967" s="1868">
        <v>2.0997300000000001</v>
      </c>
      <c r="AN967" s="1868">
        <v>2.0384199999999999</v>
      </c>
      <c r="AO967" s="1868">
        <v>1.9458500000000001</v>
      </c>
      <c r="AP967" s="1868">
        <v>2.0839799999999999</v>
      </c>
      <c r="AQ967" s="1868">
        <v>2.1261400000000004</v>
      </c>
      <c r="AR967" s="1868">
        <v>2.3747099999999999</v>
      </c>
      <c r="AS967" s="1868">
        <v>2.5555099999999999</v>
      </c>
      <c r="AT967" s="1868">
        <v>2.2863900000000004</v>
      </c>
      <c r="AU967" s="1868">
        <v>2.4556200000000001</v>
      </c>
      <c r="AV967" s="1868">
        <v>2.3350299999999997</v>
      </c>
      <c r="AW967" s="1868">
        <v>1.64497</v>
      </c>
      <c r="AX967" s="1868">
        <v>1.7228900000000003</v>
      </c>
      <c r="AY967" s="1868">
        <v>1.9723200000000001</v>
      </c>
      <c r="AZ967" s="1868">
        <v>1.90503</v>
      </c>
      <c r="BA967" s="1868">
        <v>1.83277</v>
      </c>
    </row>
    <row r="968" spans="1:53">
      <c r="A968" s="1865" t="str">
        <f t="shared" si="15"/>
        <v>South AmericaBananas</v>
      </c>
      <c r="B968" s="1866" t="s">
        <v>311</v>
      </c>
      <c r="C968" s="1866" t="s">
        <v>1362</v>
      </c>
      <c r="D968" s="1868">
        <v>17.826599999999999</v>
      </c>
      <c r="E968" s="1868">
        <v>17.835729999999998</v>
      </c>
      <c r="F968" s="1868">
        <v>17.259599999999999</v>
      </c>
      <c r="G968" s="1868">
        <v>17.572939999999999</v>
      </c>
      <c r="H968" s="1868">
        <v>16.393439999999998</v>
      </c>
      <c r="I968" s="1868">
        <v>15.574370000000002</v>
      </c>
      <c r="J968" s="1868">
        <v>16.007680000000001</v>
      </c>
      <c r="K968" s="1868">
        <v>16.682400000000001</v>
      </c>
      <c r="L968" s="1868">
        <v>17.898540000000001</v>
      </c>
      <c r="M968" s="1868">
        <v>18.081949999999999</v>
      </c>
      <c r="N968" s="1868">
        <v>18.414529999999999</v>
      </c>
      <c r="O968" s="1868">
        <v>19.90935</v>
      </c>
      <c r="P968" s="1868">
        <v>15.186</v>
      </c>
      <c r="Q968" s="1868">
        <v>16.00281</v>
      </c>
      <c r="R968" s="1868">
        <v>17.255649999999999</v>
      </c>
      <c r="S968" s="1868">
        <v>18.48639</v>
      </c>
      <c r="T968" s="1868">
        <v>16.759789999999999</v>
      </c>
      <c r="U968" s="1868">
        <v>17.345010000000002</v>
      </c>
      <c r="V968" s="1868">
        <v>16.767020000000002</v>
      </c>
      <c r="W968" s="1868">
        <v>17.149319999999999</v>
      </c>
      <c r="X968" s="1868">
        <v>16.598210000000002</v>
      </c>
      <c r="Y968" s="1868">
        <v>16.536770000000001</v>
      </c>
      <c r="Z968" s="1868">
        <v>15.641360000000001</v>
      </c>
      <c r="AA968" s="1868">
        <v>16.328710000000001</v>
      </c>
      <c r="AB968" s="1868">
        <v>15.9696</v>
      </c>
      <c r="AC968" s="1868">
        <v>15.576189999999999</v>
      </c>
      <c r="AD968" s="1868">
        <v>14.998629999999999</v>
      </c>
      <c r="AE968" s="1868">
        <v>15.037649999999999</v>
      </c>
      <c r="AF968" s="1868">
        <v>15.050279999999999</v>
      </c>
      <c r="AG968" s="1868">
        <v>15.479510000000001</v>
      </c>
      <c r="AH968" s="1868">
        <v>15.87316</v>
      </c>
      <c r="AI968" s="1868">
        <v>15.696729999999999</v>
      </c>
      <c r="AJ968" s="1868">
        <v>15.820129999999999</v>
      </c>
      <c r="AK968" s="1868">
        <v>16.54017</v>
      </c>
      <c r="AL968" s="1868">
        <v>16.184089999999998</v>
      </c>
      <c r="AM968" s="1868">
        <v>16.123370000000001</v>
      </c>
      <c r="AN968" s="1868">
        <v>18.32414</v>
      </c>
      <c r="AO968" s="1868">
        <v>15.930539999999999</v>
      </c>
      <c r="AP968" s="1868">
        <v>17.667289999999998</v>
      </c>
      <c r="AQ968" s="1868">
        <v>16.448970000000003</v>
      </c>
      <c r="AR968" s="1868">
        <v>17.110199999999999</v>
      </c>
      <c r="AS968" s="1868">
        <v>16.882620000000003</v>
      </c>
      <c r="AT968" s="1868">
        <v>18.150289999999998</v>
      </c>
      <c r="AU968" s="1868">
        <v>17.89086</v>
      </c>
      <c r="AV968" s="1868">
        <v>18.214300000000001</v>
      </c>
      <c r="AW968" s="1868">
        <v>18.417149999999999</v>
      </c>
      <c r="AX968" s="1868">
        <v>18.452490000000001</v>
      </c>
      <c r="AY968" s="1868">
        <v>19.130120000000002</v>
      </c>
      <c r="AZ968" s="1868">
        <v>20.68797</v>
      </c>
      <c r="BA968" s="1868">
        <v>20.900970000000001</v>
      </c>
    </row>
    <row r="969" spans="1:53">
      <c r="A969" s="1865" t="str">
        <f t="shared" si="15"/>
        <v>South AmericaBarley</v>
      </c>
      <c r="B969" s="1866" t="s">
        <v>311</v>
      </c>
      <c r="C969" s="1866" t="s">
        <v>1363</v>
      </c>
      <c r="D969" s="1868">
        <v>1.0591200000000001</v>
      </c>
      <c r="E969" s="1868">
        <v>0.99847000000000008</v>
      </c>
      <c r="F969" s="1868">
        <v>1.24081</v>
      </c>
      <c r="G969" s="1868">
        <v>1.2197</v>
      </c>
      <c r="H969" s="1868">
        <v>0.99393999999999993</v>
      </c>
      <c r="I969" s="1868">
        <v>0.97219999999999995</v>
      </c>
      <c r="J969" s="1868">
        <v>1.05528</v>
      </c>
      <c r="K969" s="1868">
        <v>1.0139200000000002</v>
      </c>
      <c r="L969" s="1868">
        <v>1.08464</v>
      </c>
      <c r="M969" s="1868">
        <v>1.0008999999999999</v>
      </c>
      <c r="N969" s="1868">
        <v>1.05182</v>
      </c>
      <c r="O969" s="1868">
        <v>1.24007</v>
      </c>
      <c r="P969" s="1868">
        <v>1.2235400000000001</v>
      </c>
      <c r="Q969" s="1868">
        <v>1.1295999999999999</v>
      </c>
      <c r="R969" s="1868">
        <v>1.1210200000000001</v>
      </c>
      <c r="S969" s="1868">
        <v>1.28305</v>
      </c>
      <c r="T969" s="1868">
        <v>1.0662100000000001</v>
      </c>
      <c r="U969" s="1868">
        <v>1.3403100000000001</v>
      </c>
      <c r="V969" s="1868">
        <v>1.2416100000000001</v>
      </c>
      <c r="W969" s="1868">
        <v>1.2121200000000001</v>
      </c>
      <c r="X969" s="1868">
        <v>1.1490400000000001</v>
      </c>
      <c r="Y969" s="1868">
        <v>1.15402</v>
      </c>
      <c r="Z969" s="1868">
        <v>1.2262299999999999</v>
      </c>
      <c r="AA969" s="1868">
        <v>1.3717299999999999</v>
      </c>
      <c r="AB969" s="1868">
        <v>1.3291999999999999</v>
      </c>
      <c r="AC969" s="1868">
        <v>1.38913</v>
      </c>
      <c r="AD969" s="1868">
        <v>1.5618700000000001</v>
      </c>
      <c r="AE969" s="1868">
        <v>1.60897</v>
      </c>
      <c r="AF969" s="1868">
        <v>1.7384299999999999</v>
      </c>
      <c r="AG969" s="1868">
        <v>1.5708899999999999</v>
      </c>
      <c r="AH969" s="1868">
        <v>1.6373799999999998</v>
      </c>
      <c r="AI969" s="1868">
        <v>1.89313</v>
      </c>
      <c r="AJ969" s="1868">
        <v>1.61391</v>
      </c>
      <c r="AK969" s="1868">
        <v>1.6956500000000001</v>
      </c>
      <c r="AL969" s="1868">
        <v>1.65103</v>
      </c>
      <c r="AM969" s="1868">
        <v>1.8204499999999999</v>
      </c>
      <c r="AN969" s="1868">
        <v>1.9921099999999998</v>
      </c>
      <c r="AO969" s="1868">
        <v>1.9018200000000001</v>
      </c>
      <c r="AP969" s="1868">
        <v>1.7641</v>
      </c>
      <c r="AQ969" s="1868">
        <v>1.9433799999999999</v>
      </c>
      <c r="AR969" s="1868">
        <v>1.56073</v>
      </c>
      <c r="AS969" s="1868">
        <v>1.70842</v>
      </c>
      <c r="AT969" s="1868">
        <v>2.3458700000000001</v>
      </c>
      <c r="AU969" s="1868">
        <v>2.4235099999999998</v>
      </c>
      <c r="AV969" s="1868">
        <v>2.2104200000000001</v>
      </c>
      <c r="AW969" s="1868">
        <v>2.7148599999999998</v>
      </c>
      <c r="AX969" s="1868">
        <v>2.4938599999999997</v>
      </c>
      <c r="AY969" s="1868">
        <v>2.4974799999999999</v>
      </c>
      <c r="AZ969" s="1868">
        <v>2.3304099999999996</v>
      </c>
      <c r="BA969" s="1868">
        <v>3.2145200000000003</v>
      </c>
    </row>
    <row r="970" spans="1:53">
      <c r="A970" s="1865" t="str">
        <f t="shared" si="15"/>
        <v>South AmericaBeans, dry</v>
      </c>
      <c r="B970" s="1866" t="s">
        <v>311</v>
      </c>
      <c r="C970" s="1866" t="s">
        <v>1364</v>
      </c>
      <c r="D970" s="1868">
        <v>0.68067</v>
      </c>
      <c r="E970" s="1868">
        <v>0.64001000000000008</v>
      </c>
      <c r="F970" s="1868">
        <v>0.65717000000000003</v>
      </c>
      <c r="G970" s="1868">
        <v>0.62814999999999999</v>
      </c>
      <c r="H970" s="1868">
        <v>0.69825999999999999</v>
      </c>
      <c r="I970" s="1868">
        <v>0.64890000000000003</v>
      </c>
      <c r="J970" s="1868">
        <v>0.70108999999999999</v>
      </c>
      <c r="K970" s="1868">
        <v>0.65388000000000002</v>
      </c>
      <c r="L970" s="1868">
        <v>0.60350999999999999</v>
      </c>
      <c r="M970" s="1868">
        <v>0.63912000000000002</v>
      </c>
      <c r="N970" s="1868">
        <v>0.68400000000000005</v>
      </c>
      <c r="O970" s="1868">
        <v>0.67715000000000003</v>
      </c>
      <c r="P970" s="1868">
        <v>0.59950999999999999</v>
      </c>
      <c r="Q970" s="1868">
        <v>0.54991999999999996</v>
      </c>
      <c r="R970" s="1868">
        <v>0.57241999999999993</v>
      </c>
      <c r="S970" s="1868">
        <v>0.49828</v>
      </c>
      <c r="T970" s="1868">
        <v>0.53873000000000004</v>
      </c>
      <c r="U970" s="1868">
        <v>0.51454999999999995</v>
      </c>
      <c r="V970" s="1868">
        <v>0.56635000000000002</v>
      </c>
      <c r="W970" s="1868">
        <v>0.45996000000000004</v>
      </c>
      <c r="X970" s="1868">
        <v>0.51605000000000001</v>
      </c>
      <c r="Y970" s="1868">
        <v>0.53673999999999999</v>
      </c>
      <c r="Z970" s="1868">
        <v>0.45011999999999996</v>
      </c>
      <c r="AA970" s="1868">
        <v>0.53217000000000003</v>
      </c>
      <c r="AB970" s="1868">
        <v>0.52354000000000001</v>
      </c>
      <c r="AC970" s="1868">
        <v>0.45181000000000004</v>
      </c>
      <c r="AD970" s="1868">
        <v>0.42783000000000004</v>
      </c>
      <c r="AE970" s="1868">
        <v>0.52608999999999995</v>
      </c>
      <c r="AF970" s="1868">
        <v>0.48541000000000006</v>
      </c>
      <c r="AG970" s="1868">
        <v>0.53043999999999991</v>
      </c>
      <c r="AH970" s="1868">
        <v>0.55703999999999998</v>
      </c>
      <c r="AI970" s="1868">
        <v>0.58958999999999995</v>
      </c>
      <c r="AJ970" s="1868">
        <v>0.67428999999999994</v>
      </c>
      <c r="AK970" s="1868">
        <v>0.64932000000000001</v>
      </c>
      <c r="AL970" s="1868">
        <v>0.6351</v>
      </c>
      <c r="AM970" s="1868">
        <v>0.61739999999999995</v>
      </c>
      <c r="AN970" s="1868">
        <v>0.68826999999999994</v>
      </c>
      <c r="AO970" s="1868">
        <v>0.71435999999999999</v>
      </c>
      <c r="AP970" s="1868">
        <v>0.72119999999999995</v>
      </c>
      <c r="AQ970" s="1868">
        <v>0.73816000000000004</v>
      </c>
      <c r="AR970" s="1868">
        <v>0.75497999999999998</v>
      </c>
      <c r="AS970" s="1868">
        <v>0.77033000000000007</v>
      </c>
      <c r="AT970" s="1868">
        <v>0.83347000000000004</v>
      </c>
      <c r="AU970" s="1868">
        <v>0.77927000000000002</v>
      </c>
      <c r="AV970" s="1868">
        <v>0.83661000000000008</v>
      </c>
      <c r="AW970" s="1868">
        <v>0.89590000000000003</v>
      </c>
      <c r="AX970" s="1868">
        <v>0.87616000000000005</v>
      </c>
      <c r="AY970" s="1868">
        <v>0.94687999999999994</v>
      </c>
      <c r="AZ970" s="1868">
        <v>0.88017000000000012</v>
      </c>
      <c r="BA970" s="1868">
        <v>0.95494999999999997</v>
      </c>
    </row>
    <row r="971" spans="1:53">
      <c r="A971" s="1865" t="str">
        <f t="shared" si="15"/>
        <v>South AmericaBeans, green</v>
      </c>
      <c r="B971" s="1866" t="s">
        <v>311</v>
      </c>
      <c r="C971" s="1866" t="s">
        <v>1365</v>
      </c>
      <c r="D971" s="1868">
        <v>2.839</v>
      </c>
      <c r="E971" s="1868">
        <v>2.87201</v>
      </c>
      <c r="F971" s="1868">
        <v>2.7865500000000001</v>
      </c>
      <c r="G971" s="1868">
        <v>2.9002699999999999</v>
      </c>
      <c r="H971" s="1868">
        <v>2.7794699999999999</v>
      </c>
      <c r="I971" s="1868">
        <v>3.0125000000000002</v>
      </c>
      <c r="J971" s="1868">
        <v>3.0117099999999999</v>
      </c>
      <c r="K971" s="1868">
        <v>3.2452000000000001</v>
      </c>
      <c r="L971" s="1868">
        <v>3.0181400000000003</v>
      </c>
      <c r="M971" s="1868">
        <v>3.0296599999999998</v>
      </c>
      <c r="N971" s="1868">
        <v>3.03884</v>
      </c>
      <c r="O971" s="1868">
        <v>3.0034299999999998</v>
      </c>
      <c r="P971" s="1868">
        <v>2.8871599999999997</v>
      </c>
      <c r="Q971" s="1868">
        <v>2.9994200000000002</v>
      </c>
      <c r="R971" s="1868">
        <v>3.3955599999999997</v>
      </c>
      <c r="S971" s="1868">
        <v>3.3167300000000002</v>
      </c>
      <c r="T971" s="1868">
        <v>3.5468999999999999</v>
      </c>
      <c r="U971" s="1868">
        <v>3.3341099999999999</v>
      </c>
      <c r="V971" s="1868">
        <v>3.5437699999999999</v>
      </c>
      <c r="W971" s="1868">
        <v>3.6660599999999999</v>
      </c>
      <c r="X971" s="1868">
        <v>3.4758400000000003</v>
      </c>
      <c r="Y971" s="1868">
        <v>3.3138000000000001</v>
      </c>
      <c r="Z971" s="1868">
        <v>3.1824400000000002</v>
      </c>
      <c r="AA971" s="1868">
        <v>2.9851400000000003</v>
      </c>
      <c r="AB971" s="1868">
        <v>2.5548500000000001</v>
      </c>
      <c r="AC971" s="1868">
        <v>2.6539599999999997</v>
      </c>
      <c r="AD971" s="1868">
        <v>2.9830799999999997</v>
      </c>
      <c r="AE971" s="1868">
        <v>3.3274300000000001</v>
      </c>
      <c r="AF971" s="1868">
        <v>3.1814900000000002</v>
      </c>
      <c r="AG971" s="1868">
        <v>3.23292</v>
      </c>
      <c r="AH971" s="1868">
        <v>3.2612400000000004</v>
      </c>
      <c r="AI971" s="1868">
        <v>3.25854</v>
      </c>
      <c r="AJ971" s="1868">
        <v>3.1638299999999999</v>
      </c>
      <c r="AK971" s="1868">
        <v>3.2079200000000001</v>
      </c>
      <c r="AL971" s="1868">
        <v>3.3881999999999999</v>
      </c>
      <c r="AM971" s="1868">
        <v>3.3249199999999997</v>
      </c>
      <c r="AN971" s="1868">
        <v>2.94164</v>
      </c>
      <c r="AO971" s="1868">
        <v>2.9028499999999999</v>
      </c>
      <c r="AP971" s="1868">
        <v>3.0709599999999999</v>
      </c>
      <c r="AQ971" s="1868">
        <v>2.71976</v>
      </c>
      <c r="AR971" s="1868">
        <v>2.7640099999999999</v>
      </c>
      <c r="AS971" s="1868">
        <v>2.5438200000000002</v>
      </c>
      <c r="AT971" s="1868">
        <v>1.66753</v>
      </c>
      <c r="AU971" s="1868">
        <v>2.14703</v>
      </c>
      <c r="AV971" s="1868">
        <v>2.0891000000000002</v>
      </c>
      <c r="AW971" s="1868">
        <v>2.5986899999999999</v>
      </c>
      <c r="AX971" s="1868">
        <v>2.53661</v>
      </c>
      <c r="AY971" s="1868">
        <v>2.8100900000000002</v>
      </c>
      <c r="AZ971" s="1868">
        <v>1.6591900000000002</v>
      </c>
      <c r="BA971" s="1868">
        <v>2.2958099999999999</v>
      </c>
    </row>
    <row r="972" spans="1:53">
      <c r="A972" s="1865" t="str">
        <f t="shared" si="15"/>
        <v>South AmericaCarrots and turnips</v>
      </c>
      <c r="B972" s="1866" t="s">
        <v>311</v>
      </c>
      <c r="C972" s="1866" t="s">
        <v>1366</v>
      </c>
      <c r="D972" s="1868">
        <v>15.570089999999999</v>
      </c>
      <c r="E972" s="1868">
        <v>15.381970000000001</v>
      </c>
      <c r="F972" s="1868">
        <v>15.884039999999999</v>
      </c>
      <c r="G972" s="1868">
        <v>16.027329999999999</v>
      </c>
      <c r="H972" s="1868">
        <v>15.646579999999998</v>
      </c>
      <c r="I972" s="1868">
        <v>15.472950000000001</v>
      </c>
      <c r="J972" s="1868">
        <v>15.442479999999998</v>
      </c>
      <c r="K972" s="1868">
        <v>15.128789999999999</v>
      </c>
      <c r="L972" s="1868">
        <v>15.168760000000001</v>
      </c>
      <c r="M972" s="1868">
        <v>14.92704</v>
      </c>
      <c r="N972" s="1868">
        <v>15.024460000000001</v>
      </c>
      <c r="O972" s="1868">
        <v>14.7013</v>
      </c>
      <c r="P972" s="1868">
        <v>14.844520000000001</v>
      </c>
      <c r="Q972" s="1868">
        <v>15.377050000000001</v>
      </c>
      <c r="R972" s="1868">
        <v>14.86614</v>
      </c>
      <c r="S972" s="1868">
        <v>14.961910000000001</v>
      </c>
      <c r="T972" s="1868">
        <v>15.636649999999999</v>
      </c>
      <c r="U972" s="1868">
        <v>16.359110000000001</v>
      </c>
      <c r="V972" s="1868">
        <v>16.942620000000002</v>
      </c>
      <c r="W972" s="1868">
        <v>16.672220000000003</v>
      </c>
      <c r="X972" s="1868">
        <v>18.554739999999999</v>
      </c>
      <c r="Y972" s="1868">
        <v>18.396920000000001</v>
      </c>
      <c r="Z972" s="1868">
        <v>17.343820000000001</v>
      </c>
      <c r="AA972" s="1868">
        <v>17.492660000000001</v>
      </c>
      <c r="AB972" s="1868">
        <v>16.574739999999998</v>
      </c>
      <c r="AC972" s="1868">
        <v>15.570929999999999</v>
      </c>
      <c r="AD972" s="1868">
        <v>16.289639999999999</v>
      </c>
      <c r="AE972" s="1868">
        <v>17.915240000000001</v>
      </c>
      <c r="AF972" s="1868">
        <v>16.928450000000002</v>
      </c>
      <c r="AG972" s="1868">
        <v>17.062620000000003</v>
      </c>
      <c r="AH972" s="1868">
        <v>16.892160000000001</v>
      </c>
      <c r="AI972" s="1868">
        <v>17.515179999999997</v>
      </c>
      <c r="AJ972" s="1868">
        <v>19.137599999999999</v>
      </c>
      <c r="AK972" s="1868">
        <v>18.153879999999997</v>
      </c>
      <c r="AL972" s="1868">
        <v>21.054389999999998</v>
      </c>
      <c r="AM972" s="1868">
        <v>20.682099999999998</v>
      </c>
      <c r="AN972" s="1868">
        <v>21.902079999999998</v>
      </c>
      <c r="AO972" s="1868">
        <v>22.158620000000003</v>
      </c>
      <c r="AP972" s="1868">
        <v>21.902999999999999</v>
      </c>
      <c r="AQ972" s="1868">
        <v>20.744949999999999</v>
      </c>
      <c r="AR972" s="1868">
        <v>22.112279999999998</v>
      </c>
      <c r="AS972" s="1868">
        <v>21.11346</v>
      </c>
      <c r="AT972" s="1868">
        <v>20.33549</v>
      </c>
      <c r="AU972" s="1868">
        <v>20.167349999999999</v>
      </c>
      <c r="AV972" s="1868">
        <v>20.646350000000002</v>
      </c>
      <c r="AW972" s="1868">
        <v>21.378640000000001</v>
      </c>
      <c r="AX972" s="1868">
        <v>21.870810000000002</v>
      </c>
      <c r="AY972" s="1868">
        <v>22.694410000000001</v>
      </c>
      <c r="AZ972" s="1868">
        <v>22.724409999999999</v>
      </c>
      <c r="BA972" s="1868">
        <v>21.084720000000001</v>
      </c>
    </row>
    <row r="973" spans="1:53">
      <c r="A973" s="1865" t="str">
        <f t="shared" si="15"/>
        <v>South AmericaCashew nuts, with shell</v>
      </c>
      <c r="B973" s="1866" t="s">
        <v>311</v>
      </c>
      <c r="C973" s="1866" t="s">
        <v>1367</v>
      </c>
      <c r="AF973" s="1868">
        <v>277.56</v>
      </c>
      <c r="AG973" s="1868">
        <v>0.18920000000000001</v>
      </c>
      <c r="AH973" s="1868">
        <v>0.29191</v>
      </c>
      <c r="AI973" s="1868">
        <v>0.15880999999999998</v>
      </c>
      <c r="AJ973" s="1868">
        <v>0.10967</v>
      </c>
      <c r="AK973" s="1868">
        <v>0.22223000000000001</v>
      </c>
      <c r="AL973" s="1868">
        <v>0.26688000000000001</v>
      </c>
      <c r="AM973" s="1868">
        <v>0.30806</v>
      </c>
      <c r="AN973" s="1868">
        <v>0.21726999999999999</v>
      </c>
      <c r="AO973" s="1868">
        <v>9.0579999999999994E-2</v>
      </c>
      <c r="AP973" s="1868">
        <v>0.24243000000000001</v>
      </c>
      <c r="AQ973" s="1868">
        <v>0.21686</v>
      </c>
      <c r="AR973" s="1868">
        <v>0.19804000000000002</v>
      </c>
      <c r="AS973" s="1868">
        <v>0.2505</v>
      </c>
      <c r="AT973" s="1868">
        <v>0.27131</v>
      </c>
      <c r="AU973" s="1868">
        <v>0.27516000000000002</v>
      </c>
      <c r="AV973" s="1868">
        <v>0.22116</v>
      </c>
      <c r="AW973" s="1868">
        <v>0.34626000000000001</v>
      </c>
      <c r="AX973" s="1868">
        <v>0.19545000000000001</v>
      </c>
      <c r="AY973" s="1868">
        <v>0.32841999999999999</v>
      </c>
      <c r="AZ973" s="1868">
        <v>0.29404000000000002</v>
      </c>
      <c r="BA973" s="1868">
        <v>0.13839000000000001</v>
      </c>
    </row>
    <row r="974" spans="1:53">
      <c r="A974" s="1865" t="str">
        <f t="shared" si="15"/>
        <v>South AmericaCassava</v>
      </c>
      <c r="B974" s="1866" t="s">
        <v>311</v>
      </c>
      <c r="C974" s="1866" t="s">
        <v>1368</v>
      </c>
      <c r="D974" s="1868">
        <v>12.48912</v>
      </c>
      <c r="E974" s="1868">
        <v>12.7591</v>
      </c>
      <c r="F974" s="1868">
        <v>13.05128</v>
      </c>
      <c r="G974" s="1868">
        <v>13.425270000000001</v>
      </c>
      <c r="H974" s="1868">
        <v>13.499870000000001</v>
      </c>
      <c r="I974" s="1868">
        <v>13.233779999999999</v>
      </c>
      <c r="J974" s="1868">
        <v>13.565660000000001</v>
      </c>
      <c r="K974" s="1868">
        <v>13.781429999999999</v>
      </c>
      <c r="L974" s="1868">
        <v>14.0237</v>
      </c>
      <c r="M974" s="1868">
        <v>13.945410000000001</v>
      </c>
      <c r="N974" s="1868">
        <v>13.660039999999999</v>
      </c>
      <c r="O974" s="1868">
        <v>13.558639999999999</v>
      </c>
      <c r="P974" s="1868">
        <v>12.07427</v>
      </c>
      <c r="Q974" s="1868">
        <v>11.94698</v>
      </c>
      <c r="R974" s="1868">
        <v>12.271649999999999</v>
      </c>
      <c r="S974" s="1868">
        <v>11.778269999999999</v>
      </c>
      <c r="T974" s="1868">
        <v>11.63711</v>
      </c>
      <c r="U974" s="1868">
        <v>11.67005</v>
      </c>
      <c r="V974" s="1868">
        <v>11.57981</v>
      </c>
      <c r="W974" s="1868">
        <v>11.62332</v>
      </c>
      <c r="X974" s="1868">
        <v>11.556050000000001</v>
      </c>
      <c r="Y974" s="1868">
        <v>11.298450000000001</v>
      </c>
      <c r="Z974" s="1868">
        <v>10.72151</v>
      </c>
      <c r="AA974" s="1868">
        <v>11.734080000000001</v>
      </c>
      <c r="AB974" s="1868">
        <v>12.17675</v>
      </c>
      <c r="AC974" s="1868">
        <v>12.20262</v>
      </c>
      <c r="AD974" s="1868">
        <v>12.079499999999999</v>
      </c>
      <c r="AE974" s="1868">
        <v>12.309889999999999</v>
      </c>
      <c r="AF974" s="1868">
        <v>12.49192</v>
      </c>
      <c r="AG974" s="1868">
        <v>12.27331</v>
      </c>
      <c r="AH974" s="1868">
        <v>12.360060000000001</v>
      </c>
      <c r="AI974" s="1868">
        <v>11.768829999999999</v>
      </c>
      <c r="AJ974" s="1868">
        <v>11.91189</v>
      </c>
      <c r="AK974" s="1868">
        <v>12.76628</v>
      </c>
      <c r="AL974" s="1868">
        <v>12.7</v>
      </c>
      <c r="AM974" s="1868">
        <v>11.60375</v>
      </c>
      <c r="AN974" s="1868">
        <v>12.431560000000001</v>
      </c>
      <c r="AO974" s="1868">
        <v>12.08277</v>
      </c>
      <c r="AP974" s="1868">
        <v>12.920999999999999</v>
      </c>
      <c r="AQ974" s="1868">
        <v>12.947179999999999</v>
      </c>
      <c r="AR974" s="1868">
        <v>13.106730000000001</v>
      </c>
      <c r="AS974" s="1868">
        <v>13.5754</v>
      </c>
      <c r="AT974" s="1868">
        <v>13.32236</v>
      </c>
      <c r="AU974" s="1868">
        <v>12.86861</v>
      </c>
      <c r="AV974" s="1868">
        <v>13.4575</v>
      </c>
      <c r="AW974" s="1868">
        <v>13.70266</v>
      </c>
      <c r="AX974" s="1868">
        <v>13.725539999999999</v>
      </c>
      <c r="AY974" s="1868">
        <v>13.503470000000002</v>
      </c>
      <c r="AZ974" s="1868">
        <v>13.529570000000001</v>
      </c>
      <c r="BA974" s="1868">
        <v>13.202379999999998</v>
      </c>
    </row>
    <row r="975" spans="1:53">
      <c r="A975" s="1865" t="str">
        <f t="shared" si="15"/>
        <v>South AmericaCauliflowers and broccoli</v>
      </c>
      <c r="B975" s="1866" t="s">
        <v>311</v>
      </c>
      <c r="C975" s="1866" t="s">
        <v>1369</v>
      </c>
      <c r="D975" s="1868">
        <v>16.704629999999998</v>
      </c>
      <c r="E975" s="1868">
        <v>17.32133</v>
      </c>
      <c r="F975" s="1868">
        <v>15.782420000000002</v>
      </c>
      <c r="G975" s="1868">
        <v>16.17418</v>
      </c>
      <c r="H975" s="1868">
        <v>17.372440000000001</v>
      </c>
      <c r="I975" s="1868">
        <v>20.043779999999998</v>
      </c>
      <c r="J975" s="1868">
        <v>19.325579999999999</v>
      </c>
      <c r="K975" s="1868">
        <v>18.246679999999998</v>
      </c>
      <c r="L975" s="1868">
        <v>18.124320000000001</v>
      </c>
      <c r="M975" s="1868">
        <v>18.188510000000001</v>
      </c>
      <c r="N975" s="1868">
        <v>18.202870000000001</v>
      </c>
      <c r="O975" s="1868">
        <v>18.424499999999998</v>
      </c>
      <c r="P975" s="1868">
        <v>18.388490000000001</v>
      </c>
      <c r="Q975" s="1868">
        <v>18.99119</v>
      </c>
      <c r="R975" s="1868">
        <v>15.639479999999999</v>
      </c>
      <c r="S975" s="1868">
        <v>14.961410000000001</v>
      </c>
      <c r="T975" s="1868">
        <v>14.504200000000001</v>
      </c>
      <c r="U975" s="1868">
        <v>13.164129999999998</v>
      </c>
      <c r="V975" s="1868">
        <v>12.970599999999999</v>
      </c>
      <c r="W975" s="1868">
        <v>12.13003</v>
      </c>
      <c r="X975" s="1868">
        <v>12.11571</v>
      </c>
      <c r="Y975" s="1868">
        <v>12.014330000000001</v>
      </c>
      <c r="Z975" s="1868">
        <v>11.931389999999999</v>
      </c>
      <c r="AA975" s="1868">
        <v>11.654719999999999</v>
      </c>
      <c r="AB975" s="1868">
        <v>12.39972</v>
      </c>
      <c r="AC975" s="1868">
        <v>12.588410000000001</v>
      </c>
      <c r="AD975" s="1868">
        <v>12.62979</v>
      </c>
      <c r="AE975" s="1868">
        <v>12.8893</v>
      </c>
      <c r="AF975" s="1868">
        <v>12.902670000000001</v>
      </c>
      <c r="AG975" s="1868">
        <v>13.220470000000001</v>
      </c>
      <c r="AH975" s="1868">
        <v>12.270430000000001</v>
      </c>
      <c r="AI975" s="1868">
        <v>12.775319999999999</v>
      </c>
      <c r="AJ975" s="1868">
        <v>13.206989999999999</v>
      </c>
      <c r="AK975" s="1868">
        <v>13.94835</v>
      </c>
      <c r="AL975" s="1868">
        <v>10.521710000000001</v>
      </c>
      <c r="AM975" s="1868">
        <v>10.76235</v>
      </c>
      <c r="AN975" s="1868">
        <v>8.1835300000000011</v>
      </c>
      <c r="AO975" s="1868">
        <v>10.84263</v>
      </c>
      <c r="AP975" s="1868">
        <v>11.78993</v>
      </c>
      <c r="AQ975" s="1868">
        <v>6.3889800000000001</v>
      </c>
      <c r="AR975" s="1868">
        <v>10.26746</v>
      </c>
      <c r="AS975" s="1868">
        <v>6.1937800000000003</v>
      </c>
      <c r="AT975" s="1868">
        <v>6.7349100000000002</v>
      </c>
      <c r="AU975" s="1868">
        <v>1.86985</v>
      </c>
      <c r="AV975" s="1868">
        <v>1.9096200000000001</v>
      </c>
      <c r="AW975" s="1868">
        <v>1.6789000000000001</v>
      </c>
      <c r="AX975" s="1868">
        <v>1.58263</v>
      </c>
      <c r="AY975" s="1868">
        <v>1.5695299999999999</v>
      </c>
      <c r="AZ975" s="1868">
        <v>1.57168</v>
      </c>
      <c r="BA975" s="1868">
        <v>1.5293600000000001</v>
      </c>
    </row>
    <row r="976" spans="1:53">
      <c r="A976" s="1865" t="str">
        <f t="shared" si="15"/>
        <v>South AmericaCereals, nes</v>
      </c>
      <c r="B976" s="1866" t="s">
        <v>311</v>
      </c>
      <c r="C976" s="1866" t="s">
        <v>1370</v>
      </c>
      <c r="D976" s="1868">
        <v>0.82652999999999988</v>
      </c>
      <c r="E976" s="1868">
        <v>0.72448999999999997</v>
      </c>
      <c r="F976" s="1868">
        <v>0.77551000000000003</v>
      </c>
      <c r="G976" s="1868">
        <v>0.79630000000000001</v>
      </c>
      <c r="H976" s="1868">
        <v>0.78905999999999998</v>
      </c>
      <c r="I976" s="1868">
        <v>0.68400000000000005</v>
      </c>
      <c r="J976" s="1868">
        <v>0.91143999999999992</v>
      </c>
      <c r="K976" s="1868">
        <v>0.71631</v>
      </c>
      <c r="L976" s="1868">
        <v>0.9</v>
      </c>
      <c r="M976" s="1868">
        <v>0.99265000000000003</v>
      </c>
      <c r="N976" s="1868">
        <v>1.0145999999999999</v>
      </c>
      <c r="O976" s="1868">
        <v>1.01058</v>
      </c>
      <c r="P976" s="1868">
        <v>1.0084299999999999</v>
      </c>
      <c r="Q976" s="1868">
        <v>1.05891</v>
      </c>
      <c r="R976" s="1868">
        <v>0.92532999999999987</v>
      </c>
      <c r="S976" s="1868">
        <v>1.0730500000000001</v>
      </c>
      <c r="T976" s="1868">
        <v>1.02332</v>
      </c>
      <c r="U976" s="1868">
        <v>1.03685</v>
      </c>
      <c r="V976" s="1868">
        <v>1.0295700000000001</v>
      </c>
      <c r="W976" s="1868">
        <v>0.84862000000000004</v>
      </c>
      <c r="X976" s="1868">
        <v>0.79269000000000001</v>
      </c>
      <c r="Y976" s="1868">
        <v>0.84893999999999992</v>
      </c>
      <c r="Z976" s="1868">
        <v>0.81908999999999998</v>
      </c>
      <c r="AA976" s="1868">
        <v>0.68501000000000001</v>
      </c>
      <c r="AB976" s="1868">
        <v>0.88567999999999991</v>
      </c>
      <c r="AC976" s="1868">
        <v>1</v>
      </c>
      <c r="AD976" s="1868">
        <v>0.85468999999999995</v>
      </c>
      <c r="AE976" s="1868">
        <v>0.75421000000000005</v>
      </c>
      <c r="AF976" s="1868">
        <v>0.58062999999999998</v>
      </c>
      <c r="AG976" s="1868">
        <v>0.61258000000000001</v>
      </c>
      <c r="AH976" s="1868">
        <v>0.60036</v>
      </c>
      <c r="AI976" s="1868">
        <v>0.65646000000000004</v>
      </c>
      <c r="AJ976" s="1868">
        <v>0.64958000000000005</v>
      </c>
      <c r="AK976" s="1868">
        <v>0.64354</v>
      </c>
      <c r="AL976" s="1868">
        <v>0.66373000000000004</v>
      </c>
      <c r="AM976" s="1868">
        <v>0.69999</v>
      </c>
      <c r="AN976" s="1868">
        <v>0.81784000000000001</v>
      </c>
      <c r="AO976" s="1868">
        <v>0.84188999999999992</v>
      </c>
      <c r="AP976" s="1868">
        <v>0.67886000000000002</v>
      </c>
      <c r="AQ976" s="1868">
        <v>0.72604000000000002</v>
      </c>
      <c r="AR976" s="1868">
        <v>0.68562000000000001</v>
      </c>
      <c r="AS976" s="1868">
        <v>0.71199999999999997</v>
      </c>
      <c r="AT976" s="1868">
        <v>0.78506999999999993</v>
      </c>
      <c r="AU976" s="1868">
        <v>0.78281000000000001</v>
      </c>
      <c r="AV976" s="1868">
        <v>0.86481000000000008</v>
      </c>
      <c r="AW976" s="1868">
        <v>0.72724999999999995</v>
      </c>
      <c r="AX976" s="1868">
        <v>0.72968</v>
      </c>
      <c r="AY976" s="1868">
        <v>0.70273999999999992</v>
      </c>
      <c r="AZ976" s="1868">
        <v>0.73508999999999991</v>
      </c>
      <c r="BA976" s="1868">
        <v>0.66984999999999995</v>
      </c>
    </row>
    <row r="977" spans="1:53">
      <c r="A977" s="1865" t="str">
        <f t="shared" si="15"/>
        <v>South AmericaChestnuts</v>
      </c>
      <c r="B977" s="1866" t="s">
        <v>311</v>
      </c>
      <c r="C977" s="1866" t="s">
        <v>1371</v>
      </c>
      <c r="AB977" s="1868">
        <v>1.43222</v>
      </c>
      <c r="AC977" s="1868">
        <v>1.4823299999999999</v>
      </c>
      <c r="AD977" s="1868">
        <v>1.5357799999999999</v>
      </c>
      <c r="AE977" s="1868">
        <v>1.5881100000000001</v>
      </c>
      <c r="AF977" s="1868">
        <v>1.46549</v>
      </c>
      <c r="AG977" s="1868">
        <v>0.94463999999999992</v>
      </c>
      <c r="AH977" s="1868">
        <v>0.71253</v>
      </c>
      <c r="AI977" s="1868">
        <v>1.1243700000000001</v>
      </c>
      <c r="AJ977" s="1868">
        <v>0.94102999999999992</v>
      </c>
      <c r="AK977" s="1868">
        <v>0.97360000000000002</v>
      </c>
      <c r="AL977" s="1868">
        <v>1.3377600000000001</v>
      </c>
      <c r="AM977" s="1868">
        <v>1.35168</v>
      </c>
      <c r="AN977" s="1868">
        <v>1.2967500000000001</v>
      </c>
      <c r="AO977" s="1868">
        <v>0.92236000000000007</v>
      </c>
      <c r="AP977" s="1868">
        <v>1.3862399999999999</v>
      </c>
      <c r="AQ977" s="1868">
        <v>1.4222600000000001</v>
      </c>
      <c r="AR977" s="1868">
        <v>1.34304</v>
      </c>
      <c r="AS977" s="1868">
        <v>1.4065700000000001</v>
      </c>
      <c r="AT977" s="1868">
        <v>1.4028799999999999</v>
      </c>
      <c r="AU977" s="1868">
        <v>1.40194</v>
      </c>
      <c r="AV977" s="1868">
        <v>1.36758</v>
      </c>
      <c r="AW977" s="1868">
        <v>1.3884100000000001</v>
      </c>
      <c r="AX977" s="1868">
        <v>1.0482</v>
      </c>
      <c r="AY977" s="1868">
        <v>1.4065000000000001</v>
      </c>
      <c r="AZ977" s="1868">
        <v>1.26728</v>
      </c>
      <c r="BA977" s="1868">
        <v>1.26346</v>
      </c>
    </row>
    <row r="978" spans="1:53">
      <c r="A978" s="1865" t="str">
        <f t="shared" si="15"/>
        <v>South AmericaCitrus fruit, nes</v>
      </c>
      <c r="B978" s="1866" t="s">
        <v>311</v>
      </c>
      <c r="C978" s="1866" t="s">
        <v>1372</v>
      </c>
      <c r="D978" s="1868">
        <v>20.235710000000001</v>
      </c>
      <c r="E978" s="1868">
        <v>28.241770000000002</v>
      </c>
      <c r="F978" s="1868">
        <v>22.63064</v>
      </c>
      <c r="G978" s="1868">
        <v>19.679200000000002</v>
      </c>
      <c r="H978" s="1868">
        <v>14.614610000000001</v>
      </c>
      <c r="I978" s="1868">
        <v>15.617510000000001</v>
      </c>
      <c r="J978" s="1868">
        <v>15.24606</v>
      </c>
      <c r="K978" s="1868">
        <v>12.18112</v>
      </c>
      <c r="L978" s="1868">
        <v>7.2835199999999993</v>
      </c>
      <c r="M978" s="1868">
        <v>6.9978899999999991</v>
      </c>
      <c r="N978" s="1868">
        <v>9.0931899999999999</v>
      </c>
      <c r="O978" s="1868">
        <v>5.8960400000000002</v>
      </c>
      <c r="P978" s="1868">
        <v>6.1130199999999997</v>
      </c>
      <c r="Q978" s="1868">
        <v>5.04779</v>
      </c>
      <c r="R978" s="1868">
        <v>5.07979</v>
      </c>
      <c r="S978" s="1868">
        <v>6.8050800000000002</v>
      </c>
      <c r="T978" s="1868">
        <v>5.4948699999999997</v>
      </c>
      <c r="U978" s="1868">
        <v>6.5087900000000003</v>
      </c>
      <c r="V978" s="1868">
        <v>6.4568099999999999</v>
      </c>
      <c r="W978" s="1868">
        <v>5.7548500000000002</v>
      </c>
      <c r="X978" s="1868">
        <v>5.9684599999999994</v>
      </c>
      <c r="Y978" s="1868">
        <v>6.1573400000000005</v>
      </c>
      <c r="Z978" s="1868">
        <v>5.9251100000000001</v>
      </c>
      <c r="AA978" s="1868">
        <v>5.2421800000000003</v>
      </c>
      <c r="AB978" s="1868">
        <v>6.1074900000000003</v>
      </c>
      <c r="AC978" s="1868">
        <v>6.0178900000000004</v>
      </c>
      <c r="AD978" s="1868">
        <v>6.2420400000000003</v>
      </c>
      <c r="AE978" s="1868">
        <v>7.1521399999999993</v>
      </c>
      <c r="AF978" s="1868">
        <v>8.7007300000000001</v>
      </c>
      <c r="AG978" s="1868">
        <v>8.8924199999999995</v>
      </c>
      <c r="AH978" s="1868">
        <v>5.0951000000000004</v>
      </c>
      <c r="AI978" s="1868">
        <v>4.9184800000000006</v>
      </c>
      <c r="AJ978" s="1868">
        <v>5.5772399999999998</v>
      </c>
      <c r="AK978" s="1868">
        <v>6.3401199999999998</v>
      </c>
      <c r="AL978" s="1868">
        <v>6.8570600000000006</v>
      </c>
      <c r="AM978" s="1868">
        <v>6.5203600000000002</v>
      </c>
      <c r="AN978" s="1868">
        <v>6.5954800000000002</v>
      </c>
      <c r="AO978" s="1868">
        <v>8.4671699999999994</v>
      </c>
      <c r="AP978" s="1868">
        <v>15.69421</v>
      </c>
      <c r="AQ978" s="1868">
        <v>14.793279999999999</v>
      </c>
      <c r="AR978" s="1868">
        <v>15.916370000000001</v>
      </c>
      <c r="AS978" s="1868">
        <v>15.71439</v>
      </c>
      <c r="AT978" s="1868">
        <v>15.7737</v>
      </c>
      <c r="AU978" s="1868">
        <v>15.87832</v>
      </c>
      <c r="AV978" s="1868">
        <v>15.603260000000001</v>
      </c>
      <c r="AW978" s="1868">
        <v>15.676399999999999</v>
      </c>
      <c r="AX978" s="1868">
        <v>15.513810000000001</v>
      </c>
      <c r="AY978" s="1868">
        <v>15.427020000000001</v>
      </c>
      <c r="AZ978" s="1868">
        <v>15.585939999999999</v>
      </c>
      <c r="BA978" s="1868">
        <v>15.46955</v>
      </c>
    </row>
    <row r="979" spans="1:53">
      <c r="A979" s="1865" t="str">
        <f t="shared" si="15"/>
        <v>South AmericaCoffee, green</v>
      </c>
      <c r="B979" s="1866" t="s">
        <v>311</v>
      </c>
      <c r="C979" s="1866" t="s">
        <v>1373</v>
      </c>
      <c r="D979" s="1868">
        <v>0.48957000000000001</v>
      </c>
      <c r="E979" s="1868">
        <v>0.48180000000000001</v>
      </c>
      <c r="F979" s="1868">
        <v>0.39671999999999996</v>
      </c>
      <c r="G979" s="1868">
        <v>0.33034999999999998</v>
      </c>
      <c r="H979" s="1868">
        <v>0.60082000000000002</v>
      </c>
      <c r="I979" s="1868">
        <v>0.41671999999999998</v>
      </c>
      <c r="J979" s="1868">
        <v>0.50912999999999997</v>
      </c>
      <c r="K979" s="1868">
        <v>0.42576999999999998</v>
      </c>
      <c r="L979" s="1868">
        <v>0.48438000000000003</v>
      </c>
      <c r="M979" s="1868">
        <v>0.38129000000000002</v>
      </c>
      <c r="N979" s="1868">
        <v>0.57901000000000002</v>
      </c>
      <c r="O979" s="1868">
        <v>0.57189999999999996</v>
      </c>
      <c r="P979" s="1868">
        <v>0.45974999999999999</v>
      </c>
      <c r="Q979" s="1868">
        <v>0.63483000000000001</v>
      </c>
      <c r="R979" s="1868">
        <v>0.54448999999999992</v>
      </c>
      <c r="S979" s="1868">
        <v>0.40701999999999999</v>
      </c>
      <c r="T979" s="1868">
        <v>0.51190000000000002</v>
      </c>
      <c r="U979" s="1868">
        <v>0.54964999999999997</v>
      </c>
      <c r="V979" s="1868">
        <v>0.55713000000000001</v>
      </c>
      <c r="W979" s="1868">
        <v>0.47718999999999995</v>
      </c>
      <c r="X979" s="1868">
        <v>0.6885</v>
      </c>
      <c r="Y979" s="1868">
        <v>0.52995000000000003</v>
      </c>
      <c r="Z979" s="1868">
        <v>0.65998999999999997</v>
      </c>
      <c r="AA979" s="1868">
        <v>0.58972999999999998</v>
      </c>
      <c r="AB979" s="1868">
        <v>0.65832000000000002</v>
      </c>
      <c r="AC979" s="1868">
        <v>0.47215000000000001</v>
      </c>
      <c r="AD979" s="1868">
        <v>0.67127000000000003</v>
      </c>
      <c r="AE979" s="1868">
        <v>0.50453999999999999</v>
      </c>
      <c r="AF979" s="1868">
        <v>0.51607000000000003</v>
      </c>
      <c r="AG979" s="1868">
        <v>0.55027999999999999</v>
      </c>
      <c r="AH979" s="1868">
        <v>0.61026000000000002</v>
      </c>
      <c r="AI979" s="1868">
        <v>0.62281999999999993</v>
      </c>
      <c r="AJ979" s="1868">
        <v>0.58696000000000004</v>
      </c>
      <c r="AK979" s="1868">
        <v>0.60638999999999998</v>
      </c>
      <c r="AL979" s="1868">
        <v>0.59972999999999999</v>
      </c>
      <c r="AM979" s="1868">
        <v>0.68808999999999998</v>
      </c>
      <c r="AN979" s="1868">
        <v>0.60651999999999995</v>
      </c>
      <c r="AO979" s="1868">
        <v>0.74307000000000001</v>
      </c>
      <c r="AP979" s="1868">
        <v>0.67383000000000004</v>
      </c>
      <c r="AQ979" s="1868">
        <v>0.79444999999999999</v>
      </c>
      <c r="AR979" s="1868">
        <v>0.76285000000000003</v>
      </c>
      <c r="AS979" s="1868">
        <v>0.97119999999999995</v>
      </c>
      <c r="AT979" s="1868">
        <v>0.79322999999999999</v>
      </c>
      <c r="AU979" s="1868">
        <v>0.90916000000000008</v>
      </c>
      <c r="AV979" s="1868">
        <v>0.81573999999999991</v>
      </c>
      <c r="AW979" s="1868">
        <v>0.97060000000000002</v>
      </c>
      <c r="AX979" s="1868">
        <v>0.89252000000000009</v>
      </c>
      <c r="AY979" s="1868">
        <v>1.0602799999999999</v>
      </c>
      <c r="AZ979" s="1868">
        <v>1.0489899999999999</v>
      </c>
      <c r="BA979" s="1868">
        <v>1.04725</v>
      </c>
    </row>
    <row r="980" spans="1:53">
      <c r="A980" s="1865" t="str">
        <f t="shared" si="15"/>
        <v>South AmericaCow peas, dry</v>
      </c>
      <c r="B980" s="1866" t="s">
        <v>311</v>
      </c>
      <c r="C980" s="1866" t="s">
        <v>1355</v>
      </c>
      <c r="AQ980" s="1868">
        <v>1.2508999999999999</v>
      </c>
      <c r="AR980" s="1868">
        <v>1.1406399999999999</v>
      </c>
      <c r="AS980" s="1868">
        <v>1.17814</v>
      </c>
      <c r="AT980" s="1868">
        <v>1.1936100000000001</v>
      </c>
      <c r="AU980" s="1868">
        <v>1.1387100000000001</v>
      </c>
      <c r="AV980" s="1868">
        <v>1.1373500000000001</v>
      </c>
      <c r="AW980" s="1868">
        <v>1.3869400000000001</v>
      </c>
      <c r="AX980" s="1868">
        <v>1.33524</v>
      </c>
      <c r="AY980" s="1868">
        <v>1.30829</v>
      </c>
      <c r="AZ980" s="1868">
        <v>1.3447</v>
      </c>
      <c r="BA980" s="1868">
        <v>1.51393</v>
      </c>
    </row>
    <row r="981" spans="1:53">
      <c r="A981" s="1865" t="str">
        <f t="shared" si="15"/>
        <v>South AmericaDates</v>
      </c>
      <c r="B981" s="1866" t="s">
        <v>311</v>
      </c>
      <c r="C981" s="1866" t="s">
        <v>1374</v>
      </c>
      <c r="D981" s="1868">
        <v>5.4545500000000002</v>
      </c>
      <c r="E981" s="1868">
        <v>5.4545500000000002</v>
      </c>
      <c r="F981" s="1868">
        <v>5.38462</v>
      </c>
      <c r="G981" s="1868">
        <v>5.38462</v>
      </c>
      <c r="H981" s="1868">
        <v>5.3333300000000001</v>
      </c>
      <c r="I981" s="1868">
        <v>5.3866699999999996</v>
      </c>
      <c r="J981" s="1868">
        <v>5.3533300000000006</v>
      </c>
      <c r="K981" s="1868">
        <v>3.8210500000000001</v>
      </c>
      <c r="L981" s="1868">
        <v>4.4800000000000004</v>
      </c>
      <c r="M981" s="1868">
        <v>4.4000000000000004</v>
      </c>
      <c r="N981" s="1868">
        <v>4.4020599999999996</v>
      </c>
      <c r="O981" s="1868">
        <v>3</v>
      </c>
      <c r="P981" s="1868">
        <v>2.9</v>
      </c>
      <c r="Q981" s="1868">
        <v>2.7</v>
      </c>
      <c r="R981" s="1868">
        <v>3</v>
      </c>
      <c r="S981" s="1868">
        <v>3</v>
      </c>
      <c r="T981" s="1868">
        <v>3.5</v>
      </c>
      <c r="U981" s="1868">
        <v>3.5</v>
      </c>
      <c r="V981" s="1868">
        <v>3.5</v>
      </c>
      <c r="W981" s="1868">
        <v>3.5</v>
      </c>
      <c r="X981" s="1868">
        <v>3.5</v>
      </c>
      <c r="Y981" s="1868">
        <v>3.5035500000000002</v>
      </c>
      <c r="Z981" s="1868">
        <v>1.36879</v>
      </c>
      <c r="AA981" s="1868">
        <v>3.5035500000000002</v>
      </c>
      <c r="AB981" s="1868">
        <v>2.5</v>
      </c>
      <c r="AC981" s="1868">
        <v>2.87778</v>
      </c>
      <c r="AD981" s="1868">
        <v>1.0851899999999999</v>
      </c>
      <c r="AE981" s="1868">
        <v>1.6296299999999999</v>
      </c>
      <c r="AF981" s="1868">
        <v>1.2</v>
      </c>
      <c r="AG981" s="1868">
        <v>1.7555599999999998</v>
      </c>
      <c r="AH981" s="1868">
        <v>1.18519</v>
      </c>
      <c r="AI981" s="1868">
        <v>1.6</v>
      </c>
      <c r="AJ981" s="1868">
        <v>1.16296</v>
      </c>
      <c r="AK981" s="1868">
        <v>1.43333</v>
      </c>
      <c r="AL981" s="1868">
        <v>1.67143</v>
      </c>
      <c r="AM981" s="1868">
        <v>1.8125</v>
      </c>
      <c r="AN981" s="1868">
        <v>2.0243900000000004</v>
      </c>
      <c r="AO981" s="1868">
        <v>1.7534299999999998</v>
      </c>
      <c r="AP981" s="1868">
        <v>4.4347799999999999</v>
      </c>
      <c r="AQ981" s="1868">
        <v>2.7875000000000001</v>
      </c>
      <c r="AR981" s="1868">
        <v>2.8539300000000001</v>
      </c>
      <c r="AS981" s="1868">
        <v>2.88889</v>
      </c>
      <c r="AT981" s="1868">
        <v>2.9565200000000003</v>
      </c>
      <c r="AU981" s="1868">
        <v>3.0543499999999999</v>
      </c>
      <c r="AV981" s="1868">
        <v>3.3043499999999999</v>
      </c>
      <c r="AW981" s="1868">
        <v>3.1773099999999999</v>
      </c>
      <c r="AX981" s="1868">
        <v>2.3894700000000002</v>
      </c>
      <c r="AY981" s="1868">
        <v>5.4390199999999993</v>
      </c>
      <c r="AZ981" s="1868">
        <v>4.6710500000000001</v>
      </c>
      <c r="BA981" s="1868">
        <v>3.3459699999999999</v>
      </c>
    </row>
    <row r="982" spans="1:53">
      <c r="A982" s="1865" t="str">
        <f t="shared" si="15"/>
        <v>South AmericaEggplants (aubergines)</v>
      </c>
      <c r="B982" s="1866" t="s">
        <v>311</v>
      </c>
      <c r="C982" s="1866" t="s">
        <v>1375</v>
      </c>
      <c r="D982" s="1868">
        <v>12.903230000000001</v>
      </c>
      <c r="E982" s="1868">
        <v>13.25</v>
      </c>
      <c r="F982" s="1868">
        <v>12.65432</v>
      </c>
      <c r="G982" s="1868">
        <v>12.472530000000001</v>
      </c>
      <c r="H982" s="1868">
        <v>12.254899999999999</v>
      </c>
      <c r="I982" s="1868">
        <v>12.15625</v>
      </c>
      <c r="J982" s="1868">
        <v>12.831860000000001</v>
      </c>
      <c r="K982" s="1868">
        <v>13.2265</v>
      </c>
      <c r="L982" s="1868">
        <v>13.346299999999999</v>
      </c>
      <c r="M982" s="1868">
        <v>13.563220000000001</v>
      </c>
      <c r="N982" s="1868">
        <v>13.0466</v>
      </c>
      <c r="O982" s="1868">
        <v>13.59441</v>
      </c>
      <c r="P982" s="1868">
        <v>13.873749999999999</v>
      </c>
      <c r="Q982" s="1868">
        <v>13.603079999999999</v>
      </c>
      <c r="R982" s="1868">
        <v>14.11839</v>
      </c>
      <c r="S982" s="1868">
        <v>13.897729999999999</v>
      </c>
      <c r="T982" s="1868">
        <v>14.300220000000001</v>
      </c>
      <c r="U982" s="1868">
        <v>13.919170000000001</v>
      </c>
      <c r="V982" s="1868">
        <v>14.08835</v>
      </c>
      <c r="W982" s="1868">
        <v>14.15741</v>
      </c>
      <c r="X982" s="1868">
        <v>13.859400000000001</v>
      </c>
      <c r="Y982" s="1868">
        <v>13.603070000000001</v>
      </c>
      <c r="Z982" s="1868">
        <v>13.405270000000002</v>
      </c>
      <c r="AA982" s="1868">
        <v>12.49704</v>
      </c>
      <c r="AB982" s="1868">
        <v>12.624169999999999</v>
      </c>
      <c r="AC982" s="1868">
        <v>12.081630000000001</v>
      </c>
      <c r="AD982" s="1868">
        <v>12.095319999999999</v>
      </c>
      <c r="AE982" s="1868">
        <v>11.89085</v>
      </c>
      <c r="AF982" s="1868">
        <v>11.79214</v>
      </c>
      <c r="AG982" s="1868">
        <v>11.553319999999999</v>
      </c>
      <c r="AH982" s="1868">
        <v>12.74879</v>
      </c>
      <c r="AI982" s="1868">
        <v>12.65142</v>
      </c>
      <c r="AJ982" s="1868">
        <v>12.772910000000001</v>
      </c>
      <c r="AK982" s="1868">
        <v>14.77638</v>
      </c>
      <c r="AL982" s="1868">
        <v>15.924729999999998</v>
      </c>
      <c r="AM982" s="1868">
        <v>12.926769999999999</v>
      </c>
      <c r="AN982" s="1868">
        <v>9.7888500000000001</v>
      </c>
      <c r="AO982" s="1868">
        <v>9.7503100000000007</v>
      </c>
      <c r="AP982" s="1868">
        <v>10.41455</v>
      </c>
      <c r="AQ982" s="1868">
        <v>9.3106399999999994</v>
      </c>
      <c r="AR982" s="1868">
        <v>10.28213</v>
      </c>
      <c r="AS982" s="1868">
        <v>10.00112</v>
      </c>
      <c r="AT982" s="1868">
        <v>11.17197</v>
      </c>
      <c r="AU982" s="1868">
        <v>10.034889999999999</v>
      </c>
      <c r="AV982" s="1868">
        <v>8.1078499999999991</v>
      </c>
      <c r="AW982" s="1868">
        <v>9.7251799999999999</v>
      </c>
      <c r="AX982" s="1868">
        <v>12.35436</v>
      </c>
      <c r="AY982" s="1868">
        <v>11.796339999999999</v>
      </c>
      <c r="AZ982" s="1868">
        <v>11.0921</v>
      </c>
      <c r="BA982" s="1868">
        <v>14.30424</v>
      </c>
    </row>
    <row r="983" spans="1:53">
      <c r="A983" s="1865" t="str">
        <f t="shared" si="15"/>
        <v>South AmericaFibre Crops Nes</v>
      </c>
      <c r="B983" s="1866" t="s">
        <v>311</v>
      </c>
      <c r="C983" s="1866" t="s">
        <v>1376</v>
      </c>
      <c r="D983" s="1868">
        <v>8.5030000000000001</v>
      </c>
      <c r="E983" s="1868">
        <v>7.3626600000000009</v>
      </c>
      <c r="F983" s="1868">
        <v>7.4553699999999994</v>
      </c>
      <c r="G983" s="1868">
        <v>22.045829999999999</v>
      </c>
      <c r="H983" s="1868">
        <v>17.943850000000001</v>
      </c>
      <c r="I983" s="1868">
        <v>22.970270000000003</v>
      </c>
      <c r="J983" s="1868">
        <v>21.76577</v>
      </c>
      <c r="K983" s="1868">
        <v>12.461</v>
      </c>
      <c r="L983" s="1868">
        <v>9.2030100000000008</v>
      </c>
      <c r="M983" s="1868">
        <v>8.8941199999999991</v>
      </c>
      <c r="N983" s="1868">
        <v>10.286289999999999</v>
      </c>
      <c r="O983" s="1868">
        <v>14.018000000000001</v>
      </c>
      <c r="P983" s="1868">
        <v>17.850860000000001</v>
      </c>
      <c r="Q983" s="1868">
        <v>18.664570000000001</v>
      </c>
      <c r="R983" s="1868">
        <v>19.51727</v>
      </c>
      <c r="S983" s="1868">
        <v>21.234059999999999</v>
      </c>
      <c r="T983" s="1868">
        <v>22.75367</v>
      </c>
      <c r="U983" s="1868">
        <v>25.514800000000001</v>
      </c>
      <c r="V983" s="1868">
        <v>21.195329999999998</v>
      </c>
      <c r="W983" s="1868">
        <v>21.30733</v>
      </c>
      <c r="X983" s="1868">
        <v>52.294170000000001</v>
      </c>
      <c r="Y983" s="1868">
        <v>59.783640000000005</v>
      </c>
      <c r="Z983" s="1868">
        <v>57.896669999999993</v>
      </c>
      <c r="AA983" s="1868">
        <v>59.725830000000002</v>
      </c>
      <c r="AB983" s="1868">
        <v>60.555</v>
      </c>
      <c r="AC983" s="1868">
        <v>59.707500000000003</v>
      </c>
      <c r="AD983" s="1868">
        <v>61.63</v>
      </c>
      <c r="AE983" s="1868">
        <v>69.14667</v>
      </c>
      <c r="AF983" s="1868">
        <v>62.091669999999993</v>
      </c>
      <c r="AG983" s="1868">
        <v>57.29795</v>
      </c>
      <c r="AH983" s="1868">
        <v>59.843850000000003</v>
      </c>
      <c r="AI983" s="1868">
        <v>60.395710000000001</v>
      </c>
      <c r="AJ983" s="1868">
        <v>52.4</v>
      </c>
      <c r="AK983" s="1868">
        <v>63.522150000000003</v>
      </c>
      <c r="AL983" s="1868">
        <v>56.794380000000004</v>
      </c>
      <c r="AM983" s="1868">
        <v>66.694409999999991</v>
      </c>
      <c r="AN983" s="1868">
        <v>72.975449999999995</v>
      </c>
      <c r="AO983" s="1868">
        <v>75.162599999999998</v>
      </c>
      <c r="AP983" s="1868">
        <v>76.447389999999999</v>
      </c>
      <c r="AQ983" s="1868">
        <v>71.275710000000004</v>
      </c>
      <c r="AR983" s="1868">
        <v>72.814490000000006</v>
      </c>
      <c r="AS983" s="1868">
        <v>68.746899999999997</v>
      </c>
      <c r="AT983" s="1868">
        <v>70.565130000000011</v>
      </c>
      <c r="AU983" s="1868">
        <v>69.301850000000002</v>
      </c>
      <c r="AV983" s="1868">
        <v>66.038340000000005</v>
      </c>
      <c r="AW983" s="1868">
        <v>56.211469999999998</v>
      </c>
      <c r="AX983" s="1868">
        <v>73.677750000000003</v>
      </c>
      <c r="AY983" s="1868">
        <v>77.259129999999999</v>
      </c>
      <c r="AZ983" s="1868">
        <v>68.052390000000003</v>
      </c>
      <c r="BA983" s="1868">
        <v>63.583330000000004</v>
      </c>
    </row>
    <row r="984" spans="1:53">
      <c r="A984" s="1865" t="str">
        <f t="shared" si="15"/>
        <v>South AmericaGrapefruit (inc. pomelos)</v>
      </c>
      <c r="B984" s="1866" t="s">
        <v>311</v>
      </c>
      <c r="C984" s="1866" t="s">
        <v>1377</v>
      </c>
      <c r="D984" s="1868">
        <v>104.83884</v>
      </c>
      <c r="E984" s="1868">
        <v>109.28998999999999</v>
      </c>
      <c r="F984" s="1868">
        <v>110.02576999999999</v>
      </c>
      <c r="G984" s="1868">
        <v>123.43297</v>
      </c>
      <c r="H984" s="1868">
        <v>106.41847</v>
      </c>
      <c r="I984" s="1868">
        <v>107.91606000000002</v>
      </c>
      <c r="J984" s="1868">
        <v>94.175759999999997</v>
      </c>
      <c r="K984" s="1868">
        <v>92.259590000000003</v>
      </c>
      <c r="L984" s="1868">
        <v>107.88888999999999</v>
      </c>
      <c r="M984" s="1868">
        <v>114.01241</v>
      </c>
      <c r="N984" s="1868">
        <v>110.27131000000001</v>
      </c>
      <c r="O984" s="1868">
        <v>105.37583000000001</v>
      </c>
      <c r="P984" s="1868">
        <v>118.85732</v>
      </c>
      <c r="Q984" s="1868">
        <v>122.42305</v>
      </c>
      <c r="R984" s="1868">
        <v>112.92353999999999</v>
      </c>
      <c r="S984" s="1868">
        <v>103.98163000000001</v>
      </c>
      <c r="T984" s="1868">
        <v>80.52919</v>
      </c>
      <c r="U984" s="1868">
        <v>82.182780000000008</v>
      </c>
      <c r="V984" s="1868">
        <v>86.019940000000005</v>
      </c>
      <c r="W984" s="1868">
        <v>19.425279999999997</v>
      </c>
      <c r="X984" s="1868">
        <v>19.17717</v>
      </c>
      <c r="Y984" s="1868">
        <v>20.021260000000002</v>
      </c>
      <c r="Z984" s="1868">
        <v>19.288640000000001</v>
      </c>
      <c r="AA984" s="1868">
        <v>21.135860000000001</v>
      </c>
      <c r="AB984" s="1868">
        <v>15.93108</v>
      </c>
      <c r="AC984" s="1868">
        <v>16.202829999999999</v>
      </c>
      <c r="AD984" s="1868">
        <v>16.123950000000001</v>
      </c>
      <c r="AE984" s="1868">
        <v>17.38006</v>
      </c>
      <c r="AF984" s="1868">
        <v>17.094720000000002</v>
      </c>
      <c r="AG984" s="1868">
        <v>17.794119999999999</v>
      </c>
      <c r="AH984" s="1868">
        <v>17.7057</v>
      </c>
      <c r="AI984" s="1868">
        <v>18.32977</v>
      </c>
      <c r="AJ984" s="1868">
        <v>18.315860000000001</v>
      </c>
      <c r="AK984" s="1868">
        <v>18.523289999999999</v>
      </c>
      <c r="AL984" s="1868">
        <v>18.812720000000002</v>
      </c>
      <c r="AM984" s="1868">
        <v>17.965920000000001</v>
      </c>
      <c r="AN984" s="1868">
        <v>20.838550000000001</v>
      </c>
      <c r="AO984" s="1868">
        <v>21.32075</v>
      </c>
      <c r="AP984" s="1868">
        <v>19.481720000000003</v>
      </c>
      <c r="AQ984" s="1868">
        <v>18.165579999999999</v>
      </c>
      <c r="AR984" s="1868">
        <v>17.116589999999999</v>
      </c>
      <c r="AS984" s="1868">
        <v>17.396239999999999</v>
      </c>
      <c r="AT984" s="1868">
        <v>16.085620000000002</v>
      </c>
      <c r="AU984" s="1868">
        <v>15.820110000000001</v>
      </c>
      <c r="AV984" s="1868">
        <v>20.097709999999999</v>
      </c>
      <c r="AW984" s="1868">
        <v>19.4221</v>
      </c>
      <c r="AX984" s="1868">
        <v>19.111090000000001</v>
      </c>
      <c r="AY984" s="1868">
        <v>20.63768</v>
      </c>
      <c r="AZ984" s="1868">
        <v>21.664379999999998</v>
      </c>
      <c r="BA984" s="1868">
        <v>20.502489999999998</v>
      </c>
    </row>
    <row r="985" spans="1:53">
      <c r="A985" s="1865" t="str">
        <f t="shared" si="15"/>
        <v>South AmericaGrapes</v>
      </c>
      <c r="B985" s="1866" t="s">
        <v>311</v>
      </c>
      <c r="C985" s="1866" t="s">
        <v>1378</v>
      </c>
      <c r="D985" s="1868">
        <v>8.4362200000000005</v>
      </c>
      <c r="E985" s="1868">
        <v>9.01145</v>
      </c>
      <c r="F985" s="1868">
        <v>9.2213899999999995</v>
      </c>
      <c r="G985" s="1868">
        <v>8.6386099999999999</v>
      </c>
      <c r="H985" s="1868">
        <v>7.9513399999999992</v>
      </c>
      <c r="I985" s="1868">
        <v>9.0076600000000013</v>
      </c>
      <c r="J985" s="1868">
        <v>10.88124</v>
      </c>
      <c r="K985" s="1868">
        <v>8.413689999999999</v>
      </c>
      <c r="L985" s="1868">
        <v>7.7072500000000002</v>
      </c>
      <c r="M985" s="1868">
        <v>8.3222500000000004</v>
      </c>
      <c r="N985" s="1868">
        <v>8.8367000000000004</v>
      </c>
      <c r="O985" s="1868">
        <v>8.5502500000000001</v>
      </c>
      <c r="P985" s="1868">
        <v>8.536010000000001</v>
      </c>
      <c r="Q985" s="1868">
        <v>10.123749999999999</v>
      </c>
      <c r="R985" s="1868">
        <v>8.8250299999999999</v>
      </c>
      <c r="S985" s="1868">
        <v>10.03083</v>
      </c>
      <c r="T985" s="1868">
        <v>9.722760000000001</v>
      </c>
      <c r="U985" s="1868">
        <v>8.7247599999999998</v>
      </c>
      <c r="V985" s="1868">
        <v>10.360110000000001</v>
      </c>
      <c r="W985" s="1868">
        <v>9.1953999999999994</v>
      </c>
      <c r="X985" s="1868">
        <v>9.1854499999999994</v>
      </c>
      <c r="Y985" s="1868">
        <v>10.518079999999999</v>
      </c>
      <c r="Z985" s="1868">
        <v>9.9289699999999996</v>
      </c>
      <c r="AA985" s="1868">
        <v>8.5528399999999998</v>
      </c>
      <c r="AB985" s="1868">
        <v>8.5009199999999989</v>
      </c>
      <c r="AC985" s="1868">
        <v>8.9668299999999999</v>
      </c>
      <c r="AD985" s="1868">
        <v>11.494870000000001</v>
      </c>
      <c r="AE985" s="1868">
        <v>10.961449999999999</v>
      </c>
      <c r="AF985" s="1868">
        <v>10.530060000000001</v>
      </c>
      <c r="AG985" s="1868">
        <v>10.85848</v>
      </c>
      <c r="AH985" s="1868">
        <v>10.08137</v>
      </c>
      <c r="AI985" s="1868">
        <v>10.305680000000001</v>
      </c>
      <c r="AJ985" s="1868">
        <v>10.653180000000001</v>
      </c>
      <c r="AK985" s="1868">
        <v>12.31194</v>
      </c>
      <c r="AL985" s="1868">
        <v>13.43454</v>
      </c>
      <c r="AM985" s="1868">
        <v>11.44143</v>
      </c>
      <c r="AN985" s="1868">
        <v>12.9594</v>
      </c>
      <c r="AO985" s="1868">
        <v>11.135019999999999</v>
      </c>
      <c r="AP985" s="1868">
        <v>12.416219999999999</v>
      </c>
      <c r="AQ985" s="1868">
        <v>13.16319</v>
      </c>
      <c r="AR985" s="1868">
        <v>12.23082</v>
      </c>
      <c r="AS985" s="1868">
        <v>11.657999999999999</v>
      </c>
      <c r="AT985" s="1868">
        <v>12.07901</v>
      </c>
      <c r="AU985" s="1868">
        <v>12.93825</v>
      </c>
      <c r="AV985" s="1868">
        <v>13.5947</v>
      </c>
      <c r="AW985" s="1868">
        <v>13.674239999999999</v>
      </c>
      <c r="AX985" s="1868">
        <v>14.203760000000001</v>
      </c>
      <c r="AY985" s="1868">
        <v>13.32911</v>
      </c>
      <c r="AZ985" s="1868">
        <v>12.218439999999999</v>
      </c>
      <c r="BA985" s="1868">
        <v>13.663349999999999</v>
      </c>
    </row>
    <row r="986" spans="1:53">
      <c r="A986" s="1865" t="str">
        <f t="shared" si="15"/>
        <v>South AmericaGroundnuts, with shell</v>
      </c>
      <c r="B986" s="1866" t="s">
        <v>311</v>
      </c>
      <c r="C986" s="1866" t="s">
        <v>1379</v>
      </c>
      <c r="D986" s="1868">
        <v>1.3704100000000001</v>
      </c>
      <c r="E986" s="1868">
        <v>1.40794</v>
      </c>
      <c r="F986" s="1868">
        <v>1.3060700000000001</v>
      </c>
      <c r="G986" s="1868">
        <v>1.0924700000000001</v>
      </c>
      <c r="H986" s="1868">
        <v>1.26128</v>
      </c>
      <c r="I986" s="1868">
        <v>1.3158799999999999</v>
      </c>
      <c r="J986" s="1868">
        <v>1.0721000000000001</v>
      </c>
      <c r="K986" s="1868">
        <v>1.14245</v>
      </c>
      <c r="L986" s="1868">
        <v>1.12083</v>
      </c>
      <c r="M986" s="1868">
        <v>1.29888</v>
      </c>
      <c r="N986" s="1868">
        <v>1.2624500000000001</v>
      </c>
      <c r="O986" s="1868">
        <v>1.1354</v>
      </c>
      <c r="P986" s="1868">
        <v>1.1508499999999999</v>
      </c>
      <c r="Q986" s="1868">
        <v>1.0266600000000001</v>
      </c>
      <c r="R986" s="1868">
        <v>1.15299</v>
      </c>
      <c r="S986" s="1868">
        <v>1.2218599999999999</v>
      </c>
      <c r="T986" s="1868">
        <v>1.5025999999999999</v>
      </c>
      <c r="U986" s="1868">
        <v>1.02701</v>
      </c>
      <c r="V986" s="1868">
        <v>1.62164</v>
      </c>
      <c r="W986" s="1868">
        <v>1.2816100000000001</v>
      </c>
      <c r="X986" s="1868">
        <v>1.32386</v>
      </c>
      <c r="Y986" s="1868">
        <v>1.4117999999999999</v>
      </c>
      <c r="Z986" s="1868">
        <v>1.4661899999999999</v>
      </c>
      <c r="AA986" s="1868">
        <v>1.8097799999999999</v>
      </c>
      <c r="AB986" s="1868">
        <v>1.8564799999999999</v>
      </c>
      <c r="AC986" s="1868">
        <v>1.6499099999999998</v>
      </c>
      <c r="AD986" s="1868">
        <v>1.7059599999999999</v>
      </c>
      <c r="AE986" s="1868">
        <v>1.73691</v>
      </c>
      <c r="AF986" s="1868">
        <v>1.6115200000000001</v>
      </c>
      <c r="AG986" s="1868">
        <v>1.3982000000000001</v>
      </c>
      <c r="AH986" s="1868">
        <v>1.56803</v>
      </c>
      <c r="AI986" s="1868">
        <v>1.4437799999999998</v>
      </c>
      <c r="AJ986" s="1868">
        <v>1.7191700000000001</v>
      </c>
      <c r="AK986" s="1868">
        <v>1.49729</v>
      </c>
      <c r="AL986" s="1868">
        <v>1.50553</v>
      </c>
      <c r="AM986" s="1868">
        <v>1.78121</v>
      </c>
      <c r="AN986" s="1868">
        <v>1.1099299999999999</v>
      </c>
      <c r="AO986" s="1868">
        <v>1.6099600000000001</v>
      </c>
      <c r="AP986" s="1868">
        <v>1.1645000000000001</v>
      </c>
      <c r="AQ986" s="1868">
        <v>1.71075</v>
      </c>
      <c r="AR986" s="1868">
        <v>1.57548</v>
      </c>
      <c r="AS986" s="1868">
        <v>1.62093</v>
      </c>
      <c r="AT986" s="1868">
        <v>1.52115</v>
      </c>
      <c r="AU986" s="1868">
        <v>1.7679799999999999</v>
      </c>
      <c r="AV986" s="1868">
        <v>1.9955499999999999</v>
      </c>
      <c r="AW986" s="1868">
        <v>1.9384999999999999</v>
      </c>
      <c r="AX986" s="1868">
        <v>2.3308900000000001</v>
      </c>
      <c r="AY986" s="1868">
        <v>2.4535299999999998</v>
      </c>
      <c r="AZ986" s="1868">
        <v>2.2216200000000002</v>
      </c>
      <c r="BA986" s="1868">
        <v>2.44984</v>
      </c>
    </row>
    <row r="987" spans="1:53">
      <c r="A987" s="1865" t="str">
        <f t="shared" si="15"/>
        <v>South AmericaLeguminous vegetables, nes</v>
      </c>
      <c r="B987" s="1866" t="s">
        <v>311</v>
      </c>
      <c r="C987" s="1866" t="s">
        <v>1380</v>
      </c>
      <c r="D987" s="1868">
        <v>2.7632699999999999</v>
      </c>
      <c r="E987" s="1868">
        <v>2.8113599999999996</v>
      </c>
      <c r="F987" s="1868">
        <v>2.8461500000000002</v>
      </c>
      <c r="G987" s="1868">
        <v>2.92469</v>
      </c>
      <c r="H987" s="1868">
        <v>2.9007499999999999</v>
      </c>
      <c r="I987" s="1868">
        <v>2.8794299999999997</v>
      </c>
      <c r="J987" s="1868">
        <v>2.9611000000000001</v>
      </c>
      <c r="K987" s="1868">
        <v>2.9031799999999999</v>
      </c>
      <c r="L987" s="1868">
        <v>3.0914099999999998</v>
      </c>
      <c r="M987" s="1868">
        <v>2.93757</v>
      </c>
      <c r="N987" s="1868">
        <v>2.9394200000000001</v>
      </c>
      <c r="O987" s="1868">
        <v>2.9835199999999999</v>
      </c>
      <c r="P987" s="1868">
        <v>2.9904900000000003</v>
      </c>
      <c r="Q987" s="1868">
        <v>3.1754099999999998</v>
      </c>
      <c r="R987" s="1868">
        <v>3.27644</v>
      </c>
      <c r="S987" s="1868">
        <v>2.7543500000000001</v>
      </c>
      <c r="T987" s="1868">
        <v>2.8834</v>
      </c>
      <c r="U987" s="1868">
        <v>2.8705099999999999</v>
      </c>
      <c r="V987" s="1868">
        <v>2.70764</v>
      </c>
      <c r="W987" s="1868">
        <v>2.6574800000000001</v>
      </c>
      <c r="X987" s="1868">
        <v>2.80627</v>
      </c>
      <c r="Y987" s="1868">
        <v>2.8893400000000002</v>
      </c>
      <c r="Z987" s="1868">
        <v>2.59429</v>
      </c>
      <c r="AA987" s="1868">
        <v>2.2916500000000002</v>
      </c>
      <c r="AB987" s="1868">
        <v>2.0313400000000001</v>
      </c>
      <c r="AC987" s="1868">
        <v>2.0497799999999997</v>
      </c>
      <c r="AD987" s="1868">
        <v>1.8360799999999999</v>
      </c>
      <c r="AE987" s="1868">
        <v>2.1780300000000001</v>
      </c>
      <c r="AF987" s="1868">
        <v>2.0449900000000003</v>
      </c>
      <c r="AG987" s="1868">
        <v>2.0506700000000002</v>
      </c>
      <c r="AH987" s="1868">
        <v>2.3664999999999998</v>
      </c>
      <c r="AI987" s="1868">
        <v>2.1133599999999997</v>
      </c>
      <c r="AJ987" s="1868">
        <v>2.5075500000000002</v>
      </c>
      <c r="AK987" s="1868">
        <v>2.5344599999999997</v>
      </c>
      <c r="AL987" s="1868">
        <v>2.5685199999999999</v>
      </c>
      <c r="AM987" s="1868">
        <v>2.8022900000000002</v>
      </c>
      <c r="AN987" s="1868">
        <v>2.6882099999999998</v>
      </c>
      <c r="AO987" s="1868">
        <v>2.7629999999999999</v>
      </c>
      <c r="AP987" s="1868">
        <v>3.2885499999999999</v>
      </c>
      <c r="AQ987" s="1868">
        <v>3.1633299999999998</v>
      </c>
      <c r="AR987" s="1868">
        <v>3.2637700000000001</v>
      </c>
      <c r="AS987" s="1868">
        <v>3.2171400000000001</v>
      </c>
      <c r="AT987" s="1868">
        <v>3.0873499999999998</v>
      </c>
      <c r="AU987" s="1868">
        <v>3.0792999999999999</v>
      </c>
      <c r="AV987" s="1868">
        <v>3.06508</v>
      </c>
      <c r="AW987" s="1868">
        <v>2.7435999999999998</v>
      </c>
      <c r="AX987" s="1868">
        <v>2.6604000000000001</v>
      </c>
      <c r="AY987" s="1868">
        <v>2.7281499999999999</v>
      </c>
      <c r="AZ987" s="1868">
        <v>2.47824</v>
      </c>
      <c r="BA987" s="1868">
        <v>2.52047</v>
      </c>
    </row>
    <row r="988" spans="1:53">
      <c r="A988" s="1865" t="str">
        <f t="shared" si="15"/>
        <v>South AmericaLinseed</v>
      </c>
      <c r="B988" s="1866" t="s">
        <v>311</v>
      </c>
      <c r="C988" s="1866" t="s">
        <v>1381</v>
      </c>
      <c r="D988" s="1868">
        <v>0.67598000000000003</v>
      </c>
      <c r="E988" s="1868">
        <v>0.69873999999999992</v>
      </c>
      <c r="F988" s="1868">
        <v>0.61726999999999999</v>
      </c>
      <c r="G988" s="1868">
        <v>0.62690000000000001</v>
      </c>
      <c r="H988" s="1868">
        <v>0.73302</v>
      </c>
      <c r="I988" s="1868">
        <v>0.57053999999999994</v>
      </c>
      <c r="J988" s="1868">
        <v>0.70911999999999997</v>
      </c>
      <c r="K988" s="1868">
        <v>0.89885000000000004</v>
      </c>
      <c r="L988" s="1868">
        <v>0.63876999999999995</v>
      </c>
      <c r="M988" s="1868">
        <v>0.91732999999999998</v>
      </c>
      <c r="N988" s="1868">
        <v>0.90151000000000003</v>
      </c>
      <c r="O988" s="1868">
        <v>0.67843999999999993</v>
      </c>
      <c r="P988" s="1868">
        <v>0.73677999999999999</v>
      </c>
      <c r="Q988" s="1868">
        <v>0.74639</v>
      </c>
      <c r="R988" s="1868">
        <v>0.73541000000000001</v>
      </c>
      <c r="S988" s="1868">
        <v>0.80495000000000005</v>
      </c>
      <c r="T988" s="1868">
        <v>0.98855999999999999</v>
      </c>
      <c r="U988" s="1868">
        <v>0.98680000000000001</v>
      </c>
      <c r="V988" s="1868">
        <v>0.71528999999999998</v>
      </c>
      <c r="W988" s="1868">
        <v>0.75366</v>
      </c>
      <c r="X988" s="1868">
        <v>0.79856000000000005</v>
      </c>
      <c r="Y988" s="1868">
        <v>0.73031000000000001</v>
      </c>
      <c r="Z988" s="1868">
        <v>0.8414299999999999</v>
      </c>
      <c r="AA988" s="1868">
        <v>0.81036000000000008</v>
      </c>
      <c r="AB988" s="1868">
        <v>0.82357999999999998</v>
      </c>
      <c r="AC988" s="1868">
        <v>0.67147999999999997</v>
      </c>
      <c r="AD988" s="1868">
        <v>0.83287999999999995</v>
      </c>
      <c r="AE988" s="1868">
        <v>0.80930000000000002</v>
      </c>
      <c r="AF988" s="1868">
        <v>0.73673</v>
      </c>
      <c r="AG988" s="1868">
        <v>0.89703999999999995</v>
      </c>
      <c r="AH988" s="1868">
        <v>0.79278999999999999</v>
      </c>
      <c r="AI988" s="1868">
        <v>0.81462999999999997</v>
      </c>
      <c r="AJ988" s="1868">
        <v>0.84457999999999989</v>
      </c>
      <c r="AK988" s="1868">
        <v>0.78459000000000001</v>
      </c>
      <c r="AL988" s="1868">
        <v>0.97088999999999992</v>
      </c>
      <c r="AM988" s="1868">
        <v>0.78688999999999998</v>
      </c>
      <c r="AN988" s="1868">
        <v>0.79511999999999994</v>
      </c>
      <c r="AO988" s="1868">
        <v>0.70828999999999998</v>
      </c>
      <c r="AP988" s="1868">
        <v>0.86260000000000003</v>
      </c>
      <c r="AQ988" s="1868">
        <v>0.72687000000000002</v>
      </c>
      <c r="AR988" s="1868">
        <v>0.83004</v>
      </c>
      <c r="AS988" s="1868">
        <v>0.86063999999999996</v>
      </c>
      <c r="AT988" s="1868">
        <v>0.90982999999999992</v>
      </c>
      <c r="AU988" s="1868">
        <v>0.98342999999999992</v>
      </c>
      <c r="AV988" s="1868">
        <v>0.88932999999999995</v>
      </c>
      <c r="AW988" s="1868">
        <v>1.03233</v>
      </c>
      <c r="AX988" s="1868">
        <v>1.1026400000000001</v>
      </c>
      <c r="AY988" s="1868">
        <v>0.96132999999999991</v>
      </c>
      <c r="AZ988" s="1868">
        <v>0.95307999999999993</v>
      </c>
      <c r="BA988" s="1868">
        <v>1.23455</v>
      </c>
    </row>
    <row r="989" spans="1:53">
      <c r="A989" s="1865" t="str">
        <f t="shared" si="15"/>
        <v>South AmericaMaize</v>
      </c>
      <c r="B989" s="1866" t="s">
        <v>311</v>
      </c>
      <c r="C989" s="1866" t="s">
        <v>1382</v>
      </c>
      <c r="D989" s="1868">
        <v>1.37337</v>
      </c>
      <c r="E989" s="1868">
        <v>1.3933500000000001</v>
      </c>
      <c r="F989" s="1868">
        <v>1.3452200000000001</v>
      </c>
      <c r="G989" s="1868">
        <v>1.2947</v>
      </c>
      <c r="H989" s="1868">
        <v>1.39629</v>
      </c>
      <c r="I989" s="1868">
        <v>1.4732100000000001</v>
      </c>
      <c r="J989" s="1868">
        <v>1.5822200000000002</v>
      </c>
      <c r="K989" s="1868">
        <v>1.4390100000000001</v>
      </c>
      <c r="L989" s="1868">
        <v>1.4304399999999999</v>
      </c>
      <c r="M989" s="1868">
        <v>1.6355999999999999</v>
      </c>
      <c r="N989" s="1868">
        <v>1.5870200000000001</v>
      </c>
      <c r="O989" s="1868">
        <v>1.4746900000000001</v>
      </c>
      <c r="P989" s="1868">
        <v>1.7012599999999998</v>
      </c>
      <c r="Q989" s="1868">
        <v>1.7840599999999998</v>
      </c>
      <c r="R989" s="1868">
        <v>1.6778299999999999</v>
      </c>
      <c r="S989" s="1868">
        <v>1.66147</v>
      </c>
      <c r="T989" s="1868">
        <v>1.8550500000000001</v>
      </c>
      <c r="U989" s="1868">
        <v>1.6431500000000001</v>
      </c>
      <c r="V989" s="1868">
        <v>1.7378200000000001</v>
      </c>
      <c r="W989" s="1868">
        <v>1.8579299999999999</v>
      </c>
      <c r="X989" s="1868">
        <v>2.19136</v>
      </c>
      <c r="Y989" s="1868">
        <v>1.94658</v>
      </c>
      <c r="Z989" s="1868">
        <v>1.9735099999999999</v>
      </c>
      <c r="AA989" s="1868">
        <v>2.00875</v>
      </c>
      <c r="AB989" s="1868">
        <v>2.1936200000000001</v>
      </c>
      <c r="AC989" s="1868">
        <v>2.0280800000000001</v>
      </c>
      <c r="AD989" s="1868">
        <v>2.12751</v>
      </c>
      <c r="AE989" s="1868">
        <v>2.1111599999999999</v>
      </c>
      <c r="AF989" s="1868">
        <v>2.1136900000000001</v>
      </c>
      <c r="AG989" s="1868">
        <v>2.0383599999999999</v>
      </c>
      <c r="AH989" s="1868">
        <v>2.0610900000000001</v>
      </c>
      <c r="AI989" s="1868">
        <v>2.5202400000000003</v>
      </c>
      <c r="AJ989" s="1868">
        <v>2.7283499999999998</v>
      </c>
      <c r="AK989" s="1868">
        <v>2.5678999999999998</v>
      </c>
      <c r="AL989" s="1868">
        <v>2.7906299999999997</v>
      </c>
      <c r="AM989" s="1868">
        <v>2.8071299999999999</v>
      </c>
      <c r="AN989" s="1868">
        <v>2.91438</v>
      </c>
      <c r="AO989" s="1868">
        <v>3.3733599999999999</v>
      </c>
      <c r="AP989" s="1868">
        <v>3.0810499999999998</v>
      </c>
      <c r="AQ989" s="1868">
        <v>3.1736400000000002</v>
      </c>
      <c r="AR989" s="1868">
        <v>3.58175</v>
      </c>
      <c r="AS989" s="1868">
        <v>3.4240599999999999</v>
      </c>
      <c r="AT989" s="1868">
        <v>3.9569300000000003</v>
      </c>
      <c r="AU989" s="1868">
        <v>3.6929699999999999</v>
      </c>
      <c r="AV989" s="1868">
        <v>3.7288399999999999</v>
      </c>
      <c r="AW989" s="1868">
        <v>3.63836</v>
      </c>
      <c r="AX989" s="1868">
        <v>4.1754499999999997</v>
      </c>
      <c r="AY989" s="1868">
        <v>4.3057699999999999</v>
      </c>
      <c r="AZ989" s="1868">
        <v>3.84015</v>
      </c>
      <c r="BA989" s="1868">
        <v>4.7992900000000001</v>
      </c>
    </row>
    <row r="990" spans="1:53">
      <c r="A990" s="1865" t="str">
        <f t="shared" si="15"/>
        <v>South AmericaMaize, green</v>
      </c>
      <c r="B990" s="1866" t="s">
        <v>311</v>
      </c>
      <c r="C990" s="1866" t="s">
        <v>1383</v>
      </c>
      <c r="D990" s="1868">
        <v>5.1919500000000003</v>
      </c>
      <c r="E990" s="1868">
        <v>5.2918099999999999</v>
      </c>
      <c r="F990" s="1868">
        <v>5.2285399999999997</v>
      </c>
      <c r="G990" s="1868">
        <v>5.30593</v>
      </c>
      <c r="H990" s="1868">
        <v>5.1286100000000001</v>
      </c>
      <c r="I990" s="1868">
        <v>4.5982000000000003</v>
      </c>
      <c r="J990" s="1868">
        <v>4.5347</v>
      </c>
      <c r="K990" s="1868">
        <v>4.4088699999999994</v>
      </c>
      <c r="L990" s="1868">
        <v>5.0340099999999994</v>
      </c>
      <c r="M990" s="1868">
        <v>5.1917900000000001</v>
      </c>
      <c r="N990" s="1868">
        <v>5.04427</v>
      </c>
      <c r="O990" s="1868">
        <v>5.0074800000000002</v>
      </c>
      <c r="P990" s="1868">
        <v>5.0050999999999997</v>
      </c>
      <c r="Q990" s="1868">
        <v>5.1360800000000006</v>
      </c>
      <c r="R990" s="1868">
        <v>5.1013900000000003</v>
      </c>
      <c r="S990" s="1868">
        <v>5.3309699999999998</v>
      </c>
      <c r="T990" s="1868">
        <v>5.5291499999999996</v>
      </c>
      <c r="U990" s="1868">
        <v>5.9365399999999999</v>
      </c>
      <c r="V990" s="1868">
        <v>5.9726699999999999</v>
      </c>
      <c r="W990" s="1868">
        <v>6.234</v>
      </c>
      <c r="X990" s="1868">
        <v>7.1532399999999994</v>
      </c>
      <c r="Y990" s="1868">
        <v>6.7641600000000004</v>
      </c>
      <c r="Z990" s="1868">
        <v>6.5639100000000008</v>
      </c>
      <c r="AA990" s="1868">
        <v>5.7549299999999999</v>
      </c>
      <c r="AB990" s="1868">
        <v>5.6144600000000002</v>
      </c>
      <c r="AC990" s="1868">
        <v>5.6647999999999996</v>
      </c>
      <c r="AD990" s="1868">
        <v>5.5306800000000003</v>
      </c>
      <c r="AE990" s="1868">
        <v>5.7983000000000002</v>
      </c>
      <c r="AF990" s="1868">
        <v>7.106510000000001</v>
      </c>
      <c r="AG990" s="1868">
        <v>7.202189999999999</v>
      </c>
      <c r="AH990" s="1868">
        <v>7.6824600000000007</v>
      </c>
      <c r="AI990" s="1868">
        <v>7.4134000000000002</v>
      </c>
      <c r="AJ990" s="1868">
        <v>7.6096300000000001</v>
      </c>
      <c r="AK990" s="1868">
        <v>7.0094799999999999</v>
      </c>
      <c r="AL990" s="1868">
        <v>7.1229300000000002</v>
      </c>
      <c r="AM990" s="1868">
        <v>7.50047</v>
      </c>
      <c r="AN990" s="1868">
        <v>6.7962300000000004</v>
      </c>
      <c r="AO990" s="1868">
        <v>7.5859300000000003</v>
      </c>
      <c r="AP990" s="1868">
        <v>8.1141199999999998</v>
      </c>
      <c r="AQ990" s="1868">
        <v>8.1637500000000003</v>
      </c>
      <c r="AR990" s="1868">
        <v>8.3912100000000009</v>
      </c>
      <c r="AS990" s="1868">
        <v>8.9875299999999996</v>
      </c>
      <c r="AT990" s="1868">
        <v>9.1748200000000004</v>
      </c>
      <c r="AU990" s="1868">
        <v>8.9835200000000004</v>
      </c>
      <c r="AV990" s="1868">
        <v>8.9820600000000006</v>
      </c>
      <c r="AW990" s="1868">
        <v>8.8619199999999996</v>
      </c>
      <c r="AX990" s="1868">
        <v>8.333260000000001</v>
      </c>
      <c r="AY990" s="1868">
        <v>8.70608</v>
      </c>
      <c r="AZ990" s="1868">
        <v>8.8804600000000011</v>
      </c>
      <c r="BA990" s="1868">
        <v>8.80105</v>
      </c>
    </row>
    <row r="991" spans="1:53">
      <c r="A991" s="1865" t="str">
        <f t="shared" si="15"/>
        <v>South AmericaMangoes, mangosteens, guavas</v>
      </c>
      <c r="B991" s="1866" t="s">
        <v>311</v>
      </c>
      <c r="C991" s="1866" t="s">
        <v>1384</v>
      </c>
      <c r="D991" s="1868">
        <v>16.32377</v>
      </c>
      <c r="E991" s="1868">
        <v>16.46152</v>
      </c>
      <c r="F991" s="1868">
        <v>16.337599999999998</v>
      </c>
      <c r="G991" s="1868">
        <v>16.450429999999997</v>
      </c>
      <c r="H991" s="1868">
        <v>16.81973</v>
      </c>
      <c r="I991" s="1868">
        <v>15.71313</v>
      </c>
      <c r="J991" s="1868">
        <v>16.408989999999999</v>
      </c>
      <c r="K991" s="1868">
        <v>16.887560000000001</v>
      </c>
      <c r="L991" s="1868">
        <v>16.565910000000002</v>
      </c>
      <c r="M991" s="1868">
        <v>16.322510000000001</v>
      </c>
      <c r="N991" s="1868">
        <v>17.188639999999999</v>
      </c>
      <c r="O991" s="1868">
        <v>19.713010000000001</v>
      </c>
      <c r="P991" s="1868">
        <v>16.44755</v>
      </c>
      <c r="Q991" s="1868">
        <v>17.258520000000001</v>
      </c>
      <c r="R991" s="1868">
        <v>16.636039999999998</v>
      </c>
      <c r="S991" s="1868">
        <v>16.792549999999999</v>
      </c>
      <c r="T991" s="1868">
        <v>16.930879999999998</v>
      </c>
      <c r="U991" s="1868">
        <v>16.426070000000003</v>
      </c>
      <c r="V991" s="1868">
        <v>15.935560000000001</v>
      </c>
      <c r="W991" s="1868">
        <v>15.376799999999999</v>
      </c>
      <c r="X991" s="1868">
        <v>15.91164</v>
      </c>
      <c r="Y991" s="1868">
        <v>15.281120000000001</v>
      </c>
      <c r="Z991" s="1868">
        <v>14.180420000000002</v>
      </c>
      <c r="AA991" s="1868">
        <v>14.569800000000001</v>
      </c>
      <c r="AB991" s="1868">
        <v>13.261629999999998</v>
      </c>
      <c r="AC991" s="1868">
        <v>13.17891</v>
      </c>
      <c r="AD991" s="1868">
        <v>13.325889999999999</v>
      </c>
      <c r="AE991" s="1868">
        <v>12.654400000000001</v>
      </c>
      <c r="AF991" s="1868">
        <v>12.16713</v>
      </c>
      <c r="AG991" s="1868">
        <v>11.964780000000001</v>
      </c>
      <c r="AH991" s="1868">
        <v>11.836780000000001</v>
      </c>
      <c r="AI991" s="1868">
        <v>11.77477</v>
      </c>
      <c r="AJ991" s="1868">
        <v>11.1395</v>
      </c>
      <c r="AK991" s="1868">
        <v>11.8096</v>
      </c>
      <c r="AL991" s="1868">
        <v>11.74485</v>
      </c>
      <c r="AM991" s="1868">
        <v>10.34853</v>
      </c>
      <c r="AN991" s="1868">
        <v>9.3197200000000002</v>
      </c>
      <c r="AO991" s="1868">
        <v>8.6607699999999994</v>
      </c>
      <c r="AP991" s="1868">
        <v>9.8334499999999991</v>
      </c>
      <c r="AQ991" s="1868">
        <v>8.9331600000000009</v>
      </c>
      <c r="AR991" s="1868">
        <v>11.31377</v>
      </c>
      <c r="AS991" s="1868">
        <v>12.14133</v>
      </c>
      <c r="AT991" s="1868">
        <v>12.808669999999999</v>
      </c>
      <c r="AU991" s="1868">
        <v>13.112220000000001</v>
      </c>
      <c r="AV991" s="1868">
        <v>12.98859</v>
      </c>
      <c r="AW991" s="1868">
        <v>14.13025</v>
      </c>
      <c r="AX991" s="1868">
        <v>14.1806</v>
      </c>
      <c r="AY991" s="1868">
        <v>13.459270000000002</v>
      </c>
      <c r="AZ991" s="1868">
        <v>12.786019999999999</v>
      </c>
      <c r="BA991" s="1868">
        <v>14.522270000000001</v>
      </c>
    </row>
    <row r="992" spans="1:53">
      <c r="A992" s="1865" t="str">
        <f t="shared" si="15"/>
        <v>South AmericaMaté</v>
      </c>
      <c r="B992" s="1866" t="s">
        <v>311</v>
      </c>
      <c r="C992" s="1866" t="s">
        <v>2315</v>
      </c>
      <c r="D992" s="1868">
        <v>52.575090000000003</v>
      </c>
      <c r="E992" s="1868">
        <v>55.287930000000003</v>
      </c>
      <c r="F992" s="1868">
        <v>39.858359999999998</v>
      </c>
      <c r="G992" s="1868">
        <v>38.324659999999994</v>
      </c>
      <c r="H992" s="1868">
        <v>32.087350000000001</v>
      </c>
      <c r="I992" s="1868">
        <v>30.210809999999999</v>
      </c>
      <c r="J992" s="1868">
        <v>39.24333</v>
      </c>
      <c r="K992" s="1868">
        <v>37.408250000000002</v>
      </c>
      <c r="L992" s="1868">
        <v>32.975369999999998</v>
      </c>
      <c r="M992" s="1868">
        <v>37.829229999999995</v>
      </c>
      <c r="N992" s="1868">
        <v>45.127890000000001</v>
      </c>
      <c r="O992" s="1868">
        <v>40.977209999999999</v>
      </c>
      <c r="P992" s="1868">
        <v>45.178730000000002</v>
      </c>
      <c r="Q992" s="1868">
        <v>36.645809999999997</v>
      </c>
      <c r="R992" s="1868">
        <v>38.357419999999998</v>
      </c>
      <c r="S992" s="1868">
        <v>38.063679999999998</v>
      </c>
      <c r="T992" s="1868">
        <v>35.321469999999998</v>
      </c>
      <c r="U992" s="1868">
        <v>29.702070000000003</v>
      </c>
      <c r="V992" s="1868">
        <v>29.424540000000004</v>
      </c>
      <c r="W992" s="1868">
        <v>3.0199799999999999</v>
      </c>
      <c r="X992" s="1868">
        <v>2.62995</v>
      </c>
      <c r="Y992" s="1868">
        <v>2.7746400000000002</v>
      </c>
      <c r="Z992" s="1868">
        <v>2.9590700000000001</v>
      </c>
      <c r="AA992" s="1868">
        <v>3.1652200000000001</v>
      </c>
      <c r="AB992" s="1868">
        <v>3.0896300000000001</v>
      </c>
      <c r="AC992" s="1868">
        <v>2.9477599999999997</v>
      </c>
      <c r="AD992" s="1868">
        <v>3.04758</v>
      </c>
      <c r="AE992" s="1868">
        <v>3.2079599999999999</v>
      </c>
      <c r="AF992" s="1868">
        <v>3.28424</v>
      </c>
      <c r="AG992" s="1868">
        <v>2.89323</v>
      </c>
      <c r="AH992" s="1868">
        <v>2.85548</v>
      </c>
      <c r="AI992" s="1868">
        <v>2.71191</v>
      </c>
      <c r="AJ992" s="1868">
        <v>2.5819400000000003</v>
      </c>
      <c r="AK992" s="1868">
        <v>2.7469999999999999</v>
      </c>
      <c r="AL992" s="1868">
        <v>2.8422099999999997</v>
      </c>
      <c r="AM992" s="1868">
        <v>2.43885</v>
      </c>
      <c r="AN992" s="1868">
        <v>3.0705100000000001</v>
      </c>
      <c r="AO992" s="1868">
        <v>3.2227299999999999</v>
      </c>
      <c r="AP992" s="1868">
        <v>3.4370599999999998</v>
      </c>
      <c r="AQ992" s="1868">
        <v>3.1071200000000001</v>
      </c>
      <c r="AR992" s="1868">
        <v>3.49464</v>
      </c>
      <c r="AS992" s="1868">
        <v>3.2309000000000001</v>
      </c>
      <c r="AT992" s="1868">
        <v>3.2243200000000001</v>
      </c>
      <c r="AU992" s="1868">
        <v>2.77501</v>
      </c>
      <c r="AV992" s="1868">
        <v>2.85256</v>
      </c>
      <c r="AW992" s="1868">
        <v>2.8529100000000001</v>
      </c>
      <c r="AX992" s="1868">
        <v>2.8779499999999998</v>
      </c>
      <c r="AY992" s="1868">
        <v>2.59599</v>
      </c>
      <c r="AZ992" s="1868">
        <v>2.5659700000000001</v>
      </c>
      <c r="BA992" s="1868">
        <v>2.6282400000000004</v>
      </c>
    </row>
    <row r="993" spans="1:53">
      <c r="A993" s="1865" t="str">
        <f t="shared" si="15"/>
        <v>South AmericaMillet</v>
      </c>
      <c r="B993" s="1866" t="s">
        <v>311</v>
      </c>
      <c r="C993" s="1866" t="s">
        <v>1385</v>
      </c>
      <c r="D993" s="1868">
        <v>1.2939399999999999</v>
      </c>
      <c r="E993" s="1868">
        <v>1.3505</v>
      </c>
      <c r="F993" s="1868">
        <v>1.0630299999999999</v>
      </c>
      <c r="G993" s="1868">
        <v>1.1276899999999999</v>
      </c>
      <c r="H993" s="1868">
        <v>0.98432000000000008</v>
      </c>
      <c r="I993" s="1868">
        <v>1.1410899999999999</v>
      </c>
      <c r="J993" s="1868">
        <v>1.1902200000000001</v>
      </c>
      <c r="K993" s="1868">
        <v>1.0887899999999999</v>
      </c>
      <c r="L993" s="1868">
        <v>0.99187999999999987</v>
      </c>
      <c r="M993" s="1868">
        <v>0.95151000000000008</v>
      </c>
      <c r="N993" s="1868">
        <v>1.20912</v>
      </c>
      <c r="O993" s="1868">
        <v>0.90673999999999999</v>
      </c>
      <c r="P993" s="1868">
        <v>1.1438700000000002</v>
      </c>
      <c r="Q993" s="1868">
        <v>1.0980299999999998</v>
      </c>
      <c r="R993" s="1868">
        <v>1.02881</v>
      </c>
      <c r="S993" s="1868">
        <v>1.2736299999999998</v>
      </c>
      <c r="T993" s="1868">
        <v>1.3333299999999999</v>
      </c>
      <c r="U993" s="1868">
        <v>1.35246</v>
      </c>
      <c r="V993" s="1868">
        <v>1.3025200000000001</v>
      </c>
      <c r="W993" s="1868">
        <v>1.03183</v>
      </c>
      <c r="X993" s="1868">
        <v>1.2700100000000001</v>
      </c>
      <c r="Y993" s="1868">
        <v>1.1684399999999999</v>
      </c>
      <c r="Z993" s="1868">
        <v>1.11486</v>
      </c>
      <c r="AA993" s="1868">
        <v>1.1961299999999999</v>
      </c>
      <c r="AB993" s="1868">
        <v>1.25997</v>
      </c>
      <c r="AC993" s="1868">
        <v>1.13951</v>
      </c>
      <c r="AD993" s="1868">
        <v>1.2363299999999999</v>
      </c>
      <c r="AE993" s="1868">
        <v>1.3675200000000001</v>
      </c>
      <c r="AF993" s="1868">
        <v>1.1595299999999999</v>
      </c>
      <c r="AG993" s="1868">
        <v>1.32186</v>
      </c>
      <c r="AH993" s="1868">
        <v>1.51111</v>
      </c>
      <c r="AI993" s="1868">
        <v>1.6137900000000001</v>
      </c>
      <c r="AJ993" s="1868">
        <v>1.6610599999999998</v>
      </c>
      <c r="AK993" s="1868">
        <v>1.46648</v>
      </c>
      <c r="AL993" s="1868">
        <v>1.36283</v>
      </c>
      <c r="AM993" s="1868">
        <v>1.0530600000000001</v>
      </c>
      <c r="AN993" s="1868">
        <v>1.0256000000000001</v>
      </c>
      <c r="AO993" s="1868">
        <v>1.2565600000000001</v>
      </c>
      <c r="AP993" s="1868">
        <v>1.41581</v>
      </c>
      <c r="AQ993" s="1868">
        <v>1.51406</v>
      </c>
      <c r="AR993" s="1868">
        <v>1.7652700000000001</v>
      </c>
      <c r="AS993" s="1868">
        <v>1.9056400000000002</v>
      </c>
      <c r="AT993" s="1868">
        <v>1.84388</v>
      </c>
      <c r="AU993" s="1868">
        <v>1.57833</v>
      </c>
      <c r="AV993" s="1868">
        <v>1.7375099999999999</v>
      </c>
      <c r="AW993" s="1868">
        <v>1.58833</v>
      </c>
      <c r="AX993" s="1868">
        <v>1.41584</v>
      </c>
      <c r="AY993" s="1868">
        <v>1.4151799999999999</v>
      </c>
      <c r="AZ993" s="1868">
        <v>1.7243400000000002</v>
      </c>
      <c r="BA993" s="1868">
        <v>1.36554</v>
      </c>
    </row>
    <row r="994" spans="1:53">
      <c r="A994" s="1865" t="str">
        <f t="shared" si="15"/>
        <v>South AmericaOats</v>
      </c>
      <c r="B994" s="1866" t="s">
        <v>311</v>
      </c>
      <c r="C994" s="1866" t="s">
        <v>1349</v>
      </c>
      <c r="D994" s="1868">
        <v>1.1081700000000001</v>
      </c>
      <c r="E994" s="1868">
        <v>1.06732</v>
      </c>
      <c r="F994" s="1868">
        <v>1.2040999999999999</v>
      </c>
      <c r="G994" s="1868">
        <v>1.32416</v>
      </c>
      <c r="H994" s="1868">
        <v>1.04437</v>
      </c>
      <c r="I994" s="1868">
        <v>1.2267399999999999</v>
      </c>
      <c r="J994" s="1868">
        <v>1.2785600000000001</v>
      </c>
      <c r="K994" s="1868">
        <v>1.1167100000000001</v>
      </c>
      <c r="L994" s="1868">
        <v>1.1491400000000001</v>
      </c>
      <c r="M994" s="1868">
        <v>1.1753499999999999</v>
      </c>
      <c r="N994" s="1868">
        <v>1.2535499999999999</v>
      </c>
      <c r="O994" s="1868">
        <v>1.31749</v>
      </c>
      <c r="P994" s="1868">
        <v>1.2981799999999999</v>
      </c>
      <c r="Q994" s="1868">
        <v>1.1692799999999999</v>
      </c>
      <c r="R994" s="1868">
        <v>1.1853100000000001</v>
      </c>
      <c r="S994" s="1868">
        <v>1.2767700000000002</v>
      </c>
      <c r="T994" s="1868">
        <v>1.2970299999999999</v>
      </c>
      <c r="U994" s="1868">
        <v>1.2699200000000002</v>
      </c>
      <c r="V994" s="1868">
        <v>1.28979</v>
      </c>
      <c r="W994" s="1868">
        <v>1.28366</v>
      </c>
      <c r="X994" s="1868">
        <v>1.1883999999999999</v>
      </c>
      <c r="Y994" s="1868">
        <v>1.3786200000000002</v>
      </c>
      <c r="Z994" s="1868">
        <v>1.36778</v>
      </c>
      <c r="AA994" s="1868">
        <v>1.49475</v>
      </c>
      <c r="AB994" s="1868">
        <v>1.2542500000000001</v>
      </c>
      <c r="AC994" s="1868">
        <v>1.42662</v>
      </c>
      <c r="AD994" s="1868">
        <v>1.4732499999999999</v>
      </c>
      <c r="AE994" s="1868">
        <v>1.36511</v>
      </c>
      <c r="AF994" s="1868">
        <v>1.4517899999999999</v>
      </c>
      <c r="AG994" s="1868">
        <v>1.44815</v>
      </c>
      <c r="AH994" s="1868">
        <v>1.28051</v>
      </c>
      <c r="AI994" s="1868">
        <v>1.45953</v>
      </c>
      <c r="AJ994" s="1868">
        <v>1.35717</v>
      </c>
      <c r="AK994" s="1868">
        <v>1.3058700000000001</v>
      </c>
      <c r="AL994" s="1868">
        <v>1.3908499999999999</v>
      </c>
      <c r="AM994" s="1868">
        <v>1.4319999999999999</v>
      </c>
      <c r="AN994" s="1868">
        <v>1.75423</v>
      </c>
      <c r="AO994" s="1868">
        <v>1.5948200000000001</v>
      </c>
      <c r="AP994" s="1868">
        <v>1.6255299999999999</v>
      </c>
      <c r="AQ994" s="1868">
        <v>1.6981599999999999</v>
      </c>
      <c r="AR994" s="1868">
        <v>1.87487</v>
      </c>
      <c r="AS994" s="1868">
        <v>1.84535</v>
      </c>
      <c r="AT994" s="1868">
        <v>1.9629099999999999</v>
      </c>
      <c r="AU994" s="1868">
        <v>1.9757799999999999</v>
      </c>
      <c r="AV994" s="1868">
        <v>1.8281099999999999</v>
      </c>
      <c r="AW994" s="1868">
        <v>1.91038</v>
      </c>
      <c r="AX994" s="1868">
        <v>2.2886799999999998</v>
      </c>
      <c r="AY994" s="1868">
        <v>2.06271</v>
      </c>
      <c r="AZ994" s="1868">
        <v>2.0025200000000001</v>
      </c>
      <c r="BA994" s="1868">
        <v>2.6469499999999999</v>
      </c>
    </row>
    <row r="995" spans="1:53">
      <c r="A995" s="1865" t="str">
        <f t="shared" si="15"/>
        <v>South AmericaOil palm fruit</v>
      </c>
      <c r="B995" s="1866" t="s">
        <v>311</v>
      </c>
      <c r="C995" s="1866" t="s">
        <v>1386</v>
      </c>
      <c r="D995" s="1868">
        <v>6.8733899999999997</v>
      </c>
      <c r="E995" s="1868">
        <v>7.0843399999999992</v>
      </c>
      <c r="F995" s="1868">
        <v>7.1377300000000004</v>
      </c>
      <c r="G995" s="1868">
        <v>7.1991500000000004</v>
      </c>
      <c r="H995" s="1868">
        <v>7.1681399999999993</v>
      </c>
      <c r="I995" s="1868">
        <v>7.410639999999999</v>
      </c>
      <c r="J995" s="1868">
        <v>7.5951300000000002</v>
      </c>
      <c r="K995" s="1868">
        <v>7.8121100000000006</v>
      </c>
      <c r="L995" s="1868">
        <v>8.4384899999999998</v>
      </c>
      <c r="M995" s="1868">
        <v>8.8344300000000011</v>
      </c>
      <c r="N995" s="1868">
        <v>8.4154300000000006</v>
      </c>
      <c r="O995" s="1868">
        <v>8.7603799999999996</v>
      </c>
      <c r="P995" s="1868">
        <v>9.0871899999999997</v>
      </c>
      <c r="Q995" s="1868">
        <v>10.16817</v>
      </c>
      <c r="R995" s="1868">
        <v>10.11159</v>
      </c>
      <c r="S995" s="1868">
        <v>9.4849399999999999</v>
      </c>
      <c r="T995" s="1868">
        <v>10.58623</v>
      </c>
      <c r="U995" s="1868">
        <v>9.9446700000000003</v>
      </c>
      <c r="V995" s="1868">
        <v>11.381730000000001</v>
      </c>
      <c r="W995" s="1868">
        <v>11.349160000000001</v>
      </c>
      <c r="X995" s="1868">
        <v>12.288539999999999</v>
      </c>
      <c r="Y995" s="1868">
        <v>11.806339999999999</v>
      </c>
      <c r="Z995" s="1868">
        <v>13.07423</v>
      </c>
      <c r="AA995" s="1868">
        <v>12.902569999999999</v>
      </c>
      <c r="AB995" s="1868">
        <v>13.05761</v>
      </c>
      <c r="AC995" s="1868">
        <v>12.77468</v>
      </c>
      <c r="AD995" s="1868">
        <v>13.564349999999999</v>
      </c>
      <c r="AE995" s="1868">
        <v>14.421729999999998</v>
      </c>
      <c r="AF995" s="1868">
        <v>14.5947</v>
      </c>
      <c r="AG995" s="1868">
        <v>13.6501</v>
      </c>
      <c r="AH995" s="1868">
        <v>13.66685</v>
      </c>
      <c r="AI995" s="1868">
        <v>13.63495</v>
      </c>
      <c r="AJ995" s="1868">
        <v>14.0472</v>
      </c>
      <c r="AK995" s="1868">
        <v>13.172879999999999</v>
      </c>
      <c r="AL995" s="1868">
        <v>13.138260000000001</v>
      </c>
      <c r="AM995" s="1868">
        <v>12.9422</v>
      </c>
      <c r="AN995" s="1868">
        <v>14.462870000000001</v>
      </c>
      <c r="AO995" s="1868">
        <v>15.007770000000001</v>
      </c>
      <c r="AP995" s="1868">
        <v>14.497860000000001</v>
      </c>
      <c r="AQ995" s="1868">
        <v>14.33455</v>
      </c>
      <c r="AR995" s="1868">
        <v>14.289020000000001</v>
      </c>
      <c r="AS995" s="1868">
        <v>13.804</v>
      </c>
      <c r="AT995" s="1868">
        <v>13.190270000000002</v>
      </c>
      <c r="AU995" s="1868">
        <v>16.092279999999999</v>
      </c>
      <c r="AV995" s="1868">
        <v>15.8117</v>
      </c>
      <c r="AW995" s="1868">
        <v>15.998389999999999</v>
      </c>
      <c r="AX995" s="1868">
        <v>15.846489999999999</v>
      </c>
      <c r="AY995" s="1868">
        <v>16.487590000000001</v>
      </c>
      <c r="AZ995" s="1868">
        <v>15.990170000000001</v>
      </c>
      <c r="BA995" s="1868">
        <v>15.990170000000001</v>
      </c>
    </row>
    <row r="996" spans="1:53">
      <c r="A996" s="1865" t="str">
        <f t="shared" si="15"/>
        <v>South AmericaOlives</v>
      </c>
      <c r="B996" s="1866" t="s">
        <v>311</v>
      </c>
      <c r="C996" s="1866" t="s">
        <v>1387</v>
      </c>
      <c r="D996" s="1868">
        <v>23.448</v>
      </c>
      <c r="E996" s="1868">
        <v>19.235489999999999</v>
      </c>
      <c r="F996" s="1868">
        <v>21.384250000000002</v>
      </c>
      <c r="G996" s="1868">
        <v>32.263370000000002</v>
      </c>
      <c r="H996" s="1868">
        <v>40.21519</v>
      </c>
      <c r="I996" s="1868">
        <v>30.236279999999997</v>
      </c>
      <c r="J996" s="1868">
        <v>41.414790000000004</v>
      </c>
      <c r="K996" s="1868">
        <v>32.788640000000001</v>
      </c>
      <c r="L996" s="1868">
        <v>40.372459999999997</v>
      </c>
      <c r="M996" s="1868">
        <v>27.899840000000001</v>
      </c>
      <c r="N996" s="1868">
        <v>40.168120000000002</v>
      </c>
      <c r="O996" s="1868">
        <v>29.079179999999997</v>
      </c>
      <c r="P996" s="1868">
        <v>47.257329999999996</v>
      </c>
      <c r="Q996" s="1868">
        <v>36.21255</v>
      </c>
      <c r="R996" s="1868">
        <v>34.779559999999996</v>
      </c>
      <c r="S996" s="1868">
        <v>29.554659999999998</v>
      </c>
      <c r="T996" s="1868">
        <v>31.828259999999997</v>
      </c>
      <c r="U996" s="1868">
        <v>22.730070000000001</v>
      </c>
      <c r="V996" s="1868">
        <v>27.176600000000001</v>
      </c>
      <c r="W996" s="1868">
        <v>22.41235</v>
      </c>
      <c r="X996" s="1868">
        <v>25.399370000000001</v>
      </c>
      <c r="Y996" s="1868">
        <v>23.054310000000001</v>
      </c>
      <c r="Z996" s="1868">
        <v>23.404170000000001</v>
      </c>
      <c r="AA996" s="1868">
        <v>16.851960000000002</v>
      </c>
      <c r="AB996" s="1868">
        <v>2.8246099999999998</v>
      </c>
      <c r="AC996" s="1868">
        <v>2.7294099999999997</v>
      </c>
      <c r="AD996" s="1868">
        <v>2.9468799999999997</v>
      </c>
      <c r="AE996" s="1868">
        <v>2.7502200000000001</v>
      </c>
      <c r="AF996" s="1868">
        <v>3.3608500000000001</v>
      </c>
      <c r="AG996" s="1868">
        <v>2.7682000000000002</v>
      </c>
      <c r="AH996" s="1868">
        <v>3.2105700000000001</v>
      </c>
      <c r="AI996" s="1868">
        <v>2.6524200000000002</v>
      </c>
      <c r="AJ996" s="1868">
        <v>2.9594299999999998</v>
      </c>
      <c r="AK996" s="1868">
        <v>2.8789400000000001</v>
      </c>
      <c r="AL996" s="1868">
        <v>3.3883199999999998</v>
      </c>
      <c r="AM996" s="1868">
        <v>3.4804699999999995</v>
      </c>
      <c r="AN996" s="1868">
        <v>3.2812300000000003</v>
      </c>
      <c r="AO996" s="1868">
        <v>3.2044200000000003</v>
      </c>
      <c r="AP996" s="1868">
        <v>3.0076900000000002</v>
      </c>
      <c r="AQ996" s="1868">
        <v>3.2143599999999997</v>
      </c>
      <c r="AR996" s="1868">
        <v>3.2815199999999995</v>
      </c>
      <c r="AS996" s="1868">
        <v>3.3115600000000001</v>
      </c>
      <c r="AT996" s="1868">
        <v>3.3754699999999995</v>
      </c>
      <c r="AU996" s="1868">
        <v>3.6257199999999998</v>
      </c>
      <c r="AV996" s="1868">
        <v>3.6306699999999998</v>
      </c>
      <c r="AW996" s="1868">
        <v>3.5678199999999998</v>
      </c>
      <c r="AX996" s="1868">
        <v>3.54901</v>
      </c>
      <c r="AY996" s="1868">
        <v>3.3696099999999998</v>
      </c>
      <c r="AZ996" s="1868">
        <v>3.48915</v>
      </c>
      <c r="BA996" s="1868">
        <v>3.6725599999999998</v>
      </c>
    </row>
    <row r="997" spans="1:53">
      <c r="A997" s="1865" t="str">
        <f t="shared" si="15"/>
        <v>South AmericaOnions, dry</v>
      </c>
      <c r="B997" s="1866" t="s">
        <v>311</v>
      </c>
      <c r="C997" s="1866" t="s">
        <v>1388</v>
      </c>
      <c r="D997" s="1868">
        <v>9.3206699999999998</v>
      </c>
      <c r="E997" s="1868">
        <v>9.5664800000000003</v>
      </c>
      <c r="F997" s="1868">
        <v>10.13054</v>
      </c>
      <c r="G997" s="1868">
        <v>9.9033300000000004</v>
      </c>
      <c r="H997" s="1868">
        <v>9.9848499999999998</v>
      </c>
      <c r="I997" s="1868">
        <v>10.121260000000001</v>
      </c>
      <c r="J997" s="1868">
        <v>9.9422100000000011</v>
      </c>
      <c r="K997" s="1868">
        <v>9.8878500000000003</v>
      </c>
      <c r="L997" s="1868">
        <v>10.13139</v>
      </c>
      <c r="M997" s="1868">
        <v>10.564019999999999</v>
      </c>
      <c r="N997" s="1868">
        <v>10.66451</v>
      </c>
      <c r="O997" s="1868">
        <v>10.56836</v>
      </c>
      <c r="P997" s="1868">
        <v>10.850769999999999</v>
      </c>
      <c r="Q997" s="1868">
        <v>11.390739999999999</v>
      </c>
      <c r="R997" s="1868">
        <v>12.633519999999999</v>
      </c>
      <c r="S997" s="1868">
        <v>12.805580000000001</v>
      </c>
      <c r="T997" s="1868">
        <v>12.540519999999999</v>
      </c>
      <c r="U997" s="1868">
        <v>13.5039</v>
      </c>
      <c r="V997" s="1868">
        <v>13.857270000000002</v>
      </c>
      <c r="W997" s="1868">
        <v>14.08595</v>
      </c>
      <c r="X997" s="1868">
        <v>13.994129999999998</v>
      </c>
      <c r="Y997" s="1868">
        <v>15.06771</v>
      </c>
      <c r="Z997" s="1868">
        <v>14.698560000000001</v>
      </c>
      <c r="AA997" s="1868">
        <v>14.471379999999998</v>
      </c>
      <c r="AB997" s="1868">
        <v>15.332979999999999</v>
      </c>
      <c r="AC997" s="1868">
        <v>14.749470000000001</v>
      </c>
      <c r="AD997" s="1868">
        <v>15.05739</v>
      </c>
      <c r="AE997" s="1868">
        <v>15.115970000000001</v>
      </c>
      <c r="AF997" s="1868">
        <v>15.18404</v>
      </c>
      <c r="AG997" s="1868">
        <v>15.49151</v>
      </c>
      <c r="AH997" s="1868">
        <v>15.486239999999999</v>
      </c>
      <c r="AI997" s="1868">
        <v>15.699350000000001</v>
      </c>
      <c r="AJ997" s="1868">
        <v>15.991570000000001</v>
      </c>
      <c r="AK997" s="1868">
        <v>15.93336</v>
      </c>
      <c r="AL997" s="1868">
        <v>18.44473</v>
      </c>
      <c r="AM997" s="1868">
        <v>20.761839999999999</v>
      </c>
      <c r="AN997" s="1868">
        <v>20.499849999999999</v>
      </c>
      <c r="AO997" s="1868">
        <v>20.63007</v>
      </c>
      <c r="AP997" s="1868">
        <v>20.436599999999999</v>
      </c>
      <c r="AQ997" s="1868">
        <v>22.09243</v>
      </c>
      <c r="AR997" s="1868">
        <v>20.331050000000001</v>
      </c>
      <c r="AS997" s="1868">
        <v>21.130589999999998</v>
      </c>
      <c r="AT997" s="1868">
        <v>21.893509999999999</v>
      </c>
      <c r="AU997" s="1868">
        <v>23.096679999999999</v>
      </c>
      <c r="AV997" s="1868">
        <v>23.499229999999997</v>
      </c>
      <c r="AW997" s="1868">
        <v>23.469629999999999</v>
      </c>
      <c r="AX997" s="1868">
        <v>23.900220000000001</v>
      </c>
      <c r="AY997" s="1868">
        <v>24.078759999999999</v>
      </c>
      <c r="AZ997" s="1868">
        <v>24.20486</v>
      </c>
      <c r="BA997" s="1868">
        <v>24.654689999999999</v>
      </c>
    </row>
    <row r="998" spans="1:53">
      <c r="A998" s="1865" t="str">
        <f t="shared" si="15"/>
        <v>South AmericaOranges</v>
      </c>
      <c r="B998" s="1866" t="s">
        <v>311</v>
      </c>
      <c r="C998" s="1866" t="s">
        <v>1389</v>
      </c>
      <c r="D998" s="1868">
        <v>17.59346</v>
      </c>
      <c r="E998" s="1868">
        <v>17.475149999999999</v>
      </c>
      <c r="F998" s="1868">
        <v>17.47617</v>
      </c>
      <c r="G998" s="1868">
        <v>16.851949999999999</v>
      </c>
      <c r="H998" s="1868">
        <v>16.92445</v>
      </c>
      <c r="I998" s="1868">
        <v>16.759550000000001</v>
      </c>
      <c r="J998" s="1868">
        <v>17.594709999999999</v>
      </c>
      <c r="K998" s="1868">
        <v>17.913079999999997</v>
      </c>
      <c r="L998" s="1868">
        <v>18.46857</v>
      </c>
      <c r="M998" s="1868">
        <v>17.957139999999999</v>
      </c>
      <c r="N998" s="1868">
        <v>18.002010000000002</v>
      </c>
      <c r="O998" s="1868">
        <v>17.531649999999999</v>
      </c>
      <c r="P998" s="1868">
        <v>12.85575</v>
      </c>
      <c r="Q998" s="1868">
        <v>18.263579999999997</v>
      </c>
      <c r="R998" s="1868">
        <v>16.968900000000001</v>
      </c>
      <c r="S998" s="1868">
        <v>18.017710000000001</v>
      </c>
      <c r="T998" s="1868">
        <v>18.346339999999998</v>
      </c>
      <c r="U998" s="1868">
        <v>18.236339999999998</v>
      </c>
      <c r="V998" s="1868">
        <v>18.69049</v>
      </c>
      <c r="W998" s="1868">
        <v>18.004000000000001</v>
      </c>
      <c r="X998" s="1868">
        <v>18.55378</v>
      </c>
      <c r="Y998" s="1868">
        <v>18.411179999999998</v>
      </c>
      <c r="Z998" s="1868">
        <v>17.672940000000001</v>
      </c>
      <c r="AA998" s="1868">
        <v>18.875959999999999</v>
      </c>
      <c r="AB998" s="1868">
        <v>19.349829999999997</v>
      </c>
      <c r="AC998" s="1868">
        <v>17.52319</v>
      </c>
      <c r="AD998" s="1868">
        <v>18.837489999999999</v>
      </c>
      <c r="AE998" s="1868">
        <v>17.729610000000001</v>
      </c>
      <c r="AF998" s="1868">
        <v>19.035360000000001</v>
      </c>
      <c r="AG998" s="1868">
        <v>18.173460000000002</v>
      </c>
      <c r="AH998" s="1868">
        <v>18.253640000000001</v>
      </c>
      <c r="AI998" s="1868">
        <v>18.83182</v>
      </c>
      <c r="AJ998" s="1868">
        <v>21.584199999999999</v>
      </c>
      <c r="AK998" s="1868">
        <v>18.560089999999999</v>
      </c>
      <c r="AL998" s="1868">
        <v>21.701520000000002</v>
      </c>
      <c r="AM998" s="1868">
        <v>20.446200000000001</v>
      </c>
      <c r="AN998" s="1868">
        <v>21.983529999999998</v>
      </c>
      <c r="AO998" s="1868">
        <v>19.567139999999998</v>
      </c>
      <c r="AP998" s="1868">
        <v>20.660629999999998</v>
      </c>
      <c r="AQ998" s="1868">
        <v>22.261340000000001</v>
      </c>
      <c r="AR998" s="1868">
        <v>18.893190000000001</v>
      </c>
      <c r="AS998" s="1868">
        <v>20.32404</v>
      </c>
      <c r="AT998" s="1868">
        <v>18.564810000000001</v>
      </c>
      <c r="AU998" s="1868">
        <v>20.366020000000002</v>
      </c>
      <c r="AV998" s="1868">
        <v>20.171789999999998</v>
      </c>
      <c r="AW998" s="1868">
        <v>20.49108</v>
      </c>
      <c r="AX998" s="1868">
        <v>20.576220000000003</v>
      </c>
      <c r="AY998" s="1868">
        <v>20.583539999999999</v>
      </c>
      <c r="AZ998" s="1868">
        <v>20.61504</v>
      </c>
      <c r="BA998" s="1868">
        <v>21.078889999999998</v>
      </c>
    </row>
    <row r="999" spans="1:53">
      <c r="A999" s="1865" t="str">
        <f t="shared" si="15"/>
        <v>South AmericaPeaches and nectarines</v>
      </c>
      <c r="B999" s="1866" t="s">
        <v>311</v>
      </c>
      <c r="C999" s="1866" t="s">
        <v>1390</v>
      </c>
      <c r="D999" s="1868">
        <v>12.793480000000001</v>
      </c>
      <c r="E999" s="1868">
        <v>12.720280000000001</v>
      </c>
      <c r="F999" s="1868">
        <v>12.377079999999999</v>
      </c>
      <c r="G999" s="1868">
        <v>11.05786</v>
      </c>
      <c r="H999" s="1868">
        <v>14.02796</v>
      </c>
      <c r="I999" s="1868">
        <v>9.6411600000000011</v>
      </c>
      <c r="J999" s="1868">
        <v>13.559820000000002</v>
      </c>
      <c r="K999" s="1868">
        <v>12.63616</v>
      </c>
      <c r="L999" s="1868">
        <v>14.71918</v>
      </c>
      <c r="M999" s="1868">
        <v>15.102170000000001</v>
      </c>
      <c r="N999" s="1868">
        <v>15.673210000000001</v>
      </c>
      <c r="O999" s="1868">
        <v>14.952129999999999</v>
      </c>
      <c r="P999" s="1868">
        <v>10.06297</v>
      </c>
      <c r="Q999" s="1868">
        <v>14.402829999999998</v>
      </c>
      <c r="R999" s="1868">
        <v>13.16203</v>
      </c>
      <c r="S999" s="1868">
        <v>14.63171</v>
      </c>
      <c r="T999" s="1868">
        <v>13.346910000000001</v>
      </c>
      <c r="U999" s="1868">
        <v>12.389569999999999</v>
      </c>
      <c r="V999" s="1868">
        <v>12.56588</v>
      </c>
      <c r="W999" s="1868">
        <v>6.3884300000000005</v>
      </c>
      <c r="X999" s="1868">
        <v>5.6687699999999994</v>
      </c>
      <c r="Y999" s="1868">
        <v>5.4848400000000002</v>
      </c>
      <c r="Z999" s="1868">
        <v>6.4057000000000004</v>
      </c>
      <c r="AA999" s="1868">
        <v>6.3187300000000004</v>
      </c>
      <c r="AB999" s="1868">
        <v>6.53531</v>
      </c>
      <c r="AC999" s="1868">
        <v>5.8967999999999998</v>
      </c>
      <c r="AD999" s="1868">
        <v>5.8059199999999995</v>
      </c>
      <c r="AE999" s="1868">
        <v>7.7523200000000001</v>
      </c>
      <c r="AF999" s="1868">
        <v>7.4446300000000001</v>
      </c>
      <c r="AG999" s="1868">
        <v>7.4843299999999999</v>
      </c>
      <c r="AH999" s="1868">
        <v>7.4858699999999994</v>
      </c>
      <c r="AI999" s="1868">
        <v>7.9076300000000002</v>
      </c>
      <c r="AJ999" s="1868">
        <v>8.3345199999999995</v>
      </c>
      <c r="AK999" s="1868">
        <v>8.4268000000000001</v>
      </c>
      <c r="AL999" s="1868">
        <v>8.1884300000000003</v>
      </c>
      <c r="AM999" s="1868">
        <v>8.6535299999999999</v>
      </c>
      <c r="AN999" s="1868">
        <v>8.95261</v>
      </c>
      <c r="AO999" s="1868">
        <v>8.6446199999999997</v>
      </c>
      <c r="AP999" s="1868">
        <v>9.2603899999999992</v>
      </c>
      <c r="AQ999" s="1868">
        <v>9.6031300000000002</v>
      </c>
      <c r="AR999" s="1868">
        <v>10.817110000000001</v>
      </c>
      <c r="AS999" s="1868">
        <v>10.172989999999999</v>
      </c>
      <c r="AT999" s="1868">
        <v>10.73333</v>
      </c>
      <c r="AU999" s="1868">
        <v>11.09742</v>
      </c>
      <c r="AV999" s="1868">
        <v>11.05538</v>
      </c>
      <c r="AW999" s="1868">
        <v>11.299710000000001</v>
      </c>
      <c r="AX999" s="1868">
        <v>11.540039999999999</v>
      </c>
      <c r="AY999" s="1868">
        <v>12.98873</v>
      </c>
      <c r="AZ999" s="1868">
        <v>13.02308</v>
      </c>
      <c r="BA999" s="1868">
        <v>12.814410000000001</v>
      </c>
    </row>
    <row r="1000" spans="1:53">
      <c r="A1000" s="1865" t="str">
        <f t="shared" si="15"/>
        <v>South AmericaPeas, dry</v>
      </c>
      <c r="B1000" s="1866" t="s">
        <v>311</v>
      </c>
      <c r="C1000" s="1866" t="s">
        <v>1391</v>
      </c>
      <c r="D1000" s="1868">
        <v>0.80721999999999994</v>
      </c>
      <c r="E1000" s="1868">
        <v>0.84117999999999993</v>
      </c>
      <c r="F1000" s="1868">
        <v>0.79120000000000001</v>
      </c>
      <c r="G1000" s="1868">
        <v>0.74503999999999992</v>
      </c>
      <c r="H1000" s="1868">
        <v>0.83027000000000006</v>
      </c>
      <c r="I1000" s="1868">
        <v>0.81664999999999999</v>
      </c>
      <c r="J1000" s="1868">
        <v>0.76449999999999996</v>
      </c>
      <c r="K1000" s="1868">
        <v>0.63129999999999997</v>
      </c>
      <c r="L1000" s="1868">
        <v>0.70072000000000001</v>
      </c>
      <c r="M1000" s="1868">
        <v>0.70335999999999999</v>
      </c>
      <c r="N1000" s="1868">
        <v>0.71753</v>
      </c>
      <c r="O1000" s="1868">
        <v>0.72703000000000007</v>
      </c>
      <c r="P1000" s="1868">
        <v>0.72128999999999999</v>
      </c>
      <c r="Q1000" s="1868">
        <v>0.71196000000000004</v>
      </c>
      <c r="R1000" s="1868">
        <v>0.72741</v>
      </c>
      <c r="S1000" s="1868">
        <v>0.83204</v>
      </c>
      <c r="T1000" s="1868">
        <v>0.77388999999999997</v>
      </c>
      <c r="U1000" s="1868">
        <v>0.78688999999999998</v>
      </c>
      <c r="V1000" s="1868">
        <v>0.69353999999999993</v>
      </c>
      <c r="W1000" s="1868">
        <v>0.74673999999999996</v>
      </c>
      <c r="X1000" s="1868">
        <v>0.72033999999999998</v>
      </c>
      <c r="Y1000" s="1868">
        <v>0.71394999999999997</v>
      </c>
      <c r="Z1000" s="1868">
        <v>0.76561000000000001</v>
      </c>
      <c r="AA1000" s="1868">
        <v>0.71672000000000002</v>
      </c>
      <c r="AB1000" s="1868">
        <v>0.83540999999999999</v>
      </c>
      <c r="AC1000" s="1868">
        <v>0.89406000000000008</v>
      </c>
      <c r="AD1000" s="1868">
        <v>0.97967000000000004</v>
      </c>
      <c r="AE1000" s="1868">
        <v>1.00698</v>
      </c>
      <c r="AF1000" s="1868">
        <v>0.93092000000000008</v>
      </c>
      <c r="AG1000" s="1868">
        <v>0.66464000000000001</v>
      </c>
      <c r="AH1000" s="1868">
        <v>0.91715000000000002</v>
      </c>
      <c r="AI1000" s="1868">
        <v>0.93732999999999989</v>
      </c>
      <c r="AJ1000" s="1868">
        <v>0.93282000000000009</v>
      </c>
      <c r="AK1000" s="1868">
        <v>1.02468</v>
      </c>
      <c r="AL1000" s="1868">
        <v>1.0013799999999999</v>
      </c>
      <c r="AM1000" s="1868">
        <v>1.1175600000000001</v>
      </c>
      <c r="AN1000" s="1868">
        <v>1.0860399999999999</v>
      </c>
      <c r="AO1000" s="1868">
        <v>1.1541700000000001</v>
      </c>
      <c r="AP1000" s="1868">
        <v>1.00396</v>
      </c>
      <c r="AQ1000" s="1868">
        <v>1.04701</v>
      </c>
      <c r="AR1000" s="1868">
        <v>1.1493</v>
      </c>
      <c r="AS1000" s="1868">
        <v>1.1860299999999999</v>
      </c>
      <c r="AT1000" s="1868">
        <v>1.2218100000000001</v>
      </c>
      <c r="AU1000" s="1868">
        <v>1.1990499999999999</v>
      </c>
      <c r="AV1000" s="1868">
        <v>1.16774</v>
      </c>
      <c r="AW1000" s="1868">
        <v>1.18441</v>
      </c>
      <c r="AX1000" s="1868">
        <v>1.21394</v>
      </c>
      <c r="AY1000" s="1868">
        <v>1.26685</v>
      </c>
      <c r="AZ1000" s="1868">
        <v>1.1969299999999998</v>
      </c>
      <c r="BA1000" s="1868">
        <v>1.26892</v>
      </c>
    </row>
    <row r="1001" spans="1:53">
      <c r="A1001" s="1865" t="str">
        <f t="shared" si="15"/>
        <v>South AmericaPeas, green</v>
      </c>
      <c r="B1001" s="1866" t="s">
        <v>311</v>
      </c>
      <c r="C1001" s="1866" t="s">
        <v>1392</v>
      </c>
      <c r="D1001" s="1868">
        <v>2.2730299999999999</v>
      </c>
      <c r="E1001" s="1868">
        <v>2.4014900000000003</v>
      </c>
      <c r="F1001" s="1868">
        <v>2.47098</v>
      </c>
      <c r="G1001" s="1868">
        <v>2.5093799999999997</v>
      </c>
      <c r="H1001" s="1868">
        <v>2.5063</v>
      </c>
      <c r="I1001" s="1868">
        <v>2.4124599999999998</v>
      </c>
      <c r="J1001" s="1868">
        <v>2.4879099999999998</v>
      </c>
      <c r="K1001" s="1868">
        <v>2.4899100000000001</v>
      </c>
      <c r="L1001" s="1868">
        <v>2.3960900000000001</v>
      </c>
      <c r="M1001" s="1868">
        <v>2.6240900000000003</v>
      </c>
      <c r="N1001" s="1868">
        <v>2.4120699999999999</v>
      </c>
      <c r="O1001" s="1868">
        <v>2.5608</v>
      </c>
      <c r="P1001" s="1868">
        <v>2.3980599999999996</v>
      </c>
      <c r="Q1001" s="1868">
        <v>2.40848</v>
      </c>
      <c r="R1001" s="1868">
        <v>3.0891099999999998</v>
      </c>
      <c r="S1001" s="1868">
        <v>2.6461900000000003</v>
      </c>
      <c r="T1001" s="1868">
        <v>2.52441</v>
      </c>
      <c r="U1001" s="1868">
        <v>2.6796500000000001</v>
      </c>
      <c r="V1001" s="1868">
        <v>2.97437</v>
      </c>
      <c r="W1001" s="1868">
        <v>2.7092200000000002</v>
      </c>
      <c r="X1001" s="1868">
        <v>2.43832</v>
      </c>
      <c r="Y1001" s="1868">
        <v>2.4276900000000001</v>
      </c>
      <c r="Z1001" s="1868">
        <v>2.2519999999999998</v>
      </c>
      <c r="AA1001" s="1868">
        <v>2.00082</v>
      </c>
      <c r="AB1001" s="1868">
        <v>2.1126099999999997</v>
      </c>
      <c r="AC1001" s="1868">
        <v>2.4752999999999998</v>
      </c>
      <c r="AD1001" s="1868">
        <v>2.3180299999999998</v>
      </c>
      <c r="AE1001" s="1868">
        <v>2.10419</v>
      </c>
      <c r="AF1001" s="1868">
        <v>2.1649099999999999</v>
      </c>
      <c r="AG1001" s="1868">
        <v>2.2095799999999999</v>
      </c>
      <c r="AH1001" s="1868">
        <v>2.28437</v>
      </c>
      <c r="AI1001" s="1868">
        <v>2.4502099999999998</v>
      </c>
      <c r="AJ1001" s="1868">
        <v>2.4508900000000002</v>
      </c>
      <c r="AK1001" s="1868">
        <v>2.0097299999999998</v>
      </c>
      <c r="AL1001" s="1868">
        <v>2.11748</v>
      </c>
      <c r="AM1001" s="1868">
        <v>2.1305800000000001</v>
      </c>
      <c r="AN1001" s="1868">
        <v>1.8503700000000001</v>
      </c>
      <c r="AO1001" s="1868">
        <v>2.22648</v>
      </c>
      <c r="AP1001" s="1868">
        <v>2.1082299999999998</v>
      </c>
      <c r="AQ1001" s="1868">
        <v>2.0840299999999998</v>
      </c>
      <c r="AR1001" s="1868">
        <v>2.12358</v>
      </c>
      <c r="AS1001" s="1868">
        <v>2.1656200000000001</v>
      </c>
      <c r="AT1001" s="1868">
        <v>2.2213500000000002</v>
      </c>
      <c r="AU1001" s="1868">
        <v>2.1700200000000001</v>
      </c>
      <c r="AV1001" s="1868">
        <v>2.22431</v>
      </c>
      <c r="AW1001" s="1868">
        <v>2.28613</v>
      </c>
      <c r="AX1001" s="1868">
        <v>2.2711999999999999</v>
      </c>
      <c r="AY1001" s="1868">
        <v>2.31643</v>
      </c>
      <c r="AZ1001" s="1868">
        <v>2.3175300000000001</v>
      </c>
      <c r="BA1001" s="1868">
        <v>2.25224</v>
      </c>
    </row>
    <row r="1002" spans="1:53">
      <c r="A1002" s="1865" t="str">
        <f t="shared" si="15"/>
        <v>South AmericaPineapples</v>
      </c>
      <c r="B1002" s="1866" t="s">
        <v>311</v>
      </c>
      <c r="C1002" s="1866" t="s">
        <v>1351</v>
      </c>
      <c r="D1002" s="1868">
        <v>13.353520000000001</v>
      </c>
      <c r="E1002" s="1868">
        <v>13.025310000000001</v>
      </c>
      <c r="F1002" s="1868">
        <v>12.373760000000001</v>
      </c>
      <c r="G1002" s="1868">
        <v>12.389289999999999</v>
      </c>
      <c r="H1002" s="1868">
        <v>12.954029999999999</v>
      </c>
      <c r="I1002" s="1868">
        <v>13.33066</v>
      </c>
      <c r="J1002" s="1868">
        <v>13.59304</v>
      </c>
      <c r="K1002" s="1868">
        <v>14.582520000000001</v>
      </c>
      <c r="L1002" s="1868">
        <v>14.92196</v>
      </c>
      <c r="M1002" s="1868">
        <v>14.870329999999999</v>
      </c>
      <c r="N1002" s="1868">
        <v>16.040050000000001</v>
      </c>
      <c r="O1002" s="1868">
        <v>17.12801</v>
      </c>
      <c r="P1002" s="1868">
        <v>16.19265</v>
      </c>
      <c r="Q1002" s="1868">
        <v>18.048679999999997</v>
      </c>
      <c r="R1002" s="1868">
        <v>20.083970000000001</v>
      </c>
      <c r="S1002" s="1868">
        <v>20.28951</v>
      </c>
      <c r="T1002" s="1868">
        <v>20.25244</v>
      </c>
      <c r="U1002" s="1868">
        <v>21.250820000000001</v>
      </c>
      <c r="V1002" s="1868">
        <v>21.741849999999999</v>
      </c>
      <c r="W1002" s="1868">
        <v>22.115310000000001</v>
      </c>
      <c r="X1002" s="1868">
        <v>21.95072</v>
      </c>
      <c r="Y1002" s="1868">
        <v>23.300060000000002</v>
      </c>
      <c r="Z1002" s="1868">
        <v>24.389810000000001</v>
      </c>
      <c r="AA1002" s="1868">
        <v>26.552570000000003</v>
      </c>
      <c r="AB1002" s="1868">
        <v>27.989599999999999</v>
      </c>
      <c r="AC1002" s="1868">
        <v>28.986190000000001</v>
      </c>
      <c r="AD1002" s="1868">
        <v>29.22533</v>
      </c>
      <c r="AE1002" s="1868">
        <v>30.079009999999997</v>
      </c>
      <c r="AF1002" s="1868">
        <v>30.054320000000001</v>
      </c>
      <c r="AG1002" s="1868">
        <v>29.438359999999999</v>
      </c>
      <c r="AH1002" s="1868">
        <v>30.520570000000003</v>
      </c>
      <c r="AI1002" s="1868">
        <v>30.579029999999999</v>
      </c>
      <c r="AJ1002" s="1868">
        <v>27.62697</v>
      </c>
      <c r="AK1002" s="1868">
        <v>29.624590000000001</v>
      </c>
      <c r="AL1002" s="1868">
        <v>29.207809999999998</v>
      </c>
      <c r="AM1002" s="1868">
        <v>24.238389999999999</v>
      </c>
      <c r="AN1002" s="1868">
        <v>26.974350000000001</v>
      </c>
      <c r="AO1002" s="1868">
        <v>24.510920000000002</v>
      </c>
      <c r="AP1002" s="1868">
        <v>27.21715</v>
      </c>
      <c r="AQ1002" s="1868">
        <v>27.35698</v>
      </c>
      <c r="AR1002" s="1868">
        <v>28.223949999999999</v>
      </c>
      <c r="AS1002" s="1868">
        <v>29.0642</v>
      </c>
      <c r="AT1002" s="1868">
        <v>29.69632</v>
      </c>
      <c r="AU1002" s="1868">
        <v>29.991779999999999</v>
      </c>
      <c r="AV1002" s="1868">
        <v>30.019109999999998</v>
      </c>
      <c r="AW1002" s="1868">
        <v>30.623370000000001</v>
      </c>
      <c r="AX1002" s="1868">
        <v>30.195590000000003</v>
      </c>
      <c r="AY1002" s="1868">
        <v>31.56382</v>
      </c>
      <c r="AZ1002" s="1868">
        <v>29.809570000000001</v>
      </c>
      <c r="BA1002" s="1868">
        <v>29.248750000000001</v>
      </c>
    </row>
    <row r="1003" spans="1:53">
      <c r="A1003" s="1865" t="str">
        <f t="shared" si="15"/>
        <v>South AmericaPlantains</v>
      </c>
      <c r="B1003" s="1866" t="s">
        <v>311</v>
      </c>
      <c r="C1003" s="1866" t="s">
        <v>1393</v>
      </c>
      <c r="D1003" s="1868">
        <v>7.4396300000000002</v>
      </c>
      <c r="E1003" s="1868">
        <v>8.1847399999999997</v>
      </c>
      <c r="F1003" s="1868">
        <v>8.3224600000000013</v>
      </c>
      <c r="G1003" s="1868">
        <v>7.833289999999999</v>
      </c>
      <c r="H1003" s="1868">
        <v>9.1485500000000002</v>
      </c>
      <c r="I1003" s="1868">
        <v>8.4316399999999998</v>
      </c>
      <c r="J1003" s="1868">
        <v>8.1028399999999987</v>
      </c>
      <c r="K1003" s="1868">
        <v>8.3414800000000007</v>
      </c>
      <c r="L1003" s="1868">
        <v>8.2938399999999994</v>
      </c>
      <c r="M1003" s="1868">
        <v>8.3124099999999999</v>
      </c>
      <c r="N1003" s="1868">
        <v>6.702560000000001</v>
      </c>
      <c r="O1003" s="1868">
        <v>6.5363499999999997</v>
      </c>
      <c r="P1003" s="1868">
        <v>6.7284699999999997</v>
      </c>
      <c r="Q1003" s="1868">
        <v>6.4803300000000004</v>
      </c>
      <c r="R1003" s="1868">
        <v>6.21997</v>
      </c>
      <c r="S1003" s="1868">
        <v>6.3781999999999996</v>
      </c>
      <c r="T1003" s="1868">
        <v>6.3183400000000001</v>
      </c>
      <c r="U1003" s="1868">
        <v>6.9928600000000003</v>
      </c>
      <c r="V1003" s="1868">
        <v>6.8060499999999999</v>
      </c>
      <c r="W1003" s="1868">
        <v>6.788689999999999</v>
      </c>
      <c r="X1003" s="1868">
        <v>6.9222899999999994</v>
      </c>
      <c r="Y1003" s="1868">
        <v>7.0762800000000006</v>
      </c>
      <c r="Z1003" s="1868">
        <v>7.2948300000000001</v>
      </c>
      <c r="AA1003" s="1868">
        <v>7.3129399999999993</v>
      </c>
      <c r="AB1003" s="1868">
        <v>7.6769600000000002</v>
      </c>
      <c r="AC1003" s="1868">
        <v>7.5756800000000002</v>
      </c>
      <c r="AD1003" s="1868">
        <v>7.8706899999999997</v>
      </c>
      <c r="AE1003" s="1868">
        <v>7.9089700000000001</v>
      </c>
      <c r="AF1003" s="1868">
        <v>7.8085899999999997</v>
      </c>
      <c r="AG1003" s="1868">
        <v>8.5353100000000008</v>
      </c>
      <c r="AH1003" s="1868">
        <v>8.5055199999999989</v>
      </c>
      <c r="AI1003" s="1868">
        <v>8.1890800000000006</v>
      </c>
      <c r="AJ1003" s="1868">
        <v>7.8122600000000002</v>
      </c>
      <c r="AK1003" s="1868">
        <v>7.9633100000000008</v>
      </c>
      <c r="AL1003" s="1868">
        <v>8.3385699999999989</v>
      </c>
      <c r="AM1003" s="1868">
        <v>8.3239000000000001</v>
      </c>
      <c r="AN1003" s="1868">
        <v>8.5566100000000009</v>
      </c>
      <c r="AO1003" s="1868">
        <v>8.1623999999999999</v>
      </c>
      <c r="AP1003" s="1868">
        <v>8.3372299999999999</v>
      </c>
      <c r="AQ1003" s="1868">
        <v>8.36402</v>
      </c>
      <c r="AR1003" s="1868">
        <v>9.1079399999999993</v>
      </c>
      <c r="AS1003" s="1868">
        <v>8.5049299999999999</v>
      </c>
      <c r="AT1003" s="1868">
        <v>8.2982499999999995</v>
      </c>
      <c r="AU1003" s="1868">
        <v>8.5075500000000002</v>
      </c>
      <c r="AV1003" s="1868">
        <v>8.6084499999999995</v>
      </c>
      <c r="AW1003" s="1868">
        <v>8.7026000000000003</v>
      </c>
      <c r="AX1003" s="1868">
        <v>8.8103499999999997</v>
      </c>
      <c r="AY1003" s="1868">
        <v>8.6190999999999995</v>
      </c>
      <c r="AZ1003" s="1868">
        <v>8.62636</v>
      </c>
      <c r="BA1003" s="1868">
        <v>8.98691</v>
      </c>
    </row>
    <row r="1004" spans="1:53">
      <c r="A1004" s="1865" t="str">
        <f t="shared" si="15"/>
        <v>South AmericaPotatoes</v>
      </c>
      <c r="B1004" s="1866" t="s">
        <v>311</v>
      </c>
      <c r="C1004" s="1866" t="s">
        <v>1394</v>
      </c>
      <c r="D1004" s="1868">
        <v>7.1755000000000004</v>
      </c>
      <c r="E1004" s="1868">
        <v>6.8147100000000007</v>
      </c>
      <c r="F1004" s="1868">
        <v>6.7070899999999991</v>
      </c>
      <c r="G1004" s="1868">
        <v>7.0793800000000005</v>
      </c>
      <c r="H1004" s="1868">
        <v>7.8640499999999998</v>
      </c>
      <c r="I1004" s="1868">
        <v>7.2704399999999998</v>
      </c>
      <c r="J1004" s="1868">
        <v>7.6626300000000001</v>
      </c>
      <c r="K1004" s="1868">
        <v>7.9205800000000002</v>
      </c>
      <c r="L1004" s="1868">
        <v>8.0467499999999994</v>
      </c>
      <c r="M1004" s="1868">
        <v>8.3987499999999997</v>
      </c>
      <c r="N1004" s="1868">
        <v>8.7290600000000005</v>
      </c>
      <c r="O1004" s="1868">
        <v>7.7846600000000006</v>
      </c>
      <c r="P1004" s="1868">
        <v>8.3044399999999996</v>
      </c>
      <c r="Q1004" s="1868">
        <v>9.4084699999999994</v>
      </c>
      <c r="R1004" s="1868">
        <v>8.8249600000000008</v>
      </c>
      <c r="S1004" s="1868">
        <v>9.1022600000000011</v>
      </c>
      <c r="T1004" s="1868">
        <v>9.4743999999999993</v>
      </c>
      <c r="U1004" s="1868">
        <v>9.3664699999999996</v>
      </c>
      <c r="V1004" s="1868">
        <v>9.4732099999999999</v>
      </c>
      <c r="W1004" s="1868">
        <v>9.3192899999999987</v>
      </c>
      <c r="X1004" s="1868">
        <v>10.629339999999999</v>
      </c>
      <c r="Y1004" s="1868">
        <v>10.56118</v>
      </c>
      <c r="Z1004" s="1868">
        <v>10.57306</v>
      </c>
      <c r="AA1004" s="1868">
        <v>11.561439999999999</v>
      </c>
      <c r="AB1004" s="1868">
        <v>11.42511</v>
      </c>
      <c r="AC1004" s="1868">
        <v>10.90869</v>
      </c>
      <c r="AD1004" s="1868">
        <v>11.32391</v>
      </c>
      <c r="AE1004" s="1868">
        <v>12.489319999999999</v>
      </c>
      <c r="AF1004" s="1868">
        <v>12.192769999999999</v>
      </c>
      <c r="AG1004" s="1868">
        <v>11.981619999999999</v>
      </c>
      <c r="AH1004" s="1868">
        <v>11.719010000000001</v>
      </c>
      <c r="AI1004" s="1868">
        <v>11.84498</v>
      </c>
      <c r="AJ1004" s="1868">
        <v>12.249560000000001</v>
      </c>
      <c r="AK1004" s="1868">
        <v>12.873339999999999</v>
      </c>
      <c r="AL1004" s="1868">
        <v>13.22078</v>
      </c>
      <c r="AM1004" s="1868">
        <v>12.833539999999999</v>
      </c>
      <c r="AN1004" s="1868">
        <v>13.757110000000001</v>
      </c>
      <c r="AO1004" s="1868">
        <v>13.743179999999999</v>
      </c>
      <c r="AP1004" s="1868">
        <v>14.095379999999999</v>
      </c>
      <c r="AQ1004" s="1868">
        <v>13.457560000000001</v>
      </c>
      <c r="AR1004" s="1868">
        <v>14.679170000000001</v>
      </c>
      <c r="AS1004" s="1868">
        <v>14.839189999999999</v>
      </c>
      <c r="AT1004" s="1868">
        <v>14.977829999999999</v>
      </c>
      <c r="AU1004" s="1868">
        <v>14.909279999999999</v>
      </c>
      <c r="AV1004" s="1868">
        <v>14.9316</v>
      </c>
      <c r="AW1004" s="1868">
        <v>15.318350000000001</v>
      </c>
      <c r="AX1004" s="1868">
        <v>15.294329999999999</v>
      </c>
      <c r="AY1004" s="1868">
        <v>15.749510000000001</v>
      </c>
      <c r="AZ1004" s="1868">
        <v>15.926</v>
      </c>
      <c r="BA1004" s="1868">
        <v>15.65099</v>
      </c>
    </row>
    <row r="1005" spans="1:53">
      <c r="A1005" s="1865" t="str">
        <f t="shared" si="15"/>
        <v>South AmericaPulses, nes</v>
      </c>
      <c r="B1005" s="1866" t="s">
        <v>311</v>
      </c>
      <c r="C1005" s="1866" t="s">
        <v>1395</v>
      </c>
      <c r="D1005" s="1868">
        <v>0.9378200000000001</v>
      </c>
      <c r="E1005" s="1868">
        <v>0.93938999999999995</v>
      </c>
      <c r="F1005" s="1868">
        <v>0.96572999999999998</v>
      </c>
      <c r="G1005" s="1868">
        <v>0.98431000000000002</v>
      </c>
      <c r="H1005" s="1868">
        <v>1.0045500000000001</v>
      </c>
      <c r="I1005" s="1868">
        <v>1.2017200000000001</v>
      </c>
      <c r="J1005" s="1868">
        <v>1.26291</v>
      </c>
      <c r="K1005" s="1868">
        <v>1.2980100000000001</v>
      </c>
      <c r="L1005" s="1868">
        <v>0.81174999999999997</v>
      </c>
      <c r="M1005" s="1868">
        <v>0.878</v>
      </c>
      <c r="N1005" s="1868">
        <v>0.71194000000000002</v>
      </c>
      <c r="O1005" s="1868">
        <v>0.72421999999999997</v>
      </c>
      <c r="P1005" s="1868">
        <v>0.74282999999999999</v>
      </c>
      <c r="Q1005" s="1868">
        <v>0.80615999999999999</v>
      </c>
      <c r="R1005" s="1868">
        <v>0.85461000000000009</v>
      </c>
      <c r="S1005" s="1868">
        <v>0.84294999999999998</v>
      </c>
      <c r="T1005" s="1868">
        <v>0.81125999999999998</v>
      </c>
      <c r="U1005" s="1868">
        <v>0.74885000000000002</v>
      </c>
      <c r="V1005" s="1868">
        <v>0.74390000000000001</v>
      </c>
      <c r="W1005" s="1868">
        <v>0.76149</v>
      </c>
      <c r="X1005" s="1868">
        <v>0.75356000000000001</v>
      </c>
      <c r="Y1005" s="1868">
        <v>0.80378000000000005</v>
      </c>
      <c r="Z1005" s="1868">
        <v>0.74892000000000003</v>
      </c>
      <c r="AA1005" s="1868">
        <v>0.80363000000000007</v>
      </c>
      <c r="AB1005" s="1868">
        <v>0.80262</v>
      </c>
      <c r="AC1005" s="1868">
        <v>0.79342000000000001</v>
      </c>
      <c r="AD1005" s="1868">
        <v>0.79318</v>
      </c>
      <c r="AE1005" s="1868">
        <v>0.79322000000000004</v>
      </c>
      <c r="AF1005" s="1868">
        <v>0.80506999999999995</v>
      </c>
      <c r="AG1005" s="1868">
        <v>0.64461999999999997</v>
      </c>
      <c r="AH1005" s="1868">
        <v>0.79747000000000001</v>
      </c>
      <c r="AI1005" s="1868">
        <v>0.80896000000000001</v>
      </c>
      <c r="AJ1005" s="1868">
        <v>0.95247000000000004</v>
      </c>
      <c r="AK1005" s="1868">
        <v>0.97657000000000005</v>
      </c>
      <c r="AL1005" s="1868">
        <v>0.94422000000000006</v>
      </c>
      <c r="AM1005" s="1868">
        <v>1.4415500000000001</v>
      </c>
      <c r="AN1005" s="1868">
        <v>1.64872</v>
      </c>
      <c r="AO1005" s="1868">
        <v>2.14689</v>
      </c>
      <c r="AP1005" s="1868">
        <v>1.3365899999999999</v>
      </c>
      <c r="AQ1005" s="1868">
        <v>1.4296899999999999</v>
      </c>
      <c r="AR1005" s="1868">
        <v>1.41831</v>
      </c>
      <c r="AS1005" s="1868">
        <v>1.4017299999999999</v>
      </c>
      <c r="AT1005" s="1868">
        <v>1.39134</v>
      </c>
      <c r="AU1005" s="1868">
        <v>1.37602</v>
      </c>
      <c r="AV1005" s="1868">
        <v>1.3242</v>
      </c>
      <c r="AW1005" s="1868">
        <v>1.3692299999999999</v>
      </c>
      <c r="AX1005" s="1868">
        <v>1.38076</v>
      </c>
      <c r="AY1005" s="1868">
        <v>1.3963099999999999</v>
      </c>
      <c r="AZ1005" s="1868">
        <v>1.4368100000000001</v>
      </c>
      <c r="BA1005" s="1868">
        <v>1.4179899999999999</v>
      </c>
    </row>
    <row r="1006" spans="1:53">
      <c r="A1006" s="1865" t="str">
        <f t="shared" si="15"/>
        <v>South AmericaQuinoa</v>
      </c>
      <c r="B1006" s="1866" t="s">
        <v>311</v>
      </c>
      <c r="C1006" s="1866" t="s">
        <v>1412</v>
      </c>
      <c r="D1006" s="1868">
        <v>0.61716000000000004</v>
      </c>
      <c r="E1006" s="1868">
        <v>0.67069999999999996</v>
      </c>
      <c r="F1006" s="1868">
        <v>0.74439</v>
      </c>
      <c r="G1006" s="1868">
        <v>0.70736999999999994</v>
      </c>
      <c r="H1006" s="1868">
        <v>0.69589999999999996</v>
      </c>
      <c r="I1006" s="1868">
        <v>0.61238999999999999</v>
      </c>
      <c r="J1006" s="1868">
        <v>0.71048</v>
      </c>
      <c r="K1006" s="1868">
        <v>0.62006000000000006</v>
      </c>
      <c r="L1006" s="1868">
        <v>0.55763999999999991</v>
      </c>
      <c r="M1006" s="1868">
        <v>0.60016999999999998</v>
      </c>
      <c r="N1006" s="1868">
        <v>0.56855</v>
      </c>
      <c r="O1006" s="1868">
        <v>0.61136999999999997</v>
      </c>
      <c r="P1006" s="1868">
        <v>0.65554000000000001</v>
      </c>
      <c r="Q1006" s="1868">
        <v>0.66338999999999992</v>
      </c>
      <c r="R1006" s="1868">
        <v>0.71909999999999996</v>
      </c>
      <c r="S1006" s="1868">
        <v>0.66383000000000003</v>
      </c>
      <c r="T1006" s="1868">
        <v>0.46988999999999997</v>
      </c>
      <c r="U1006" s="1868">
        <v>0.48153999999999997</v>
      </c>
      <c r="V1006" s="1868">
        <v>0.53596999999999995</v>
      </c>
      <c r="W1006" s="1868">
        <v>0.72409999999999997</v>
      </c>
      <c r="X1006" s="1868">
        <v>0.62963999999999998</v>
      </c>
      <c r="Y1006" s="1868">
        <v>0.70423999999999998</v>
      </c>
      <c r="Z1006" s="1868">
        <v>0.35419</v>
      </c>
      <c r="AA1006" s="1868">
        <v>0.59567000000000003</v>
      </c>
      <c r="AB1006" s="1868">
        <v>0.48756000000000005</v>
      </c>
      <c r="AC1006" s="1868">
        <v>0.54356000000000004</v>
      </c>
      <c r="AD1006" s="1868">
        <v>0.56126999999999994</v>
      </c>
      <c r="AE1006" s="1868">
        <v>0.56581000000000004</v>
      </c>
      <c r="AF1006" s="1868">
        <v>0.58643999999999996</v>
      </c>
      <c r="AG1006" s="1868">
        <v>0.48359999999999997</v>
      </c>
      <c r="AH1006" s="1868">
        <v>0.63033000000000006</v>
      </c>
      <c r="AI1006" s="1868">
        <v>0.46951000000000004</v>
      </c>
      <c r="AJ1006" s="1868">
        <v>0.64153000000000004</v>
      </c>
      <c r="AK1006" s="1868">
        <v>0.61178999999999994</v>
      </c>
      <c r="AL1006" s="1868">
        <v>0.58586000000000005</v>
      </c>
      <c r="AM1006" s="1868">
        <v>0.70025999999999999</v>
      </c>
      <c r="AN1006" s="1868">
        <v>0.75939999999999996</v>
      </c>
      <c r="AO1006" s="1868">
        <v>0.70335999999999999</v>
      </c>
      <c r="AP1006" s="1868">
        <v>0.77381999999999995</v>
      </c>
      <c r="AQ1006" s="1868">
        <v>0.78503999999999996</v>
      </c>
      <c r="AR1006" s="1868">
        <v>0.72291000000000005</v>
      </c>
      <c r="AS1006" s="1868">
        <v>0.82763999999999993</v>
      </c>
      <c r="AT1006" s="1868">
        <v>0.82142000000000004</v>
      </c>
      <c r="AU1006" s="1868">
        <v>0.77816000000000007</v>
      </c>
      <c r="AV1006" s="1868">
        <v>0.84868999999999994</v>
      </c>
      <c r="AW1006" s="1868">
        <v>0.79044999999999999</v>
      </c>
      <c r="AX1006" s="1868">
        <v>0.76958000000000004</v>
      </c>
      <c r="AY1006" s="1868">
        <v>0.73646</v>
      </c>
      <c r="AZ1006" s="1868">
        <v>0.82342999999999988</v>
      </c>
      <c r="BA1006" s="1868">
        <v>0.82753999999999994</v>
      </c>
    </row>
    <row r="1007" spans="1:53">
      <c r="A1007" s="1865" t="str">
        <f t="shared" si="15"/>
        <v>South AmericaRice, paddy</v>
      </c>
      <c r="B1007" s="1866" t="s">
        <v>311</v>
      </c>
      <c r="C1007" s="1866" t="s">
        <v>1396</v>
      </c>
      <c r="D1007" s="1868">
        <v>1.82456</v>
      </c>
      <c r="E1007" s="1868">
        <v>1.8007400000000002</v>
      </c>
      <c r="F1007" s="1868">
        <v>1.68032</v>
      </c>
      <c r="G1007" s="1868">
        <v>1.6649200000000002</v>
      </c>
      <c r="H1007" s="1868">
        <v>1.7638200000000002</v>
      </c>
      <c r="I1007" s="1868">
        <v>1.62209</v>
      </c>
      <c r="J1007" s="1868">
        <v>1.76006</v>
      </c>
      <c r="K1007" s="1868">
        <v>1.6722999999999999</v>
      </c>
      <c r="L1007" s="1868">
        <v>1.6214999999999999</v>
      </c>
      <c r="M1007" s="1868">
        <v>1.7521</v>
      </c>
      <c r="N1007" s="1868">
        <v>1.64747</v>
      </c>
      <c r="O1007" s="1868">
        <v>1.7656700000000001</v>
      </c>
      <c r="P1007" s="1868">
        <v>1.7884799999999998</v>
      </c>
      <c r="Q1007" s="1868">
        <v>1.8239900000000002</v>
      </c>
      <c r="R1007" s="1868">
        <v>1.8383099999999999</v>
      </c>
      <c r="S1007" s="1868">
        <v>1.74068</v>
      </c>
      <c r="T1007" s="1868">
        <v>1.8352999999999999</v>
      </c>
      <c r="U1007" s="1868">
        <v>1.7008099999999999</v>
      </c>
      <c r="V1007" s="1868">
        <v>1.8142200000000002</v>
      </c>
      <c r="W1007" s="1868">
        <v>1.90283</v>
      </c>
      <c r="X1007" s="1868">
        <v>1.78738</v>
      </c>
      <c r="Y1007" s="1868">
        <v>2.0379</v>
      </c>
      <c r="Z1007" s="1868">
        <v>1.95261</v>
      </c>
      <c r="AA1007" s="1868">
        <v>2.1358700000000002</v>
      </c>
      <c r="AB1007" s="1868">
        <v>2.3151000000000002</v>
      </c>
      <c r="AC1007" s="1868">
        <v>2.20295</v>
      </c>
      <c r="AD1007" s="1868">
        <v>2.1726999999999999</v>
      </c>
      <c r="AE1007" s="1868">
        <v>2.3708900000000002</v>
      </c>
      <c r="AF1007" s="1868">
        <v>2.5510700000000002</v>
      </c>
      <c r="AG1007" s="1868">
        <v>2.4332199999999999</v>
      </c>
      <c r="AH1007" s="1868">
        <v>2.7099900000000003</v>
      </c>
      <c r="AI1007" s="1868">
        <v>2.6045500000000001</v>
      </c>
      <c r="AJ1007" s="1868">
        <v>2.7540200000000001</v>
      </c>
      <c r="AK1007" s="1868">
        <v>2.8992299999999998</v>
      </c>
      <c r="AL1007" s="1868">
        <v>3.0528200000000001</v>
      </c>
      <c r="AM1007" s="1868">
        <v>3.2610799999999998</v>
      </c>
      <c r="AN1007" s="1868">
        <v>3.4362499999999998</v>
      </c>
      <c r="AO1007" s="1868">
        <v>3.2186400000000002</v>
      </c>
      <c r="AP1007" s="1868">
        <v>3.6633300000000002</v>
      </c>
      <c r="AQ1007" s="1868">
        <v>3.7004099999999998</v>
      </c>
      <c r="AR1007" s="1868">
        <v>3.9247699999999996</v>
      </c>
      <c r="AS1007" s="1868">
        <v>3.9699300000000002</v>
      </c>
      <c r="AT1007" s="1868">
        <v>3.96326</v>
      </c>
      <c r="AU1007" s="1868">
        <v>4.1551200000000001</v>
      </c>
      <c r="AV1007" s="1868">
        <v>3.97871</v>
      </c>
      <c r="AW1007" s="1868">
        <v>4.51187</v>
      </c>
      <c r="AX1007" s="1868">
        <v>4.4890600000000003</v>
      </c>
      <c r="AY1007" s="1868">
        <v>4.8461499999999997</v>
      </c>
      <c r="AZ1007" s="1868">
        <v>4.8049099999999996</v>
      </c>
      <c r="BA1007" s="1868">
        <v>4.59368</v>
      </c>
    </row>
    <row r="1008" spans="1:53">
      <c r="A1008" s="1865" t="str">
        <f t="shared" si="15"/>
        <v>South AmericaRoots and Tubers, nes</v>
      </c>
      <c r="B1008" s="1866" t="s">
        <v>311</v>
      </c>
      <c r="C1008" s="1866" t="s">
        <v>1356</v>
      </c>
      <c r="D1008" s="1868">
        <v>4.4352300000000007</v>
      </c>
      <c r="E1008" s="1868">
        <v>4.5038599999999995</v>
      </c>
      <c r="F1008" s="1868">
        <v>4.28003</v>
      </c>
      <c r="G1008" s="1868">
        <v>4.2054</v>
      </c>
      <c r="H1008" s="1868">
        <v>4.2722499999999997</v>
      </c>
      <c r="I1008" s="1868">
        <v>4.0289099999999998</v>
      </c>
      <c r="J1008" s="1868">
        <v>4.1593099999999996</v>
      </c>
      <c r="K1008" s="1868">
        <v>4.1226500000000001</v>
      </c>
      <c r="L1008" s="1868">
        <v>4.2793800000000006</v>
      </c>
      <c r="M1008" s="1868">
        <v>4.3384099999999997</v>
      </c>
      <c r="N1008" s="1868">
        <v>4.2389199999999994</v>
      </c>
      <c r="O1008" s="1868">
        <v>4.2431999999999999</v>
      </c>
      <c r="P1008" s="1868">
        <v>4.1119500000000002</v>
      </c>
      <c r="Q1008" s="1868">
        <v>4.0694900000000001</v>
      </c>
      <c r="R1008" s="1868">
        <v>4.0615500000000004</v>
      </c>
      <c r="S1008" s="1868">
        <v>4.3668300000000002</v>
      </c>
      <c r="T1008" s="1868">
        <v>4.2585800000000003</v>
      </c>
      <c r="U1008" s="1868">
        <v>4.2855699999999999</v>
      </c>
      <c r="V1008" s="1868">
        <v>3.7388300000000001</v>
      </c>
      <c r="W1008" s="1868">
        <v>3.97959</v>
      </c>
      <c r="X1008" s="1868">
        <v>4.1307199999999993</v>
      </c>
      <c r="Y1008" s="1868">
        <v>4.3729199999999997</v>
      </c>
      <c r="Z1008" s="1868">
        <v>4.3198999999999996</v>
      </c>
      <c r="AA1008" s="1868">
        <v>4.3730400000000005</v>
      </c>
      <c r="AB1008" s="1868">
        <v>4.5354700000000001</v>
      </c>
      <c r="AC1008" s="1868">
        <v>4.5932399999999998</v>
      </c>
      <c r="AD1008" s="1868">
        <v>4.5840100000000001</v>
      </c>
      <c r="AE1008" s="1868">
        <v>4.6286199999999997</v>
      </c>
      <c r="AF1008" s="1868">
        <v>4.7344800000000005</v>
      </c>
      <c r="AG1008" s="1868">
        <v>4.9789099999999999</v>
      </c>
      <c r="AH1008" s="1868">
        <v>4.8910800000000005</v>
      </c>
      <c r="AI1008" s="1868">
        <v>4.7424499999999998</v>
      </c>
      <c r="AJ1008" s="1868">
        <v>5.1031900000000006</v>
      </c>
      <c r="AK1008" s="1868">
        <v>4.9251399999999999</v>
      </c>
      <c r="AL1008" s="1868">
        <v>5.0928699999999996</v>
      </c>
      <c r="AM1008" s="1868">
        <v>5.1341800000000006</v>
      </c>
      <c r="AN1008" s="1868">
        <v>5.3658900000000003</v>
      </c>
      <c r="AO1008" s="1868">
        <v>4.9187400000000006</v>
      </c>
      <c r="AP1008" s="1868">
        <v>4.9108999999999998</v>
      </c>
      <c r="AQ1008" s="1868">
        <v>4.9047900000000002</v>
      </c>
      <c r="AR1008" s="1868">
        <v>4.9920200000000001</v>
      </c>
      <c r="AS1008" s="1868">
        <v>5.0132599999999998</v>
      </c>
      <c r="AT1008" s="1868">
        <v>6.0866199999999999</v>
      </c>
      <c r="AU1008" s="1868">
        <v>5.8840399999999997</v>
      </c>
      <c r="AV1008" s="1868">
        <v>5.9271400000000005</v>
      </c>
      <c r="AW1008" s="1868">
        <v>6.0278599999999996</v>
      </c>
      <c r="AX1008" s="1868">
        <v>6.0009499999999996</v>
      </c>
      <c r="AY1008" s="1868">
        <v>5.9768600000000003</v>
      </c>
      <c r="AZ1008" s="1868">
        <v>6.0986799999999999</v>
      </c>
      <c r="BA1008" s="1868">
        <v>6.2844100000000003</v>
      </c>
    </row>
    <row r="1009" spans="1:53">
      <c r="A1009" s="1865" t="str">
        <f t="shared" si="15"/>
        <v>South AmericaRye</v>
      </c>
      <c r="B1009" s="1866" t="s">
        <v>311</v>
      </c>
      <c r="C1009" s="1866" t="s">
        <v>1353</v>
      </c>
      <c r="D1009" s="1868">
        <v>0.73308999999999991</v>
      </c>
      <c r="E1009" s="1868">
        <v>0.59062999999999999</v>
      </c>
      <c r="F1009" s="1868">
        <v>0.81848999999999994</v>
      </c>
      <c r="G1009" s="1868">
        <v>0.84352000000000005</v>
      </c>
      <c r="H1009" s="1868">
        <v>0.74975999999999998</v>
      </c>
      <c r="I1009" s="1868">
        <v>0.66205000000000003</v>
      </c>
      <c r="J1009" s="1868">
        <v>0.63644000000000001</v>
      </c>
      <c r="K1009" s="1868">
        <v>0.61028000000000004</v>
      </c>
      <c r="L1009" s="1868">
        <v>0.72361999999999993</v>
      </c>
      <c r="M1009" s="1868">
        <v>0.53618999999999994</v>
      </c>
      <c r="N1009" s="1868">
        <v>0.61741000000000001</v>
      </c>
      <c r="O1009" s="1868">
        <v>0.92153999999999991</v>
      </c>
      <c r="P1009" s="1868">
        <v>0.93154999999999999</v>
      </c>
      <c r="Q1009" s="1868">
        <v>0.8329200000000001</v>
      </c>
      <c r="R1009" s="1868">
        <v>0.91966000000000003</v>
      </c>
      <c r="S1009" s="1868">
        <v>0.96627999999999992</v>
      </c>
      <c r="T1009" s="1868">
        <v>0.74523000000000006</v>
      </c>
      <c r="U1009" s="1868">
        <v>0.81347000000000003</v>
      </c>
      <c r="V1009" s="1868">
        <v>0.90303999999999995</v>
      </c>
      <c r="W1009" s="1868">
        <v>0.75844</v>
      </c>
      <c r="X1009" s="1868">
        <v>0.92771000000000003</v>
      </c>
      <c r="Y1009" s="1868">
        <v>0.85057000000000005</v>
      </c>
      <c r="Z1009" s="1868">
        <v>0.80651000000000006</v>
      </c>
      <c r="AA1009" s="1868">
        <v>0.97107999999999994</v>
      </c>
      <c r="AB1009" s="1868">
        <v>1.08314</v>
      </c>
      <c r="AC1009" s="1868">
        <v>0.9704299999999999</v>
      </c>
      <c r="AD1009" s="1868">
        <v>0.94164999999999999</v>
      </c>
      <c r="AE1009" s="1868">
        <v>0.78232999999999997</v>
      </c>
      <c r="AF1009" s="1868">
        <v>0.84858999999999996</v>
      </c>
      <c r="AG1009" s="1868">
        <v>0.87043999999999999</v>
      </c>
      <c r="AH1009" s="1868">
        <v>1.0153099999999999</v>
      </c>
      <c r="AI1009" s="1868">
        <v>0.83545000000000003</v>
      </c>
      <c r="AJ1009" s="1868">
        <v>0.88141000000000003</v>
      </c>
      <c r="AK1009" s="1868">
        <v>0.95057000000000003</v>
      </c>
      <c r="AL1009" s="1868">
        <v>0.80431000000000008</v>
      </c>
      <c r="AM1009" s="1868">
        <v>0.92283999999999999</v>
      </c>
      <c r="AN1009" s="1868">
        <v>1.00098</v>
      </c>
      <c r="AO1009" s="1868">
        <v>1.0768500000000001</v>
      </c>
      <c r="AP1009" s="1868">
        <v>1.2856399999999999</v>
      </c>
      <c r="AQ1009" s="1868">
        <v>1.4237299999999999</v>
      </c>
      <c r="AR1009" s="1868">
        <v>1.36209</v>
      </c>
      <c r="AS1009" s="1868">
        <v>1.3708</v>
      </c>
      <c r="AT1009" s="1868">
        <v>0.98019999999999996</v>
      </c>
      <c r="AU1009" s="1868">
        <v>1.4560200000000001</v>
      </c>
      <c r="AV1009" s="1868">
        <v>1.2120799999999998</v>
      </c>
      <c r="AW1009" s="1868">
        <v>1.17727</v>
      </c>
      <c r="AX1009" s="1868">
        <v>1.9712400000000001</v>
      </c>
      <c r="AY1009" s="1868">
        <v>1.1356999999999999</v>
      </c>
      <c r="AZ1009" s="1868">
        <v>1.1597</v>
      </c>
      <c r="BA1009" s="1868">
        <v>1.8565099999999999</v>
      </c>
    </row>
    <row r="1010" spans="1:53">
      <c r="A1010" s="1865" t="str">
        <f t="shared" si="15"/>
        <v>South AmericaSeed cotton</v>
      </c>
      <c r="B1010" s="1866" t="s">
        <v>311</v>
      </c>
      <c r="C1010" s="1866" t="s">
        <v>1397</v>
      </c>
      <c r="D1010" s="1868">
        <v>0.76793</v>
      </c>
      <c r="E1010" s="1868">
        <v>0.81084999999999996</v>
      </c>
      <c r="F1010" s="1868">
        <v>0.79391</v>
      </c>
      <c r="G1010" s="1868">
        <v>0.75155000000000005</v>
      </c>
      <c r="H1010" s="1868">
        <v>0.72592000000000001</v>
      </c>
      <c r="I1010" s="1868">
        <v>0.83173999999999992</v>
      </c>
      <c r="J1010" s="1868">
        <v>0.57047000000000003</v>
      </c>
      <c r="K1010" s="1868">
        <v>0.63146000000000002</v>
      </c>
      <c r="L1010" s="1868">
        <v>0.62368999999999997</v>
      </c>
      <c r="M1010" s="1868">
        <v>0.59633999999999998</v>
      </c>
      <c r="N1010" s="1868">
        <v>0.58543000000000001</v>
      </c>
      <c r="O1010" s="1868">
        <v>0.58621000000000001</v>
      </c>
      <c r="P1010" s="1868">
        <v>0.65837000000000001</v>
      </c>
      <c r="Q1010" s="1868">
        <v>0.70069999999999999</v>
      </c>
      <c r="R1010" s="1868">
        <v>0.64044999999999996</v>
      </c>
      <c r="S1010" s="1868">
        <v>0.56694999999999995</v>
      </c>
      <c r="T1010" s="1868">
        <v>0.63395000000000001</v>
      </c>
      <c r="U1010" s="1868">
        <v>0.60006000000000004</v>
      </c>
      <c r="V1010" s="1868">
        <v>0.61206000000000005</v>
      </c>
      <c r="W1010" s="1868">
        <v>0.62748000000000004</v>
      </c>
      <c r="X1010" s="1868">
        <v>0.68757000000000001</v>
      </c>
      <c r="Y1010" s="1868">
        <v>0.69196000000000002</v>
      </c>
      <c r="Z1010" s="1868">
        <v>0.68537000000000003</v>
      </c>
      <c r="AA1010" s="1868">
        <v>0.87703999999999993</v>
      </c>
      <c r="AB1010" s="1868">
        <v>0.94847999999999988</v>
      </c>
      <c r="AC1010" s="1868">
        <v>0.88354999999999995</v>
      </c>
      <c r="AD1010" s="1868">
        <v>0.97885</v>
      </c>
      <c r="AE1010" s="1868">
        <v>1.2001500000000001</v>
      </c>
      <c r="AF1010" s="1868">
        <v>1.09348</v>
      </c>
      <c r="AG1010" s="1868">
        <v>1.2250000000000001</v>
      </c>
      <c r="AH1010" s="1868">
        <v>1.29596</v>
      </c>
      <c r="AI1010" s="1868">
        <v>1.07484</v>
      </c>
      <c r="AJ1010" s="1868">
        <v>1.27441</v>
      </c>
      <c r="AK1010" s="1868">
        <v>1.2525999999999999</v>
      </c>
      <c r="AL1010" s="1868">
        <v>1.4028700000000001</v>
      </c>
      <c r="AM1010" s="1868">
        <v>1.3564100000000001</v>
      </c>
      <c r="AN1010" s="1868">
        <v>1.2593399999999999</v>
      </c>
      <c r="AO1010" s="1868">
        <v>1.2619899999999999</v>
      </c>
      <c r="AP1010" s="1868">
        <v>1.51997</v>
      </c>
      <c r="AQ1010" s="1868">
        <v>1.9119700000000002</v>
      </c>
      <c r="AR1010" s="1868">
        <v>2.1288299999999998</v>
      </c>
      <c r="AS1010" s="1868">
        <v>2.1462599999999998</v>
      </c>
      <c r="AT1010" s="1868">
        <v>2.3277999999999999</v>
      </c>
      <c r="AU1010" s="1868">
        <v>2.48197</v>
      </c>
      <c r="AV1010" s="1868">
        <v>2.2180599999999999</v>
      </c>
      <c r="AW1010" s="1868">
        <v>2.28504</v>
      </c>
      <c r="AX1010" s="1868">
        <v>2.7470500000000002</v>
      </c>
      <c r="AY1010" s="1868">
        <v>2.9416799999999999</v>
      </c>
      <c r="AZ1010" s="1868">
        <v>2.6603300000000001</v>
      </c>
      <c r="BA1010" s="1868">
        <v>2.6310700000000002</v>
      </c>
    </row>
    <row r="1011" spans="1:53">
      <c r="A1011" s="1865" t="str">
        <f t="shared" si="15"/>
        <v>South AmericaSesame seed</v>
      </c>
      <c r="B1011" s="1866" t="s">
        <v>311</v>
      </c>
      <c r="C1011" s="1866" t="s">
        <v>1345</v>
      </c>
      <c r="D1011" s="1868">
        <v>0.53259999999999996</v>
      </c>
      <c r="E1011" s="1868">
        <v>0.50529999999999997</v>
      </c>
      <c r="F1011" s="1868">
        <v>0.52918999999999994</v>
      </c>
      <c r="G1011" s="1868">
        <v>0.63251999999999997</v>
      </c>
      <c r="H1011" s="1868">
        <v>0.61492000000000002</v>
      </c>
      <c r="I1011" s="1868">
        <v>0.62192999999999998</v>
      </c>
      <c r="J1011" s="1868">
        <v>0.59702</v>
      </c>
      <c r="K1011" s="1868">
        <v>0.57726999999999995</v>
      </c>
      <c r="L1011" s="1868">
        <v>0.56443999999999994</v>
      </c>
      <c r="M1011" s="1868">
        <v>0.69616</v>
      </c>
      <c r="N1011" s="1868">
        <v>0.58296000000000003</v>
      </c>
      <c r="O1011" s="1868">
        <v>0.58199000000000001</v>
      </c>
      <c r="P1011" s="1868">
        <v>0.51654</v>
      </c>
      <c r="Q1011" s="1868">
        <v>0.43846999999999997</v>
      </c>
      <c r="R1011" s="1868">
        <v>0.49068999999999996</v>
      </c>
      <c r="S1011" s="1868">
        <v>0.48268</v>
      </c>
      <c r="T1011" s="1868">
        <v>0.55091000000000001</v>
      </c>
      <c r="U1011" s="1868">
        <v>0.47371999999999997</v>
      </c>
      <c r="V1011" s="1868">
        <v>0.67008000000000001</v>
      </c>
      <c r="W1011" s="1868">
        <v>0.61168999999999996</v>
      </c>
      <c r="X1011" s="1868">
        <v>0.62918999999999992</v>
      </c>
      <c r="Y1011" s="1868">
        <v>0.57310000000000005</v>
      </c>
      <c r="Z1011" s="1868">
        <v>0.53237000000000001</v>
      </c>
      <c r="AA1011" s="1868">
        <v>0.52888000000000002</v>
      </c>
      <c r="AB1011" s="1868">
        <v>0.50770999999999999</v>
      </c>
      <c r="AC1011" s="1868">
        <v>0.53959000000000001</v>
      </c>
      <c r="AD1011" s="1868">
        <v>0.45148999999999995</v>
      </c>
      <c r="AE1011" s="1868">
        <v>0.47463999999999995</v>
      </c>
      <c r="AF1011" s="1868">
        <v>0.52056000000000002</v>
      </c>
      <c r="AG1011" s="1868">
        <v>0.54222999999999999</v>
      </c>
      <c r="AH1011" s="1868">
        <v>0.46623000000000003</v>
      </c>
      <c r="AI1011" s="1868">
        <v>0.57069999999999999</v>
      </c>
      <c r="AJ1011" s="1868">
        <v>0.57023000000000001</v>
      </c>
      <c r="AK1011" s="1868">
        <v>0.53871999999999998</v>
      </c>
      <c r="AL1011" s="1868">
        <v>0.58435000000000004</v>
      </c>
      <c r="AM1011" s="1868">
        <v>0.62875000000000003</v>
      </c>
      <c r="AN1011" s="1868">
        <v>0.62658000000000003</v>
      </c>
      <c r="AO1011" s="1868">
        <v>0.59814000000000001</v>
      </c>
      <c r="AP1011" s="1868">
        <v>0.67735000000000001</v>
      </c>
      <c r="AQ1011" s="1868">
        <v>0.68579999999999997</v>
      </c>
      <c r="AR1011" s="1868">
        <v>0.67471000000000003</v>
      </c>
      <c r="AS1011" s="1868">
        <v>0.88102000000000003</v>
      </c>
      <c r="AT1011" s="1868">
        <v>0.82169999999999999</v>
      </c>
      <c r="AU1011" s="1868">
        <v>0.65041000000000004</v>
      </c>
      <c r="AV1011" s="1868">
        <v>0.61076000000000008</v>
      </c>
      <c r="AW1011" s="1868">
        <v>0.71213000000000004</v>
      </c>
      <c r="AX1011" s="1868">
        <v>0.71401000000000003</v>
      </c>
      <c r="AY1011" s="1868">
        <v>0.59513000000000005</v>
      </c>
      <c r="AZ1011" s="1868">
        <v>0.60255999999999998</v>
      </c>
      <c r="BA1011" s="1868">
        <v>0.57004999999999995</v>
      </c>
    </row>
    <row r="1012" spans="1:53">
      <c r="A1012" s="1865" t="str">
        <f t="shared" si="15"/>
        <v>South AmericaSisal</v>
      </c>
      <c r="B1012" s="1866" t="s">
        <v>311</v>
      </c>
      <c r="C1012" s="1866" t="s">
        <v>1398</v>
      </c>
      <c r="D1012" s="1868">
        <v>0.83189000000000002</v>
      </c>
      <c r="E1012" s="1868">
        <v>0.83116000000000001</v>
      </c>
      <c r="F1012" s="1868">
        <v>0.7288</v>
      </c>
      <c r="G1012" s="1868">
        <v>0.62928000000000006</v>
      </c>
      <c r="H1012" s="1868">
        <v>0.61814999999999998</v>
      </c>
      <c r="I1012" s="1868">
        <v>0.61451</v>
      </c>
      <c r="J1012" s="1868">
        <v>0.61808999999999992</v>
      </c>
      <c r="K1012" s="1868">
        <v>0.60071000000000008</v>
      </c>
      <c r="L1012" s="1868">
        <v>0.67826000000000009</v>
      </c>
      <c r="M1012" s="1868">
        <v>0.67796000000000001</v>
      </c>
      <c r="N1012" s="1868">
        <v>1.02704</v>
      </c>
      <c r="O1012" s="1868">
        <v>1.0105899999999999</v>
      </c>
      <c r="P1012" s="1868">
        <v>1.0608899999999999</v>
      </c>
      <c r="Q1012" s="1868">
        <v>1.1079000000000001</v>
      </c>
      <c r="R1012" s="1868">
        <v>0.97117000000000009</v>
      </c>
      <c r="S1012" s="1868">
        <v>0.61719999999999997</v>
      </c>
      <c r="T1012" s="1868">
        <v>0.77348000000000006</v>
      </c>
      <c r="U1012" s="1868">
        <v>0.75758000000000003</v>
      </c>
      <c r="V1012" s="1868">
        <v>0.80018999999999996</v>
      </c>
      <c r="W1012" s="1868">
        <v>0.79861000000000004</v>
      </c>
      <c r="X1012" s="1868">
        <v>0.77018999999999993</v>
      </c>
      <c r="Y1012" s="1868">
        <v>0.73219999999999996</v>
      </c>
      <c r="Z1012" s="1868">
        <v>0.59909999999999997</v>
      </c>
      <c r="AA1012" s="1868">
        <v>0.71135000000000004</v>
      </c>
      <c r="AB1012" s="1868">
        <v>0.88018999999999992</v>
      </c>
      <c r="AC1012" s="1868">
        <v>0.77376999999999996</v>
      </c>
      <c r="AD1012" s="1868">
        <v>0.65888999999999998</v>
      </c>
      <c r="AE1012" s="1868">
        <v>0.70596000000000003</v>
      </c>
      <c r="AF1012" s="1868">
        <v>0.82856000000000007</v>
      </c>
      <c r="AG1012" s="1868">
        <v>0.75734999999999997</v>
      </c>
      <c r="AH1012" s="1868">
        <v>0.79211999999999994</v>
      </c>
      <c r="AI1012" s="1868">
        <v>0.79588000000000003</v>
      </c>
      <c r="AJ1012" s="1868">
        <v>0.71958</v>
      </c>
      <c r="AK1012" s="1868">
        <v>0.75953999999999999</v>
      </c>
      <c r="AL1012" s="1868">
        <v>0.81115000000000004</v>
      </c>
      <c r="AM1012" s="1868">
        <v>0.91553999999999991</v>
      </c>
      <c r="AN1012" s="1868">
        <v>0.92635000000000001</v>
      </c>
      <c r="AO1012" s="1868">
        <v>0.75103999999999993</v>
      </c>
      <c r="AP1012" s="1868">
        <v>1.0636399999999999</v>
      </c>
      <c r="AQ1012" s="1868">
        <v>1.0033399999999999</v>
      </c>
      <c r="AR1012" s="1868">
        <v>0.89485999999999999</v>
      </c>
      <c r="AS1012" s="1868">
        <v>0.84950000000000003</v>
      </c>
      <c r="AT1012" s="1868">
        <v>0.85532000000000008</v>
      </c>
      <c r="AU1012" s="1868">
        <v>0.8585799999999999</v>
      </c>
      <c r="AV1012" s="1868">
        <v>0.89272999999999991</v>
      </c>
      <c r="AW1012" s="1868">
        <v>0.89088999999999996</v>
      </c>
      <c r="AX1012" s="1868">
        <v>0.89393999999999996</v>
      </c>
      <c r="AY1012" s="1868">
        <v>0.88097999999999987</v>
      </c>
      <c r="AZ1012" s="1868">
        <v>1.03542</v>
      </c>
      <c r="BA1012" s="1868">
        <v>0.94499999999999995</v>
      </c>
    </row>
    <row r="1013" spans="1:53">
      <c r="A1013" s="1865" t="str">
        <f t="shared" si="15"/>
        <v>South AmericaSorghum</v>
      </c>
      <c r="B1013" s="1866" t="s">
        <v>311</v>
      </c>
      <c r="C1013" s="1866" t="s">
        <v>1399</v>
      </c>
      <c r="D1013" s="1868">
        <v>1.87418</v>
      </c>
      <c r="E1013" s="1868">
        <v>1.8551200000000001</v>
      </c>
      <c r="F1013" s="1868">
        <v>1.4235500000000001</v>
      </c>
      <c r="G1013" s="1868">
        <v>1.53149</v>
      </c>
      <c r="H1013" s="1868">
        <v>1.3002400000000001</v>
      </c>
      <c r="I1013" s="1868">
        <v>2.0656599999999998</v>
      </c>
      <c r="J1013" s="1868">
        <v>1.57453</v>
      </c>
      <c r="K1013" s="1868">
        <v>1.60877</v>
      </c>
      <c r="L1013" s="1868">
        <v>1.7923500000000001</v>
      </c>
      <c r="M1013" s="1868">
        <v>1.9244299999999999</v>
      </c>
      <c r="N1013" s="1868">
        <v>2.0257999999999998</v>
      </c>
      <c r="O1013" s="1868">
        <v>1.6194999999999999</v>
      </c>
      <c r="P1013" s="1868">
        <v>2.2137099999999998</v>
      </c>
      <c r="Q1013" s="1868">
        <v>2.4348099999999997</v>
      </c>
      <c r="R1013" s="1868">
        <v>2.4135900000000001</v>
      </c>
      <c r="S1013" s="1868">
        <v>2.63056</v>
      </c>
      <c r="T1013" s="1868">
        <v>2.6034900000000003</v>
      </c>
      <c r="U1013" s="1868">
        <v>2.9267500000000002</v>
      </c>
      <c r="V1013" s="1868">
        <v>2.7317</v>
      </c>
      <c r="W1013" s="1868">
        <v>2.2053500000000001</v>
      </c>
      <c r="X1013" s="1868">
        <v>3.2386200000000001</v>
      </c>
      <c r="Y1013" s="1868">
        <v>2.9024900000000002</v>
      </c>
      <c r="Z1013" s="1868">
        <v>2.94929</v>
      </c>
      <c r="AA1013" s="1868">
        <v>2.7430300000000001</v>
      </c>
      <c r="AB1013" s="1868">
        <v>2.8733299999999997</v>
      </c>
      <c r="AC1013" s="1868">
        <v>2.7555999999999998</v>
      </c>
      <c r="AD1013" s="1868">
        <v>2.6524000000000001</v>
      </c>
      <c r="AE1013" s="1868">
        <v>2.7790599999999999</v>
      </c>
      <c r="AF1013" s="1868">
        <v>2.3009200000000001</v>
      </c>
      <c r="AG1013" s="1868">
        <v>2.6056400000000002</v>
      </c>
      <c r="AH1013" s="1868">
        <v>2.7906599999999999</v>
      </c>
      <c r="AI1013" s="1868">
        <v>3.0435300000000001</v>
      </c>
      <c r="AJ1013" s="1868">
        <v>3.306</v>
      </c>
      <c r="AK1013" s="1868">
        <v>2.89113</v>
      </c>
      <c r="AL1013" s="1868">
        <v>2.87886</v>
      </c>
      <c r="AM1013" s="1868">
        <v>3.0817399999999999</v>
      </c>
      <c r="AN1013" s="1868">
        <v>3.0330699999999999</v>
      </c>
      <c r="AO1013" s="1868">
        <v>3.6101400000000003</v>
      </c>
      <c r="AP1013" s="1868">
        <v>3.2487900000000001</v>
      </c>
      <c r="AQ1013" s="1868">
        <v>3.00265</v>
      </c>
      <c r="AR1013" s="1868">
        <v>3.1483300000000001</v>
      </c>
      <c r="AS1013" s="1868">
        <v>3.3927099999999997</v>
      </c>
      <c r="AT1013" s="1868">
        <v>3.1736400000000002</v>
      </c>
      <c r="AU1013" s="1868">
        <v>2.9420199999999999</v>
      </c>
      <c r="AV1013" s="1868">
        <v>3.15422</v>
      </c>
      <c r="AW1013" s="1868">
        <v>3.0490699999999999</v>
      </c>
      <c r="AX1013" s="1868">
        <v>3.2259099999999998</v>
      </c>
      <c r="AY1013" s="1868">
        <v>3.2583599999999997</v>
      </c>
      <c r="AZ1013" s="1868">
        <v>2.8020099999999997</v>
      </c>
      <c r="BA1013" s="1868">
        <v>3.34924</v>
      </c>
    </row>
    <row r="1014" spans="1:53">
      <c r="A1014" s="1865" t="str">
        <f t="shared" si="15"/>
        <v>South AmericaSoybeans</v>
      </c>
      <c r="B1014" s="1866" t="s">
        <v>311</v>
      </c>
      <c r="C1014" s="1866" t="s">
        <v>1359</v>
      </c>
      <c r="D1014" s="1868">
        <v>1.1458200000000001</v>
      </c>
      <c r="E1014" s="1868">
        <v>1.1155899999999999</v>
      </c>
      <c r="F1014" s="1868">
        <v>0.99480000000000002</v>
      </c>
      <c r="G1014" s="1868">
        <v>0.93879999999999997</v>
      </c>
      <c r="H1014" s="1868">
        <v>1.2498400000000001</v>
      </c>
      <c r="I1014" s="1868">
        <v>1.23553</v>
      </c>
      <c r="J1014" s="1868">
        <v>1.20875</v>
      </c>
      <c r="K1014" s="1868">
        <v>1.0063500000000001</v>
      </c>
      <c r="L1014" s="1868">
        <v>1.23112</v>
      </c>
      <c r="M1014" s="1868">
        <v>1.1866700000000001</v>
      </c>
      <c r="N1014" s="1868">
        <v>1.2417</v>
      </c>
      <c r="O1014" s="1868">
        <v>1.4656100000000001</v>
      </c>
      <c r="P1014" s="1868">
        <v>1.40778</v>
      </c>
      <c r="Q1014" s="1868">
        <v>1.52962</v>
      </c>
      <c r="R1014" s="1868">
        <v>1.67658</v>
      </c>
      <c r="S1014" s="1868">
        <v>1.7362200000000001</v>
      </c>
      <c r="T1014" s="1868">
        <v>1.7937700000000001</v>
      </c>
      <c r="U1014" s="1868">
        <v>1.3486100000000001</v>
      </c>
      <c r="V1014" s="1868">
        <v>1.4193499999999999</v>
      </c>
      <c r="W1014" s="1868">
        <v>1.6995200000000001</v>
      </c>
      <c r="X1014" s="1868">
        <v>1.8116700000000001</v>
      </c>
      <c r="Y1014" s="1868">
        <v>1.6612200000000001</v>
      </c>
      <c r="Z1014" s="1868">
        <v>1.7676599999999998</v>
      </c>
      <c r="AA1014" s="1868">
        <v>1.81203</v>
      </c>
      <c r="AB1014" s="1868">
        <v>1.8330400000000002</v>
      </c>
      <c r="AC1014" s="1868">
        <v>1.63598</v>
      </c>
      <c r="AD1014" s="1868">
        <v>1.8743000000000001</v>
      </c>
      <c r="AE1014" s="1868">
        <v>1.8723700000000001</v>
      </c>
      <c r="AF1014" s="1868">
        <v>1.8904299999999998</v>
      </c>
      <c r="AG1014" s="1868">
        <v>1.86555</v>
      </c>
      <c r="AH1014" s="1868">
        <v>1.8239400000000001</v>
      </c>
      <c r="AI1014" s="1868">
        <v>2.1301400000000004</v>
      </c>
      <c r="AJ1014" s="1868">
        <v>2.16154</v>
      </c>
      <c r="AK1014" s="1868">
        <v>2.1404000000000001</v>
      </c>
      <c r="AL1014" s="1868">
        <v>2.1733599999999997</v>
      </c>
      <c r="AM1014" s="1868">
        <v>2.2171099999999999</v>
      </c>
      <c r="AN1014" s="1868">
        <v>2.1215799999999998</v>
      </c>
      <c r="AO1014" s="1868">
        <v>2.46163</v>
      </c>
      <c r="AP1014" s="1868">
        <v>2.3865099999999999</v>
      </c>
      <c r="AQ1014" s="1868">
        <v>2.36774</v>
      </c>
      <c r="AR1014" s="1868">
        <v>2.6783799999999998</v>
      </c>
      <c r="AS1014" s="1868">
        <v>2.5883700000000003</v>
      </c>
      <c r="AT1014" s="1868">
        <v>2.7918400000000001</v>
      </c>
      <c r="AU1014" s="1868">
        <v>2.2341700000000002</v>
      </c>
      <c r="AV1014" s="1868">
        <v>2.3807999999999998</v>
      </c>
      <c r="AW1014" s="1868">
        <v>2.4374500000000001</v>
      </c>
      <c r="AX1014" s="1868">
        <v>2.8220299999999998</v>
      </c>
      <c r="AY1014" s="1868">
        <v>2.76498</v>
      </c>
      <c r="AZ1014" s="1868">
        <v>2.2201</v>
      </c>
      <c r="BA1014" s="1868">
        <v>2.8665599999999998</v>
      </c>
    </row>
    <row r="1015" spans="1:53">
      <c r="A1015" s="1865" t="str">
        <f t="shared" si="15"/>
        <v>South AmericaStrawberries</v>
      </c>
      <c r="B1015" s="1866" t="s">
        <v>311</v>
      </c>
      <c r="C1015" s="1866" t="s">
        <v>1400</v>
      </c>
      <c r="D1015" s="1868">
        <v>19.479770000000002</v>
      </c>
      <c r="E1015" s="1868">
        <v>19.556820000000002</v>
      </c>
      <c r="F1015" s="1868">
        <v>19.603349999999999</v>
      </c>
      <c r="G1015" s="1868">
        <v>20.54645</v>
      </c>
      <c r="H1015" s="1868">
        <v>18.37968</v>
      </c>
      <c r="I1015" s="1868">
        <v>15.406929999999999</v>
      </c>
      <c r="J1015" s="1868">
        <v>12.69469</v>
      </c>
      <c r="K1015" s="1868">
        <v>12.09384</v>
      </c>
      <c r="L1015" s="1868">
        <v>14.106620000000001</v>
      </c>
      <c r="M1015" s="1868">
        <v>13.023260000000001</v>
      </c>
      <c r="N1015" s="1868">
        <v>19.531860000000002</v>
      </c>
      <c r="O1015" s="1868">
        <v>24.880370000000003</v>
      </c>
      <c r="P1015" s="1868">
        <v>26.044820000000001</v>
      </c>
      <c r="Q1015" s="1868">
        <v>29.388890000000004</v>
      </c>
      <c r="R1015" s="1868">
        <v>22.557310000000001</v>
      </c>
      <c r="S1015" s="1868">
        <v>22.694659999999999</v>
      </c>
      <c r="T1015" s="1868">
        <v>21.016639999999999</v>
      </c>
      <c r="U1015" s="1868">
        <v>18.596339999999998</v>
      </c>
      <c r="V1015" s="1868">
        <v>18.540849999999999</v>
      </c>
      <c r="W1015" s="1868">
        <v>22.32931</v>
      </c>
      <c r="X1015" s="1868">
        <v>24.021520000000002</v>
      </c>
      <c r="Y1015" s="1868">
        <v>24.389150000000001</v>
      </c>
      <c r="Z1015" s="1868">
        <v>22.170189999999998</v>
      </c>
      <c r="AA1015" s="1868">
        <v>20.255659999999999</v>
      </c>
      <c r="AB1015" s="1868">
        <v>12.19462</v>
      </c>
      <c r="AC1015" s="1868">
        <v>11.468869999999999</v>
      </c>
      <c r="AD1015" s="1868">
        <v>11.81269</v>
      </c>
      <c r="AE1015" s="1868">
        <v>12.010669999999999</v>
      </c>
      <c r="AF1015" s="1868">
        <v>11.839689999999999</v>
      </c>
      <c r="AG1015" s="1868">
        <v>11.67192</v>
      </c>
      <c r="AH1015" s="1868">
        <v>11.24067</v>
      </c>
      <c r="AI1015" s="1868">
        <v>10.993269999999999</v>
      </c>
      <c r="AJ1015" s="1868">
        <v>11.120050000000001</v>
      </c>
      <c r="AK1015" s="1868">
        <v>11.173769999999999</v>
      </c>
      <c r="AL1015" s="1868">
        <v>11.26153</v>
      </c>
      <c r="AM1015" s="1868">
        <v>11.82277</v>
      </c>
      <c r="AN1015" s="1868">
        <v>13.792070000000001</v>
      </c>
      <c r="AO1015" s="1868">
        <v>13.437289999999999</v>
      </c>
      <c r="AP1015" s="1868">
        <v>11.81512</v>
      </c>
      <c r="AQ1015" s="1868">
        <v>13.935310000000001</v>
      </c>
      <c r="AR1015" s="1868">
        <v>16.319839999999999</v>
      </c>
      <c r="AS1015" s="1868">
        <v>15.956160000000001</v>
      </c>
      <c r="AT1015" s="1868">
        <v>14.641670000000001</v>
      </c>
      <c r="AU1015" s="1868">
        <v>14.229610000000001</v>
      </c>
      <c r="AV1015" s="1868">
        <v>14.722010000000001</v>
      </c>
      <c r="AW1015" s="1868">
        <v>15.866370000000002</v>
      </c>
      <c r="AX1015" s="1868">
        <v>16.913599999999999</v>
      </c>
      <c r="AY1015" s="1868">
        <v>16.85772</v>
      </c>
      <c r="AZ1015" s="1868">
        <v>17.766020000000001</v>
      </c>
      <c r="BA1015" s="1868">
        <v>18.07255</v>
      </c>
    </row>
    <row r="1016" spans="1:53">
      <c r="A1016" s="1865" t="str">
        <f t="shared" si="15"/>
        <v>South AmericaSugar beet</v>
      </c>
      <c r="B1016" s="1866" t="s">
        <v>311</v>
      </c>
      <c r="C1016" s="1866" t="s">
        <v>1358</v>
      </c>
      <c r="D1016" s="1868">
        <v>25.576170000000001</v>
      </c>
      <c r="E1016" s="1868">
        <v>27.646690000000003</v>
      </c>
      <c r="F1016" s="1868">
        <v>37.613300000000002</v>
      </c>
      <c r="G1016" s="1868">
        <v>26.770029999999998</v>
      </c>
      <c r="H1016" s="1868">
        <v>31.523520000000001</v>
      </c>
      <c r="I1016" s="1868">
        <v>36.505459999999999</v>
      </c>
      <c r="J1016" s="1868">
        <v>32.915570000000002</v>
      </c>
      <c r="K1016" s="1868">
        <v>29.253259999999997</v>
      </c>
      <c r="L1016" s="1868">
        <v>33.928849999999997</v>
      </c>
      <c r="M1016" s="1868">
        <v>37.267590000000006</v>
      </c>
      <c r="N1016" s="1868">
        <v>37.284739999999999</v>
      </c>
      <c r="O1016" s="1868">
        <v>32.5002</v>
      </c>
      <c r="P1016" s="1868">
        <v>32.067900000000002</v>
      </c>
      <c r="Q1016" s="1868">
        <v>34.957879999999996</v>
      </c>
      <c r="R1016" s="1868">
        <v>33.728729999999999</v>
      </c>
      <c r="S1016" s="1868">
        <v>33.845440000000004</v>
      </c>
      <c r="T1016" s="1868">
        <v>36.698129999999999</v>
      </c>
      <c r="U1016" s="1868">
        <v>30.553270000000001</v>
      </c>
      <c r="V1016" s="1868">
        <v>31.845050000000001</v>
      </c>
      <c r="W1016" s="1868">
        <v>38.352309999999996</v>
      </c>
      <c r="X1016" s="1868">
        <v>38.268440000000005</v>
      </c>
      <c r="Y1016" s="1868">
        <v>40.793340000000001</v>
      </c>
      <c r="Z1016" s="1868">
        <v>41.81747</v>
      </c>
      <c r="AA1016" s="1868">
        <v>42.487929999999999</v>
      </c>
      <c r="AB1016" s="1868">
        <v>44.209759999999996</v>
      </c>
      <c r="AC1016" s="1868">
        <v>48.003900000000002</v>
      </c>
      <c r="AD1016" s="1868">
        <v>46.084769999999999</v>
      </c>
      <c r="AE1016" s="1868">
        <v>49.651870000000002</v>
      </c>
      <c r="AF1016" s="1868">
        <v>52.963230000000003</v>
      </c>
      <c r="AG1016" s="1868">
        <v>53.317130000000006</v>
      </c>
      <c r="AH1016" s="1868">
        <v>54.890059999999998</v>
      </c>
      <c r="AI1016" s="1868">
        <v>65.040009999999995</v>
      </c>
      <c r="AJ1016" s="1868">
        <v>63.644980000000004</v>
      </c>
      <c r="AK1016" s="1868">
        <v>65.727040000000002</v>
      </c>
      <c r="AL1016" s="1868">
        <v>69.032560000000004</v>
      </c>
      <c r="AM1016" s="1868">
        <v>60.938309999999994</v>
      </c>
      <c r="AN1016" s="1868">
        <v>61.768030000000003</v>
      </c>
      <c r="AO1016" s="1868">
        <v>57.911869999999993</v>
      </c>
      <c r="AP1016" s="1868">
        <v>59.419840000000001</v>
      </c>
      <c r="AQ1016" s="1868">
        <v>61.757800000000003</v>
      </c>
      <c r="AR1016" s="1868">
        <v>67.18235</v>
      </c>
      <c r="AS1016" s="1868">
        <v>71.602760000000004</v>
      </c>
      <c r="AT1016" s="1868">
        <v>74.628969999999995</v>
      </c>
      <c r="AU1016" s="1868">
        <v>73.170079999999999</v>
      </c>
      <c r="AV1016" s="1868">
        <v>77.926640000000006</v>
      </c>
      <c r="AW1016" s="1868">
        <v>74.196510000000004</v>
      </c>
      <c r="AX1016" s="1868">
        <v>71.248140000000006</v>
      </c>
      <c r="AY1016" s="1868">
        <v>70.692009999999996</v>
      </c>
      <c r="AZ1016" s="1868">
        <v>69.6952</v>
      </c>
      <c r="BA1016" s="1868">
        <v>77.30677</v>
      </c>
    </row>
    <row r="1017" spans="1:53">
      <c r="A1017" s="1865" t="str">
        <f t="shared" si="15"/>
        <v>South AmericaSugar cane</v>
      </c>
      <c r="B1017" s="1866" t="s">
        <v>311</v>
      </c>
      <c r="C1017" s="1866" t="s">
        <v>1401</v>
      </c>
      <c r="D1017" s="1868">
        <v>48.820630000000001</v>
      </c>
      <c r="E1017" s="1868">
        <v>48.966050000000003</v>
      </c>
      <c r="F1017" s="1868">
        <v>48.828949999999999</v>
      </c>
      <c r="G1017" s="1868">
        <v>49.364090000000004</v>
      </c>
      <c r="H1017" s="1868">
        <v>49.607509999999998</v>
      </c>
      <c r="I1017" s="1868">
        <v>52.42398</v>
      </c>
      <c r="J1017" s="1868">
        <v>51.647799999999997</v>
      </c>
      <c r="K1017" s="1868">
        <v>51.75562</v>
      </c>
      <c r="L1017" s="1868">
        <v>51.412509999999997</v>
      </c>
      <c r="M1017" s="1868">
        <v>51.762300000000003</v>
      </c>
      <c r="N1017" s="1868">
        <v>51.98827</v>
      </c>
      <c r="O1017" s="1868">
        <v>52.663630000000005</v>
      </c>
      <c r="P1017" s="1868">
        <v>53.077359999999999</v>
      </c>
      <c r="Q1017" s="1868">
        <v>52.816969999999998</v>
      </c>
      <c r="R1017" s="1868">
        <v>54.34131</v>
      </c>
      <c r="S1017" s="1868">
        <v>54.927859999999995</v>
      </c>
      <c r="T1017" s="1868">
        <v>56.397090000000006</v>
      </c>
      <c r="U1017" s="1868">
        <v>57.001519999999992</v>
      </c>
      <c r="V1017" s="1868">
        <v>57.570619999999998</v>
      </c>
      <c r="W1017" s="1868">
        <v>60.292790000000004</v>
      </c>
      <c r="X1017" s="1868">
        <v>57.410669999999996</v>
      </c>
      <c r="Y1017" s="1868">
        <v>61.876930000000002</v>
      </c>
      <c r="Z1017" s="1868">
        <v>63.180180000000007</v>
      </c>
      <c r="AA1017" s="1868">
        <v>61.584499999999998</v>
      </c>
      <c r="AB1017" s="1868">
        <v>63.369769999999995</v>
      </c>
      <c r="AC1017" s="1868">
        <v>60.924440000000004</v>
      </c>
      <c r="AD1017" s="1868">
        <v>62.412999999999997</v>
      </c>
      <c r="AE1017" s="1868">
        <v>63.142910000000001</v>
      </c>
      <c r="AF1017" s="1868">
        <v>63.799040000000005</v>
      </c>
      <c r="AG1017" s="1868">
        <v>63.313419999999994</v>
      </c>
      <c r="AH1017" s="1868">
        <v>63.937569999999994</v>
      </c>
      <c r="AI1017" s="1868">
        <v>65.930730000000011</v>
      </c>
      <c r="AJ1017" s="1868">
        <v>64.600980000000007</v>
      </c>
      <c r="AK1017" s="1868">
        <v>67.984020000000001</v>
      </c>
      <c r="AL1017" s="1868">
        <v>67.400940000000006</v>
      </c>
      <c r="AM1017" s="1868">
        <v>67.741219999999998</v>
      </c>
      <c r="AN1017" s="1868">
        <v>69.795439999999999</v>
      </c>
      <c r="AO1017" s="1868">
        <v>69.608719999999991</v>
      </c>
      <c r="AP1017" s="1868">
        <v>68.902150000000006</v>
      </c>
      <c r="AQ1017" s="1868">
        <v>68.673059999999992</v>
      </c>
      <c r="AR1017" s="1868">
        <v>70.540869999999998</v>
      </c>
      <c r="AS1017" s="1868">
        <v>72.746719999999996</v>
      </c>
      <c r="AT1017" s="1868">
        <v>74.979430000000008</v>
      </c>
      <c r="AU1017" s="1868">
        <v>74.86018</v>
      </c>
      <c r="AV1017" s="1868">
        <v>74.394890000000004</v>
      </c>
      <c r="AW1017" s="1868">
        <v>76.117090000000005</v>
      </c>
      <c r="AX1017" s="1868">
        <v>78.414860000000004</v>
      </c>
      <c r="AY1017" s="1868">
        <v>79.988559999999993</v>
      </c>
      <c r="AZ1017" s="1868">
        <v>79.207080000000005</v>
      </c>
      <c r="BA1017" s="1868">
        <v>79.279130000000009</v>
      </c>
    </row>
    <row r="1018" spans="1:53">
      <c r="A1018" s="1865" t="str">
        <f t="shared" si="15"/>
        <v>South AmericaSunflower seed</v>
      </c>
      <c r="B1018" s="1866" t="s">
        <v>311</v>
      </c>
      <c r="C1018" s="1866" t="s">
        <v>1402</v>
      </c>
      <c r="D1018" s="1868">
        <v>0.62913999999999992</v>
      </c>
      <c r="E1018" s="1868">
        <v>0.71253</v>
      </c>
      <c r="F1018" s="1868">
        <v>0.74126999999999998</v>
      </c>
      <c r="G1018" s="1868">
        <v>0.74604999999999999</v>
      </c>
      <c r="H1018" s="1868">
        <v>0.72688999999999993</v>
      </c>
      <c r="I1018" s="1868">
        <v>0.86073999999999995</v>
      </c>
      <c r="J1018" s="1868">
        <v>0.86058999999999997</v>
      </c>
      <c r="K1018" s="1868">
        <v>0.92806</v>
      </c>
      <c r="L1018" s="1868">
        <v>0.74097999999999997</v>
      </c>
      <c r="M1018" s="1868">
        <v>0.81876000000000004</v>
      </c>
      <c r="N1018" s="1868">
        <v>0.70589000000000002</v>
      </c>
      <c r="O1018" s="1868">
        <v>0.75492000000000004</v>
      </c>
      <c r="P1018" s="1868">
        <v>0.70428999999999997</v>
      </c>
      <c r="Q1018" s="1868">
        <v>0.79832999999999998</v>
      </c>
      <c r="R1018" s="1868">
        <v>0.72178999999999993</v>
      </c>
      <c r="S1018" s="1868">
        <v>0.84604000000000001</v>
      </c>
      <c r="T1018" s="1868">
        <v>0.72914000000000001</v>
      </c>
      <c r="U1018" s="1868">
        <v>0.79393999999999998</v>
      </c>
      <c r="V1018" s="1868">
        <v>0.90985000000000005</v>
      </c>
      <c r="W1018" s="1868">
        <v>0.86641000000000001</v>
      </c>
      <c r="X1018" s="1868">
        <v>0.97138999999999998</v>
      </c>
      <c r="Y1018" s="1868">
        <v>1.1518899999999999</v>
      </c>
      <c r="Z1018" s="1868">
        <v>1.2333499999999999</v>
      </c>
      <c r="AA1018" s="1868">
        <v>1.0845400000000001</v>
      </c>
      <c r="AB1018" s="1868">
        <v>1.42222</v>
      </c>
      <c r="AC1018" s="1868">
        <v>1.3355900000000001</v>
      </c>
      <c r="AD1018" s="1868">
        <v>1.25152</v>
      </c>
      <c r="AE1018" s="1868">
        <v>1.3968200000000002</v>
      </c>
      <c r="AF1018" s="1868">
        <v>1.39438</v>
      </c>
      <c r="AG1018" s="1868">
        <v>1.4093500000000001</v>
      </c>
      <c r="AH1018" s="1868">
        <v>1.7163700000000002</v>
      </c>
      <c r="AI1018" s="1868">
        <v>1.39744</v>
      </c>
      <c r="AJ1018" s="1868">
        <v>1.41821</v>
      </c>
      <c r="AK1018" s="1868">
        <v>1.8549599999999999</v>
      </c>
      <c r="AL1018" s="1868">
        <v>1.9073500000000001</v>
      </c>
      <c r="AM1018" s="1868">
        <v>1.68468</v>
      </c>
      <c r="AN1018" s="1868">
        <v>1.7507400000000002</v>
      </c>
      <c r="AO1018" s="1868">
        <v>1.6204100000000001</v>
      </c>
      <c r="AP1018" s="1868">
        <v>1.7087000000000001</v>
      </c>
      <c r="AQ1018" s="1868">
        <v>1.6874</v>
      </c>
      <c r="AR1018" s="1868">
        <v>1.6102299999999998</v>
      </c>
      <c r="AS1018" s="1868">
        <v>1.7957599999999998</v>
      </c>
      <c r="AT1018" s="1868">
        <v>1.5591299999999999</v>
      </c>
      <c r="AU1018" s="1868">
        <v>1.6677799999999998</v>
      </c>
      <c r="AV1018" s="1868">
        <v>1.7992999999999999</v>
      </c>
      <c r="AW1018" s="1868">
        <v>1.6822700000000002</v>
      </c>
      <c r="AX1018" s="1868">
        <v>1.4937</v>
      </c>
      <c r="AY1018" s="1868">
        <v>1.7715000000000001</v>
      </c>
      <c r="AZ1018" s="1868">
        <v>1.3179799999999999</v>
      </c>
      <c r="BA1018" s="1868">
        <v>1.4416799999999999</v>
      </c>
    </row>
    <row r="1019" spans="1:53">
      <c r="A1019" s="1865" t="str">
        <f t="shared" si="15"/>
        <v>South AmericaSweet potatoes</v>
      </c>
      <c r="B1019" s="1866" t="s">
        <v>311</v>
      </c>
      <c r="C1019" s="1866" t="s">
        <v>1403</v>
      </c>
      <c r="D1019" s="1868">
        <v>9.3788400000000003</v>
      </c>
      <c r="E1019" s="1868">
        <v>9.3812800000000003</v>
      </c>
      <c r="F1019" s="1868">
        <v>9.5998600000000014</v>
      </c>
      <c r="G1019" s="1868">
        <v>9.7081</v>
      </c>
      <c r="H1019" s="1868">
        <v>9.5540800000000008</v>
      </c>
      <c r="I1019" s="1868">
        <v>10.3323</v>
      </c>
      <c r="J1019" s="1868">
        <v>11.28007</v>
      </c>
      <c r="K1019" s="1868">
        <v>10.802519999999999</v>
      </c>
      <c r="L1019" s="1868">
        <v>11.09571</v>
      </c>
      <c r="M1019" s="1868">
        <v>11.02277</v>
      </c>
      <c r="N1019" s="1868">
        <v>11.225</v>
      </c>
      <c r="O1019" s="1868">
        <v>11.5769</v>
      </c>
      <c r="P1019" s="1868">
        <v>10.798919999999999</v>
      </c>
      <c r="Q1019" s="1868">
        <v>9.9335899999999988</v>
      </c>
      <c r="R1019" s="1868">
        <v>9.8975600000000004</v>
      </c>
      <c r="S1019" s="1868">
        <v>9.2951499999999996</v>
      </c>
      <c r="T1019" s="1868">
        <v>8.67896</v>
      </c>
      <c r="U1019" s="1868">
        <v>8.585560000000001</v>
      </c>
      <c r="V1019" s="1868">
        <v>8.5182300000000009</v>
      </c>
      <c r="W1019" s="1868">
        <v>8.2870200000000001</v>
      </c>
      <c r="X1019" s="1868">
        <v>8.6208500000000008</v>
      </c>
      <c r="Y1019" s="1868">
        <v>9.03965</v>
      </c>
      <c r="Z1019" s="1868">
        <v>8.7294199999999993</v>
      </c>
      <c r="AA1019" s="1868">
        <v>9.0171399999999995</v>
      </c>
      <c r="AB1019" s="1868">
        <v>9.2298100000000005</v>
      </c>
      <c r="AC1019" s="1868">
        <v>9.7059899999999999</v>
      </c>
      <c r="AD1019" s="1868">
        <v>9.9977400000000003</v>
      </c>
      <c r="AE1019" s="1868">
        <v>10.44731</v>
      </c>
      <c r="AF1019" s="1868">
        <v>10.05917</v>
      </c>
      <c r="AG1019" s="1868">
        <v>10.676910000000001</v>
      </c>
      <c r="AH1019" s="1868">
        <v>9.846680000000001</v>
      </c>
      <c r="AI1019" s="1868">
        <v>10.426110000000001</v>
      </c>
      <c r="AJ1019" s="1868">
        <v>10.92719</v>
      </c>
      <c r="AK1019" s="1868">
        <v>12.014279999999999</v>
      </c>
      <c r="AL1019" s="1868">
        <v>11.971500000000001</v>
      </c>
      <c r="AM1019" s="1868">
        <v>10.854610000000001</v>
      </c>
      <c r="AN1019" s="1868">
        <v>11.306100000000001</v>
      </c>
      <c r="AO1019" s="1868">
        <v>11.369300000000001</v>
      </c>
      <c r="AP1019" s="1868">
        <v>11.598380000000001</v>
      </c>
      <c r="AQ1019" s="1868">
        <v>11.45926</v>
      </c>
      <c r="AR1019" s="1868">
        <v>11.635899999999999</v>
      </c>
      <c r="AS1019" s="1868">
        <v>10.969889999999999</v>
      </c>
      <c r="AT1019" s="1868">
        <v>11.170860000000001</v>
      </c>
      <c r="AU1019" s="1868">
        <v>11.99715</v>
      </c>
      <c r="AV1019" s="1868">
        <v>11.676730000000001</v>
      </c>
      <c r="AW1019" s="1868">
        <v>11.59348</v>
      </c>
      <c r="AX1019" s="1868">
        <v>11.599069999999999</v>
      </c>
      <c r="AY1019" s="1868">
        <v>12.382630000000001</v>
      </c>
      <c r="AZ1019" s="1868">
        <v>12.23465</v>
      </c>
      <c r="BA1019" s="1868">
        <v>12.368600000000001</v>
      </c>
    </row>
    <row r="1020" spans="1:53">
      <c r="A1020" s="1865" t="str">
        <f t="shared" si="15"/>
        <v>South AmericaTangerines, mandarins, clem.</v>
      </c>
      <c r="B1020" s="1866" t="s">
        <v>311</v>
      </c>
      <c r="C1020" s="1866" t="s">
        <v>1404</v>
      </c>
      <c r="D1020" s="1868">
        <v>25.54327</v>
      </c>
      <c r="E1020" s="1868">
        <v>24.1816</v>
      </c>
      <c r="F1020" s="1868">
        <v>25.213629999999998</v>
      </c>
      <c r="G1020" s="1868">
        <v>23.701509999999999</v>
      </c>
      <c r="H1020" s="1868">
        <v>19.710609999999999</v>
      </c>
      <c r="I1020" s="1868">
        <v>21.842660000000002</v>
      </c>
      <c r="J1020" s="1868">
        <v>18.569040000000001</v>
      </c>
      <c r="K1020" s="1868">
        <v>19.88053</v>
      </c>
      <c r="L1020" s="1868">
        <v>23.324279999999998</v>
      </c>
      <c r="M1020" s="1868">
        <v>23.329660000000001</v>
      </c>
      <c r="N1020" s="1868">
        <v>25.09075</v>
      </c>
      <c r="O1020" s="1868">
        <v>23.945070000000001</v>
      </c>
      <c r="P1020" s="1868">
        <v>24.048920000000003</v>
      </c>
      <c r="Q1020" s="1868">
        <v>21.356649999999998</v>
      </c>
      <c r="R1020" s="1868">
        <v>20.49287</v>
      </c>
      <c r="S1020" s="1868">
        <v>20.347650000000002</v>
      </c>
      <c r="T1020" s="1868">
        <v>19.715579999999999</v>
      </c>
      <c r="U1020" s="1868">
        <v>19.638639999999999</v>
      </c>
      <c r="V1020" s="1868">
        <v>19.88353</v>
      </c>
      <c r="W1020" s="1868">
        <v>12.86074</v>
      </c>
      <c r="X1020" s="1868">
        <v>13.9857</v>
      </c>
      <c r="Y1020" s="1868">
        <v>14.772720000000001</v>
      </c>
      <c r="Z1020" s="1868">
        <v>14.29665</v>
      </c>
      <c r="AA1020" s="1868">
        <v>13.985860000000001</v>
      </c>
      <c r="AB1020" s="1868">
        <v>12.897030000000001</v>
      </c>
      <c r="AC1020" s="1868">
        <v>12.542010000000001</v>
      </c>
      <c r="AD1020" s="1868">
        <v>12.91891</v>
      </c>
      <c r="AE1020" s="1868">
        <v>12.99255</v>
      </c>
      <c r="AF1020" s="1868">
        <v>13.24433</v>
      </c>
      <c r="AG1020" s="1868">
        <v>13.093819999999999</v>
      </c>
      <c r="AH1020" s="1868">
        <v>13.612910000000001</v>
      </c>
      <c r="AI1020" s="1868">
        <v>13.956160000000001</v>
      </c>
      <c r="AJ1020" s="1868">
        <v>13.29088</v>
      </c>
      <c r="AK1020" s="1868">
        <v>14.207429999999999</v>
      </c>
      <c r="AL1020" s="1868">
        <v>14.253160000000001</v>
      </c>
      <c r="AM1020" s="1868">
        <v>12.91657</v>
      </c>
      <c r="AN1020" s="1868">
        <v>14.996020000000001</v>
      </c>
      <c r="AO1020" s="1868">
        <v>13.80672</v>
      </c>
      <c r="AP1020" s="1868">
        <v>14.021699999999999</v>
      </c>
      <c r="AQ1020" s="1868">
        <v>14.701670000000002</v>
      </c>
      <c r="AR1020" s="1868">
        <v>17.039000000000001</v>
      </c>
      <c r="AS1020" s="1868">
        <v>17.225529999999999</v>
      </c>
      <c r="AT1020" s="1868">
        <v>17.359059999999999</v>
      </c>
      <c r="AU1020" s="1868">
        <v>15.63735</v>
      </c>
      <c r="AV1020" s="1868">
        <v>15.865539999999999</v>
      </c>
      <c r="AW1020" s="1868">
        <v>16.759699999999999</v>
      </c>
      <c r="AX1020" s="1868">
        <v>15.783829999999998</v>
      </c>
      <c r="AY1020" s="1868">
        <v>15.831439999999999</v>
      </c>
      <c r="AZ1020" s="1868">
        <v>15.880989999999999</v>
      </c>
      <c r="BA1020" s="1868">
        <v>15.74342</v>
      </c>
    </row>
    <row r="1021" spans="1:53">
      <c r="A1021" s="1865" t="str">
        <f t="shared" si="15"/>
        <v>South AmericaTea</v>
      </c>
      <c r="B1021" s="1866" t="s">
        <v>311</v>
      </c>
      <c r="C1021" s="1866" t="s">
        <v>1405</v>
      </c>
      <c r="D1021" s="1868">
        <v>0.65998000000000001</v>
      </c>
      <c r="E1021" s="1868">
        <v>0.62591000000000008</v>
      </c>
      <c r="F1021" s="1868">
        <v>0.81633999999999995</v>
      </c>
      <c r="G1021" s="1868">
        <v>0.80520000000000003</v>
      </c>
      <c r="H1021" s="1868">
        <v>0.82927999999999991</v>
      </c>
      <c r="I1021" s="1868">
        <v>0.77516000000000007</v>
      </c>
      <c r="J1021" s="1868">
        <v>0.81033999999999995</v>
      </c>
      <c r="K1021" s="1868">
        <v>0.68811999999999995</v>
      </c>
      <c r="L1021" s="1868">
        <v>0.79181000000000001</v>
      </c>
      <c r="M1021" s="1868">
        <v>0.86204999999999998</v>
      </c>
      <c r="N1021" s="1868">
        <v>0.96967999999999988</v>
      </c>
      <c r="O1021" s="1868">
        <v>1.0599399999999999</v>
      </c>
      <c r="P1021" s="1868">
        <v>1.04782</v>
      </c>
      <c r="Q1021" s="1868">
        <v>0.97150000000000003</v>
      </c>
      <c r="R1021" s="1868">
        <v>1.0482499999999999</v>
      </c>
      <c r="S1021" s="1868">
        <v>0.93702000000000008</v>
      </c>
      <c r="T1021" s="1868">
        <v>1.0063299999999999</v>
      </c>
      <c r="U1021" s="1868">
        <v>0.73434999999999995</v>
      </c>
      <c r="V1021" s="1868">
        <v>0.87257000000000007</v>
      </c>
      <c r="W1021" s="1868">
        <v>0.99597999999999998</v>
      </c>
      <c r="X1021" s="1868">
        <v>0.91336000000000006</v>
      </c>
      <c r="Y1021" s="1868">
        <v>1.0654600000000001</v>
      </c>
      <c r="Z1021" s="1868">
        <v>1.0979000000000001</v>
      </c>
      <c r="AA1021" s="1868">
        <v>1.0929</v>
      </c>
      <c r="AB1021" s="1868">
        <v>1.16744</v>
      </c>
      <c r="AC1021" s="1868">
        <v>1.21851</v>
      </c>
      <c r="AD1021" s="1868">
        <v>1.3161700000000001</v>
      </c>
      <c r="AE1021" s="1868">
        <v>1.01013</v>
      </c>
      <c r="AF1021" s="1868">
        <v>1.3372700000000002</v>
      </c>
      <c r="AG1021" s="1868">
        <v>1.3589799999999999</v>
      </c>
      <c r="AH1021" s="1868">
        <v>1.31226</v>
      </c>
      <c r="AI1021" s="1868">
        <v>1.27159</v>
      </c>
      <c r="AJ1021" s="1868">
        <v>1.4599799999999998</v>
      </c>
      <c r="AK1021" s="1868">
        <v>1.5326299999999999</v>
      </c>
      <c r="AL1021" s="1868">
        <v>1.5035799999999999</v>
      </c>
      <c r="AM1021" s="1868">
        <v>1.4676400000000001</v>
      </c>
      <c r="AN1021" s="1868">
        <v>1.6593799999999999</v>
      </c>
      <c r="AO1021" s="1868">
        <v>1.6153999999999999</v>
      </c>
      <c r="AP1021" s="1868">
        <v>1.5247600000000001</v>
      </c>
      <c r="AQ1021" s="1868">
        <v>1.96363</v>
      </c>
      <c r="AR1021" s="1868">
        <v>1.9658599999999999</v>
      </c>
      <c r="AS1021" s="1868">
        <v>1.9841299999999999</v>
      </c>
      <c r="AT1021" s="1868">
        <v>1.9362400000000002</v>
      </c>
      <c r="AU1021" s="1868">
        <v>1.86372</v>
      </c>
      <c r="AV1021" s="1868">
        <v>1.87398</v>
      </c>
      <c r="AW1021" s="1868">
        <v>1.9052</v>
      </c>
      <c r="AX1021" s="1868">
        <v>1.9107400000000001</v>
      </c>
      <c r="AY1021" s="1868">
        <v>2.3813800000000001</v>
      </c>
      <c r="AZ1021" s="1868">
        <v>2.1778900000000001</v>
      </c>
      <c r="BA1021" s="1868">
        <v>2.3765499999999999</v>
      </c>
    </row>
    <row r="1022" spans="1:53">
      <c r="A1022" s="1865" t="str">
        <f t="shared" si="15"/>
        <v>South AmericaTobacco, unmanufactured</v>
      </c>
      <c r="B1022" s="1866" t="s">
        <v>311</v>
      </c>
      <c r="C1022" s="1866" t="s">
        <v>1347</v>
      </c>
      <c r="D1022" s="1868">
        <v>0.88280000000000003</v>
      </c>
      <c r="E1022" s="1868">
        <v>0.97876000000000007</v>
      </c>
      <c r="F1022" s="1868">
        <v>0.99776000000000009</v>
      </c>
      <c r="G1022" s="1868">
        <v>0.98071000000000008</v>
      </c>
      <c r="H1022" s="1868">
        <v>1.01135</v>
      </c>
      <c r="I1022" s="1868">
        <v>0.96309</v>
      </c>
      <c r="J1022" s="1868">
        <v>1.0440700000000001</v>
      </c>
      <c r="K1022" s="1868">
        <v>1.0449299999999999</v>
      </c>
      <c r="L1022" s="1868">
        <v>1.05749</v>
      </c>
      <c r="M1022" s="1868">
        <v>1.07382</v>
      </c>
      <c r="N1022" s="1868">
        <v>1.0710500000000001</v>
      </c>
      <c r="O1022" s="1868">
        <v>1.1050899999999999</v>
      </c>
      <c r="P1022" s="1868">
        <v>1.0600399999999999</v>
      </c>
      <c r="Q1022" s="1868">
        <v>1.2634399999999999</v>
      </c>
      <c r="R1022" s="1868">
        <v>1.2005600000000001</v>
      </c>
      <c r="S1022" s="1868">
        <v>1.1899200000000001</v>
      </c>
      <c r="T1022" s="1868">
        <v>1.22689</v>
      </c>
      <c r="U1022" s="1868">
        <v>1.23783</v>
      </c>
      <c r="V1022" s="1868">
        <v>1.28816</v>
      </c>
      <c r="W1022" s="1868">
        <v>1.31254</v>
      </c>
      <c r="X1022" s="1868">
        <v>1.27159</v>
      </c>
      <c r="Y1022" s="1868">
        <v>1.3514899999999999</v>
      </c>
      <c r="Z1022" s="1868">
        <v>1.3089299999999999</v>
      </c>
      <c r="AA1022" s="1868">
        <v>1.4632799999999999</v>
      </c>
      <c r="AB1022" s="1868">
        <v>1.4925200000000001</v>
      </c>
      <c r="AC1022" s="1868">
        <v>1.4155200000000001</v>
      </c>
      <c r="AD1022" s="1868">
        <v>1.38615</v>
      </c>
      <c r="AE1022" s="1868">
        <v>1.5257000000000001</v>
      </c>
      <c r="AF1022" s="1868">
        <v>1.5675600000000001</v>
      </c>
      <c r="AG1022" s="1868">
        <v>1.6375600000000001</v>
      </c>
      <c r="AH1022" s="1868">
        <v>1.5065500000000001</v>
      </c>
      <c r="AI1022" s="1868">
        <v>1.6695500000000001</v>
      </c>
      <c r="AJ1022" s="1868">
        <v>1.7577</v>
      </c>
      <c r="AK1022" s="1868">
        <v>1.6571200000000001</v>
      </c>
      <c r="AL1022" s="1868">
        <v>1.59439</v>
      </c>
      <c r="AM1022" s="1868">
        <v>1.5753200000000001</v>
      </c>
      <c r="AN1022" s="1868">
        <v>1.7872299999999999</v>
      </c>
      <c r="AO1022" s="1868">
        <v>1.4895100000000001</v>
      </c>
      <c r="AP1022" s="1868">
        <v>1.82982</v>
      </c>
      <c r="AQ1022" s="1868">
        <v>1.8791900000000001</v>
      </c>
      <c r="AR1022" s="1868">
        <v>1.8717700000000002</v>
      </c>
      <c r="AS1022" s="1868">
        <v>1.9674799999999999</v>
      </c>
      <c r="AT1022" s="1868">
        <v>1.71733</v>
      </c>
      <c r="AU1022" s="1868">
        <v>2.0059299999999998</v>
      </c>
      <c r="AV1022" s="1868">
        <v>1.8370299999999999</v>
      </c>
      <c r="AW1022" s="1868">
        <v>1.8297599999999998</v>
      </c>
      <c r="AX1022" s="1868">
        <v>1.9456799999999999</v>
      </c>
      <c r="AY1022" s="1868">
        <v>1.9600599999999999</v>
      </c>
      <c r="AZ1022" s="1868">
        <v>1.9402900000000001</v>
      </c>
      <c r="BA1022" s="1868">
        <v>1.7477</v>
      </c>
    </row>
    <row r="1023" spans="1:53">
      <c r="A1023" s="1865" t="str">
        <f t="shared" si="15"/>
        <v>South AmericaTomatoes</v>
      </c>
      <c r="B1023" s="1866" t="s">
        <v>311</v>
      </c>
      <c r="C1023" s="1866" t="s">
        <v>1406</v>
      </c>
      <c r="D1023" s="1868">
        <v>14.57151</v>
      </c>
      <c r="E1023" s="1868">
        <v>15.370889999999999</v>
      </c>
      <c r="F1023" s="1868">
        <v>14.579079999999999</v>
      </c>
      <c r="G1023" s="1868">
        <v>15.72212</v>
      </c>
      <c r="H1023" s="1868">
        <v>15.493729999999999</v>
      </c>
      <c r="I1023" s="1868">
        <v>16.360250000000001</v>
      </c>
      <c r="J1023" s="1868">
        <v>16.3201</v>
      </c>
      <c r="K1023" s="1868">
        <v>16.00441</v>
      </c>
      <c r="L1023" s="1868">
        <v>15.94924</v>
      </c>
      <c r="M1023" s="1868">
        <v>16.046749999999999</v>
      </c>
      <c r="N1023" s="1868">
        <v>15.972060000000001</v>
      </c>
      <c r="O1023" s="1868">
        <v>17.183479999999999</v>
      </c>
      <c r="P1023" s="1868">
        <v>17.086259999999999</v>
      </c>
      <c r="Q1023" s="1868">
        <v>19.234349999999999</v>
      </c>
      <c r="R1023" s="1868">
        <v>19.406169999999999</v>
      </c>
      <c r="S1023" s="1868">
        <v>20.07564</v>
      </c>
      <c r="T1023" s="1868">
        <v>20.352120000000003</v>
      </c>
      <c r="U1023" s="1868">
        <v>21.26801</v>
      </c>
      <c r="V1023" s="1868">
        <v>21.655270000000002</v>
      </c>
      <c r="W1023" s="1868">
        <v>23.0532</v>
      </c>
      <c r="X1023" s="1868">
        <v>23.13466</v>
      </c>
      <c r="Y1023" s="1868">
        <v>24.420159999999999</v>
      </c>
      <c r="Z1023" s="1868">
        <v>23.963520000000003</v>
      </c>
      <c r="AA1023" s="1868">
        <v>26.226690000000001</v>
      </c>
      <c r="AB1023" s="1868">
        <v>26.163139999999999</v>
      </c>
      <c r="AC1023" s="1868">
        <v>26.480499999999999</v>
      </c>
      <c r="AD1023" s="1868">
        <v>27.700009999999999</v>
      </c>
      <c r="AE1023" s="1868">
        <v>29.390590000000003</v>
      </c>
      <c r="AF1023" s="1868">
        <v>27.572479999999999</v>
      </c>
      <c r="AG1023" s="1868">
        <v>29.141820000000003</v>
      </c>
      <c r="AH1023" s="1868">
        <v>29.830079999999999</v>
      </c>
      <c r="AI1023" s="1868">
        <v>29.956129999999998</v>
      </c>
      <c r="AJ1023" s="1868">
        <v>31.191520000000001</v>
      </c>
      <c r="AK1023" s="1868">
        <v>35.254240000000003</v>
      </c>
      <c r="AL1023" s="1868">
        <v>37.042929999999998</v>
      </c>
      <c r="AM1023" s="1868">
        <v>34.228809999999996</v>
      </c>
      <c r="AN1023" s="1868">
        <v>35.709319999999998</v>
      </c>
      <c r="AO1023" s="1868">
        <v>35.850720000000003</v>
      </c>
      <c r="AP1023" s="1868">
        <v>39.615990000000004</v>
      </c>
      <c r="AQ1023" s="1868">
        <v>39.877629999999996</v>
      </c>
      <c r="AR1023" s="1868">
        <v>41.870699999999999</v>
      </c>
      <c r="AS1023" s="1868">
        <v>45.688740000000003</v>
      </c>
      <c r="AT1023" s="1868">
        <v>46.223079999999996</v>
      </c>
      <c r="AU1023" s="1868">
        <v>45.961729999999996</v>
      </c>
      <c r="AV1023" s="1868">
        <v>45.822240000000001</v>
      </c>
      <c r="AW1023" s="1868">
        <v>44.79101</v>
      </c>
      <c r="AX1023" s="1868">
        <v>46.156970000000001</v>
      </c>
      <c r="AY1023" s="1868">
        <v>48.117449999999998</v>
      </c>
      <c r="AZ1023" s="1868">
        <v>48.824249999999999</v>
      </c>
      <c r="BA1023" s="1868">
        <v>47.476869999999998</v>
      </c>
    </row>
    <row r="1024" spans="1:53">
      <c r="A1024" s="1865" t="str">
        <f t="shared" si="15"/>
        <v>South AmericaTriticale</v>
      </c>
      <c r="B1024" s="1866" t="s">
        <v>311</v>
      </c>
      <c r="C1024" s="1866" t="s">
        <v>1361</v>
      </c>
      <c r="AU1024" s="1868">
        <v>5.3426900000000002</v>
      </c>
      <c r="AV1024" s="1868">
        <v>2.2920799999999999</v>
      </c>
      <c r="AW1024" s="1868">
        <v>2.3319400000000003</v>
      </c>
      <c r="AX1024" s="1868">
        <v>2.7840199999999999</v>
      </c>
      <c r="AY1024" s="1868">
        <v>2.9228099999999997</v>
      </c>
      <c r="AZ1024" s="1868">
        <v>2.4377200000000001</v>
      </c>
      <c r="BA1024" s="1868">
        <v>3.6477900000000001</v>
      </c>
    </row>
    <row r="1025" spans="1:53">
      <c r="A1025" s="1865" t="str">
        <f t="shared" si="15"/>
        <v>South AmericaVegetables fresh nes</v>
      </c>
      <c r="B1025" s="1866" t="s">
        <v>311</v>
      </c>
      <c r="C1025" s="1866" t="s">
        <v>1407</v>
      </c>
      <c r="D1025" s="1868">
        <v>4.7967500000000003</v>
      </c>
      <c r="E1025" s="1868">
        <v>4.9523900000000003</v>
      </c>
      <c r="F1025" s="1868">
        <v>5.0787399999999998</v>
      </c>
      <c r="G1025" s="1868">
        <v>5.2220500000000003</v>
      </c>
      <c r="H1025" s="1868">
        <v>5.4471300000000005</v>
      </c>
      <c r="I1025" s="1868">
        <v>5.4941300000000002</v>
      </c>
      <c r="J1025" s="1868">
        <v>5.7251500000000002</v>
      </c>
      <c r="K1025" s="1868">
        <v>6.0108100000000002</v>
      </c>
      <c r="L1025" s="1868">
        <v>6.2953000000000001</v>
      </c>
      <c r="M1025" s="1868">
        <v>6.4348199999999993</v>
      </c>
      <c r="N1025" s="1868">
        <v>6.8409800000000001</v>
      </c>
      <c r="O1025" s="1868">
        <v>7.2075899999999997</v>
      </c>
      <c r="P1025" s="1868">
        <v>7.3387100000000007</v>
      </c>
      <c r="Q1025" s="1868">
        <v>7.2580300000000006</v>
      </c>
      <c r="R1025" s="1868">
        <v>7.8414899999999994</v>
      </c>
      <c r="S1025" s="1868">
        <v>7.8847500000000004</v>
      </c>
      <c r="T1025" s="1868">
        <v>8.1737399999999987</v>
      </c>
      <c r="U1025" s="1868">
        <v>8.1758699999999997</v>
      </c>
      <c r="V1025" s="1868">
        <v>8.6578100000000013</v>
      </c>
      <c r="W1025" s="1868">
        <v>8.8556600000000003</v>
      </c>
      <c r="X1025" s="1868">
        <v>9.1643399999999993</v>
      </c>
      <c r="Y1025" s="1868">
        <v>9.4074799999999996</v>
      </c>
      <c r="Z1025" s="1868">
        <v>9.9774700000000003</v>
      </c>
      <c r="AA1025" s="1868">
        <v>10.19497</v>
      </c>
      <c r="AB1025" s="1868">
        <v>10.578110000000001</v>
      </c>
      <c r="AC1025" s="1868">
        <v>10.55016</v>
      </c>
      <c r="AD1025" s="1868">
        <v>10.63508</v>
      </c>
      <c r="AE1025" s="1868">
        <v>11.39301</v>
      </c>
      <c r="AF1025" s="1868">
        <v>10.99591</v>
      </c>
      <c r="AG1025" s="1868">
        <v>11.274469999999999</v>
      </c>
      <c r="AH1025" s="1868">
        <v>10.97531</v>
      </c>
      <c r="AI1025" s="1868">
        <v>11.372730000000001</v>
      </c>
      <c r="AJ1025" s="1868">
        <v>11.954239999999999</v>
      </c>
      <c r="AK1025" s="1868">
        <v>11.98203</v>
      </c>
      <c r="AL1025" s="1868">
        <v>11.92825</v>
      </c>
      <c r="AM1025" s="1868">
        <v>11.14536</v>
      </c>
      <c r="AN1025" s="1868">
        <v>11.77331</v>
      </c>
      <c r="AO1025" s="1868">
        <v>11.8279</v>
      </c>
      <c r="AP1025" s="1868">
        <v>13.17395</v>
      </c>
      <c r="AQ1025" s="1868">
        <v>12.816469999999999</v>
      </c>
      <c r="AR1025" s="1868">
        <v>12.80616</v>
      </c>
      <c r="AS1025" s="1868">
        <v>11.869339999999999</v>
      </c>
      <c r="AT1025" s="1868">
        <v>12.167389999999999</v>
      </c>
      <c r="AU1025" s="1868">
        <v>12.425380000000001</v>
      </c>
      <c r="AV1025" s="1868">
        <v>12.012119999999999</v>
      </c>
      <c r="AW1025" s="1868">
        <v>11.866010000000001</v>
      </c>
      <c r="AX1025" s="1868">
        <v>11.728910000000001</v>
      </c>
      <c r="AY1025" s="1868">
        <v>11.9915</v>
      </c>
      <c r="AZ1025" s="1868">
        <v>12.84648</v>
      </c>
      <c r="BA1025" s="1868">
        <v>12.475</v>
      </c>
    </row>
    <row r="1026" spans="1:53">
      <c r="A1026" s="1865" t="str">
        <f t="shared" si="15"/>
        <v>South AmericaWheat</v>
      </c>
      <c r="B1026" s="1866" t="s">
        <v>311</v>
      </c>
      <c r="C1026" s="1866" t="s">
        <v>1409</v>
      </c>
      <c r="D1026" s="1868">
        <v>1.1358299999999999</v>
      </c>
      <c r="E1026" s="1868">
        <v>1.34531</v>
      </c>
      <c r="F1026" s="1868">
        <v>1.37914</v>
      </c>
      <c r="G1026" s="1868">
        <v>1.6361399999999999</v>
      </c>
      <c r="H1026" s="1868">
        <v>1.2445700000000002</v>
      </c>
      <c r="I1026" s="1868">
        <v>1.1882900000000001</v>
      </c>
      <c r="J1026" s="1868">
        <v>1.2137799999999999</v>
      </c>
      <c r="K1026" s="1868">
        <v>1.0249600000000001</v>
      </c>
      <c r="L1026" s="1868">
        <v>1.2721899999999999</v>
      </c>
      <c r="M1026" s="1868">
        <v>1.2495399999999999</v>
      </c>
      <c r="N1026" s="1868">
        <v>1.1827000000000001</v>
      </c>
      <c r="O1026" s="1868">
        <v>1.2396799999999999</v>
      </c>
      <c r="P1026" s="1868">
        <v>1.4337200000000001</v>
      </c>
      <c r="Q1026" s="1868">
        <v>1.3210299999999999</v>
      </c>
      <c r="R1026" s="1868">
        <v>1.2525899999999999</v>
      </c>
      <c r="S1026" s="1868">
        <v>1.3882700000000001</v>
      </c>
      <c r="T1026" s="1868">
        <v>1.09578</v>
      </c>
      <c r="U1026" s="1868">
        <v>1.4262600000000001</v>
      </c>
      <c r="V1026" s="1868">
        <v>1.3073600000000001</v>
      </c>
      <c r="W1026" s="1868">
        <v>1.31532</v>
      </c>
      <c r="X1026" s="1868">
        <v>1.33954</v>
      </c>
      <c r="Y1026" s="1868">
        <v>1.6414099999999998</v>
      </c>
      <c r="Z1026" s="1868">
        <v>1.6795799999999999</v>
      </c>
      <c r="AA1026" s="1868">
        <v>1.9917</v>
      </c>
      <c r="AB1026" s="1868">
        <v>1.62896</v>
      </c>
      <c r="AC1026" s="1868">
        <v>1.67933</v>
      </c>
      <c r="AD1026" s="1868">
        <v>1.88425</v>
      </c>
      <c r="AE1026" s="1868">
        <v>1.8297599999999998</v>
      </c>
      <c r="AF1026" s="1868">
        <v>1.8812599999999999</v>
      </c>
      <c r="AG1026" s="1868">
        <v>1.7280400000000002</v>
      </c>
      <c r="AH1026" s="1868">
        <v>1.99065</v>
      </c>
      <c r="AI1026" s="1868">
        <v>2.1028500000000001</v>
      </c>
      <c r="AJ1026" s="1868">
        <v>1.9435200000000001</v>
      </c>
      <c r="AK1026" s="1868">
        <v>2.0709400000000002</v>
      </c>
      <c r="AL1026" s="1868">
        <v>1.9635799999999999</v>
      </c>
      <c r="AM1026" s="1868">
        <v>2.1730400000000003</v>
      </c>
      <c r="AN1026" s="1868">
        <v>2.3946499999999999</v>
      </c>
      <c r="AO1026" s="1868">
        <v>2.2047099999999999</v>
      </c>
      <c r="AP1026" s="1868">
        <v>2.3669599999999997</v>
      </c>
      <c r="AQ1026" s="1868">
        <v>2.3657499999999998</v>
      </c>
      <c r="AR1026" s="1868">
        <v>2.2143900000000003</v>
      </c>
      <c r="AS1026" s="1868">
        <v>1.96376</v>
      </c>
      <c r="AT1026" s="1868">
        <v>2.5352299999999999</v>
      </c>
      <c r="AU1026" s="1868">
        <v>2.5140099999999999</v>
      </c>
      <c r="AV1026" s="1868">
        <v>2.4178099999999998</v>
      </c>
      <c r="AW1026" s="1868">
        <v>2.4430099999999997</v>
      </c>
      <c r="AX1026" s="1868">
        <v>2.6693500000000001</v>
      </c>
      <c r="AY1026" s="1868">
        <v>2.25217</v>
      </c>
      <c r="AZ1026" s="1868">
        <v>2.4744900000000003</v>
      </c>
      <c r="BA1026" s="1868">
        <v>3.1571400000000001</v>
      </c>
    </row>
    <row r="1027" spans="1:53">
      <c r="A1027" s="1865" t="str">
        <f t="shared" si="15"/>
        <v>South AmericaCereals (Rice Milled Eqv</v>
      </c>
      <c r="B1027" s="1866" t="s">
        <v>311</v>
      </c>
      <c r="C1027" s="1866" t="s">
        <v>1410</v>
      </c>
      <c r="D1027" s="1868">
        <v>1.25823</v>
      </c>
      <c r="E1027" s="1868">
        <v>1.33016</v>
      </c>
      <c r="F1027" s="1868">
        <v>1.29677</v>
      </c>
      <c r="G1027" s="1868">
        <v>1.34951</v>
      </c>
      <c r="H1027" s="1868">
        <v>1.28562</v>
      </c>
      <c r="I1027" s="1868">
        <v>1.32521</v>
      </c>
      <c r="J1027" s="1868">
        <v>1.3802000000000001</v>
      </c>
      <c r="K1027" s="1868">
        <v>1.2490000000000001</v>
      </c>
      <c r="L1027" s="1868">
        <v>1.3189</v>
      </c>
      <c r="M1027" s="1868">
        <v>1.44784</v>
      </c>
      <c r="N1027" s="1868">
        <v>1.4115500000000001</v>
      </c>
      <c r="O1027" s="1868">
        <v>1.3503499999999999</v>
      </c>
      <c r="P1027" s="1868">
        <v>1.5572900000000001</v>
      </c>
      <c r="Q1027" s="1868">
        <v>1.59511</v>
      </c>
      <c r="R1027" s="1868">
        <v>1.49851</v>
      </c>
      <c r="S1027" s="1868">
        <v>1.51576</v>
      </c>
      <c r="T1027" s="1868">
        <v>1.5821700000000001</v>
      </c>
      <c r="U1027" s="1868">
        <v>1.57423</v>
      </c>
      <c r="V1027" s="1868">
        <v>1.57359</v>
      </c>
      <c r="W1027" s="1868">
        <v>1.58233</v>
      </c>
      <c r="X1027" s="1868">
        <v>1.8233099999999998</v>
      </c>
      <c r="Y1027" s="1868">
        <v>1.8006</v>
      </c>
      <c r="Z1027" s="1868">
        <v>1.8274700000000001</v>
      </c>
      <c r="AA1027" s="1868">
        <v>1.9287599999999998</v>
      </c>
      <c r="AB1027" s="1868">
        <v>1.9538500000000001</v>
      </c>
      <c r="AC1027" s="1868">
        <v>1.8532599999999999</v>
      </c>
      <c r="AD1027" s="1868">
        <v>1.93649</v>
      </c>
      <c r="AE1027" s="1868">
        <v>1.9439099999999998</v>
      </c>
      <c r="AF1027" s="1868">
        <v>1.9527099999999999</v>
      </c>
      <c r="AG1027" s="1868">
        <v>1.8726400000000001</v>
      </c>
      <c r="AH1027" s="1868">
        <v>1.9966200000000001</v>
      </c>
      <c r="AI1027" s="1868">
        <v>2.2651699999999999</v>
      </c>
      <c r="AJ1027" s="1868">
        <v>2.3505500000000001</v>
      </c>
      <c r="AK1027" s="1868">
        <v>2.3117000000000001</v>
      </c>
      <c r="AL1027" s="1868">
        <v>2.4372400000000001</v>
      </c>
      <c r="AM1027" s="1868">
        <v>2.4847299999999999</v>
      </c>
      <c r="AN1027" s="1868">
        <v>2.6470899999999999</v>
      </c>
      <c r="AO1027" s="1868">
        <v>2.8180400000000003</v>
      </c>
      <c r="AP1027" s="1868">
        <v>2.7267999999999999</v>
      </c>
      <c r="AQ1027" s="1868">
        <v>2.7828400000000002</v>
      </c>
      <c r="AR1027" s="1868">
        <v>2.96204</v>
      </c>
      <c r="AS1027" s="1868">
        <v>2.8235000000000001</v>
      </c>
      <c r="AT1027" s="1868">
        <v>3.2679299999999998</v>
      </c>
      <c r="AU1027" s="1868">
        <v>3.1112700000000002</v>
      </c>
      <c r="AV1027" s="1868">
        <v>3.1120299999999999</v>
      </c>
      <c r="AW1027" s="1868">
        <v>3.1684900000000003</v>
      </c>
      <c r="AX1027" s="1868">
        <v>3.5340500000000001</v>
      </c>
      <c r="AY1027" s="1868">
        <v>3.5797199999999996</v>
      </c>
      <c r="AZ1027" s="1868">
        <v>3.3262</v>
      </c>
      <c r="BA1027" s="1868">
        <v>4.0022900000000003</v>
      </c>
    </row>
    <row r="1028" spans="1:53">
      <c r="A1028" s="1865" t="str">
        <f t="shared" ref="A1028:A1091" si="16">CONCATENATE(B1028,C1028)</f>
        <v>South-Eastern AsiaBananas</v>
      </c>
      <c r="B1028" s="1866" t="s">
        <v>1421</v>
      </c>
      <c r="C1028" s="1866" t="s">
        <v>1362</v>
      </c>
      <c r="D1028" s="1868">
        <v>6.4103900000000005</v>
      </c>
      <c r="E1028" s="1868">
        <v>6.4064899999999998</v>
      </c>
      <c r="F1028" s="1868">
        <v>6.8219100000000008</v>
      </c>
      <c r="G1028" s="1868">
        <v>6.3917099999999998</v>
      </c>
      <c r="H1028" s="1868">
        <v>6.5483599999999997</v>
      </c>
      <c r="I1028" s="1868">
        <v>6.5682499999999999</v>
      </c>
      <c r="J1028" s="1868">
        <v>6.5386100000000003</v>
      </c>
      <c r="K1028" s="1868">
        <v>6.5085800000000003</v>
      </c>
      <c r="L1028" s="1868">
        <v>6.3369499999999999</v>
      </c>
      <c r="M1028" s="1868">
        <v>7.4648300000000001</v>
      </c>
      <c r="N1028" s="1868">
        <v>7.4722499999999998</v>
      </c>
      <c r="O1028" s="1868">
        <v>6.4240199999999996</v>
      </c>
      <c r="P1028" s="1868">
        <v>6.48569</v>
      </c>
      <c r="Q1028" s="1868">
        <v>7.4583000000000004</v>
      </c>
      <c r="R1028" s="1868">
        <v>8.213280000000001</v>
      </c>
      <c r="S1028" s="1868">
        <v>8.5678300000000007</v>
      </c>
      <c r="T1028" s="1868">
        <v>10.275370000000001</v>
      </c>
      <c r="U1028" s="1868">
        <v>10.663839999999999</v>
      </c>
      <c r="V1028" s="1868">
        <v>11.552660000000001</v>
      </c>
      <c r="W1028" s="1868">
        <v>12.74586</v>
      </c>
      <c r="X1028" s="1868">
        <v>12.459060000000001</v>
      </c>
      <c r="Y1028" s="1868">
        <v>11.95576</v>
      </c>
      <c r="Z1028" s="1868">
        <v>11.448880000000001</v>
      </c>
      <c r="AA1028" s="1868">
        <v>11.87232</v>
      </c>
      <c r="AB1028" s="1868">
        <v>12.081519999999999</v>
      </c>
      <c r="AC1028" s="1868">
        <v>13.90751</v>
      </c>
      <c r="AD1028" s="1868">
        <v>13.062530000000001</v>
      </c>
      <c r="AE1028" s="1868">
        <v>12.93323</v>
      </c>
      <c r="AF1028" s="1868">
        <v>12.822610000000001</v>
      </c>
      <c r="AG1028" s="1868">
        <v>13.484210000000001</v>
      </c>
      <c r="AH1028" s="1868">
        <v>13.389610000000001</v>
      </c>
      <c r="AI1028" s="1868">
        <v>12.80993</v>
      </c>
      <c r="AJ1028" s="1868">
        <v>12.12443</v>
      </c>
      <c r="AK1028" s="1868">
        <v>12.25446</v>
      </c>
      <c r="AL1028" s="1868">
        <v>13.280779999999998</v>
      </c>
      <c r="AM1028" s="1868">
        <v>12.719010000000001</v>
      </c>
      <c r="AN1028" s="1868">
        <v>12.560280000000001</v>
      </c>
      <c r="AO1028" s="1868">
        <v>12.59285</v>
      </c>
      <c r="AP1028" s="1868">
        <v>12.847439999999999</v>
      </c>
      <c r="AQ1028" s="1868">
        <v>13.79391</v>
      </c>
      <c r="AR1028" s="1868">
        <v>13.528320000000001</v>
      </c>
      <c r="AS1028" s="1868">
        <v>13.696260000000001</v>
      </c>
      <c r="AT1028" s="1868">
        <v>13.065020000000001</v>
      </c>
      <c r="AU1028" s="1868">
        <v>13.41061</v>
      </c>
      <c r="AV1028" s="1868">
        <v>14.372629999999999</v>
      </c>
      <c r="AW1028" s="1868">
        <v>14.941000000000001</v>
      </c>
      <c r="AX1028" s="1868">
        <v>15.711120000000001</v>
      </c>
      <c r="AY1028" s="1868">
        <v>21.806270000000001</v>
      </c>
      <c r="AZ1028" s="1868">
        <v>22.40812</v>
      </c>
      <c r="BA1028" s="1868">
        <v>22.219249999999999</v>
      </c>
    </row>
    <row r="1029" spans="1:53">
      <c r="A1029" s="1865" t="str">
        <f t="shared" si="16"/>
        <v>South-Eastern AsiaBarley</v>
      </c>
      <c r="B1029" s="1866" t="s">
        <v>1421</v>
      </c>
      <c r="C1029" s="1866" t="s">
        <v>1363</v>
      </c>
      <c r="AB1029" s="1868">
        <v>1.9610400000000001</v>
      </c>
      <c r="AC1029" s="1868">
        <v>1.5140200000000001</v>
      </c>
      <c r="AD1029" s="1868">
        <v>1.0934600000000001</v>
      </c>
      <c r="AE1029" s="1868">
        <v>1.10667</v>
      </c>
      <c r="AF1029" s="1868">
        <v>1.01379</v>
      </c>
      <c r="AG1029" s="1868">
        <v>1.18306</v>
      </c>
      <c r="AH1029" s="1868">
        <v>0.71809000000000001</v>
      </c>
      <c r="AI1029" s="1868">
        <v>0.66736000000000006</v>
      </c>
      <c r="AJ1029" s="1868">
        <v>1</v>
      </c>
      <c r="AK1029" s="1868">
        <v>1.2987</v>
      </c>
      <c r="AL1029" s="1868">
        <v>1.6</v>
      </c>
      <c r="AM1029" s="1868">
        <v>1.83918</v>
      </c>
      <c r="AN1029" s="1868">
        <v>4.1852499999999999</v>
      </c>
      <c r="AO1029" s="1868">
        <v>1.84382</v>
      </c>
      <c r="AP1029" s="1868">
        <v>1.9838499999999999</v>
      </c>
      <c r="AQ1029" s="1868">
        <v>1.8690500000000001</v>
      </c>
      <c r="AR1029" s="1868">
        <v>1.89947</v>
      </c>
      <c r="AS1029" s="1868">
        <v>1.9421400000000002</v>
      </c>
      <c r="AT1029" s="1868">
        <v>1.9130400000000001</v>
      </c>
      <c r="AU1029" s="1868">
        <v>1.9166700000000001</v>
      </c>
      <c r="AV1029" s="1868">
        <v>1.9285700000000001</v>
      </c>
      <c r="AW1029" s="1868">
        <v>1.8</v>
      </c>
      <c r="AX1029" s="1868">
        <v>1.84988</v>
      </c>
      <c r="AY1029" s="1868">
        <v>1.8345499999999999</v>
      </c>
      <c r="AZ1029" s="1868">
        <v>1.7922099999999999</v>
      </c>
      <c r="BA1029" s="1868">
        <v>1.8181799999999999</v>
      </c>
    </row>
    <row r="1030" spans="1:53">
      <c r="A1030" s="1865" t="str">
        <f t="shared" si="16"/>
        <v>South-Eastern AsiaBeans, dry</v>
      </c>
      <c r="B1030" s="1866" t="s">
        <v>1421</v>
      </c>
      <c r="C1030" s="1866" t="s">
        <v>1364</v>
      </c>
      <c r="D1030" s="1868">
        <v>0.73551</v>
      </c>
      <c r="E1030" s="1868">
        <v>0.77871000000000001</v>
      </c>
      <c r="F1030" s="1868">
        <v>0.73838000000000004</v>
      </c>
      <c r="G1030" s="1868">
        <v>0.73691000000000006</v>
      </c>
      <c r="H1030" s="1868">
        <v>0.73199999999999998</v>
      </c>
      <c r="I1030" s="1868">
        <v>0.73383999999999994</v>
      </c>
      <c r="J1030" s="1868">
        <v>0.67713999999999996</v>
      </c>
      <c r="K1030" s="1868">
        <v>0.72276000000000007</v>
      </c>
      <c r="L1030" s="1868">
        <v>0.72094999999999998</v>
      </c>
      <c r="M1030" s="1868">
        <v>0.68106</v>
      </c>
      <c r="N1030" s="1868">
        <v>0.77517999999999998</v>
      </c>
      <c r="O1030" s="1868">
        <v>0.74741000000000002</v>
      </c>
      <c r="P1030" s="1868">
        <v>0.71738000000000002</v>
      </c>
      <c r="Q1030" s="1868">
        <v>0.77717999999999998</v>
      </c>
      <c r="R1030" s="1868">
        <v>0.69364999999999999</v>
      </c>
      <c r="S1030" s="1868">
        <v>0.62404999999999999</v>
      </c>
      <c r="T1030" s="1868">
        <v>0.61788999999999994</v>
      </c>
      <c r="U1030" s="1868">
        <v>0.67611999999999994</v>
      </c>
      <c r="V1030" s="1868">
        <v>0.69181000000000004</v>
      </c>
      <c r="W1030" s="1868">
        <v>0.75129000000000001</v>
      </c>
      <c r="X1030" s="1868">
        <v>0.65108999999999995</v>
      </c>
      <c r="Y1030" s="1868">
        <v>0.70787</v>
      </c>
      <c r="Z1030" s="1868">
        <v>0.92531000000000008</v>
      </c>
      <c r="AA1030" s="1868">
        <v>0.94338999999999995</v>
      </c>
      <c r="AB1030" s="1868">
        <v>0.89337999999999995</v>
      </c>
      <c r="AC1030" s="1868">
        <v>0.90249000000000001</v>
      </c>
      <c r="AD1030" s="1868">
        <v>0.9103</v>
      </c>
      <c r="AE1030" s="1868">
        <v>0.93645</v>
      </c>
      <c r="AF1030" s="1868">
        <v>0.90747000000000011</v>
      </c>
      <c r="AG1030" s="1868">
        <v>0.87957999999999992</v>
      </c>
      <c r="AH1030" s="1868">
        <v>0.87170000000000003</v>
      </c>
      <c r="AI1030" s="1868">
        <v>0.93007000000000006</v>
      </c>
      <c r="AJ1030" s="1868">
        <v>0.90876000000000001</v>
      </c>
      <c r="AK1030" s="1868">
        <v>0.94487999999999994</v>
      </c>
      <c r="AL1030" s="1868">
        <v>0.79076000000000002</v>
      </c>
      <c r="AM1030" s="1868">
        <v>0.74346000000000001</v>
      </c>
      <c r="AN1030" s="1868">
        <v>0.70996000000000004</v>
      </c>
      <c r="AO1030" s="1868">
        <v>0.80326999999999993</v>
      </c>
      <c r="AP1030" s="1868">
        <v>0.76165000000000005</v>
      </c>
      <c r="AQ1030" s="1868">
        <v>0.74917</v>
      </c>
      <c r="AR1030" s="1868">
        <v>0.79813000000000001</v>
      </c>
      <c r="AS1030" s="1868">
        <v>0.79542999999999997</v>
      </c>
      <c r="AT1030" s="1868">
        <v>0.88487000000000005</v>
      </c>
      <c r="AU1030" s="1868">
        <v>0.89196000000000009</v>
      </c>
      <c r="AV1030" s="1868">
        <v>0.95928999999999998</v>
      </c>
      <c r="AW1030" s="1868">
        <v>1.0021899999999999</v>
      </c>
      <c r="AX1030" s="1868">
        <v>1.0629600000000001</v>
      </c>
      <c r="AY1030" s="1868">
        <v>1.1278900000000001</v>
      </c>
      <c r="AZ1030" s="1868">
        <v>1.0289299999999999</v>
      </c>
      <c r="BA1030" s="1868">
        <v>1.0815600000000001</v>
      </c>
    </row>
    <row r="1031" spans="1:53">
      <c r="A1031" s="1865" t="str">
        <f t="shared" si="16"/>
        <v>South-Eastern AsiaBeans, green</v>
      </c>
      <c r="B1031" s="1866" t="s">
        <v>1421</v>
      </c>
      <c r="C1031" s="1866" t="s">
        <v>1365</v>
      </c>
      <c r="D1031" s="1868">
        <v>2.3093599999999999</v>
      </c>
      <c r="E1031" s="1868">
        <v>2.24194</v>
      </c>
      <c r="F1031" s="1868">
        <v>2.3334200000000003</v>
      </c>
      <c r="G1031" s="1868">
        <v>2.3765400000000003</v>
      </c>
      <c r="H1031" s="1868">
        <v>2.4063300000000001</v>
      </c>
      <c r="I1031" s="1868">
        <v>2.42028</v>
      </c>
      <c r="J1031" s="1868">
        <v>2.4881500000000001</v>
      </c>
      <c r="K1031" s="1868">
        <v>2.5306099999999998</v>
      </c>
      <c r="L1031" s="1868">
        <v>2.7558099999999999</v>
      </c>
      <c r="M1031" s="1868">
        <v>2.9209299999999998</v>
      </c>
      <c r="N1031" s="1868">
        <v>2.8115900000000003</v>
      </c>
      <c r="O1031" s="1868">
        <v>2.8642599999999998</v>
      </c>
      <c r="P1031" s="1868">
        <v>3.3215499999999998</v>
      </c>
      <c r="Q1031" s="1868">
        <v>3.6293599999999997</v>
      </c>
      <c r="R1031" s="1868">
        <v>3.5230099999999998</v>
      </c>
      <c r="S1031" s="1868">
        <v>3.7265999999999999</v>
      </c>
      <c r="T1031" s="1868">
        <v>3.85975</v>
      </c>
      <c r="U1031" s="1868">
        <v>3.44591</v>
      </c>
      <c r="V1031" s="1868">
        <v>3.5093999999999999</v>
      </c>
      <c r="W1031" s="1868">
        <v>3.46841</v>
      </c>
      <c r="X1031" s="1868">
        <v>3.4877400000000001</v>
      </c>
      <c r="Y1031" s="1868">
        <v>3.1440299999999999</v>
      </c>
      <c r="Z1031" s="1868">
        <v>3.5266500000000001</v>
      </c>
      <c r="AA1031" s="1868">
        <v>3.0878099999999997</v>
      </c>
      <c r="AB1031" s="1868">
        <v>3.6498699999999995</v>
      </c>
      <c r="AC1031" s="1868">
        <v>3.0855000000000001</v>
      </c>
      <c r="AD1031" s="1868">
        <v>2.4464299999999999</v>
      </c>
      <c r="AE1031" s="1868">
        <v>1.79539</v>
      </c>
      <c r="AF1031" s="1868">
        <v>2.0079400000000001</v>
      </c>
      <c r="AG1031" s="1868">
        <v>1.8525099999999999</v>
      </c>
      <c r="AH1031" s="1868">
        <v>1.8922299999999999</v>
      </c>
      <c r="AI1031" s="1868">
        <v>1.9145700000000001</v>
      </c>
      <c r="AJ1031" s="1868">
        <v>1.90324</v>
      </c>
      <c r="AK1031" s="1868">
        <v>1.54467</v>
      </c>
      <c r="AL1031" s="1868">
        <v>2.99743</v>
      </c>
      <c r="AM1031" s="1868">
        <v>2.5896499999999998</v>
      </c>
      <c r="AN1031" s="1868">
        <v>2.28382</v>
      </c>
      <c r="AO1031" s="1868">
        <v>2.5676799999999997</v>
      </c>
      <c r="AP1031" s="1868">
        <v>2.4451800000000001</v>
      </c>
      <c r="AQ1031" s="1868">
        <v>2.4950399999999999</v>
      </c>
      <c r="AR1031" s="1868">
        <v>2.3144200000000001</v>
      </c>
      <c r="AS1031" s="1868">
        <v>2.3640300000000001</v>
      </c>
      <c r="AT1031" s="1868">
        <v>2.7701199999999999</v>
      </c>
      <c r="AU1031" s="1868">
        <v>3.23264</v>
      </c>
      <c r="AV1031" s="1868">
        <v>3.6260699999999999</v>
      </c>
      <c r="AW1031" s="1868">
        <v>3.6314199999999999</v>
      </c>
      <c r="AX1031" s="1868">
        <v>3.8374999999999999</v>
      </c>
      <c r="AY1031" s="1868">
        <v>3.7910800000000004</v>
      </c>
      <c r="AZ1031" s="1868">
        <v>3.9837699999999998</v>
      </c>
      <c r="BA1031" s="1868">
        <v>3.7417400000000001</v>
      </c>
    </row>
    <row r="1032" spans="1:53">
      <c r="A1032" s="1865" t="str">
        <f t="shared" si="16"/>
        <v>South-Eastern AsiaCarrots and turnips</v>
      </c>
      <c r="B1032" s="1866" t="s">
        <v>1421</v>
      </c>
      <c r="C1032" s="1866" t="s">
        <v>1366</v>
      </c>
      <c r="D1032" s="1868">
        <v>5.8333300000000001</v>
      </c>
      <c r="E1032" s="1868">
        <v>6.1538500000000003</v>
      </c>
      <c r="F1032" s="1868">
        <v>6.1538500000000003</v>
      </c>
      <c r="G1032" s="1868">
        <v>6</v>
      </c>
      <c r="H1032" s="1868">
        <v>6</v>
      </c>
      <c r="I1032" s="1868">
        <v>6.25</v>
      </c>
      <c r="J1032" s="1868">
        <v>6.25</v>
      </c>
      <c r="K1032" s="1868">
        <v>6.2004800000000007</v>
      </c>
      <c r="L1032" s="1868">
        <v>6.5</v>
      </c>
      <c r="M1032" s="1868">
        <v>6.3333300000000001</v>
      </c>
      <c r="N1032" s="1868">
        <v>6.5</v>
      </c>
      <c r="O1032" s="1868">
        <v>6.4285699999999997</v>
      </c>
      <c r="P1032" s="1868">
        <v>8</v>
      </c>
      <c r="Q1032" s="1868">
        <v>6.65517</v>
      </c>
      <c r="R1032" s="1868">
        <v>9.4193600000000011</v>
      </c>
      <c r="S1032" s="1868">
        <v>9.8949999999999996</v>
      </c>
      <c r="T1032" s="1868">
        <v>3.8</v>
      </c>
      <c r="U1032" s="1868">
        <v>8.2957600000000014</v>
      </c>
      <c r="V1032" s="1868">
        <v>7.4</v>
      </c>
      <c r="W1032" s="1868">
        <v>9.4267199999999995</v>
      </c>
      <c r="X1032" s="1868">
        <v>9.1431699999999996</v>
      </c>
      <c r="Y1032" s="1868">
        <v>8.7882600000000011</v>
      </c>
      <c r="Z1032" s="1868">
        <v>9.6397200000000005</v>
      </c>
      <c r="AA1032" s="1868">
        <v>7.9575699999999996</v>
      </c>
      <c r="AB1032" s="1868">
        <v>9.9299600000000012</v>
      </c>
      <c r="AC1032" s="1868">
        <v>11.60313</v>
      </c>
      <c r="AD1032" s="1868">
        <v>11.31129</v>
      </c>
      <c r="AE1032" s="1868">
        <v>12.53546</v>
      </c>
      <c r="AF1032" s="1868">
        <v>13.554770000000001</v>
      </c>
      <c r="AG1032" s="1868">
        <v>11.82043</v>
      </c>
      <c r="AH1032" s="1868">
        <v>12.891999999999999</v>
      </c>
      <c r="AI1032" s="1868">
        <v>14.089920000000001</v>
      </c>
      <c r="AJ1032" s="1868">
        <v>12.64001</v>
      </c>
      <c r="AK1032" s="1868">
        <v>13.673829999999999</v>
      </c>
      <c r="AL1032" s="1868">
        <v>13.498939999999999</v>
      </c>
      <c r="AM1032" s="1868">
        <v>13.836379999999998</v>
      </c>
      <c r="AN1032" s="1868">
        <v>13.04349</v>
      </c>
      <c r="AO1032" s="1868">
        <v>15.89143</v>
      </c>
      <c r="AP1032" s="1868">
        <v>15.931939999999999</v>
      </c>
      <c r="AQ1032" s="1868">
        <v>16.410139999999998</v>
      </c>
      <c r="AR1032" s="1868">
        <v>16.29175</v>
      </c>
      <c r="AS1032" s="1868">
        <v>14.040089999999999</v>
      </c>
      <c r="AT1032" s="1868">
        <v>16.548159999999999</v>
      </c>
      <c r="AU1032" s="1868">
        <v>16.33314</v>
      </c>
      <c r="AV1032" s="1868">
        <v>16.601649999999999</v>
      </c>
      <c r="AW1032" s="1868">
        <v>16.08531</v>
      </c>
      <c r="AX1032" s="1868">
        <v>14.55584</v>
      </c>
      <c r="AY1032" s="1868">
        <v>15.038229999999999</v>
      </c>
      <c r="AZ1032" s="1868">
        <v>14.63936</v>
      </c>
      <c r="BA1032" s="1868">
        <v>14.859229999999998</v>
      </c>
    </row>
    <row r="1033" spans="1:53">
      <c r="A1033" s="1865" t="str">
        <f t="shared" si="16"/>
        <v>South-Eastern AsiaCashew nuts, with shell</v>
      </c>
      <c r="B1033" s="1866" t="s">
        <v>1421</v>
      </c>
      <c r="C1033" s="1866" t="s">
        <v>1367</v>
      </c>
      <c r="D1033" s="1868">
        <v>3.5142900000000004</v>
      </c>
      <c r="E1033" s="1868">
        <v>1.42222</v>
      </c>
      <c r="F1033" s="1868">
        <v>1.40741</v>
      </c>
      <c r="G1033" s="1868">
        <v>1.4</v>
      </c>
      <c r="H1033" s="1868">
        <v>1.3914500000000001</v>
      </c>
      <c r="I1033" s="1868">
        <v>1.2354399999999999</v>
      </c>
      <c r="J1033" s="1868">
        <v>1.2459200000000001</v>
      </c>
      <c r="K1033" s="1868">
        <v>1.2462</v>
      </c>
      <c r="L1033" s="1868">
        <v>1.24109</v>
      </c>
      <c r="M1033" s="1868">
        <v>1.26284</v>
      </c>
      <c r="N1033" s="1868">
        <v>1.1377299999999999</v>
      </c>
      <c r="O1033" s="1868">
        <v>1.1474299999999999</v>
      </c>
      <c r="P1033" s="1868">
        <v>1.06982</v>
      </c>
      <c r="Q1033" s="1868">
        <v>1.2310700000000001</v>
      </c>
      <c r="R1033" s="1868">
        <v>0.39411000000000002</v>
      </c>
      <c r="S1033" s="1868">
        <v>0.34168999999999999</v>
      </c>
      <c r="T1033" s="1868">
        <v>0.33394000000000001</v>
      </c>
      <c r="U1033" s="1868">
        <v>0.29896999999999996</v>
      </c>
      <c r="V1033" s="1868">
        <v>0.26375999999999999</v>
      </c>
      <c r="W1033" s="1868">
        <v>0.20626</v>
      </c>
      <c r="X1033" s="1868">
        <v>0.18683</v>
      </c>
      <c r="Y1033" s="1868">
        <v>0.18253</v>
      </c>
      <c r="Z1033" s="1868">
        <v>0.22301999999999997</v>
      </c>
      <c r="AA1033" s="1868">
        <v>0.30004999999999998</v>
      </c>
      <c r="AB1033" s="1868">
        <v>0.49206000000000005</v>
      </c>
      <c r="AC1033" s="1868">
        <v>0.52934999999999999</v>
      </c>
      <c r="AD1033" s="1868">
        <v>0.59992000000000001</v>
      </c>
      <c r="AE1033" s="1868">
        <v>0.54656000000000005</v>
      </c>
      <c r="AF1033" s="1868">
        <v>0.60636999999999996</v>
      </c>
      <c r="AG1033" s="1868">
        <v>0.67323999999999995</v>
      </c>
      <c r="AH1033" s="1868">
        <v>0.71582000000000001</v>
      </c>
      <c r="AI1033" s="1868">
        <v>0.84997999999999996</v>
      </c>
      <c r="AJ1033" s="1868">
        <v>1.08887</v>
      </c>
      <c r="AK1033" s="1868">
        <v>1.01098</v>
      </c>
      <c r="AL1033" s="1868">
        <v>0.97594999999999998</v>
      </c>
      <c r="AM1033" s="1868">
        <v>0.91769999999999996</v>
      </c>
      <c r="AN1033" s="1868">
        <v>0.57355</v>
      </c>
      <c r="AO1033" s="1868">
        <v>0.47711999999999999</v>
      </c>
      <c r="AP1033" s="1868">
        <v>0.39334000000000002</v>
      </c>
      <c r="AQ1033" s="1868">
        <v>0.53727999999999998</v>
      </c>
      <c r="AR1033" s="1868">
        <v>0.58626999999999996</v>
      </c>
      <c r="AS1033" s="1868">
        <v>0.86897999999999997</v>
      </c>
      <c r="AT1033" s="1868">
        <v>1.0455000000000001</v>
      </c>
      <c r="AU1033" s="1868">
        <v>1.36141</v>
      </c>
      <c r="AV1033" s="1868">
        <v>1.48848</v>
      </c>
      <c r="AW1033" s="1868">
        <v>1.52948</v>
      </c>
      <c r="AX1033" s="1868">
        <v>2.32986</v>
      </c>
      <c r="AY1033" s="1868">
        <v>2.2590599999999998</v>
      </c>
      <c r="AZ1033" s="1868">
        <v>1.7795599999999998</v>
      </c>
      <c r="BA1033" s="1868">
        <v>2.1401699999999999</v>
      </c>
    </row>
    <row r="1034" spans="1:53">
      <c r="A1034" s="1865" t="str">
        <f t="shared" si="16"/>
        <v>South-Eastern AsiaCassava</v>
      </c>
      <c r="B1034" s="1866" t="s">
        <v>1421</v>
      </c>
      <c r="C1034" s="1866" t="s">
        <v>1368</v>
      </c>
      <c r="D1034" s="1868">
        <v>7.99993</v>
      </c>
      <c r="E1034" s="1868">
        <v>8.2777999999999992</v>
      </c>
      <c r="F1034" s="1868">
        <v>7.8298199999999998</v>
      </c>
      <c r="G1034" s="1868">
        <v>8.0324000000000009</v>
      </c>
      <c r="H1034" s="1868">
        <v>7.5666000000000002</v>
      </c>
      <c r="I1034" s="1868">
        <v>7.887760000000001</v>
      </c>
      <c r="J1034" s="1868">
        <v>7.59138</v>
      </c>
      <c r="K1034" s="1868">
        <v>8.1564499999999995</v>
      </c>
      <c r="L1034" s="1868">
        <v>8.2125399999999988</v>
      </c>
      <c r="M1034" s="1868">
        <v>8.3306199999999997</v>
      </c>
      <c r="N1034" s="1868">
        <v>8.2390699999999999</v>
      </c>
      <c r="O1034" s="1868">
        <v>7.8696899999999994</v>
      </c>
      <c r="P1034" s="1868">
        <v>8.799430000000001</v>
      </c>
      <c r="Q1034" s="1868">
        <v>9.42197</v>
      </c>
      <c r="R1034" s="1868">
        <v>10.055530000000001</v>
      </c>
      <c r="S1034" s="1868">
        <v>10.64833</v>
      </c>
      <c r="T1034" s="1868">
        <v>10.528030000000001</v>
      </c>
      <c r="U1034" s="1868">
        <v>11.339650000000001</v>
      </c>
      <c r="V1034" s="1868">
        <v>10.47165</v>
      </c>
      <c r="W1034" s="1868">
        <v>11.125110000000001</v>
      </c>
      <c r="X1034" s="1868">
        <v>11.06959</v>
      </c>
      <c r="Y1034" s="1868">
        <v>11.754200000000001</v>
      </c>
      <c r="Z1034" s="1868">
        <v>12.67027</v>
      </c>
      <c r="AA1034" s="1868">
        <v>11.9322</v>
      </c>
      <c r="AB1034" s="1868">
        <v>11.77807</v>
      </c>
      <c r="AC1034" s="1868">
        <v>11.39202</v>
      </c>
      <c r="AD1034" s="1868">
        <v>12.335889999999999</v>
      </c>
      <c r="AE1034" s="1868">
        <v>12.49066</v>
      </c>
      <c r="AF1034" s="1868">
        <v>13.020289999999999</v>
      </c>
      <c r="AG1034" s="1868">
        <v>12.365119999999999</v>
      </c>
      <c r="AH1034" s="1868">
        <v>12.254</v>
      </c>
      <c r="AI1034" s="1868">
        <v>12.45805</v>
      </c>
      <c r="AJ1034" s="1868">
        <v>12.47072</v>
      </c>
      <c r="AK1034" s="1868">
        <v>11.95945</v>
      </c>
      <c r="AL1034" s="1868">
        <v>11.553360000000001</v>
      </c>
      <c r="AM1034" s="1868">
        <v>12.10647</v>
      </c>
      <c r="AN1034" s="1868">
        <v>12.63865</v>
      </c>
      <c r="AO1034" s="1868">
        <v>12.43993</v>
      </c>
      <c r="AP1034" s="1868">
        <v>12.74593</v>
      </c>
      <c r="AQ1034" s="1868">
        <v>13.480320000000001</v>
      </c>
      <c r="AR1034" s="1868">
        <v>14.002929999999999</v>
      </c>
      <c r="AS1034" s="1868">
        <v>14.01816</v>
      </c>
      <c r="AT1034" s="1868">
        <v>15.7049</v>
      </c>
      <c r="AU1034" s="1868">
        <v>16.43496</v>
      </c>
      <c r="AV1034" s="1868">
        <v>15.643599999999999</v>
      </c>
      <c r="AW1034" s="1868">
        <v>17.456859999999999</v>
      </c>
      <c r="AX1034" s="1868">
        <v>18.408479999999997</v>
      </c>
      <c r="AY1034" s="1868">
        <v>18.39425</v>
      </c>
      <c r="AZ1034" s="1868">
        <v>19.329339999999998</v>
      </c>
      <c r="BA1034" s="1868">
        <v>18.39123</v>
      </c>
    </row>
    <row r="1035" spans="1:53">
      <c r="A1035" s="1865" t="str">
        <f t="shared" si="16"/>
        <v>South-Eastern AsiaCauliflowers and broccoli</v>
      </c>
      <c r="B1035" s="1866" t="s">
        <v>1421</v>
      </c>
      <c r="C1035" s="1866" t="s">
        <v>1369</v>
      </c>
      <c r="D1035" s="1868">
        <v>6.2781699999999994</v>
      </c>
      <c r="E1035" s="1868">
        <v>5.9016400000000004</v>
      </c>
      <c r="F1035" s="1868">
        <v>6.3679300000000003</v>
      </c>
      <c r="G1035" s="1868">
        <v>6.5938899999999991</v>
      </c>
      <c r="H1035" s="1868">
        <v>6.878610000000001</v>
      </c>
      <c r="I1035" s="1868">
        <v>6.6406300000000007</v>
      </c>
      <c r="J1035" s="1868">
        <v>6.6839399999999998</v>
      </c>
      <c r="K1035" s="1868">
        <v>6.6839399999999998</v>
      </c>
      <c r="L1035" s="1868">
        <v>6.7010300000000003</v>
      </c>
      <c r="M1035" s="1868">
        <v>6.7609300000000001</v>
      </c>
      <c r="N1035" s="1868">
        <v>6.9736799999999999</v>
      </c>
      <c r="O1035" s="1868">
        <v>7.4074100000000005</v>
      </c>
      <c r="P1035" s="1868">
        <v>7.4390199999999993</v>
      </c>
      <c r="Q1035" s="1868">
        <v>7.4878100000000005</v>
      </c>
      <c r="R1035" s="1868">
        <v>7.5060500000000001</v>
      </c>
      <c r="S1035" s="1868">
        <v>7.5120800000000001</v>
      </c>
      <c r="T1035" s="1868">
        <v>7.4588199999999993</v>
      </c>
      <c r="U1035" s="1868">
        <v>7.4651199999999998</v>
      </c>
      <c r="V1035" s="1868">
        <v>7.4712600000000009</v>
      </c>
      <c r="W1035" s="1868">
        <v>7.6222199999999996</v>
      </c>
      <c r="X1035" s="1868">
        <v>7.7582399999999998</v>
      </c>
      <c r="Y1035" s="1868">
        <v>7.8913000000000002</v>
      </c>
      <c r="Z1035" s="1868">
        <v>7.9166699999999999</v>
      </c>
      <c r="AA1035" s="1868">
        <v>8.3333300000000001</v>
      </c>
      <c r="AB1035" s="1868">
        <v>8.4615399999999994</v>
      </c>
      <c r="AC1035" s="1868">
        <v>8.5192300000000003</v>
      </c>
      <c r="AD1035" s="1868">
        <v>8.5384600000000006</v>
      </c>
      <c r="AE1035" s="1868">
        <v>8.8679299999999994</v>
      </c>
      <c r="AF1035" s="1868">
        <v>8.75</v>
      </c>
      <c r="AG1035" s="1868">
        <v>10.81414</v>
      </c>
      <c r="AH1035" s="1868">
        <v>10.52093</v>
      </c>
      <c r="AI1035" s="1868">
        <v>11.353639999999999</v>
      </c>
      <c r="AJ1035" s="1868">
        <v>11.748049999999999</v>
      </c>
      <c r="AK1035" s="1868">
        <v>11.840530000000001</v>
      </c>
      <c r="AL1035" s="1868">
        <v>12.19754</v>
      </c>
      <c r="AM1035" s="1868">
        <v>11.477650000000001</v>
      </c>
      <c r="AN1035" s="1868">
        <v>10.916739999999999</v>
      </c>
      <c r="AO1035" s="1868">
        <v>11.58605</v>
      </c>
      <c r="AP1035" s="1868">
        <v>11.540749999999999</v>
      </c>
      <c r="AQ1035" s="1868">
        <v>18.816400000000002</v>
      </c>
      <c r="AR1035" s="1868">
        <v>14.266160000000001</v>
      </c>
      <c r="AS1035" s="1868">
        <v>13.691070000000002</v>
      </c>
      <c r="AT1035" s="1868">
        <v>14.528960000000001</v>
      </c>
      <c r="AU1035" s="1868">
        <v>15.159889999999999</v>
      </c>
      <c r="AV1035" s="1868">
        <v>14.48076</v>
      </c>
      <c r="AW1035" s="1868">
        <v>14.014779999999998</v>
      </c>
      <c r="AX1035" s="1868">
        <v>14.81523</v>
      </c>
      <c r="AY1035" s="1868">
        <v>13.29091</v>
      </c>
      <c r="AZ1035" s="1868">
        <v>11.975060000000001</v>
      </c>
      <c r="BA1035" s="1868">
        <v>12.452310000000001</v>
      </c>
    </row>
    <row r="1036" spans="1:53">
      <c r="A1036" s="1865" t="str">
        <f t="shared" si="16"/>
        <v>South-Eastern AsiaCereals, nes</v>
      </c>
      <c r="B1036" s="1866" t="s">
        <v>1421</v>
      </c>
      <c r="C1036" s="1866" t="s">
        <v>1370</v>
      </c>
      <c r="D1036" s="1868">
        <v>0.18154999999999999</v>
      </c>
      <c r="E1036" s="1868">
        <v>0.19304000000000002</v>
      </c>
      <c r="F1036" s="1868">
        <v>0.15882000000000002</v>
      </c>
      <c r="G1036" s="1868">
        <v>0.15453</v>
      </c>
      <c r="H1036" s="1868">
        <v>0.18684000000000001</v>
      </c>
      <c r="I1036" s="1868">
        <v>0.15503</v>
      </c>
      <c r="J1036" s="1868">
        <v>0.19691</v>
      </c>
      <c r="K1036" s="1868">
        <v>0.20846999999999999</v>
      </c>
      <c r="L1036" s="1868">
        <v>0.27650000000000002</v>
      </c>
      <c r="M1036" s="1868">
        <v>0.25567000000000001</v>
      </c>
      <c r="N1036" s="1868">
        <v>0.27545999999999998</v>
      </c>
      <c r="O1036" s="1868">
        <v>0.31990000000000002</v>
      </c>
      <c r="P1036" s="1868">
        <v>0.32483000000000001</v>
      </c>
      <c r="Q1036" s="1868">
        <v>0.36079</v>
      </c>
      <c r="R1036" s="1868">
        <v>0.40129999999999999</v>
      </c>
      <c r="S1036" s="1868">
        <v>0.37101000000000001</v>
      </c>
      <c r="T1036" s="1868">
        <v>0.51923999999999992</v>
      </c>
      <c r="U1036" s="1868">
        <v>0.39116999999999996</v>
      </c>
      <c r="V1036" s="1868">
        <v>0.39711000000000002</v>
      </c>
      <c r="W1036" s="1868">
        <v>0.54973000000000005</v>
      </c>
      <c r="X1036" s="1868">
        <v>0.49576999999999999</v>
      </c>
      <c r="Y1036" s="1868">
        <v>0.46621999999999997</v>
      </c>
      <c r="Z1036" s="1868">
        <v>0.49020000000000002</v>
      </c>
      <c r="AA1036" s="1868">
        <v>0.64885999999999999</v>
      </c>
      <c r="AB1036" s="1868">
        <v>0.71766000000000008</v>
      </c>
      <c r="AC1036" s="1868">
        <v>0.70093000000000005</v>
      </c>
      <c r="AD1036" s="1868">
        <v>0.72167999999999999</v>
      </c>
      <c r="AE1036" s="1868">
        <v>0.83592999999999995</v>
      </c>
      <c r="AF1036" s="1868">
        <v>0.59471000000000007</v>
      </c>
      <c r="AG1036" s="1868">
        <v>0.64918999999999993</v>
      </c>
      <c r="AH1036" s="1868">
        <v>0.68052999999999997</v>
      </c>
      <c r="AI1036" s="1868">
        <v>0.78678000000000003</v>
      </c>
      <c r="AJ1036" s="1868">
        <v>0.8672200000000001</v>
      </c>
      <c r="AK1036" s="1868">
        <v>0.89701000000000009</v>
      </c>
      <c r="AL1036" s="1868">
        <v>0.96099000000000001</v>
      </c>
      <c r="AM1036" s="1868">
        <v>0.95994000000000002</v>
      </c>
      <c r="AN1036" s="1868">
        <v>0.91837000000000002</v>
      </c>
      <c r="AO1036" s="1868">
        <v>0.89523999999999992</v>
      </c>
      <c r="AP1036" s="1868">
        <v>0.96491000000000005</v>
      </c>
      <c r="AQ1036" s="1868">
        <v>1.0720100000000001</v>
      </c>
      <c r="AR1036" s="1868">
        <v>1.09859</v>
      </c>
      <c r="AS1036" s="1868">
        <v>0.96875</v>
      </c>
      <c r="AT1036" s="1868">
        <v>1.04688</v>
      </c>
      <c r="AU1036" s="1868">
        <v>1.0928500000000001</v>
      </c>
      <c r="AV1036" s="1868">
        <v>1.1129200000000001</v>
      </c>
      <c r="AW1036" s="1868">
        <v>0.78327000000000002</v>
      </c>
      <c r="AX1036" s="1868">
        <v>0.80642999999999998</v>
      </c>
      <c r="AY1036" s="1868">
        <v>0.82125999999999999</v>
      </c>
      <c r="AZ1036" s="1868">
        <v>0.80488999999999999</v>
      </c>
      <c r="BA1036" s="1868">
        <v>0.80786000000000002</v>
      </c>
    </row>
    <row r="1037" spans="1:53">
      <c r="A1037" s="1865" t="str">
        <f t="shared" si="16"/>
        <v>South-Eastern AsiaCitrus fruit, nes</v>
      </c>
      <c r="B1037" s="1866" t="s">
        <v>1421</v>
      </c>
      <c r="C1037" s="1866" t="s">
        <v>1372</v>
      </c>
      <c r="D1037" s="1868">
        <v>3</v>
      </c>
      <c r="E1037" s="1868">
        <v>3</v>
      </c>
      <c r="F1037" s="1868">
        <v>3</v>
      </c>
      <c r="G1037" s="1868">
        <v>3</v>
      </c>
      <c r="H1037" s="1868">
        <v>3</v>
      </c>
      <c r="I1037" s="1868">
        <v>3</v>
      </c>
      <c r="J1037" s="1868">
        <v>3</v>
      </c>
      <c r="K1037" s="1868">
        <v>3</v>
      </c>
      <c r="L1037" s="1868">
        <v>3</v>
      </c>
      <c r="M1037" s="1868">
        <v>3</v>
      </c>
      <c r="N1037" s="1868">
        <v>3</v>
      </c>
      <c r="O1037" s="1868">
        <v>3</v>
      </c>
      <c r="P1037" s="1868">
        <v>3</v>
      </c>
      <c r="Q1037" s="1868">
        <v>3</v>
      </c>
      <c r="R1037" s="1868">
        <v>3</v>
      </c>
      <c r="S1037" s="1868">
        <v>3</v>
      </c>
      <c r="T1037" s="1868">
        <v>2.97959</v>
      </c>
      <c r="U1037" s="1868">
        <v>2.9855099999999997</v>
      </c>
      <c r="V1037" s="1868">
        <v>2.9836099999999997</v>
      </c>
      <c r="W1037" s="1868">
        <v>3.5172400000000001</v>
      </c>
      <c r="X1037" s="1868">
        <v>2.9756099999999996</v>
      </c>
      <c r="Y1037" s="1868">
        <v>3.0434799999999997</v>
      </c>
      <c r="Z1037" s="1868">
        <v>2.9729700000000001</v>
      </c>
      <c r="AA1037" s="1868">
        <v>2.9756099999999996</v>
      </c>
      <c r="AB1037" s="1868">
        <v>5.59633</v>
      </c>
      <c r="AC1037" s="1868">
        <v>5.59633</v>
      </c>
      <c r="AD1037" s="1868">
        <v>5.6296300000000006</v>
      </c>
      <c r="AE1037" s="1868">
        <v>5.3728800000000003</v>
      </c>
      <c r="AF1037" s="1868">
        <v>5.1230799999999999</v>
      </c>
      <c r="AG1037" s="1868">
        <v>9.5271100000000004</v>
      </c>
      <c r="AH1037" s="1868">
        <v>9.4523399999999995</v>
      </c>
      <c r="AI1037" s="1868">
        <v>9.3829499999999992</v>
      </c>
      <c r="AJ1037" s="1868">
        <v>9.2507699999999993</v>
      </c>
      <c r="AK1037" s="1868">
        <v>9.1967499999999998</v>
      </c>
      <c r="AL1037" s="1868">
        <v>9.2692700000000006</v>
      </c>
      <c r="AM1037" s="1868">
        <v>9.2474699999999999</v>
      </c>
      <c r="AN1037" s="1868">
        <v>8.4169699999999992</v>
      </c>
      <c r="AO1037" s="1868">
        <v>9.0404400000000003</v>
      </c>
      <c r="AP1037" s="1868">
        <v>8.9818499999999997</v>
      </c>
      <c r="AQ1037" s="1868">
        <v>8.7743800000000007</v>
      </c>
      <c r="AR1037" s="1868">
        <v>8.7806999999999995</v>
      </c>
      <c r="AS1037" s="1868">
        <v>8.6501699999999992</v>
      </c>
      <c r="AT1037" s="1868">
        <v>8.5107699999999991</v>
      </c>
      <c r="AU1037" s="1868">
        <v>8.1824100000000008</v>
      </c>
      <c r="AV1037" s="1868">
        <v>9.2894500000000004</v>
      </c>
      <c r="AW1037" s="1868">
        <v>9.0410699999999995</v>
      </c>
      <c r="AX1037" s="1868">
        <v>9.1897199999999994</v>
      </c>
      <c r="AY1037" s="1868">
        <v>8.9086499999999997</v>
      </c>
      <c r="AZ1037" s="1868">
        <v>8.5876999999999999</v>
      </c>
      <c r="BA1037" s="1868">
        <v>8.40123</v>
      </c>
    </row>
    <row r="1038" spans="1:53">
      <c r="A1038" s="1865" t="str">
        <f t="shared" si="16"/>
        <v>South-Eastern AsiaCoffee, green</v>
      </c>
      <c r="B1038" s="1866" t="s">
        <v>1421</v>
      </c>
      <c r="C1038" s="1866" t="s">
        <v>1373</v>
      </c>
      <c r="D1038" s="1868">
        <v>0.56562000000000001</v>
      </c>
      <c r="E1038" s="1868">
        <v>0.57668999999999992</v>
      </c>
      <c r="F1038" s="1868">
        <v>0.56098999999999999</v>
      </c>
      <c r="G1038" s="1868">
        <v>0.58015000000000005</v>
      </c>
      <c r="H1038" s="1868">
        <v>0.59963999999999995</v>
      </c>
      <c r="I1038" s="1868">
        <v>0.59116000000000002</v>
      </c>
      <c r="J1038" s="1868">
        <v>0.56771000000000005</v>
      </c>
      <c r="K1038" s="1868">
        <v>0.59182999999999997</v>
      </c>
      <c r="L1038" s="1868">
        <v>0.65046000000000004</v>
      </c>
      <c r="M1038" s="1868">
        <v>0.62365999999999999</v>
      </c>
      <c r="N1038" s="1868">
        <v>0.58967999999999998</v>
      </c>
      <c r="O1038" s="1868">
        <v>0.59677999999999998</v>
      </c>
      <c r="P1038" s="1868">
        <v>0.59567000000000003</v>
      </c>
      <c r="Q1038" s="1868">
        <v>0.60011999999999999</v>
      </c>
      <c r="R1038" s="1868">
        <v>0.67761000000000005</v>
      </c>
      <c r="S1038" s="1868">
        <v>0.63773999999999997</v>
      </c>
      <c r="T1038" s="1868">
        <v>0.64353000000000005</v>
      </c>
      <c r="U1038" s="1868">
        <v>0.69403000000000004</v>
      </c>
      <c r="V1038" s="1868">
        <v>0.69320000000000004</v>
      </c>
      <c r="W1038" s="1868">
        <v>0.68425000000000002</v>
      </c>
      <c r="X1038" s="1868">
        <v>0.69069999999999998</v>
      </c>
      <c r="Y1038" s="1868">
        <v>0.67706999999999995</v>
      </c>
      <c r="Z1038" s="1868">
        <v>0.65185999999999999</v>
      </c>
      <c r="AA1038" s="1868">
        <v>0.61807999999999996</v>
      </c>
      <c r="AB1038" s="1868">
        <v>0.58391999999999999</v>
      </c>
      <c r="AC1038" s="1868">
        <v>0.63166</v>
      </c>
      <c r="AD1038" s="1868">
        <v>0.64993000000000001</v>
      </c>
      <c r="AE1038" s="1868">
        <v>0.62821000000000005</v>
      </c>
      <c r="AF1038" s="1868">
        <v>0.65041000000000004</v>
      </c>
      <c r="AG1038" s="1868">
        <v>0.66698999999999997</v>
      </c>
      <c r="AH1038" s="1868">
        <v>0.64801999999999993</v>
      </c>
      <c r="AI1038" s="1868">
        <v>0.66731000000000007</v>
      </c>
      <c r="AJ1038" s="1868">
        <v>0.66585000000000005</v>
      </c>
      <c r="AK1038" s="1868">
        <v>0.74761</v>
      </c>
      <c r="AL1038" s="1868">
        <v>0.72770000000000001</v>
      </c>
      <c r="AM1038" s="1868">
        <v>0.74286000000000008</v>
      </c>
      <c r="AN1038" s="1868">
        <v>0.8236</v>
      </c>
      <c r="AO1038" s="1868">
        <v>0.83712999999999993</v>
      </c>
      <c r="AP1038" s="1868">
        <v>0.86101000000000005</v>
      </c>
      <c r="AQ1038" s="1868">
        <v>0.77751999999999999</v>
      </c>
      <c r="AR1038" s="1868">
        <v>0.78833999999999993</v>
      </c>
      <c r="AS1038" s="1868">
        <v>0.73209000000000002</v>
      </c>
      <c r="AT1038" s="1868">
        <v>0.76578999999999997</v>
      </c>
      <c r="AU1038" s="1868">
        <v>0.80631000000000008</v>
      </c>
      <c r="AV1038" s="1868">
        <v>0.75996000000000008</v>
      </c>
      <c r="AW1038" s="1868">
        <v>1.0388700000000002</v>
      </c>
      <c r="AX1038" s="1868">
        <v>1.19343</v>
      </c>
      <c r="AY1038" s="1868">
        <v>1.07985</v>
      </c>
      <c r="AZ1038" s="1868">
        <v>1.0303599999999999</v>
      </c>
      <c r="BA1038" s="1868">
        <v>1.05304</v>
      </c>
    </row>
    <row r="1039" spans="1:53">
      <c r="A1039" s="1865" t="str">
        <f t="shared" si="16"/>
        <v>South-Eastern AsiaCow peas, dry</v>
      </c>
      <c r="B1039" s="1866" t="s">
        <v>1421</v>
      </c>
      <c r="C1039" s="1866" t="s">
        <v>1355</v>
      </c>
      <c r="D1039" s="1868">
        <v>0.66322999999999999</v>
      </c>
      <c r="E1039" s="1868">
        <v>0.61177999999999999</v>
      </c>
      <c r="F1039" s="1868">
        <v>0.59101000000000004</v>
      </c>
      <c r="G1039" s="1868">
        <v>0.75633000000000006</v>
      </c>
      <c r="H1039" s="1868">
        <v>0.62066999999999994</v>
      </c>
      <c r="I1039" s="1868">
        <v>0.58598000000000006</v>
      </c>
      <c r="J1039" s="1868">
        <v>0.63413999999999993</v>
      </c>
      <c r="K1039" s="1868">
        <v>0.68566000000000005</v>
      </c>
      <c r="L1039" s="1868">
        <v>0.65915000000000001</v>
      </c>
      <c r="M1039" s="1868">
        <v>0.65686999999999995</v>
      </c>
      <c r="N1039" s="1868">
        <v>0.47728999999999994</v>
      </c>
      <c r="O1039" s="1868">
        <v>0.47735</v>
      </c>
      <c r="P1039" s="1868">
        <v>0.51815</v>
      </c>
      <c r="Q1039" s="1868">
        <v>0.53643000000000007</v>
      </c>
      <c r="R1039" s="1868">
        <v>0.56910000000000005</v>
      </c>
      <c r="S1039" s="1868">
        <v>0.55626000000000009</v>
      </c>
      <c r="T1039" s="1868">
        <v>0.58196999999999999</v>
      </c>
      <c r="U1039" s="1868">
        <v>0.56247999999999998</v>
      </c>
      <c r="V1039" s="1868">
        <v>0.50166999999999995</v>
      </c>
      <c r="W1039" s="1868">
        <v>0.49531999999999998</v>
      </c>
      <c r="X1039" s="1868">
        <v>0.46043000000000001</v>
      </c>
      <c r="Y1039" s="1868">
        <v>0.44785000000000003</v>
      </c>
      <c r="Z1039" s="1868">
        <v>0.51318999999999992</v>
      </c>
      <c r="AA1039" s="1868">
        <v>0.51180999999999999</v>
      </c>
      <c r="AB1039" s="1868">
        <v>0.66341000000000006</v>
      </c>
      <c r="AC1039" s="1868">
        <v>0.61271000000000009</v>
      </c>
      <c r="AD1039" s="1868">
        <v>0.63400000000000001</v>
      </c>
      <c r="AE1039" s="1868">
        <v>0.64621000000000006</v>
      </c>
      <c r="AF1039" s="1868">
        <v>0.48010000000000003</v>
      </c>
      <c r="AG1039" s="1868">
        <v>0.46683000000000002</v>
      </c>
      <c r="AH1039" s="1868">
        <v>0.49851000000000001</v>
      </c>
      <c r="AI1039" s="1868">
        <v>0.58784999999999998</v>
      </c>
      <c r="AJ1039" s="1868">
        <v>0.53895000000000004</v>
      </c>
      <c r="AK1039" s="1868">
        <v>0.58594999999999997</v>
      </c>
      <c r="AL1039" s="1868">
        <v>0.63538000000000006</v>
      </c>
      <c r="AM1039" s="1868">
        <v>0.64776999999999996</v>
      </c>
      <c r="AN1039" s="1868">
        <v>0.71838000000000002</v>
      </c>
      <c r="AO1039" s="1868">
        <v>0.77123999999999993</v>
      </c>
      <c r="AP1039" s="1868">
        <v>0.61541999999999997</v>
      </c>
      <c r="AQ1039" s="1868">
        <v>0.73893999999999993</v>
      </c>
      <c r="AR1039" s="1868">
        <v>0.78806999999999994</v>
      </c>
      <c r="AS1039" s="1868">
        <v>0.81047999999999998</v>
      </c>
      <c r="AT1039" s="1868">
        <v>0.9573799999999999</v>
      </c>
      <c r="AU1039" s="1868">
        <v>0.92515000000000003</v>
      </c>
      <c r="AV1039" s="1868">
        <v>0.92795000000000005</v>
      </c>
      <c r="AW1039" s="1868">
        <v>0.99701000000000006</v>
      </c>
      <c r="AX1039" s="1868">
        <v>1.0364200000000001</v>
      </c>
      <c r="AY1039" s="1868">
        <v>1.12354</v>
      </c>
      <c r="AZ1039" s="1868">
        <v>1.1278900000000001</v>
      </c>
      <c r="BA1039" s="1868">
        <v>1.3561799999999999</v>
      </c>
    </row>
    <row r="1040" spans="1:53">
      <c r="A1040" s="1865" t="str">
        <f t="shared" si="16"/>
        <v>South-Eastern AsiaEggplants (aubergines)</v>
      </c>
      <c r="B1040" s="1866" t="s">
        <v>1421</v>
      </c>
      <c r="C1040" s="1866" t="s">
        <v>1375</v>
      </c>
      <c r="D1040" s="1868">
        <v>3.03241</v>
      </c>
      <c r="E1040" s="1868">
        <v>3.1963499999999998</v>
      </c>
      <c r="F1040" s="1868">
        <v>3.4050300000000004</v>
      </c>
      <c r="G1040" s="1868">
        <v>3.2962899999999999</v>
      </c>
      <c r="H1040" s="1868">
        <v>3.4104800000000002</v>
      </c>
      <c r="I1040" s="1868">
        <v>3.49715</v>
      </c>
      <c r="J1040" s="1868">
        <v>3.5338099999999999</v>
      </c>
      <c r="K1040" s="1868">
        <v>3.8086500000000001</v>
      </c>
      <c r="L1040" s="1868">
        <v>3.6675599999999999</v>
      </c>
      <c r="M1040" s="1868">
        <v>3.9063599999999998</v>
      </c>
      <c r="N1040" s="1868">
        <v>3.9433199999999995</v>
      </c>
      <c r="O1040" s="1868">
        <v>3.7005199999999996</v>
      </c>
      <c r="P1040" s="1868">
        <v>3.9364400000000002</v>
      </c>
      <c r="Q1040" s="1868">
        <v>4.3193400000000004</v>
      </c>
      <c r="R1040" s="1868">
        <v>3.9357699999999998</v>
      </c>
      <c r="S1040" s="1868">
        <v>4.2489099999999995</v>
      </c>
      <c r="T1040" s="1868">
        <v>4.4985900000000001</v>
      </c>
      <c r="U1040" s="1868">
        <v>4.1283900000000004</v>
      </c>
      <c r="V1040" s="1868">
        <v>4.6807600000000003</v>
      </c>
      <c r="W1040" s="1868">
        <v>4.4077299999999999</v>
      </c>
      <c r="X1040" s="1868">
        <v>4.7443400000000002</v>
      </c>
      <c r="Y1040" s="1868">
        <v>3.6120900000000002</v>
      </c>
      <c r="Z1040" s="1868">
        <v>4.4716399999999998</v>
      </c>
      <c r="AA1040" s="1868">
        <v>3.4071099999999999</v>
      </c>
      <c r="AB1040" s="1868">
        <v>3.3321300000000003</v>
      </c>
      <c r="AC1040" s="1868">
        <v>3.7078500000000001</v>
      </c>
      <c r="AD1040" s="1868">
        <v>3.4229599999999998</v>
      </c>
      <c r="AE1040" s="1868">
        <v>3.6386599999999998</v>
      </c>
      <c r="AF1040" s="1868">
        <v>2.73644</v>
      </c>
      <c r="AG1040" s="1868">
        <v>4.5461</v>
      </c>
      <c r="AH1040" s="1868">
        <v>4.2993899999999998</v>
      </c>
      <c r="AI1040" s="1868">
        <v>4.0901300000000003</v>
      </c>
      <c r="AJ1040" s="1868">
        <v>6.6279500000000002</v>
      </c>
      <c r="AK1040" s="1868">
        <v>6.9454600000000006</v>
      </c>
      <c r="AL1040" s="1868">
        <v>8.6511899999999997</v>
      </c>
      <c r="AM1040" s="1868">
        <v>8.7253500000000006</v>
      </c>
      <c r="AN1040" s="1868">
        <v>8.3227600000000006</v>
      </c>
      <c r="AO1040" s="1868">
        <v>8.3794899999999988</v>
      </c>
      <c r="AP1040" s="1868">
        <v>8.2507600000000014</v>
      </c>
      <c r="AQ1040" s="1868">
        <v>7.9909899999999991</v>
      </c>
      <c r="AR1040" s="1868">
        <v>7.8124399999999996</v>
      </c>
      <c r="AS1040" s="1868">
        <v>7.9604100000000004</v>
      </c>
      <c r="AT1040" s="1868">
        <v>7.6854199999999997</v>
      </c>
      <c r="AU1040" s="1868">
        <v>7.5960100000000006</v>
      </c>
      <c r="AV1040" s="1868">
        <v>7.8980399999999991</v>
      </c>
      <c r="AW1040" s="1868">
        <v>7.8781399999999993</v>
      </c>
      <c r="AX1040" s="1868">
        <v>8.9092399999999987</v>
      </c>
      <c r="AY1040" s="1868">
        <v>9.5724400000000003</v>
      </c>
      <c r="AZ1040" s="1868">
        <v>9.5025399999999998</v>
      </c>
      <c r="BA1040" s="1868">
        <v>9.5899000000000001</v>
      </c>
    </row>
    <row r="1041" spans="1:53">
      <c r="A1041" s="1865" t="str">
        <f t="shared" si="16"/>
        <v>South-Eastern AsiaFibre Crops Nes</v>
      </c>
      <c r="B1041" s="1866" t="s">
        <v>1421</v>
      </c>
      <c r="C1041" s="1866" t="s">
        <v>1376</v>
      </c>
      <c r="D1041" s="1868">
        <v>3.9396699999999996</v>
      </c>
      <c r="E1041" s="1868">
        <v>4.1684199999999993</v>
      </c>
      <c r="F1041" s="1868">
        <v>3.9760300000000002</v>
      </c>
      <c r="G1041" s="1868">
        <v>3.63829</v>
      </c>
      <c r="H1041" s="1868">
        <v>3.7004599999999996</v>
      </c>
      <c r="I1041" s="1868">
        <v>3.7672400000000001</v>
      </c>
      <c r="J1041" s="1868">
        <v>3.7527800000000004</v>
      </c>
      <c r="K1041" s="1868">
        <v>4.2102500000000003</v>
      </c>
      <c r="L1041" s="1868">
        <v>3.96936</v>
      </c>
      <c r="M1041" s="1868">
        <v>4.09192</v>
      </c>
      <c r="N1041" s="1868">
        <v>4.2512300000000005</v>
      </c>
      <c r="O1041" s="1868">
        <v>4.5036500000000004</v>
      </c>
      <c r="P1041" s="1868">
        <v>4.3657000000000004</v>
      </c>
      <c r="Q1041" s="1868">
        <v>4.48231</v>
      </c>
      <c r="R1041" s="1868">
        <v>4.7813600000000003</v>
      </c>
      <c r="S1041" s="1868">
        <v>5.0828499999999996</v>
      </c>
      <c r="T1041" s="1868">
        <v>4.8930999999999996</v>
      </c>
      <c r="U1041" s="1868">
        <v>4.9298299999999999</v>
      </c>
      <c r="V1041" s="1868">
        <v>5.0902400000000005</v>
      </c>
      <c r="W1041" s="1868">
        <v>4.9805699999999993</v>
      </c>
      <c r="X1041" s="1868">
        <v>4.9456499999999997</v>
      </c>
      <c r="Y1041" s="1868">
        <v>5.0949400000000002</v>
      </c>
      <c r="Z1041" s="1868">
        <v>4.99369</v>
      </c>
      <c r="AA1041" s="1868">
        <v>5.3978199999999994</v>
      </c>
      <c r="AB1041" s="1868">
        <v>5.6843599999999999</v>
      </c>
      <c r="AC1041" s="1868">
        <v>5.4965400000000004</v>
      </c>
      <c r="AD1041" s="1868">
        <v>5.6911800000000001</v>
      </c>
      <c r="AE1041" s="1868">
        <v>4.3806000000000003</v>
      </c>
      <c r="AF1041" s="1868">
        <v>5.1312699999999998</v>
      </c>
      <c r="AG1041" s="1868">
        <v>4.95275</v>
      </c>
      <c r="AH1041" s="1868">
        <v>5.1734099999999996</v>
      </c>
      <c r="AI1041" s="1868">
        <v>6.4108599999999996</v>
      </c>
      <c r="AJ1041" s="1868">
        <v>6.15876</v>
      </c>
      <c r="AK1041" s="1868">
        <v>5.6842699999999997</v>
      </c>
      <c r="AL1041" s="1868">
        <v>6.4096900000000003</v>
      </c>
      <c r="AM1041" s="1868">
        <v>5.2933699999999995</v>
      </c>
      <c r="AN1041" s="1868">
        <v>6.5043899999999999</v>
      </c>
      <c r="AO1041" s="1868">
        <v>6.23996</v>
      </c>
      <c r="AP1041" s="1868">
        <v>6.0551500000000003</v>
      </c>
      <c r="AQ1041" s="1868">
        <v>5.8383699999999994</v>
      </c>
      <c r="AR1041" s="1868">
        <v>5.8769200000000001</v>
      </c>
      <c r="AS1041" s="1868">
        <v>6.4422899999999998</v>
      </c>
      <c r="AT1041" s="1868">
        <v>6.2416700000000001</v>
      </c>
      <c r="AU1041" s="1868">
        <v>6.4186500000000004</v>
      </c>
      <c r="AV1041" s="1868">
        <v>5.8809800000000001</v>
      </c>
      <c r="AW1041" s="1868">
        <v>6.6928800000000006</v>
      </c>
      <c r="AX1041" s="1868">
        <v>6.5640800000000006</v>
      </c>
      <c r="AY1041" s="1868">
        <v>6.6464100000000004</v>
      </c>
      <c r="AZ1041" s="1868">
        <v>6.7392600000000007</v>
      </c>
      <c r="BA1041" s="1868">
        <v>7.0997500000000002</v>
      </c>
    </row>
    <row r="1042" spans="1:53">
      <c r="A1042" s="1865" t="str">
        <f t="shared" si="16"/>
        <v>South-Eastern AsiaGrapefruit (inc. pomelos)</v>
      </c>
      <c r="B1042" s="1866" t="s">
        <v>1421</v>
      </c>
      <c r="C1042" s="1866" t="s">
        <v>1377</v>
      </c>
      <c r="D1042" s="1868">
        <v>3.25013</v>
      </c>
      <c r="E1042" s="1868">
        <v>3.3728500000000001</v>
      </c>
      <c r="F1042" s="1868">
        <v>3.3703599999999998</v>
      </c>
      <c r="G1042" s="1868">
        <v>3.2489300000000001</v>
      </c>
      <c r="H1042" s="1868">
        <v>3.2225099999999998</v>
      </c>
      <c r="I1042" s="1868">
        <v>3.2997800000000002</v>
      </c>
      <c r="J1042" s="1868">
        <v>3.5023699999999995</v>
      </c>
      <c r="K1042" s="1868">
        <v>3.3451</v>
      </c>
      <c r="L1042" s="1868">
        <v>3.5959400000000001</v>
      </c>
      <c r="M1042" s="1868">
        <v>3.66309</v>
      </c>
      <c r="N1042" s="1868">
        <v>3.5958199999999998</v>
      </c>
      <c r="O1042" s="1868">
        <v>3.45105</v>
      </c>
      <c r="P1042" s="1868">
        <v>3.1696800000000001</v>
      </c>
      <c r="Q1042" s="1868">
        <v>2.8757700000000002</v>
      </c>
      <c r="R1042" s="1868">
        <v>2.9797599999999997</v>
      </c>
      <c r="S1042" s="1868">
        <v>3.2296499999999999</v>
      </c>
      <c r="T1042" s="1868">
        <v>3.27739</v>
      </c>
      <c r="U1042" s="1868">
        <v>3.4894800000000004</v>
      </c>
      <c r="V1042" s="1868">
        <v>3.7597199999999997</v>
      </c>
      <c r="W1042" s="1868">
        <v>3.8598699999999999</v>
      </c>
      <c r="X1042" s="1868">
        <v>3.661</v>
      </c>
      <c r="Y1042" s="1868">
        <v>3.72681</v>
      </c>
      <c r="Z1042" s="1868">
        <v>3.5720499999999999</v>
      </c>
      <c r="AA1042" s="1868">
        <v>4.1364700000000001</v>
      </c>
      <c r="AB1042" s="1868">
        <v>3.8599800000000002</v>
      </c>
      <c r="AC1042" s="1868">
        <v>3.73794</v>
      </c>
      <c r="AD1042" s="1868">
        <v>3.5732499999999998</v>
      </c>
      <c r="AE1042" s="1868">
        <v>3.8691499999999999</v>
      </c>
      <c r="AF1042" s="1868">
        <v>4.6232300000000004</v>
      </c>
      <c r="AG1042" s="1868">
        <v>4.1068699999999998</v>
      </c>
      <c r="AH1042" s="1868">
        <v>4.3211000000000004</v>
      </c>
      <c r="AI1042" s="1868">
        <v>4.1633599999999999</v>
      </c>
      <c r="AJ1042" s="1868">
        <v>4.5653800000000002</v>
      </c>
      <c r="AK1042" s="1868">
        <v>5.2102599999999999</v>
      </c>
      <c r="AL1042" s="1868">
        <v>5.1220099999999995</v>
      </c>
      <c r="AM1042" s="1868">
        <v>6.0852599999999999</v>
      </c>
      <c r="AN1042" s="1868">
        <v>6.6265800000000006</v>
      </c>
      <c r="AO1042" s="1868">
        <v>7.1118199999999998</v>
      </c>
      <c r="AP1042" s="1868">
        <v>7.5799100000000008</v>
      </c>
      <c r="AQ1042" s="1868">
        <v>8.4004999999999992</v>
      </c>
      <c r="AR1042" s="1868">
        <v>8.43858</v>
      </c>
      <c r="AS1042" s="1868">
        <v>8.4500499999999992</v>
      </c>
      <c r="AT1042" s="1868">
        <v>9.7962899999999991</v>
      </c>
      <c r="AU1042" s="1868">
        <v>8.9730500000000006</v>
      </c>
      <c r="AV1042" s="1868">
        <v>8.7622400000000003</v>
      </c>
      <c r="AW1042" s="1868">
        <v>8.9454999999999991</v>
      </c>
      <c r="AX1042" s="1868">
        <v>8.9936600000000002</v>
      </c>
      <c r="AY1042" s="1868">
        <v>9.1230600000000006</v>
      </c>
      <c r="AZ1042" s="1868">
        <v>8.8478399999999997</v>
      </c>
      <c r="BA1042" s="1868">
        <v>8.6210599999999999</v>
      </c>
    </row>
    <row r="1043" spans="1:53">
      <c r="A1043" s="1865" t="str">
        <f t="shared" si="16"/>
        <v>South-Eastern AsiaGrapes</v>
      </c>
      <c r="B1043" s="1866" t="s">
        <v>1421</v>
      </c>
      <c r="C1043" s="1866" t="s">
        <v>1378</v>
      </c>
      <c r="D1043" s="1868">
        <v>6.5</v>
      </c>
      <c r="E1043" s="1868">
        <v>6.5</v>
      </c>
      <c r="F1043" s="1868">
        <v>6.5</v>
      </c>
      <c r="G1043" s="1868">
        <v>6.5</v>
      </c>
      <c r="H1043" s="1868">
        <v>6.5</v>
      </c>
      <c r="I1043" s="1868">
        <v>6.5</v>
      </c>
      <c r="J1043" s="1868">
        <v>6.5</v>
      </c>
      <c r="K1043" s="1868">
        <v>6.5</v>
      </c>
      <c r="L1043" s="1868">
        <v>6.5</v>
      </c>
      <c r="M1043" s="1868">
        <v>6.5</v>
      </c>
      <c r="N1043" s="1868">
        <v>6.8</v>
      </c>
      <c r="O1043" s="1868">
        <v>6.6666699999999999</v>
      </c>
      <c r="P1043" s="1868">
        <v>7</v>
      </c>
      <c r="Q1043" s="1868">
        <v>6.75</v>
      </c>
      <c r="R1043" s="1868">
        <v>6.75</v>
      </c>
      <c r="S1043" s="1868">
        <v>7</v>
      </c>
      <c r="T1043" s="1868">
        <v>7</v>
      </c>
      <c r="U1043" s="1868">
        <v>5.2886300000000004</v>
      </c>
      <c r="V1043" s="1868">
        <v>6.1489500000000001</v>
      </c>
      <c r="W1043" s="1868">
        <v>6.2230099999999995</v>
      </c>
      <c r="X1043" s="1868">
        <v>6.3245699999999996</v>
      </c>
      <c r="Y1043" s="1868">
        <v>6.8863199999999996</v>
      </c>
      <c r="Z1043" s="1868">
        <v>7.1209499999999997</v>
      </c>
      <c r="AA1043" s="1868">
        <v>7.7890699999999997</v>
      </c>
      <c r="AB1043" s="1868">
        <v>8.2602200000000003</v>
      </c>
      <c r="AC1043" s="1868">
        <v>8.7677600000000009</v>
      </c>
      <c r="AD1043" s="1868">
        <v>8.9196899999999992</v>
      </c>
      <c r="AE1043" s="1868">
        <v>8.4660499999999992</v>
      </c>
      <c r="AF1043" s="1868">
        <v>8.5967300000000009</v>
      </c>
      <c r="AG1043" s="1868">
        <v>8.3040399999999988</v>
      </c>
      <c r="AH1043" s="1868">
        <v>10.294119999999999</v>
      </c>
      <c r="AI1043" s="1868">
        <v>12.06349</v>
      </c>
      <c r="AJ1043" s="1868">
        <v>12.648530000000001</v>
      </c>
      <c r="AK1043" s="1868">
        <v>13.178970000000001</v>
      </c>
      <c r="AL1043" s="1868">
        <v>14.867420000000001</v>
      </c>
      <c r="AM1043" s="1868">
        <v>13.854920000000002</v>
      </c>
      <c r="AN1043" s="1868">
        <v>14.162170000000001</v>
      </c>
      <c r="AO1043" s="1868">
        <v>13.880360000000001</v>
      </c>
      <c r="AP1043" s="1868">
        <v>13.09038</v>
      </c>
      <c r="AQ1043" s="1868">
        <v>13.003019999999999</v>
      </c>
      <c r="AR1043" s="1868">
        <v>13.274770000000002</v>
      </c>
      <c r="AS1043" s="1868">
        <v>13.707329999999999</v>
      </c>
      <c r="AT1043" s="1868">
        <v>13.320460000000001</v>
      </c>
      <c r="AU1043" s="1868">
        <v>14.877020000000002</v>
      </c>
      <c r="AV1043" s="1868">
        <v>15.955020000000001</v>
      </c>
      <c r="AW1043" s="1868">
        <v>16.879720000000002</v>
      </c>
      <c r="AX1043" s="1868">
        <v>17.389620000000001</v>
      </c>
      <c r="AY1043" s="1868">
        <v>17.11393</v>
      </c>
      <c r="AZ1043" s="1868">
        <v>17.419070000000001</v>
      </c>
      <c r="BA1043" s="1868">
        <v>16.604860000000002</v>
      </c>
    </row>
    <row r="1044" spans="1:53">
      <c r="A1044" s="1865" t="str">
        <f t="shared" si="16"/>
        <v>South-Eastern AsiaGroundnuts, with shell</v>
      </c>
      <c r="B1044" s="1866" t="s">
        <v>1421</v>
      </c>
      <c r="C1044" s="1866" t="s">
        <v>1379</v>
      </c>
      <c r="D1044" s="1868">
        <v>0.96982999999999997</v>
      </c>
      <c r="E1044" s="1868">
        <v>0.95357999999999987</v>
      </c>
      <c r="F1044" s="1868">
        <v>0.89842999999999995</v>
      </c>
      <c r="G1044" s="1868">
        <v>0.88200000000000001</v>
      </c>
      <c r="H1044" s="1868">
        <v>0.90046000000000004</v>
      </c>
      <c r="I1044" s="1868">
        <v>0.88875000000000004</v>
      </c>
      <c r="J1044" s="1868">
        <v>0.89975000000000005</v>
      </c>
      <c r="K1044" s="1868">
        <v>0.98706000000000005</v>
      </c>
      <c r="L1044" s="1868">
        <v>0.91182999999999992</v>
      </c>
      <c r="M1044" s="1868">
        <v>0.95883999999999991</v>
      </c>
      <c r="N1044" s="1868">
        <v>0.97081000000000006</v>
      </c>
      <c r="O1044" s="1868">
        <v>0.97766000000000008</v>
      </c>
      <c r="P1044" s="1868">
        <v>0.89802999999999988</v>
      </c>
      <c r="Q1044" s="1868">
        <v>0.93427000000000004</v>
      </c>
      <c r="R1044" s="1868">
        <v>0.99434</v>
      </c>
      <c r="S1044" s="1868">
        <v>0.95281000000000005</v>
      </c>
      <c r="T1044" s="1868">
        <v>1.02556</v>
      </c>
      <c r="U1044" s="1868">
        <v>1.11788</v>
      </c>
      <c r="V1044" s="1868">
        <v>1.12215</v>
      </c>
      <c r="W1044" s="1868">
        <v>1.1886700000000001</v>
      </c>
      <c r="X1044" s="1868">
        <v>1.2329600000000001</v>
      </c>
      <c r="Y1044" s="1868">
        <v>1.25145</v>
      </c>
      <c r="Z1044" s="1868">
        <v>1.2516700000000001</v>
      </c>
      <c r="AA1044" s="1868">
        <v>1.31334</v>
      </c>
      <c r="AB1044" s="1868">
        <v>1.32209</v>
      </c>
      <c r="AC1044" s="1868">
        <v>1.35683</v>
      </c>
      <c r="AD1044" s="1868">
        <v>1.2914099999999999</v>
      </c>
      <c r="AE1044" s="1868">
        <v>1.3071600000000001</v>
      </c>
      <c r="AF1044" s="1868">
        <v>1.2726500000000001</v>
      </c>
      <c r="AG1044" s="1868">
        <v>1.30477</v>
      </c>
      <c r="AH1044" s="1868">
        <v>1.33995</v>
      </c>
      <c r="AI1044" s="1868">
        <v>1.33294</v>
      </c>
      <c r="AJ1044" s="1868">
        <v>1.3529200000000001</v>
      </c>
      <c r="AK1044" s="1868">
        <v>1.3200100000000001</v>
      </c>
      <c r="AL1044" s="1868">
        <v>1.27929</v>
      </c>
      <c r="AM1044" s="1868">
        <v>1.5165999999999999</v>
      </c>
      <c r="AN1044" s="1868">
        <v>1.5359</v>
      </c>
      <c r="AO1044" s="1868">
        <v>1.5464799999999999</v>
      </c>
      <c r="AP1044" s="1868">
        <v>1.48112</v>
      </c>
      <c r="AQ1044" s="1868">
        <v>1.5173700000000001</v>
      </c>
      <c r="AR1044" s="1868">
        <v>1.5588299999999999</v>
      </c>
      <c r="AS1044" s="1868">
        <v>1.6303000000000001</v>
      </c>
      <c r="AT1044" s="1868">
        <v>1.66167</v>
      </c>
      <c r="AU1044" s="1868">
        <v>1.72848</v>
      </c>
      <c r="AV1044" s="1868">
        <v>1.7697499999999999</v>
      </c>
      <c r="AW1044" s="1868">
        <v>1.7855099999999999</v>
      </c>
      <c r="AX1044" s="1868">
        <v>1.8449099999999998</v>
      </c>
      <c r="AY1044" s="1868">
        <v>1.5229600000000001</v>
      </c>
      <c r="AZ1044" s="1868">
        <v>1.54958</v>
      </c>
      <c r="BA1044" s="1868">
        <v>1.42849</v>
      </c>
    </row>
    <row r="1045" spans="1:53">
      <c r="A1045" s="1865" t="str">
        <f t="shared" si="16"/>
        <v>South-Eastern AsiaLeguminous vegetables, nes</v>
      </c>
      <c r="B1045" s="1866" t="s">
        <v>1421</v>
      </c>
      <c r="C1045" s="1866" t="s">
        <v>1380</v>
      </c>
      <c r="D1045" s="1868">
        <v>8.3333300000000001</v>
      </c>
      <c r="E1045" s="1868">
        <v>8.5</v>
      </c>
      <c r="F1045" s="1868">
        <v>8.6666699999999999</v>
      </c>
      <c r="G1045" s="1868">
        <v>9</v>
      </c>
      <c r="H1045" s="1868">
        <v>9.3333300000000001</v>
      </c>
      <c r="I1045" s="1868">
        <v>9.6666699999999999</v>
      </c>
      <c r="J1045" s="1868">
        <v>10</v>
      </c>
      <c r="K1045" s="1868">
        <v>10.33333</v>
      </c>
      <c r="L1045" s="1868">
        <v>10.66667</v>
      </c>
      <c r="M1045" s="1868">
        <v>10.66667</v>
      </c>
      <c r="N1045" s="1868">
        <v>9.7142900000000001</v>
      </c>
      <c r="O1045" s="1868">
        <v>10</v>
      </c>
      <c r="P1045" s="1868">
        <v>10.28571</v>
      </c>
      <c r="Q1045" s="1868">
        <v>9.25</v>
      </c>
      <c r="R1045" s="1868">
        <v>9.5</v>
      </c>
      <c r="S1045" s="1868">
        <v>9.75</v>
      </c>
      <c r="T1045" s="1868">
        <v>10</v>
      </c>
      <c r="U1045" s="1868">
        <v>10.25</v>
      </c>
      <c r="V1045" s="1868">
        <v>10.5</v>
      </c>
      <c r="W1045" s="1868">
        <v>9.5555599999999998</v>
      </c>
      <c r="X1045" s="1868">
        <v>9.7777799999999999</v>
      </c>
      <c r="Y1045" s="1868">
        <v>10</v>
      </c>
      <c r="Z1045" s="1868">
        <v>9.1999999999999993</v>
      </c>
      <c r="AA1045" s="1868">
        <v>9.4</v>
      </c>
      <c r="AB1045" s="1868">
        <v>9.6</v>
      </c>
      <c r="AC1045" s="1868">
        <v>9.8000000000000007</v>
      </c>
      <c r="AD1045" s="1868">
        <v>10</v>
      </c>
      <c r="AE1045" s="1868">
        <v>10</v>
      </c>
      <c r="AF1045" s="1868">
        <v>10</v>
      </c>
      <c r="AG1045" s="1868">
        <v>9.3030299999999997</v>
      </c>
      <c r="AH1045" s="1868">
        <v>9.859160000000001</v>
      </c>
      <c r="AI1045" s="1868">
        <v>9.63415</v>
      </c>
      <c r="AJ1045" s="1868">
        <v>11.018520000000001</v>
      </c>
      <c r="AK1045" s="1868">
        <v>11.84</v>
      </c>
      <c r="AL1045" s="1868">
        <v>7.3133800000000004</v>
      </c>
      <c r="AM1045" s="1868">
        <v>7.2541799999999999</v>
      </c>
      <c r="AN1045" s="1868">
        <v>7.7962300000000004</v>
      </c>
      <c r="AO1045" s="1868">
        <v>7.4</v>
      </c>
      <c r="AP1045" s="1868">
        <v>7.4693899999999998</v>
      </c>
      <c r="AQ1045" s="1868">
        <v>7.3413199999999996</v>
      </c>
      <c r="AR1045" s="1868">
        <v>7.1861100000000002</v>
      </c>
      <c r="AS1045" s="1868">
        <v>7.4353899999999991</v>
      </c>
      <c r="AT1045" s="1868">
        <v>7.3415999999999997</v>
      </c>
      <c r="AU1045" s="1868">
        <v>7.5037199999999995</v>
      </c>
      <c r="AV1045" s="1868">
        <v>7.1069699999999996</v>
      </c>
      <c r="AW1045" s="1868">
        <v>6.9968000000000004</v>
      </c>
      <c r="AX1045" s="1868">
        <v>7.0857100000000006</v>
      </c>
      <c r="AY1045" s="1868">
        <v>7.19937</v>
      </c>
      <c r="AZ1045" s="1868">
        <v>7.4423100000000009</v>
      </c>
      <c r="BA1045" s="1868">
        <v>7.2972999999999999</v>
      </c>
    </row>
    <row r="1046" spans="1:53">
      <c r="A1046" s="1865" t="str">
        <f t="shared" si="16"/>
        <v>South-Eastern AsiaMaize</v>
      </c>
      <c r="B1046" s="1866" t="s">
        <v>1421</v>
      </c>
      <c r="C1046" s="1866" t="s">
        <v>1382</v>
      </c>
      <c r="D1046" s="1868">
        <v>0.90172000000000008</v>
      </c>
      <c r="E1046" s="1868">
        <v>0.96416000000000002</v>
      </c>
      <c r="F1046" s="1868">
        <v>0.94381000000000004</v>
      </c>
      <c r="G1046" s="1868">
        <v>1.0041100000000001</v>
      </c>
      <c r="H1046" s="1868">
        <v>0.93218999999999996</v>
      </c>
      <c r="I1046" s="1868">
        <v>0.97352000000000005</v>
      </c>
      <c r="J1046" s="1868">
        <v>0.97542999999999991</v>
      </c>
      <c r="K1046" s="1868">
        <v>1.03179</v>
      </c>
      <c r="L1046" s="1868">
        <v>1.08755</v>
      </c>
      <c r="M1046" s="1868">
        <v>1.1122100000000001</v>
      </c>
      <c r="N1046" s="1868">
        <v>1.1428799999999999</v>
      </c>
      <c r="O1046" s="1868">
        <v>1.0029700000000001</v>
      </c>
      <c r="P1046" s="1868">
        <v>1.1508</v>
      </c>
      <c r="Q1046" s="1868">
        <v>1.1898799999999998</v>
      </c>
      <c r="R1046" s="1868">
        <v>1.2281200000000001</v>
      </c>
      <c r="S1046" s="1868">
        <v>1.23289</v>
      </c>
      <c r="T1046" s="1868">
        <v>1.13018</v>
      </c>
      <c r="U1046" s="1868">
        <v>1.2861499999999999</v>
      </c>
      <c r="V1046" s="1868">
        <v>1.3055299999999999</v>
      </c>
      <c r="W1046" s="1868">
        <v>1.3537999999999999</v>
      </c>
      <c r="X1046" s="1868">
        <v>1.4228700000000001</v>
      </c>
      <c r="Y1046" s="1868">
        <v>1.4165399999999999</v>
      </c>
      <c r="Z1046" s="1868">
        <v>1.5115799999999999</v>
      </c>
      <c r="AA1046" s="1868">
        <v>1.5922499999999999</v>
      </c>
      <c r="AB1046" s="1868">
        <v>1.6588599999999998</v>
      </c>
      <c r="AC1046" s="1868">
        <v>1.6648400000000001</v>
      </c>
      <c r="AD1046" s="1868">
        <v>1.5782700000000001</v>
      </c>
      <c r="AE1046" s="1868">
        <v>1.7433799999999999</v>
      </c>
      <c r="AF1046" s="1868">
        <v>1.7905099999999998</v>
      </c>
      <c r="AG1046" s="1868">
        <v>1.7784400000000002</v>
      </c>
      <c r="AH1046" s="1868">
        <v>1.8315099999999997</v>
      </c>
      <c r="AI1046" s="1868">
        <v>1.9162099999999997</v>
      </c>
      <c r="AJ1046" s="1868">
        <v>1.96774</v>
      </c>
      <c r="AK1046" s="1868">
        <v>2.0806299999999998</v>
      </c>
      <c r="AL1046" s="1868">
        <v>2.14324</v>
      </c>
      <c r="AM1046" s="1868">
        <v>2.3243</v>
      </c>
      <c r="AN1046" s="1868">
        <v>2.3181400000000001</v>
      </c>
      <c r="AO1046" s="1868">
        <v>2.43222</v>
      </c>
      <c r="AP1046" s="1868">
        <v>2.4445900000000003</v>
      </c>
      <c r="AQ1046" s="1868">
        <v>2.56691</v>
      </c>
      <c r="AR1046" s="1868">
        <v>2.6375099999999998</v>
      </c>
      <c r="AS1046" s="1868">
        <v>2.7313200000000002</v>
      </c>
      <c r="AT1046" s="1868">
        <v>2.9207799999999997</v>
      </c>
      <c r="AU1046" s="1868">
        <v>3.03003</v>
      </c>
      <c r="AV1046" s="1868">
        <v>3.1248900000000002</v>
      </c>
      <c r="AW1046" s="1868">
        <v>3.20357</v>
      </c>
      <c r="AX1046" s="1868">
        <v>3.3769300000000002</v>
      </c>
      <c r="AY1046" s="1868">
        <v>3.5198800000000001</v>
      </c>
      <c r="AZ1046" s="1868">
        <v>3.7517800000000001</v>
      </c>
      <c r="BA1046" s="1868">
        <v>3.8262499999999999</v>
      </c>
    </row>
    <row r="1047" spans="1:53">
      <c r="A1047" s="1865" t="str">
        <f t="shared" si="16"/>
        <v>South-Eastern AsiaMaize, green</v>
      </c>
      <c r="B1047" s="1866" t="s">
        <v>1421</v>
      </c>
      <c r="C1047" s="1866" t="s">
        <v>1383</v>
      </c>
      <c r="D1047" s="1868">
        <v>4</v>
      </c>
      <c r="E1047" s="1868">
        <v>4</v>
      </c>
      <c r="F1047" s="1868">
        <v>3.9991099999999999</v>
      </c>
      <c r="G1047" s="1868">
        <v>4</v>
      </c>
      <c r="H1047" s="1868">
        <v>4.0008099999999995</v>
      </c>
      <c r="I1047" s="1868">
        <v>4</v>
      </c>
      <c r="J1047" s="1868">
        <v>4</v>
      </c>
      <c r="K1047" s="1868">
        <v>4</v>
      </c>
      <c r="L1047" s="1868">
        <v>4</v>
      </c>
      <c r="M1047" s="1868">
        <v>4.0067000000000004</v>
      </c>
      <c r="N1047" s="1868">
        <v>3.9934800000000004</v>
      </c>
      <c r="O1047" s="1868">
        <v>4.0127800000000002</v>
      </c>
      <c r="P1047" s="1868">
        <v>4.01119</v>
      </c>
      <c r="Q1047" s="1868">
        <v>4.0121199999999995</v>
      </c>
      <c r="R1047" s="1868">
        <v>4.0368599999999999</v>
      </c>
      <c r="S1047" s="1868">
        <v>4.0718899999999998</v>
      </c>
      <c r="T1047" s="1868">
        <v>3.92944</v>
      </c>
      <c r="U1047" s="1868">
        <v>4.0958300000000003</v>
      </c>
      <c r="V1047" s="1868">
        <v>4.0459500000000004</v>
      </c>
      <c r="W1047" s="1868">
        <v>4.34884</v>
      </c>
      <c r="X1047" s="1868">
        <v>4.1835399999999998</v>
      </c>
      <c r="Y1047" s="1868">
        <v>4.17049</v>
      </c>
      <c r="Z1047" s="1868">
        <v>4.2530599999999996</v>
      </c>
      <c r="AA1047" s="1868">
        <v>4.2631800000000002</v>
      </c>
      <c r="AB1047" s="1868">
        <v>4.1141699999999997</v>
      </c>
      <c r="AC1047" s="1868">
        <v>4.2222200000000001</v>
      </c>
      <c r="AD1047" s="1868">
        <v>4.32</v>
      </c>
      <c r="AE1047" s="1868">
        <v>4.4444400000000002</v>
      </c>
      <c r="AF1047" s="1868">
        <v>4.5895999999999999</v>
      </c>
      <c r="AG1047" s="1868">
        <v>6.5062199999999999</v>
      </c>
      <c r="AH1047" s="1868">
        <v>5.72532</v>
      </c>
      <c r="AI1047" s="1868">
        <v>5.4043099999999997</v>
      </c>
      <c r="AJ1047" s="1868">
        <v>4.2395899999999997</v>
      </c>
      <c r="AK1047" s="1868">
        <v>3.7288900000000003</v>
      </c>
      <c r="AL1047" s="1868">
        <v>3.5041099999999998</v>
      </c>
      <c r="AM1047" s="1868">
        <v>3.3679300000000003</v>
      </c>
      <c r="AN1047" s="1868">
        <v>3.9201300000000003</v>
      </c>
      <c r="AO1047" s="1868">
        <v>3.6526699999999996</v>
      </c>
      <c r="AP1047" s="1868">
        <v>3.6565099999999999</v>
      </c>
      <c r="AQ1047" s="1868">
        <v>3.8055300000000001</v>
      </c>
      <c r="AR1047" s="1868">
        <v>4.4326999999999996</v>
      </c>
      <c r="AS1047" s="1868">
        <v>4.3501500000000002</v>
      </c>
      <c r="AT1047" s="1868">
        <v>4.4004400000000006</v>
      </c>
      <c r="AU1047" s="1868">
        <v>4.7825100000000003</v>
      </c>
      <c r="AV1047" s="1868">
        <v>4.4694799999999999</v>
      </c>
      <c r="AW1047" s="1868">
        <v>4.6235599999999994</v>
      </c>
      <c r="AX1047" s="1868">
        <v>4.7230699999999999</v>
      </c>
      <c r="AY1047" s="1868">
        <v>4.73665</v>
      </c>
      <c r="AZ1047" s="1868">
        <v>4.7539099999999994</v>
      </c>
      <c r="BA1047" s="1868">
        <v>4.2276800000000003</v>
      </c>
    </row>
    <row r="1048" spans="1:53">
      <c r="A1048" s="1865" t="str">
        <f t="shared" si="16"/>
        <v>South-Eastern AsiaMangoes, mangosteens, guavas</v>
      </c>
      <c r="B1048" s="1866" t="s">
        <v>1421</v>
      </c>
      <c r="C1048" s="1866" t="s">
        <v>1384</v>
      </c>
      <c r="D1048" s="1868">
        <v>4.8267199999999999</v>
      </c>
      <c r="E1048" s="1868">
        <v>5.0016400000000001</v>
      </c>
      <c r="F1048" s="1868">
        <v>4.94156</v>
      </c>
      <c r="G1048" s="1868">
        <v>5.0717400000000001</v>
      </c>
      <c r="H1048" s="1868">
        <v>5.0503400000000003</v>
      </c>
      <c r="I1048" s="1868">
        <v>5.18126</v>
      </c>
      <c r="J1048" s="1868">
        <v>5.03735</v>
      </c>
      <c r="K1048" s="1868">
        <v>5.0048500000000002</v>
      </c>
      <c r="L1048" s="1868">
        <v>5.0396900000000002</v>
      </c>
      <c r="M1048" s="1868">
        <v>5.5954300000000003</v>
      </c>
      <c r="N1048" s="1868">
        <v>5.9237599999999997</v>
      </c>
      <c r="O1048" s="1868">
        <v>5.9592900000000002</v>
      </c>
      <c r="P1048" s="1868">
        <v>6.0423599999999995</v>
      </c>
      <c r="Q1048" s="1868">
        <v>6.2971300000000001</v>
      </c>
      <c r="R1048" s="1868">
        <v>5.7208100000000002</v>
      </c>
      <c r="S1048" s="1868">
        <v>5.2057199999999995</v>
      </c>
      <c r="T1048" s="1868">
        <v>6.5286300000000006</v>
      </c>
      <c r="U1048" s="1868">
        <v>6.8462600000000009</v>
      </c>
      <c r="V1048" s="1868">
        <v>6.2709800000000007</v>
      </c>
      <c r="W1048" s="1868">
        <v>5.9817599999999995</v>
      </c>
      <c r="X1048" s="1868">
        <v>5.8544</v>
      </c>
      <c r="Y1048" s="1868">
        <v>5.5519800000000004</v>
      </c>
      <c r="Z1048" s="1868">
        <v>5.9641500000000001</v>
      </c>
      <c r="AA1048" s="1868">
        <v>6.1293699999999998</v>
      </c>
      <c r="AB1048" s="1868">
        <v>6.2790900000000001</v>
      </c>
      <c r="AC1048" s="1868">
        <v>6.2860699999999996</v>
      </c>
      <c r="AD1048" s="1868">
        <v>6.0422900000000004</v>
      </c>
      <c r="AE1048" s="1868">
        <v>6.4998300000000002</v>
      </c>
      <c r="AF1048" s="1868">
        <v>6.0232000000000001</v>
      </c>
      <c r="AG1048" s="1868">
        <v>5.8450300000000004</v>
      </c>
      <c r="AH1048" s="1868">
        <v>5.0727599999999997</v>
      </c>
      <c r="AI1048" s="1868">
        <v>4.7632599999999998</v>
      </c>
      <c r="AJ1048" s="1868">
        <v>4.8138699999999996</v>
      </c>
      <c r="AK1048" s="1868">
        <v>6.09199</v>
      </c>
      <c r="AL1048" s="1868">
        <v>5.6830400000000001</v>
      </c>
      <c r="AM1048" s="1868">
        <v>6.6233199999999997</v>
      </c>
      <c r="AN1048" s="1868">
        <v>7.0079100000000007</v>
      </c>
      <c r="AO1048" s="1868">
        <v>5.5170599999999999</v>
      </c>
      <c r="AP1048" s="1868">
        <v>5.9989800000000004</v>
      </c>
      <c r="AQ1048" s="1868">
        <v>5.9443299999999999</v>
      </c>
      <c r="AR1048" s="1868">
        <v>6.0415000000000001</v>
      </c>
      <c r="AS1048" s="1868">
        <v>7.2413999999999996</v>
      </c>
      <c r="AT1048" s="1868">
        <v>7.5495299999999999</v>
      </c>
      <c r="AU1048" s="1868">
        <v>5.8249300000000002</v>
      </c>
      <c r="AV1048" s="1868">
        <v>5.7095400000000005</v>
      </c>
      <c r="AW1048" s="1868">
        <v>6.5135800000000001</v>
      </c>
      <c r="AX1048" s="1868">
        <v>6.9419899999999997</v>
      </c>
      <c r="AY1048" s="1868">
        <v>7.9552800000000001</v>
      </c>
      <c r="AZ1048" s="1868">
        <v>8.0574999999999992</v>
      </c>
      <c r="BA1048" s="1868">
        <v>7.4805600000000005</v>
      </c>
    </row>
    <row r="1049" spans="1:53">
      <c r="A1049" s="1865" t="str">
        <f t="shared" si="16"/>
        <v>South-Eastern AsiaMillet</v>
      </c>
      <c r="B1049" s="1866" t="s">
        <v>1421</v>
      </c>
      <c r="C1049" s="1866" t="s">
        <v>1385</v>
      </c>
      <c r="D1049" s="1868">
        <v>0.24603000000000003</v>
      </c>
      <c r="E1049" s="1868">
        <v>0.33176</v>
      </c>
      <c r="F1049" s="1868">
        <v>0.38741999999999999</v>
      </c>
      <c r="G1049" s="1868">
        <v>0.28361999999999998</v>
      </c>
      <c r="H1049" s="1868">
        <v>0.31845999999999997</v>
      </c>
      <c r="I1049" s="1868">
        <v>0.26753000000000005</v>
      </c>
      <c r="J1049" s="1868">
        <v>0.26766999999999996</v>
      </c>
      <c r="K1049" s="1868">
        <v>0.30886999999999998</v>
      </c>
      <c r="L1049" s="1868">
        <v>0.30415999999999999</v>
      </c>
      <c r="M1049" s="1868">
        <v>0.30069000000000001</v>
      </c>
      <c r="N1049" s="1868">
        <v>0.26508999999999999</v>
      </c>
      <c r="O1049" s="1868">
        <v>0.246</v>
      </c>
      <c r="P1049" s="1868">
        <v>0.24969</v>
      </c>
      <c r="Q1049" s="1868">
        <v>0.27890999999999999</v>
      </c>
      <c r="R1049" s="1868">
        <v>0.27871999999999997</v>
      </c>
      <c r="S1049" s="1868">
        <v>0.33345000000000002</v>
      </c>
      <c r="T1049" s="1868">
        <v>0.34361999999999998</v>
      </c>
      <c r="U1049" s="1868">
        <v>0.33849000000000001</v>
      </c>
      <c r="V1049" s="1868">
        <v>0.38220999999999999</v>
      </c>
      <c r="W1049" s="1868">
        <v>0.45627000000000001</v>
      </c>
      <c r="X1049" s="1868">
        <v>0.51429999999999998</v>
      </c>
      <c r="Y1049" s="1868">
        <v>0.69803999999999999</v>
      </c>
      <c r="Z1049" s="1868">
        <v>1.19055</v>
      </c>
      <c r="AA1049" s="1868">
        <v>0.79821000000000009</v>
      </c>
      <c r="AB1049" s="1868">
        <v>1.0755399999999999</v>
      </c>
      <c r="AC1049" s="1868">
        <v>1.1417899999999999</v>
      </c>
      <c r="AD1049" s="1868">
        <v>0.92677999999999994</v>
      </c>
      <c r="AE1049" s="1868">
        <v>0.72377000000000002</v>
      </c>
      <c r="AF1049" s="1868">
        <v>0.66186999999999996</v>
      </c>
      <c r="AG1049" s="1868">
        <v>0.75224999999999997</v>
      </c>
      <c r="AH1049" s="1868">
        <v>0.67252000000000001</v>
      </c>
      <c r="AI1049" s="1868">
        <v>0.67474999999999996</v>
      </c>
      <c r="AJ1049" s="1868">
        <v>0.70272000000000001</v>
      </c>
      <c r="AK1049" s="1868">
        <v>0.61155000000000004</v>
      </c>
      <c r="AL1049" s="1868">
        <v>0.65873999999999999</v>
      </c>
      <c r="AM1049" s="1868">
        <v>0.67113999999999996</v>
      </c>
      <c r="AN1049" s="1868">
        <v>0.63122</v>
      </c>
      <c r="AO1049" s="1868">
        <v>0.63092000000000004</v>
      </c>
      <c r="AP1049" s="1868">
        <v>0.67337999999999998</v>
      </c>
      <c r="AQ1049" s="1868">
        <v>0.67786999999999997</v>
      </c>
      <c r="AR1049" s="1868">
        <v>0.69233999999999996</v>
      </c>
      <c r="AS1049" s="1868">
        <v>0.71660000000000001</v>
      </c>
      <c r="AT1049" s="1868">
        <v>0.76449</v>
      </c>
      <c r="AU1049" s="1868">
        <v>0.78778999999999999</v>
      </c>
      <c r="AV1049" s="1868">
        <v>0.83876000000000006</v>
      </c>
      <c r="AW1049" s="1868">
        <v>0.87316000000000005</v>
      </c>
      <c r="AX1049" s="1868">
        <v>0.93696000000000002</v>
      </c>
      <c r="AY1049" s="1868">
        <v>0.93952000000000002</v>
      </c>
      <c r="AZ1049" s="1868">
        <v>0.89085999999999999</v>
      </c>
      <c r="BA1049" s="1868">
        <v>0.90166000000000002</v>
      </c>
    </row>
    <row r="1050" spans="1:53">
      <c r="A1050" s="1865" t="str">
        <f t="shared" si="16"/>
        <v>South-Eastern AsiaOil palm fruit</v>
      </c>
      <c r="B1050" s="1866" t="s">
        <v>1421</v>
      </c>
      <c r="C1050" s="1866" t="s">
        <v>1386</v>
      </c>
      <c r="D1050" s="1868">
        <v>12.600300000000001</v>
      </c>
      <c r="E1050" s="1868">
        <v>12.54743</v>
      </c>
      <c r="F1050" s="1868">
        <v>12.49071</v>
      </c>
      <c r="G1050" s="1868">
        <v>11.832089999999999</v>
      </c>
      <c r="H1050" s="1868">
        <v>12.08779</v>
      </c>
      <c r="I1050" s="1868">
        <v>12.434100000000001</v>
      </c>
      <c r="J1050" s="1868">
        <v>12.56146</v>
      </c>
      <c r="K1050" s="1868">
        <v>12.726560000000001</v>
      </c>
      <c r="L1050" s="1868">
        <v>13.6921</v>
      </c>
      <c r="M1050" s="1868">
        <v>13.765429999999999</v>
      </c>
      <c r="N1050" s="1868">
        <v>15.69966</v>
      </c>
      <c r="O1050" s="1868">
        <v>14.89742</v>
      </c>
      <c r="P1050" s="1868">
        <v>14.733070000000001</v>
      </c>
      <c r="Q1050" s="1868">
        <v>15.75421</v>
      </c>
      <c r="R1050" s="1868">
        <v>15.982510000000001</v>
      </c>
      <c r="S1050" s="1868">
        <v>14.962199999999999</v>
      </c>
      <c r="T1050" s="1868">
        <v>14.87964</v>
      </c>
      <c r="U1050" s="1868">
        <v>15.734389999999999</v>
      </c>
      <c r="V1050" s="1868">
        <v>15.974729999999999</v>
      </c>
      <c r="W1050" s="1868">
        <v>16.372039999999998</v>
      </c>
      <c r="X1050" s="1868">
        <v>16.728760000000001</v>
      </c>
      <c r="Y1050" s="1868">
        <v>19.313040000000001</v>
      </c>
      <c r="Z1050" s="1868">
        <v>15.51862</v>
      </c>
      <c r="AA1050" s="1868">
        <v>18.37397</v>
      </c>
      <c r="AB1050" s="1868">
        <v>17.69905</v>
      </c>
      <c r="AC1050" s="1868">
        <v>17.473310000000001</v>
      </c>
      <c r="AD1050" s="1868">
        <v>17.31137</v>
      </c>
      <c r="AE1050" s="1868">
        <v>17.1736</v>
      </c>
      <c r="AF1050" s="1868">
        <v>17.793399999999998</v>
      </c>
      <c r="AG1050" s="1868">
        <v>17.20852</v>
      </c>
      <c r="AH1050" s="1868">
        <v>16.62678</v>
      </c>
      <c r="AI1050" s="1868">
        <v>16.6205</v>
      </c>
      <c r="AJ1050" s="1868">
        <v>19.04074</v>
      </c>
      <c r="AK1050" s="1868">
        <v>18.238220000000002</v>
      </c>
      <c r="AL1050" s="1868">
        <v>18.692810000000001</v>
      </c>
      <c r="AM1050" s="1868">
        <v>18.03321</v>
      </c>
      <c r="AN1050" s="1868">
        <v>18.154669999999999</v>
      </c>
      <c r="AO1050" s="1868">
        <v>16.60999</v>
      </c>
      <c r="AP1050" s="1868">
        <v>18.91574</v>
      </c>
      <c r="AQ1050" s="1868">
        <v>18.100650000000002</v>
      </c>
      <c r="AR1050" s="1868">
        <v>18.077179999999998</v>
      </c>
      <c r="AS1050" s="1868">
        <v>17.16583</v>
      </c>
      <c r="AT1050" s="1868">
        <v>18.85886</v>
      </c>
      <c r="AU1050" s="1868">
        <v>19.259450000000001</v>
      </c>
      <c r="AV1050" s="1868">
        <v>20.30613</v>
      </c>
      <c r="AW1050" s="1868">
        <v>20.335660000000001</v>
      </c>
      <c r="AX1050" s="1868">
        <v>18.744889999999998</v>
      </c>
      <c r="AY1050" s="1868">
        <v>18.907830000000001</v>
      </c>
      <c r="AZ1050" s="1868">
        <v>18.79121</v>
      </c>
      <c r="BA1050" s="1868">
        <v>18.683399999999999</v>
      </c>
    </row>
    <row r="1051" spans="1:53">
      <c r="A1051" s="1865" t="str">
        <f t="shared" si="16"/>
        <v>South-Eastern AsiaOnions, dry</v>
      </c>
      <c r="B1051" s="1866" t="s">
        <v>1421</v>
      </c>
      <c r="C1051" s="1866" t="s">
        <v>1388</v>
      </c>
      <c r="D1051" s="1868">
        <v>3.61944</v>
      </c>
      <c r="E1051" s="1868">
        <v>3.5605599999999997</v>
      </c>
      <c r="F1051" s="1868">
        <v>3.6324300000000003</v>
      </c>
      <c r="G1051" s="1868">
        <v>3.6466699999999999</v>
      </c>
      <c r="H1051" s="1868">
        <v>3.5439400000000001</v>
      </c>
      <c r="I1051" s="1868">
        <v>3.2704200000000001</v>
      </c>
      <c r="J1051" s="1868">
        <v>3.4884800000000005</v>
      </c>
      <c r="K1051" s="1868">
        <v>3.3446099999999999</v>
      </c>
      <c r="L1051" s="1868">
        <v>3.9527999999999999</v>
      </c>
      <c r="M1051" s="1868">
        <v>4.4359999999999999</v>
      </c>
      <c r="N1051" s="1868">
        <v>3.9796699999999996</v>
      </c>
      <c r="O1051" s="1868">
        <v>4.4984699999999993</v>
      </c>
      <c r="P1051" s="1868">
        <v>4.7656000000000001</v>
      </c>
      <c r="Q1051" s="1868">
        <v>4.5931100000000002</v>
      </c>
      <c r="R1051" s="1868">
        <v>4.2153800000000006</v>
      </c>
      <c r="S1051" s="1868">
        <v>4.3055699999999995</v>
      </c>
      <c r="T1051" s="1868">
        <v>4.4927199999999994</v>
      </c>
      <c r="U1051" s="1868">
        <v>4.8218800000000002</v>
      </c>
      <c r="V1051" s="1868">
        <v>4.4447099999999997</v>
      </c>
      <c r="W1051" s="1868">
        <v>4.5413800000000002</v>
      </c>
      <c r="X1051" s="1868">
        <v>4.4026100000000001</v>
      </c>
      <c r="Y1051" s="1868">
        <v>4.85928</v>
      </c>
      <c r="Z1051" s="1868">
        <v>5.1904900000000005</v>
      </c>
      <c r="AA1051" s="1868">
        <v>5.4182699999999997</v>
      </c>
      <c r="AB1051" s="1868">
        <v>5.7039999999999997</v>
      </c>
      <c r="AC1051" s="1868">
        <v>6.1411800000000003</v>
      </c>
      <c r="AD1051" s="1868">
        <v>6.3650900000000004</v>
      </c>
      <c r="AE1051" s="1868">
        <v>6.1315800000000005</v>
      </c>
      <c r="AF1051" s="1868">
        <v>6.11022</v>
      </c>
      <c r="AG1051" s="1868">
        <v>6.3348000000000004</v>
      </c>
      <c r="AH1051" s="1868">
        <v>6.49369</v>
      </c>
      <c r="AI1051" s="1868">
        <v>6.5598300000000007</v>
      </c>
      <c r="AJ1051" s="1868">
        <v>6.5179</v>
      </c>
      <c r="AK1051" s="1868">
        <v>6.7191899999999993</v>
      </c>
      <c r="AL1051" s="1868">
        <v>6.9208899999999991</v>
      </c>
      <c r="AM1051" s="1868">
        <v>7.1620999999999997</v>
      </c>
      <c r="AN1051" s="1868">
        <v>6.8813600000000008</v>
      </c>
      <c r="AO1051" s="1868">
        <v>6.9212499999999997</v>
      </c>
      <c r="AP1051" s="1868">
        <v>8.0343100000000014</v>
      </c>
      <c r="AQ1051" s="1868">
        <v>7.6657299999999999</v>
      </c>
      <c r="AR1051" s="1868">
        <v>8.306989999999999</v>
      </c>
      <c r="AS1051" s="1868">
        <v>7.8530499999999996</v>
      </c>
      <c r="AT1051" s="1868">
        <v>8.0328900000000001</v>
      </c>
      <c r="AU1051" s="1868">
        <v>8.6166100000000014</v>
      </c>
      <c r="AV1051" s="1868">
        <v>8.5123300000000004</v>
      </c>
      <c r="AW1051" s="1868">
        <v>8.9069500000000001</v>
      </c>
      <c r="AX1051" s="1868">
        <v>8.5881899999999991</v>
      </c>
      <c r="AY1051" s="1868">
        <v>9.0488900000000001</v>
      </c>
      <c r="AZ1051" s="1868">
        <v>9.1718399999999995</v>
      </c>
      <c r="BA1051" s="1868">
        <v>9.1155799999999996</v>
      </c>
    </row>
    <row r="1052" spans="1:53">
      <c r="A1052" s="1865" t="str">
        <f t="shared" si="16"/>
        <v>South-Eastern AsiaOranges</v>
      </c>
      <c r="B1052" s="1866" t="s">
        <v>1421</v>
      </c>
      <c r="C1052" s="1866" t="s">
        <v>1389</v>
      </c>
      <c r="D1052" s="1868">
        <v>7.4021499999999998</v>
      </c>
      <c r="E1052" s="1868">
        <v>6.6253100000000007</v>
      </c>
      <c r="F1052" s="1868">
        <v>6.6629699999999996</v>
      </c>
      <c r="G1052" s="1868">
        <v>6.8036500000000002</v>
      </c>
      <c r="H1052" s="1868">
        <v>6.9846100000000009</v>
      </c>
      <c r="I1052" s="1868">
        <v>7.1755899999999997</v>
      </c>
      <c r="J1052" s="1868">
        <v>6.7282399999999996</v>
      </c>
      <c r="K1052" s="1868">
        <v>6.7046800000000006</v>
      </c>
      <c r="L1052" s="1868">
        <v>7.0267800000000005</v>
      </c>
      <c r="M1052" s="1868">
        <v>6.6825399999999995</v>
      </c>
      <c r="N1052" s="1868">
        <v>7.0083699999999993</v>
      </c>
      <c r="O1052" s="1868">
        <v>7.7754000000000003</v>
      </c>
      <c r="P1052" s="1868">
        <v>7.2995999999999999</v>
      </c>
      <c r="Q1052" s="1868">
        <v>7.1908799999999999</v>
      </c>
      <c r="R1052" s="1868">
        <v>7.3470399999999998</v>
      </c>
      <c r="S1052" s="1868">
        <v>7.1173899999999994</v>
      </c>
      <c r="T1052" s="1868">
        <v>7.9610899999999996</v>
      </c>
      <c r="U1052" s="1868">
        <v>8.284889999999999</v>
      </c>
      <c r="V1052" s="1868">
        <v>7.9932800000000004</v>
      </c>
      <c r="W1052" s="1868">
        <v>7.75298</v>
      </c>
      <c r="X1052" s="1868">
        <v>8.5169899999999998</v>
      </c>
      <c r="Y1052" s="1868">
        <v>8.2196699999999989</v>
      </c>
      <c r="Z1052" s="1868">
        <v>8.22607</v>
      </c>
      <c r="AA1052" s="1868">
        <v>8.2339699999999993</v>
      </c>
      <c r="AB1052" s="1868">
        <v>7.5060799999999999</v>
      </c>
      <c r="AC1052" s="1868">
        <v>8.0693800000000007</v>
      </c>
      <c r="AD1052" s="1868">
        <v>7.9021100000000004</v>
      </c>
      <c r="AE1052" s="1868">
        <v>7.3536899999999994</v>
      </c>
      <c r="AF1052" s="1868">
        <v>7.7108699999999999</v>
      </c>
      <c r="AG1052" s="1868">
        <v>7.2464100000000009</v>
      </c>
      <c r="AH1052" s="1868">
        <v>7.2506000000000004</v>
      </c>
      <c r="AI1052" s="1868">
        <v>8.0900100000000013</v>
      </c>
      <c r="AJ1052" s="1868">
        <v>8.2311300000000003</v>
      </c>
      <c r="AK1052" s="1868">
        <v>6.9722200000000001</v>
      </c>
      <c r="AL1052" s="1868">
        <v>9.0834799999999998</v>
      </c>
      <c r="AM1052" s="1868">
        <v>6.6972399999999999</v>
      </c>
      <c r="AN1052" s="1868">
        <v>6.3968999999999996</v>
      </c>
      <c r="AO1052" s="1868">
        <v>9.9916400000000003</v>
      </c>
      <c r="AP1052" s="1868">
        <v>10.84661</v>
      </c>
      <c r="AQ1052" s="1868">
        <v>10.606669999999999</v>
      </c>
      <c r="AR1052" s="1868">
        <v>10.95519</v>
      </c>
      <c r="AS1052" s="1868">
        <v>11.796489999999999</v>
      </c>
      <c r="AT1052" s="1868">
        <v>17.032729999999997</v>
      </c>
      <c r="AU1052" s="1868">
        <v>18.580259999999999</v>
      </c>
      <c r="AV1052" s="1868">
        <v>19.788520000000002</v>
      </c>
      <c r="AW1052" s="1868">
        <v>21.49335</v>
      </c>
      <c r="AX1052" s="1868">
        <v>22.30958</v>
      </c>
      <c r="AY1052" s="1868">
        <v>22.23751</v>
      </c>
      <c r="AZ1052" s="1868">
        <v>20.270859999999999</v>
      </c>
      <c r="BA1052" s="1868">
        <v>20.63495</v>
      </c>
    </row>
    <row r="1053" spans="1:53">
      <c r="A1053" s="1865" t="str">
        <f t="shared" si="16"/>
        <v>South-Eastern AsiaPeas, dry</v>
      </c>
      <c r="B1053" s="1866" t="s">
        <v>1421</v>
      </c>
      <c r="C1053" s="1866" t="s">
        <v>1391</v>
      </c>
      <c r="D1053" s="1868">
        <v>0.45723000000000003</v>
      </c>
      <c r="E1053" s="1868">
        <v>0.37306999999999996</v>
      </c>
      <c r="F1053" s="1868">
        <v>0.60929</v>
      </c>
      <c r="G1053" s="1868">
        <v>0.56030000000000002</v>
      </c>
      <c r="H1053" s="1868">
        <v>0.65751999999999999</v>
      </c>
      <c r="I1053" s="1868">
        <v>0.67113999999999996</v>
      </c>
      <c r="J1053" s="1868">
        <v>0.63795000000000002</v>
      </c>
      <c r="K1053" s="1868">
        <v>0.72067999999999999</v>
      </c>
      <c r="L1053" s="1868">
        <v>0.72026999999999997</v>
      </c>
      <c r="M1053" s="1868">
        <v>0.62375000000000003</v>
      </c>
      <c r="N1053" s="1868">
        <v>0.61483999999999994</v>
      </c>
      <c r="O1053" s="1868">
        <v>0.55046000000000006</v>
      </c>
      <c r="P1053" s="1868">
        <v>0.53112999999999999</v>
      </c>
      <c r="Q1053" s="1868">
        <v>0.55378000000000005</v>
      </c>
      <c r="R1053" s="1868">
        <v>0.56606000000000001</v>
      </c>
      <c r="S1053" s="1868">
        <v>0.67063000000000006</v>
      </c>
      <c r="T1053" s="1868">
        <v>0.64529999999999998</v>
      </c>
      <c r="U1053" s="1868">
        <v>0.69028999999999996</v>
      </c>
      <c r="V1053" s="1868">
        <v>0.79893000000000003</v>
      </c>
      <c r="W1053" s="1868">
        <v>0.79898000000000002</v>
      </c>
      <c r="X1053" s="1868">
        <v>0.67288000000000003</v>
      </c>
      <c r="Y1053" s="1868">
        <v>0.82304999999999995</v>
      </c>
      <c r="Z1053" s="1868">
        <v>0.91323999999999994</v>
      </c>
      <c r="AA1053" s="1868">
        <v>0.84363999999999995</v>
      </c>
      <c r="AB1053" s="1868">
        <v>0.81356000000000006</v>
      </c>
      <c r="AC1053" s="1868">
        <v>0.79026000000000007</v>
      </c>
      <c r="AD1053" s="1868">
        <v>0.81305000000000005</v>
      </c>
      <c r="AE1053" s="1868">
        <v>0.75134000000000001</v>
      </c>
      <c r="AF1053" s="1868">
        <v>0.57538</v>
      </c>
      <c r="AG1053" s="1868">
        <v>0.60121000000000002</v>
      </c>
      <c r="AH1053" s="1868">
        <v>0.53988999999999998</v>
      </c>
      <c r="AI1053" s="1868">
        <v>0.58301000000000003</v>
      </c>
      <c r="AJ1053" s="1868">
        <v>0.59411999999999998</v>
      </c>
      <c r="AK1053" s="1868">
        <v>0.60465000000000002</v>
      </c>
      <c r="AL1053" s="1868">
        <v>0.67935000000000001</v>
      </c>
      <c r="AM1053" s="1868">
        <v>0.66666999999999998</v>
      </c>
      <c r="AN1053" s="1868">
        <v>0.64864999999999995</v>
      </c>
      <c r="AO1053" s="1868">
        <v>0.76705000000000001</v>
      </c>
      <c r="AP1053" s="1868">
        <v>0.73653999999999997</v>
      </c>
      <c r="AQ1053" s="1868">
        <v>0.76922999999999997</v>
      </c>
      <c r="AR1053" s="1868">
        <v>0.80645</v>
      </c>
      <c r="AS1053" s="1868">
        <v>0.78571000000000002</v>
      </c>
      <c r="AT1053" s="1868">
        <v>0.91525000000000001</v>
      </c>
      <c r="AU1053" s="1868">
        <v>0.94627000000000006</v>
      </c>
      <c r="AV1053" s="1868">
        <v>0.95761000000000007</v>
      </c>
      <c r="AW1053" s="1868">
        <v>1.0179799999999999</v>
      </c>
      <c r="AX1053" s="1868">
        <v>1.06274</v>
      </c>
      <c r="AY1053" s="1868">
        <v>1.09524</v>
      </c>
      <c r="AZ1053" s="1868">
        <v>1.10714</v>
      </c>
      <c r="BA1053" s="1868">
        <v>1.1614100000000001</v>
      </c>
    </row>
    <row r="1054" spans="1:53">
      <c r="A1054" s="1865" t="str">
        <f t="shared" si="16"/>
        <v>South-Eastern AsiaPeas, green</v>
      </c>
      <c r="B1054" s="1866" t="s">
        <v>1421</v>
      </c>
      <c r="C1054" s="1866" t="s">
        <v>1392</v>
      </c>
      <c r="D1054" s="1868">
        <v>2.4262299999999999</v>
      </c>
      <c r="E1054" s="1868">
        <v>2.4193599999999997</v>
      </c>
      <c r="F1054" s="1868">
        <v>2.4127000000000001</v>
      </c>
      <c r="G1054" s="1868">
        <v>2.4</v>
      </c>
      <c r="H1054" s="1868">
        <v>2.3939400000000002</v>
      </c>
      <c r="I1054" s="1868">
        <v>2.3880599999999998</v>
      </c>
      <c r="J1054" s="1868">
        <v>2.3913000000000002</v>
      </c>
      <c r="K1054" s="1868">
        <v>2.38571</v>
      </c>
      <c r="L1054" s="1868">
        <v>2.3724099999999999</v>
      </c>
      <c r="M1054" s="1868">
        <v>2.3648700000000002</v>
      </c>
      <c r="N1054" s="1868">
        <v>2.3576200000000003</v>
      </c>
      <c r="O1054" s="1868">
        <v>2.3589700000000002</v>
      </c>
      <c r="P1054" s="1868">
        <v>2.3395799999999998</v>
      </c>
      <c r="Q1054" s="1868">
        <v>2.2463700000000002</v>
      </c>
      <c r="R1054" s="1868">
        <v>2.6368</v>
      </c>
      <c r="S1054" s="1868">
        <v>2.1375900000000003</v>
      </c>
      <c r="T1054" s="1868">
        <v>2.1880599999999997</v>
      </c>
      <c r="U1054" s="1868">
        <v>2.4712800000000001</v>
      </c>
      <c r="V1054" s="1868">
        <v>3.16913</v>
      </c>
      <c r="W1054" s="1868">
        <v>3.63829</v>
      </c>
      <c r="X1054" s="1868">
        <v>4.67828</v>
      </c>
      <c r="Y1054" s="1868">
        <v>4.3208599999999997</v>
      </c>
      <c r="Z1054" s="1868">
        <v>3.7577300000000005</v>
      </c>
      <c r="AA1054" s="1868">
        <v>3.4536099999999998</v>
      </c>
      <c r="AB1054" s="1868">
        <v>3.20818</v>
      </c>
      <c r="AC1054" s="1868">
        <v>2.8031799999999998</v>
      </c>
      <c r="AD1054" s="1868">
        <v>2.8021099999999999</v>
      </c>
      <c r="AE1054" s="1868">
        <v>2.83039</v>
      </c>
      <c r="AF1054" s="1868">
        <v>2.8465400000000001</v>
      </c>
      <c r="AG1054" s="1868">
        <v>2.8421099999999999</v>
      </c>
      <c r="AH1054" s="1868">
        <v>2.8972000000000002</v>
      </c>
      <c r="AI1054" s="1868">
        <v>2.9063300000000001</v>
      </c>
      <c r="AJ1054" s="1868">
        <v>3</v>
      </c>
      <c r="AK1054" s="1868">
        <v>3.0714299999999999</v>
      </c>
      <c r="AL1054" s="1868">
        <v>3.1140400000000001</v>
      </c>
      <c r="AM1054" s="1868">
        <v>3.2281499999999999</v>
      </c>
      <c r="AN1054" s="1868">
        <v>3.2303199999999999</v>
      </c>
      <c r="AO1054" s="1868">
        <v>3.2038799999999998</v>
      </c>
      <c r="AP1054" s="1868">
        <v>3.2376200000000002</v>
      </c>
      <c r="AQ1054" s="1868">
        <v>3.0562</v>
      </c>
      <c r="AR1054" s="1868">
        <v>3.0320499999999999</v>
      </c>
      <c r="AS1054" s="1868">
        <v>2.90347</v>
      </c>
      <c r="AT1054" s="1868">
        <v>2.9494099999999999</v>
      </c>
      <c r="AU1054" s="1868">
        <v>3.6973800000000003</v>
      </c>
      <c r="AV1054" s="1868">
        <v>3.8725999999999998</v>
      </c>
      <c r="AW1054" s="1868">
        <v>4.0428100000000002</v>
      </c>
      <c r="AX1054" s="1868">
        <v>4.2344400000000002</v>
      </c>
      <c r="AY1054" s="1868">
        <v>4.1922199999999998</v>
      </c>
      <c r="AZ1054" s="1868">
        <v>4.2899199999999995</v>
      </c>
      <c r="BA1054" s="1868">
        <v>4.5365000000000002</v>
      </c>
    </row>
    <row r="1055" spans="1:53">
      <c r="A1055" s="1865" t="str">
        <f t="shared" si="16"/>
        <v>South-Eastern AsiaPineapples</v>
      </c>
      <c r="B1055" s="1866" t="s">
        <v>1421</v>
      </c>
      <c r="C1055" s="1866" t="s">
        <v>1351</v>
      </c>
      <c r="D1055" s="1868">
        <v>6.6197600000000003</v>
      </c>
      <c r="E1055" s="1868">
        <v>7.1481699999999995</v>
      </c>
      <c r="F1055" s="1868">
        <v>7.1577500000000001</v>
      </c>
      <c r="G1055" s="1868">
        <v>7.4821200000000001</v>
      </c>
      <c r="H1055" s="1868">
        <v>7.4020399999999995</v>
      </c>
      <c r="I1055" s="1868">
        <v>7.4263500000000002</v>
      </c>
      <c r="J1055" s="1868">
        <v>8.1489100000000008</v>
      </c>
      <c r="K1055" s="1868">
        <v>8.398810000000001</v>
      </c>
      <c r="L1055" s="1868">
        <v>8.0425500000000003</v>
      </c>
      <c r="M1055" s="1868">
        <v>8.2282799999999998</v>
      </c>
      <c r="N1055" s="1868">
        <v>7.158339999999999</v>
      </c>
      <c r="O1055" s="1868">
        <v>7.7119600000000004</v>
      </c>
      <c r="P1055" s="1868">
        <v>6.8305399999999992</v>
      </c>
      <c r="Q1055" s="1868">
        <v>7.431589999999999</v>
      </c>
      <c r="R1055" s="1868">
        <v>14.91869</v>
      </c>
      <c r="S1055" s="1868">
        <v>18.872729999999997</v>
      </c>
      <c r="T1055" s="1868">
        <v>17.156010000000002</v>
      </c>
      <c r="U1055" s="1868">
        <v>16.791589999999999</v>
      </c>
      <c r="V1055" s="1868">
        <v>17.865690000000001</v>
      </c>
      <c r="W1055" s="1868">
        <v>21.032550000000001</v>
      </c>
      <c r="X1055" s="1868">
        <v>17.340959999999999</v>
      </c>
      <c r="Y1055" s="1868">
        <v>15.071389999999999</v>
      </c>
      <c r="Z1055" s="1868">
        <v>14.216889999999999</v>
      </c>
      <c r="AA1055" s="1868">
        <v>15.248610000000001</v>
      </c>
      <c r="AB1055" s="1868">
        <v>16.52947</v>
      </c>
      <c r="AC1055" s="1868">
        <v>16.308440000000001</v>
      </c>
      <c r="AD1055" s="1868">
        <v>17.327500000000001</v>
      </c>
      <c r="AE1055" s="1868">
        <v>17.273540000000001</v>
      </c>
      <c r="AF1055" s="1868">
        <v>18.070029999999999</v>
      </c>
      <c r="AG1055" s="1868">
        <v>17.567120000000003</v>
      </c>
      <c r="AH1055" s="1868">
        <v>17.921240000000001</v>
      </c>
      <c r="AI1055" s="1868">
        <v>19.323720000000002</v>
      </c>
      <c r="AJ1055" s="1868">
        <v>21.18027</v>
      </c>
      <c r="AK1055" s="1868">
        <v>19.758289999999999</v>
      </c>
      <c r="AL1055" s="1868">
        <v>18.83765</v>
      </c>
      <c r="AM1055" s="1868">
        <v>23.01097</v>
      </c>
      <c r="AN1055" s="1868">
        <v>27.354959999999998</v>
      </c>
      <c r="AO1055" s="1868">
        <v>24.915589999999998</v>
      </c>
      <c r="AP1055" s="1868">
        <v>24.680859999999999</v>
      </c>
      <c r="AQ1055" s="1868">
        <v>24.441990000000001</v>
      </c>
      <c r="AR1055" s="1868">
        <v>24.71829</v>
      </c>
      <c r="AS1055" s="1868">
        <v>24.61711</v>
      </c>
      <c r="AT1055" s="1868">
        <v>27.26998</v>
      </c>
      <c r="AU1055" s="1868">
        <v>26.977629999999998</v>
      </c>
      <c r="AV1055" s="1868">
        <v>27.533340000000003</v>
      </c>
      <c r="AW1055" s="1868">
        <v>30.23312</v>
      </c>
      <c r="AX1055" s="1868">
        <v>32.10483</v>
      </c>
      <c r="AY1055" s="1868">
        <v>29.797359999999998</v>
      </c>
      <c r="AZ1055" s="1868">
        <v>28.484559999999998</v>
      </c>
      <c r="BA1055" s="1868">
        <v>27.351420000000001</v>
      </c>
    </row>
    <row r="1056" spans="1:53">
      <c r="A1056" s="1865" t="str">
        <f t="shared" si="16"/>
        <v>South-Eastern AsiaPlantains</v>
      </c>
      <c r="B1056" s="1866" t="s">
        <v>1421</v>
      </c>
      <c r="C1056" s="1866" t="s">
        <v>1393</v>
      </c>
      <c r="D1056" s="1868">
        <v>3.7889699999999995</v>
      </c>
      <c r="E1056" s="1868">
        <v>3.76681</v>
      </c>
      <c r="F1056" s="1868">
        <v>3.9536099999999998</v>
      </c>
      <c r="G1056" s="1868">
        <v>4.0661899999999997</v>
      </c>
      <c r="H1056" s="1868">
        <v>4.3932799999999999</v>
      </c>
      <c r="I1056" s="1868">
        <v>4.2280600000000002</v>
      </c>
      <c r="J1056" s="1868">
        <v>4.2093800000000003</v>
      </c>
      <c r="K1056" s="1868">
        <v>4.2632599999999998</v>
      </c>
      <c r="L1056" s="1868">
        <v>4.2977300000000005</v>
      </c>
      <c r="M1056" s="1868">
        <v>4.4144699999999997</v>
      </c>
      <c r="N1056" s="1868">
        <v>4.4080300000000001</v>
      </c>
      <c r="O1056" s="1868">
        <v>4.2354400000000005</v>
      </c>
      <c r="P1056" s="1868">
        <v>4.1600800000000007</v>
      </c>
      <c r="Q1056" s="1868">
        <v>4.3774800000000003</v>
      </c>
      <c r="R1056" s="1868">
        <v>4.2990000000000004</v>
      </c>
      <c r="S1056" s="1868">
        <v>4.2643500000000003</v>
      </c>
      <c r="T1056" s="1868">
        <v>5.0093300000000003</v>
      </c>
      <c r="U1056" s="1868">
        <v>4.3404199999999999</v>
      </c>
      <c r="V1056" s="1868">
        <v>4.3244199999999999</v>
      </c>
      <c r="W1056" s="1868">
        <v>4.4605800000000002</v>
      </c>
      <c r="X1056" s="1868">
        <v>4.5210900000000001</v>
      </c>
      <c r="Y1056" s="1868">
        <v>4.78878</v>
      </c>
      <c r="Z1056" s="1868">
        <v>5.08887</v>
      </c>
      <c r="AA1056" s="1868">
        <v>5.0493800000000002</v>
      </c>
      <c r="AB1056" s="1868">
        <v>5.1593800000000005</v>
      </c>
      <c r="AC1056" s="1868">
        <v>5.4129899999999997</v>
      </c>
      <c r="AD1056" s="1868">
        <v>5.78261</v>
      </c>
      <c r="AE1056" s="1868">
        <v>5.8113400000000004</v>
      </c>
      <c r="AF1056" s="1868">
        <v>5.9243600000000001</v>
      </c>
      <c r="AG1056" s="1868">
        <v>5.4442500000000003</v>
      </c>
      <c r="AH1056" s="1868">
        <v>5.63192</v>
      </c>
      <c r="AI1056" s="1868">
        <v>5.49932</v>
      </c>
      <c r="AJ1056" s="1868">
        <v>5.9845300000000003</v>
      </c>
      <c r="AK1056" s="1868">
        <v>7.3592399999999998</v>
      </c>
      <c r="AL1056" s="1868">
        <v>7.4549100000000008</v>
      </c>
      <c r="AM1056" s="1868">
        <v>6.4619800000000005</v>
      </c>
      <c r="AN1056" s="1868">
        <v>7.4392300000000002</v>
      </c>
      <c r="AO1056" s="1868">
        <v>9.2560199999999995</v>
      </c>
      <c r="AP1056" s="1868">
        <v>9.3932599999999997</v>
      </c>
      <c r="AQ1056" s="1868">
        <v>8.3002199999999995</v>
      </c>
      <c r="AR1056" s="1868">
        <v>9.3609299999999998</v>
      </c>
      <c r="AS1056" s="1868">
        <v>9.6036099999999998</v>
      </c>
      <c r="AT1056" s="1868">
        <v>9.9568899999999996</v>
      </c>
      <c r="AU1056" s="1868">
        <v>10.200760000000001</v>
      </c>
      <c r="AV1056" s="1868">
        <v>9.1972899999999989</v>
      </c>
      <c r="AW1056" s="1868">
        <v>11.02407</v>
      </c>
      <c r="AX1056" s="1868">
        <v>11.975680000000001</v>
      </c>
      <c r="AY1056" s="1868">
        <v>11.954549999999999</v>
      </c>
      <c r="AZ1056" s="1868">
        <v>11.78571</v>
      </c>
      <c r="BA1056" s="1868">
        <v>11.24785</v>
      </c>
    </row>
    <row r="1057" spans="1:53">
      <c r="A1057" s="1865" t="str">
        <f t="shared" si="16"/>
        <v>South-Eastern AsiaPotatoes</v>
      </c>
      <c r="B1057" s="1866" t="s">
        <v>1421</v>
      </c>
      <c r="C1057" s="1866" t="s">
        <v>1394</v>
      </c>
      <c r="D1057" s="1868">
        <v>4.8637600000000001</v>
      </c>
      <c r="E1057" s="1868">
        <v>4.7013499999999997</v>
      </c>
      <c r="F1057" s="1868">
        <v>5.3062199999999997</v>
      </c>
      <c r="G1057" s="1868">
        <v>5.5015499999999999</v>
      </c>
      <c r="H1057" s="1868">
        <v>5.6092399999999998</v>
      </c>
      <c r="I1057" s="1868">
        <v>5.4575800000000001</v>
      </c>
      <c r="J1057" s="1868">
        <v>6.1709500000000004</v>
      </c>
      <c r="K1057" s="1868">
        <v>6.5993899999999996</v>
      </c>
      <c r="L1057" s="1868">
        <v>6.7174399999999999</v>
      </c>
      <c r="M1057" s="1868">
        <v>7.4627399999999993</v>
      </c>
      <c r="N1057" s="1868">
        <v>8.028080000000001</v>
      </c>
      <c r="O1057" s="1868">
        <v>8.7708499999999994</v>
      </c>
      <c r="P1057" s="1868">
        <v>8.6770499999999995</v>
      </c>
      <c r="Q1057" s="1868">
        <v>8.0071100000000008</v>
      </c>
      <c r="R1057" s="1868">
        <v>7.96882</v>
      </c>
      <c r="S1057" s="1868">
        <v>7.9751000000000003</v>
      </c>
      <c r="T1057" s="1868">
        <v>8.9569799999999997</v>
      </c>
      <c r="U1057" s="1868">
        <v>8.6470300000000009</v>
      </c>
      <c r="V1057" s="1868">
        <v>6.9171800000000001</v>
      </c>
      <c r="W1057" s="1868">
        <v>9.3112399999999997</v>
      </c>
      <c r="X1057" s="1868">
        <v>8.0787999999999993</v>
      </c>
      <c r="Y1057" s="1868">
        <v>8.8118600000000011</v>
      </c>
      <c r="Z1057" s="1868">
        <v>8.4889299999999999</v>
      </c>
      <c r="AA1057" s="1868">
        <v>10.1005</v>
      </c>
      <c r="AB1057" s="1868">
        <v>10.15892</v>
      </c>
      <c r="AC1057" s="1868">
        <v>10.59332</v>
      </c>
      <c r="AD1057" s="1868">
        <v>11.59496</v>
      </c>
      <c r="AE1057" s="1868">
        <v>9.6619600000000005</v>
      </c>
      <c r="AF1057" s="1868">
        <v>11.45016</v>
      </c>
      <c r="AG1057" s="1868">
        <v>11.595649999999999</v>
      </c>
      <c r="AH1057" s="1868">
        <v>10.92845</v>
      </c>
      <c r="AI1057" s="1868">
        <v>12.20101</v>
      </c>
      <c r="AJ1057" s="1868">
        <v>12.618600000000001</v>
      </c>
      <c r="AK1057" s="1868">
        <v>12.785450000000001</v>
      </c>
      <c r="AL1057" s="1868">
        <v>13.509550000000001</v>
      </c>
      <c r="AM1057" s="1868">
        <v>13.204000000000001</v>
      </c>
      <c r="AN1057" s="1868">
        <v>12.68308</v>
      </c>
      <c r="AO1057" s="1868">
        <v>12.34965</v>
      </c>
      <c r="AP1057" s="1868">
        <v>12.84308</v>
      </c>
      <c r="AQ1057" s="1868">
        <v>11.99133</v>
      </c>
      <c r="AR1057" s="1868">
        <v>12.317349999999999</v>
      </c>
      <c r="AS1057" s="1868">
        <v>12.867569999999999</v>
      </c>
      <c r="AT1057" s="1868">
        <v>12.59891</v>
      </c>
      <c r="AU1057" s="1868">
        <v>13.140820000000001</v>
      </c>
      <c r="AV1057" s="1868">
        <v>13.527900000000001</v>
      </c>
      <c r="AW1057" s="1868">
        <v>13.938879999999999</v>
      </c>
      <c r="AX1057" s="1868">
        <v>13.99344</v>
      </c>
      <c r="AY1057" s="1868">
        <v>14.068049999999999</v>
      </c>
      <c r="AZ1057" s="1868">
        <v>14.284310000000001</v>
      </c>
      <c r="BA1057" s="1868">
        <v>13.602729999999999</v>
      </c>
    </row>
    <row r="1058" spans="1:53">
      <c r="A1058" s="1865" t="str">
        <f t="shared" si="16"/>
        <v>South-Eastern AsiaPulses, nes</v>
      </c>
      <c r="B1058" s="1866" t="s">
        <v>1421</v>
      </c>
      <c r="C1058" s="1866" t="s">
        <v>1395</v>
      </c>
      <c r="D1058" s="1868">
        <v>0.57142999999999999</v>
      </c>
      <c r="E1058" s="1868">
        <v>0.58858999999999995</v>
      </c>
      <c r="F1058" s="1868">
        <v>0.59783999999999993</v>
      </c>
      <c r="G1058" s="1868">
        <v>0.60301000000000005</v>
      </c>
      <c r="H1058" s="1868">
        <v>0.60138000000000003</v>
      </c>
      <c r="I1058" s="1868">
        <v>0.60731999999999997</v>
      </c>
      <c r="J1058" s="1868">
        <v>0.61650000000000005</v>
      </c>
      <c r="K1058" s="1868">
        <v>0.59641</v>
      </c>
      <c r="L1058" s="1868">
        <v>0.59548000000000001</v>
      </c>
      <c r="M1058" s="1868">
        <v>0.60993999999999993</v>
      </c>
      <c r="N1058" s="1868">
        <v>0.61038999999999999</v>
      </c>
      <c r="O1058" s="1868">
        <v>0.61258999999999997</v>
      </c>
      <c r="P1058" s="1868">
        <v>0.59397</v>
      </c>
      <c r="Q1058" s="1868">
        <v>0.59735000000000005</v>
      </c>
      <c r="R1058" s="1868">
        <v>0.58488000000000007</v>
      </c>
      <c r="S1058" s="1868">
        <v>0.58640999999999999</v>
      </c>
      <c r="T1058" s="1868">
        <v>0.58558999999999994</v>
      </c>
      <c r="U1058" s="1868">
        <v>0.57716000000000001</v>
      </c>
      <c r="V1058" s="1868">
        <v>0.56573999999999991</v>
      </c>
      <c r="W1058" s="1868">
        <v>0.69888000000000006</v>
      </c>
      <c r="X1058" s="1868">
        <v>0.72196000000000005</v>
      </c>
      <c r="Y1058" s="1868">
        <v>0.74206000000000005</v>
      </c>
      <c r="Z1058" s="1868">
        <v>0.72836999999999996</v>
      </c>
      <c r="AA1058" s="1868">
        <v>0.73181000000000007</v>
      </c>
      <c r="AB1058" s="1868">
        <v>0.86634999999999995</v>
      </c>
      <c r="AC1058" s="1868">
        <v>0.80415999999999999</v>
      </c>
      <c r="AD1058" s="1868">
        <v>0.76302000000000003</v>
      </c>
      <c r="AE1058" s="1868">
        <v>0.77033999999999991</v>
      </c>
      <c r="AF1058" s="1868">
        <v>0.81366000000000005</v>
      </c>
      <c r="AG1058" s="1868">
        <v>0.82322999999999991</v>
      </c>
      <c r="AH1058" s="1868">
        <v>0.81932999999999989</v>
      </c>
      <c r="AI1058" s="1868">
        <v>0.82830999999999999</v>
      </c>
      <c r="AJ1058" s="1868">
        <v>0.79864999999999997</v>
      </c>
      <c r="AK1058" s="1868">
        <v>0.75185000000000002</v>
      </c>
      <c r="AL1058" s="1868">
        <v>0.78800000000000003</v>
      </c>
      <c r="AM1058" s="1868">
        <v>0.82232999999999989</v>
      </c>
      <c r="AN1058" s="1868">
        <v>0.76802000000000004</v>
      </c>
      <c r="AO1058" s="1868">
        <v>0.81937999999999989</v>
      </c>
      <c r="AP1058" s="1868">
        <v>0.88700000000000001</v>
      </c>
      <c r="AQ1058" s="1868">
        <v>0.82762000000000002</v>
      </c>
      <c r="AR1058" s="1868">
        <v>0.81816</v>
      </c>
      <c r="AS1058" s="1868">
        <v>0.78883000000000003</v>
      </c>
      <c r="AT1058" s="1868">
        <v>0.82921</v>
      </c>
      <c r="AU1058" s="1868">
        <v>0.79791999999999996</v>
      </c>
      <c r="AV1058" s="1868">
        <v>0.79086000000000001</v>
      </c>
      <c r="AW1058" s="1868">
        <v>0.81118000000000001</v>
      </c>
      <c r="AX1058" s="1868">
        <v>0.83547999999999989</v>
      </c>
      <c r="AY1058" s="1868">
        <v>0.88042000000000009</v>
      </c>
      <c r="AZ1058" s="1868">
        <v>0.88405</v>
      </c>
      <c r="BA1058" s="1868">
        <v>0.95606000000000002</v>
      </c>
    </row>
    <row r="1059" spans="1:53">
      <c r="A1059" s="1865" t="str">
        <f t="shared" si="16"/>
        <v>South-Eastern AsiaRice, paddy</v>
      </c>
      <c r="B1059" s="1866" t="s">
        <v>1421</v>
      </c>
      <c r="C1059" s="1866" t="s">
        <v>1396</v>
      </c>
      <c r="D1059" s="1868">
        <v>1.6152899999999999</v>
      </c>
      <c r="E1059" s="1868">
        <v>1.6464900000000002</v>
      </c>
      <c r="F1059" s="1868">
        <v>1.6969400000000001</v>
      </c>
      <c r="G1059" s="1868">
        <v>1.67327</v>
      </c>
      <c r="H1059" s="1868">
        <v>1.65872</v>
      </c>
      <c r="I1059" s="1868">
        <v>1.63428</v>
      </c>
      <c r="J1059" s="1868">
        <v>1.6637999999999999</v>
      </c>
      <c r="K1059" s="1868">
        <v>1.7683799999999998</v>
      </c>
      <c r="L1059" s="1868">
        <v>1.8710799999999999</v>
      </c>
      <c r="M1059" s="1868">
        <v>2.0165199999999999</v>
      </c>
      <c r="N1059" s="1868">
        <v>2.0082800000000001</v>
      </c>
      <c r="O1059" s="1868">
        <v>1.9615099999999999</v>
      </c>
      <c r="P1059" s="1868">
        <v>2.0491999999999999</v>
      </c>
      <c r="Q1059" s="1868">
        <v>2.05783</v>
      </c>
      <c r="R1059" s="1868">
        <v>2.0537000000000001</v>
      </c>
      <c r="S1059" s="1868">
        <v>2.1386099999999999</v>
      </c>
      <c r="T1059" s="1868">
        <v>2.0454300000000001</v>
      </c>
      <c r="U1059" s="1868">
        <v>2.1723699999999999</v>
      </c>
      <c r="V1059" s="1868">
        <v>2.2584599999999999</v>
      </c>
      <c r="W1059" s="1868">
        <v>2.4156599999999999</v>
      </c>
      <c r="X1059" s="1868">
        <v>2.55023</v>
      </c>
      <c r="Y1059" s="1868">
        <v>2.6880000000000002</v>
      </c>
      <c r="Z1059" s="1868">
        <v>2.7320199999999999</v>
      </c>
      <c r="AA1059" s="1868">
        <v>2.8383599999999998</v>
      </c>
      <c r="AB1059" s="1868">
        <v>2.8448900000000004</v>
      </c>
      <c r="AC1059" s="1868">
        <v>2.8857599999999999</v>
      </c>
      <c r="AD1059" s="1868">
        <v>2.8705799999999999</v>
      </c>
      <c r="AE1059" s="1868">
        <v>2.9205900000000002</v>
      </c>
      <c r="AF1059" s="1868">
        <v>3.0101800000000001</v>
      </c>
      <c r="AG1059" s="1868">
        <v>3.0414500000000002</v>
      </c>
      <c r="AH1059" s="1868">
        <v>3.0911299999999997</v>
      </c>
      <c r="AI1059" s="1868">
        <v>3.1570400000000003</v>
      </c>
      <c r="AJ1059" s="1868">
        <v>3.1886000000000001</v>
      </c>
      <c r="AK1059" s="1868">
        <v>3.2708400000000002</v>
      </c>
      <c r="AL1059" s="1868">
        <v>3.2832300000000001</v>
      </c>
      <c r="AM1059" s="1868">
        <v>3.339</v>
      </c>
      <c r="AN1059" s="1868">
        <v>3.33751</v>
      </c>
      <c r="AO1059" s="1868">
        <v>3.3240599999999998</v>
      </c>
      <c r="AP1059" s="1868">
        <v>3.3847499999999999</v>
      </c>
      <c r="AQ1059" s="1868">
        <v>3.5418400000000001</v>
      </c>
      <c r="AR1059" s="1868">
        <v>3.5800300000000003</v>
      </c>
      <c r="AS1059" s="1868">
        <v>3.7011300000000005</v>
      </c>
      <c r="AT1059" s="1868">
        <v>3.7431199999999998</v>
      </c>
      <c r="AU1059" s="1868">
        <v>3.8347099999999998</v>
      </c>
      <c r="AV1059" s="1868">
        <v>3.8798699999999999</v>
      </c>
      <c r="AW1059" s="1868">
        <v>3.9015900000000001</v>
      </c>
      <c r="AX1059" s="1868">
        <v>3.9891999999999999</v>
      </c>
      <c r="AY1059" s="1868">
        <v>4.0949200000000001</v>
      </c>
      <c r="AZ1059" s="1868">
        <v>4.1022099999999995</v>
      </c>
      <c r="BA1059" s="1868">
        <v>4.1410099999999996</v>
      </c>
    </row>
    <row r="1060" spans="1:53">
      <c r="A1060" s="1865" t="str">
        <f t="shared" si="16"/>
        <v>South-Eastern AsiaRoots and Tubers, nes</v>
      </c>
      <c r="B1060" s="1866" t="s">
        <v>1421</v>
      </c>
      <c r="C1060" s="1866" t="s">
        <v>1356</v>
      </c>
      <c r="D1060" s="1868">
        <v>5.0575700000000001</v>
      </c>
      <c r="E1060" s="1868">
        <v>5.0533999999999999</v>
      </c>
      <c r="F1060" s="1868">
        <v>5.0979800000000006</v>
      </c>
      <c r="G1060" s="1868">
        <v>5.11646</v>
      </c>
      <c r="H1060" s="1868">
        <v>5.1145500000000004</v>
      </c>
      <c r="I1060" s="1868">
        <v>5.0829599999999999</v>
      </c>
      <c r="J1060" s="1868">
        <v>5.0883400000000005</v>
      </c>
      <c r="K1060" s="1868">
        <v>5.0714100000000002</v>
      </c>
      <c r="L1060" s="1868">
        <v>5.0716700000000001</v>
      </c>
      <c r="M1060" s="1868">
        <v>5.17624</v>
      </c>
      <c r="N1060" s="1868">
        <v>5.0616199999999996</v>
      </c>
      <c r="O1060" s="1868">
        <v>5.0940099999999999</v>
      </c>
      <c r="P1060" s="1868">
        <v>5.0508499999999996</v>
      </c>
      <c r="Q1060" s="1868">
        <v>5.0425000000000004</v>
      </c>
      <c r="R1060" s="1868">
        <v>5.1721500000000002</v>
      </c>
      <c r="S1060" s="1868">
        <v>5.4029400000000001</v>
      </c>
      <c r="T1060" s="1868">
        <v>5.2030099999999999</v>
      </c>
      <c r="U1060" s="1868">
        <v>5.3562099999999999</v>
      </c>
      <c r="V1060" s="1868">
        <v>5.3154900000000005</v>
      </c>
      <c r="W1060" s="1868">
        <v>4.9223800000000004</v>
      </c>
      <c r="X1060" s="1868">
        <v>5.5882800000000001</v>
      </c>
      <c r="Y1060" s="1868">
        <v>5.3238699999999994</v>
      </c>
      <c r="Z1060" s="1868">
        <v>5.3990099999999996</v>
      </c>
      <c r="AA1060" s="1868">
        <v>5.2950499999999998</v>
      </c>
      <c r="AB1060" s="1868">
        <v>5.3856800000000007</v>
      </c>
      <c r="AC1060" s="1868">
        <v>5.3737199999999996</v>
      </c>
      <c r="AD1060" s="1868">
        <v>5.4010999999999996</v>
      </c>
      <c r="AE1060" s="1868">
        <v>5.3538100000000002</v>
      </c>
      <c r="AF1060" s="1868">
        <v>5.3880400000000002</v>
      </c>
      <c r="AG1060" s="1868">
        <v>5.4226599999999996</v>
      </c>
      <c r="AH1060" s="1868">
        <v>5.3588100000000001</v>
      </c>
      <c r="AI1060" s="1868">
        <v>5.3886500000000002</v>
      </c>
      <c r="AJ1060" s="1868">
        <v>5.5133999999999999</v>
      </c>
      <c r="AK1060" s="1868">
        <v>5.6438199999999998</v>
      </c>
      <c r="AL1060" s="1868">
        <v>5.8752199999999997</v>
      </c>
      <c r="AM1060" s="1868">
        <v>6.08934</v>
      </c>
      <c r="AN1060" s="1868">
        <v>6.06203</v>
      </c>
      <c r="AO1060" s="1868">
        <v>6.4007699999999996</v>
      </c>
      <c r="AP1060" s="1868">
        <v>6.3526300000000004</v>
      </c>
      <c r="AQ1060" s="1868">
        <v>6.7446199999999994</v>
      </c>
      <c r="AR1060" s="1868">
        <v>6.9980500000000001</v>
      </c>
      <c r="AS1060" s="1868">
        <v>7.0490699999999995</v>
      </c>
      <c r="AT1060" s="1868">
        <v>7.2215899999999991</v>
      </c>
      <c r="AU1060" s="1868">
        <v>7.7923100000000005</v>
      </c>
      <c r="AV1060" s="1868">
        <v>7.5031999999999996</v>
      </c>
      <c r="AW1060" s="1868">
        <v>8.0183499999999999</v>
      </c>
      <c r="AX1060" s="1868">
        <v>8.6422600000000003</v>
      </c>
      <c r="AY1060" s="1868">
        <v>7.6644100000000002</v>
      </c>
      <c r="AZ1060" s="1868">
        <v>6.9903899999999997</v>
      </c>
      <c r="BA1060" s="1868">
        <v>7.1384600000000002</v>
      </c>
    </row>
    <row r="1061" spans="1:53">
      <c r="A1061" s="1865" t="str">
        <f t="shared" si="16"/>
        <v>South-Eastern AsiaSeed cotton</v>
      </c>
      <c r="B1061" s="1866" t="s">
        <v>1421</v>
      </c>
      <c r="C1061" s="1866" t="s">
        <v>1397</v>
      </c>
      <c r="D1061" s="1868">
        <v>0.47288999999999998</v>
      </c>
      <c r="E1061" s="1868">
        <v>0.39390999999999998</v>
      </c>
      <c r="F1061" s="1868">
        <v>0.38130999999999998</v>
      </c>
      <c r="G1061" s="1868">
        <v>0.34731000000000001</v>
      </c>
      <c r="H1061" s="1868">
        <v>0.42020000000000002</v>
      </c>
      <c r="I1061" s="1868">
        <v>0.47368999999999994</v>
      </c>
      <c r="J1061" s="1868">
        <v>0.46773000000000003</v>
      </c>
      <c r="K1061" s="1868">
        <v>0.60681000000000007</v>
      </c>
      <c r="L1061" s="1868">
        <v>0.39933000000000002</v>
      </c>
      <c r="M1061" s="1868">
        <v>0.43908000000000003</v>
      </c>
      <c r="N1061" s="1868">
        <v>0.42636999999999997</v>
      </c>
      <c r="O1061" s="1868">
        <v>0.39496999999999999</v>
      </c>
      <c r="P1061" s="1868">
        <v>0.36363000000000001</v>
      </c>
      <c r="Q1061" s="1868">
        <v>0.43140000000000001</v>
      </c>
      <c r="R1061" s="1868">
        <v>0.37225000000000003</v>
      </c>
      <c r="S1061" s="1868">
        <v>0.39291999999999999</v>
      </c>
      <c r="T1061" s="1868">
        <v>0.61351</v>
      </c>
      <c r="U1061" s="1868">
        <v>0.59753000000000001</v>
      </c>
      <c r="V1061" s="1868">
        <v>0.69836000000000009</v>
      </c>
      <c r="W1061" s="1868">
        <v>0.84804999999999997</v>
      </c>
      <c r="X1061" s="1868">
        <v>0.74524999999999997</v>
      </c>
      <c r="Y1061" s="1868">
        <v>0.72765000000000002</v>
      </c>
      <c r="Z1061" s="1868">
        <v>0.74380000000000002</v>
      </c>
      <c r="AA1061" s="1868">
        <v>0.67183999999999999</v>
      </c>
      <c r="AB1061" s="1868">
        <v>0.75812000000000002</v>
      </c>
      <c r="AC1061" s="1868">
        <v>0.69721</v>
      </c>
      <c r="AD1061" s="1868">
        <v>0.73243000000000003</v>
      </c>
      <c r="AE1061" s="1868">
        <v>0.77544000000000002</v>
      </c>
      <c r="AF1061" s="1868">
        <v>0.72541</v>
      </c>
      <c r="AG1061" s="1868">
        <v>0.82025999999999999</v>
      </c>
      <c r="AH1061" s="1868">
        <v>0.85178999999999994</v>
      </c>
      <c r="AI1061" s="1868">
        <v>0.79803000000000002</v>
      </c>
      <c r="AJ1061" s="1868">
        <v>0.74478</v>
      </c>
      <c r="AK1061" s="1868">
        <v>0.79433999999999994</v>
      </c>
      <c r="AL1061" s="1868">
        <v>0.84668999999999994</v>
      </c>
      <c r="AM1061" s="1868">
        <v>0.71511000000000002</v>
      </c>
      <c r="AN1061" s="1868">
        <v>0.74258999999999997</v>
      </c>
      <c r="AO1061" s="1868">
        <v>0.81808000000000003</v>
      </c>
      <c r="AP1061" s="1868">
        <v>0.71001999999999998</v>
      </c>
      <c r="AQ1061" s="1868">
        <v>0.69230999999999998</v>
      </c>
      <c r="AR1061" s="1868">
        <v>0.72411000000000003</v>
      </c>
      <c r="AS1061" s="1868">
        <v>0.70496000000000003</v>
      </c>
      <c r="AT1061" s="1868">
        <v>0.72566000000000008</v>
      </c>
      <c r="AU1061" s="1868">
        <v>0.75716000000000006</v>
      </c>
      <c r="AV1061" s="1868">
        <v>0.76791999999999994</v>
      </c>
      <c r="AW1061" s="1868">
        <v>0.75813999999999993</v>
      </c>
      <c r="AX1061" s="1868">
        <v>0.74703999999999993</v>
      </c>
      <c r="AY1061" s="1868">
        <v>0.74571999999999994</v>
      </c>
      <c r="AZ1061" s="1868">
        <v>0.76297999999999999</v>
      </c>
      <c r="BA1061" s="1868">
        <v>0.76836000000000004</v>
      </c>
    </row>
    <row r="1062" spans="1:53">
      <c r="A1062" s="1865" t="str">
        <f t="shared" si="16"/>
        <v>South-Eastern AsiaSesame seed</v>
      </c>
      <c r="B1062" s="1866" t="s">
        <v>1421</v>
      </c>
      <c r="C1062" s="1866" t="s">
        <v>1345</v>
      </c>
      <c r="D1062" s="1868">
        <v>0.19528000000000001</v>
      </c>
      <c r="E1062" s="1868">
        <v>0.21951999999999999</v>
      </c>
      <c r="F1062" s="1868">
        <v>0.22874</v>
      </c>
      <c r="G1062" s="1868">
        <v>0.18991</v>
      </c>
      <c r="H1062" s="1868">
        <v>0.17372000000000001</v>
      </c>
      <c r="I1062" s="1868">
        <v>0.17110999999999998</v>
      </c>
      <c r="J1062" s="1868">
        <v>0.16637000000000002</v>
      </c>
      <c r="K1062" s="1868">
        <v>0.20415</v>
      </c>
      <c r="L1062" s="1868">
        <v>0.18990000000000001</v>
      </c>
      <c r="M1062" s="1868">
        <v>0.18957000000000002</v>
      </c>
      <c r="N1062" s="1868">
        <v>0.19589000000000001</v>
      </c>
      <c r="O1062" s="1868">
        <v>0.19419</v>
      </c>
      <c r="P1062" s="1868">
        <v>0.18879000000000001</v>
      </c>
      <c r="Q1062" s="1868">
        <v>0.23310999999999998</v>
      </c>
      <c r="R1062" s="1868">
        <v>0.17954000000000001</v>
      </c>
      <c r="S1062" s="1868">
        <v>0.23066999999999999</v>
      </c>
      <c r="T1062" s="1868">
        <v>0.19104000000000002</v>
      </c>
      <c r="U1062" s="1868">
        <v>0.22153</v>
      </c>
      <c r="V1062" s="1868">
        <v>0.23435</v>
      </c>
      <c r="W1062" s="1868">
        <v>0.21008000000000002</v>
      </c>
      <c r="X1062" s="1868">
        <v>0.25387999999999999</v>
      </c>
      <c r="Y1062" s="1868">
        <v>0.25578000000000001</v>
      </c>
      <c r="Z1062" s="1868">
        <v>0.22631999999999999</v>
      </c>
      <c r="AA1062" s="1868">
        <v>0.29163</v>
      </c>
      <c r="AB1062" s="1868">
        <v>0.27184999999999998</v>
      </c>
      <c r="AC1062" s="1868">
        <v>0.27246999999999999</v>
      </c>
      <c r="AD1062" s="1868">
        <v>0.27550000000000002</v>
      </c>
      <c r="AE1062" s="1868">
        <v>0.29578000000000004</v>
      </c>
      <c r="AF1062" s="1868">
        <v>0.27013000000000004</v>
      </c>
      <c r="AG1062" s="1868">
        <v>0.25303000000000003</v>
      </c>
      <c r="AH1062" s="1868">
        <v>0.25458000000000003</v>
      </c>
      <c r="AI1062" s="1868">
        <v>0.25685999999999998</v>
      </c>
      <c r="AJ1062" s="1868">
        <v>0.27439999999999998</v>
      </c>
      <c r="AK1062" s="1868">
        <v>0.27271000000000001</v>
      </c>
      <c r="AL1062" s="1868">
        <v>0.29786999999999997</v>
      </c>
      <c r="AM1062" s="1868">
        <v>0.33721999999999996</v>
      </c>
      <c r="AN1062" s="1868">
        <v>0.35766999999999999</v>
      </c>
      <c r="AO1062" s="1868">
        <v>0.40051999999999999</v>
      </c>
      <c r="AP1062" s="1868">
        <v>0.33410000000000001</v>
      </c>
      <c r="AQ1062" s="1868">
        <v>0.33555000000000001</v>
      </c>
      <c r="AR1062" s="1868">
        <v>0.32747999999999999</v>
      </c>
      <c r="AS1062" s="1868">
        <v>0.36388999999999999</v>
      </c>
      <c r="AT1062" s="1868">
        <v>0.4133</v>
      </c>
      <c r="AU1062" s="1868">
        <v>0.43408000000000002</v>
      </c>
      <c r="AV1062" s="1868">
        <v>0.40287000000000001</v>
      </c>
      <c r="AW1062" s="1868">
        <v>0.58294000000000001</v>
      </c>
      <c r="AX1062" s="1868">
        <v>0.58008999999999999</v>
      </c>
      <c r="AY1062" s="1868">
        <v>0.60250999999999999</v>
      </c>
      <c r="AZ1062" s="1868">
        <v>0.56433</v>
      </c>
      <c r="BA1062" s="1868">
        <v>0.48148000000000002</v>
      </c>
    </row>
    <row r="1063" spans="1:53">
      <c r="A1063" s="1865" t="str">
        <f t="shared" si="16"/>
        <v>South-Eastern AsiaSisal</v>
      </c>
      <c r="B1063" s="1866" t="s">
        <v>1421</v>
      </c>
      <c r="C1063" s="1866" t="s">
        <v>1398</v>
      </c>
      <c r="D1063" s="1868">
        <v>2.6176499999999998</v>
      </c>
      <c r="E1063" s="1868">
        <v>1.62069</v>
      </c>
      <c r="F1063" s="1868">
        <v>0.80357000000000001</v>
      </c>
      <c r="G1063" s="1868">
        <v>0.85714000000000001</v>
      </c>
      <c r="H1063" s="1868">
        <v>0.92</v>
      </c>
      <c r="I1063" s="1868">
        <v>1.4528299999999998</v>
      </c>
      <c r="J1063" s="1868">
        <v>1.4285700000000001</v>
      </c>
      <c r="K1063" s="1868">
        <v>2</v>
      </c>
      <c r="L1063" s="1868">
        <v>2.23529</v>
      </c>
      <c r="M1063" s="1868">
        <v>2.28992</v>
      </c>
      <c r="N1063" s="1868">
        <v>1.4772700000000001</v>
      </c>
      <c r="O1063" s="1868">
        <v>1.3</v>
      </c>
      <c r="P1063" s="1868">
        <v>1.15385</v>
      </c>
      <c r="Q1063" s="1868">
        <v>1.13636</v>
      </c>
      <c r="R1063" s="1868">
        <v>1.38889</v>
      </c>
      <c r="S1063" s="1868">
        <v>1.48</v>
      </c>
      <c r="T1063" s="1868">
        <v>1.34694</v>
      </c>
      <c r="U1063" s="1868">
        <v>1.5333299999999999</v>
      </c>
      <c r="V1063" s="1868">
        <v>1.5333299999999999</v>
      </c>
      <c r="W1063" s="1868">
        <v>1.0227299999999999</v>
      </c>
      <c r="X1063" s="1868">
        <v>1.4285700000000001</v>
      </c>
      <c r="Y1063" s="1868">
        <v>1.5217399999999999</v>
      </c>
      <c r="Z1063" s="1868">
        <v>1.4583299999999999</v>
      </c>
      <c r="AA1063" s="1868">
        <v>1.4814799999999999</v>
      </c>
      <c r="AB1063" s="1868">
        <v>1.37931</v>
      </c>
      <c r="AC1063" s="1868">
        <v>1.25</v>
      </c>
      <c r="AD1063" s="1868">
        <v>1.2325600000000001</v>
      </c>
      <c r="AE1063" s="1868">
        <v>1.09575</v>
      </c>
      <c r="AF1063" s="1868">
        <v>1.0400799999999999</v>
      </c>
      <c r="AG1063" s="1868">
        <v>1.5052099999999999</v>
      </c>
      <c r="AH1063" s="1868">
        <v>1.1573899999999999</v>
      </c>
      <c r="AI1063" s="1868">
        <v>1.12039</v>
      </c>
      <c r="AJ1063" s="1868">
        <v>1.0323500000000001</v>
      </c>
      <c r="AK1063" s="1868">
        <v>1.36111</v>
      </c>
      <c r="AL1063" s="1868">
        <v>1.3493299999999999</v>
      </c>
      <c r="AM1063" s="1868">
        <v>1.3032600000000001</v>
      </c>
      <c r="AN1063" s="1868">
        <v>1.4010200000000002</v>
      </c>
      <c r="AO1063" s="1868">
        <v>1.2275100000000001</v>
      </c>
      <c r="AP1063" s="1868">
        <v>1.2479100000000001</v>
      </c>
      <c r="AQ1063" s="1868">
        <v>1.21526</v>
      </c>
      <c r="AR1063" s="1868">
        <v>1.1969700000000001</v>
      </c>
      <c r="AS1063" s="1868">
        <v>1.44987</v>
      </c>
      <c r="AT1063" s="1868">
        <v>1.4582299999999999</v>
      </c>
      <c r="AU1063" s="1868">
        <v>1.05542</v>
      </c>
      <c r="AV1063" s="1868">
        <v>0.91588999999999998</v>
      </c>
      <c r="AW1063" s="1868">
        <v>1.0565599999999999</v>
      </c>
      <c r="AX1063" s="1868">
        <v>1.07619</v>
      </c>
      <c r="AY1063" s="1868">
        <v>1.03403</v>
      </c>
      <c r="AZ1063" s="1868">
        <v>1.0054399999999999</v>
      </c>
      <c r="BA1063" s="1868">
        <v>1</v>
      </c>
    </row>
    <row r="1064" spans="1:53">
      <c r="A1064" s="1865" t="str">
        <f t="shared" si="16"/>
        <v>South-Eastern AsiaSorghum</v>
      </c>
      <c r="B1064" s="1866" t="s">
        <v>1421</v>
      </c>
      <c r="C1064" s="1866" t="s">
        <v>1399</v>
      </c>
      <c r="D1064" s="1868">
        <v>2.4390200000000002</v>
      </c>
      <c r="E1064" s="1868">
        <v>2.4390200000000002</v>
      </c>
      <c r="F1064" s="1868">
        <v>2.4390200000000002</v>
      </c>
      <c r="G1064" s="1868">
        <v>2.4390200000000002</v>
      </c>
      <c r="H1064" s="1868">
        <v>2.4333299999999998</v>
      </c>
      <c r="I1064" s="1868">
        <v>2.1093799999999998</v>
      </c>
      <c r="J1064" s="1868">
        <v>2.4606300000000001</v>
      </c>
      <c r="K1064" s="1868">
        <v>2.13422</v>
      </c>
      <c r="L1064" s="1868">
        <v>2.0130599999999998</v>
      </c>
      <c r="M1064" s="1868">
        <v>1.97475</v>
      </c>
      <c r="N1064" s="1868">
        <v>2.0047599999999997</v>
      </c>
      <c r="O1064" s="1868">
        <v>1.9063700000000001</v>
      </c>
      <c r="P1064" s="1868">
        <v>1.6923299999999999</v>
      </c>
      <c r="Q1064" s="1868">
        <v>1.39567</v>
      </c>
      <c r="R1064" s="1868">
        <v>1.36693</v>
      </c>
      <c r="S1064" s="1868">
        <v>1.1718</v>
      </c>
      <c r="T1064" s="1868">
        <v>0.95250000000000001</v>
      </c>
      <c r="U1064" s="1868">
        <v>1.50023</v>
      </c>
      <c r="V1064" s="1868">
        <v>1.29664</v>
      </c>
      <c r="W1064" s="1868">
        <v>1.0491200000000001</v>
      </c>
      <c r="X1064" s="1868">
        <v>1.0524200000000001</v>
      </c>
      <c r="Y1064" s="1868">
        <v>1.02111</v>
      </c>
      <c r="Z1064" s="1868">
        <v>1.3100799999999999</v>
      </c>
      <c r="AA1064" s="1868">
        <v>1.3204899999999999</v>
      </c>
      <c r="AB1064" s="1868">
        <v>1.3862000000000001</v>
      </c>
      <c r="AC1064" s="1868">
        <v>1.1503299999999999</v>
      </c>
      <c r="AD1064" s="1868">
        <v>1.2003299999999999</v>
      </c>
      <c r="AE1064" s="1868">
        <v>1.2387700000000001</v>
      </c>
      <c r="AF1064" s="1868">
        <v>1.2978399999999999</v>
      </c>
      <c r="AG1064" s="1868">
        <v>1.2592099999999999</v>
      </c>
      <c r="AH1064" s="1868">
        <v>1.29931</v>
      </c>
      <c r="AI1064" s="1868">
        <v>1.4442900000000001</v>
      </c>
      <c r="AJ1064" s="1868">
        <v>1.4232</v>
      </c>
      <c r="AK1064" s="1868">
        <v>1.3629100000000001</v>
      </c>
      <c r="AL1064" s="1868">
        <v>1.50282</v>
      </c>
      <c r="AM1064" s="1868">
        <v>1.6716</v>
      </c>
      <c r="AN1064" s="1868">
        <v>1.4982799999999998</v>
      </c>
      <c r="AO1064" s="1868">
        <v>1.50366</v>
      </c>
      <c r="AP1064" s="1868">
        <v>1.635</v>
      </c>
      <c r="AQ1064" s="1868">
        <v>1.73017</v>
      </c>
      <c r="AR1064" s="1868">
        <v>1.73532</v>
      </c>
      <c r="AS1064" s="1868">
        <v>1.8426200000000001</v>
      </c>
      <c r="AT1064" s="1868">
        <v>1.86927</v>
      </c>
      <c r="AU1064" s="1868">
        <v>1.67713</v>
      </c>
      <c r="AV1064" s="1868">
        <v>1.8899299999999999</v>
      </c>
      <c r="AW1064" s="1868">
        <v>1.6468</v>
      </c>
      <c r="AX1064" s="1868">
        <v>1.7554299999999998</v>
      </c>
      <c r="AY1064" s="1868">
        <v>1.6806900000000002</v>
      </c>
      <c r="AZ1064" s="1868">
        <v>1.89697</v>
      </c>
      <c r="BA1064" s="1868">
        <v>1.9218299999999999</v>
      </c>
    </row>
    <row r="1065" spans="1:53">
      <c r="A1065" s="1865" t="str">
        <f t="shared" si="16"/>
        <v>South-Eastern AsiaSoybeans</v>
      </c>
      <c r="B1065" s="1866" t="s">
        <v>1421</v>
      </c>
      <c r="C1065" s="1866" t="s">
        <v>1359</v>
      </c>
      <c r="D1065" s="1868">
        <v>0.68152000000000001</v>
      </c>
      <c r="E1065" s="1868">
        <v>0.67625000000000002</v>
      </c>
      <c r="F1065" s="1868">
        <v>0.66486999999999996</v>
      </c>
      <c r="G1065" s="1868">
        <v>0.68625999999999998</v>
      </c>
      <c r="H1065" s="1868">
        <v>0.69578000000000007</v>
      </c>
      <c r="I1065" s="1868">
        <v>0.68693000000000004</v>
      </c>
      <c r="J1065" s="1868">
        <v>0.71001999999999998</v>
      </c>
      <c r="K1065" s="1868">
        <v>0.63688</v>
      </c>
      <c r="L1065" s="1868">
        <v>0.71388999999999991</v>
      </c>
      <c r="M1065" s="1868">
        <v>0.72308000000000006</v>
      </c>
      <c r="N1065" s="1868">
        <v>0.76628000000000007</v>
      </c>
      <c r="O1065" s="1868">
        <v>0.75434999999999997</v>
      </c>
      <c r="P1065" s="1868">
        <v>0.75523000000000007</v>
      </c>
      <c r="Q1065" s="1868">
        <v>0.78656999999999999</v>
      </c>
      <c r="R1065" s="1868">
        <v>0.80315999999999999</v>
      </c>
      <c r="S1065" s="1868">
        <v>0.83296000000000003</v>
      </c>
      <c r="T1065" s="1868">
        <v>0.78288000000000002</v>
      </c>
      <c r="U1065" s="1868">
        <v>0.86055000000000004</v>
      </c>
      <c r="V1065" s="1868">
        <v>0.86634</v>
      </c>
      <c r="W1065" s="1868">
        <v>0.87937999999999994</v>
      </c>
      <c r="X1065" s="1868">
        <v>0.87675999999999998</v>
      </c>
      <c r="Y1065" s="1868">
        <v>0.87097999999999998</v>
      </c>
      <c r="Z1065" s="1868">
        <v>0.86717999999999995</v>
      </c>
      <c r="AA1065" s="1868">
        <v>0.94367999999999996</v>
      </c>
      <c r="AB1065" s="1868">
        <v>1.0124200000000001</v>
      </c>
      <c r="AC1065" s="1868">
        <v>1.0103799999999998</v>
      </c>
      <c r="AD1065" s="1868">
        <v>1.0429999999999999</v>
      </c>
      <c r="AE1065" s="1868">
        <v>1.11138</v>
      </c>
      <c r="AF1065" s="1868">
        <v>1.14378</v>
      </c>
      <c r="AG1065" s="1868">
        <v>1.1323799999999999</v>
      </c>
      <c r="AH1065" s="1868">
        <v>1.1615799999999998</v>
      </c>
      <c r="AI1065" s="1868">
        <v>1.15778</v>
      </c>
      <c r="AJ1065" s="1868">
        <v>1.18668</v>
      </c>
      <c r="AK1065" s="1868">
        <v>1.1349400000000001</v>
      </c>
      <c r="AL1065" s="1868">
        <v>1.19164</v>
      </c>
      <c r="AM1065" s="1868">
        <v>1.2056200000000001</v>
      </c>
      <c r="AN1065" s="1868">
        <v>1.2315399999999999</v>
      </c>
      <c r="AO1065" s="1868">
        <v>1.20642</v>
      </c>
      <c r="AP1065" s="1868">
        <v>1.19716</v>
      </c>
      <c r="AQ1065" s="1868">
        <v>1.2270799999999999</v>
      </c>
      <c r="AR1065" s="1868">
        <v>1.2243600000000001</v>
      </c>
      <c r="AS1065" s="1868">
        <v>1.2654299999999998</v>
      </c>
      <c r="AT1065" s="1868">
        <v>1.2907200000000001</v>
      </c>
      <c r="AU1065" s="1868">
        <v>1.2970700000000002</v>
      </c>
      <c r="AV1065" s="1868">
        <v>1.3578700000000001</v>
      </c>
      <c r="AW1065" s="1868">
        <v>1.34531</v>
      </c>
      <c r="AX1065" s="1868">
        <v>1.3809799999999999</v>
      </c>
      <c r="AY1065" s="1868">
        <v>1.3604499999999999</v>
      </c>
      <c r="AZ1065" s="1868">
        <v>1.4146700000000001</v>
      </c>
      <c r="BA1065" s="1868">
        <v>1.4115500000000001</v>
      </c>
    </row>
    <row r="1066" spans="1:53">
      <c r="A1066" s="1865" t="str">
        <f t="shared" si="16"/>
        <v>South-Eastern AsiaStrawberries</v>
      </c>
      <c r="B1066" s="1866" t="s">
        <v>1421</v>
      </c>
      <c r="C1066" s="1866" t="s">
        <v>1400</v>
      </c>
      <c r="AG1066" s="1868">
        <v>11.921430000000001</v>
      </c>
      <c r="AH1066" s="1868">
        <v>12.272730000000001</v>
      </c>
      <c r="AI1066" s="1868">
        <v>12.12857</v>
      </c>
      <c r="AJ1066" s="1868">
        <v>12.014150000000001</v>
      </c>
      <c r="AK1066" s="1868">
        <v>10.85909</v>
      </c>
      <c r="AL1066" s="1868">
        <v>10.53478</v>
      </c>
      <c r="AM1066" s="1868">
        <v>12</v>
      </c>
      <c r="AN1066" s="1868">
        <v>11.63636</v>
      </c>
      <c r="AO1066" s="1868">
        <v>12.2</v>
      </c>
      <c r="AP1066" s="1868">
        <v>11.43</v>
      </c>
      <c r="AQ1066" s="1868">
        <v>11.872339999999999</v>
      </c>
      <c r="AR1066" s="1868">
        <v>10.838100000000001</v>
      </c>
      <c r="AS1066" s="1868">
        <v>10.550460000000001</v>
      </c>
      <c r="AT1066" s="1868">
        <v>10.60909</v>
      </c>
      <c r="AU1066" s="1868">
        <v>10.61947</v>
      </c>
      <c r="AV1066" s="1868">
        <v>11.330439999999999</v>
      </c>
      <c r="AW1066" s="1868">
        <v>11.66667</v>
      </c>
      <c r="AX1066" s="1868">
        <v>12.39669</v>
      </c>
      <c r="AY1066" s="1868">
        <v>6.1401900000000005</v>
      </c>
      <c r="AZ1066" s="1868">
        <v>6.16981</v>
      </c>
      <c r="BA1066" s="1868">
        <v>11.5283</v>
      </c>
    </row>
    <row r="1067" spans="1:53">
      <c r="A1067" s="1865" t="str">
        <f t="shared" si="16"/>
        <v>South-Eastern AsiaSugar cane</v>
      </c>
      <c r="B1067" s="1866" t="s">
        <v>1421</v>
      </c>
      <c r="C1067" s="1866" t="s">
        <v>1401</v>
      </c>
      <c r="D1067" s="1868">
        <v>72.658500000000004</v>
      </c>
      <c r="E1067" s="1868">
        <v>72.218409999999992</v>
      </c>
      <c r="F1067" s="1868">
        <v>71.676140000000004</v>
      </c>
      <c r="G1067" s="1868">
        <v>74.489580000000004</v>
      </c>
      <c r="H1067" s="1868">
        <v>64.059749999999994</v>
      </c>
      <c r="I1067" s="1868">
        <v>62.645119999999999</v>
      </c>
      <c r="J1067" s="1868">
        <v>69.901700000000005</v>
      </c>
      <c r="K1067" s="1868">
        <v>66.214039999999997</v>
      </c>
      <c r="L1067" s="1868">
        <v>66.024569999999997</v>
      </c>
      <c r="M1067" s="1868">
        <v>69.581240000000008</v>
      </c>
      <c r="N1067" s="1868">
        <v>66.015119999999996</v>
      </c>
      <c r="O1067" s="1868">
        <v>59.586410000000001</v>
      </c>
      <c r="P1067" s="1868">
        <v>62.262999999999998</v>
      </c>
      <c r="Q1067" s="1868">
        <v>68.713470000000001</v>
      </c>
      <c r="R1067" s="1868">
        <v>63.857140000000001</v>
      </c>
      <c r="S1067" s="1868">
        <v>64.638900000000007</v>
      </c>
      <c r="T1067" s="1868">
        <v>60.801450000000003</v>
      </c>
      <c r="U1067" s="1868">
        <v>53.937819999999995</v>
      </c>
      <c r="V1067" s="1868">
        <v>60.23001</v>
      </c>
      <c r="W1067" s="1868">
        <v>55.689209999999996</v>
      </c>
      <c r="X1067" s="1868">
        <v>65.736940000000004</v>
      </c>
      <c r="Y1067" s="1868">
        <v>64.841480000000004</v>
      </c>
      <c r="Z1067" s="1868">
        <v>59.680549999999997</v>
      </c>
      <c r="AA1067" s="1868">
        <v>64.801509999999993</v>
      </c>
      <c r="AB1067" s="1868">
        <v>57.577390000000001</v>
      </c>
      <c r="AC1067" s="1868">
        <v>58.330880000000008</v>
      </c>
      <c r="AD1067" s="1868">
        <v>59.024080000000005</v>
      </c>
      <c r="AE1067" s="1868">
        <v>62.759540000000001</v>
      </c>
      <c r="AF1067" s="1868">
        <v>66.545459999999991</v>
      </c>
      <c r="AG1067" s="1868">
        <v>61.550269999999998</v>
      </c>
      <c r="AH1067" s="1868">
        <v>59.648069999999997</v>
      </c>
      <c r="AI1067" s="1868">
        <v>62.464380000000006</v>
      </c>
      <c r="AJ1067" s="1868">
        <v>55.745890000000003</v>
      </c>
      <c r="AK1067" s="1868">
        <v>58.329740000000001</v>
      </c>
      <c r="AL1067" s="1868">
        <v>58.931319999999992</v>
      </c>
      <c r="AM1067" s="1868">
        <v>60.741869999999999</v>
      </c>
      <c r="AN1067" s="1868">
        <v>61.789960000000001</v>
      </c>
      <c r="AO1067" s="1868">
        <v>58.006519999999995</v>
      </c>
      <c r="AP1067" s="1868">
        <v>57.684509999999996</v>
      </c>
      <c r="AQ1067" s="1868">
        <v>58.943319999999993</v>
      </c>
      <c r="AR1067" s="1868">
        <v>59.854959999999998</v>
      </c>
      <c r="AS1067" s="1868">
        <v>62.394640000000003</v>
      </c>
      <c r="AT1067" s="1868">
        <v>66.914519999999996</v>
      </c>
      <c r="AU1067" s="1868">
        <v>65.053880000000007</v>
      </c>
      <c r="AV1067" s="1868">
        <v>60.572940000000003</v>
      </c>
      <c r="AW1067" s="1868">
        <v>61.425359999999998</v>
      </c>
      <c r="AX1067" s="1868">
        <v>66.119969999999995</v>
      </c>
      <c r="AY1067" s="1868">
        <v>69.665769999999995</v>
      </c>
      <c r="AZ1067" s="1868">
        <v>68.110039999999998</v>
      </c>
      <c r="BA1067" s="1868">
        <v>69.574130000000011</v>
      </c>
    </row>
    <row r="1068" spans="1:53">
      <c r="A1068" s="1865" t="str">
        <f t="shared" si="16"/>
        <v>South-Eastern AsiaSunflower seed</v>
      </c>
      <c r="B1068" s="1866" t="s">
        <v>1421</v>
      </c>
      <c r="C1068" s="1866" t="s">
        <v>1402</v>
      </c>
      <c r="D1068" s="1868">
        <v>0.33333000000000002</v>
      </c>
      <c r="E1068" s="1868">
        <v>0.31745999999999996</v>
      </c>
      <c r="F1068" s="1868">
        <v>0.30303000000000002</v>
      </c>
      <c r="G1068" s="1868">
        <v>0.32353000000000004</v>
      </c>
      <c r="H1068" s="1868">
        <v>0.34328000000000003</v>
      </c>
      <c r="I1068" s="1868">
        <v>0.27749000000000001</v>
      </c>
      <c r="J1068" s="1868">
        <v>0.27313000000000004</v>
      </c>
      <c r="K1068" s="1868">
        <v>0.28570999999999996</v>
      </c>
      <c r="L1068" s="1868">
        <v>0.28749999999999998</v>
      </c>
      <c r="M1068" s="1868">
        <v>0.33333000000000002</v>
      </c>
      <c r="N1068" s="1868">
        <v>0.44578999999999996</v>
      </c>
      <c r="O1068" s="1868">
        <v>0.38140000000000002</v>
      </c>
      <c r="P1068" s="1868">
        <v>0.37375999999999998</v>
      </c>
      <c r="Q1068" s="1868">
        <v>0.34490999999999999</v>
      </c>
      <c r="R1068" s="1868">
        <v>0.34066000000000002</v>
      </c>
      <c r="S1068" s="1868">
        <v>0.34660999999999997</v>
      </c>
      <c r="T1068" s="1868">
        <v>0.35031999999999996</v>
      </c>
      <c r="U1068" s="1868">
        <v>0.37473000000000001</v>
      </c>
      <c r="V1068" s="1868">
        <v>0.30145</v>
      </c>
      <c r="W1068" s="1868">
        <v>0.59677000000000002</v>
      </c>
      <c r="X1068" s="1868">
        <v>0.67088000000000003</v>
      </c>
      <c r="Y1068" s="1868">
        <v>0.76151000000000002</v>
      </c>
      <c r="Z1068" s="1868">
        <v>0.76973999999999998</v>
      </c>
      <c r="AA1068" s="1868">
        <v>0.88983999999999996</v>
      </c>
      <c r="AB1068" s="1868">
        <v>0.97770000000000001</v>
      </c>
      <c r="AC1068" s="1868">
        <v>1.03057</v>
      </c>
      <c r="AD1068" s="1868">
        <v>1.08602</v>
      </c>
      <c r="AE1068" s="1868">
        <v>0.96696000000000004</v>
      </c>
      <c r="AF1068" s="1868">
        <v>0.72916999999999998</v>
      </c>
      <c r="AG1068" s="1868">
        <v>0.66641000000000006</v>
      </c>
      <c r="AH1068" s="1868">
        <v>0.66101999999999994</v>
      </c>
      <c r="AI1068" s="1868">
        <v>0.65532000000000001</v>
      </c>
      <c r="AJ1068" s="1868">
        <v>0.66681000000000001</v>
      </c>
      <c r="AK1068" s="1868">
        <v>0.74741000000000002</v>
      </c>
      <c r="AL1068" s="1868">
        <v>0.65206999999999993</v>
      </c>
      <c r="AM1068" s="1868">
        <v>0.72809999999999997</v>
      </c>
      <c r="AN1068" s="1868">
        <v>0.75916000000000006</v>
      </c>
      <c r="AO1068" s="1868">
        <v>0.77648000000000006</v>
      </c>
      <c r="AP1068" s="1868">
        <v>0.58245000000000002</v>
      </c>
      <c r="AQ1068" s="1868">
        <v>0.39984999999999998</v>
      </c>
      <c r="AR1068" s="1868">
        <v>0.55818999999999996</v>
      </c>
      <c r="AS1068" s="1868">
        <v>0.58058999999999994</v>
      </c>
      <c r="AT1068" s="1868">
        <v>0.54122999999999999</v>
      </c>
      <c r="AU1068" s="1868">
        <v>0.66726000000000008</v>
      </c>
      <c r="AV1068" s="1868">
        <v>0.75573000000000001</v>
      </c>
      <c r="AW1068" s="1868">
        <v>0.83582000000000012</v>
      </c>
      <c r="AX1068" s="1868">
        <v>0.83987000000000012</v>
      </c>
      <c r="AY1068" s="1868">
        <v>0.78412999999999999</v>
      </c>
      <c r="AZ1068" s="1868">
        <v>0.86612000000000011</v>
      </c>
      <c r="BA1068" s="1868">
        <v>0.70977000000000001</v>
      </c>
    </row>
    <row r="1069" spans="1:53">
      <c r="A1069" s="1865" t="str">
        <f t="shared" si="16"/>
        <v>South-Eastern AsiaSweet potatoes</v>
      </c>
      <c r="B1069" s="1866" t="s">
        <v>1421</v>
      </c>
      <c r="C1069" s="1866" t="s">
        <v>1403</v>
      </c>
      <c r="D1069" s="1868">
        <v>5.9263900000000005</v>
      </c>
      <c r="E1069" s="1868">
        <v>6.0835699999999999</v>
      </c>
      <c r="F1069" s="1868">
        <v>5.6815800000000003</v>
      </c>
      <c r="G1069" s="1868">
        <v>5.8618199999999998</v>
      </c>
      <c r="H1069" s="1868">
        <v>5.7396599999999998</v>
      </c>
      <c r="I1069" s="1868">
        <v>5.6285699999999999</v>
      </c>
      <c r="J1069" s="1868">
        <v>5.5477699999999999</v>
      </c>
      <c r="K1069" s="1868">
        <v>5.4507099999999999</v>
      </c>
      <c r="L1069" s="1868">
        <v>5.6973000000000003</v>
      </c>
      <c r="M1069" s="1868">
        <v>5.6873699999999996</v>
      </c>
      <c r="N1069" s="1868">
        <v>5.6977900000000004</v>
      </c>
      <c r="O1069" s="1868">
        <v>5.4446900000000005</v>
      </c>
      <c r="P1069" s="1868">
        <v>5.6437200000000001</v>
      </c>
      <c r="Q1069" s="1868">
        <v>6.0719099999999999</v>
      </c>
      <c r="R1069" s="1868">
        <v>6.12127</v>
      </c>
      <c r="S1069" s="1868">
        <v>6.21875</v>
      </c>
      <c r="T1069" s="1868">
        <v>5.6132499999999999</v>
      </c>
      <c r="U1069" s="1868">
        <v>5.7039900000000001</v>
      </c>
      <c r="V1069" s="1868">
        <v>5.9900500000000001</v>
      </c>
      <c r="W1069" s="1868">
        <v>5.7942099999999996</v>
      </c>
      <c r="X1069" s="1868">
        <v>6.3261000000000003</v>
      </c>
      <c r="Y1069" s="1868">
        <v>6.16052</v>
      </c>
      <c r="Z1069" s="1868">
        <v>6.14398</v>
      </c>
      <c r="AA1069" s="1868">
        <v>6.0684399999999998</v>
      </c>
      <c r="AB1069" s="1868">
        <v>6.3845800000000006</v>
      </c>
      <c r="AC1069" s="1868">
        <v>6.46305</v>
      </c>
      <c r="AD1069" s="1868">
        <v>6.9153000000000002</v>
      </c>
      <c r="AE1069" s="1868">
        <v>6.5681399999999996</v>
      </c>
      <c r="AF1069" s="1868">
        <v>6.7206700000000001</v>
      </c>
      <c r="AG1069" s="1868">
        <v>6.8458800000000002</v>
      </c>
      <c r="AH1069" s="1868">
        <v>6.8343800000000003</v>
      </c>
      <c r="AI1069" s="1868">
        <v>7.0038800000000005</v>
      </c>
      <c r="AJ1069" s="1868">
        <v>6.8499100000000004</v>
      </c>
      <c r="AK1069" s="1868">
        <v>6.4563300000000003</v>
      </c>
      <c r="AL1069" s="1868">
        <v>6.6450500000000003</v>
      </c>
      <c r="AM1069" s="1868">
        <v>6.9461600000000008</v>
      </c>
      <c r="AN1069" s="1868">
        <v>6.7949299999999999</v>
      </c>
      <c r="AO1069" s="1868">
        <v>6.7196800000000003</v>
      </c>
      <c r="AP1069" s="1868">
        <v>6.8217100000000004</v>
      </c>
      <c r="AQ1069" s="1868">
        <v>6.8424800000000001</v>
      </c>
      <c r="AR1069" s="1868">
        <v>7.0876899999999994</v>
      </c>
      <c r="AS1069" s="1868">
        <v>7.4161199999999994</v>
      </c>
      <c r="AT1069" s="1868">
        <v>7.5372100000000009</v>
      </c>
      <c r="AU1069" s="1868">
        <v>7.7160500000000001</v>
      </c>
      <c r="AV1069" s="1868">
        <v>7.9339399999999998</v>
      </c>
      <c r="AW1069" s="1868">
        <v>8.0838699999999992</v>
      </c>
      <c r="AX1069" s="1868">
        <v>8.1765500000000007</v>
      </c>
      <c r="AY1069" s="1868">
        <v>8.3559300000000007</v>
      </c>
      <c r="AZ1069" s="1868">
        <v>8.5875599999999999</v>
      </c>
      <c r="BA1069" s="1868">
        <v>8.77881</v>
      </c>
    </row>
    <row r="1070" spans="1:53">
      <c r="A1070" s="1865" t="str">
        <f t="shared" si="16"/>
        <v>South-Eastern AsiaTangerines, mandarins, clem.</v>
      </c>
      <c r="B1070" s="1866" t="s">
        <v>1421</v>
      </c>
      <c r="C1070" s="1866" t="s">
        <v>1404</v>
      </c>
      <c r="D1070" s="1868">
        <v>10.33892</v>
      </c>
      <c r="E1070" s="1868">
        <v>9.3840000000000003</v>
      </c>
      <c r="F1070" s="1868">
        <v>9.3869799999999994</v>
      </c>
      <c r="G1070" s="1868">
        <v>9.3410799999999998</v>
      </c>
      <c r="H1070" s="1868">
        <v>9.5045500000000001</v>
      </c>
      <c r="I1070" s="1868">
        <v>9.5580800000000004</v>
      </c>
      <c r="J1070" s="1868">
        <v>9.5634700000000006</v>
      </c>
      <c r="K1070" s="1868">
        <v>9.6936300000000006</v>
      </c>
      <c r="L1070" s="1868">
        <v>10.65734</v>
      </c>
      <c r="M1070" s="1868">
        <v>10.950889999999999</v>
      </c>
      <c r="N1070" s="1868">
        <v>11.517339999999999</v>
      </c>
      <c r="O1070" s="1868">
        <v>11.86903</v>
      </c>
      <c r="P1070" s="1868">
        <v>11.76417</v>
      </c>
      <c r="Q1070" s="1868">
        <v>11.902670000000001</v>
      </c>
      <c r="R1070" s="1868">
        <v>11.912289999999999</v>
      </c>
      <c r="S1070" s="1868">
        <v>11.978680000000001</v>
      </c>
      <c r="T1070" s="1868">
        <v>12.211089999999999</v>
      </c>
      <c r="U1070" s="1868">
        <v>11.936450000000001</v>
      </c>
      <c r="V1070" s="1868">
        <v>11.92305</v>
      </c>
      <c r="W1070" s="1868">
        <v>11.861269999999999</v>
      </c>
      <c r="X1070" s="1868">
        <v>12.001439999999999</v>
      </c>
      <c r="Y1070" s="1868">
        <v>12.221769999999999</v>
      </c>
      <c r="Z1070" s="1868">
        <v>10.83052</v>
      </c>
      <c r="AA1070" s="1868">
        <v>9.549430000000001</v>
      </c>
      <c r="AB1070" s="1868">
        <v>12.176630000000001</v>
      </c>
      <c r="AC1070" s="1868">
        <v>12.81657</v>
      </c>
      <c r="AD1070" s="1868">
        <v>14.033379999999999</v>
      </c>
      <c r="AE1070" s="1868">
        <v>13.336829999999999</v>
      </c>
      <c r="AF1070" s="1868">
        <v>15.821</v>
      </c>
      <c r="AG1070" s="1868">
        <v>13.27159</v>
      </c>
      <c r="AH1070" s="1868">
        <v>13.03177</v>
      </c>
      <c r="AI1070" s="1868">
        <v>14.104270000000001</v>
      </c>
      <c r="AJ1070" s="1868">
        <v>15.133010000000001</v>
      </c>
      <c r="AK1070" s="1868">
        <v>13.9902</v>
      </c>
      <c r="AL1070" s="1868">
        <v>12.706860000000001</v>
      </c>
      <c r="AM1070" s="1868">
        <v>13.553089999999999</v>
      </c>
      <c r="AN1070" s="1868">
        <v>13.463239999999999</v>
      </c>
      <c r="AO1070" s="1868">
        <v>13.739939999999999</v>
      </c>
      <c r="AP1070" s="1868">
        <v>16.557920000000003</v>
      </c>
      <c r="AQ1070" s="1868">
        <v>11.275360000000001</v>
      </c>
      <c r="AR1070" s="1868">
        <v>10.71391</v>
      </c>
      <c r="AS1070" s="1868">
        <v>9.9050499999999992</v>
      </c>
      <c r="AT1070" s="1868">
        <v>8.9446700000000003</v>
      </c>
      <c r="AU1070" s="1868">
        <v>10.01632</v>
      </c>
      <c r="AV1070" s="1868">
        <v>11.399410000000001</v>
      </c>
      <c r="AW1070" s="1868">
        <v>12.97315</v>
      </c>
      <c r="AX1070" s="1868">
        <v>12.82916</v>
      </c>
      <c r="AY1070" s="1868">
        <v>12.166180000000001</v>
      </c>
      <c r="AZ1070" s="1868">
        <v>11.109169999999999</v>
      </c>
      <c r="BA1070" s="1868">
        <v>9.1269799999999996</v>
      </c>
    </row>
    <row r="1071" spans="1:53">
      <c r="A1071" s="1865" t="str">
        <f t="shared" si="16"/>
        <v>South-Eastern AsiaTea</v>
      </c>
      <c r="B1071" s="1866" t="s">
        <v>1421</v>
      </c>
      <c r="C1071" s="1866" t="s">
        <v>1405</v>
      </c>
      <c r="D1071" s="1868">
        <v>0.52041000000000004</v>
      </c>
      <c r="E1071" s="1868">
        <v>0.53390000000000004</v>
      </c>
      <c r="F1071" s="1868">
        <v>0.51446999999999998</v>
      </c>
      <c r="G1071" s="1868">
        <v>0.56494999999999995</v>
      </c>
      <c r="H1071" s="1868">
        <v>0.58823000000000003</v>
      </c>
      <c r="I1071" s="1868">
        <v>0.59038000000000002</v>
      </c>
      <c r="J1071" s="1868">
        <v>0.60460000000000003</v>
      </c>
      <c r="K1071" s="1868">
        <v>0.63502000000000003</v>
      </c>
      <c r="L1071" s="1868">
        <v>0.60870000000000002</v>
      </c>
      <c r="M1071" s="1868">
        <v>0.55046000000000006</v>
      </c>
      <c r="N1071" s="1868">
        <v>0.56073000000000006</v>
      </c>
      <c r="O1071" s="1868">
        <v>0.55420000000000003</v>
      </c>
      <c r="P1071" s="1868">
        <v>0.59289999999999998</v>
      </c>
      <c r="Q1071" s="1868">
        <v>0.56877</v>
      </c>
      <c r="R1071" s="1868">
        <v>0.59321999999999997</v>
      </c>
      <c r="S1071" s="1868">
        <v>0.66543999999999992</v>
      </c>
      <c r="T1071" s="1868">
        <v>0.71540999999999999</v>
      </c>
      <c r="U1071" s="1868">
        <v>0.75044</v>
      </c>
      <c r="V1071" s="1868">
        <v>0.75360000000000005</v>
      </c>
      <c r="W1071" s="1868">
        <v>0.79611999999999994</v>
      </c>
      <c r="X1071" s="1868">
        <v>0.80779999999999996</v>
      </c>
      <c r="Y1071" s="1868">
        <v>0.71725000000000005</v>
      </c>
      <c r="Z1071" s="1868">
        <v>0.81479999999999997</v>
      </c>
      <c r="AA1071" s="1868">
        <v>1.0357100000000001</v>
      </c>
      <c r="AB1071" s="1868">
        <v>1.0439799999999999</v>
      </c>
      <c r="AC1071" s="1868">
        <v>0.87046000000000001</v>
      </c>
      <c r="AD1071" s="1868">
        <v>0.8454299999999999</v>
      </c>
      <c r="AE1071" s="1868">
        <v>0.93512000000000006</v>
      </c>
      <c r="AF1071" s="1868">
        <v>0.96174999999999999</v>
      </c>
      <c r="AG1071" s="1868">
        <v>1.0392999999999999</v>
      </c>
      <c r="AH1071" s="1868">
        <v>0.95284999999999997</v>
      </c>
      <c r="AI1071" s="1868">
        <v>1.0331700000000001</v>
      </c>
      <c r="AJ1071" s="1868">
        <v>1.0680399999999999</v>
      </c>
      <c r="AK1071" s="1868">
        <v>0.94525000000000003</v>
      </c>
      <c r="AL1071" s="1868">
        <v>0.99717000000000011</v>
      </c>
      <c r="AM1071" s="1868">
        <v>1.0473700000000001</v>
      </c>
      <c r="AN1071" s="1868">
        <v>1.0169700000000002</v>
      </c>
      <c r="AO1071" s="1868">
        <v>1.0902499999999999</v>
      </c>
      <c r="AP1071" s="1868">
        <v>1.1324000000000001</v>
      </c>
      <c r="AQ1071" s="1868">
        <v>1.0810899999999999</v>
      </c>
      <c r="AR1071" s="1868">
        <v>1.1189100000000001</v>
      </c>
      <c r="AS1071" s="1868">
        <v>1.1698899999999999</v>
      </c>
      <c r="AT1071" s="1868">
        <v>1.19719</v>
      </c>
      <c r="AU1071" s="1868">
        <v>1.2391099999999999</v>
      </c>
      <c r="AV1071" s="1868">
        <v>1.17255</v>
      </c>
      <c r="AW1071" s="1868">
        <v>1.25088</v>
      </c>
      <c r="AX1071" s="1868">
        <v>1.2880200000000002</v>
      </c>
      <c r="AY1071" s="1868">
        <v>1.35344</v>
      </c>
      <c r="AZ1071" s="1868">
        <v>1.3442700000000001</v>
      </c>
      <c r="BA1071" s="1868">
        <v>1.42479</v>
      </c>
    </row>
    <row r="1072" spans="1:53">
      <c r="A1072" s="1865" t="str">
        <f t="shared" si="16"/>
        <v>South-Eastern AsiaTobacco, unmanufactured</v>
      </c>
      <c r="B1072" s="1866" t="s">
        <v>1421</v>
      </c>
      <c r="C1072" s="1866" t="s">
        <v>1347</v>
      </c>
      <c r="D1072" s="1868">
        <v>0.56528999999999996</v>
      </c>
      <c r="E1072" s="1868">
        <v>0.62386000000000008</v>
      </c>
      <c r="F1072" s="1868">
        <v>0.51691999999999994</v>
      </c>
      <c r="G1072" s="1868">
        <v>0.59409000000000001</v>
      </c>
      <c r="H1072" s="1868">
        <v>0.58343999999999996</v>
      </c>
      <c r="I1072" s="1868">
        <v>0.68163000000000007</v>
      </c>
      <c r="J1072" s="1868">
        <v>0.72167000000000003</v>
      </c>
      <c r="K1072" s="1868">
        <v>0.72614000000000001</v>
      </c>
      <c r="L1072" s="1868">
        <v>0.67064000000000001</v>
      </c>
      <c r="M1072" s="1868">
        <v>0.73346999999999996</v>
      </c>
      <c r="N1072" s="1868">
        <v>0.64505000000000001</v>
      </c>
      <c r="O1072" s="1868">
        <v>0.73486000000000007</v>
      </c>
      <c r="P1072" s="1868">
        <v>0.63026000000000004</v>
      </c>
      <c r="Q1072" s="1868">
        <v>0.62586000000000008</v>
      </c>
      <c r="R1072" s="1868">
        <v>0.58677000000000001</v>
      </c>
      <c r="S1072" s="1868">
        <v>0.60843999999999998</v>
      </c>
      <c r="T1072" s="1868">
        <v>0.64705000000000001</v>
      </c>
      <c r="U1072" s="1868">
        <v>0.63939999999999997</v>
      </c>
      <c r="V1072" s="1868">
        <v>0.76778000000000002</v>
      </c>
      <c r="W1072" s="1868">
        <v>0.78531000000000006</v>
      </c>
      <c r="X1072" s="1868">
        <v>0.77761999999999998</v>
      </c>
      <c r="Y1072" s="1868">
        <v>0.80898000000000003</v>
      </c>
      <c r="Z1072" s="1868">
        <v>0.85672999999999988</v>
      </c>
      <c r="AA1072" s="1868">
        <v>0.95791000000000004</v>
      </c>
      <c r="AB1072" s="1868">
        <v>0.79616999999999993</v>
      </c>
      <c r="AC1072" s="1868">
        <v>0.84676000000000007</v>
      </c>
      <c r="AD1072" s="1868">
        <v>0.83530000000000004</v>
      </c>
      <c r="AE1072" s="1868">
        <v>0.84545999999999999</v>
      </c>
      <c r="AF1072" s="1868">
        <v>0.83582000000000012</v>
      </c>
      <c r="AG1072" s="1868">
        <v>0.92320000000000002</v>
      </c>
      <c r="AH1072" s="1868">
        <v>0.96604000000000001</v>
      </c>
      <c r="AI1072" s="1868">
        <v>1.0112700000000001</v>
      </c>
      <c r="AJ1072" s="1868">
        <v>1.1106499999999999</v>
      </c>
      <c r="AK1072" s="1868">
        <v>0.98506000000000005</v>
      </c>
      <c r="AL1072" s="1868">
        <v>0.9052</v>
      </c>
      <c r="AM1072" s="1868">
        <v>0.96593999999999991</v>
      </c>
      <c r="AN1072" s="1868">
        <v>0.97412999999999994</v>
      </c>
      <c r="AO1072" s="1868">
        <v>0.97122000000000008</v>
      </c>
      <c r="AP1072" s="1868">
        <v>1.1061799999999999</v>
      </c>
      <c r="AQ1072" s="1868">
        <v>1.2012700000000001</v>
      </c>
      <c r="AR1072" s="1868">
        <v>1.0952500000000001</v>
      </c>
      <c r="AS1072" s="1868">
        <v>1.0908500000000001</v>
      </c>
      <c r="AT1072" s="1868">
        <v>1.09293</v>
      </c>
      <c r="AU1072" s="1868">
        <v>1.22475</v>
      </c>
      <c r="AV1072" s="1868">
        <v>1.22963</v>
      </c>
      <c r="AW1072" s="1868">
        <v>1.27596</v>
      </c>
      <c r="AX1072" s="1868">
        <v>1.1390899999999999</v>
      </c>
      <c r="AY1072" s="1868">
        <v>1.21373</v>
      </c>
      <c r="AZ1072" s="1868">
        <v>1.1170799999999999</v>
      </c>
      <c r="BA1072" s="1868">
        <v>1.10425</v>
      </c>
    </row>
    <row r="1073" spans="1:53">
      <c r="A1073" s="1865" t="str">
        <f t="shared" si="16"/>
        <v>South-Eastern AsiaTomatoes</v>
      </c>
      <c r="B1073" s="1866" t="s">
        <v>1421</v>
      </c>
      <c r="C1073" s="1866" t="s">
        <v>1406</v>
      </c>
      <c r="D1073" s="1868">
        <v>3.2071299999999998</v>
      </c>
      <c r="E1073" s="1868">
        <v>3.3253400000000002</v>
      </c>
      <c r="F1073" s="1868">
        <v>3.4563000000000001</v>
      </c>
      <c r="G1073" s="1868">
        <v>3.6072300000000004</v>
      </c>
      <c r="H1073" s="1868">
        <v>4.1646900000000002</v>
      </c>
      <c r="I1073" s="1868">
        <v>4.4802300000000006</v>
      </c>
      <c r="J1073" s="1868">
        <v>4.2237</v>
      </c>
      <c r="K1073" s="1868">
        <v>3.7974999999999999</v>
      </c>
      <c r="L1073" s="1868">
        <v>4.1208099999999996</v>
      </c>
      <c r="M1073" s="1868">
        <v>4.4542400000000004</v>
      </c>
      <c r="N1073" s="1868">
        <v>4.6996599999999997</v>
      </c>
      <c r="O1073" s="1868">
        <v>4.1814900000000002</v>
      </c>
      <c r="P1073" s="1868">
        <v>5.2651000000000003</v>
      </c>
      <c r="Q1073" s="1868">
        <v>6.2583099999999998</v>
      </c>
      <c r="R1073" s="1868">
        <v>6.5557600000000003</v>
      </c>
      <c r="S1073" s="1868">
        <v>6.0460799999999999</v>
      </c>
      <c r="T1073" s="1868">
        <v>6.7200699999999998</v>
      </c>
      <c r="U1073" s="1868">
        <v>6.7737800000000004</v>
      </c>
      <c r="V1073" s="1868">
        <v>6.15618</v>
      </c>
      <c r="W1073" s="1868">
        <v>6.6577299999999999</v>
      </c>
      <c r="X1073" s="1868">
        <v>6.5204300000000002</v>
      </c>
      <c r="Y1073" s="1868">
        <v>5.8308300000000006</v>
      </c>
      <c r="Z1073" s="1868">
        <v>6.0646399999999998</v>
      </c>
      <c r="AA1073" s="1868">
        <v>5.4158200000000001</v>
      </c>
      <c r="AB1073" s="1868">
        <v>6.0357500000000002</v>
      </c>
      <c r="AC1073" s="1868">
        <v>6.2756600000000002</v>
      </c>
      <c r="AD1073" s="1868">
        <v>5.54366</v>
      </c>
      <c r="AE1073" s="1868">
        <v>5.0191699999999999</v>
      </c>
      <c r="AF1073" s="1868">
        <v>4.8957499999999996</v>
      </c>
      <c r="AG1073" s="1868">
        <v>7.0020100000000003</v>
      </c>
      <c r="AH1073" s="1868">
        <v>8.9063199999999991</v>
      </c>
      <c r="AI1073" s="1868">
        <v>7.8608799999999999</v>
      </c>
      <c r="AJ1073" s="1868">
        <v>7.3244199999999999</v>
      </c>
      <c r="AK1073" s="1868">
        <v>9.0727799999999998</v>
      </c>
      <c r="AL1073" s="1868">
        <v>13.60876</v>
      </c>
      <c r="AM1073" s="1868">
        <v>12.679080000000001</v>
      </c>
      <c r="AN1073" s="1868">
        <v>10.935789999999999</v>
      </c>
      <c r="AO1073" s="1868">
        <v>12.505510000000001</v>
      </c>
      <c r="AP1073" s="1868">
        <v>12.79766</v>
      </c>
      <c r="AQ1073" s="1868">
        <v>14.735370000000001</v>
      </c>
      <c r="AR1073" s="1868">
        <v>12.39761</v>
      </c>
      <c r="AS1073" s="1868">
        <v>11.392849999999999</v>
      </c>
      <c r="AT1073" s="1868">
        <v>12.56053</v>
      </c>
      <c r="AU1073" s="1868">
        <v>11.63584</v>
      </c>
      <c r="AV1073" s="1868">
        <v>12.130369999999999</v>
      </c>
      <c r="AW1073" s="1868">
        <v>12.214600000000001</v>
      </c>
      <c r="AX1073" s="1868">
        <v>12.834899999999999</v>
      </c>
      <c r="AY1073" s="1868">
        <v>14.210460000000001</v>
      </c>
      <c r="AZ1073" s="1868">
        <v>14.506500000000001</v>
      </c>
      <c r="BA1073" s="1868">
        <v>14.72405</v>
      </c>
    </row>
    <row r="1074" spans="1:53">
      <c r="A1074" s="1865" t="str">
        <f t="shared" si="16"/>
        <v>South-Eastern AsiaVegetables fresh nes</v>
      </c>
      <c r="B1074" s="1866" t="s">
        <v>1421</v>
      </c>
      <c r="C1074" s="1866" t="s">
        <v>1407</v>
      </c>
      <c r="D1074" s="1868">
        <v>5.7369300000000001</v>
      </c>
      <c r="E1074" s="1868">
        <v>5.7947699999999998</v>
      </c>
      <c r="F1074" s="1868">
        <v>5.9034399999999998</v>
      </c>
      <c r="G1074" s="1868">
        <v>5.9531800000000006</v>
      </c>
      <c r="H1074" s="1868">
        <v>5.9661999999999997</v>
      </c>
      <c r="I1074" s="1868">
        <v>6.0580600000000002</v>
      </c>
      <c r="J1074" s="1868">
        <v>6.1008699999999996</v>
      </c>
      <c r="K1074" s="1868">
        <v>6.2247300000000001</v>
      </c>
      <c r="L1074" s="1868">
        <v>6.3924199999999995</v>
      </c>
      <c r="M1074" s="1868">
        <v>6.4903399999999998</v>
      </c>
      <c r="N1074" s="1868">
        <v>6.5264699999999998</v>
      </c>
      <c r="O1074" s="1868">
        <v>6.9086300000000005</v>
      </c>
      <c r="P1074" s="1868">
        <v>7.0040300000000002</v>
      </c>
      <c r="Q1074" s="1868">
        <v>7.0356199999999998</v>
      </c>
      <c r="R1074" s="1868">
        <v>7.08033</v>
      </c>
      <c r="S1074" s="1868">
        <v>7.2403199999999996</v>
      </c>
      <c r="T1074" s="1868">
        <v>7.4006100000000004</v>
      </c>
      <c r="U1074" s="1868">
        <v>7.6485399999999997</v>
      </c>
      <c r="V1074" s="1868">
        <v>7.6178600000000003</v>
      </c>
      <c r="W1074" s="1868">
        <v>7.752089999999999</v>
      </c>
      <c r="X1074" s="1868">
        <v>7.8582300000000007</v>
      </c>
      <c r="Y1074" s="1868">
        <v>8.0134399999999992</v>
      </c>
      <c r="Z1074" s="1868">
        <v>8.3580699999999997</v>
      </c>
      <c r="AA1074" s="1868">
        <v>8.4185499999999998</v>
      </c>
      <c r="AB1074" s="1868">
        <v>8.1911300000000011</v>
      </c>
      <c r="AC1074" s="1868">
        <v>8.4619400000000002</v>
      </c>
      <c r="AD1074" s="1868">
        <v>8.7485600000000012</v>
      </c>
      <c r="AE1074" s="1868">
        <v>8.8308199999999992</v>
      </c>
      <c r="AF1074" s="1868">
        <v>9.0595300000000005</v>
      </c>
      <c r="AG1074" s="1868">
        <v>8.9090899999999991</v>
      </c>
      <c r="AH1074" s="1868">
        <v>9.1614899999999988</v>
      </c>
      <c r="AI1074" s="1868">
        <v>9.2877100000000006</v>
      </c>
      <c r="AJ1074" s="1868">
        <v>9.4168500000000002</v>
      </c>
      <c r="AK1074" s="1868">
        <v>9.3273499999999991</v>
      </c>
      <c r="AL1074" s="1868">
        <v>9.3444000000000003</v>
      </c>
      <c r="AM1074" s="1868">
        <v>9.6497700000000002</v>
      </c>
      <c r="AN1074" s="1868">
        <v>9.9377700000000004</v>
      </c>
      <c r="AO1074" s="1868">
        <v>9.9950500000000009</v>
      </c>
      <c r="AP1074" s="1868">
        <v>9.9189600000000002</v>
      </c>
      <c r="AQ1074" s="1868">
        <v>10.114879999999999</v>
      </c>
      <c r="AR1074" s="1868">
        <v>10.290710000000001</v>
      </c>
      <c r="AS1074" s="1868">
        <v>10.34722</v>
      </c>
      <c r="AT1074" s="1868">
        <v>10.24736</v>
      </c>
      <c r="AU1074" s="1868">
        <v>10.400869999999999</v>
      </c>
      <c r="AV1074" s="1868">
        <v>10.70743</v>
      </c>
      <c r="AW1074" s="1868">
        <v>9.9355600000000006</v>
      </c>
      <c r="AX1074" s="1868">
        <v>10.299610000000001</v>
      </c>
      <c r="AY1074" s="1868">
        <v>10.15504</v>
      </c>
      <c r="AZ1074" s="1868">
        <v>10.37279</v>
      </c>
      <c r="BA1074" s="1868">
        <v>10.330160000000001</v>
      </c>
    </row>
    <row r="1075" spans="1:53">
      <c r="A1075" s="1865" t="str">
        <f t="shared" si="16"/>
        <v>South-Eastern AsiaWheat</v>
      </c>
      <c r="B1075" s="1866" t="s">
        <v>1421</v>
      </c>
      <c r="C1075" s="1866" t="s">
        <v>1409</v>
      </c>
      <c r="D1075" s="1868">
        <v>0.30782999999999999</v>
      </c>
      <c r="E1075" s="1868">
        <v>0.41236999999999996</v>
      </c>
      <c r="F1075" s="1868">
        <v>0.55816999999999994</v>
      </c>
      <c r="G1075" s="1868">
        <v>0.67620000000000002</v>
      </c>
      <c r="H1075" s="1868">
        <v>0.64454</v>
      </c>
      <c r="I1075" s="1868">
        <v>0.63436000000000003</v>
      </c>
      <c r="J1075" s="1868">
        <v>0.49788000000000004</v>
      </c>
      <c r="K1075" s="1868">
        <v>0.57630999999999999</v>
      </c>
      <c r="L1075" s="1868">
        <v>0.46842</v>
      </c>
      <c r="M1075" s="1868">
        <v>0.55500000000000005</v>
      </c>
      <c r="N1075" s="1868">
        <v>0.62426999999999999</v>
      </c>
      <c r="O1075" s="1868">
        <v>0.54990000000000006</v>
      </c>
      <c r="P1075" s="1868">
        <v>0.54791999999999996</v>
      </c>
      <c r="Q1075" s="1868">
        <v>0.45548999999999995</v>
      </c>
      <c r="R1075" s="1868">
        <v>0.74517</v>
      </c>
      <c r="S1075" s="1868">
        <v>0.65254999999999996</v>
      </c>
      <c r="T1075" s="1868">
        <v>0.87829000000000002</v>
      </c>
      <c r="U1075" s="1868">
        <v>1.02559</v>
      </c>
      <c r="V1075" s="1868">
        <v>0.50373999999999997</v>
      </c>
      <c r="W1075" s="1868">
        <v>1.1064100000000001</v>
      </c>
      <c r="X1075" s="1868">
        <v>1.1099600000000001</v>
      </c>
      <c r="Y1075" s="1868">
        <v>1.33406</v>
      </c>
      <c r="Z1075" s="1868">
        <v>1.26295</v>
      </c>
      <c r="AA1075" s="1868">
        <v>1.5941700000000001</v>
      </c>
      <c r="AB1075" s="1868">
        <v>1.7431299999999998</v>
      </c>
      <c r="AC1075" s="1868">
        <v>1.7121500000000001</v>
      </c>
      <c r="AD1075" s="1868">
        <v>1.7285900000000001</v>
      </c>
      <c r="AE1075" s="1868">
        <v>1.30599</v>
      </c>
      <c r="AF1075" s="1868">
        <v>1.0723100000000001</v>
      </c>
      <c r="AG1075" s="1868">
        <v>0.95241000000000009</v>
      </c>
      <c r="AH1075" s="1868">
        <v>0.90169999999999995</v>
      </c>
      <c r="AI1075" s="1868">
        <v>0.97226000000000001</v>
      </c>
      <c r="AJ1075" s="1868">
        <v>0.95038999999999996</v>
      </c>
      <c r="AK1075" s="1868">
        <v>0.94607000000000008</v>
      </c>
      <c r="AL1075" s="1868">
        <v>0.83157000000000003</v>
      </c>
      <c r="AM1075" s="1868">
        <v>0.85314999999999996</v>
      </c>
      <c r="AN1075" s="1868">
        <v>0.95323999999999998</v>
      </c>
      <c r="AO1075" s="1868">
        <v>0.95355000000000001</v>
      </c>
      <c r="AP1075" s="1868">
        <v>1.0865799999999999</v>
      </c>
      <c r="AQ1075" s="1868">
        <v>1.1518299999999999</v>
      </c>
      <c r="AR1075" s="1868">
        <v>1.18127</v>
      </c>
      <c r="AS1075" s="1868">
        <v>1.27169</v>
      </c>
      <c r="AT1075" s="1868">
        <v>1.2774799999999999</v>
      </c>
      <c r="AU1075" s="1868">
        <v>1.56826</v>
      </c>
      <c r="AV1075" s="1868">
        <v>1.38862</v>
      </c>
      <c r="AW1075" s="1868">
        <v>1.5165200000000001</v>
      </c>
      <c r="AX1075" s="1868">
        <v>1.57616</v>
      </c>
      <c r="AY1075" s="1868">
        <v>1.8589</v>
      </c>
      <c r="AZ1075" s="1868">
        <v>1.8746499999999999</v>
      </c>
      <c r="BA1075" s="1868">
        <v>1.8963700000000001</v>
      </c>
    </row>
    <row r="1076" spans="1:53">
      <c r="A1076" s="1865" t="str">
        <f t="shared" si="16"/>
        <v>South-Eastern AsiaCereals (Rice Milled Eqv</v>
      </c>
      <c r="B1076" s="1866" t="s">
        <v>1421</v>
      </c>
      <c r="C1076" s="1866" t="s">
        <v>1410</v>
      </c>
      <c r="D1076" s="1868">
        <v>1.0457799999999999</v>
      </c>
      <c r="E1076" s="1868">
        <v>1.07162</v>
      </c>
      <c r="F1076" s="1868">
        <v>1.0976299999999999</v>
      </c>
      <c r="G1076" s="1868">
        <v>1.09084</v>
      </c>
      <c r="H1076" s="1868">
        <v>1.0745100000000001</v>
      </c>
      <c r="I1076" s="1868">
        <v>1.0644200000000001</v>
      </c>
      <c r="J1076" s="1868">
        <v>1.0816399999999999</v>
      </c>
      <c r="K1076" s="1868">
        <v>1.14838</v>
      </c>
      <c r="L1076" s="1868">
        <v>1.2161799999999998</v>
      </c>
      <c r="M1076" s="1868">
        <v>1.29864</v>
      </c>
      <c r="N1076" s="1868">
        <v>1.30139</v>
      </c>
      <c r="O1076" s="1868">
        <v>1.25335</v>
      </c>
      <c r="P1076" s="1868">
        <v>1.31969</v>
      </c>
      <c r="Q1076" s="1868">
        <v>1.3320700000000001</v>
      </c>
      <c r="R1076" s="1868">
        <v>1.3377299999999999</v>
      </c>
      <c r="S1076" s="1868">
        <v>1.38445</v>
      </c>
      <c r="T1076" s="1868">
        <v>1.31456</v>
      </c>
      <c r="U1076" s="1868">
        <v>1.4112499999999999</v>
      </c>
      <c r="V1076" s="1868">
        <v>1.4588099999999999</v>
      </c>
      <c r="W1076" s="1868">
        <v>1.5534299999999999</v>
      </c>
      <c r="X1076" s="1868">
        <v>1.6364000000000001</v>
      </c>
      <c r="Y1076" s="1868">
        <v>1.7183400000000002</v>
      </c>
      <c r="Z1076" s="1868">
        <v>1.7532000000000001</v>
      </c>
      <c r="AA1076" s="1868">
        <v>1.8229</v>
      </c>
      <c r="AB1076" s="1868">
        <v>1.8437599999999998</v>
      </c>
      <c r="AC1076" s="1868">
        <v>1.8634299999999999</v>
      </c>
      <c r="AD1076" s="1868">
        <v>1.8425900000000002</v>
      </c>
      <c r="AE1076" s="1868">
        <v>1.89635</v>
      </c>
      <c r="AF1076" s="1868">
        <v>1.9543999999999999</v>
      </c>
      <c r="AG1076" s="1868">
        <v>1.96655</v>
      </c>
      <c r="AH1076" s="1868">
        <v>2.0047999999999999</v>
      </c>
      <c r="AI1076" s="1868">
        <v>2.0560099999999997</v>
      </c>
      <c r="AJ1076" s="1868">
        <v>2.0859400000000003</v>
      </c>
      <c r="AK1076" s="1868">
        <v>2.1501999999999999</v>
      </c>
      <c r="AL1076" s="1868">
        <v>2.16859</v>
      </c>
      <c r="AM1076" s="1868">
        <v>2.23169</v>
      </c>
      <c r="AN1076" s="1868">
        <v>2.2282999999999999</v>
      </c>
      <c r="AO1076" s="1868">
        <v>2.2410799999999997</v>
      </c>
      <c r="AP1076" s="1868">
        <v>2.2748599999999999</v>
      </c>
      <c r="AQ1076" s="1868">
        <v>2.3824200000000002</v>
      </c>
      <c r="AR1076" s="1868">
        <v>2.4145300000000001</v>
      </c>
      <c r="AS1076" s="1868">
        <v>2.49437</v>
      </c>
      <c r="AT1076" s="1868">
        <v>2.5466199999999999</v>
      </c>
      <c r="AU1076" s="1868">
        <v>2.6172200000000001</v>
      </c>
      <c r="AV1076" s="1868">
        <v>2.6567699999999999</v>
      </c>
      <c r="AW1076" s="1868">
        <v>2.6793299999999998</v>
      </c>
      <c r="AX1076" s="1868">
        <v>2.7604299999999999</v>
      </c>
      <c r="AY1076" s="1868">
        <v>2.8516499999999998</v>
      </c>
      <c r="AZ1076" s="1868">
        <v>2.8910299999999998</v>
      </c>
      <c r="BA1076" s="1868">
        <v>2.92361</v>
      </c>
    </row>
    <row r="1077" spans="1:53">
      <c r="A1077" s="1865" t="str">
        <f t="shared" si="16"/>
        <v>Southern AfricaBananas</v>
      </c>
      <c r="B1077" s="1866" t="s">
        <v>1422</v>
      </c>
      <c r="C1077" s="1866" t="s">
        <v>1362</v>
      </c>
      <c r="D1077" s="1868">
        <v>7.4237199999999994</v>
      </c>
      <c r="E1077" s="1868">
        <v>5.0528399999999998</v>
      </c>
      <c r="F1077" s="1868">
        <v>7.9447000000000001</v>
      </c>
      <c r="G1077" s="1868">
        <v>4.3406000000000002</v>
      </c>
      <c r="H1077" s="1868">
        <v>3.9055199999999997</v>
      </c>
      <c r="I1077" s="1868">
        <v>5.2896599999999996</v>
      </c>
      <c r="J1077" s="1868">
        <v>6.4081999999999999</v>
      </c>
      <c r="K1077" s="1868">
        <v>9.3998799999999996</v>
      </c>
      <c r="L1077" s="1868">
        <v>12.65152</v>
      </c>
      <c r="M1077" s="1868">
        <v>10.138110000000001</v>
      </c>
      <c r="N1077" s="1868">
        <v>11.451030000000001</v>
      </c>
      <c r="O1077" s="1868">
        <v>10.5572</v>
      </c>
      <c r="P1077" s="1868">
        <v>12.26736</v>
      </c>
      <c r="Q1077" s="1868">
        <v>11.212899999999999</v>
      </c>
      <c r="R1077" s="1868">
        <v>11.4848</v>
      </c>
      <c r="S1077" s="1868">
        <v>10.895810000000001</v>
      </c>
      <c r="T1077" s="1868">
        <v>11.1532</v>
      </c>
      <c r="U1077" s="1868">
        <v>12.039439999999999</v>
      </c>
      <c r="V1077" s="1868">
        <v>13.142670000000001</v>
      </c>
      <c r="W1077" s="1868">
        <v>11.94777</v>
      </c>
      <c r="X1077" s="1868">
        <v>11.80185</v>
      </c>
      <c r="Y1077" s="1868">
        <v>14.21871</v>
      </c>
      <c r="Z1077" s="1868">
        <v>12.57586</v>
      </c>
      <c r="AA1077" s="1868">
        <v>14.15399</v>
      </c>
      <c r="AB1077" s="1868">
        <v>13.90339</v>
      </c>
      <c r="AC1077" s="1868">
        <v>15.875579999999999</v>
      </c>
      <c r="AD1077" s="1868">
        <v>14.636579999999999</v>
      </c>
      <c r="AE1077" s="1868">
        <v>14.07593</v>
      </c>
      <c r="AF1077" s="1868">
        <v>14.683689999999999</v>
      </c>
      <c r="AG1077" s="1868">
        <v>15.990779999999999</v>
      </c>
      <c r="AH1077" s="1868">
        <v>16.183450000000001</v>
      </c>
      <c r="AI1077" s="1868">
        <v>11.895769999999999</v>
      </c>
      <c r="AJ1077" s="1868">
        <v>10.961539999999999</v>
      </c>
      <c r="AK1077" s="1868">
        <v>11.34094</v>
      </c>
      <c r="AL1077" s="1868">
        <v>11.19276</v>
      </c>
      <c r="AM1077" s="1868">
        <v>12.633139999999999</v>
      </c>
      <c r="AN1077" s="1868">
        <v>12.174619999999999</v>
      </c>
      <c r="AO1077" s="1868">
        <v>13.424170000000002</v>
      </c>
      <c r="AP1077" s="1868">
        <v>19.02319</v>
      </c>
      <c r="AQ1077" s="1868">
        <v>19.762970000000003</v>
      </c>
      <c r="AR1077" s="1868">
        <v>19.508400000000002</v>
      </c>
      <c r="AS1077" s="1868">
        <v>35.365590000000005</v>
      </c>
      <c r="AT1077" s="1868">
        <v>38.682270000000003</v>
      </c>
      <c r="AU1077" s="1868">
        <v>34.407719999999998</v>
      </c>
      <c r="AV1077" s="1868">
        <v>48.493140000000004</v>
      </c>
      <c r="AW1077" s="1868">
        <v>46.97683</v>
      </c>
      <c r="AX1077" s="1868">
        <v>44.967820000000003</v>
      </c>
      <c r="AY1077" s="1868">
        <v>44.912840000000003</v>
      </c>
      <c r="AZ1077" s="1868">
        <v>44.556809999999999</v>
      </c>
      <c r="BA1077" s="1868">
        <v>44.80865</v>
      </c>
    </row>
    <row r="1078" spans="1:53">
      <c r="A1078" s="1865" t="str">
        <f t="shared" si="16"/>
        <v>Southern AfricaBarley</v>
      </c>
      <c r="B1078" s="1866" t="s">
        <v>1422</v>
      </c>
      <c r="C1078" s="1866" t="s">
        <v>1363</v>
      </c>
      <c r="D1078" s="1868">
        <v>0.63458000000000003</v>
      </c>
      <c r="E1078" s="1868">
        <v>0.69394</v>
      </c>
      <c r="F1078" s="1868">
        <v>0.53243000000000007</v>
      </c>
      <c r="G1078" s="1868">
        <v>0.78400000000000003</v>
      </c>
      <c r="H1078" s="1868">
        <v>0.50411000000000006</v>
      </c>
      <c r="I1078" s="1868">
        <v>0.61395</v>
      </c>
      <c r="J1078" s="1868">
        <v>0.64968999999999999</v>
      </c>
      <c r="K1078" s="1868">
        <v>0.57576000000000005</v>
      </c>
      <c r="L1078" s="1868">
        <v>0.35050999999999999</v>
      </c>
      <c r="M1078" s="1868">
        <v>0.74250000000000005</v>
      </c>
      <c r="N1078" s="1868">
        <v>0.68821999999999994</v>
      </c>
      <c r="O1078" s="1868">
        <v>0.64134999999999998</v>
      </c>
      <c r="P1078" s="1868">
        <v>0.52176999999999996</v>
      </c>
      <c r="Q1078" s="1868">
        <v>0.93162000000000011</v>
      </c>
      <c r="R1078" s="1868">
        <v>0.92221000000000009</v>
      </c>
      <c r="S1078" s="1868">
        <v>0.82132000000000005</v>
      </c>
      <c r="T1078" s="1868">
        <v>1.1653899999999999</v>
      </c>
      <c r="U1078" s="1868">
        <v>1.36355</v>
      </c>
      <c r="V1078" s="1868">
        <v>1.3056299999999998</v>
      </c>
      <c r="W1078" s="1868">
        <v>0.87157000000000007</v>
      </c>
      <c r="X1078" s="1868">
        <v>1.5135100000000001</v>
      </c>
      <c r="Y1078" s="1868">
        <v>1.6906599999999998</v>
      </c>
      <c r="Z1078" s="1868">
        <v>1.9227900000000002</v>
      </c>
      <c r="AA1078" s="1868">
        <v>1.96376</v>
      </c>
      <c r="AB1078" s="1868">
        <v>2.5073300000000001</v>
      </c>
      <c r="AC1078" s="1868">
        <v>2.1614299999999997</v>
      </c>
      <c r="AD1078" s="1868">
        <v>2.7690000000000001</v>
      </c>
      <c r="AE1078" s="1868">
        <v>1.5559700000000001</v>
      </c>
      <c r="AF1078" s="1868">
        <v>2.7173500000000002</v>
      </c>
      <c r="AG1078" s="1868">
        <v>2.3771100000000001</v>
      </c>
      <c r="AH1078" s="1868">
        <v>1.2498799999999999</v>
      </c>
      <c r="AI1078" s="1868">
        <v>1.9593499999999999</v>
      </c>
      <c r="AJ1078" s="1868">
        <v>1.9616900000000002</v>
      </c>
      <c r="AK1078" s="1868">
        <v>2.26708</v>
      </c>
      <c r="AL1078" s="1868">
        <v>2.3725099999999997</v>
      </c>
      <c r="AM1078" s="1868">
        <v>1.3564700000000001</v>
      </c>
      <c r="AN1078" s="1868">
        <v>1.3342499999999999</v>
      </c>
      <c r="AO1078" s="1868">
        <v>1.8047799999999998</v>
      </c>
      <c r="AP1078" s="1868">
        <v>0.90377999999999992</v>
      </c>
      <c r="AQ1078" s="1868">
        <v>1.47699</v>
      </c>
      <c r="AR1078" s="1868">
        <v>1.7733000000000001</v>
      </c>
      <c r="AS1078" s="1868">
        <v>2.47688</v>
      </c>
      <c r="AT1078" s="1868">
        <v>2.8293200000000001</v>
      </c>
      <c r="AU1078" s="1868">
        <v>2.2081900000000001</v>
      </c>
      <c r="AV1078" s="1868">
        <v>2.4865200000000001</v>
      </c>
      <c r="AW1078" s="1868">
        <v>2.5947499999999999</v>
      </c>
      <c r="AX1078" s="1868">
        <v>2.96665</v>
      </c>
      <c r="AY1078" s="1868">
        <v>2.7533599999999998</v>
      </c>
      <c r="AZ1078" s="1868">
        <v>2.7925299999999997</v>
      </c>
      <c r="BA1078" s="1868">
        <v>2.3675700000000002</v>
      </c>
    </row>
    <row r="1079" spans="1:53">
      <c r="A1079" s="1865" t="str">
        <f t="shared" si="16"/>
        <v>Southern AfricaBeans, dry</v>
      </c>
      <c r="B1079" s="1866" t="s">
        <v>1422</v>
      </c>
      <c r="C1079" s="1866" t="s">
        <v>1364</v>
      </c>
      <c r="D1079" s="1868">
        <v>0.70276000000000005</v>
      </c>
      <c r="E1079" s="1868">
        <v>0.64127000000000001</v>
      </c>
      <c r="F1079" s="1868">
        <v>0.57513000000000003</v>
      </c>
      <c r="G1079" s="1868">
        <v>0.56247999999999998</v>
      </c>
      <c r="H1079" s="1868">
        <v>0.63946999999999998</v>
      </c>
      <c r="I1079" s="1868">
        <v>0.71921999999999997</v>
      </c>
      <c r="J1079" s="1868">
        <v>0.93903999999999999</v>
      </c>
      <c r="K1079" s="1868">
        <v>0.78623999999999994</v>
      </c>
      <c r="L1079" s="1868">
        <v>0.70272999999999997</v>
      </c>
      <c r="M1079" s="1868">
        <v>0.67252000000000001</v>
      </c>
      <c r="N1079" s="1868">
        <v>0.86360000000000003</v>
      </c>
      <c r="O1079" s="1868">
        <v>0.86581000000000008</v>
      </c>
      <c r="P1079" s="1868">
        <v>0.6956</v>
      </c>
      <c r="Q1079" s="1868">
        <v>1.0015000000000001</v>
      </c>
      <c r="R1079" s="1868">
        <v>0.59667999999999999</v>
      </c>
      <c r="S1079" s="1868">
        <v>0.60865000000000002</v>
      </c>
      <c r="T1079" s="1868">
        <v>1.0346299999999999</v>
      </c>
      <c r="U1079" s="1868">
        <v>1.01004</v>
      </c>
      <c r="V1079" s="1868">
        <v>0.63843000000000005</v>
      </c>
      <c r="W1079" s="1868">
        <v>1.05508</v>
      </c>
      <c r="X1079" s="1868">
        <v>1.2587999999999999</v>
      </c>
      <c r="Y1079" s="1868">
        <v>1.0309299999999999</v>
      </c>
      <c r="Z1079" s="1868">
        <v>0.64785999999999999</v>
      </c>
      <c r="AA1079" s="1868">
        <v>0.75312000000000001</v>
      </c>
      <c r="AB1079" s="1868">
        <v>1.2081999999999999</v>
      </c>
      <c r="AC1079" s="1868">
        <v>1.0377000000000001</v>
      </c>
      <c r="AD1079" s="1868">
        <v>1.0141100000000001</v>
      </c>
      <c r="AE1079" s="1868">
        <v>1.02006</v>
      </c>
      <c r="AF1079" s="1868">
        <v>1.26552</v>
      </c>
      <c r="AG1079" s="1868">
        <v>1.4741799999999998</v>
      </c>
      <c r="AH1079" s="1868">
        <v>1.1689000000000001</v>
      </c>
      <c r="AI1079" s="1868">
        <v>0.48804999999999998</v>
      </c>
      <c r="AJ1079" s="1868">
        <v>1.21326</v>
      </c>
      <c r="AK1079" s="1868">
        <v>0.85558999999999996</v>
      </c>
      <c r="AL1079" s="1868">
        <v>0.91578999999999999</v>
      </c>
      <c r="AM1079" s="1868">
        <v>0.93737000000000004</v>
      </c>
      <c r="AN1079" s="1868">
        <v>1.3324499999999999</v>
      </c>
      <c r="AO1079" s="1868">
        <v>1.24343</v>
      </c>
      <c r="AP1079" s="1868">
        <v>1.2376200000000002</v>
      </c>
      <c r="AQ1079" s="1868">
        <v>1.0595399999999999</v>
      </c>
      <c r="AR1079" s="1868">
        <v>1.2051399999999999</v>
      </c>
      <c r="AS1079" s="1868">
        <v>1.2334100000000001</v>
      </c>
      <c r="AT1079" s="1868">
        <v>1.1230100000000001</v>
      </c>
      <c r="AU1079" s="1868">
        <v>1.27247</v>
      </c>
      <c r="AV1079" s="1868">
        <v>1.2052100000000001</v>
      </c>
      <c r="AW1079" s="1868">
        <v>0.80310000000000004</v>
      </c>
      <c r="AX1079" s="1868">
        <v>0.60840000000000005</v>
      </c>
      <c r="AY1079" s="1868">
        <v>1.06874</v>
      </c>
      <c r="AZ1079" s="1868">
        <v>1.29915</v>
      </c>
      <c r="BA1079" s="1868">
        <v>1.00898</v>
      </c>
    </row>
    <row r="1080" spans="1:53">
      <c r="A1080" s="1865" t="str">
        <f t="shared" si="16"/>
        <v>Southern AfricaBeans, green</v>
      </c>
      <c r="B1080" s="1866" t="s">
        <v>1422</v>
      </c>
      <c r="C1080" s="1866" t="s">
        <v>1365</v>
      </c>
      <c r="D1080" s="1868">
        <v>6</v>
      </c>
      <c r="E1080" s="1868">
        <v>5.4</v>
      </c>
      <c r="F1080" s="1868">
        <v>6</v>
      </c>
      <c r="G1080" s="1868">
        <v>5.2</v>
      </c>
      <c r="H1080" s="1868">
        <v>5</v>
      </c>
      <c r="I1080" s="1868">
        <v>6.2</v>
      </c>
      <c r="J1080" s="1868">
        <v>5.8</v>
      </c>
      <c r="K1080" s="1868">
        <v>5.2</v>
      </c>
      <c r="L1080" s="1868">
        <v>5.4</v>
      </c>
      <c r="M1080" s="1868">
        <v>5.6</v>
      </c>
      <c r="N1080" s="1868">
        <v>5.6</v>
      </c>
      <c r="O1080" s="1868">
        <v>5</v>
      </c>
      <c r="P1080" s="1868">
        <v>4.5999999999999996</v>
      </c>
      <c r="Q1080" s="1868">
        <v>4.8</v>
      </c>
      <c r="R1080" s="1868">
        <v>6.2</v>
      </c>
      <c r="S1080" s="1868">
        <v>7</v>
      </c>
      <c r="T1080" s="1868">
        <v>6.8</v>
      </c>
      <c r="U1080" s="1868">
        <v>6</v>
      </c>
      <c r="V1080" s="1868">
        <v>6.4</v>
      </c>
      <c r="W1080" s="1868">
        <v>6.4</v>
      </c>
      <c r="X1080" s="1868">
        <v>7.1666699999999999</v>
      </c>
      <c r="Y1080" s="1868">
        <v>5.8333300000000001</v>
      </c>
      <c r="Z1080" s="1868">
        <v>4.6666699999999999</v>
      </c>
      <c r="AA1080" s="1868">
        <v>5.6666699999999999</v>
      </c>
      <c r="AB1080" s="1868">
        <v>5.6666699999999999</v>
      </c>
      <c r="AC1080" s="1868">
        <v>5.6666699999999999</v>
      </c>
      <c r="AD1080" s="1868">
        <v>5.6717699999999995</v>
      </c>
      <c r="AE1080" s="1868">
        <v>4.8898400000000004</v>
      </c>
      <c r="AF1080" s="1868">
        <v>4.7637700000000001</v>
      </c>
      <c r="AG1080" s="1868">
        <v>4.3524900000000004</v>
      </c>
      <c r="AH1080" s="1868">
        <v>5.5437099999999999</v>
      </c>
      <c r="AI1080" s="1868">
        <v>4.7202500000000001</v>
      </c>
      <c r="AJ1080" s="1868">
        <v>4.74892</v>
      </c>
      <c r="AK1080" s="1868">
        <v>5.7415699999999994</v>
      </c>
      <c r="AL1080" s="1868">
        <v>4.1028599999999997</v>
      </c>
      <c r="AM1080" s="1868">
        <v>4.7298400000000003</v>
      </c>
      <c r="AN1080" s="1868">
        <v>4.9727300000000003</v>
      </c>
      <c r="AO1080" s="1868">
        <v>5.1931799999999999</v>
      </c>
      <c r="AP1080" s="1868">
        <v>5.7158100000000003</v>
      </c>
      <c r="AQ1080" s="1868">
        <v>7.0708500000000001</v>
      </c>
      <c r="AR1080" s="1868">
        <v>6.0934599999999994</v>
      </c>
      <c r="AS1080" s="1868">
        <v>6.6923199999999996</v>
      </c>
      <c r="AT1080" s="1868">
        <v>8.2060499999999994</v>
      </c>
      <c r="AU1080" s="1868">
        <v>7.3729199999999997</v>
      </c>
      <c r="AV1080" s="1868">
        <v>9.128919999999999</v>
      </c>
      <c r="AW1080" s="1868">
        <v>8.9171899999999997</v>
      </c>
      <c r="AX1080" s="1868">
        <v>6.4724199999999996</v>
      </c>
      <c r="AY1080" s="1868">
        <v>6.7203800000000005</v>
      </c>
      <c r="AZ1080" s="1868">
        <v>6.5352499999999996</v>
      </c>
      <c r="BA1080" s="1868">
        <v>7.9240000000000004</v>
      </c>
    </row>
    <row r="1081" spans="1:53">
      <c r="A1081" s="1865" t="str">
        <f t="shared" si="16"/>
        <v>Southern AfricaCarrots and turnips</v>
      </c>
      <c r="B1081" s="1866" t="s">
        <v>1422</v>
      </c>
      <c r="C1081" s="1866" t="s">
        <v>1366</v>
      </c>
      <c r="D1081" s="1868">
        <v>32.142859999999999</v>
      </c>
      <c r="E1081" s="1868">
        <v>28.571429999999999</v>
      </c>
      <c r="F1081" s="1868">
        <v>38.571429999999999</v>
      </c>
      <c r="G1081" s="1868">
        <v>40.714290000000005</v>
      </c>
      <c r="H1081" s="1868">
        <v>39.285709999999995</v>
      </c>
      <c r="I1081" s="1868">
        <v>43.571429999999999</v>
      </c>
      <c r="J1081" s="1868">
        <v>41.333329999999997</v>
      </c>
      <c r="K1081" s="1868">
        <v>29</v>
      </c>
      <c r="L1081" s="1868">
        <v>25.6</v>
      </c>
      <c r="M1081" s="1868">
        <v>25.2</v>
      </c>
      <c r="N1081" s="1868">
        <v>22.33333</v>
      </c>
      <c r="O1081" s="1868">
        <v>20.66667</v>
      </c>
      <c r="P1081" s="1868">
        <v>21</v>
      </c>
      <c r="Q1081" s="1868">
        <v>25.66667</v>
      </c>
      <c r="R1081" s="1868">
        <v>28</v>
      </c>
      <c r="S1081" s="1868">
        <v>26.66667</v>
      </c>
      <c r="T1081" s="1868">
        <v>30</v>
      </c>
      <c r="U1081" s="1868">
        <v>30.18967</v>
      </c>
      <c r="V1081" s="1868">
        <v>30.228670000000001</v>
      </c>
      <c r="W1081" s="1868">
        <v>35.666670000000003</v>
      </c>
      <c r="X1081" s="1868">
        <v>35.294119999999999</v>
      </c>
      <c r="Y1081" s="1868">
        <v>30.588240000000003</v>
      </c>
      <c r="Z1081" s="1868">
        <v>28.461540000000003</v>
      </c>
      <c r="AA1081" s="1868">
        <v>29</v>
      </c>
      <c r="AB1081" s="1868">
        <v>26</v>
      </c>
      <c r="AC1081" s="1868">
        <v>26</v>
      </c>
      <c r="AD1081" s="1868">
        <v>26.66667</v>
      </c>
      <c r="AE1081" s="1868">
        <v>29.66667</v>
      </c>
      <c r="AF1081" s="1868">
        <v>30</v>
      </c>
      <c r="AG1081" s="1868">
        <v>27.68937</v>
      </c>
      <c r="AH1081" s="1868">
        <v>27.547390000000004</v>
      </c>
      <c r="AI1081" s="1868">
        <v>29.281879999999997</v>
      </c>
      <c r="AJ1081" s="1868">
        <v>30.342579999999998</v>
      </c>
      <c r="AK1081" s="1868">
        <v>29.393940000000001</v>
      </c>
      <c r="AL1081" s="1868">
        <v>26.4</v>
      </c>
      <c r="AM1081" s="1868">
        <v>25.75</v>
      </c>
      <c r="AN1081" s="1868">
        <v>27.120940000000001</v>
      </c>
      <c r="AO1081" s="1868">
        <v>25.32404</v>
      </c>
      <c r="AP1081" s="1868">
        <v>22.88034</v>
      </c>
      <c r="AQ1081" s="1868">
        <v>22.75902</v>
      </c>
      <c r="AR1081" s="1868">
        <v>23.636810000000001</v>
      </c>
      <c r="AS1081" s="1868">
        <v>24.828220000000002</v>
      </c>
      <c r="AT1081" s="1868">
        <v>28.475740000000002</v>
      </c>
      <c r="AU1081" s="1868">
        <v>27.896890000000003</v>
      </c>
      <c r="AV1081" s="1868">
        <v>28.102259999999998</v>
      </c>
      <c r="AW1081" s="1868">
        <v>27.682670000000002</v>
      </c>
      <c r="AX1081" s="1868">
        <v>27.946920000000002</v>
      </c>
      <c r="AY1081" s="1868">
        <v>27.920549999999999</v>
      </c>
      <c r="AZ1081" s="1868">
        <v>27.891809999999996</v>
      </c>
      <c r="BA1081" s="1868">
        <v>27.240950000000002</v>
      </c>
    </row>
    <row r="1082" spans="1:53">
      <c r="A1082" s="1865" t="str">
        <f t="shared" si="16"/>
        <v>Southern AfricaCauliflowers and broccoli</v>
      </c>
      <c r="B1082" s="1866" t="s">
        <v>1422</v>
      </c>
      <c r="C1082" s="1866" t="s">
        <v>1369</v>
      </c>
      <c r="D1082" s="1868">
        <v>32.5</v>
      </c>
      <c r="E1082" s="1868">
        <v>30</v>
      </c>
      <c r="F1082" s="1868">
        <v>31.111109999999996</v>
      </c>
      <c r="G1082" s="1868">
        <v>31.111109999999996</v>
      </c>
      <c r="H1082" s="1868">
        <v>33.333329999999997</v>
      </c>
      <c r="I1082" s="1868">
        <v>28</v>
      </c>
      <c r="J1082" s="1868">
        <v>32</v>
      </c>
      <c r="K1082" s="1868">
        <v>29</v>
      </c>
      <c r="L1082" s="1868">
        <v>28</v>
      </c>
      <c r="M1082" s="1868">
        <v>27</v>
      </c>
      <c r="N1082" s="1868">
        <v>24</v>
      </c>
      <c r="O1082" s="1868">
        <v>20</v>
      </c>
      <c r="P1082" s="1868">
        <v>20.76923</v>
      </c>
      <c r="Q1082" s="1868">
        <v>23.076920000000001</v>
      </c>
      <c r="R1082" s="1868">
        <v>25.384620000000002</v>
      </c>
      <c r="S1082" s="1868">
        <v>30.76923</v>
      </c>
      <c r="T1082" s="1868">
        <v>30.714290000000002</v>
      </c>
      <c r="U1082" s="1868">
        <v>33.333329999999997</v>
      </c>
      <c r="V1082" s="1868">
        <v>29.33333</v>
      </c>
      <c r="W1082" s="1868">
        <v>32</v>
      </c>
      <c r="X1082" s="1868">
        <v>30</v>
      </c>
      <c r="Y1082" s="1868">
        <v>30.66667</v>
      </c>
      <c r="Z1082" s="1868">
        <v>23.33333</v>
      </c>
      <c r="AA1082" s="1868">
        <v>22</v>
      </c>
      <c r="AB1082" s="1868">
        <v>28</v>
      </c>
      <c r="AC1082" s="1868">
        <v>28</v>
      </c>
      <c r="AD1082" s="1868">
        <v>27.099329999999998</v>
      </c>
      <c r="AE1082" s="1868">
        <v>25.353570000000001</v>
      </c>
      <c r="AF1082" s="1868">
        <v>27.44933</v>
      </c>
      <c r="AG1082" s="1868">
        <v>25.445710000000002</v>
      </c>
      <c r="AH1082" s="1868">
        <v>26.24342</v>
      </c>
      <c r="AI1082" s="1868">
        <v>26.016670000000001</v>
      </c>
      <c r="AJ1082" s="1868">
        <v>25.133849999999999</v>
      </c>
      <c r="AK1082" s="1868">
        <v>24.885829999999999</v>
      </c>
      <c r="AL1082" s="1868">
        <v>29.57208</v>
      </c>
      <c r="AM1082" s="1868">
        <v>24.8231</v>
      </c>
      <c r="AN1082" s="1868">
        <v>24.868179999999999</v>
      </c>
      <c r="AO1082" s="1868">
        <v>19.01895</v>
      </c>
      <c r="AP1082" s="1868">
        <v>22.747</v>
      </c>
      <c r="AQ1082" s="1868">
        <v>14.16499</v>
      </c>
      <c r="AR1082" s="1868">
        <v>18.567640000000001</v>
      </c>
      <c r="AS1082" s="1868">
        <v>16.775649999999999</v>
      </c>
      <c r="AT1082" s="1868">
        <v>12.065329999999999</v>
      </c>
      <c r="AU1082" s="1868">
        <v>17.300910000000002</v>
      </c>
      <c r="AV1082" s="1868">
        <v>18.007449999999999</v>
      </c>
      <c r="AW1082" s="1868">
        <v>17.058820000000001</v>
      </c>
      <c r="AX1082" s="1868">
        <v>16.97551</v>
      </c>
      <c r="AY1082" s="1868">
        <v>17.145710000000001</v>
      </c>
      <c r="AZ1082" s="1868">
        <v>17.46</v>
      </c>
      <c r="BA1082" s="1868">
        <v>16.312629999999999</v>
      </c>
    </row>
    <row r="1083" spans="1:53">
      <c r="A1083" s="1865" t="str">
        <f t="shared" si="16"/>
        <v>Southern AfricaCereals, nes</v>
      </c>
      <c r="B1083" s="1866" t="s">
        <v>1422</v>
      </c>
      <c r="C1083" s="1866" t="s">
        <v>1370</v>
      </c>
      <c r="D1083" s="1868">
        <v>0.6</v>
      </c>
      <c r="E1083" s="1868">
        <v>0.6</v>
      </c>
      <c r="F1083" s="1868">
        <v>0.6</v>
      </c>
      <c r="G1083" s="1868">
        <v>0.6</v>
      </c>
      <c r="H1083" s="1868">
        <v>0.6</v>
      </c>
      <c r="I1083" s="1868">
        <v>0.6</v>
      </c>
      <c r="J1083" s="1868">
        <v>0.6</v>
      </c>
      <c r="K1083" s="1868">
        <v>0.6</v>
      </c>
      <c r="L1083" s="1868">
        <v>0.6</v>
      </c>
      <c r="M1083" s="1868">
        <v>0.6</v>
      </c>
      <c r="N1083" s="1868">
        <v>0.6</v>
      </c>
      <c r="O1083" s="1868">
        <v>0.6</v>
      </c>
      <c r="P1083" s="1868">
        <v>0.6</v>
      </c>
      <c r="Q1083" s="1868">
        <v>0.6</v>
      </c>
      <c r="R1083" s="1868">
        <v>0.60241</v>
      </c>
      <c r="S1083" s="1868">
        <v>0.62104999999999999</v>
      </c>
      <c r="T1083" s="1868">
        <v>0.64078000000000002</v>
      </c>
      <c r="U1083" s="1868">
        <v>0.64078000000000002</v>
      </c>
      <c r="V1083" s="1868">
        <v>0.64078000000000002</v>
      </c>
      <c r="W1083" s="1868">
        <v>0.64078000000000002</v>
      </c>
      <c r="X1083" s="1868">
        <v>0.63158000000000003</v>
      </c>
      <c r="Y1083" s="1868">
        <v>0.63158000000000003</v>
      </c>
      <c r="Z1083" s="1868">
        <v>0.63158000000000003</v>
      </c>
      <c r="AA1083" s="1868">
        <v>0.63158000000000003</v>
      </c>
      <c r="AB1083" s="1868">
        <v>0.63158000000000003</v>
      </c>
      <c r="AC1083" s="1868">
        <v>0.63158000000000003</v>
      </c>
      <c r="AD1083" s="1868">
        <v>0.63158000000000003</v>
      </c>
      <c r="AE1083" s="1868">
        <v>0.62365999999999999</v>
      </c>
      <c r="AF1083" s="1868">
        <v>0.62365999999999999</v>
      </c>
      <c r="AG1083" s="1868">
        <v>0.53633999999999993</v>
      </c>
      <c r="AH1083" s="1868">
        <v>0.56658999999999993</v>
      </c>
      <c r="AI1083" s="1868">
        <v>0.45793</v>
      </c>
      <c r="AJ1083" s="1868">
        <v>0.37878000000000001</v>
      </c>
      <c r="AK1083" s="1868">
        <v>0.64231000000000005</v>
      </c>
      <c r="AL1083" s="1868">
        <v>0.79547999999999996</v>
      </c>
      <c r="AM1083" s="1868">
        <v>1.0017499999999999</v>
      </c>
      <c r="AN1083" s="1868">
        <v>1.0651999999999999</v>
      </c>
      <c r="AO1083" s="1868">
        <v>0.61436999999999997</v>
      </c>
      <c r="AP1083" s="1868">
        <v>0.61293999999999993</v>
      </c>
      <c r="AQ1083" s="1868">
        <v>0.54066000000000003</v>
      </c>
      <c r="AR1083" s="1868">
        <v>0.61246999999999996</v>
      </c>
      <c r="AS1083" s="1868">
        <v>0.63743000000000005</v>
      </c>
      <c r="AT1083" s="1868">
        <v>0.58504999999999996</v>
      </c>
      <c r="AU1083" s="1868">
        <v>0.64144999999999996</v>
      </c>
      <c r="AV1083" s="1868">
        <v>0.76417999999999997</v>
      </c>
      <c r="AW1083" s="1868">
        <v>0.72911000000000004</v>
      </c>
      <c r="AX1083" s="1868">
        <v>0.67613999999999996</v>
      </c>
      <c r="AY1083" s="1868">
        <v>0.62028000000000005</v>
      </c>
      <c r="AZ1083" s="1868">
        <v>0.89476</v>
      </c>
      <c r="BA1083" s="1868">
        <v>0.58152000000000004</v>
      </c>
    </row>
    <row r="1084" spans="1:53">
      <c r="A1084" s="1865" t="str">
        <f t="shared" si="16"/>
        <v>Southern AfricaCitrus fruit, nes</v>
      </c>
      <c r="B1084" s="1866" t="s">
        <v>1422</v>
      </c>
      <c r="C1084" s="1866" t="s">
        <v>1372</v>
      </c>
      <c r="W1084" s="1868">
        <v>18</v>
      </c>
      <c r="X1084" s="1868">
        <v>18</v>
      </c>
      <c r="Y1084" s="1868">
        <v>18</v>
      </c>
      <c r="Z1084" s="1868">
        <v>18</v>
      </c>
      <c r="AA1084" s="1868">
        <v>18</v>
      </c>
      <c r="AB1084" s="1868">
        <v>19.117650000000001</v>
      </c>
      <c r="AC1084" s="1868">
        <v>19.117650000000001</v>
      </c>
      <c r="AD1084" s="1868">
        <v>19.117650000000001</v>
      </c>
      <c r="AE1084" s="1868">
        <v>19.117650000000001</v>
      </c>
      <c r="AF1084" s="1868">
        <v>19.117650000000001</v>
      </c>
      <c r="AG1084" s="1868">
        <v>17.098929999999999</v>
      </c>
      <c r="AH1084" s="1868">
        <v>18.421050000000001</v>
      </c>
      <c r="AI1084" s="1868">
        <v>18.703129999999998</v>
      </c>
      <c r="AJ1084" s="1868">
        <v>18.374010000000002</v>
      </c>
      <c r="AK1084" s="1868">
        <v>18.560849999999999</v>
      </c>
      <c r="AL1084" s="1868">
        <v>18.616800000000001</v>
      </c>
      <c r="AM1084" s="1868">
        <v>20.18252</v>
      </c>
      <c r="AN1084" s="1868">
        <v>20.293399999999998</v>
      </c>
      <c r="AO1084" s="1868">
        <v>19.367060000000002</v>
      </c>
      <c r="AP1084" s="1868">
        <v>21.323139999999999</v>
      </c>
      <c r="AQ1084" s="1868">
        <v>21.038710000000002</v>
      </c>
      <c r="AR1084" s="1868">
        <v>20.832979999999999</v>
      </c>
      <c r="AS1084" s="1868">
        <v>21.63025</v>
      </c>
      <c r="AT1084" s="1868">
        <v>23.768740000000001</v>
      </c>
      <c r="AU1084" s="1868">
        <v>23.621739999999999</v>
      </c>
      <c r="AV1084" s="1868">
        <v>23.380129999999998</v>
      </c>
      <c r="AW1084" s="1868">
        <v>24.086770000000001</v>
      </c>
      <c r="AX1084" s="1868">
        <v>31.364640000000001</v>
      </c>
      <c r="AY1084" s="1868">
        <v>31.459679999999999</v>
      </c>
      <c r="AZ1084" s="1868">
        <v>29.204720000000002</v>
      </c>
      <c r="BA1084" s="1868">
        <v>28.756409999999999</v>
      </c>
    </row>
    <row r="1085" spans="1:53">
      <c r="A1085" s="1865" t="str">
        <f t="shared" si="16"/>
        <v>Southern AfricaCow peas, dry</v>
      </c>
      <c r="B1085" s="1866" t="s">
        <v>1422</v>
      </c>
      <c r="C1085" s="1866" t="s">
        <v>1355</v>
      </c>
      <c r="D1085" s="1868">
        <v>0.61091000000000006</v>
      </c>
      <c r="E1085" s="1868">
        <v>0.45263000000000003</v>
      </c>
      <c r="F1085" s="1868">
        <v>0.44761999999999996</v>
      </c>
      <c r="G1085" s="1868">
        <v>0.41904999999999998</v>
      </c>
      <c r="H1085" s="1868">
        <v>0.5</v>
      </c>
      <c r="I1085" s="1868">
        <v>0.70667000000000002</v>
      </c>
      <c r="J1085" s="1868">
        <v>0.78095000000000003</v>
      </c>
      <c r="K1085" s="1868">
        <v>0.81006</v>
      </c>
      <c r="L1085" s="1868">
        <v>1.0100499999999999</v>
      </c>
      <c r="M1085" s="1868">
        <v>0.75839000000000001</v>
      </c>
      <c r="N1085" s="1868">
        <v>1.04</v>
      </c>
      <c r="O1085" s="1868">
        <v>1.1166700000000001</v>
      </c>
      <c r="P1085" s="1868">
        <v>0.58988999999999991</v>
      </c>
      <c r="Q1085" s="1868">
        <v>1.2359599999999999</v>
      </c>
      <c r="R1085" s="1868">
        <v>0.875</v>
      </c>
      <c r="S1085" s="1868">
        <v>0.83051000000000008</v>
      </c>
      <c r="T1085" s="1868">
        <v>0.88976</v>
      </c>
      <c r="U1085" s="1868">
        <v>0.85</v>
      </c>
      <c r="V1085" s="1868">
        <v>0.87826000000000004</v>
      </c>
      <c r="W1085" s="1868">
        <v>0.97963999999999996</v>
      </c>
      <c r="X1085" s="1868">
        <v>1.05169</v>
      </c>
      <c r="Y1085" s="1868">
        <v>0.76075999999999999</v>
      </c>
      <c r="Z1085" s="1868">
        <v>0.57968999999999993</v>
      </c>
      <c r="AA1085" s="1868">
        <v>0.43378</v>
      </c>
      <c r="AB1085" s="1868">
        <v>0.55703000000000003</v>
      </c>
      <c r="AC1085" s="1868">
        <v>0.36449000000000004</v>
      </c>
      <c r="AD1085" s="1868">
        <v>0.36688999999999999</v>
      </c>
      <c r="AE1085" s="1868">
        <v>0.41418999999999995</v>
      </c>
      <c r="AF1085" s="1868">
        <v>0.50202999999999998</v>
      </c>
      <c r="AG1085" s="1868">
        <v>0.50551999999999997</v>
      </c>
      <c r="AH1085" s="1868">
        <v>0.41798999999999997</v>
      </c>
      <c r="AI1085" s="1868">
        <v>0.51813999999999993</v>
      </c>
      <c r="AJ1085" s="1868">
        <v>0.66466999999999998</v>
      </c>
      <c r="AK1085" s="1868">
        <v>0.55058999999999991</v>
      </c>
      <c r="AL1085" s="1868">
        <v>0.48013999999999996</v>
      </c>
      <c r="AM1085" s="1868">
        <v>0.46238999999999997</v>
      </c>
      <c r="AN1085" s="1868">
        <v>0.52683999999999997</v>
      </c>
      <c r="AO1085" s="1868">
        <v>0.70538000000000001</v>
      </c>
      <c r="AP1085" s="1868">
        <v>0.91959000000000002</v>
      </c>
      <c r="AQ1085" s="1868">
        <v>0.91907000000000005</v>
      </c>
      <c r="AR1085" s="1868">
        <v>0.60277999999999998</v>
      </c>
      <c r="AS1085" s="1868">
        <v>0.59745000000000004</v>
      </c>
      <c r="AT1085" s="1868">
        <v>0.5454</v>
      </c>
      <c r="AU1085" s="1868">
        <v>0.60218000000000005</v>
      </c>
      <c r="AV1085" s="1868">
        <v>0.60109000000000001</v>
      </c>
      <c r="AW1085" s="1868">
        <v>0.53381000000000001</v>
      </c>
      <c r="AX1085" s="1868">
        <v>0.39639999999999997</v>
      </c>
      <c r="AY1085" s="1868">
        <v>0.58294000000000001</v>
      </c>
      <c r="AZ1085" s="1868">
        <v>0.68974999999999997</v>
      </c>
      <c r="BA1085" s="1868">
        <v>0.55671999999999999</v>
      </c>
    </row>
    <row r="1086" spans="1:53">
      <c r="A1086" s="1865" t="str">
        <f t="shared" si="16"/>
        <v>Southern AfricaDates</v>
      </c>
      <c r="B1086" s="1866" t="s">
        <v>1422</v>
      </c>
      <c r="C1086" s="1866" t="s">
        <v>1374</v>
      </c>
      <c r="AN1086" s="1868">
        <v>2.5</v>
      </c>
      <c r="AO1086" s="1868">
        <v>2.8536599999999996</v>
      </c>
      <c r="AP1086" s="1868">
        <v>3.8622099999999997</v>
      </c>
      <c r="AQ1086" s="1868">
        <v>2.8872200000000001</v>
      </c>
      <c r="AR1086" s="1868">
        <v>2.9731099999999997</v>
      </c>
      <c r="AS1086" s="1868">
        <v>2.89209</v>
      </c>
      <c r="AT1086" s="1868">
        <v>3.0964299999999998</v>
      </c>
      <c r="AU1086" s="1868">
        <v>3.1407400000000001</v>
      </c>
      <c r="AV1086" s="1868">
        <v>2.7111099999999997</v>
      </c>
      <c r="AW1086" s="1868">
        <v>2.78226</v>
      </c>
      <c r="AX1086" s="1868">
        <v>2.8775499999999998</v>
      </c>
      <c r="AY1086" s="1868">
        <v>2.7911099999999998</v>
      </c>
      <c r="AZ1086" s="1868">
        <v>2.7524799999999998</v>
      </c>
      <c r="BA1086" s="1868">
        <v>2.7551000000000001</v>
      </c>
    </row>
    <row r="1087" spans="1:53">
      <c r="A1087" s="1865" t="str">
        <f t="shared" si="16"/>
        <v>Southern AfricaFibre Crops Nes</v>
      </c>
      <c r="B1087" s="1866" t="s">
        <v>1422</v>
      </c>
      <c r="C1087" s="1866" t="s">
        <v>1376</v>
      </c>
      <c r="D1087" s="1868">
        <v>0.90713999999999995</v>
      </c>
      <c r="E1087" s="1868">
        <v>0.90713999999999995</v>
      </c>
      <c r="F1087" s="1868">
        <v>1</v>
      </c>
      <c r="G1087" s="1868">
        <v>1</v>
      </c>
      <c r="H1087" s="1868">
        <v>1</v>
      </c>
      <c r="I1087" s="1868">
        <v>1</v>
      </c>
      <c r="J1087" s="1868">
        <v>1</v>
      </c>
      <c r="K1087" s="1868">
        <v>1</v>
      </c>
      <c r="L1087" s="1868">
        <v>1</v>
      </c>
      <c r="M1087" s="1868">
        <v>1.2</v>
      </c>
      <c r="N1087" s="1868">
        <v>1</v>
      </c>
      <c r="O1087" s="1868">
        <v>1</v>
      </c>
      <c r="P1087" s="1868">
        <v>1</v>
      </c>
      <c r="Q1087" s="1868">
        <v>1</v>
      </c>
      <c r="R1087" s="1868">
        <v>1.2</v>
      </c>
      <c r="S1087" s="1868">
        <v>1.2</v>
      </c>
      <c r="T1087" s="1868">
        <v>1.2307700000000001</v>
      </c>
      <c r="U1087" s="1868">
        <v>1.0115399999999999</v>
      </c>
      <c r="V1087" s="1868">
        <v>1.15385</v>
      </c>
      <c r="W1087" s="1868">
        <v>1.2307700000000001</v>
      </c>
      <c r="X1087" s="1868">
        <v>1.2307700000000001</v>
      </c>
      <c r="Y1087" s="1868">
        <v>1.2307700000000001</v>
      </c>
      <c r="Z1087" s="1868">
        <v>1.2307700000000001</v>
      </c>
      <c r="AA1087" s="1868">
        <v>1.2307700000000001</v>
      </c>
      <c r="AB1087" s="1868">
        <v>1.2307700000000001</v>
      </c>
      <c r="AC1087" s="1868">
        <v>1.2307700000000001</v>
      </c>
      <c r="AD1087" s="1868">
        <v>1.2307700000000001</v>
      </c>
      <c r="AE1087" s="1868">
        <v>1.2307700000000001</v>
      </c>
      <c r="AF1087" s="1868">
        <v>1.2307700000000001</v>
      </c>
      <c r="AG1087" s="1868">
        <v>1.0264</v>
      </c>
      <c r="AH1087" s="1868">
        <v>1.09385</v>
      </c>
      <c r="AI1087" s="1868">
        <v>0.77576999999999996</v>
      </c>
      <c r="AJ1087" s="1868">
        <v>0.64731000000000005</v>
      </c>
      <c r="AK1087" s="1868">
        <v>0.77154</v>
      </c>
      <c r="AL1087" s="1868">
        <v>0.68731000000000009</v>
      </c>
      <c r="AM1087" s="1868">
        <v>0.77385000000000004</v>
      </c>
      <c r="AN1087" s="1868">
        <v>0.63192000000000004</v>
      </c>
      <c r="AO1087" s="1868">
        <v>1.19231</v>
      </c>
      <c r="AP1087" s="1868">
        <v>1.15385</v>
      </c>
      <c r="AQ1087" s="1868">
        <v>1.19231</v>
      </c>
      <c r="AR1087" s="1868">
        <v>1.2584600000000001</v>
      </c>
      <c r="AS1087" s="1868">
        <v>0.98077000000000003</v>
      </c>
      <c r="AT1087" s="1868">
        <v>0.90346000000000004</v>
      </c>
      <c r="AU1087" s="1868">
        <v>0.95230999999999999</v>
      </c>
      <c r="AV1087" s="1868">
        <v>1.0207700000000002</v>
      </c>
      <c r="AW1087" s="1868">
        <v>0.87153999999999998</v>
      </c>
      <c r="AX1087" s="1868">
        <v>0.67384999999999995</v>
      </c>
      <c r="AY1087" s="1868">
        <v>0.77538999999999991</v>
      </c>
      <c r="AZ1087" s="1868">
        <v>0.80346000000000006</v>
      </c>
      <c r="BA1087" s="1868">
        <v>0.76922999999999997</v>
      </c>
    </row>
    <row r="1088" spans="1:53">
      <c r="A1088" s="1865" t="str">
        <f t="shared" si="16"/>
        <v>Southern AfricaGrapefruit (inc. pomelos)</v>
      </c>
      <c r="B1088" s="1866" t="s">
        <v>1422</v>
      </c>
      <c r="C1088" s="1866" t="s">
        <v>1377</v>
      </c>
      <c r="D1088" s="1868">
        <v>16.79487</v>
      </c>
      <c r="E1088" s="1868">
        <v>16.79487</v>
      </c>
      <c r="F1088" s="1868">
        <v>16.79487</v>
      </c>
      <c r="G1088" s="1868">
        <v>16.74634</v>
      </c>
      <c r="H1088" s="1868">
        <v>17.007860000000001</v>
      </c>
      <c r="I1088" s="1868">
        <v>19.47738</v>
      </c>
      <c r="J1088" s="1868">
        <v>20.417549999999999</v>
      </c>
      <c r="K1088" s="1868">
        <v>18.5017</v>
      </c>
      <c r="L1088" s="1868">
        <v>20.899650000000001</v>
      </c>
      <c r="M1088" s="1868">
        <v>19.29467</v>
      </c>
      <c r="N1088" s="1868">
        <v>20.796939999999999</v>
      </c>
      <c r="O1088" s="1868">
        <v>22.663329999999998</v>
      </c>
      <c r="P1088" s="1868">
        <v>22.081320000000002</v>
      </c>
      <c r="Q1088" s="1868">
        <v>21.394120000000001</v>
      </c>
      <c r="R1088" s="1868">
        <v>18.500640000000001</v>
      </c>
      <c r="S1088" s="1868">
        <v>18.80031</v>
      </c>
      <c r="T1088" s="1868">
        <v>19.308810000000001</v>
      </c>
      <c r="U1088" s="1868">
        <v>19.292920000000002</v>
      </c>
      <c r="V1088" s="1868">
        <v>19.157309999999999</v>
      </c>
      <c r="W1088" s="1868">
        <v>20.012060000000002</v>
      </c>
      <c r="X1088" s="1868">
        <v>21.41123</v>
      </c>
      <c r="Y1088" s="1868">
        <v>16.284179999999999</v>
      </c>
      <c r="Z1088" s="1868">
        <v>15.08864</v>
      </c>
      <c r="AA1088" s="1868">
        <v>15.448310000000001</v>
      </c>
      <c r="AB1088" s="1868">
        <v>17.242560000000001</v>
      </c>
      <c r="AC1088" s="1868">
        <v>19.3688</v>
      </c>
      <c r="AD1088" s="1868">
        <v>22.41076</v>
      </c>
      <c r="AE1088" s="1868">
        <v>22.177039999999998</v>
      </c>
      <c r="AF1088" s="1868">
        <v>23.917449999999999</v>
      </c>
      <c r="AG1088" s="1868">
        <v>19.439339999999998</v>
      </c>
      <c r="AH1088" s="1868">
        <v>18.62876</v>
      </c>
      <c r="AI1088" s="1868">
        <v>19.172979999999999</v>
      </c>
      <c r="AJ1088" s="1868">
        <v>15.599870000000001</v>
      </c>
      <c r="AK1088" s="1868">
        <v>19.211549999999999</v>
      </c>
      <c r="AL1088" s="1868">
        <v>19.11739</v>
      </c>
      <c r="AM1088" s="1868">
        <v>19.88945</v>
      </c>
      <c r="AN1088" s="1868">
        <v>19.909849999999999</v>
      </c>
      <c r="AO1088" s="1868">
        <v>21.093710000000002</v>
      </c>
      <c r="AP1088" s="1868">
        <v>23.161110000000001</v>
      </c>
      <c r="AQ1088" s="1868">
        <v>25.371679999999998</v>
      </c>
      <c r="AR1088" s="1868">
        <v>22.736999999999998</v>
      </c>
      <c r="AS1088" s="1868">
        <v>22.38205</v>
      </c>
      <c r="AT1088" s="1868">
        <v>23.82281</v>
      </c>
      <c r="AU1088" s="1868">
        <v>23.594349999999999</v>
      </c>
      <c r="AV1088" s="1868">
        <v>23.89593</v>
      </c>
      <c r="AW1088" s="1868">
        <v>25.3795</v>
      </c>
      <c r="AX1088" s="1868">
        <v>24.200500000000002</v>
      </c>
      <c r="AY1088" s="1868">
        <v>24.236160000000002</v>
      </c>
      <c r="AZ1088" s="1868">
        <v>26.45872</v>
      </c>
      <c r="BA1088" s="1868">
        <v>22.49586</v>
      </c>
    </row>
    <row r="1089" spans="1:53">
      <c r="A1089" s="1865" t="str">
        <f t="shared" si="16"/>
        <v>Southern AfricaGrapes</v>
      </c>
      <c r="B1089" s="1866" t="s">
        <v>1422</v>
      </c>
      <c r="C1089" s="1866" t="s">
        <v>1378</v>
      </c>
      <c r="D1089" s="1868">
        <v>7.7097499999999997</v>
      </c>
      <c r="E1089" s="1868">
        <v>8.1173699999999993</v>
      </c>
      <c r="F1089" s="1868">
        <v>8.3539600000000007</v>
      </c>
      <c r="G1089" s="1868">
        <v>8.27684</v>
      </c>
      <c r="H1089" s="1868">
        <v>9.4966100000000004</v>
      </c>
      <c r="I1089" s="1868">
        <v>9.03247</v>
      </c>
      <c r="J1089" s="1868">
        <v>8.9213899999999988</v>
      </c>
      <c r="K1089" s="1868">
        <v>9.7956800000000008</v>
      </c>
      <c r="L1089" s="1868">
        <v>9.30307</v>
      </c>
      <c r="M1089" s="1868">
        <v>6.8164499999999997</v>
      </c>
      <c r="N1089" s="1868">
        <v>8.3528699999999994</v>
      </c>
      <c r="O1089" s="1868">
        <v>8.2181100000000011</v>
      </c>
      <c r="P1089" s="1868">
        <v>8.0560799999999997</v>
      </c>
      <c r="Q1089" s="1868">
        <v>7.0390399999999991</v>
      </c>
      <c r="R1089" s="1868">
        <v>8.3253199999999996</v>
      </c>
      <c r="S1089" s="1868">
        <v>8.0942600000000002</v>
      </c>
      <c r="T1089" s="1868">
        <v>7.3641199999999998</v>
      </c>
      <c r="U1089" s="1868">
        <v>7.5627300000000002</v>
      </c>
      <c r="V1089" s="1868">
        <v>8.5971600000000006</v>
      </c>
      <c r="W1089" s="1868">
        <v>9.5789600000000004</v>
      </c>
      <c r="X1089" s="1868">
        <v>10.3134</v>
      </c>
      <c r="Y1089" s="1868">
        <v>11.760899999999999</v>
      </c>
      <c r="Z1089" s="1868">
        <v>12.447900000000001</v>
      </c>
      <c r="AA1089" s="1868">
        <v>12.253299999999999</v>
      </c>
      <c r="AB1089" s="1868">
        <v>12.091469999999999</v>
      </c>
      <c r="AC1089" s="1868">
        <v>12.417530000000001</v>
      </c>
      <c r="AD1089" s="1868">
        <v>12.64</v>
      </c>
      <c r="AE1089" s="1868">
        <v>13.02474</v>
      </c>
      <c r="AF1089" s="1868">
        <v>13.306320000000001</v>
      </c>
      <c r="AG1089" s="1868">
        <v>13.20336</v>
      </c>
      <c r="AH1089" s="1868">
        <v>13.209010000000001</v>
      </c>
      <c r="AI1089" s="1868">
        <v>13.997829999999999</v>
      </c>
      <c r="AJ1089" s="1868">
        <v>12.25727</v>
      </c>
      <c r="AK1089" s="1868">
        <v>12.530480000000001</v>
      </c>
      <c r="AL1089" s="1868">
        <v>13.13561</v>
      </c>
      <c r="AM1089" s="1868">
        <v>13.302770000000001</v>
      </c>
      <c r="AN1089" s="1868">
        <v>13.1922</v>
      </c>
      <c r="AO1089" s="1868">
        <v>11.913680000000001</v>
      </c>
      <c r="AP1089" s="1868">
        <v>14.812129999999998</v>
      </c>
      <c r="AQ1089" s="1868">
        <v>13.32973</v>
      </c>
      <c r="AR1089" s="1868">
        <v>11.761839999999999</v>
      </c>
      <c r="AS1089" s="1868">
        <v>12.85665</v>
      </c>
      <c r="AT1089" s="1868">
        <v>14.844989999999999</v>
      </c>
      <c r="AU1089" s="1868">
        <v>15.461510000000001</v>
      </c>
      <c r="AV1089" s="1868">
        <v>14.591670000000001</v>
      </c>
      <c r="AW1089" s="1868">
        <v>15.115770000000001</v>
      </c>
      <c r="AX1089" s="1868">
        <v>15.270079999999998</v>
      </c>
      <c r="AY1089" s="1868">
        <v>15.0777</v>
      </c>
      <c r="AZ1089" s="1868">
        <v>14.705779999999999</v>
      </c>
      <c r="BA1089" s="1868">
        <v>15.01498</v>
      </c>
    </row>
    <row r="1090" spans="1:53">
      <c r="A1090" s="1865" t="str">
        <f t="shared" si="16"/>
        <v>Southern AfricaGroundnuts, with shell</v>
      </c>
      <c r="B1090" s="1866" t="s">
        <v>1422</v>
      </c>
      <c r="C1090" s="1866" t="s">
        <v>1379</v>
      </c>
      <c r="D1090" s="1868">
        <v>0.87160000000000004</v>
      </c>
      <c r="E1090" s="1868">
        <v>0.75681999999999994</v>
      </c>
      <c r="F1090" s="1868">
        <v>0.84538999999999997</v>
      </c>
      <c r="G1090" s="1868">
        <v>0.63270000000000004</v>
      </c>
      <c r="H1090" s="1868">
        <v>0.80011999999999994</v>
      </c>
      <c r="I1090" s="1868">
        <v>0.82846000000000009</v>
      </c>
      <c r="J1090" s="1868">
        <v>1.6108200000000001</v>
      </c>
      <c r="K1090" s="1868">
        <v>0.73836999999999997</v>
      </c>
      <c r="L1090" s="1868">
        <v>1.0648899999999999</v>
      </c>
      <c r="M1090" s="1868">
        <v>0.82497999999999994</v>
      </c>
      <c r="N1090" s="1868">
        <v>1.06504</v>
      </c>
      <c r="O1090" s="1868">
        <v>1.2024299999999999</v>
      </c>
      <c r="P1090" s="1868">
        <v>0.84742999999999991</v>
      </c>
      <c r="Q1090" s="1868">
        <v>1.54155</v>
      </c>
      <c r="R1090" s="1868">
        <v>1.0465</v>
      </c>
      <c r="S1090" s="1868">
        <v>0.79113999999999995</v>
      </c>
      <c r="T1090" s="1868">
        <v>1.2841499999999999</v>
      </c>
      <c r="U1090" s="1868">
        <v>1.39079</v>
      </c>
      <c r="V1090" s="1868">
        <v>0.68405000000000005</v>
      </c>
      <c r="W1090" s="1868">
        <v>1.0606100000000001</v>
      </c>
      <c r="X1090" s="1868">
        <v>1.07575</v>
      </c>
      <c r="Y1090" s="1868">
        <v>0.50993999999999995</v>
      </c>
      <c r="Z1090" s="1868">
        <v>0.40171999999999997</v>
      </c>
      <c r="AA1090" s="1868">
        <v>0.31695000000000001</v>
      </c>
      <c r="AB1090" s="1868">
        <v>0.87644</v>
      </c>
      <c r="AC1090" s="1868">
        <v>0.52827999999999997</v>
      </c>
      <c r="AD1090" s="1868">
        <v>0.71436999999999995</v>
      </c>
      <c r="AE1090" s="1868">
        <v>1.1283799999999999</v>
      </c>
      <c r="AF1090" s="1868">
        <v>1.06474</v>
      </c>
      <c r="AG1090" s="1868">
        <v>1.2304700000000002</v>
      </c>
      <c r="AH1090" s="1868">
        <v>1.24977</v>
      </c>
      <c r="AI1090" s="1868">
        <v>0.55044999999999999</v>
      </c>
      <c r="AJ1090" s="1868">
        <v>0.77107000000000003</v>
      </c>
      <c r="AK1090" s="1868">
        <v>1.2859200000000002</v>
      </c>
      <c r="AL1090" s="1868">
        <v>1.10053</v>
      </c>
      <c r="AM1090" s="1868">
        <v>1.57874</v>
      </c>
      <c r="AN1090" s="1868">
        <v>1.5869799999999998</v>
      </c>
      <c r="AO1090" s="1868">
        <v>1.5476700000000001</v>
      </c>
      <c r="AP1090" s="1868">
        <v>1.6660099999999998</v>
      </c>
      <c r="AQ1090" s="1868">
        <v>1.5762100000000001</v>
      </c>
      <c r="AR1090" s="1868">
        <v>1.3262700000000001</v>
      </c>
      <c r="AS1090" s="1868">
        <v>1.3801099999999999</v>
      </c>
      <c r="AT1090" s="1868">
        <v>1.2768999999999999</v>
      </c>
      <c r="AU1090" s="1868">
        <v>1.53607</v>
      </c>
      <c r="AV1090" s="1868">
        <v>1.48363</v>
      </c>
      <c r="AW1090" s="1868">
        <v>1.4295</v>
      </c>
      <c r="AX1090" s="1868">
        <v>1.3124799999999999</v>
      </c>
      <c r="AY1090" s="1868">
        <v>1.4842600000000001</v>
      </c>
      <c r="AZ1090" s="1868">
        <v>1.6529799999999999</v>
      </c>
      <c r="BA1090" s="1868">
        <v>1.4008200000000002</v>
      </c>
    </row>
    <row r="1091" spans="1:53">
      <c r="A1091" s="1865" t="str">
        <f t="shared" si="16"/>
        <v>Southern AfricaMaize</v>
      </c>
      <c r="B1091" s="1866" t="s">
        <v>1422</v>
      </c>
      <c r="C1091" s="1866" t="s">
        <v>1382</v>
      </c>
      <c r="D1091" s="1868">
        <v>1.2547600000000001</v>
      </c>
      <c r="E1091" s="1868">
        <v>1.3513999999999999</v>
      </c>
      <c r="F1091" s="1868">
        <v>1.37714</v>
      </c>
      <c r="G1091" s="1868">
        <v>0.95968999999999993</v>
      </c>
      <c r="H1091" s="1868">
        <v>1.05122</v>
      </c>
      <c r="I1091" s="1868">
        <v>1.18344</v>
      </c>
      <c r="J1091" s="1868">
        <v>2.0565199999999999</v>
      </c>
      <c r="K1091" s="1868">
        <v>1.1027499999999999</v>
      </c>
      <c r="L1091" s="1868">
        <v>1.1875500000000001</v>
      </c>
      <c r="M1091" s="1868">
        <v>1.34822</v>
      </c>
      <c r="N1091" s="1868">
        <v>1.7578900000000002</v>
      </c>
      <c r="O1091" s="1868">
        <v>1.88127</v>
      </c>
      <c r="P1091" s="1868">
        <v>1.0400100000000001</v>
      </c>
      <c r="Q1091" s="1868">
        <v>2.22472</v>
      </c>
      <c r="R1091" s="1868">
        <v>1.8614599999999999</v>
      </c>
      <c r="S1091" s="1868">
        <v>1.4789299999999999</v>
      </c>
      <c r="T1091" s="1868">
        <v>2.0392799999999998</v>
      </c>
      <c r="U1091" s="1868">
        <v>2.2621199999999999</v>
      </c>
      <c r="V1091" s="1868">
        <v>1.8144099999999999</v>
      </c>
      <c r="W1091" s="1868">
        <v>2.34294</v>
      </c>
      <c r="X1091" s="1868">
        <v>3.1816400000000002</v>
      </c>
      <c r="Y1091" s="1868">
        <v>1.8335299999999999</v>
      </c>
      <c r="Z1091" s="1868">
        <v>0.93277999999999994</v>
      </c>
      <c r="AA1091" s="1868">
        <v>0.99803999999999993</v>
      </c>
      <c r="AB1091" s="1868">
        <v>1.84517</v>
      </c>
      <c r="AC1091" s="1868">
        <v>1.7459499999999999</v>
      </c>
      <c r="AD1091" s="1868">
        <v>1.5269900000000001</v>
      </c>
      <c r="AE1091" s="1868">
        <v>1.5779799999999999</v>
      </c>
      <c r="AF1091" s="1868">
        <v>2.7204200000000003</v>
      </c>
      <c r="AG1091" s="1868">
        <v>2.1278000000000001</v>
      </c>
      <c r="AH1091" s="1868">
        <v>2.1727699999999999</v>
      </c>
      <c r="AI1091" s="1868">
        <v>0.78783000000000003</v>
      </c>
      <c r="AJ1091" s="1868">
        <v>2.2195200000000002</v>
      </c>
      <c r="AK1091" s="1868">
        <v>2.7127400000000002</v>
      </c>
      <c r="AL1091" s="1868">
        <v>1.3781399999999999</v>
      </c>
      <c r="AM1091" s="1868">
        <v>2.5621800000000001</v>
      </c>
      <c r="AN1091" s="1868">
        <v>2.4114</v>
      </c>
      <c r="AO1091" s="1868">
        <v>2.1120000000000001</v>
      </c>
      <c r="AP1091" s="1868">
        <v>2.1371099999999998</v>
      </c>
      <c r="AQ1091" s="1868">
        <v>2.67822</v>
      </c>
      <c r="AR1091" s="1868">
        <v>2.3184200000000001</v>
      </c>
      <c r="AS1091" s="1868">
        <v>2.69922</v>
      </c>
      <c r="AT1091" s="1868">
        <v>2.55009</v>
      </c>
      <c r="AU1091" s="1868">
        <v>2.8918599999999999</v>
      </c>
      <c r="AV1091" s="1868">
        <v>3.4857099999999996</v>
      </c>
      <c r="AW1091" s="1868">
        <v>3.0977999999999999</v>
      </c>
      <c r="AX1091" s="1868">
        <v>2.6257900000000003</v>
      </c>
      <c r="AY1091" s="1868">
        <v>4.2023800000000007</v>
      </c>
      <c r="AZ1091" s="1868">
        <v>4.5405600000000002</v>
      </c>
      <c r="BA1091" s="1868">
        <v>4.3271499999999996</v>
      </c>
    </row>
    <row r="1092" spans="1:53">
      <c r="A1092" s="1865" t="str">
        <f t="shared" ref="A1092:A1155" si="17">CONCATENATE(B1092,C1092)</f>
        <v>Southern AfricaMaize, green</v>
      </c>
      <c r="B1092" s="1866" t="s">
        <v>1422</v>
      </c>
      <c r="C1092" s="1866" t="s">
        <v>1383</v>
      </c>
      <c r="D1092" s="1868">
        <v>10</v>
      </c>
      <c r="E1092" s="1868">
        <v>9.8666699999999992</v>
      </c>
      <c r="F1092" s="1868">
        <v>10.26667</v>
      </c>
      <c r="G1092" s="1868">
        <v>10</v>
      </c>
      <c r="H1092" s="1868">
        <v>10.0625</v>
      </c>
      <c r="I1092" s="1868">
        <v>10</v>
      </c>
      <c r="J1092" s="1868">
        <v>9.8823500000000006</v>
      </c>
      <c r="K1092" s="1868">
        <v>9.941180000000001</v>
      </c>
      <c r="L1092" s="1868">
        <v>10.35294</v>
      </c>
      <c r="M1092" s="1868">
        <v>10.11111</v>
      </c>
      <c r="N1092" s="1868">
        <v>9.7777799999999999</v>
      </c>
      <c r="O1092" s="1868">
        <v>9.8333300000000001</v>
      </c>
      <c r="P1092" s="1868">
        <v>10.38889</v>
      </c>
      <c r="Q1092" s="1868">
        <v>10.33333</v>
      </c>
      <c r="R1092" s="1868">
        <v>10.263160000000001</v>
      </c>
      <c r="S1092" s="1868">
        <v>10.63158</v>
      </c>
      <c r="T1092" s="1868">
        <v>10.199999999999999</v>
      </c>
      <c r="U1092" s="1868">
        <v>10</v>
      </c>
      <c r="V1092" s="1868">
        <v>10.45</v>
      </c>
      <c r="W1092" s="1868">
        <v>10.5</v>
      </c>
      <c r="X1092" s="1868">
        <v>10.18182</v>
      </c>
      <c r="Y1092" s="1868">
        <v>8.8800000000000008</v>
      </c>
      <c r="Z1092" s="1868">
        <v>9.32</v>
      </c>
      <c r="AA1092" s="1868">
        <v>9.36</v>
      </c>
      <c r="AB1092" s="1868">
        <v>9.24</v>
      </c>
      <c r="AC1092" s="1868">
        <v>9.7200000000000006</v>
      </c>
      <c r="AD1092" s="1868">
        <v>9.7461399999999987</v>
      </c>
      <c r="AE1092" s="1868">
        <v>9.14</v>
      </c>
      <c r="AF1092" s="1868">
        <v>9.33643</v>
      </c>
      <c r="AG1092" s="1868">
        <v>10.262280000000001</v>
      </c>
      <c r="AH1092" s="1868">
        <v>10.74029</v>
      </c>
      <c r="AI1092" s="1868">
        <v>10.56143</v>
      </c>
      <c r="AJ1092" s="1868">
        <v>10.92314</v>
      </c>
      <c r="AK1092" s="1868">
        <v>9.5983499999999999</v>
      </c>
      <c r="AL1092" s="1868">
        <v>9.5266800000000007</v>
      </c>
      <c r="AM1092" s="1868">
        <v>6.9462999999999999</v>
      </c>
      <c r="AN1092" s="1868">
        <v>9.6725700000000003</v>
      </c>
      <c r="AO1092" s="1868">
        <v>9.2090399999999999</v>
      </c>
      <c r="AP1092" s="1868">
        <v>8.85609</v>
      </c>
      <c r="AQ1092" s="1868">
        <v>9.6451600000000006</v>
      </c>
      <c r="AR1092" s="1868">
        <v>10.068589999999999</v>
      </c>
      <c r="AS1092" s="1868">
        <v>8.8418899999999994</v>
      </c>
      <c r="AT1092" s="1868">
        <v>9.6119399999999988</v>
      </c>
      <c r="AU1092" s="1868">
        <v>8.7534500000000008</v>
      </c>
      <c r="AV1092" s="1868">
        <v>8.8190100000000005</v>
      </c>
      <c r="AW1092" s="1868">
        <v>9.5384600000000006</v>
      </c>
      <c r="AX1092" s="1868">
        <v>10.340639999999999</v>
      </c>
      <c r="AY1092" s="1868">
        <v>10.901910000000001</v>
      </c>
      <c r="AZ1092" s="1868">
        <v>10.146750000000001</v>
      </c>
      <c r="BA1092" s="1868">
        <v>10.28389</v>
      </c>
    </row>
    <row r="1093" spans="1:53">
      <c r="A1093" s="1865" t="str">
        <f t="shared" si="17"/>
        <v>Southern AfricaMangoes, mangosteens, guavas</v>
      </c>
      <c r="B1093" s="1866" t="s">
        <v>1422</v>
      </c>
      <c r="C1093" s="1866" t="s">
        <v>1384</v>
      </c>
      <c r="D1093" s="1868">
        <v>6.8339999999999996</v>
      </c>
      <c r="E1093" s="1868">
        <v>5.5506699999999993</v>
      </c>
      <c r="F1093" s="1868">
        <v>4.8006699999999993</v>
      </c>
      <c r="G1093" s="1868">
        <v>5.1539999999999999</v>
      </c>
      <c r="H1093" s="1868">
        <v>5.9930000000000003</v>
      </c>
      <c r="I1093" s="1868">
        <v>7.0910000000000002</v>
      </c>
      <c r="J1093" s="1868">
        <v>5.2709999999999999</v>
      </c>
      <c r="K1093" s="1868">
        <v>6.72133</v>
      </c>
      <c r="L1093" s="1868">
        <v>6.9489999999999998</v>
      </c>
      <c r="M1093" s="1868">
        <v>6.1426699999999999</v>
      </c>
      <c r="N1093" s="1868">
        <v>6.17</v>
      </c>
      <c r="O1093" s="1868">
        <v>6.077</v>
      </c>
      <c r="P1093" s="1868">
        <v>6.2519999999999998</v>
      </c>
      <c r="Q1093" s="1868">
        <v>8.9109999999999996</v>
      </c>
      <c r="R1093" s="1868">
        <v>8.7639999999999993</v>
      </c>
      <c r="S1093" s="1868">
        <v>8.9546700000000001</v>
      </c>
      <c r="T1093" s="1868">
        <v>8.52</v>
      </c>
      <c r="U1093" s="1868">
        <v>7.8710000000000004</v>
      </c>
      <c r="V1093" s="1868">
        <v>8.2464999999999993</v>
      </c>
      <c r="W1093" s="1868">
        <v>6.9260000000000002</v>
      </c>
      <c r="X1093" s="1868">
        <v>9.488669999999999</v>
      </c>
      <c r="Y1093" s="1868">
        <v>6.4175000000000004</v>
      </c>
      <c r="Z1093" s="1868">
        <v>9.6053300000000004</v>
      </c>
      <c r="AA1093" s="1868">
        <v>9.3955000000000002</v>
      </c>
      <c r="AB1093" s="1868">
        <v>8.7010000000000005</v>
      </c>
      <c r="AC1093" s="1868">
        <v>9.106819999999999</v>
      </c>
      <c r="AD1093" s="1868">
        <v>10.26261</v>
      </c>
      <c r="AE1093" s="1868">
        <v>9.7234600000000011</v>
      </c>
      <c r="AF1093" s="1868">
        <v>9.1029199999999992</v>
      </c>
      <c r="AG1093" s="1868">
        <v>10.476430000000001</v>
      </c>
      <c r="AH1093" s="1868">
        <v>10.87828</v>
      </c>
      <c r="AI1093" s="1868">
        <v>10.384039999999999</v>
      </c>
      <c r="AJ1093" s="1868">
        <v>10.047189999999999</v>
      </c>
      <c r="AK1093" s="1868">
        <v>9.8422699999999992</v>
      </c>
      <c r="AL1093" s="1868">
        <v>10.35177</v>
      </c>
      <c r="AM1093" s="1868">
        <v>8.152610000000001</v>
      </c>
      <c r="AN1093" s="1868">
        <v>9.9403000000000006</v>
      </c>
      <c r="AO1093" s="1868">
        <v>10.529810000000001</v>
      </c>
      <c r="AP1093" s="1868">
        <v>10.839410000000001</v>
      </c>
      <c r="AQ1093" s="1868">
        <v>12.67474</v>
      </c>
      <c r="AR1093" s="1868">
        <v>12.89715</v>
      </c>
      <c r="AS1093" s="1868">
        <v>12.285019999999999</v>
      </c>
      <c r="AT1093" s="1868">
        <v>13.61524</v>
      </c>
      <c r="AU1093" s="1868">
        <v>13.413329999999998</v>
      </c>
      <c r="AV1093" s="1868">
        <v>13.54331</v>
      </c>
      <c r="AW1093" s="1868">
        <v>12.021050000000001</v>
      </c>
      <c r="AX1093" s="1868">
        <v>11.982660000000001</v>
      </c>
      <c r="AY1093" s="1868">
        <v>12.03265</v>
      </c>
      <c r="AZ1093" s="1868">
        <v>12.096830000000001</v>
      </c>
      <c r="BA1093" s="1868">
        <v>11.85261</v>
      </c>
    </row>
    <row r="1094" spans="1:53">
      <c r="A1094" s="1865" t="str">
        <f t="shared" si="17"/>
        <v>Southern AfricaMillet</v>
      </c>
      <c r="B1094" s="1866" t="s">
        <v>1422</v>
      </c>
      <c r="C1094" s="1866" t="s">
        <v>1385</v>
      </c>
      <c r="D1094" s="1868">
        <v>0.36177999999999999</v>
      </c>
      <c r="E1094" s="1868">
        <v>0.34540999999999999</v>
      </c>
      <c r="F1094" s="1868">
        <v>0.30831999999999998</v>
      </c>
      <c r="G1094" s="1868">
        <v>0.29297000000000001</v>
      </c>
      <c r="H1094" s="1868">
        <v>0.29694999999999999</v>
      </c>
      <c r="I1094" s="1868">
        <v>0.29233000000000003</v>
      </c>
      <c r="J1094" s="1868">
        <v>0.29703000000000002</v>
      </c>
      <c r="K1094" s="1868">
        <v>0.33465</v>
      </c>
      <c r="L1094" s="1868">
        <v>0.32871999999999996</v>
      </c>
      <c r="M1094" s="1868">
        <v>0.27496999999999999</v>
      </c>
      <c r="N1094" s="1868">
        <v>0.28048000000000001</v>
      </c>
      <c r="O1094" s="1868">
        <v>0.27894999999999998</v>
      </c>
      <c r="P1094" s="1868">
        <v>0.2828</v>
      </c>
      <c r="Q1094" s="1868">
        <v>0.29936000000000001</v>
      </c>
      <c r="R1094" s="1868">
        <v>0.30246999999999996</v>
      </c>
      <c r="S1094" s="1868">
        <v>0.29938000000000003</v>
      </c>
      <c r="T1094" s="1868">
        <v>0.2994</v>
      </c>
      <c r="U1094" s="1868">
        <v>0.29641000000000001</v>
      </c>
      <c r="V1094" s="1868">
        <v>0.29411999999999999</v>
      </c>
      <c r="W1094" s="1868">
        <v>0.29494999999999999</v>
      </c>
      <c r="X1094" s="1868">
        <v>0.29696999999999996</v>
      </c>
      <c r="Y1094" s="1868">
        <v>0.30780999999999997</v>
      </c>
      <c r="Z1094" s="1868">
        <v>0.31090999999999996</v>
      </c>
      <c r="AA1094" s="1868">
        <v>0.32011000000000001</v>
      </c>
      <c r="AB1094" s="1868">
        <v>0.32939000000000002</v>
      </c>
      <c r="AC1094" s="1868">
        <v>0.33663000000000004</v>
      </c>
      <c r="AD1094" s="1868">
        <v>0.36825000000000002</v>
      </c>
      <c r="AE1094" s="1868">
        <v>0.38566</v>
      </c>
      <c r="AF1094" s="1868">
        <v>0.38780999999999999</v>
      </c>
      <c r="AG1094" s="1868">
        <v>0.37511</v>
      </c>
      <c r="AH1094" s="1868">
        <v>0.36951999999999996</v>
      </c>
      <c r="AI1094" s="1868">
        <v>0.14326</v>
      </c>
      <c r="AJ1094" s="1868">
        <v>0.28641</v>
      </c>
      <c r="AK1094" s="1868">
        <v>0.26899000000000001</v>
      </c>
      <c r="AL1094" s="1868">
        <v>0.16704000000000002</v>
      </c>
      <c r="AM1094" s="1868">
        <v>0.24133000000000002</v>
      </c>
      <c r="AN1094" s="1868">
        <v>0.40494000000000002</v>
      </c>
      <c r="AO1094" s="1868">
        <v>0.22819</v>
      </c>
      <c r="AP1094" s="1868">
        <v>0.21748000000000001</v>
      </c>
      <c r="AQ1094" s="1868">
        <v>0.31989000000000001</v>
      </c>
      <c r="AR1094" s="1868">
        <v>0.29441000000000001</v>
      </c>
      <c r="AS1094" s="1868">
        <v>0.30784</v>
      </c>
      <c r="AT1094" s="1868">
        <v>0.22886999999999999</v>
      </c>
      <c r="AU1094" s="1868">
        <v>0.30988000000000004</v>
      </c>
      <c r="AV1094" s="1868">
        <v>0.23501</v>
      </c>
      <c r="AW1094" s="1868">
        <v>0.22364999999999999</v>
      </c>
      <c r="AX1094" s="1868">
        <v>0.25024999999999997</v>
      </c>
      <c r="AY1094" s="1868">
        <v>0.20691999999999999</v>
      </c>
      <c r="AZ1094" s="1868">
        <v>0.16567999999999999</v>
      </c>
      <c r="BA1094" s="1868">
        <v>0.17374000000000001</v>
      </c>
    </row>
    <row r="1095" spans="1:53">
      <c r="A1095" s="1865" t="str">
        <f t="shared" si="17"/>
        <v>Southern AfricaOats</v>
      </c>
      <c r="B1095" s="1866" t="s">
        <v>1422</v>
      </c>
      <c r="C1095" s="1866" t="s">
        <v>1349</v>
      </c>
      <c r="D1095" s="1868">
        <v>1.4759100000000001</v>
      </c>
      <c r="E1095" s="1868">
        <v>1.4144299999999999</v>
      </c>
      <c r="F1095" s="1868">
        <v>1.3011200000000001</v>
      </c>
      <c r="G1095" s="1868">
        <v>1.4993799999999999</v>
      </c>
      <c r="H1095" s="1868">
        <v>1.5486</v>
      </c>
      <c r="I1095" s="1868">
        <v>1.4662299999999999</v>
      </c>
      <c r="J1095" s="1868">
        <v>1.68818</v>
      </c>
      <c r="K1095" s="1868">
        <v>1.6407400000000001</v>
      </c>
      <c r="L1095" s="1868">
        <v>1.2871299999999999</v>
      </c>
      <c r="M1095" s="1868">
        <v>1.5117700000000001</v>
      </c>
      <c r="N1095" s="1868">
        <v>1.40028</v>
      </c>
      <c r="O1095" s="1868">
        <v>1.4002600000000001</v>
      </c>
      <c r="P1095" s="1868">
        <v>1.3878600000000001</v>
      </c>
      <c r="Q1095" s="1868">
        <v>1.4374200000000001</v>
      </c>
      <c r="R1095" s="1868">
        <v>1.3506799999999999</v>
      </c>
      <c r="S1095" s="1868">
        <v>1.34371</v>
      </c>
      <c r="T1095" s="1868">
        <v>1.2685299999999999</v>
      </c>
      <c r="U1095" s="1868">
        <v>1.3806700000000001</v>
      </c>
      <c r="V1095" s="1868">
        <v>1.4497500000000001</v>
      </c>
      <c r="W1095" s="1868">
        <v>1.4441999999999999</v>
      </c>
      <c r="X1095" s="1868">
        <v>1.49013</v>
      </c>
      <c r="Y1095" s="1868">
        <v>1.53213</v>
      </c>
      <c r="Z1095" s="1868">
        <v>1.5080799999999999</v>
      </c>
      <c r="AA1095" s="1868">
        <v>1.47217</v>
      </c>
      <c r="AB1095" s="1868">
        <v>0.82802999999999993</v>
      </c>
      <c r="AC1095" s="1868">
        <v>1.2324899999999999</v>
      </c>
      <c r="AD1095" s="1868">
        <v>1.3412200000000001</v>
      </c>
      <c r="AE1095" s="1868">
        <v>1.2324899999999999</v>
      </c>
      <c r="AF1095" s="1868">
        <v>1.40065</v>
      </c>
      <c r="AG1095" s="1868">
        <v>1.53085</v>
      </c>
      <c r="AH1095" s="1868">
        <v>1.55491</v>
      </c>
      <c r="AI1095" s="1868">
        <v>1.3044899999999999</v>
      </c>
      <c r="AJ1095" s="1868">
        <v>1.2310000000000001</v>
      </c>
      <c r="AK1095" s="1868">
        <v>1.48994</v>
      </c>
      <c r="AL1095" s="1868">
        <v>1.3566400000000001</v>
      </c>
      <c r="AM1095" s="1868">
        <v>1.3229600000000001</v>
      </c>
      <c r="AN1095" s="1868">
        <v>1.00654</v>
      </c>
      <c r="AO1095" s="1868">
        <v>1.018</v>
      </c>
      <c r="AP1095" s="1868">
        <v>1.02285</v>
      </c>
      <c r="AQ1095" s="1868">
        <v>1.3193700000000002</v>
      </c>
      <c r="AR1095" s="1868">
        <v>1.7976700000000001</v>
      </c>
      <c r="AS1095" s="1868">
        <v>1.93448</v>
      </c>
      <c r="AT1095" s="1868">
        <v>1.3182</v>
      </c>
      <c r="AU1095" s="1868">
        <v>1.5914299999999999</v>
      </c>
      <c r="AV1095" s="1868">
        <v>1.48136</v>
      </c>
      <c r="AW1095" s="1868">
        <v>1.5536700000000001</v>
      </c>
      <c r="AX1095" s="1868">
        <v>1.58491</v>
      </c>
      <c r="AY1095" s="1868">
        <v>1.5880000000000001</v>
      </c>
      <c r="AZ1095" s="1868">
        <v>1.60859</v>
      </c>
      <c r="BA1095" s="1868">
        <v>1.5865200000000002</v>
      </c>
    </row>
    <row r="1096" spans="1:53">
      <c r="A1096" s="1865" t="str">
        <f t="shared" si="17"/>
        <v>Southern AfricaOnions, dry</v>
      </c>
      <c r="B1096" s="1866" t="s">
        <v>1422</v>
      </c>
      <c r="C1096" s="1866" t="s">
        <v>1388</v>
      </c>
      <c r="D1096" s="1868">
        <v>15.033860000000001</v>
      </c>
      <c r="E1096" s="1868">
        <v>12.67414</v>
      </c>
      <c r="F1096" s="1868">
        <v>13.01393</v>
      </c>
      <c r="G1096" s="1868">
        <v>15.15424</v>
      </c>
      <c r="H1096" s="1868">
        <v>11.851889999999999</v>
      </c>
      <c r="I1096" s="1868">
        <v>10.716900000000001</v>
      </c>
      <c r="J1096" s="1868">
        <v>11.80461</v>
      </c>
      <c r="K1096" s="1868">
        <v>13.682510000000001</v>
      </c>
      <c r="L1096" s="1868">
        <v>18.11467</v>
      </c>
      <c r="M1096" s="1868">
        <v>14.056429999999999</v>
      </c>
      <c r="N1096" s="1868">
        <v>14.978810000000001</v>
      </c>
      <c r="O1096" s="1868">
        <v>14.020710000000001</v>
      </c>
      <c r="P1096" s="1868">
        <v>15.73945</v>
      </c>
      <c r="Q1096" s="1868">
        <v>13.511170000000002</v>
      </c>
      <c r="R1096" s="1868">
        <v>14.764270000000002</v>
      </c>
      <c r="S1096" s="1868">
        <v>15.67329</v>
      </c>
      <c r="T1096" s="1868">
        <v>15.452539999999999</v>
      </c>
      <c r="U1096" s="1868">
        <v>14.790289999999999</v>
      </c>
      <c r="V1096" s="1868">
        <v>18.858560000000001</v>
      </c>
      <c r="W1096" s="1868">
        <v>20.254960000000001</v>
      </c>
      <c r="X1096" s="1868">
        <v>18.98263</v>
      </c>
      <c r="Y1096" s="1868">
        <v>18.858560000000001</v>
      </c>
      <c r="Z1096" s="1868">
        <v>18.432670000000002</v>
      </c>
      <c r="AA1096" s="1868">
        <v>18.200839999999999</v>
      </c>
      <c r="AB1096" s="1868">
        <v>17.594429999999999</v>
      </c>
      <c r="AC1096" s="1868">
        <v>17.395630000000001</v>
      </c>
      <c r="AD1096" s="1868">
        <v>17.537479999999999</v>
      </c>
      <c r="AE1096" s="1868">
        <v>18.36646</v>
      </c>
      <c r="AF1096" s="1868">
        <v>18.53201</v>
      </c>
      <c r="AG1096" s="1868">
        <v>19.012350000000001</v>
      </c>
      <c r="AH1096" s="1868">
        <v>17.616529999999997</v>
      </c>
      <c r="AI1096" s="1868">
        <v>16.835509999999999</v>
      </c>
      <c r="AJ1096" s="1868">
        <v>19.525639999999999</v>
      </c>
      <c r="AK1096" s="1868">
        <v>20.440770000000001</v>
      </c>
      <c r="AL1096" s="1868">
        <v>19.451720000000002</v>
      </c>
      <c r="AM1096" s="1868">
        <v>16.47129</v>
      </c>
      <c r="AN1096" s="1868">
        <v>18.499770000000002</v>
      </c>
      <c r="AO1096" s="1868">
        <v>18.442879999999999</v>
      </c>
      <c r="AP1096" s="1868">
        <v>19.874829999999999</v>
      </c>
      <c r="AQ1096" s="1868">
        <v>17.325810000000001</v>
      </c>
      <c r="AR1096" s="1868">
        <v>17.722379999999998</v>
      </c>
      <c r="AS1096" s="1868">
        <v>19.11741</v>
      </c>
      <c r="AT1096" s="1868">
        <v>20.664059999999999</v>
      </c>
      <c r="AU1096" s="1868">
        <v>21.179539999999999</v>
      </c>
      <c r="AV1096" s="1868">
        <v>23.961489999999998</v>
      </c>
      <c r="AW1096" s="1868">
        <v>22.33137</v>
      </c>
      <c r="AX1096" s="1868">
        <v>22.685040000000001</v>
      </c>
      <c r="AY1096" s="1868">
        <v>22.478460000000002</v>
      </c>
      <c r="AZ1096" s="1868">
        <v>22.386210000000002</v>
      </c>
      <c r="BA1096" s="1868">
        <v>22.1312</v>
      </c>
    </row>
    <row r="1097" spans="1:53">
      <c r="A1097" s="1865" t="str">
        <f t="shared" si="17"/>
        <v>Southern AfricaOranges</v>
      </c>
      <c r="B1097" s="1866" t="s">
        <v>1422</v>
      </c>
      <c r="C1097" s="1866" t="s">
        <v>1389</v>
      </c>
      <c r="D1097" s="1868">
        <v>14.650879999999999</v>
      </c>
      <c r="E1097" s="1868">
        <v>15.91794</v>
      </c>
      <c r="F1097" s="1868">
        <v>15.765989999999999</v>
      </c>
      <c r="G1097" s="1868">
        <v>17.004920000000002</v>
      </c>
      <c r="H1097" s="1868">
        <v>15.73231</v>
      </c>
      <c r="I1097" s="1868">
        <v>15.582100000000001</v>
      </c>
      <c r="J1097" s="1868">
        <v>16.159870000000002</v>
      </c>
      <c r="K1097" s="1868">
        <v>16.20551</v>
      </c>
      <c r="L1097" s="1868">
        <v>14.711829999999999</v>
      </c>
      <c r="M1097" s="1868">
        <v>15.638710000000001</v>
      </c>
      <c r="N1097" s="1868">
        <v>14.35</v>
      </c>
      <c r="O1097" s="1868">
        <v>17.09281</v>
      </c>
      <c r="P1097" s="1868">
        <v>15.931029999999998</v>
      </c>
      <c r="Q1097" s="1868">
        <v>17.85745</v>
      </c>
      <c r="R1097" s="1868">
        <v>16.949929999999998</v>
      </c>
      <c r="S1097" s="1868">
        <v>18.270960000000002</v>
      </c>
      <c r="T1097" s="1868">
        <v>15.470599999999999</v>
      </c>
      <c r="U1097" s="1868">
        <v>17.88419</v>
      </c>
      <c r="V1097" s="1868">
        <v>17.02712</v>
      </c>
      <c r="W1097" s="1868">
        <v>16.626809999999999</v>
      </c>
      <c r="X1097" s="1868">
        <v>17.765529999999998</v>
      </c>
      <c r="Y1097" s="1868">
        <v>16.932570000000002</v>
      </c>
      <c r="Z1097" s="1868">
        <v>15.9244</v>
      </c>
      <c r="AA1097" s="1868">
        <v>15.789179999999998</v>
      </c>
      <c r="AB1097" s="1868">
        <v>16.469910000000002</v>
      </c>
      <c r="AC1097" s="1868">
        <v>16.50985</v>
      </c>
      <c r="AD1097" s="1868">
        <v>17.253820000000001</v>
      </c>
      <c r="AE1097" s="1868">
        <v>17.084910000000001</v>
      </c>
      <c r="AF1097" s="1868">
        <v>17.706579999999999</v>
      </c>
      <c r="AG1097" s="1868">
        <v>19.003910000000001</v>
      </c>
      <c r="AH1097" s="1868">
        <v>19.144649999999999</v>
      </c>
      <c r="AI1097" s="1868">
        <v>19.783560000000001</v>
      </c>
      <c r="AJ1097" s="1868">
        <v>18.973479999999999</v>
      </c>
      <c r="AK1097" s="1868">
        <v>20.736470000000001</v>
      </c>
      <c r="AL1097" s="1868">
        <v>19.708449999999999</v>
      </c>
      <c r="AM1097" s="1868">
        <v>20.800420000000003</v>
      </c>
      <c r="AN1097" s="1868">
        <v>21.594899999999999</v>
      </c>
      <c r="AO1097" s="1868">
        <v>20.631180000000001</v>
      </c>
      <c r="AP1097" s="1868">
        <v>23.15325</v>
      </c>
      <c r="AQ1097" s="1868">
        <v>22.37519</v>
      </c>
      <c r="AR1097" s="1868">
        <v>23.01577</v>
      </c>
      <c r="AS1097" s="1868">
        <v>22.211779999999997</v>
      </c>
      <c r="AT1097" s="1868">
        <v>25.34722</v>
      </c>
      <c r="AU1097" s="1868">
        <v>23.945620000000002</v>
      </c>
      <c r="AV1097" s="1868">
        <v>26.880390000000002</v>
      </c>
      <c r="AW1097" s="1868">
        <v>30.89462</v>
      </c>
      <c r="AX1097" s="1868">
        <v>31.012720000000002</v>
      </c>
      <c r="AY1097" s="1868">
        <v>31.554390000000001</v>
      </c>
      <c r="AZ1097" s="1868">
        <v>29.443549999999998</v>
      </c>
      <c r="BA1097" s="1868">
        <v>30.32648</v>
      </c>
    </row>
    <row r="1098" spans="1:53">
      <c r="A1098" s="1865" t="str">
        <f t="shared" si="17"/>
        <v>Southern AfricaPeaches and nectarines</v>
      </c>
      <c r="B1098" s="1866" t="s">
        <v>1422</v>
      </c>
      <c r="C1098" s="1866" t="s">
        <v>1390</v>
      </c>
      <c r="D1098" s="1868">
        <v>9.933110000000001</v>
      </c>
      <c r="E1098" s="1868">
        <v>8.5565600000000011</v>
      </c>
      <c r="F1098" s="1868">
        <v>9.5259100000000014</v>
      </c>
      <c r="G1098" s="1868">
        <v>9.7400800000000007</v>
      </c>
      <c r="H1098" s="1868">
        <v>10.53177</v>
      </c>
      <c r="I1098" s="1868">
        <v>10.045919999999999</v>
      </c>
      <c r="J1098" s="1868">
        <v>10.294460000000001</v>
      </c>
      <c r="K1098" s="1868">
        <v>9.7530699999999992</v>
      </c>
      <c r="L1098" s="1868">
        <v>9.8805999999999994</v>
      </c>
      <c r="M1098" s="1868">
        <v>9.7427100000000006</v>
      </c>
      <c r="N1098" s="1868">
        <v>9.749130000000001</v>
      </c>
      <c r="O1098" s="1868">
        <v>9.9307499999999997</v>
      </c>
      <c r="P1098" s="1868">
        <v>10.2212</v>
      </c>
      <c r="Q1098" s="1868">
        <v>10.415939999999999</v>
      </c>
      <c r="R1098" s="1868">
        <v>10.28125</v>
      </c>
      <c r="S1098" s="1868">
        <v>10.38594</v>
      </c>
      <c r="T1098" s="1868">
        <v>10.308060000000001</v>
      </c>
      <c r="U1098" s="1868">
        <v>9.5350600000000014</v>
      </c>
      <c r="V1098" s="1868">
        <v>9.6578800000000005</v>
      </c>
      <c r="W1098" s="1868">
        <v>10.551349999999999</v>
      </c>
      <c r="X1098" s="1868">
        <v>10.36694</v>
      </c>
      <c r="Y1098" s="1868">
        <v>10.59788</v>
      </c>
      <c r="Z1098" s="1868">
        <v>10.240880000000001</v>
      </c>
      <c r="AA1098" s="1868">
        <v>10.53406</v>
      </c>
      <c r="AB1098" s="1868">
        <v>10.650310000000001</v>
      </c>
      <c r="AC1098" s="1868">
        <v>12.260999999999999</v>
      </c>
      <c r="AD1098" s="1868">
        <v>13.54848</v>
      </c>
      <c r="AE1098" s="1868">
        <v>12.39696</v>
      </c>
      <c r="AF1098" s="1868">
        <v>13.13439</v>
      </c>
      <c r="AG1098" s="1868">
        <v>11.16136</v>
      </c>
      <c r="AH1098" s="1868">
        <v>11.61725</v>
      </c>
      <c r="AI1098" s="1868">
        <v>11.319469999999999</v>
      </c>
      <c r="AJ1098" s="1868">
        <v>11.48359</v>
      </c>
      <c r="AK1098" s="1868">
        <v>10.82357</v>
      </c>
      <c r="AL1098" s="1868">
        <v>11.546060000000001</v>
      </c>
      <c r="AM1098" s="1868">
        <v>10.753</v>
      </c>
      <c r="AN1098" s="1868">
        <v>12.0283</v>
      </c>
      <c r="AO1098" s="1868">
        <v>10.41811</v>
      </c>
      <c r="AP1098" s="1868">
        <v>10.52496</v>
      </c>
      <c r="AQ1098" s="1868">
        <v>9.70519</v>
      </c>
      <c r="AR1098" s="1868">
        <v>8.6934000000000005</v>
      </c>
      <c r="AS1098" s="1868">
        <v>9.07315</v>
      </c>
      <c r="AT1098" s="1868">
        <v>16.619329999999998</v>
      </c>
      <c r="AU1098" s="1868">
        <v>16.695640000000001</v>
      </c>
      <c r="AV1098" s="1868">
        <v>15.90629</v>
      </c>
      <c r="AW1098" s="1868">
        <v>16.118459999999999</v>
      </c>
      <c r="AX1098" s="1868">
        <v>16.038209999999999</v>
      </c>
      <c r="AY1098" s="1868">
        <v>16.03368</v>
      </c>
      <c r="AZ1098" s="1868">
        <v>15.930099999999999</v>
      </c>
      <c r="BA1098" s="1868">
        <v>16.025259999999999</v>
      </c>
    </row>
    <row r="1099" spans="1:53">
      <c r="A1099" s="1865" t="str">
        <f t="shared" si="17"/>
        <v>Southern AfricaPeas, dry</v>
      </c>
      <c r="B1099" s="1866" t="s">
        <v>1422</v>
      </c>
      <c r="C1099" s="1866" t="s">
        <v>1391</v>
      </c>
      <c r="D1099" s="1868">
        <v>0.83046000000000009</v>
      </c>
      <c r="E1099" s="1868">
        <v>0.87</v>
      </c>
      <c r="F1099" s="1868">
        <v>0.80556000000000005</v>
      </c>
      <c r="G1099" s="1868">
        <v>0.77895000000000003</v>
      </c>
      <c r="H1099" s="1868">
        <v>0.70269999999999999</v>
      </c>
      <c r="I1099" s="1868">
        <v>0.51665000000000005</v>
      </c>
      <c r="J1099" s="1868">
        <v>0.69084999999999996</v>
      </c>
      <c r="K1099" s="1868">
        <v>0.71475</v>
      </c>
      <c r="L1099" s="1868">
        <v>0.58223999999999998</v>
      </c>
      <c r="M1099" s="1868">
        <v>0.39900999999999998</v>
      </c>
      <c r="N1099" s="1868">
        <v>0.6</v>
      </c>
      <c r="O1099" s="1868">
        <v>0.58235000000000003</v>
      </c>
      <c r="P1099" s="1868">
        <v>0.62941000000000003</v>
      </c>
      <c r="Q1099" s="1868">
        <v>0.69658999999999993</v>
      </c>
      <c r="R1099" s="1868">
        <v>0.72783999999999993</v>
      </c>
      <c r="S1099" s="1868">
        <v>0.76998999999999995</v>
      </c>
      <c r="T1099" s="1868">
        <v>0.84986000000000006</v>
      </c>
      <c r="U1099" s="1868">
        <v>0.92541000000000007</v>
      </c>
      <c r="V1099" s="1868">
        <v>0.97475000000000001</v>
      </c>
      <c r="W1099" s="1868">
        <v>0.90822000000000003</v>
      </c>
      <c r="X1099" s="1868">
        <v>0.90721000000000007</v>
      </c>
      <c r="Y1099" s="1868">
        <v>0.73282000000000003</v>
      </c>
      <c r="Z1099" s="1868">
        <v>0.55752000000000002</v>
      </c>
      <c r="AA1099" s="1868">
        <v>0.77638999999999991</v>
      </c>
      <c r="AB1099" s="1868">
        <v>0.81523000000000001</v>
      </c>
      <c r="AC1099" s="1868">
        <v>1.0952200000000001</v>
      </c>
      <c r="AD1099" s="1868">
        <v>1.0522100000000001</v>
      </c>
      <c r="AE1099" s="1868">
        <v>1.1588499999999999</v>
      </c>
      <c r="AF1099" s="1868">
        <v>1.3277299999999999</v>
      </c>
      <c r="AG1099" s="1868">
        <v>0.43751000000000001</v>
      </c>
      <c r="AH1099" s="1868">
        <v>0.55654999999999999</v>
      </c>
      <c r="AI1099" s="1868">
        <v>1.1715</v>
      </c>
      <c r="AJ1099" s="1868">
        <v>1.0248700000000002</v>
      </c>
      <c r="AK1099" s="1868">
        <v>0.69110000000000005</v>
      </c>
      <c r="AL1099" s="1868">
        <v>0.69999</v>
      </c>
      <c r="AM1099" s="1868">
        <v>0.98829999999999996</v>
      </c>
      <c r="AN1099" s="1868">
        <v>0.93997999999999993</v>
      </c>
      <c r="AO1099" s="1868">
        <v>0.72475000000000001</v>
      </c>
      <c r="AP1099" s="1868">
        <v>0.82355</v>
      </c>
      <c r="AQ1099" s="1868">
        <v>0.78641000000000005</v>
      </c>
      <c r="AR1099" s="1868">
        <v>0.85578999999999994</v>
      </c>
      <c r="AS1099" s="1868">
        <v>0.41031999999999996</v>
      </c>
      <c r="AT1099" s="1868">
        <v>0.37970999999999999</v>
      </c>
      <c r="AU1099" s="1868">
        <v>0.59019999999999995</v>
      </c>
      <c r="AV1099" s="1868">
        <v>0.59199999999999997</v>
      </c>
      <c r="AW1099" s="1868">
        <v>0.56279000000000001</v>
      </c>
      <c r="AX1099" s="1868">
        <v>0.45738000000000001</v>
      </c>
      <c r="AY1099" s="1868">
        <v>0.80564999999999998</v>
      </c>
      <c r="AZ1099" s="1868">
        <v>0.83622999999999992</v>
      </c>
      <c r="BA1099" s="1868">
        <v>0.65291999999999994</v>
      </c>
    </row>
    <row r="1100" spans="1:53">
      <c r="A1100" s="1865" t="str">
        <f t="shared" si="17"/>
        <v>Southern AfricaPeas, green</v>
      </c>
      <c r="B1100" s="1866" t="s">
        <v>1422</v>
      </c>
      <c r="C1100" s="1866" t="s">
        <v>1392</v>
      </c>
      <c r="D1100" s="1868">
        <v>6</v>
      </c>
      <c r="E1100" s="1868">
        <v>6.5</v>
      </c>
      <c r="F1100" s="1868">
        <v>6.5</v>
      </c>
      <c r="G1100" s="1868">
        <v>7.25</v>
      </c>
      <c r="H1100" s="1868">
        <v>6.5</v>
      </c>
      <c r="I1100" s="1868">
        <v>6.1666699999999999</v>
      </c>
      <c r="J1100" s="1868">
        <v>6</v>
      </c>
      <c r="K1100" s="1868">
        <v>5.6</v>
      </c>
      <c r="L1100" s="1868">
        <v>6.5</v>
      </c>
      <c r="M1100" s="1868">
        <v>5.75</v>
      </c>
      <c r="N1100" s="1868">
        <v>5.5</v>
      </c>
      <c r="O1100" s="1868">
        <v>6.75</v>
      </c>
      <c r="P1100" s="1868">
        <v>6.3333300000000001</v>
      </c>
      <c r="Q1100" s="1868">
        <v>6.6666699999999999</v>
      </c>
      <c r="R1100" s="1868">
        <v>6.3333300000000001</v>
      </c>
      <c r="S1100" s="1868">
        <v>8.3333300000000001</v>
      </c>
      <c r="T1100" s="1868">
        <v>6.5</v>
      </c>
      <c r="U1100" s="1868">
        <v>6</v>
      </c>
      <c r="V1100" s="1868">
        <v>5.25</v>
      </c>
      <c r="W1100" s="1868">
        <v>5.75</v>
      </c>
      <c r="X1100" s="1868">
        <v>6</v>
      </c>
      <c r="Y1100" s="1868">
        <v>6</v>
      </c>
      <c r="Z1100" s="1868">
        <v>5.25</v>
      </c>
      <c r="AA1100" s="1868">
        <v>6.25</v>
      </c>
      <c r="AB1100" s="1868">
        <v>6.25</v>
      </c>
      <c r="AC1100" s="1868">
        <v>5.75</v>
      </c>
      <c r="AD1100" s="1868">
        <v>6.6639999999999997</v>
      </c>
      <c r="AE1100" s="1868">
        <v>6.5732499999999998</v>
      </c>
      <c r="AF1100" s="1868">
        <v>6.8792499999999999</v>
      </c>
      <c r="AG1100" s="1868">
        <v>8.10107</v>
      </c>
      <c r="AH1100" s="1868">
        <v>4.9843299999999999</v>
      </c>
      <c r="AI1100" s="1868">
        <v>4.9869199999999996</v>
      </c>
      <c r="AJ1100" s="1868">
        <v>5.7887900000000005</v>
      </c>
      <c r="AK1100" s="1868">
        <v>4.8055599999999998</v>
      </c>
      <c r="AL1100" s="1868">
        <v>5.3296000000000001</v>
      </c>
      <c r="AM1100" s="1868">
        <v>5.51633</v>
      </c>
      <c r="AN1100" s="1868">
        <v>6.1565699999999994</v>
      </c>
      <c r="AO1100" s="1868">
        <v>6.5641699999999998</v>
      </c>
      <c r="AP1100" s="1868">
        <v>6.0508600000000001</v>
      </c>
      <c r="AQ1100" s="1868">
        <v>5.3706699999999996</v>
      </c>
      <c r="AR1100" s="1868">
        <v>5.2440899999999999</v>
      </c>
      <c r="AS1100" s="1868">
        <v>4.95695</v>
      </c>
      <c r="AT1100" s="1868">
        <v>2.4624200000000003</v>
      </c>
      <c r="AU1100" s="1868">
        <v>3.8223800000000003</v>
      </c>
      <c r="AV1100" s="1868">
        <v>3.2983800000000003</v>
      </c>
      <c r="AW1100" s="1868">
        <v>3.3017400000000001</v>
      </c>
      <c r="AX1100" s="1868">
        <v>3.1266700000000003</v>
      </c>
      <c r="AY1100" s="1868">
        <v>5.181</v>
      </c>
      <c r="AZ1100" s="1868">
        <v>3.08691</v>
      </c>
      <c r="BA1100" s="1868">
        <v>2.1977799999999998</v>
      </c>
    </row>
    <row r="1101" spans="1:53">
      <c r="A1101" s="1865" t="str">
        <f t="shared" si="17"/>
        <v>Southern AfricaPineapples</v>
      </c>
      <c r="B1101" s="1866" t="s">
        <v>1422</v>
      </c>
      <c r="C1101" s="1866" t="s">
        <v>1351</v>
      </c>
      <c r="D1101" s="1868">
        <v>23.129490000000001</v>
      </c>
      <c r="E1101" s="1868">
        <v>23.47898</v>
      </c>
      <c r="F1101" s="1868">
        <v>21.710420000000003</v>
      </c>
      <c r="G1101" s="1868">
        <v>22.005489999999998</v>
      </c>
      <c r="H1101" s="1868">
        <v>19.932400000000001</v>
      </c>
      <c r="I1101" s="1868">
        <v>20.257650000000002</v>
      </c>
      <c r="J1101" s="1868">
        <v>23.99455</v>
      </c>
      <c r="K1101" s="1868">
        <v>23.466010000000001</v>
      </c>
      <c r="L1101" s="1868">
        <v>22.478860000000001</v>
      </c>
      <c r="M1101" s="1868">
        <v>25.28453</v>
      </c>
      <c r="N1101" s="1868">
        <v>25.630949999999999</v>
      </c>
      <c r="O1101" s="1868">
        <v>25.10568</v>
      </c>
      <c r="P1101" s="1868">
        <v>25.718060000000001</v>
      </c>
      <c r="Q1101" s="1868">
        <v>29.017949999999999</v>
      </c>
      <c r="R1101" s="1868">
        <v>28.611009999999997</v>
      </c>
      <c r="S1101" s="1868">
        <v>28.530440000000002</v>
      </c>
      <c r="T1101" s="1868">
        <v>29.736350000000002</v>
      </c>
      <c r="U1101" s="1868">
        <v>28.449400000000001</v>
      </c>
      <c r="V1101" s="1868">
        <v>26.731720000000003</v>
      </c>
      <c r="W1101" s="1868">
        <v>29.494150000000001</v>
      </c>
      <c r="X1101" s="1868">
        <v>30.285870000000003</v>
      </c>
      <c r="Y1101" s="1868">
        <v>30.187370000000001</v>
      </c>
      <c r="Z1101" s="1868">
        <v>29.937799999999999</v>
      </c>
      <c r="AA1101" s="1868">
        <v>31.70898</v>
      </c>
      <c r="AB1101" s="1868">
        <v>31.892959999999999</v>
      </c>
      <c r="AC1101" s="1868">
        <v>31.619290000000003</v>
      </c>
      <c r="AD1101" s="1868">
        <v>27.125800000000002</v>
      </c>
      <c r="AE1101" s="1868">
        <v>36.517759999999996</v>
      </c>
      <c r="AF1101" s="1868">
        <v>30.147120000000001</v>
      </c>
      <c r="AG1101" s="1868">
        <v>28.732050000000001</v>
      </c>
      <c r="AH1101" s="1868">
        <v>27.337900000000001</v>
      </c>
      <c r="AI1101" s="1868">
        <v>30.820640000000001</v>
      </c>
      <c r="AJ1101" s="1868">
        <v>27.371340000000004</v>
      </c>
      <c r="AK1101" s="1868">
        <v>21.30077</v>
      </c>
      <c r="AL1101" s="1868">
        <v>24.183340000000001</v>
      </c>
      <c r="AM1101" s="1868">
        <v>23.477589999999999</v>
      </c>
      <c r="AN1101" s="1868">
        <v>24.287240000000001</v>
      </c>
      <c r="AO1101" s="1868">
        <v>20.258520000000001</v>
      </c>
      <c r="AP1101" s="1868">
        <v>19.5426</v>
      </c>
      <c r="AQ1101" s="1868">
        <v>18.70844</v>
      </c>
      <c r="AR1101" s="1868">
        <v>16.113310000000002</v>
      </c>
      <c r="AS1101" s="1868">
        <v>15.218249999999999</v>
      </c>
      <c r="AT1101" s="1868">
        <v>13.89955</v>
      </c>
      <c r="AU1101" s="1868">
        <v>14.62147</v>
      </c>
      <c r="AV1101" s="1868">
        <v>14.666129999999999</v>
      </c>
      <c r="AW1101" s="1868">
        <v>13.82138</v>
      </c>
      <c r="AX1101" s="1868">
        <v>13.80725</v>
      </c>
      <c r="AY1101" s="1868">
        <v>13.764250000000001</v>
      </c>
      <c r="AZ1101" s="1868">
        <v>14.2301</v>
      </c>
      <c r="BA1101" s="1868">
        <v>14.831300000000001</v>
      </c>
    </row>
    <row r="1102" spans="1:53">
      <c r="A1102" s="1865" t="str">
        <f t="shared" si="17"/>
        <v>Southern AfricaPotatoes</v>
      </c>
      <c r="B1102" s="1866" t="s">
        <v>1422</v>
      </c>
      <c r="C1102" s="1866" t="s">
        <v>1394</v>
      </c>
      <c r="D1102" s="1868">
        <v>7.5713600000000003</v>
      </c>
      <c r="E1102" s="1868">
        <v>6.4596499999999999</v>
      </c>
      <c r="F1102" s="1868">
        <v>7.7282699999999993</v>
      </c>
      <c r="G1102" s="1868">
        <v>8.2643399999999989</v>
      </c>
      <c r="H1102" s="1868">
        <v>7.7168100000000006</v>
      </c>
      <c r="I1102" s="1868">
        <v>10.725910000000001</v>
      </c>
      <c r="J1102" s="1868">
        <v>11.65366</v>
      </c>
      <c r="K1102" s="1868">
        <v>14.089170000000001</v>
      </c>
      <c r="L1102" s="1868">
        <v>9.3744499999999995</v>
      </c>
      <c r="M1102" s="1868">
        <v>13.076280000000001</v>
      </c>
      <c r="N1102" s="1868">
        <v>10.587619999999999</v>
      </c>
      <c r="O1102" s="1868">
        <v>17.40784</v>
      </c>
      <c r="P1102" s="1868">
        <v>13.265260000000001</v>
      </c>
      <c r="Q1102" s="1868">
        <v>13.727510000000001</v>
      </c>
      <c r="R1102" s="1868">
        <v>14.563870000000001</v>
      </c>
      <c r="S1102" s="1868">
        <v>13.589779999999999</v>
      </c>
      <c r="T1102" s="1868">
        <v>14.384329999999999</v>
      </c>
      <c r="U1102" s="1868">
        <v>13.32714</v>
      </c>
      <c r="V1102" s="1868">
        <v>13.5283</v>
      </c>
      <c r="W1102" s="1868">
        <v>13.345870000000001</v>
      </c>
      <c r="X1102" s="1868">
        <v>13.542949999999999</v>
      </c>
      <c r="Y1102" s="1868">
        <v>16.920529999999999</v>
      </c>
      <c r="Z1102" s="1868">
        <v>13.62791</v>
      </c>
      <c r="AA1102" s="1868">
        <v>14.12011</v>
      </c>
      <c r="AB1102" s="1868">
        <v>15.34605</v>
      </c>
      <c r="AC1102" s="1868">
        <v>17.153229999999997</v>
      </c>
      <c r="AD1102" s="1868">
        <v>16.974320000000002</v>
      </c>
      <c r="AE1102" s="1868">
        <v>15.75177</v>
      </c>
      <c r="AF1102" s="1868">
        <v>16.888579999999997</v>
      </c>
      <c r="AG1102" s="1868">
        <v>19.156210000000002</v>
      </c>
      <c r="AH1102" s="1868">
        <v>19.196770000000001</v>
      </c>
      <c r="AI1102" s="1868">
        <v>19.362970000000001</v>
      </c>
      <c r="AJ1102" s="1868">
        <v>19.32037</v>
      </c>
      <c r="AK1102" s="1868">
        <v>22.514679999999998</v>
      </c>
      <c r="AL1102" s="1868">
        <v>22.276610000000002</v>
      </c>
      <c r="AM1102" s="1868">
        <v>23.758099999999999</v>
      </c>
      <c r="AN1102" s="1868">
        <v>21.10866</v>
      </c>
      <c r="AO1102" s="1868">
        <v>28.343520000000002</v>
      </c>
      <c r="AP1102" s="1868">
        <v>27.203150000000001</v>
      </c>
      <c r="AQ1102" s="1868">
        <v>29.27797</v>
      </c>
      <c r="AR1102" s="1868">
        <v>29.151959999999999</v>
      </c>
      <c r="AS1102" s="1868">
        <v>31.05405</v>
      </c>
      <c r="AT1102" s="1868">
        <v>27.003690000000002</v>
      </c>
      <c r="AU1102" s="1868">
        <v>31.04888</v>
      </c>
      <c r="AV1102" s="1868">
        <v>29.89658</v>
      </c>
      <c r="AW1102" s="1868">
        <v>30.33353</v>
      </c>
      <c r="AX1102" s="1868">
        <v>30.853349999999999</v>
      </c>
      <c r="AY1102" s="1868">
        <v>30.981270000000002</v>
      </c>
      <c r="AZ1102" s="1868">
        <v>29.755540000000003</v>
      </c>
      <c r="BA1102" s="1868">
        <v>29.572320000000001</v>
      </c>
    </row>
    <row r="1103" spans="1:53">
      <c r="A1103" s="1865" t="str">
        <f t="shared" si="17"/>
        <v>Southern AfricaPulses, nes</v>
      </c>
      <c r="B1103" s="1866" t="s">
        <v>1422</v>
      </c>
      <c r="C1103" s="1866" t="s">
        <v>1395</v>
      </c>
      <c r="D1103" s="1868">
        <v>0.73548000000000002</v>
      </c>
      <c r="E1103" s="1868">
        <v>0.65385000000000004</v>
      </c>
      <c r="F1103" s="1868">
        <v>0.65385000000000004</v>
      </c>
      <c r="G1103" s="1868">
        <v>0.66154000000000002</v>
      </c>
      <c r="H1103" s="1868">
        <v>0.66154000000000002</v>
      </c>
      <c r="I1103" s="1868">
        <v>0.58396999999999999</v>
      </c>
      <c r="J1103" s="1868">
        <v>0.66037999999999997</v>
      </c>
      <c r="K1103" s="1868">
        <v>0.66795000000000004</v>
      </c>
      <c r="L1103" s="1868">
        <v>0.66411999999999993</v>
      </c>
      <c r="M1103" s="1868">
        <v>0.66539999999999999</v>
      </c>
      <c r="N1103" s="1868">
        <v>0.59687999999999997</v>
      </c>
      <c r="O1103" s="1868">
        <v>0.56221999999999994</v>
      </c>
      <c r="P1103" s="1868">
        <v>0.59968999999999995</v>
      </c>
      <c r="Q1103" s="1868">
        <v>0.67203999999999997</v>
      </c>
      <c r="R1103" s="1868">
        <v>0.63475000000000004</v>
      </c>
      <c r="S1103" s="1868">
        <v>0.66221000000000008</v>
      </c>
      <c r="T1103" s="1868">
        <v>0.70689999999999997</v>
      </c>
      <c r="U1103" s="1868">
        <v>0.75183</v>
      </c>
      <c r="V1103" s="1868">
        <v>0.70125999999999999</v>
      </c>
      <c r="W1103" s="1868">
        <v>0.65518999999999994</v>
      </c>
      <c r="X1103" s="1868">
        <v>0.67281000000000002</v>
      </c>
      <c r="Y1103" s="1868">
        <v>0.65442</v>
      </c>
      <c r="Z1103" s="1868">
        <v>0.57967000000000002</v>
      </c>
      <c r="AA1103" s="1868">
        <v>0.54881000000000002</v>
      </c>
      <c r="AB1103" s="1868">
        <v>0.56918999999999997</v>
      </c>
      <c r="AC1103" s="1868">
        <v>0.57441000000000009</v>
      </c>
      <c r="AD1103" s="1868">
        <v>0.57441000000000009</v>
      </c>
      <c r="AE1103" s="1868">
        <v>0.57962999999999998</v>
      </c>
      <c r="AF1103" s="1868">
        <v>0.65743000000000007</v>
      </c>
      <c r="AG1103" s="1868">
        <v>0.66518999999999995</v>
      </c>
      <c r="AH1103" s="1868">
        <v>0.68408999999999998</v>
      </c>
      <c r="AI1103" s="1868">
        <v>0.58765000000000001</v>
      </c>
      <c r="AJ1103" s="1868">
        <v>0.76702000000000004</v>
      </c>
      <c r="AK1103" s="1868">
        <v>0.65566999999999998</v>
      </c>
      <c r="AL1103" s="1868">
        <v>0.5837</v>
      </c>
      <c r="AM1103" s="1868">
        <v>0.60663</v>
      </c>
      <c r="AN1103" s="1868">
        <v>0.70933000000000002</v>
      </c>
      <c r="AO1103" s="1868">
        <v>0.66081000000000001</v>
      </c>
      <c r="AP1103" s="1868">
        <v>0.79078000000000004</v>
      </c>
      <c r="AQ1103" s="1868">
        <v>1.0001599999999999</v>
      </c>
      <c r="AR1103" s="1868">
        <v>0.76734999999999998</v>
      </c>
      <c r="AS1103" s="1868">
        <v>0.70776000000000006</v>
      </c>
      <c r="AT1103" s="1868">
        <v>0.79568000000000005</v>
      </c>
      <c r="AU1103" s="1868">
        <v>0.81869999999999998</v>
      </c>
      <c r="AV1103" s="1868">
        <v>0.70126999999999995</v>
      </c>
      <c r="AW1103" s="1868">
        <v>0.69721999999999995</v>
      </c>
      <c r="AX1103" s="1868">
        <v>0.65422000000000002</v>
      </c>
      <c r="AY1103" s="1868">
        <v>0.70256000000000007</v>
      </c>
      <c r="AZ1103" s="1868">
        <v>0.69398000000000004</v>
      </c>
      <c r="BA1103" s="1868">
        <v>0.68693000000000004</v>
      </c>
    </row>
    <row r="1104" spans="1:53">
      <c r="A1104" s="1865" t="str">
        <f t="shared" si="17"/>
        <v>Southern AfricaRice, paddy</v>
      </c>
      <c r="B1104" s="1866" t="s">
        <v>1422</v>
      </c>
      <c r="C1104" s="1866" t="s">
        <v>1396</v>
      </c>
      <c r="D1104" s="1868">
        <v>1.8974</v>
      </c>
      <c r="E1104" s="1868">
        <v>2.03484</v>
      </c>
      <c r="F1104" s="1868">
        <v>2.2960700000000003</v>
      </c>
      <c r="G1104" s="1868">
        <v>2.2399800000000001</v>
      </c>
      <c r="H1104" s="1868">
        <v>2.2691400000000002</v>
      </c>
      <c r="I1104" s="1868">
        <v>2.4354800000000001</v>
      </c>
      <c r="J1104" s="1868">
        <v>2.3225899999999999</v>
      </c>
      <c r="K1104" s="1868">
        <v>2.09076</v>
      </c>
      <c r="L1104" s="1868">
        <v>2.41778</v>
      </c>
      <c r="M1104" s="1868">
        <v>2.5224000000000002</v>
      </c>
      <c r="N1104" s="1868">
        <v>2.4818899999999999</v>
      </c>
      <c r="O1104" s="1868">
        <v>2.88063</v>
      </c>
      <c r="P1104" s="1868">
        <v>2.8679600000000001</v>
      </c>
      <c r="Q1104" s="1868">
        <v>2.7489599999999998</v>
      </c>
      <c r="R1104" s="1868">
        <v>2.5465200000000001</v>
      </c>
      <c r="S1104" s="1868">
        <v>2.55152</v>
      </c>
      <c r="T1104" s="1868">
        <v>2.5</v>
      </c>
      <c r="U1104" s="1868">
        <v>2.5</v>
      </c>
      <c r="V1104" s="1868">
        <v>2.5</v>
      </c>
      <c r="W1104" s="1868">
        <v>2.5</v>
      </c>
      <c r="X1104" s="1868">
        <v>2.4</v>
      </c>
      <c r="Y1104" s="1868">
        <v>2.5590700000000002</v>
      </c>
      <c r="Z1104" s="1868">
        <v>2.6111400000000002</v>
      </c>
      <c r="AA1104" s="1868">
        <v>3.4946699999999997</v>
      </c>
      <c r="AB1104" s="1868">
        <v>3.5294099999999999</v>
      </c>
      <c r="AC1104" s="1868">
        <v>3.5294099999999999</v>
      </c>
      <c r="AD1104" s="1868">
        <v>3.5294099999999999</v>
      </c>
      <c r="AE1104" s="1868">
        <v>3.5294099999999999</v>
      </c>
      <c r="AF1104" s="1868">
        <v>3.5294099999999999</v>
      </c>
      <c r="AG1104" s="1868">
        <v>3.5878900000000002</v>
      </c>
      <c r="AH1104" s="1868">
        <v>3.4766400000000002</v>
      </c>
      <c r="AI1104" s="1868">
        <v>4.0719799999999999</v>
      </c>
      <c r="AJ1104" s="1868">
        <v>2.3976199999999999</v>
      </c>
      <c r="AK1104" s="1868">
        <v>2.14418</v>
      </c>
      <c r="AL1104" s="1868">
        <v>2.54847</v>
      </c>
      <c r="AM1104" s="1868">
        <v>2.35162</v>
      </c>
      <c r="AN1104" s="1868">
        <v>2.2806000000000002</v>
      </c>
      <c r="AO1104" s="1868">
        <v>2.7532900000000002</v>
      </c>
      <c r="AP1104" s="1868">
        <v>3.2822800000000001</v>
      </c>
      <c r="AQ1104" s="1868">
        <v>2.9681700000000002</v>
      </c>
      <c r="AR1104" s="1868">
        <v>2.3051300000000001</v>
      </c>
      <c r="AS1104" s="1868">
        <v>2.0129799999999998</v>
      </c>
      <c r="AT1104" s="1868">
        <v>2.1651400000000001</v>
      </c>
      <c r="AU1104" s="1868">
        <v>2.3748200000000002</v>
      </c>
      <c r="AV1104" s="1868">
        <v>2.8201299999999998</v>
      </c>
      <c r="AW1104" s="1868">
        <v>2.7205699999999999</v>
      </c>
      <c r="AX1104" s="1868">
        <v>3.05681</v>
      </c>
      <c r="AY1104" s="1868">
        <v>2.5145900000000001</v>
      </c>
      <c r="AZ1104" s="1868">
        <v>2.7328399999999999</v>
      </c>
      <c r="BA1104" s="1868">
        <v>2.64758</v>
      </c>
    </row>
    <row r="1105" spans="1:53">
      <c r="A1105" s="1865" t="str">
        <f t="shared" si="17"/>
        <v>Southern AfricaRoots and Tubers, nes</v>
      </c>
      <c r="B1105" s="1866" t="s">
        <v>1422</v>
      </c>
      <c r="C1105" s="1866" t="s">
        <v>1356</v>
      </c>
      <c r="D1105" s="1868">
        <v>7.2941199999999995</v>
      </c>
      <c r="E1105" s="1868">
        <v>7.3962300000000001</v>
      </c>
      <c r="F1105" s="1868">
        <v>7.5282999999999998</v>
      </c>
      <c r="G1105" s="1868">
        <v>7.5724600000000004</v>
      </c>
      <c r="H1105" s="1868">
        <v>7.6449300000000004</v>
      </c>
      <c r="I1105" s="1868">
        <v>7.6978399999999993</v>
      </c>
      <c r="J1105" s="1868">
        <v>7.7697799999999999</v>
      </c>
      <c r="K1105" s="1868">
        <v>7.823739999999999</v>
      </c>
      <c r="L1105" s="1868">
        <v>7.65517</v>
      </c>
      <c r="M1105" s="1868">
        <v>7.7930999999999999</v>
      </c>
      <c r="N1105" s="1868">
        <v>7.8082199999999995</v>
      </c>
      <c r="O1105" s="1868">
        <v>7.883960000000001</v>
      </c>
      <c r="P1105" s="1868">
        <v>8.0204800000000009</v>
      </c>
      <c r="Q1105" s="1868">
        <v>8.0442199999999993</v>
      </c>
      <c r="R1105" s="1868">
        <v>7.9344299999999999</v>
      </c>
      <c r="S1105" s="1868">
        <v>7.9545500000000002</v>
      </c>
      <c r="T1105" s="1868">
        <v>8.0225100000000005</v>
      </c>
      <c r="U1105" s="1868">
        <v>8.0093999999999994</v>
      </c>
      <c r="V1105" s="1868">
        <v>7.8242399999999996</v>
      </c>
      <c r="W1105" s="1868">
        <v>7.8187300000000004</v>
      </c>
      <c r="X1105" s="1868">
        <v>7.9668700000000001</v>
      </c>
      <c r="Y1105" s="1868">
        <v>8.0325399999999991</v>
      </c>
      <c r="Z1105" s="1868">
        <v>8.16568</v>
      </c>
      <c r="AA1105" s="1868">
        <v>8.0823900000000002</v>
      </c>
      <c r="AB1105" s="1868">
        <v>8.1214700000000004</v>
      </c>
      <c r="AC1105" s="1868">
        <v>8.2072800000000008</v>
      </c>
      <c r="AD1105" s="1868">
        <v>8.0914000000000001</v>
      </c>
      <c r="AE1105" s="1868">
        <v>8.2139000000000006</v>
      </c>
      <c r="AF1105" s="1868">
        <v>8.2047899999999991</v>
      </c>
      <c r="AG1105" s="1868">
        <v>8.0434800000000006</v>
      </c>
      <c r="AH1105" s="1868">
        <v>7.8712</v>
      </c>
      <c r="AI1105" s="1868">
        <v>8.0183699999999991</v>
      </c>
      <c r="AJ1105" s="1868">
        <v>8.0887700000000002</v>
      </c>
      <c r="AK1105" s="1868">
        <v>8.0370399999999993</v>
      </c>
      <c r="AL1105" s="1868">
        <v>8.0780600000000007</v>
      </c>
      <c r="AM1105" s="1868">
        <v>8.8329000000000004</v>
      </c>
      <c r="AN1105" s="1868">
        <v>8.1644100000000002</v>
      </c>
      <c r="AO1105" s="1868">
        <v>8.0303000000000004</v>
      </c>
      <c r="AP1105" s="1868">
        <v>7.8123399999999998</v>
      </c>
      <c r="AQ1105" s="1868">
        <v>8.1143199999999993</v>
      </c>
      <c r="AR1105" s="1868">
        <v>8.0533600000000014</v>
      </c>
      <c r="AS1105" s="1868">
        <v>8.0828100000000003</v>
      </c>
      <c r="AT1105" s="1868">
        <v>7.8141699999999998</v>
      </c>
      <c r="AU1105" s="1868">
        <v>8.1176999999999992</v>
      </c>
      <c r="AV1105" s="1868">
        <v>8.0836500000000004</v>
      </c>
      <c r="AW1105" s="1868">
        <v>7.9214600000000006</v>
      </c>
      <c r="AX1105" s="1868">
        <v>7.9511100000000008</v>
      </c>
      <c r="AY1105" s="1868">
        <v>7.9147300000000005</v>
      </c>
      <c r="AZ1105" s="1868">
        <v>7.7300199999999997</v>
      </c>
      <c r="BA1105" s="1868">
        <v>8.1138999999999992</v>
      </c>
    </row>
    <row r="1106" spans="1:53">
      <c r="A1106" s="1865" t="str">
        <f t="shared" si="17"/>
        <v>Southern AfricaRye</v>
      </c>
      <c r="B1106" s="1866" t="s">
        <v>1422</v>
      </c>
      <c r="C1106" s="1866" t="s">
        <v>1353</v>
      </c>
      <c r="D1106" s="1868">
        <v>0.17780000000000001</v>
      </c>
      <c r="E1106" s="1868">
        <v>0.12963</v>
      </c>
      <c r="F1106" s="1868">
        <v>0.19355</v>
      </c>
      <c r="G1106" s="1868">
        <v>0.17441999999999999</v>
      </c>
      <c r="H1106" s="1868">
        <v>8.4909999999999999E-2</v>
      </c>
      <c r="I1106" s="1868">
        <v>6.1199999999999997E-2</v>
      </c>
      <c r="J1106" s="1868">
        <v>9.6949999999999995E-2</v>
      </c>
      <c r="K1106" s="1868">
        <v>6.3640000000000002E-2</v>
      </c>
      <c r="L1106" s="1868">
        <v>7.374E-2</v>
      </c>
      <c r="M1106" s="1868">
        <v>0.29166999999999998</v>
      </c>
      <c r="N1106" s="1868">
        <v>0.24</v>
      </c>
      <c r="O1106" s="1868">
        <v>0.21211999999999998</v>
      </c>
      <c r="P1106" s="1868">
        <v>0.1875</v>
      </c>
      <c r="Q1106" s="1868">
        <v>0.14285999999999999</v>
      </c>
      <c r="R1106" s="1868">
        <v>0.14285999999999999</v>
      </c>
      <c r="S1106" s="1868">
        <v>0.14285999999999999</v>
      </c>
      <c r="T1106" s="1868">
        <v>0.2</v>
      </c>
      <c r="U1106" s="1868">
        <v>0.15</v>
      </c>
      <c r="V1106" s="1868">
        <v>0.18182000000000001</v>
      </c>
      <c r="W1106" s="1868">
        <v>0.13333</v>
      </c>
      <c r="X1106" s="1868">
        <v>0.19444</v>
      </c>
      <c r="Y1106" s="1868">
        <v>0.21211999999999998</v>
      </c>
      <c r="Z1106" s="1868">
        <v>0.1875</v>
      </c>
      <c r="AA1106" s="1868">
        <v>0.2</v>
      </c>
      <c r="AB1106" s="1868">
        <v>7.6920000000000002E-2</v>
      </c>
      <c r="AC1106" s="1868">
        <v>7.1429999999999993E-2</v>
      </c>
      <c r="AD1106" s="1868">
        <v>7.6920000000000002E-2</v>
      </c>
      <c r="AE1106" s="1868">
        <v>5.5560000000000005E-2</v>
      </c>
      <c r="AF1106" s="1868">
        <v>3.3329999999999999E-2</v>
      </c>
      <c r="AG1106" s="1868">
        <v>0.05</v>
      </c>
      <c r="AH1106" s="1868">
        <v>6.1539999999999997E-2</v>
      </c>
      <c r="AI1106" s="1868">
        <v>5.8820000000000004E-2</v>
      </c>
      <c r="AJ1106" s="1868">
        <v>6.6670000000000007E-2</v>
      </c>
      <c r="AK1106" s="1868">
        <v>6.3829999999999998E-2</v>
      </c>
      <c r="AL1106" s="1868">
        <v>6.3439999999999996E-2</v>
      </c>
      <c r="AM1106" s="1868">
        <v>7.2700000000000001E-2</v>
      </c>
      <c r="AN1106" s="1868">
        <v>0.08</v>
      </c>
      <c r="AO1106" s="1868">
        <v>7.4999999999999997E-2</v>
      </c>
      <c r="AP1106" s="1868">
        <v>0.75</v>
      </c>
      <c r="AQ1106" s="1868">
        <v>0.70588000000000006</v>
      </c>
      <c r="AR1106" s="1868">
        <v>0.7087</v>
      </c>
      <c r="AS1106" s="1868">
        <v>0.46666999999999997</v>
      </c>
      <c r="AT1106" s="1868">
        <v>0.17691999999999999</v>
      </c>
      <c r="AU1106" s="1868">
        <v>0.31</v>
      </c>
      <c r="AV1106" s="1868">
        <v>0.63636000000000004</v>
      </c>
      <c r="AW1106" s="1868">
        <v>0.88234999999999997</v>
      </c>
      <c r="AX1106" s="1868">
        <v>0.88571</v>
      </c>
      <c r="AY1106" s="1868">
        <v>0.77001999999999993</v>
      </c>
      <c r="AZ1106" s="1868">
        <v>0.58840999999999999</v>
      </c>
      <c r="BA1106" s="1868">
        <v>0.54053999999999991</v>
      </c>
    </row>
    <row r="1107" spans="1:53">
      <c r="A1107" s="1865" t="str">
        <f t="shared" si="17"/>
        <v>Southern AfricaSeed cotton</v>
      </c>
      <c r="B1107" s="1866" t="s">
        <v>1422</v>
      </c>
      <c r="C1107" s="1866" t="s">
        <v>1397</v>
      </c>
      <c r="D1107" s="1868">
        <v>1.15394</v>
      </c>
      <c r="E1107" s="1868">
        <v>1.03006</v>
      </c>
      <c r="F1107" s="1868">
        <v>1.1330100000000001</v>
      </c>
      <c r="G1107" s="1868">
        <v>0.70909</v>
      </c>
      <c r="H1107" s="1868">
        <v>1.2278</v>
      </c>
      <c r="I1107" s="1868">
        <v>0.65969</v>
      </c>
      <c r="J1107" s="1868">
        <v>0.52818999999999994</v>
      </c>
      <c r="K1107" s="1868">
        <v>0.57311999999999996</v>
      </c>
      <c r="L1107" s="1868">
        <v>0.74843000000000004</v>
      </c>
      <c r="M1107" s="1868">
        <v>0.54196999999999995</v>
      </c>
      <c r="N1107" s="1868">
        <v>1.4360600000000001</v>
      </c>
      <c r="O1107" s="1868">
        <v>0.55926000000000009</v>
      </c>
      <c r="P1107" s="1868">
        <v>0.62098999999999993</v>
      </c>
      <c r="Q1107" s="1868">
        <v>1.21976</v>
      </c>
      <c r="R1107" s="1868">
        <v>1.8915500000000001</v>
      </c>
      <c r="S1107" s="1868">
        <v>1.3739399999999999</v>
      </c>
      <c r="T1107" s="1868">
        <v>1.3844100000000001</v>
      </c>
      <c r="U1107" s="1868">
        <v>1.5297100000000001</v>
      </c>
      <c r="V1107" s="1868">
        <v>1.36693</v>
      </c>
      <c r="W1107" s="1868">
        <v>1.3497600000000001</v>
      </c>
      <c r="X1107" s="1868">
        <v>1.2813700000000001</v>
      </c>
      <c r="Y1107" s="1868">
        <v>0.92042999999999997</v>
      </c>
      <c r="Z1107" s="1868">
        <v>0.67331000000000008</v>
      </c>
      <c r="AA1107" s="1868">
        <v>0.9083</v>
      </c>
      <c r="AB1107" s="1868">
        <v>1.0924700000000001</v>
      </c>
      <c r="AC1107" s="1868">
        <v>0.95817000000000008</v>
      </c>
      <c r="AD1107" s="1868">
        <v>0.94510000000000005</v>
      </c>
      <c r="AE1107" s="1868">
        <v>1.0739100000000001</v>
      </c>
      <c r="AF1107" s="1868">
        <v>1.0572299999999999</v>
      </c>
      <c r="AG1107" s="1868">
        <v>1.26728</v>
      </c>
      <c r="AH1107" s="1868">
        <v>1.3333299999999999</v>
      </c>
      <c r="AI1107" s="1868">
        <v>0.93027999999999988</v>
      </c>
      <c r="AJ1107" s="1868">
        <v>0.95072999999999996</v>
      </c>
      <c r="AK1107" s="1868">
        <v>1.01004</v>
      </c>
      <c r="AL1107" s="1868">
        <v>1.16801</v>
      </c>
      <c r="AM1107" s="1868">
        <v>1.3000100000000001</v>
      </c>
      <c r="AN1107" s="1868">
        <v>0.86801000000000006</v>
      </c>
      <c r="AO1107" s="1868">
        <v>1.0842700000000001</v>
      </c>
      <c r="AP1107" s="1868">
        <v>1.1442299999999999</v>
      </c>
      <c r="AQ1107" s="1868">
        <v>1.0603499999999999</v>
      </c>
      <c r="AR1107" s="1868">
        <v>1.5551900000000001</v>
      </c>
      <c r="AS1107" s="1868">
        <v>1.1535299999999999</v>
      </c>
      <c r="AT1107" s="1868">
        <v>1.7737400000000001</v>
      </c>
      <c r="AU1107" s="1868">
        <v>2.0951</v>
      </c>
      <c r="AV1107" s="1868">
        <v>2.19902</v>
      </c>
      <c r="AW1107" s="1868">
        <v>2.13429</v>
      </c>
      <c r="AX1107" s="1868">
        <v>2.36307</v>
      </c>
      <c r="AY1107" s="1868">
        <v>2.4327700000000001</v>
      </c>
      <c r="AZ1107" s="1868">
        <v>2.5208200000000001</v>
      </c>
      <c r="BA1107" s="1868">
        <v>2.4490400000000001</v>
      </c>
    </row>
    <row r="1108" spans="1:53">
      <c r="A1108" s="1865" t="str">
        <f t="shared" si="17"/>
        <v>Southern AfricaSisal</v>
      </c>
      <c r="B1108" s="1866" t="s">
        <v>1422</v>
      </c>
      <c r="C1108" s="1866" t="s">
        <v>1398</v>
      </c>
      <c r="D1108" s="1868">
        <v>0.46666999999999997</v>
      </c>
      <c r="E1108" s="1868">
        <v>0.6</v>
      </c>
      <c r="F1108" s="1868">
        <v>0.6</v>
      </c>
      <c r="G1108" s="1868">
        <v>0.6</v>
      </c>
      <c r="H1108" s="1868">
        <v>0.66666999999999998</v>
      </c>
      <c r="I1108" s="1868">
        <v>0.76666999999999996</v>
      </c>
      <c r="J1108" s="1868">
        <v>0.72</v>
      </c>
      <c r="K1108" s="1868">
        <v>0.8</v>
      </c>
      <c r="L1108" s="1868">
        <v>1.14286</v>
      </c>
      <c r="M1108" s="1868">
        <v>1.14286</v>
      </c>
      <c r="N1108" s="1868">
        <v>1.14286</v>
      </c>
      <c r="O1108" s="1868">
        <v>0.625</v>
      </c>
      <c r="P1108" s="1868">
        <v>0.91249999999999998</v>
      </c>
      <c r="Q1108" s="1868">
        <v>1</v>
      </c>
      <c r="R1108" s="1868">
        <v>1.14286</v>
      </c>
      <c r="S1108" s="1868">
        <v>0.93932999999999989</v>
      </c>
      <c r="T1108" s="1868">
        <v>0.97924999999999995</v>
      </c>
      <c r="U1108" s="1868">
        <v>0.76824999999999999</v>
      </c>
      <c r="V1108" s="1868">
        <v>0.9325</v>
      </c>
      <c r="W1108" s="1868">
        <v>1.09091</v>
      </c>
      <c r="X1108" s="1868">
        <v>1.1666700000000001</v>
      </c>
      <c r="Y1108" s="1868">
        <v>0.86167000000000005</v>
      </c>
      <c r="Z1108" s="1868">
        <v>0.8135</v>
      </c>
      <c r="AA1108" s="1868">
        <v>0.8125</v>
      </c>
      <c r="AB1108" s="1868">
        <v>1</v>
      </c>
      <c r="AC1108" s="1868">
        <v>1</v>
      </c>
      <c r="AD1108" s="1868">
        <v>1</v>
      </c>
      <c r="AE1108" s="1868">
        <v>1</v>
      </c>
      <c r="AF1108" s="1868">
        <v>0.86067000000000005</v>
      </c>
      <c r="AG1108" s="1868">
        <v>1.0660000000000001</v>
      </c>
      <c r="AH1108" s="1868">
        <v>1.07474</v>
      </c>
      <c r="AI1108" s="1868">
        <v>0.86</v>
      </c>
      <c r="AJ1108" s="1868">
        <v>0.76171</v>
      </c>
      <c r="AK1108" s="1868">
        <v>0.82542999999999989</v>
      </c>
      <c r="AL1108" s="1868">
        <v>0.76343000000000005</v>
      </c>
      <c r="AM1108" s="1868">
        <v>0.71428999999999998</v>
      </c>
      <c r="AN1108" s="1868">
        <v>0.73333000000000004</v>
      </c>
      <c r="AO1108" s="1868">
        <v>0.81157999999999997</v>
      </c>
      <c r="AP1108" s="1868">
        <v>0.73077000000000003</v>
      </c>
      <c r="AQ1108" s="1868">
        <v>0.71588000000000007</v>
      </c>
      <c r="AR1108" s="1868">
        <v>0.71250000000000002</v>
      </c>
      <c r="AS1108" s="1868">
        <v>0.70909</v>
      </c>
      <c r="AT1108" s="1868">
        <v>0.63939000000000001</v>
      </c>
      <c r="AU1108" s="1868">
        <v>0.63</v>
      </c>
      <c r="AV1108" s="1868">
        <v>0.65</v>
      </c>
      <c r="AW1108" s="1868">
        <v>0.63</v>
      </c>
      <c r="AX1108" s="1868">
        <v>0.48599999999999999</v>
      </c>
      <c r="AY1108" s="1868">
        <v>0.42699999999999999</v>
      </c>
      <c r="AZ1108" s="1868">
        <v>0.39050000000000001</v>
      </c>
      <c r="BA1108" s="1868">
        <v>0.41499999999999998</v>
      </c>
    </row>
    <row r="1109" spans="1:53">
      <c r="A1109" s="1865" t="str">
        <f t="shared" si="17"/>
        <v>Southern AfricaSorghum</v>
      </c>
      <c r="B1109" s="1866" t="s">
        <v>1422</v>
      </c>
      <c r="C1109" s="1866" t="s">
        <v>1399</v>
      </c>
      <c r="D1109" s="1868">
        <v>0.76054999999999995</v>
      </c>
      <c r="E1109" s="1868">
        <v>0.64702999999999999</v>
      </c>
      <c r="F1109" s="1868">
        <v>0.55591000000000002</v>
      </c>
      <c r="G1109" s="1868">
        <v>0.66396999999999995</v>
      </c>
      <c r="H1109" s="1868">
        <v>0.81489999999999996</v>
      </c>
      <c r="I1109" s="1868">
        <v>0.65706999999999993</v>
      </c>
      <c r="J1109" s="1868">
        <v>0.93002000000000007</v>
      </c>
      <c r="K1109" s="1868">
        <v>0.63005</v>
      </c>
      <c r="L1109" s="1868">
        <v>0.61614999999999998</v>
      </c>
      <c r="M1109" s="1868">
        <v>0.78605000000000003</v>
      </c>
      <c r="N1109" s="1868">
        <v>1.0719000000000001</v>
      </c>
      <c r="O1109" s="1868">
        <v>1.28572</v>
      </c>
      <c r="P1109" s="1868">
        <v>0.76466000000000001</v>
      </c>
      <c r="Q1109" s="1868">
        <v>1.61338</v>
      </c>
      <c r="R1109" s="1868">
        <v>1.10643</v>
      </c>
      <c r="S1109" s="1868">
        <v>1.0327200000000001</v>
      </c>
      <c r="T1109" s="1868">
        <v>1.14778</v>
      </c>
      <c r="U1109" s="1868">
        <v>1.6451200000000001</v>
      </c>
      <c r="V1109" s="1868">
        <v>1.22485</v>
      </c>
      <c r="W1109" s="1868">
        <v>1.6573599999999999</v>
      </c>
      <c r="X1109" s="1868">
        <v>1.47021</v>
      </c>
      <c r="Y1109" s="1868">
        <v>1.0175000000000001</v>
      </c>
      <c r="Z1109" s="1868">
        <v>0.73287999999999998</v>
      </c>
      <c r="AA1109" s="1868">
        <v>1.1865600000000001</v>
      </c>
      <c r="AB1109" s="1868">
        <v>1.2952600000000001</v>
      </c>
      <c r="AC1109" s="1868">
        <v>0.95899999999999996</v>
      </c>
      <c r="AD1109" s="1868">
        <v>1.18709</v>
      </c>
      <c r="AE1109" s="1868">
        <v>1.1854200000000001</v>
      </c>
      <c r="AF1109" s="1868">
        <v>1.1964900000000001</v>
      </c>
      <c r="AG1109" s="1868">
        <v>1.0092399999999999</v>
      </c>
      <c r="AH1109" s="1868">
        <v>1.1539700000000002</v>
      </c>
      <c r="AI1109" s="1868">
        <v>0.51815</v>
      </c>
      <c r="AJ1109" s="1868">
        <v>1.59944</v>
      </c>
      <c r="AK1109" s="1868">
        <v>1.21827</v>
      </c>
      <c r="AL1109" s="1868">
        <v>1.1811499999999999</v>
      </c>
      <c r="AM1109" s="1868">
        <v>1.5282799999999999</v>
      </c>
      <c r="AN1109" s="1868">
        <v>1.6762099999999998</v>
      </c>
      <c r="AO1109" s="1868">
        <v>2.0226900000000003</v>
      </c>
      <c r="AP1109" s="1868">
        <v>1.3877999999999999</v>
      </c>
      <c r="AQ1109" s="1868">
        <v>1.7845900000000001</v>
      </c>
      <c r="AR1109" s="1868">
        <v>1.1822299999999999</v>
      </c>
      <c r="AS1109" s="1868">
        <v>1.78027</v>
      </c>
      <c r="AT1109" s="1868">
        <v>1.92892</v>
      </c>
      <c r="AU1109" s="1868">
        <v>1.9634499999999999</v>
      </c>
      <c r="AV1109" s="1868">
        <v>1.7877799999999999</v>
      </c>
      <c r="AW1109" s="1868">
        <v>1.13588</v>
      </c>
      <c r="AX1109" s="1868">
        <v>1.4765600000000001</v>
      </c>
      <c r="AY1109" s="1868">
        <v>1.65798</v>
      </c>
      <c r="AZ1109" s="1868">
        <v>2.0236000000000001</v>
      </c>
      <c r="BA1109" s="1868">
        <v>1.4321700000000002</v>
      </c>
    </row>
    <row r="1110" spans="1:53">
      <c r="A1110" s="1865" t="str">
        <f t="shared" si="17"/>
        <v>Southern AfricaSoybeans</v>
      </c>
      <c r="B1110" s="1866" t="s">
        <v>1422</v>
      </c>
      <c r="C1110" s="1866" t="s">
        <v>1359</v>
      </c>
      <c r="D1110" s="1868">
        <v>0.5262</v>
      </c>
      <c r="E1110" s="1868">
        <v>0.5262</v>
      </c>
      <c r="F1110" s="1868">
        <v>0.4718</v>
      </c>
      <c r="G1110" s="1868">
        <v>0.42857000000000001</v>
      </c>
      <c r="H1110" s="1868">
        <v>0.42857000000000001</v>
      </c>
      <c r="I1110" s="1868">
        <v>0.4</v>
      </c>
      <c r="J1110" s="1868">
        <v>0.39823000000000003</v>
      </c>
      <c r="K1110" s="1868">
        <v>0.32682</v>
      </c>
      <c r="L1110" s="1868">
        <v>0.54664999999999997</v>
      </c>
      <c r="M1110" s="1868">
        <v>0.54363000000000006</v>
      </c>
      <c r="N1110" s="1868">
        <v>0.41428999999999994</v>
      </c>
      <c r="O1110" s="1868">
        <v>0.25</v>
      </c>
      <c r="P1110" s="1868">
        <v>0.51111000000000006</v>
      </c>
      <c r="Q1110" s="1868">
        <v>1.64615</v>
      </c>
      <c r="R1110" s="1868">
        <v>0.94582999999999995</v>
      </c>
      <c r="S1110" s="1868">
        <v>0.81363999999999992</v>
      </c>
      <c r="T1110" s="1868">
        <v>1.1879999999999999</v>
      </c>
      <c r="U1110" s="1868">
        <v>1.57874</v>
      </c>
      <c r="V1110" s="1868">
        <v>1.01539</v>
      </c>
      <c r="W1110" s="1868">
        <v>1.4098899999999999</v>
      </c>
      <c r="X1110" s="1868">
        <v>1.2545500000000001</v>
      </c>
      <c r="Y1110" s="1868">
        <v>0.97491000000000005</v>
      </c>
      <c r="Z1110" s="1868">
        <v>0.95667000000000002</v>
      </c>
      <c r="AA1110" s="1868">
        <v>1.1114299999999999</v>
      </c>
      <c r="AB1110" s="1868">
        <v>1.73478</v>
      </c>
      <c r="AC1110" s="1868">
        <v>1.2633299999999998</v>
      </c>
      <c r="AD1110" s="1868">
        <v>1.05758</v>
      </c>
      <c r="AE1110" s="1868">
        <v>1.6325000000000001</v>
      </c>
      <c r="AF1110" s="1868">
        <v>1.7863599999999999</v>
      </c>
      <c r="AG1110" s="1868">
        <v>1.9377099999999998</v>
      </c>
      <c r="AH1110" s="1868">
        <v>1.5540200000000002</v>
      </c>
      <c r="AI1110" s="1868">
        <v>0.75783</v>
      </c>
      <c r="AJ1110" s="1868">
        <v>1.4919799999999999</v>
      </c>
      <c r="AK1110" s="1868">
        <v>1.2315499999999999</v>
      </c>
      <c r="AL1110" s="1868">
        <v>0.90049000000000001</v>
      </c>
      <c r="AM1110" s="1868">
        <v>1.1764700000000001</v>
      </c>
      <c r="AN1110" s="1868">
        <v>1.6901400000000002</v>
      </c>
      <c r="AO1110" s="1868">
        <v>1.6072</v>
      </c>
      <c r="AP1110" s="1868">
        <v>1.43672</v>
      </c>
      <c r="AQ1110" s="1868">
        <v>1.63639</v>
      </c>
      <c r="AR1110" s="1868">
        <v>1.6854</v>
      </c>
      <c r="AS1110" s="1868">
        <v>1.7962099999999999</v>
      </c>
      <c r="AT1110" s="1868">
        <v>1.3634299999999999</v>
      </c>
      <c r="AU1110" s="1868">
        <v>1.6296299999999999</v>
      </c>
      <c r="AV1110" s="1868">
        <v>1.81667</v>
      </c>
      <c r="AW1110" s="1868">
        <v>1.7624799999999998</v>
      </c>
      <c r="AX1110" s="1868">
        <v>1.12022</v>
      </c>
      <c r="AY1110" s="1868">
        <v>1.7049599999999998</v>
      </c>
      <c r="AZ1110" s="1868">
        <v>2.17035</v>
      </c>
      <c r="BA1110" s="1868">
        <v>1.8173099999999998</v>
      </c>
    </row>
    <row r="1111" spans="1:53">
      <c r="A1111" s="1865" t="str">
        <f t="shared" si="17"/>
        <v>Southern AfricaStrawberries</v>
      </c>
      <c r="B1111" s="1866" t="s">
        <v>1422</v>
      </c>
      <c r="C1111" s="1866" t="s">
        <v>1400</v>
      </c>
      <c r="D1111" s="1868">
        <v>2.95</v>
      </c>
      <c r="E1111" s="1868">
        <v>3.165</v>
      </c>
      <c r="F1111" s="1868">
        <v>4.2359999999999998</v>
      </c>
      <c r="G1111" s="1868">
        <v>3.016</v>
      </c>
      <c r="H1111" s="1868">
        <v>3.78</v>
      </c>
      <c r="I1111" s="1868">
        <v>3.5720000000000001</v>
      </c>
      <c r="J1111" s="1868">
        <v>3.4849999999999999</v>
      </c>
      <c r="K1111" s="1868">
        <v>3.9350000000000001</v>
      </c>
      <c r="L1111" s="1868">
        <v>3.4119999999999999</v>
      </c>
      <c r="M1111" s="1868">
        <v>3.7559999999999998</v>
      </c>
      <c r="N1111" s="1868">
        <v>3.66</v>
      </c>
      <c r="O1111" s="1868">
        <v>3.855</v>
      </c>
      <c r="P1111" s="1868">
        <v>4.7043499999999998</v>
      </c>
      <c r="Q1111" s="1868">
        <v>4.2391300000000003</v>
      </c>
      <c r="R1111" s="1868">
        <v>4.2322600000000001</v>
      </c>
      <c r="S1111" s="1868">
        <v>4.24308</v>
      </c>
      <c r="T1111" s="1868">
        <v>4.3507699999999998</v>
      </c>
      <c r="U1111" s="1868">
        <v>4.4723100000000002</v>
      </c>
      <c r="V1111" s="1868">
        <v>4.21692</v>
      </c>
      <c r="W1111" s="1868">
        <v>4.7369199999999996</v>
      </c>
      <c r="X1111" s="1868">
        <v>4.1338499999999998</v>
      </c>
      <c r="Y1111" s="1868">
        <v>4.2353899999999998</v>
      </c>
      <c r="Z1111" s="1868">
        <v>4.8111100000000002</v>
      </c>
      <c r="AA1111" s="1868">
        <v>4.3958300000000001</v>
      </c>
      <c r="AB1111" s="1868">
        <v>5.0054800000000004</v>
      </c>
      <c r="AC1111" s="1868">
        <v>5.4893300000000007</v>
      </c>
      <c r="AD1111" s="1868">
        <v>6.9218000000000002</v>
      </c>
      <c r="AE1111" s="1868">
        <v>6.7052600000000009</v>
      </c>
      <c r="AF1111" s="1868">
        <v>7.8482399999999997</v>
      </c>
      <c r="AG1111" s="1868">
        <v>6.7253499999999997</v>
      </c>
      <c r="AH1111" s="1868">
        <v>6.9901800000000005</v>
      </c>
      <c r="AI1111" s="1868">
        <v>6.3685700000000001</v>
      </c>
      <c r="AJ1111" s="1868">
        <v>7.1872999999999996</v>
      </c>
      <c r="AK1111" s="1868">
        <v>5.0379800000000001</v>
      </c>
      <c r="AL1111" s="1868">
        <v>6.5911999999999997</v>
      </c>
      <c r="AM1111" s="1868">
        <v>5.5033300000000001</v>
      </c>
      <c r="AN1111" s="1868">
        <v>5.8769200000000001</v>
      </c>
      <c r="AO1111" s="1868">
        <v>5.7395199999999997</v>
      </c>
      <c r="AP1111" s="1868">
        <v>6.7985300000000004</v>
      </c>
      <c r="AQ1111" s="1868">
        <v>10.367139999999999</v>
      </c>
      <c r="AR1111" s="1868">
        <v>7.6477100000000009</v>
      </c>
      <c r="AS1111" s="1868">
        <v>11.72</v>
      </c>
      <c r="AT1111" s="1868">
        <v>14.353289999999999</v>
      </c>
      <c r="AU1111" s="1868">
        <v>12.904439999999999</v>
      </c>
      <c r="AV1111" s="1868">
        <v>9.9760000000000009</v>
      </c>
      <c r="AW1111" s="1868">
        <v>9.5066699999999997</v>
      </c>
      <c r="AX1111" s="1868">
        <v>9.6645800000000008</v>
      </c>
      <c r="AY1111" s="1868">
        <v>9.5260300000000004</v>
      </c>
      <c r="AZ1111" s="1868">
        <v>10.94727</v>
      </c>
      <c r="BA1111" s="1868">
        <v>8.8145500000000006</v>
      </c>
    </row>
    <row r="1112" spans="1:53">
      <c r="A1112" s="1865" t="str">
        <f t="shared" si="17"/>
        <v>Southern AfricaSugar cane</v>
      </c>
      <c r="B1112" s="1866" t="s">
        <v>1422</v>
      </c>
      <c r="C1112" s="1866" t="s">
        <v>1401</v>
      </c>
      <c r="D1112" s="1868">
        <v>89.99651999999999</v>
      </c>
      <c r="E1112" s="1868">
        <v>101.41514000000001</v>
      </c>
      <c r="F1112" s="1868">
        <v>79.638959999999997</v>
      </c>
      <c r="G1112" s="1868">
        <v>80.099689999999995</v>
      </c>
      <c r="H1112" s="1868">
        <v>56.623769999999993</v>
      </c>
      <c r="I1112" s="1868">
        <v>83.340419999999995</v>
      </c>
      <c r="J1112" s="1868">
        <v>86.26621999999999</v>
      </c>
      <c r="K1112" s="1868">
        <v>77.132080000000002</v>
      </c>
      <c r="L1112" s="1868">
        <v>81.673230000000004</v>
      </c>
      <c r="M1112" s="1868">
        <v>77.177409999999995</v>
      </c>
      <c r="N1112" s="1868">
        <v>92.499840000000006</v>
      </c>
      <c r="O1112" s="1868">
        <v>94.783000000000001</v>
      </c>
      <c r="P1112" s="1868">
        <v>86.894499999999994</v>
      </c>
      <c r="Q1112" s="1868">
        <v>91.57238000000001</v>
      </c>
      <c r="R1112" s="1868">
        <v>92.079669999999993</v>
      </c>
      <c r="S1112" s="1868">
        <v>96.260869999999997</v>
      </c>
      <c r="T1112" s="1868">
        <v>88.746639999999999</v>
      </c>
      <c r="U1112" s="1868">
        <v>90.966890000000006</v>
      </c>
      <c r="V1112" s="1868">
        <v>85.858699999999999</v>
      </c>
      <c r="W1112" s="1868">
        <v>70.64003000000001</v>
      </c>
      <c r="X1112" s="1868">
        <v>78.998959999999997</v>
      </c>
      <c r="Y1112" s="1868">
        <v>75.749279999999999</v>
      </c>
      <c r="Z1112" s="1868">
        <v>63.767189999999999</v>
      </c>
      <c r="AA1112" s="1868">
        <v>84.618569999999991</v>
      </c>
      <c r="AB1112" s="1868">
        <v>73.625349999999997</v>
      </c>
      <c r="AC1112" s="1868">
        <v>71.826909999999998</v>
      </c>
      <c r="AD1112" s="1868">
        <v>80.341949999999997</v>
      </c>
      <c r="AE1112" s="1868">
        <v>75.242599999999996</v>
      </c>
      <c r="AF1112" s="1868">
        <v>75.946240000000003</v>
      </c>
      <c r="AG1112" s="1868">
        <v>72.795580000000001</v>
      </c>
      <c r="AH1112" s="1868">
        <v>76.006519999999995</v>
      </c>
      <c r="AI1112" s="1868">
        <v>53.511959999999995</v>
      </c>
      <c r="AJ1112" s="1868">
        <v>48.685090000000002</v>
      </c>
      <c r="AK1112" s="1868">
        <v>62.95214</v>
      </c>
      <c r="AL1112" s="1868">
        <v>64.80646999999999</v>
      </c>
      <c r="AM1112" s="1868">
        <v>73.223410000000001</v>
      </c>
      <c r="AN1112" s="1868">
        <v>77.091239999999999</v>
      </c>
      <c r="AO1112" s="1868">
        <v>75.572590000000005</v>
      </c>
      <c r="AP1112" s="1868">
        <v>71.808530000000005</v>
      </c>
      <c r="AQ1112" s="1868">
        <v>75.745699999999999</v>
      </c>
      <c r="AR1112" s="1868">
        <v>67.443700000000007</v>
      </c>
      <c r="AS1112" s="1868">
        <v>73.340240000000009</v>
      </c>
      <c r="AT1112" s="1868">
        <v>66.662490000000005</v>
      </c>
      <c r="AU1112" s="1868">
        <v>63.731019999999994</v>
      </c>
      <c r="AV1112" s="1868">
        <v>69.841030000000003</v>
      </c>
      <c r="AW1112" s="1868">
        <v>67.908839999999998</v>
      </c>
      <c r="AX1112" s="1868">
        <v>65.88973</v>
      </c>
      <c r="AY1112" s="1868">
        <v>65.202690000000004</v>
      </c>
      <c r="AZ1112" s="1868">
        <v>65.165570000000002</v>
      </c>
      <c r="BA1112" s="1868">
        <v>65.879619999999989</v>
      </c>
    </row>
    <row r="1113" spans="1:53">
      <c r="A1113" s="1865" t="str">
        <f t="shared" si="17"/>
        <v>Southern AfricaSunflower seed</v>
      </c>
      <c r="B1113" s="1866" t="s">
        <v>1422</v>
      </c>
      <c r="C1113" s="1866" t="s">
        <v>1402</v>
      </c>
      <c r="D1113" s="1868">
        <v>0.59162000000000003</v>
      </c>
      <c r="E1113" s="1868">
        <v>0.64516000000000007</v>
      </c>
      <c r="F1113" s="1868">
        <v>0.57955000000000001</v>
      </c>
      <c r="G1113" s="1868">
        <v>0.51553000000000004</v>
      </c>
      <c r="H1113" s="1868">
        <v>0.55354999999999999</v>
      </c>
      <c r="I1113" s="1868">
        <v>0.59614</v>
      </c>
      <c r="J1113" s="1868">
        <v>0.75324999999999998</v>
      </c>
      <c r="K1113" s="1868">
        <v>0.52788000000000002</v>
      </c>
      <c r="L1113" s="1868">
        <v>0.56040000000000001</v>
      </c>
      <c r="M1113" s="1868">
        <v>0.53495000000000004</v>
      </c>
      <c r="N1113" s="1868">
        <v>0.74129</v>
      </c>
      <c r="O1113" s="1868">
        <v>0.81291999999999998</v>
      </c>
      <c r="P1113" s="1868">
        <v>0.72892000000000001</v>
      </c>
      <c r="Q1113" s="1868">
        <v>1.09117</v>
      </c>
      <c r="R1113" s="1868">
        <v>0.9186700000000001</v>
      </c>
      <c r="S1113" s="1868">
        <v>0.9378200000000001</v>
      </c>
      <c r="T1113" s="1868">
        <v>1.2174200000000002</v>
      </c>
      <c r="U1113" s="1868">
        <v>0.82315000000000005</v>
      </c>
      <c r="V1113" s="1868">
        <v>0.83771000000000007</v>
      </c>
      <c r="W1113" s="1868">
        <v>1.11578</v>
      </c>
      <c r="X1113" s="1868">
        <v>1.59087</v>
      </c>
      <c r="Y1113" s="1868">
        <v>0.96217999999999992</v>
      </c>
      <c r="Z1113" s="1868">
        <v>0.70262999999999998</v>
      </c>
      <c r="AA1113" s="1868">
        <v>0.54136000000000006</v>
      </c>
      <c r="AB1113" s="1868">
        <v>0.77471999999999996</v>
      </c>
      <c r="AC1113" s="1868">
        <v>0.84888999999999992</v>
      </c>
      <c r="AD1113" s="1868">
        <v>0.97368999999999994</v>
      </c>
      <c r="AE1113" s="1868">
        <v>0.91828999999999994</v>
      </c>
      <c r="AF1113" s="1868">
        <v>1.0166999999999999</v>
      </c>
      <c r="AG1113" s="1868">
        <v>1.16754</v>
      </c>
      <c r="AH1113" s="1868">
        <v>0.99934000000000001</v>
      </c>
      <c r="AI1113" s="1868">
        <v>0.38653999999999999</v>
      </c>
      <c r="AJ1113" s="1868">
        <v>0.80335000000000001</v>
      </c>
      <c r="AK1113" s="1868">
        <v>0.88959999999999995</v>
      </c>
      <c r="AL1113" s="1868">
        <v>0.99724000000000002</v>
      </c>
      <c r="AM1113" s="1868">
        <v>1.28912</v>
      </c>
      <c r="AN1113" s="1868">
        <v>1.00969</v>
      </c>
      <c r="AO1113" s="1868">
        <v>1.1433</v>
      </c>
      <c r="AP1113" s="1868">
        <v>1.46139</v>
      </c>
      <c r="AQ1113" s="1868">
        <v>1.42516</v>
      </c>
      <c r="AR1113" s="1868">
        <v>1.3206799999999999</v>
      </c>
      <c r="AS1113" s="1868">
        <v>1.4405399999999999</v>
      </c>
      <c r="AT1113" s="1868">
        <v>1.12513</v>
      </c>
      <c r="AU1113" s="1868">
        <v>1.22061</v>
      </c>
      <c r="AV1113" s="1868">
        <v>1.3470600000000001</v>
      </c>
      <c r="AW1113" s="1868">
        <v>1.0999299999999999</v>
      </c>
      <c r="AX1113" s="1868">
        <v>0.94902999999999993</v>
      </c>
      <c r="AY1113" s="1868">
        <v>1.53654</v>
      </c>
      <c r="AZ1113" s="1868">
        <v>1.2572399999999999</v>
      </c>
      <c r="BA1113" s="1868">
        <v>1.2294</v>
      </c>
    </row>
    <row r="1114" spans="1:53">
      <c r="A1114" s="1865" t="str">
        <f t="shared" si="17"/>
        <v>Southern AfricaSweet potatoes</v>
      </c>
      <c r="B1114" s="1866" t="s">
        <v>1422</v>
      </c>
      <c r="C1114" s="1866" t="s">
        <v>1403</v>
      </c>
      <c r="D1114" s="1868">
        <v>3.0820500000000002</v>
      </c>
      <c r="E1114" s="1868">
        <v>3.30769</v>
      </c>
      <c r="F1114" s="1868">
        <v>2.63855</v>
      </c>
      <c r="G1114" s="1868">
        <v>2.7916699999999999</v>
      </c>
      <c r="H1114" s="1868">
        <v>2.6071400000000002</v>
      </c>
      <c r="I1114" s="1868">
        <v>2.5535700000000001</v>
      </c>
      <c r="J1114" s="1868">
        <v>2.9107099999999999</v>
      </c>
      <c r="K1114" s="1868">
        <v>3.0188700000000002</v>
      </c>
      <c r="L1114" s="1868">
        <v>2.7562500000000001</v>
      </c>
      <c r="M1114" s="1868">
        <v>3.42</v>
      </c>
      <c r="N1114" s="1868">
        <v>2.9643200000000003</v>
      </c>
      <c r="O1114" s="1868">
        <v>3.3016199999999998</v>
      </c>
      <c r="P1114" s="1868">
        <v>3.1842999999999999</v>
      </c>
      <c r="Q1114" s="1868">
        <v>3.4491699999999996</v>
      </c>
      <c r="R1114" s="1868">
        <v>3.2787599999999997</v>
      </c>
      <c r="S1114" s="1868">
        <v>3.4643699999999997</v>
      </c>
      <c r="T1114" s="1868">
        <v>3.4787499999999998</v>
      </c>
      <c r="U1114" s="1868">
        <v>3.0285700000000002</v>
      </c>
      <c r="V1114" s="1868">
        <v>3.1666699999999999</v>
      </c>
      <c r="W1114" s="1868">
        <v>3.1627900000000002</v>
      </c>
      <c r="X1114" s="1868">
        <v>3.3448800000000003</v>
      </c>
      <c r="Y1114" s="1868">
        <v>3.2488900000000003</v>
      </c>
      <c r="Z1114" s="1868">
        <v>3.5387499999999998</v>
      </c>
      <c r="AA1114" s="1868">
        <v>3.3519699999999997</v>
      </c>
      <c r="AB1114" s="1868">
        <v>3.8157999999999999</v>
      </c>
      <c r="AC1114" s="1868">
        <v>3.4713099999999999</v>
      </c>
      <c r="AD1114" s="1868">
        <v>3.7115400000000003</v>
      </c>
      <c r="AE1114" s="1868">
        <v>3.4367199999999998</v>
      </c>
      <c r="AF1114" s="1868">
        <v>3.4901199999999997</v>
      </c>
      <c r="AG1114" s="1868">
        <v>3.1691199999999999</v>
      </c>
      <c r="AH1114" s="1868">
        <v>3.3191099999999998</v>
      </c>
      <c r="AI1114" s="1868">
        <v>3.6838599999999997</v>
      </c>
      <c r="AJ1114" s="1868">
        <v>3.5979800000000002</v>
      </c>
      <c r="AK1114" s="1868">
        <v>3.6687500000000002</v>
      </c>
      <c r="AL1114" s="1868">
        <v>3.3628199999999997</v>
      </c>
      <c r="AM1114" s="1868">
        <v>2.9596800000000001</v>
      </c>
      <c r="AN1114" s="1868">
        <v>3.6776300000000002</v>
      </c>
      <c r="AO1114" s="1868">
        <v>3.3710400000000003</v>
      </c>
      <c r="AP1114" s="1868">
        <v>2.3593299999999999</v>
      </c>
      <c r="AQ1114" s="1868">
        <v>2.17943</v>
      </c>
      <c r="AR1114" s="1868">
        <v>2.1953</v>
      </c>
      <c r="AS1114" s="1868">
        <v>3.3398400000000001</v>
      </c>
      <c r="AT1114" s="1868">
        <v>3.31</v>
      </c>
      <c r="AU1114" s="1868">
        <v>3.2957199999999998</v>
      </c>
      <c r="AV1114" s="1868">
        <v>3.23902</v>
      </c>
      <c r="AW1114" s="1868">
        <v>3.0241700000000002</v>
      </c>
      <c r="AX1114" s="1868">
        <v>3.14513</v>
      </c>
      <c r="AY1114" s="1868">
        <v>3.29121</v>
      </c>
      <c r="AZ1114" s="1868">
        <v>2.92679</v>
      </c>
      <c r="BA1114" s="1868">
        <v>3.1777799999999998</v>
      </c>
    </row>
    <row r="1115" spans="1:53">
      <c r="A1115" s="1865" t="str">
        <f t="shared" si="17"/>
        <v>Southern AfricaTangerines, mandarins, clem.</v>
      </c>
      <c r="B1115" s="1866" t="s">
        <v>1422</v>
      </c>
      <c r="C1115" s="1866" t="s">
        <v>1404</v>
      </c>
      <c r="D1115" s="1868">
        <v>12.40286</v>
      </c>
      <c r="E1115" s="1868">
        <v>13.401249999999999</v>
      </c>
      <c r="F1115" s="1868">
        <v>13.12125</v>
      </c>
      <c r="G1115" s="1868">
        <v>12.32375</v>
      </c>
      <c r="H1115" s="1868">
        <v>15.728999999999999</v>
      </c>
      <c r="I1115" s="1868">
        <v>11.19111</v>
      </c>
      <c r="J1115" s="1868">
        <v>17.015000000000001</v>
      </c>
      <c r="K1115" s="1868">
        <v>15.195</v>
      </c>
      <c r="L1115" s="1868">
        <v>16.01727</v>
      </c>
      <c r="M1115" s="1868">
        <v>13.297000000000001</v>
      </c>
      <c r="N1115" s="1868">
        <v>15.98</v>
      </c>
      <c r="O1115" s="1868">
        <v>15.5425</v>
      </c>
      <c r="P1115" s="1868">
        <v>13.658179999999998</v>
      </c>
      <c r="Q1115" s="1868">
        <v>15.365329999999998</v>
      </c>
      <c r="R1115" s="1868">
        <v>14.038</v>
      </c>
      <c r="S1115" s="1868">
        <v>16.613329999999998</v>
      </c>
      <c r="T1115" s="1868">
        <v>15.773639999999999</v>
      </c>
      <c r="U1115" s="1868">
        <v>16.069289999999999</v>
      </c>
      <c r="V1115" s="1868">
        <v>15.909329999999999</v>
      </c>
      <c r="W1115" s="1868">
        <v>16.440629999999999</v>
      </c>
      <c r="X1115" s="1868">
        <v>15.561879999999999</v>
      </c>
      <c r="Y1115" s="1868">
        <v>14.88471</v>
      </c>
      <c r="Z1115" s="1868">
        <v>15.057650000000001</v>
      </c>
      <c r="AA1115" s="1868">
        <v>16.683529999999998</v>
      </c>
      <c r="AB1115" s="1868">
        <v>14.516470000000002</v>
      </c>
      <c r="AC1115" s="1868">
        <v>16.485879999999998</v>
      </c>
      <c r="AD1115" s="1868">
        <v>16.845879999999998</v>
      </c>
      <c r="AE1115" s="1868">
        <v>16.836839999999999</v>
      </c>
      <c r="AF1115" s="1868">
        <v>17.912110000000002</v>
      </c>
      <c r="AG1115" s="1868">
        <v>19.005240000000001</v>
      </c>
      <c r="AH1115" s="1868">
        <v>18.939</v>
      </c>
      <c r="AI1115" s="1868">
        <v>18.0913</v>
      </c>
      <c r="AJ1115" s="1868">
        <v>17.684799999999999</v>
      </c>
      <c r="AK1115" s="1868">
        <v>16.975680000000001</v>
      </c>
      <c r="AL1115" s="1868">
        <v>18.597670000000001</v>
      </c>
      <c r="AM1115" s="1868">
        <v>19.106490000000001</v>
      </c>
      <c r="AN1115" s="1868">
        <v>18.852720000000001</v>
      </c>
      <c r="AO1115" s="1868">
        <v>21.252470000000002</v>
      </c>
      <c r="AP1115" s="1868">
        <v>26.154770000000003</v>
      </c>
      <c r="AQ1115" s="1868">
        <v>22.339570000000002</v>
      </c>
      <c r="AR1115" s="1868">
        <v>28.086929999999999</v>
      </c>
      <c r="AS1115" s="1868">
        <v>19.88664</v>
      </c>
      <c r="AT1115" s="1868">
        <v>21.214729999999999</v>
      </c>
      <c r="AU1115" s="1868">
        <v>21.210470000000001</v>
      </c>
      <c r="AV1115" s="1868">
        <v>26.101779999999998</v>
      </c>
      <c r="AW1115" s="1868">
        <v>25.90842</v>
      </c>
      <c r="AX1115" s="1868">
        <v>25.822700000000001</v>
      </c>
      <c r="AY1115" s="1868">
        <v>26.494409999999998</v>
      </c>
      <c r="AZ1115" s="1868">
        <v>26.342919999999999</v>
      </c>
      <c r="BA1115" s="1868">
        <v>25.748200000000001</v>
      </c>
    </row>
    <row r="1116" spans="1:53">
      <c r="A1116" s="1865" t="str">
        <f t="shared" si="17"/>
        <v>Southern AfricaTea</v>
      </c>
      <c r="B1116" s="1866" t="s">
        <v>1422</v>
      </c>
      <c r="C1116" s="1866" t="s">
        <v>1405</v>
      </c>
      <c r="D1116" s="1868">
        <v>1.8181799999999999</v>
      </c>
      <c r="E1116" s="1868">
        <v>1.8181799999999999</v>
      </c>
      <c r="F1116" s="1868">
        <v>1.8181799999999999</v>
      </c>
      <c r="G1116" s="1868">
        <v>1.8181799999999999</v>
      </c>
      <c r="H1116" s="1868">
        <v>1.8181799999999999</v>
      </c>
      <c r="I1116" s="1868">
        <v>1.8181799999999999</v>
      </c>
      <c r="J1116" s="1868">
        <v>1.4285700000000001</v>
      </c>
      <c r="K1116" s="1868">
        <v>1.3333299999999999</v>
      </c>
      <c r="L1116" s="1868">
        <v>1.05263</v>
      </c>
      <c r="M1116" s="1868">
        <v>0.33333000000000002</v>
      </c>
      <c r="N1116" s="1868">
        <v>0.625</v>
      </c>
      <c r="O1116" s="1868">
        <v>0.8333299999999999</v>
      </c>
      <c r="P1116" s="1868">
        <v>0.8333299999999999</v>
      </c>
      <c r="Q1116" s="1868">
        <v>1</v>
      </c>
      <c r="R1116" s="1868">
        <v>0.81028999999999995</v>
      </c>
      <c r="S1116" s="1868">
        <v>0.98829</v>
      </c>
      <c r="T1116" s="1868">
        <v>0.86475000000000002</v>
      </c>
      <c r="U1116" s="1868">
        <v>1.01356</v>
      </c>
      <c r="V1116" s="1868">
        <v>1.0049999999999999</v>
      </c>
      <c r="W1116" s="1868">
        <v>2</v>
      </c>
      <c r="X1116" s="1868">
        <v>1.1000000000000001</v>
      </c>
      <c r="Y1116" s="1868">
        <v>1.3262</v>
      </c>
      <c r="Z1116" s="1868">
        <v>1.3390600000000001</v>
      </c>
      <c r="AA1116" s="1868">
        <v>1.3835</v>
      </c>
      <c r="AB1116" s="1868">
        <v>1.51115</v>
      </c>
      <c r="AC1116" s="1868">
        <v>1.69983</v>
      </c>
      <c r="AD1116" s="1868">
        <v>1.8449599999999999</v>
      </c>
      <c r="AE1116" s="1868">
        <v>1.8314999999999999</v>
      </c>
      <c r="AF1116" s="1868">
        <v>1.9342400000000002</v>
      </c>
      <c r="AG1116" s="1868">
        <v>1.96665</v>
      </c>
      <c r="AH1116" s="1868">
        <v>1.6557099999999998</v>
      </c>
      <c r="AI1116" s="1868">
        <v>1.5900399999999999</v>
      </c>
      <c r="AJ1116" s="1868">
        <v>1.7086299999999999</v>
      </c>
      <c r="AK1116" s="1868">
        <v>1.8460000000000001</v>
      </c>
      <c r="AL1116" s="1868">
        <v>1.8986799999999999</v>
      </c>
      <c r="AM1116" s="1868">
        <v>1.4322700000000002</v>
      </c>
      <c r="AN1116" s="1868">
        <v>1.2328399999999999</v>
      </c>
      <c r="AO1116" s="1868">
        <v>1.9417900000000001</v>
      </c>
      <c r="AP1116" s="1868">
        <v>1.7833700000000001</v>
      </c>
      <c r="AQ1116" s="1868">
        <v>1.83463</v>
      </c>
      <c r="AR1116" s="1868">
        <v>1.8072999999999999</v>
      </c>
      <c r="AS1116" s="1868">
        <v>2.01613</v>
      </c>
      <c r="AT1116" s="1868">
        <v>2.2911299999999999</v>
      </c>
      <c r="AU1116" s="1868">
        <v>1.9450000000000001</v>
      </c>
      <c r="AV1116" s="1868">
        <v>3.7551699999999997</v>
      </c>
      <c r="AW1116" s="1868">
        <v>1.7515799999999999</v>
      </c>
      <c r="AX1116" s="1868">
        <v>2.1</v>
      </c>
      <c r="AY1116" s="1868">
        <v>1.5577700000000001</v>
      </c>
      <c r="AZ1116" s="1868">
        <v>1.4266700000000001</v>
      </c>
      <c r="BA1116" s="1868">
        <v>1.375</v>
      </c>
    </row>
    <row r="1117" spans="1:53">
      <c r="A1117" s="1865" t="str">
        <f t="shared" si="17"/>
        <v>Southern AfricaTobacco, unmanufactured</v>
      </c>
      <c r="B1117" s="1866" t="s">
        <v>1422</v>
      </c>
      <c r="C1117" s="1866" t="s">
        <v>1347</v>
      </c>
      <c r="D1117" s="1868">
        <v>0.78618999999999994</v>
      </c>
      <c r="E1117" s="1868">
        <v>0.75831999999999999</v>
      </c>
      <c r="F1117" s="1868">
        <v>0.87819999999999998</v>
      </c>
      <c r="G1117" s="1868">
        <v>0.91757999999999995</v>
      </c>
      <c r="H1117" s="1868">
        <v>0.87992000000000004</v>
      </c>
      <c r="I1117" s="1868">
        <v>0.78652</v>
      </c>
      <c r="J1117" s="1868">
        <v>0.75329999999999997</v>
      </c>
      <c r="K1117" s="1868">
        <v>1.23367</v>
      </c>
      <c r="L1117" s="1868">
        <v>1.10524</v>
      </c>
      <c r="M1117" s="1868">
        <v>0.76463000000000003</v>
      </c>
      <c r="N1117" s="1868">
        <v>0.89870000000000005</v>
      </c>
      <c r="O1117" s="1868">
        <v>0.77051000000000003</v>
      </c>
      <c r="P1117" s="1868">
        <v>0.76803999999999994</v>
      </c>
      <c r="Q1117" s="1868">
        <v>0.91127000000000002</v>
      </c>
      <c r="R1117" s="1868">
        <v>0.70587</v>
      </c>
      <c r="S1117" s="1868">
        <v>0.88954</v>
      </c>
      <c r="T1117" s="1868">
        <v>0.87947999999999993</v>
      </c>
      <c r="U1117" s="1868">
        <v>0.94087999999999994</v>
      </c>
      <c r="V1117" s="1868">
        <v>1.1966399999999999</v>
      </c>
      <c r="W1117" s="1868">
        <v>0.91959999999999997</v>
      </c>
      <c r="X1117" s="1868">
        <v>0.88596000000000008</v>
      </c>
      <c r="Y1117" s="1868">
        <v>1.1308200000000002</v>
      </c>
      <c r="Z1117" s="1868">
        <v>1.1405100000000001</v>
      </c>
      <c r="AA1117" s="1868">
        <v>1.10575</v>
      </c>
      <c r="AB1117" s="1868">
        <v>1.0919399999999999</v>
      </c>
      <c r="AC1117" s="1868">
        <v>1.03603</v>
      </c>
      <c r="AD1117" s="1868">
        <v>1.0429200000000001</v>
      </c>
      <c r="AE1117" s="1868">
        <v>1.17757</v>
      </c>
      <c r="AF1117" s="1868">
        <v>1.47472</v>
      </c>
      <c r="AG1117" s="1868">
        <v>1.0935999999999999</v>
      </c>
      <c r="AH1117" s="1868">
        <v>1.3728499999999999</v>
      </c>
      <c r="AI1117" s="1868">
        <v>1.4554</v>
      </c>
      <c r="AJ1117" s="1868">
        <v>1.2639100000000001</v>
      </c>
      <c r="AK1117" s="1868">
        <v>1.21855</v>
      </c>
      <c r="AL1117" s="1868">
        <v>1.46526</v>
      </c>
      <c r="AM1117" s="1868">
        <v>1.5363200000000001</v>
      </c>
      <c r="AN1117" s="1868">
        <v>1.7604099999999998</v>
      </c>
      <c r="AO1117" s="1868">
        <v>2.19326</v>
      </c>
      <c r="AP1117" s="1868">
        <v>2.1551099999999996</v>
      </c>
      <c r="AQ1117" s="1868">
        <v>1.8849599999999997</v>
      </c>
      <c r="AR1117" s="1868">
        <v>2.2417799999999999</v>
      </c>
      <c r="AS1117" s="1868">
        <v>2.2202599999999997</v>
      </c>
      <c r="AT1117" s="1868">
        <v>2.7199</v>
      </c>
      <c r="AU1117" s="1868">
        <v>1.15743</v>
      </c>
      <c r="AV1117" s="1868">
        <v>2.1738599999999999</v>
      </c>
      <c r="AW1117" s="1868">
        <v>2.8276300000000001</v>
      </c>
      <c r="AX1117" s="1868">
        <v>2.5146799999999998</v>
      </c>
      <c r="AY1117" s="1868">
        <v>2.5163599999999997</v>
      </c>
      <c r="AZ1117" s="1868">
        <v>2.50387</v>
      </c>
      <c r="BA1117" s="1868">
        <v>2.6467099999999997</v>
      </c>
    </row>
    <row r="1118" spans="1:53">
      <c r="A1118" s="1865" t="str">
        <f t="shared" si="17"/>
        <v>Southern AfricaTomatoes</v>
      </c>
      <c r="B1118" s="1866" t="s">
        <v>1422</v>
      </c>
      <c r="C1118" s="1866" t="s">
        <v>1406</v>
      </c>
      <c r="D1118" s="1868">
        <v>25.735589999999998</v>
      </c>
      <c r="E1118" s="1868">
        <v>21.586210000000001</v>
      </c>
      <c r="F1118" s="1868">
        <v>21.875859999999999</v>
      </c>
      <c r="G1118" s="1868">
        <v>29.33793</v>
      </c>
      <c r="H1118" s="1868">
        <v>30.331029999999998</v>
      </c>
      <c r="I1118" s="1868">
        <v>27.33793</v>
      </c>
      <c r="J1118" s="1868">
        <v>33.682759999999995</v>
      </c>
      <c r="K1118" s="1868">
        <v>26.735479999999999</v>
      </c>
      <c r="L1118" s="1868">
        <v>31.108329999999999</v>
      </c>
      <c r="M1118" s="1868">
        <v>28.807690000000001</v>
      </c>
      <c r="N1118" s="1868">
        <v>26.228920000000002</v>
      </c>
      <c r="O1118" s="1868">
        <v>26.766990000000003</v>
      </c>
      <c r="P1118" s="1868">
        <v>23.669899999999998</v>
      </c>
      <c r="Q1118" s="1868">
        <v>26.009710000000002</v>
      </c>
      <c r="R1118" s="1868">
        <v>27.15447</v>
      </c>
      <c r="S1118" s="1868">
        <v>27.560979999999997</v>
      </c>
      <c r="T1118" s="1868">
        <v>24.247789999999998</v>
      </c>
      <c r="U1118" s="1868">
        <v>26.283190000000001</v>
      </c>
      <c r="V1118" s="1868">
        <v>24.778760000000002</v>
      </c>
      <c r="W1118" s="1868">
        <v>27.787609999999997</v>
      </c>
      <c r="X1118" s="1868">
        <v>27.13287</v>
      </c>
      <c r="Y1118" s="1868">
        <v>28.041959999999996</v>
      </c>
      <c r="Z1118" s="1868">
        <v>25.59441</v>
      </c>
      <c r="AA1118" s="1868">
        <v>25.804200000000002</v>
      </c>
      <c r="AB1118" s="1868">
        <v>29.034970000000001</v>
      </c>
      <c r="AC1118" s="1868">
        <v>28.195799999999998</v>
      </c>
      <c r="AD1118" s="1868">
        <v>29.62885</v>
      </c>
      <c r="AE1118" s="1868">
        <v>27.578040000000001</v>
      </c>
      <c r="AF1118" s="1868">
        <v>31.307340000000003</v>
      </c>
      <c r="AG1118" s="1868">
        <v>26.929179999999999</v>
      </c>
      <c r="AH1118" s="1868">
        <v>31.61412</v>
      </c>
      <c r="AI1118" s="1868">
        <v>28.686299999999999</v>
      </c>
      <c r="AJ1118" s="1868">
        <v>29.320879999999999</v>
      </c>
      <c r="AK1118" s="1868">
        <v>29.234570000000001</v>
      </c>
      <c r="AL1118" s="1868">
        <v>33.002330000000001</v>
      </c>
      <c r="AM1118" s="1868">
        <v>32.928899999999999</v>
      </c>
      <c r="AN1118" s="1868">
        <v>32.438179999999996</v>
      </c>
      <c r="AO1118" s="1868">
        <v>32.219590000000004</v>
      </c>
      <c r="AP1118" s="1868">
        <v>30.158359999999998</v>
      </c>
      <c r="AQ1118" s="1868">
        <v>33.985399999999998</v>
      </c>
      <c r="AR1118" s="1868">
        <v>48.259609999999995</v>
      </c>
      <c r="AS1118" s="1868">
        <v>64.548590000000004</v>
      </c>
      <c r="AT1118" s="1868">
        <v>60.528350000000003</v>
      </c>
      <c r="AU1118" s="1868">
        <v>57.119080000000004</v>
      </c>
      <c r="AV1118" s="1868">
        <v>59.264419999999994</v>
      </c>
      <c r="AW1118" s="1868">
        <v>56.92221</v>
      </c>
      <c r="AX1118" s="1868">
        <v>56.734299999999998</v>
      </c>
      <c r="AY1118" s="1868">
        <v>58.653880000000008</v>
      </c>
      <c r="AZ1118" s="1868">
        <v>58.668819999999997</v>
      </c>
      <c r="BA1118" s="1868">
        <v>58.215759999999996</v>
      </c>
    </row>
    <row r="1119" spans="1:53">
      <c r="A1119" s="1865" t="str">
        <f t="shared" si="17"/>
        <v>Southern AfricaVegetables fresh nes</v>
      </c>
      <c r="B1119" s="1866" t="s">
        <v>1422</v>
      </c>
      <c r="C1119" s="1866" t="s">
        <v>1407</v>
      </c>
      <c r="D1119" s="1868">
        <v>11.366710000000001</v>
      </c>
      <c r="E1119" s="1868">
        <v>11.28434</v>
      </c>
      <c r="F1119" s="1868">
        <v>11.412189999999999</v>
      </c>
      <c r="G1119" s="1868">
        <v>11.442830000000001</v>
      </c>
      <c r="H1119" s="1868">
        <v>11.459820000000001</v>
      </c>
      <c r="I1119" s="1868">
        <v>11.0364</v>
      </c>
      <c r="J1119" s="1868">
        <v>11.30414</v>
      </c>
      <c r="K1119" s="1868">
        <v>11.131550000000001</v>
      </c>
      <c r="L1119" s="1868">
        <v>11.32743</v>
      </c>
      <c r="M1119" s="1868">
        <v>11.633989999999999</v>
      </c>
      <c r="N1119" s="1868">
        <v>11.40855</v>
      </c>
      <c r="O1119" s="1868">
        <v>11.095800000000001</v>
      </c>
      <c r="P1119" s="1868">
        <v>11.08048</v>
      </c>
      <c r="Q1119" s="1868">
        <v>11.092030000000001</v>
      </c>
      <c r="R1119" s="1868">
        <v>11.174020000000001</v>
      </c>
      <c r="S1119" s="1868">
        <v>11.25245</v>
      </c>
      <c r="T1119" s="1868">
        <v>11.36168</v>
      </c>
      <c r="U1119" s="1868">
        <v>11.46279</v>
      </c>
      <c r="V1119" s="1868">
        <v>11.42797</v>
      </c>
      <c r="W1119" s="1868">
        <v>11.611419999999999</v>
      </c>
      <c r="X1119" s="1868">
        <v>11.69478</v>
      </c>
      <c r="Y1119" s="1868">
        <v>11.828250000000001</v>
      </c>
      <c r="Z1119" s="1868">
        <v>11.36646</v>
      </c>
      <c r="AA1119" s="1868">
        <v>11.66337</v>
      </c>
      <c r="AB1119" s="1868">
        <v>11.055350000000001</v>
      </c>
      <c r="AC1119" s="1868">
        <v>11.275739999999999</v>
      </c>
      <c r="AD1119" s="1868">
        <v>11.417580000000001</v>
      </c>
      <c r="AE1119" s="1868">
        <v>11.65926</v>
      </c>
      <c r="AF1119" s="1868">
        <v>11.71377</v>
      </c>
      <c r="AG1119" s="1868">
        <v>12.622589999999999</v>
      </c>
      <c r="AH1119" s="1868">
        <v>12.343500000000001</v>
      </c>
      <c r="AI1119" s="1868">
        <v>11.78994</v>
      </c>
      <c r="AJ1119" s="1868">
        <v>12.79914</v>
      </c>
      <c r="AK1119" s="1868">
        <v>11.7408</v>
      </c>
      <c r="AL1119" s="1868">
        <v>11.420639999999999</v>
      </c>
      <c r="AM1119" s="1868">
        <v>8.9757400000000001</v>
      </c>
      <c r="AN1119" s="1868">
        <v>8.724219999999999</v>
      </c>
      <c r="AO1119" s="1868">
        <v>8.4645899999999994</v>
      </c>
      <c r="AP1119" s="1868">
        <v>7.9154600000000004</v>
      </c>
      <c r="AQ1119" s="1868">
        <v>11.63058</v>
      </c>
      <c r="AR1119" s="1868">
        <v>12.48503</v>
      </c>
      <c r="AS1119" s="1868">
        <v>10.272910000000001</v>
      </c>
      <c r="AT1119" s="1868">
        <v>10.466670000000001</v>
      </c>
      <c r="AU1119" s="1868">
        <v>10.454319999999999</v>
      </c>
      <c r="AV1119" s="1868">
        <v>9.82315</v>
      </c>
      <c r="AW1119" s="1868">
        <v>10.47475</v>
      </c>
      <c r="AX1119" s="1868">
        <v>11.45435</v>
      </c>
      <c r="AY1119" s="1868">
        <v>12.06653</v>
      </c>
      <c r="AZ1119" s="1868">
        <v>10.9445</v>
      </c>
      <c r="BA1119" s="1868">
        <v>10.60538</v>
      </c>
    </row>
    <row r="1120" spans="1:53">
      <c r="A1120" s="1865" t="str">
        <f t="shared" si="17"/>
        <v>Southern AfricaWheat</v>
      </c>
      <c r="B1120" s="1866" t="s">
        <v>1422</v>
      </c>
      <c r="C1120" s="1866" t="s">
        <v>1409</v>
      </c>
      <c r="D1120" s="1868">
        <v>0.63048999999999999</v>
      </c>
      <c r="E1120" s="1868">
        <v>0.52636000000000005</v>
      </c>
      <c r="F1120" s="1868">
        <v>0.58882000000000001</v>
      </c>
      <c r="G1120" s="1868">
        <v>0.80237999999999998</v>
      </c>
      <c r="H1120" s="1868">
        <v>0.49432999999999999</v>
      </c>
      <c r="I1120" s="1868">
        <v>0.50344999999999995</v>
      </c>
      <c r="J1120" s="1868">
        <v>0.82220000000000004</v>
      </c>
      <c r="K1120" s="1868">
        <v>0.74251</v>
      </c>
      <c r="L1120" s="1868">
        <v>0.70767999999999998</v>
      </c>
      <c r="M1120" s="1868">
        <v>0.72075</v>
      </c>
      <c r="N1120" s="1868">
        <v>0.82148999999999994</v>
      </c>
      <c r="O1120" s="1868">
        <v>0.83430000000000004</v>
      </c>
      <c r="P1120" s="1868">
        <v>0.90886</v>
      </c>
      <c r="Q1120" s="1868">
        <v>0.85217999999999994</v>
      </c>
      <c r="R1120" s="1868">
        <v>0.97047000000000005</v>
      </c>
      <c r="S1120" s="1868">
        <v>1.1382000000000001</v>
      </c>
      <c r="T1120" s="1868">
        <v>1.0386500000000001</v>
      </c>
      <c r="U1120" s="1868">
        <v>0.90401000000000009</v>
      </c>
      <c r="V1120" s="1868">
        <v>1.09494</v>
      </c>
      <c r="W1120" s="1868">
        <v>0.90727999999999998</v>
      </c>
      <c r="X1120" s="1868">
        <v>1.29657</v>
      </c>
      <c r="Y1120" s="1868">
        <v>1.20831</v>
      </c>
      <c r="Z1120" s="1868">
        <v>0.97524999999999995</v>
      </c>
      <c r="AA1120" s="1868">
        <v>1.2002999999999999</v>
      </c>
      <c r="AB1120" s="1868">
        <v>0.84966000000000008</v>
      </c>
      <c r="AC1120" s="1868">
        <v>1.1952799999999999</v>
      </c>
      <c r="AD1120" s="1868">
        <v>1.7871099999999998</v>
      </c>
      <c r="AE1120" s="1868">
        <v>1.7859700000000001</v>
      </c>
      <c r="AF1120" s="1868">
        <v>1.0836299999999999</v>
      </c>
      <c r="AG1120" s="1868">
        <v>1.0893299999999999</v>
      </c>
      <c r="AH1120" s="1868">
        <v>1.4647299999999999</v>
      </c>
      <c r="AI1120" s="1868">
        <v>1.7516599999999998</v>
      </c>
      <c r="AJ1120" s="1868">
        <v>1.8371</v>
      </c>
      <c r="AK1120" s="1868">
        <v>1.72505</v>
      </c>
      <c r="AL1120" s="1868">
        <v>1.44411</v>
      </c>
      <c r="AM1120" s="1868">
        <v>2.0872999999999999</v>
      </c>
      <c r="AN1120" s="1868">
        <v>1.7585599999999999</v>
      </c>
      <c r="AO1120" s="1868">
        <v>2.5049900000000003</v>
      </c>
      <c r="AP1120" s="1868">
        <v>2.36754</v>
      </c>
      <c r="AQ1120" s="1868">
        <v>2.5516400000000004</v>
      </c>
      <c r="AR1120" s="1868">
        <v>2.5609000000000002</v>
      </c>
      <c r="AS1120" s="1868">
        <v>2.5262700000000002</v>
      </c>
      <c r="AT1120" s="1868">
        <v>2.0064000000000002</v>
      </c>
      <c r="AU1120" s="1868">
        <v>1.9958799999999999</v>
      </c>
      <c r="AV1120" s="1868">
        <v>2.3343599999999998</v>
      </c>
      <c r="AW1120" s="1868">
        <v>2.6884999999999999</v>
      </c>
      <c r="AX1120" s="1868">
        <v>2.9844900000000001</v>
      </c>
      <c r="AY1120" s="1868">
        <v>2.8045499999999999</v>
      </c>
      <c r="AZ1120" s="1868">
        <v>2.9704200000000003</v>
      </c>
      <c r="BA1120" s="1868">
        <v>2.6103099999999997</v>
      </c>
    </row>
    <row r="1121" spans="1:53">
      <c r="A1121" s="1865" t="str">
        <f t="shared" si="17"/>
        <v>Southern AfricaCereals (Rice Milled Eqv</v>
      </c>
      <c r="B1121" s="1866" t="s">
        <v>1422</v>
      </c>
      <c r="C1121" s="1866" t="s">
        <v>1410</v>
      </c>
      <c r="D1121" s="1868">
        <v>1.0491200000000001</v>
      </c>
      <c r="E1121" s="1868">
        <v>1.1027</v>
      </c>
      <c r="F1121" s="1868">
        <v>1.0946400000000001</v>
      </c>
      <c r="G1121" s="1868">
        <v>0.89272999999999991</v>
      </c>
      <c r="H1121" s="1868">
        <v>0.88775000000000004</v>
      </c>
      <c r="I1121" s="1868">
        <v>0.97414999999999996</v>
      </c>
      <c r="J1121" s="1868">
        <v>1.6109100000000001</v>
      </c>
      <c r="K1121" s="1868">
        <v>0.96409999999999996</v>
      </c>
      <c r="L1121" s="1868">
        <v>0.99002999999999997</v>
      </c>
      <c r="M1121" s="1868">
        <v>1.11222</v>
      </c>
      <c r="N1121" s="1868">
        <v>1.4141299999999999</v>
      </c>
      <c r="O1121" s="1868">
        <v>1.52145</v>
      </c>
      <c r="P1121" s="1868">
        <v>0.96497999999999995</v>
      </c>
      <c r="Q1121" s="1868">
        <v>1.7801900000000002</v>
      </c>
      <c r="R1121" s="1868">
        <v>1.5440200000000002</v>
      </c>
      <c r="S1121" s="1868">
        <v>1.33331</v>
      </c>
      <c r="T1121" s="1868">
        <v>1.67787</v>
      </c>
      <c r="U1121" s="1868">
        <v>1.79593</v>
      </c>
      <c r="V1121" s="1868">
        <v>1.5440100000000001</v>
      </c>
      <c r="W1121" s="1868">
        <v>1.8898099999999998</v>
      </c>
      <c r="X1121" s="1868">
        <v>2.4947900000000001</v>
      </c>
      <c r="Y1121" s="1868">
        <v>1.5826899999999999</v>
      </c>
      <c r="Z1121" s="1868">
        <v>0.93001</v>
      </c>
      <c r="AA1121" s="1868">
        <v>1.05481</v>
      </c>
      <c r="AB1121" s="1868">
        <v>1.5043799999999998</v>
      </c>
      <c r="AC1121" s="1868">
        <v>1.5149700000000001</v>
      </c>
      <c r="AD1121" s="1868">
        <v>1.5407299999999999</v>
      </c>
      <c r="AE1121" s="1868">
        <v>1.5586799999999998</v>
      </c>
      <c r="AF1121" s="1868">
        <v>2.1024400000000001</v>
      </c>
      <c r="AG1121" s="1868">
        <v>1.7491400000000001</v>
      </c>
      <c r="AH1121" s="1868">
        <v>1.8598599999999998</v>
      </c>
      <c r="AI1121" s="1868">
        <v>0.90602999999999989</v>
      </c>
      <c r="AJ1121" s="1868">
        <v>2.0337200000000002</v>
      </c>
      <c r="AK1121" s="1868">
        <v>2.3133400000000002</v>
      </c>
      <c r="AL1121" s="1868">
        <v>1.3313299999999999</v>
      </c>
      <c r="AM1121" s="1868">
        <v>2.2350599999999998</v>
      </c>
      <c r="AN1121" s="1868">
        <v>2.0920299999999998</v>
      </c>
      <c r="AO1121" s="1868">
        <v>2.0338700000000003</v>
      </c>
      <c r="AP1121" s="1868">
        <v>1.9960500000000001</v>
      </c>
      <c r="AQ1121" s="1868">
        <v>2.4629599999999998</v>
      </c>
      <c r="AR1121" s="1868">
        <v>2.1876700000000002</v>
      </c>
      <c r="AS1121" s="1868">
        <v>2.5192900000000003</v>
      </c>
      <c r="AT1121" s="1868">
        <v>2.3142</v>
      </c>
      <c r="AU1121" s="1868">
        <v>2.51797</v>
      </c>
      <c r="AV1121" s="1868">
        <v>3.0087799999999998</v>
      </c>
      <c r="AW1121" s="1868">
        <v>2.6959599999999999</v>
      </c>
      <c r="AX1121" s="1868">
        <v>2.4934599999999998</v>
      </c>
      <c r="AY1121" s="1868">
        <v>3.5931999999999999</v>
      </c>
      <c r="AZ1121" s="1868">
        <v>3.7761800000000001</v>
      </c>
      <c r="BA1121" s="1868">
        <v>3.6002800000000001</v>
      </c>
    </row>
    <row r="1122" spans="1:53">
      <c r="A1122" s="1865" t="str">
        <f t="shared" si="17"/>
        <v>Southern AsiaBananas</v>
      </c>
      <c r="B1122" s="1866" t="s">
        <v>1352</v>
      </c>
      <c r="C1122" s="1866" t="s">
        <v>1362</v>
      </c>
      <c r="D1122" s="1868">
        <v>13.58525</v>
      </c>
      <c r="E1122" s="1868">
        <v>13.4772</v>
      </c>
      <c r="F1122" s="1868">
        <v>13.44936</v>
      </c>
      <c r="G1122" s="1868">
        <v>13.846770000000001</v>
      </c>
      <c r="H1122" s="1868">
        <v>15.367100000000001</v>
      </c>
      <c r="I1122" s="1868">
        <v>16.391490000000001</v>
      </c>
      <c r="J1122" s="1868">
        <v>15.491960000000001</v>
      </c>
      <c r="K1122" s="1868">
        <v>14.589089999999999</v>
      </c>
      <c r="L1122" s="1868">
        <v>14.1808</v>
      </c>
      <c r="M1122" s="1868">
        <v>13.116229999999998</v>
      </c>
      <c r="N1122" s="1868">
        <v>14.9329</v>
      </c>
      <c r="O1122" s="1868">
        <v>14.48761</v>
      </c>
      <c r="P1122" s="1868">
        <v>14.17327</v>
      </c>
      <c r="Q1122" s="1868">
        <v>13.901620000000001</v>
      </c>
      <c r="R1122" s="1868">
        <v>14.549810000000001</v>
      </c>
      <c r="S1122" s="1868">
        <v>15.08014</v>
      </c>
      <c r="T1122" s="1868">
        <v>15.43825</v>
      </c>
      <c r="U1122" s="1868">
        <v>16.428100000000001</v>
      </c>
      <c r="V1122" s="1868">
        <v>15.303820000000002</v>
      </c>
      <c r="W1122" s="1868">
        <v>14.82854</v>
      </c>
      <c r="X1122" s="1868">
        <v>15.477689999999999</v>
      </c>
      <c r="Y1122" s="1868">
        <v>14.740170000000001</v>
      </c>
      <c r="Z1122" s="1868">
        <v>16.036620000000003</v>
      </c>
      <c r="AA1122" s="1868">
        <v>16.964300000000001</v>
      </c>
      <c r="AB1122" s="1868">
        <v>17.22542</v>
      </c>
      <c r="AC1122" s="1868">
        <v>18.345010000000002</v>
      </c>
      <c r="AD1122" s="1868">
        <v>18.34422</v>
      </c>
      <c r="AE1122" s="1868">
        <v>12.1174</v>
      </c>
      <c r="AF1122" s="1868">
        <v>18.341809999999999</v>
      </c>
      <c r="AG1122" s="1868">
        <v>18.66967</v>
      </c>
      <c r="AH1122" s="1868">
        <v>19.834160000000001</v>
      </c>
      <c r="AI1122" s="1868">
        <v>19.30003</v>
      </c>
      <c r="AJ1122" s="1868">
        <v>21.903120000000001</v>
      </c>
      <c r="AK1122" s="1868">
        <v>22.606390000000001</v>
      </c>
      <c r="AL1122" s="1868">
        <v>22.130020000000002</v>
      </c>
      <c r="AM1122" s="1868">
        <v>21.878250000000001</v>
      </c>
      <c r="AN1122" s="1868">
        <v>27.364929999999998</v>
      </c>
      <c r="AO1122" s="1868">
        <v>29.985379999999999</v>
      </c>
      <c r="AP1122" s="1868">
        <v>31.310340000000004</v>
      </c>
      <c r="AQ1122" s="1868">
        <v>27.422149999999998</v>
      </c>
      <c r="AR1122" s="1868">
        <v>27.636390000000002</v>
      </c>
      <c r="AS1122" s="1868">
        <v>25.591850000000001</v>
      </c>
      <c r="AT1122" s="1868">
        <v>25.367090000000001</v>
      </c>
      <c r="AU1122" s="1868">
        <v>26.11177</v>
      </c>
      <c r="AV1122" s="1868">
        <v>30.284479999999999</v>
      </c>
      <c r="AW1122" s="1868">
        <v>31.61993</v>
      </c>
      <c r="AX1122" s="1868">
        <v>33.085540000000002</v>
      </c>
      <c r="AY1122" s="1868">
        <v>33.994440000000004</v>
      </c>
      <c r="AZ1122" s="1868">
        <v>31.855720000000002</v>
      </c>
      <c r="BA1122" s="1868">
        <v>35.143169999999998</v>
      </c>
    </row>
    <row r="1123" spans="1:53">
      <c r="A1123" s="1865" t="str">
        <f t="shared" si="17"/>
        <v>Southern AsiaBarley</v>
      </c>
      <c r="B1123" s="1866" t="s">
        <v>1352</v>
      </c>
      <c r="C1123" s="1866" t="s">
        <v>1363</v>
      </c>
      <c r="D1123" s="1868">
        <v>0.84122999999999992</v>
      </c>
      <c r="E1123" s="1868">
        <v>0.88924999999999998</v>
      </c>
      <c r="F1123" s="1868">
        <v>0.79418999999999995</v>
      </c>
      <c r="G1123" s="1868">
        <v>0.75583999999999996</v>
      </c>
      <c r="H1123" s="1868">
        <v>0.87524000000000002</v>
      </c>
      <c r="I1123" s="1868">
        <v>0.84021000000000001</v>
      </c>
      <c r="J1123" s="1868">
        <v>0.79810000000000003</v>
      </c>
      <c r="K1123" s="1868">
        <v>0.93198999999999999</v>
      </c>
      <c r="L1123" s="1868">
        <v>0.83242000000000005</v>
      </c>
      <c r="M1123" s="1868">
        <v>0.89271</v>
      </c>
      <c r="N1123" s="1868">
        <v>0.9254</v>
      </c>
      <c r="O1123" s="1868">
        <v>0.90667000000000009</v>
      </c>
      <c r="P1123" s="1868">
        <v>0.88744999999999996</v>
      </c>
      <c r="Q1123" s="1868">
        <v>0.83771000000000007</v>
      </c>
      <c r="R1123" s="1868">
        <v>1.03057</v>
      </c>
      <c r="S1123" s="1868">
        <v>1.12784</v>
      </c>
      <c r="T1123" s="1868">
        <v>0.99544999999999995</v>
      </c>
      <c r="U1123" s="1868">
        <v>1.08318</v>
      </c>
      <c r="V1123" s="1868">
        <v>1.1016999999999999</v>
      </c>
      <c r="W1123" s="1868">
        <v>0.89459999999999995</v>
      </c>
      <c r="X1123" s="1868">
        <v>1.0071099999999999</v>
      </c>
      <c r="Y1123" s="1868">
        <v>1.06711</v>
      </c>
      <c r="Z1123" s="1868">
        <v>1.08694</v>
      </c>
      <c r="AA1123" s="1868">
        <v>1.13229</v>
      </c>
      <c r="AB1123" s="1868">
        <v>1.1217999999999999</v>
      </c>
      <c r="AC1123" s="1868">
        <v>1.2828299999999999</v>
      </c>
      <c r="AD1123" s="1868">
        <v>1.22705</v>
      </c>
      <c r="AE1123" s="1868">
        <v>1.3667499999999999</v>
      </c>
      <c r="AF1123" s="1868">
        <v>1.1952799999999999</v>
      </c>
      <c r="AG1123" s="1868">
        <v>1.34575</v>
      </c>
      <c r="AH1123" s="1868">
        <v>1.3630899999999999</v>
      </c>
      <c r="AI1123" s="1868">
        <v>1.4240999999999999</v>
      </c>
      <c r="AJ1123" s="1868">
        <v>1.44502</v>
      </c>
      <c r="AK1123" s="1868">
        <v>1.5931600000000001</v>
      </c>
      <c r="AL1123" s="1868">
        <v>1.5073700000000001</v>
      </c>
      <c r="AM1123" s="1868">
        <v>1.5947200000000001</v>
      </c>
      <c r="AN1123" s="1868">
        <v>1.6577200000000001</v>
      </c>
      <c r="AO1123" s="1868">
        <v>1.75745</v>
      </c>
      <c r="AP1123" s="1868">
        <v>1.5369600000000001</v>
      </c>
      <c r="AQ1123" s="1868">
        <v>1.5260200000000002</v>
      </c>
      <c r="AR1123" s="1868">
        <v>1.6300600000000001</v>
      </c>
      <c r="AS1123" s="1868">
        <v>1.8416299999999999</v>
      </c>
      <c r="AT1123" s="1868">
        <v>1.7899499999999999</v>
      </c>
      <c r="AU1123" s="1868">
        <v>1.72278</v>
      </c>
      <c r="AV1123" s="1868">
        <v>1.7149299999999998</v>
      </c>
      <c r="AW1123" s="1868">
        <v>1.82518</v>
      </c>
      <c r="AX1123" s="1868">
        <v>1.8611799999999998</v>
      </c>
      <c r="AY1123" s="1868">
        <v>1.57724</v>
      </c>
      <c r="AZ1123" s="1868">
        <v>2.01755</v>
      </c>
      <c r="BA1123" s="1868">
        <v>1.93967</v>
      </c>
    </row>
    <row r="1124" spans="1:53">
      <c r="A1124" s="1865" t="str">
        <f t="shared" si="17"/>
        <v>Southern AsiaBeans, dry</v>
      </c>
      <c r="B1124" s="1866" t="s">
        <v>1352</v>
      </c>
      <c r="C1124" s="1866" t="s">
        <v>1364</v>
      </c>
      <c r="D1124" s="1868">
        <v>0.27006999999999998</v>
      </c>
      <c r="E1124" s="1868">
        <v>0.27973999999999999</v>
      </c>
      <c r="F1124" s="1868">
        <v>0.27109</v>
      </c>
      <c r="G1124" s="1868">
        <v>0.29231000000000001</v>
      </c>
      <c r="H1124" s="1868">
        <v>0.25290000000000001</v>
      </c>
      <c r="I1124" s="1868">
        <v>0.24729000000000001</v>
      </c>
      <c r="J1124" s="1868">
        <v>0.27921999999999997</v>
      </c>
      <c r="K1124" s="1868">
        <v>0.26491999999999999</v>
      </c>
      <c r="L1124" s="1868">
        <v>0.28286</v>
      </c>
      <c r="M1124" s="1868">
        <v>0.32131999999999999</v>
      </c>
      <c r="N1124" s="1868">
        <v>0.28423000000000004</v>
      </c>
      <c r="O1124" s="1868">
        <v>0.24839</v>
      </c>
      <c r="P1124" s="1868">
        <v>0.32156999999999997</v>
      </c>
      <c r="Q1124" s="1868">
        <v>0.27545999999999998</v>
      </c>
      <c r="R1124" s="1868">
        <v>0.33076</v>
      </c>
      <c r="S1124" s="1868">
        <v>0.31580000000000003</v>
      </c>
      <c r="T1124" s="1868">
        <v>0.34415999999999997</v>
      </c>
      <c r="U1124" s="1868">
        <v>0.31924999999999998</v>
      </c>
      <c r="V1124" s="1868">
        <v>0.26313999999999999</v>
      </c>
      <c r="W1124" s="1868">
        <v>0.31048999999999999</v>
      </c>
      <c r="X1124" s="1868">
        <v>0.34037000000000001</v>
      </c>
      <c r="Y1124" s="1868">
        <v>0.34631999999999996</v>
      </c>
      <c r="Z1124" s="1868">
        <v>0.39602999999999999</v>
      </c>
      <c r="AA1124" s="1868">
        <v>0.35694000000000004</v>
      </c>
      <c r="AB1124" s="1868">
        <v>0.34515999999999997</v>
      </c>
      <c r="AC1124" s="1868">
        <v>0.34442</v>
      </c>
      <c r="AD1124" s="1868">
        <v>0.38564999999999999</v>
      </c>
      <c r="AE1124" s="1868">
        <v>0.43596000000000001</v>
      </c>
      <c r="AF1124" s="1868">
        <v>0.40962999999999999</v>
      </c>
      <c r="AG1124" s="1868">
        <v>0.43203000000000003</v>
      </c>
      <c r="AH1124" s="1868">
        <v>0.38486999999999999</v>
      </c>
      <c r="AI1124" s="1868">
        <v>0.4582</v>
      </c>
      <c r="AJ1124" s="1868">
        <v>0.40245999999999998</v>
      </c>
      <c r="AK1124" s="1868">
        <v>0.38379999999999997</v>
      </c>
      <c r="AL1124" s="1868">
        <v>0.45588999999999996</v>
      </c>
      <c r="AM1124" s="1868">
        <v>0.43778</v>
      </c>
      <c r="AN1124" s="1868">
        <v>0.37223000000000001</v>
      </c>
      <c r="AO1124" s="1868">
        <v>0.37356</v>
      </c>
      <c r="AP1124" s="1868">
        <v>0.50456999999999996</v>
      </c>
      <c r="AQ1124" s="1868">
        <v>0.51188999999999996</v>
      </c>
      <c r="AR1124" s="1868">
        <v>0.56289999999999996</v>
      </c>
      <c r="AS1124" s="1868">
        <v>0.36743999999999999</v>
      </c>
      <c r="AT1124" s="1868">
        <v>0.47913999999999995</v>
      </c>
      <c r="AU1124" s="1868">
        <v>0.35986999999999997</v>
      </c>
      <c r="AV1124" s="1868">
        <v>0.35898000000000002</v>
      </c>
      <c r="AW1124" s="1868">
        <v>0.41248999999999997</v>
      </c>
      <c r="AX1124" s="1868">
        <v>0.42249999999999999</v>
      </c>
      <c r="AY1124" s="1868">
        <v>0.40789999999999998</v>
      </c>
      <c r="AZ1124" s="1868">
        <v>0.44130000000000003</v>
      </c>
      <c r="BA1124" s="1868">
        <v>0.47015000000000001</v>
      </c>
    </row>
    <row r="1125" spans="1:53">
      <c r="A1125" s="1865" t="str">
        <f t="shared" si="17"/>
        <v>Southern AsiaBeans, green</v>
      </c>
      <c r="B1125" s="1866" t="s">
        <v>1352</v>
      </c>
      <c r="C1125" s="1866" t="s">
        <v>1365</v>
      </c>
      <c r="D1125" s="1868">
        <v>2.4106099999999997</v>
      </c>
      <c r="E1125" s="1868">
        <v>2.3292000000000002</v>
      </c>
      <c r="F1125" s="1868">
        <v>2.3516900000000001</v>
      </c>
      <c r="G1125" s="1868">
        <v>2.4224999999999999</v>
      </c>
      <c r="H1125" s="1868">
        <v>2.4150800000000001</v>
      </c>
      <c r="I1125" s="1868">
        <v>2.4133499999999999</v>
      </c>
      <c r="J1125" s="1868">
        <v>2.4132899999999999</v>
      </c>
      <c r="K1125" s="1868">
        <v>2.45235</v>
      </c>
      <c r="L1125" s="1868">
        <v>2.5020799999999999</v>
      </c>
      <c r="M1125" s="1868">
        <v>2.53023</v>
      </c>
      <c r="N1125" s="1868">
        <v>2.4880800000000001</v>
      </c>
      <c r="O1125" s="1868">
        <v>2.54271</v>
      </c>
      <c r="P1125" s="1868">
        <v>2.5708799999999998</v>
      </c>
      <c r="Q1125" s="1868">
        <v>2.56101</v>
      </c>
      <c r="R1125" s="1868">
        <v>2.6006</v>
      </c>
      <c r="S1125" s="1868">
        <v>2.5766900000000001</v>
      </c>
      <c r="T1125" s="1868">
        <v>2.54874</v>
      </c>
      <c r="U1125" s="1868">
        <v>2.61578</v>
      </c>
      <c r="V1125" s="1868">
        <v>2.6822300000000001</v>
      </c>
      <c r="W1125" s="1868">
        <v>2.72953</v>
      </c>
      <c r="X1125" s="1868">
        <v>2.7671399999999999</v>
      </c>
      <c r="Y1125" s="1868">
        <v>2.8020400000000003</v>
      </c>
      <c r="Z1125" s="1868">
        <v>2.9505300000000001</v>
      </c>
      <c r="AA1125" s="1868">
        <v>2.9807799999999998</v>
      </c>
      <c r="AB1125" s="1868">
        <v>2.9909599999999998</v>
      </c>
      <c r="AC1125" s="1868">
        <v>3.0117799999999999</v>
      </c>
      <c r="AD1125" s="1868">
        <v>3.06284</v>
      </c>
      <c r="AE1125" s="1868">
        <v>3.0930400000000002</v>
      </c>
      <c r="AF1125" s="1868">
        <v>2.9786700000000002</v>
      </c>
      <c r="AG1125" s="1868">
        <v>3.2787999999999999</v>
      </c>
      <c r="AH1125" s="1868">
        <v>2.9800400000000002</v>
      </c>
      <c r="AI1125" s="1868">
        <v>3.1057999999999999</v>
      </c>
      <c r="AJ1125" s="1868">
        <v>2.9417400000000002</v>
      </c>
      <c r="AK1125" s="1868">
        <v>2.9374400000000001</v>
      </c>
      <c r="AL1125" s="1868">
        <v>2.3323</v>
      </c>
      <c r="AM1125" s="1868">
        <v>3.0006200000000001</v>
      </c>
      <c r="AN1125" s="1868">
        <v>2.7145999999999999</v>
      </c>
      <c r="AO1125" s="1868">
        <v>3.0655099999999997</v>
      </c>
      <c r="AP1125" s="1868">
        <v>3.2458999999999998</v>
      </c>
      <c r="AQ1125" s="1868">
        <v>3.0126200000000001</v>
      </c>
      <c r="AR1125" s="1868">
        <v>2.9510099999999997</v>
      </c>
      <c r="AS1125" s="1868">
        <v>2.7174299999999998</v>
      </c>
      <c r="AT1125" s="1868">
        <v>2.4562499999999998</v>
      </c>
      <c r="AU1125" s="1868">
        <v>2.8431000000000002</v>
      </c>
      <c r="AV1125" s="1868">
        <v>2.9491499999999999</v>
      </c>
      <c r="AW1125" s="1868">
        <v>3.06603</v>
      </c>
      <c r="AX1125" s="1868">
        <v>3.1521699999999999</v>
      </c>
      <c r="AY1125" s="1868">
        <v>3.1048299999999998</v>
      </c>
      <c r="AZ1125" s="1868">
        <v>3.12676</v>
      </c>
      <c r="BA1125" s="1868">
        <v>3.2035900000000002</v>
      </c>
    </row>
    <row r="1126" spans="1:53">
      <c r="A1126" s="1865" t="str">
        <f t="shared" si="17"/>
        <v>Southern AsiaCarrots and turnips</v>
      </c>
      <c r="B1126" s="1866" t="s">
        <v>1352</v>
      </c>
      <c r="C1126" s="1866" t="s">
        <v>1366</v>
      </c>
      <c r="D1126" s="1868">
        <v>7.88462</v>
      </c>
      <c r="E1126" s="1868">
        <v>7.9777800000000001</v>
      </c>
      <c r="F1126" s="1868">
        <v>8.4819499999999994</v>
      </c>
      <c r="G1126" s="1868">
        <v>8.3075500000000009</v>
      </c>
      <c r="H1126" s="1868">
        <v>8.1996000000000002</v>
      </c>
      <c r="I1126" s="1868">
        <v>8.5466899999999999</v>
      </c>
      <c r="J1126" s="1868">
        <v>8.6168200000000006</v>
      </c>
      <c r="K1126" s="1868">
        <v>8.6763100000000009</v>
      </c>
      <c r="L1126" s="1868">
        <v>9.0990099999999998</v>
      </c>
      <c r="M1126" s="1868">
        <v>9.1461699999999997</v>
      </c>
      <c r="N1126" s="1868">
        <v>9.4789899999999996</v>
      </c>
      <c r="O1126" s="1868">
        <v>9.5045399999999987</v>
      </c>
      <c r="P1126" s="1868">
        <v>9.4664900000000003</v>
      </c>
      <c r="Q1126" s="1868">
        <v>9.7538600000000013</v>
      </c>
      <c r="R1126" s="1868">
        <v>9.6896500000000003</v>
      </c>
      <c r="S1126" s="1868">
        <v>10.67123</v>
      </c>
      <c r="T1126" s="1868">
        <v>10.64996</v>
      </c>
      <c r="U1126" s="1868">
        <v>10.566460000000001</v>
      </c>
      <c r="V1126" s="1868">
        <v>11.33179</v>
      </c>
      <c r="W1126" s="1868">
        <v>12.271850000000001</v>
      </c>
      <c r="X1126" s="1868">
        <v>12.20406</v>
      </c>
      <c r="Y1126" s="1868">
        <v>12.362910000000001</v>
      </c>
      <c r="Z1126" s="1868">
        <v>12.77694</v>
      </c>
      <c r="AA1126" s="1868">
        <v>13.560600000000001</v>
      </c>
      <c r="AB1126" s="1868">
        <v>13.688639999999999</v>
      </c>
      <c r="AC1126" s="1868">
        <v>14.329979999999999</v>
      </c>
      <c r="AD1126" s="1868">
        <v>14.17475</v>
      </c>
      <c r="AE1126" s="1868">
        <v>14.34723</v>
      </c>
      <c r="AF1126" s="1868">
        <v>14.57719</v>
      </c>
      <c r="AG1126" s="1868">
        <v>15.304920000000001</v>
      </c>
      <c r="AH1126" s="1868">
        <v>15.02312</v>
      </c>
      <c r="AI1126" s="1868">
        <v>15.527829999999998</v>
      </c>
      <c r="AJ1126" s="1868">
        <v>15.41351</v>
      </c>
      <c r="AK1126" s="1868">
        <v>15.087729999999999</v>
      </c>
      <c r="AL1126" s="1868">
        <v>15.7264</v>
      </c>
      <c r="AM1126" s="1868">
        <v>15.91766</v>
      </c>
      <c r="AN1126" s="1868">
        <v>15.64742</v>
      </c>
      <c r="AO1126" s="1868">
        <v>14.12837</v>
      </c>
      <c r="AP1126" s="1868">
        <v>13.58014</v>
      </c>
      <c r="AQ1126" s="1868">
        <v>16.836020000000001</v>
      </c>
      <c r="AR1126" s="1868">
        <v>16.803239999999999</v>
      </c>
      <c r="AS1126" s="1868">
        <v>16.503060000000001</v>
      </c>
      <c r="AT1126" s="1868">
        <v>15.940220000000002</v>
      </c>
      <c r="AU1126" s="1868">
        <v>13.352410000000001</v>
      </c>
      <c r="AV1126" s="1868">
        <v>17.351670000000002</v>
      </c>
      <c r="AW1126" s="1868">
        <v>18.501000000000001</v>
      </c>
      <c r="AX1126" s="1868">
        <v>19.017039999999998</v>
      </c>
      <c r="AY1126" s="1868">
        <v>18.238659999999999</v>
      </c>
      <c r="AZ1126" s="1868">
        <v>17.82235</v>
      </c>
      <c r="BA1126" s="1868">
        <v>18.12528</v>
      </c>
    </row>
    <row r="1127" spans="1:53">
      <c r="A1127" s="1865" t="str">
        <f t="shared" si="17"/>
        <v>Southern AsiaCashew nuts, with shell</v>
      </c>
      <c r="B1127" s="1866" t="s">
        <v>1352</v>
      </c>
      <c r="C1127" s="1866" t="s">
        <v>1367</v>
      </c>
      <c r="D1127" s="1868">
        <v>0.44619999999999999</v>
      </c>
      <c r="E1127" s="1868">
        <v>0.45760000000000001</v>
      </c>
      <c r="F1127" s="1868">
        <v>0.43298000000000003</v>
      </c>
      <c r="G1127" s="1868">
        <v>0.45446999999999999</v>
      </c>
      <c r="H1127" s="1868">
        <v>0.47303999999999996</v>
      </c>
      <c r="I1127" s="1868">
        <v>0.45765</v>
      </c>
      <c r="J1127" s="1868">
        <v>0.48081000000000002</v>
      </c>
      <c r="K1127" s="1868">
        <v>0.48198999999999997</v>
      </c>
      <c r="L1127" s="1868">
        <v>0.46210000000000001</v>
      </c>
      <c r="M1127" s="1868">
        <v>0.44843999999999995</v>
      </c>
      <c r="N1127" s="1868">
        <v>0.43048999999999998</v>
      </c>
      <c r="O1127" s="1868">
        <v>0.41493000000000002</v>
      </c>
      <c r="P1127" s="1868">
        <v>0.41098999999999997</v>
      </c>
      <c r="Q1127" s="1868">
        <v>0.40018999999999999</v>
      </c>
      <c r="R1127" s="1868">
        <v>0.41108999999999996</v>
      </c>
      <c r="S1127" s="1868">
        <v>0.44436999999999999</v>
      </c>
      <c r="T1127" s="1868">
        <v>0.44688999999999995</v>
      </c>
      <c r="U1127" s="1868">
        <v>0.44916999999999996</v>
      </c>
      <c r="V1127" s="1868">
        <v>0.43048000000000003</v>
      </c>
      <c r="W1127" s="1868">
        <v>0.39826</v>
      </c>
      <c r="X1127" s="1868">
        <v>0.39500000000000002</v>
      </c>
      <c r="Y1127" s="1868">
        <v>0.40283000000000002</v>
      </c>
      <c r="Z1127" s="1868">
        <v>0.40114</v>
      </c>
      <c r="AA1127" s="1868">
        <v>0.41188000000000002</v>
      </c>
      <c r="AB1127" s="1868">
        <v>0.43003999999999998</v>
      </c>
      <c r="AC1127" s="1868">
        <v>0.44714999999999999</v>
      </c>
      <c r="AD1127" s="1868">
        <v>0.46321000000000001</v>
      </c>
      <c r="AE1127" s="1868">
        <v>0.4869</v>
      </c>
      <c r="AF1127" s="1868">
        <v>0.50978999999999997</v>
      </c>
      <c r="AG1127" s="1868">
        <v>0.52901000000000009</v>
      </c>
      <c r="AH1127" s="1868">
        <v>0.54430000000000001</v>
      </c>
      <c r="AI1127" s="1868">
        <v>0.56194</v>
      </c>
      <c r="AJ1127" s="1868">
        <v>0.61091000000000006</v>
      </c>
      <c r="AK1127" s="1868">
        <v>0.60680000000000001</v>
      </c>
      <c r="AL1127" s="1868">
        <v>0.54768000000000006</v>
      </c>
      <c r="AM1127" s="1868">
        <v>0.64536000000000004</v>
      </c>
      <c r="AN1127" s="1868">
        <v>0.63928000000000007</v>
      </c>
      <c r="AO1127" s="1868">
        <v>0.52761999999999998</v>
      </c>
      <c r="AP1127" s="1868">
        <v>0.63971</v>
      </c>
      <c r="AQ1127" s="1868">
        <v>0.73987000000000003</v>
      </c>
      <c r="AR1127" s="1868">
        <v>0.62924999999999998</v>
      </c>
      <c r="AS1127" s="1868">
        <v>0.61433000000000004</v>
      </c>
      <c r="AT1127" s="1868">
        <v>0.63793</v>
      </c>
      <c r="AU1127" s="1868">
        <v>0.67418999999999996</v>
      </c>
      <c r="AV1127" s="1868">
        <v>0.65283000000000002</v>
      </c>
      <c r="AW1127" s="1868">
        <v>0.67659999999999998</v>
      </c>
      <c r="AX1127" s="1868">
        <v>0.71589999999999998</v>
      </c>
      <c r="AY1127" s="1868">
        <v>0.75478999999999996</v>
      </c>
      <c r="AZ1127" s="1868">
        <v>0.7671</v>
      </c>
      <c r="BA1127" s="1868">
        <v>0.65505000000000002</v>
      </c>
    </row>
    <row r="1128" spans="1:53">
      <c r="A1128" s="1865" t="str">
        <f t="shared" si="17"/>
        <v>Southern AsiaCassava</v>
      </c>
      <c r="B1128" s="1866" t="s">
        <v>1352</v>
      </c>
      <c r="C1128" s="1866" t="s">
        <v>1368</v>
      </c>
      <c r="D1128" s="1868">
        <v>7.245610000000001</v>
      </c>
      <c r="E1128" s="1868">
        <v>7.2614399999999995</v>
      </c>
      <c r="F1128" s="1868">
        <v>6.9882300000000006</v>
      </c>
      <c r="G1128" s="1868">
        <v>11.04519</v>
      </c>
      <c r="H1128" s="1868">
        <v>11.477689999999999</v>
      </c>
      <c r="I1128" s="1868">
        <v>11.73545</v>
      </c>
      <c r="J1128" s="1868">
        <v>11.626049999999999</v>
      </c>
      <c r="K1128" s="1868">
        <v>12.055569999999999</v>
      </c>
      <c r="L1128" s="1868">
        <v>11.77619</v>
      </c>
      <c r="M1128" s="1868">
        <v>13.510689999999999</v>
      </c>
      <c r="N1128" s="1868">
        <v>13.327589999999999</v>
      </c>
      <c r="O1128" s="1868">
        <v>15.355779999999999</v>
      </c>
      <c r="P1128" s="1868">
        <v>14.603149999999999</v>
      </c>
      <c r="Q1128" s="1868">
        <v>12.94594</v>
      </c>
      <c r="R1128" s="1868">
        <v>12.865030000000001</v>
      </c>
      <c r="S1128" s="1868">
        <v>13.597439999999999</v>
      </c>
      <c r="T1128" s="1868">
        <v>14.3941</v>
      </c>
      <c r="U1128" s="1868">
        <v>14.502229999999999</v>
      </c>
      <c r="V1128" s="1868">
        <v>15.863</v>
      </c>
      <c r="W1128" s="1868">
        <v>15.74663</v>
      </c>
      <c r="X1128" s="1868">
        <v>16.964170000000003</v>
      </c>
      <c r="Y1128" s="1868">
        <v>15.338939999999999</v>
      </c>
      <c r="Z1128" s="1868">
        <v>16.984400000000001</v>
      </c>
      <c r="AA1128" s="1868">
        <v>17.461790000000001</v>
      </c>
      <c r="AB1128" s="1868">
        <v>17.42568</v>
      </c>
      <c r="AC1128" s="1868">
        <v>16.524149999999999</v>
      </c>
      <c r="AD1128" s="1868">
        <v>16.79393</v>
      </c>
      <c r="AE1128" s="1868">
        <v>18.556820000000002</v>
      </c>
      <c r="AF1128" s="1868">
        <v>17.8035</v>
      </c>
      <c r="AG1128" s="1868">
        <v>18.75319</v>
      </c>
      <c r="AH1128" s="1868">
        <v>20.141010000000001</v>
      </c>
      <c r="AI1128" s="1868">
        <v>21.519729999999999</v>
      </c>
      <c r="AJ1128" s="1868">
        <v>21.299150000000001</v>
      </c>
      <c r="AK1128" s="1868">
        <v>22.65935</v>
      </c>
      <c r="AL1128" s="1868">
        <v>23.30452</v>
      </c>
      <c r="AM1128" s="1868">
        <v>22.05067</v>
      </c>
      <c r="AN1128" s="1868">
        <v>20.748660000000001</v>
      </c>
      <c r="AO1128" s="1868">
        <v>23.572559999999999</v>
      </c>
      <c r="AP1128" s="1868">
        <v>22.2898</v>
      </c>
      <c r="AQ1128" s="1868">
        <v>24.750599999999999</v>
      </c>
      <c r="AR1128" s="1868">
        <v>24.934370000000001</v>
      </c>
      <c r="AS1128" s="1868">
        <v>25.408989999999999</v>
      </c>
      <c r="AT1128" s="1868">
        <v>24.24006</v>
      </c>
      <c r="AU1128" s="1868">
        <v>25.372699999999998</v>
      </c>
      <c r="AV1128" s="1868">
        <v>28.660640000000001</v>
      </c>
      <c r="AW1128" s="1868">
        <v>30.13345</v>
      </c>
      <c r="AX1128" s="1868">
        <v>30.396940000000001</v>
      </c>
      <c r="AY1128" s="1868">
        <v>31.627890000000001</v>
      </c>
      <c r="AZ1128" s="1868">
        <v>32.560980000000001</v>
      </c>
      <c r="BA1128" s="1868">
        <v>32.672240000000002</v>
      </c>
    </row>
    <row r="1129" spans="1:53">
      <c r="A1129" s="1865" t="str">
        <f t="shared" si="17"/>
        <v>Southern AsiaCauliflowers and broccoli</v>
      </c>
      <c r="B1129" s="1866" t="s">
        <v>1352</v>
      </c>
      <c r="C1129" s="1866" t="s">
        <v>1369</v>
      </c>
      <c r="D1129" s="1868">
        <v>9.4867000000000008</v>
      </c>
      <c r="E1129" s="1868">
        <v>9.46645</v>
      </c>
      <c r="F1129" s="1868">
        <v>9.6149500000000003</v>
      </c>
      <c r="G1129" s="1868">
        <v>9.5245699999999989</v>
      </c>
      <c r="H1129" s="1868">
        <v>9.9440100000000005</v>
      </c>
      <c r="I1129" s="1868">
        <v>9.6653800000000007</v>
      </c>
      <c r="J1129" s="1868">
        <v>10.44788</v>
      </c>
      <c r="K1129" s="1868">
        <v>10.4564</v>
      </c>
      <c r="L1129" s="1868">
        <v>10.993600000000001</v>
      </c>
      <c r="M1129" s="1868">
        <v>10.36858</v>
      </c>
      <c r="N1129" s="1868">
        <v>10.88677</v>
      </c>
      <c r="O1129" s="1868">
        <v>10.81348</v>
      </c>
      <c r="P1129" s="1868">
        <v>10.7988</v>
      </c>
      <c r="Q1129" s="1868">
        <v>11.597489999999999</v>
      </c>
      <c r="R1129" s="1868">
        <v>11.59122</v>
      </c>
      <c r="S1129" s="1868">
        <v>11.45392</v>
      </c>
      <c r="T1129" s="1868">
        <v>11.3386</v>
      </c>
      <c r="U1129" s="1868">
        <v>11.25089</v>
      </c>
      <c r="V1129" s="1868">
        <v>11.81207</v>
      </c>
      <c r="W1129" s="1868">
        <v>11.817789999999999</v>
      </c>
      <c r="X1129" s="1868">
        <v>11.72241</v>
      </c>
      <c r="Y1129" s="1868">
        <v>12.13227</v>
      </c>
      <c r="Z1129" s="1868">
        <v>12.025550000000001</v>
      </c>
      <c r="AA1129" s="1868">
        <v>12.5573</v>
      </c>
      <c r="AB1129" s="1868">
        <v>12.87608</v>
      </c>
      <c r="AC1129" s="1868">
        <v>13.421939999999999</v>
      </c>
      <c r="AD1129" s="1868">
        <v>13.685379999999999</v>
      </c>
      <c r="AE1129" s="1868">
        <v>13.541070000000001</v>
      </c>
      <c r="AF1129" s="1868">
        <v>13.78992</v>
      </c>
      <c r="AG1129" s="1868">
        <v>14.117649999999999</v>
      </c>
      <c r="AH1129" s="1868">
        <v>14.599489999999999</v>
      </c>
      <c r="AI1129" s="1868">
        <v>18.505749999999999</v>
      </c>
      <c r="AJ1129" s="1868">
        <v>14.880520000000001</v>
      </c>
      <c r="AK1129" s="1868">
        <v>16.187290000000001</v>
      </c>
      <c r="AL1129" s="1868">
        <v>16.777100000000001</v>
      </c>
      <c r="AM1129" s="1868">
        <v>15.90415</v>
      </c>
      <c r="AN1129" s="1868">
        <v>16.974689999999999</v>
      </c>
      <c r="AO1129" s="1868">
        <v>17.53884</v>
      </c>
      <c r="AP1129" s="1868">
        <v>18.34854</v>
      </c>
      <c r="AQ1129" s="1868">
        <v>18.458100000000002</v>
      </c>
      <c r="AR1129" s="1868">
        <v>17.655620000000003</v>
      </c>
      <c r="AS1129" s="1868">
        <v>17.755860000000002</v>
      </c>
      <c r="AT1129" s="1868">
        <v>16.852650000000001</v>
      </c>
      <c r="AU1129" s="1868">
        <v>18.021329999999999</v>
      </c>
      <c r="AV1129" s="1868">
        <v>18.40174</v>
      </c>
      <c r="AW1129" s="1868">
        <v>18.064220000000002</v>
      </c>
      <c r="AX1129" s="1868">
        <v>17.993110000000001</v>
      </c>
      <c r="AY1129" s="1868">
        <v>18.129079999999998</v>
      </c>
      <c r="AZ1129" s="1868">
        <v>18.362820000000003</v>
      </c>
      <c r="BA1129" s="1868">
        <v>18.81363</v>
      </c>
    </row>
    <row r="1130" spans="1:53">
      <c r="A1130" s="1865" t="str">
        <f t="shared" si="17"/>
        <v>Southern AsiaCitrus fruit, nes</v>
      </c>
      <c r="B1130" s="1866" t="s">
        <v>1352</v>
      </c>
      <c r="C1130" s="1866" t="s">
        <v>1372</v>
      </c>
      <c r="D1130" s="1868">
        <v>9.7450399999999995</v>
      </c>
      <c r="E1130" s="1868">
        <v>8.4803899999999999</v>
      </c>
      <c r="F1130" s="1868">
        <v>8.4503599999999999</v>
      </c>
      <c r="G1130" s="1868">
        <v>8.8652499999999996</v>
      </c>
      <c r="H1130" s="1868">
        <v>8.9583300000000001</v>
      </c>
      <c r="I1130" s="1868">
        <v>8.8541699999999999</v>
      </c>
      <c r="J1130" s="1868">
        <v>9.0583799999999997</v>
      </c>
      <c r="K1130" s="1868">
        <v>9.4330499999999997</v>
      </c>
      <c r="L1130" s="1868">
        <v>8.4069800000000008</v>
      </c>
      <c r="M1130" s="1868">
        <v>8.967080000000001</v>
      </c>
      <c r="N1130" s="1868">
        <v>8.7236399999999996</v>
      </c>
      <c r="O1130" s="1868">
        <v>8.775739999999999</v>
      </c>
      <c r="P1130" s="1868">
        <v>7.855389999999999</v>
      </c>
      <c r="Q1130" s="1868">
        <v>8.4661799999999996</v>
      </c>
      <c r="R1130" s="1868">
        <v>8.3583999999999996</v>
      </c>
      <c r="S1130" s="1868">
        <v>8.1188099999999999</v>
      </c>
      <c r="T1130" s="1868">
        <v>7.3792300000000006</v>
      </c>
      <c r="U1130" s="1868">
        <v>7.3476699999999999</v>
      </c>
      <c r="V1130" s="1868">
        <v>7.8057600000000003</v>
      </c>
      <c r="W1130" s="1868">
        <v>8.1894500000000008</v>
      </c>
      <c r="X1130" s="1868">
        <v>8.4495199999999997</v>
      </c>
      <c r="Y1130" s="1868">
        <v>8.6956500000000005</v>
      </c>
      <c r="Z1130" s="1868">
        <v>8.7135899999999999</v>
      </c>
      <c r="AA1130" s="1868">
        <v>8.9195399999999996</v>
      </c>
      <c r="AB1130" s="1868">
        <v>9.2907799999999998</v>
      </c>
      <c r="AC1130" s="1868">
        <v>9.9860699999999998</v>
      </c>
      <c r="AD1130" s="1868">
        <v>10.006310000000001</v>
      </c>
      <c r="AE1130" s="1868">
        <v>9.45946</v>
      </c>
      <c r="AF1130" s="1868">
        <v>10.38138</v>
      </c>
      <c r="AG1130" s="1868">
        <v>10.36138</v>
      </c>
      <c r="AH1130" s="1868">
        <v>10.448729999999999</v>
      </c>
      <c r="AI1130" s="1868">
        <v>9.29908</v>
      </c>
      <c r="AJ1130" s="1868">
        <v>9.2693300000000001</v>
      </c>
      <c r="AK1130" s="1868">
        <v>11.2247</v>
      </c>
      <c r="AL1130" s="1868">
        <v>13.26953</v>
      </c>
      <c r="AM1130" s="1868">
        <v>12.894600000000001</v>
      </c>
      <c r="AN1130" s="1868">
        <v>13.53101</v>
      </c>
      <c r="AO1130" s="1868">
        <v>13.276420000000002</v>
      </c>
      <c r="AP1130" s="1868">
        <v>14.41663</v>
      </c>
      <c r="AQ1130" s="1868">
        <v>12.601330000000001</v>
      </c>
      <c r="AR1130" s="1868">
        <v>10.79214</v>
      </c>
      <c r="AS1130" s="1868">
        <v>11.40882</v>
      </c>
      <c r="AT1130" s="1868">
        <v>11.548299999999999</v>
      </c>
      <c r="AU1130" s="1868">
        <v>11.87467</v>
      </c>
      <c r="AV1130" s="1868">
        <v>12.097489999999999</v>
      </c>
      <c r="AW1130" s="1868">
        <v>11.690300000000001</v>
      </c>
      <c r="AX1130" s="1868">
        <v>12.51322</v>
      </c>
      <c r="AY1130" s="1868">
        <v>12.51849</v>
      </c>
      <c r="AZ1130" s="1868">
        <v>12.506539999999999</v>
      </c>
      <c r="BA1130" s="1868">
        <v>13.31071</v>
      </c>
    </row>
    <row r="1131" spans="1:53">
      <c r="A1131" s="1865" t="str">
        <f t="shared" si="17"/>
        <v>Southern AsiaCoffee, green</v>
      </c>
      <c r="B1131" s="1866" t="s">
        <v>1352</v>
      </c>
      <c r="C1131" s="1866" t="s">
        <v>1373</v>
      </c>
      <c r="D1131" s="1868">
        <v>0.47467999999999999</v>
      </c>
      <c r="E1131" s="1868">
        <v>0.42008000000000001</v>
      </c>
      <c r="F1131" s="1868">
        <v>0.50753999999999999</v>
      </c>
      <c r="G1131" s="1868">
        <v>0.62797999999999998</v>
      </c>
      <c r="H1131" s="1868">
        <v>0.53932999999999998</v>
      </c>
      <c r="I1131" s="1868">
        <v>0.54701</v>
      </c>
      <c r="J1131" s="1868">
        <v>0.68979000000000001</v>
      </c>
      <c r="K1131" s="1868">
        <v>0.50854999999999995</v>
      </c>
      <c r="L1131" s="1868">
        <v>0.63729999999999998</v>
      </c>
      <c r="M1131" s="1868">
        <v>0.53673000000000004</v>
      </c>
      <c r="N1131" s="1868">
        <v>0.89605000000000001</v>
      </c>
      <c r="O1131" s="1868">
        <v>0.56547000000000003</v>
      </c>
      <c r="P1131" s="1868">
        <v>0.72786000000000006</v>
      </c>
      <c r="Q1131" s="1868">
        <v>0.69947000000000004</v>
      </c>
      <c r="R1131" s="1868">
        <v>0.66927999999999999</v>
      </c>
      <c r="S1131" s="1868">
        <v>0.59325000000000006</v>
      </c>
      <c r="T1131" s="1868">
        <v>0.67508999999999997</v>
      </c>
      <c r="U1131" s="1868">
        <v>0.77507000000000004</v>
      </c>
      <c r="V1131" s="1868">
        <v>0.64617000000000002</v>
      </c>
      <c r="W1131" s="1868">
        <v>0.83816000000000002</v>
      </c>
      <c r="X1131" s="1868">
        <v>0.66171999999999997</v>
      </c>
      <c r="Y1131" s="1868">
        <v>0.81652000000000002</v>
      </c>
      <c r="Z1131" s="1868">
        <v>0.69903000000000004</v>
      </c>
      <c r="AA1131" s="1868">
        <v>0.53173000000000004</v>
      </c>
      <c r="AB1131" s="1868">
        <v>0.92825000000000002</v>
      </c>
      <c r="AC1131" s="1868">
        <v>0.56306</v>
      </c>
      <c r="AD1131" s="1868">
        <v>0.86432999999999993</v>
      </c>
      <c r="AE1131" s="1868">
        <v>0.55389999999999995</v>
      </c>
      <c r="AF1131" s="1868">
        <v>0.94142000000000003</v>
      </c>
      <c r="AG1131" s="1868">
        <v>0.53622999999999998</v>
      </c>
      <c r="AH1131" s="1868">
        <v>0.75124000000000002</v>
      </c>
      <c r="AI1131" s="1868">
        <v>0.79751000000000005</v>
      </c>
      <c r="AJ1131" s="1868">
        <v>0.71830000000000005</v>
      </c>
      <c r="AK1131" s="1868">
        <v>0.90162999999999993</v>
      </c>
      <c r="AL1131" s="1868">
        <v>0.78063000000000005</v>
      </c>
      <c r="AM1131" s="1868">
        <v>0.90737000000000012</v>
      </c>
      <c r="AN1131" s="1868">
        <v>0.80740000000000001</v>
      </c>
      <c r="AO1131" s="1868">
        <v>0.78942999999999997</v>
      </c>
      <c r="AP1131" s="1868">
        <v>0.86462000000000006</v>
      </c>
      <c r="AQ1131" s="1868">
        <v>0.93067999999999995</v>
      </c>
      <c r="AR1131" s="1868">
        <v>0.94482999999999995</v>
      </c>
      <c r="AS1131" s="1868">
        <v>0.92492999999999992</v>
      </c>
      <c r="AT1131" s="1868">
        <v>0.85411000000000004</v>
      </c>
      <c r="AU1131" s="1868">
        <v>0.82386000000000004</v>
      </c>
      <c r="AV1131" s="1868">
        <v>0.81856000000000007</v>
      </c>
      <c r="AW1131" s="1868">
        <v>0.79481999999999997</v>
      </c>
      <c r="AX1131" s="1868">
        <v>0.83052999999999988</v>
      </c>
      <c r="AY1131" s="1868">
        <v>0.75523000000000007</v>
      </c>
      <c r="AZ1131" s="1868">
        <v>0.74282999999999999</v>
      </c>
      <c r="BA1131" s="1868">
        <v>0.81828000000000001</v>
      </c>
    </row>
    <row r="1132" spans="1:53">
      <c r="A1132" s="1865" t="str">
        <f t="shared" si="17"/>
        <v>Southern AsiaCow peas, dry</v>
      </c>
      <c r="B1132" s="1866" t="s">
        <v>1352</v>
      </c>
      <c r="C1132" s="1866" t="s">
        <v>1355</v>
      </c>
      <c r="D1132" s="1868">
        <v>0.42546000000000006</v>
      </c>
      <c r="E1132" s="1868">
        <v>0.69899999999999995</v>
      </c>
      <c r="F1132" s="1868">
        <v>0.54927000000000004</v>
      </c>
      <c r="G1132" s="1868">
        <v>0.61504999999999999</v>
      </c>
      <c r="H1132" s="1868">
        <v>0.63802000000000003</v>
      </c>
      <c r="I1132" s="1868">
        <v>0.61975000000000002</v>
      </c>
      <c r="J1132" s="1868">
        <v>0.49403000000000002</v>
      </c>
      <c r="K1132" s="1868">
        <v>0.60618000000000005</v>
      </c>
      <c r="L1132" s="1868">
        <v>0.61887000000000003</v>
      </c>
      <c r="M1132" s="1868">
        <v>0.76933999999999991</v>
      </c>
      <c r="N1132" s="1868">
        <v>0.88419999999999999</v>
      </c>
      <c r="O1132" s="1868">
        <v>0.99398999999999993</v>
      </c>
      <c r="P1132" s="1868">
        <v>0.99551000000000001</v>
      </c>
      <c r="Q1132" s="1868">
        <v>0.67357</v>
      </c>
      <c r="R1132" s="1868">
        <v>0.86577999999999988</v>
      </c>
      <c r="S1132" s="1868">
        <v>0.61870000000000003</v>
      </c>
      <c r="T1132" s="1868">
        <v>0.70016999999999996</v>
      </c>
      <c r="U1132" s="1868">
        <v>0.81956000000000007</v>
      </c>
      <c r="V1132" s="1868">
        <v>0.62223000000000006</v>
      </c>
      <c r="W1132" s="1868">
        <v>0.9204</v>
      </c>
      <c r="X1132" s="1868">
        <v>1.03043</v>
      </c>
      <c r="Y1132" s="1868">
        <v>0.99688999999999994</v>
      </c>
      <c r="Z1132" s="1868">
        <v>0.56996999999999998</v>
      </c>
      <c r="AA1132" s="1868">
        <v>0.71693000000000007</v>
      </c>
      <c r="AB1132" s="1868">
        <v>0.75965000000000005</v>
      </c>
      <c r="AC1132" s="1868">
        <v>0.88667999999999991</v>
      </c>
      <c r="AD1132" s="1868">
        <v>0.80543999999999993</v>
      </c>
      <c r="AE1132" s="1868">
        <v>0.82230999999999999</v>
      </c>
      <c r="AF1132" s="1868">
        <v>0.66211000000000009</v>
      </c>
      <c r="AG1132" s="1868">
        <v>0.86957000000000007</v>
      </c>
      <c r="AH1132" s="1868">
        <v>0.87070999999999998</v>
      </c>
      <c r="AI1132" s="1868">
        <v>0.82581000000000004</v>
      </c>
      <c r="AJ1132" s="1868">
        <v>0.88383999999999996</v>
      </c>
      <c r="AK1132" s="1868">
        <v>0.8878299999999999</v>
      </c>
      <c r="AL1132" s="1868">
        <v>0.89023999999999992</v>
      </c>
      <c r="AM1132" s="1868">
        <v>0.89921000000000006</v>
      </c>
      <c r="AN1132" s="1868">
        <v>0.86153999999999997</v>
      </c>
      <c r="AO1132" s="1868">
        <v>0.90377000000000007</v>
      </c>
      <c r="AP1132" s="1868">
        <v>0.92021000000000008</v>
      </c>
      <c r="AQ1132" s="1868">
        <v>0.93591000000000002</v>
      </c>
      <c r="AR1132" s="1868">
        <v>0.91195999999999999</v>
      </c>
      <c r="AS1132" s="1868">
        <v>0.88624999999999998</v>
      </c>
      <c r="AT1132" s="1868">
        <v>0.93207999999999991</v>
      </c>
      <c r="AU1132" s="1868">
        <v>0.94823999999999997</v>
      </c>
      <c r="AV1132" s="1868">
        <v>0.98416000000000003</v>
      </c>
      <c r="AW1132" s="1868">
        <v>0.95023999999999997</v>
      </c>
      <c r="AX1132" s="1868">
        <v>1.0206999999999999</v>
      </c>
      <c r="AY1132" s="1868">
        <v>0.98272999999999988</v>
      </c>
      <c r="AZ1132" s="1868">
        <v>1.17832</v>
      </c>
      <c r="BA1132" s="1868">
        <v>1.0680799999999999</v>
      </c>
    </row>
    <row r="1133" spans="1:53">
      <c r="A1133" s="1865" t="str">
        <f t="shared" si="17"/>
        <v>Southern AsiaDates</v>
      </c>
      <c r="B1133" s="1866" t="s">
        <v>1352</v>
      </c>
      <c r="C1133" s="1866" t="s">
        <v>1374</v>
      </c>
      <c r="D1133" s="1868">
        <v>4.2991900000000003</v>
      </c>
      <c r="E1133" s="1868">
        <v>4.2908099999999996</v>
      </c>
      <c r="F1133" s="1868">
        <v>4.391</v>
      </c>
      <c r="G1133" s="1868">
        <v>4.3378199999999998</v>
      </c>
      <c r="H1133" s="1868">
        <v>4.6970300000000007</v>
      </c>
      <c r="I1133" s="1868">
        <v>4.4632899999999998</v>
      </c>
      <c r="J1133" s="1868">
        <v>4.3729500000000003</v>
      </c>
      <c r="K1133" s="1868">
        <v>4.34274</v>
      </c>
      <c r="L1133" s="1868">
        <v>4.3983699999999999</v>
      </c>
      <c r="M1133" s="1868">
        <v>4.7441599999999999</v>
      </c>
      <c r="N1133" s="1868">
        <v>4.4571699999999996</v>
      </c>
      <c r="O1133" s="1868">
        <v>4.9073000000000002</v>
      </c>
      <c r="P1133" s="1868">
        <v>4.5367300000000004</v>
      </c>
      <c r="Q1133" s="1868">
        <v>4.6974</v>
      </c>
      <c r="R1133" s="1868">
        <v>4.4471099999999995</v>
      </c>
      <c r="S1133" s="1868">
        <v>4.7659199999999995</v>
      </c>
      <c r="T1133" s="1868">
        <v>4.7910699999999995</v>
      </c>
      <c r="U1133" s="1868">
        <v>4.7069000000000001</v>
      </c>
      <c r="V1133" s="1868">
        <v>4.7877000000000001</v>
      </c>
      <c r="W1133" s="1868">
        <v>4.1846500000000004</v>
      </c>
      <c r="X1133" s="1868">
        <v>4.05924</v>
      </c>
      <c r="Y1133" s="1868">
        <v>4.0274999999999999</v>
      </c>
      <c r="Z1133" s="1868">
        <v>5.0157999999999996</v>
      </c>
      <c r="AA1133" s="1868">
        <v>5.0354599999999996</v>
      </c>
      <c r="AB1133" s="1868">
        <v>4.6969599999999998</v>
      </c>
      <c r="AC1133" s="1868">
        <v>4.6855500000000001</v>
      </c>
      <c r="AD1133" s="1868">
        <v>4.8942199999999998</v>
      </c>
      <c r="AE1133" s="1868">
        <v>4.9897999999999998</v>
      </c>
      <c r="AF1133" s="1868">
        <v>5.0560199999999993</v>
      </c>
      <c r="AG1133" s="1868">
        <v>4.9912099999999997</v>
      </c>
      <c r="AH1133" s="1868">
        <v>5.0489199999999999</v>
      </c>
      <c r="AI1133" s="1868">
        <v>4.8036000000000003</v>
      </c>
      <c r="AJ1133" s="1868">
        <v>6.1031699999999995</v>
      </c>
      <c r="AK1133" s="1868">
        <v>6.0337300000000003</v>
      </c>
      <c r="AL1133" s="1868">
        <v>5.8340100000000001</v>
      </c>
      <c r="AM1133" s="1868">
        <v>5.7747000000000002</v>
      </c>
      <c r="AN1133" s="1868">
        <v>5.2889400000000002</v>
      </c>
      <c r="AO1133" s="1868">
        <v>5.5914400000000004</v>
      </c>
      <c r="AP1133" s="1868">
        <v>5.8551699999999993</v>
      </c>
      <c r="AQ1133" s="1868">
        <v>5.62845</v>
      </c>
      <c r="AR1133" s="1868">
        <v>5.7510500000000002</v>
      </c>
      <c r="AS1133" s="1868">
        <v>5.7434000000000003</v>
      </c>
      <c r="AT1133" s="1868">
        <v>4.9067800000000004</v>
      </c>
      <c r="AU1133" s="1868">
        <v>5.1222099999999999</v>
      </c>
      <c r="AV1133" s="1868">
        <v>4.6543000000000001</v>
      </c>
      <c r="AW1133" s="1868">
        <v>4.3926800000000004</v>
      </c>
      <c r="AX1133" s="1868">
        <v>5.3983600000000003</v>
      </c>
      <c r="AY1133" s="1868">
        <v>6.8141999999999996</v>
      </c>
      <c r="AZ1133" s="1868">
        <v>7.6094100000000005</v>
      </c>
      <c r="BA1133" s="1868">
        <v>7.8097699999999994</v>
      </c>
    </row>
    <row r="1134" spans="1:53">
      <c r="A1134" s="1865" t="str">
        <f t="shared" si="17"/>
        <v>Southern AsiaEggplants (aubergines)</v>
      </c>
      <c r="B1134" s="1866" t="s">
        <v>1352</v>
      </c>
      <c r="C1134" s="1866" t="s">
        <v>1375</v>
      </c>
      <c r="D1134" s="1868">
        <v>6.6085799999999999</v>
      </c>
      <c r="E1134" s="1868">
        <v>6.74878</v>
      </c>
      <c r="F1134" s="1868">
        <v>6.7964100000000007</v>
      </c>
      <c r="G1134" s="1868">
        <v>6.7994699999999995</v>
      </c>
      <c r="H1134" s="1868">
        <v>6.8721899999999998</v>
      </c>
      <c r="I1134" s="1868">
        <v>6.8548999999999998</v>
      </c>
      <c r="J1134" s="1868">
        <v>6.8476999999999997</v>
      </c>
      <c r="K1134" s="1868">
        <v>7.0094000000000003</v>
      </c>
      <c r="L1134" s="1868">
        <v>6.9971699999999997</v>
      </c>
      <c r="M1134" s="1868">
        <v>7.2138</v>
      </c>
      <c r="N1134" s="1868">
        <v>7.4034800000000001</v>
      </c>
      <c r="O1134" s="1868">
        <v>7.5543800000000001</v>
      </c>
      <c r="P1134" s="1868">
        <v>7.609560000000001</v>
      </c>
      <c r="Q1134" s="1868">
        <v>7.5499000000000001</v>
      </c>
      <c r="R1134" s="1868">
        <v>7.5848100000000009</v>
      </c>
      <c r="S1134" s="1868">
        <v>7.6677499999999998</v>
      </c>
      <c r="T1134" s="1868">
        <v>7.8185799999999999</v>
      </c>
      <c r="U1134" s="1868">
        <v>7.8354699999999999</v>
      </c>
      <c r="V1134" s="1868">
        <v>7.9235300000000004</v>
      </c>
      <c r="W1134" s="1868">
        <v>8.08826</v>
      </c>
      <c r="X1134" s="1868">
        <v>8.6565999999999992</v>
      </c>
      <c r="Y1134" s="1868">
        <v>8.9477399999999996</v>
      </c>
      <c r="Z1134" s="1868">
        <v>9.0416000000000007</v>
      </c>
      <c r="AA1134" s="1868">
        <v>9.2017600000000002</v>
      </c>
      <c r="AB1134" s="1868">
        <v>9.2950699999999991</v>
      </c>
      <c r="AC1134" s="1868">
        <v>9.5174599999999998</v>
      </c>
      <c r="AD1134" s="1868">
        <v>9.79908</v>
      </c>
      <c r="AE1134" s="1868">
        <v>9.9748600000000014</v>
      </c>
      <c r="AF1134" s="1868">
        <v>10.17399</v>
      </c>
      <c r="AG1134" s="1868">
        <v>10.41508</v>
      </c>
      <c r="AH1134" s="1868">
        <v>10.49281</v>
      </c>
      <c r="AI1134" s="1868">
        <v>14.037579999999998</v>
      </c>
      <c r="AJ1134" s="1868">
        <v>19.241389999999999</v>
      </c>
      <c r="AK1134" s="1868">
        <v>15.508889999999999</v>
      </c>
      <c r="AL1134" s="1868">
        <v>14.692089999999999</v>
      </c>
      <c r="AM1134" s="1868">
        <v>14.162289999999999</v>
      </c>
      <c r="AN1134" s="1868">
        <v>14.03125</v>
      </c>
      <c r="AO1134" s="1868">
        <v>15.937010000000001</v>
      </c>
      <c r="AP1134" s="1868">
        <v>16.017340000000001</v>
      </c>
      <c r="AQ1134" s="1868">
        <v>16.205570000000002</v>
      </c>
      <c r="AR1134" s="1868">
        <v>16.365590000000001</v>
      </c>
      <c r="AS1134" s="1868">
        <v>16.710079999999998</v>
      </c>
      <c r="AT1134" s="1868">
        <v>15.770220000000002</v>
      </c>
      <c r="AU1134" s="1868">
        <v>16.5242</v>
      </c>
      <c r="AV1134" s="1868">
        <v>16.762929999999997</v>
      </c>
      <c r="AW1134" s="1868">
        <v>16.76774</v>
      </c>
      <c r="AX1134" s="1868">
        <v>16.767789999999998</v>
      </c>
      <c r="AY1134" s="1868">
        <v>17.26193</v>
      </c>
      <c r="AZ1134" s="1868">
        <v>17.595949999999998</v>
      </c>
      <c r="BA1134" s="1868">
        <v>17.60012</v>
      </c>
    </row>
    <row r="1135" spans="1:53">
      <c r="A1135" s="1865" t="str">
        <f t="shared" si="17"/>
        <v>Southern AsiaFibre Crops Nes</v>
      </c>
      <c r="B1135" s="1866" t="s">
        <v>1352</v>
      </c>
      <c r="C1135" s="1866" t="s">
        <v>1376</v>
      </c>
      <c r="D1135" s="1868">
        <v>0.9166700000000001</v>
      </c>
      <c r="E1135" s="1868">
        <v>0.9</v>
      </c>
      <c r="F1135" s="1868">
        <v>0.90908999999999995</v>
      </c>
      <c r="G1135" s="1868">
        <v>0.9230799999999999</v>
      </c>
      <c r="H1135" s="1868">
        <v>0.90908999999999995</v>
      </c>
      <c r="I1135" s="1868">
        <v>0.94443999999999995</v>
      </c>
      <c r="J1135" s="1868">
        <v>1</v>
      </c>
      <c r="K1135" s="1868">
        <v>0.90236000000000005</v>
      </c>
      <c r="L1135" s="1868">
        <v>0.76061999999999996</v>
      </c>
      <c r="M1135" s="1868">
        <v>0.75285000000000002</v>
      </c>
      <c r="N1135" s="1868">
        <v>0.76226000000000005</v>
      </c>
      <c r="O1135" s="1868">
        <v>0.54627999999999999</v>
      </c>
      <c r="P1135" s="1868">
        <v>0.57962000000000002</v>
      </c>
      <c r="Q1135" s="1868">
        <v>0.6</v>
      </c>
      <c r="R1135" s="1868">
        <v>0.6129</v>
      </c>
      <c r="S1135" s="1868">
        <v>0.64322000000000001</v>
      </c>
      <c r="T1135" s="1868">
        <v>0.61577999999999999</v>
      </c>
      <c r="U1135" s="1868">
        <v>0.60406000000000004</v>
      </c>
      <c r="V1135" s="1868">
        <v>0.62651000000000001</v>
      </c>
      <c r="W1135" s="1868">
        <v>0.62836000000000003</v>
      </c>
      <c r="X1135" s="1868">
        <v>0.60865000000000002</v>
      </c>
      <c r="Y1135" s="1868">
        <v>0.64932000000000001</v>
      </c>
      <c r="Z1135" s="1868">
        <v>0.62190000000000001</v>
      </c>
      <c r="AA1135" s="1868">
        <v>0.64058999999999999</v>
      </c>
      <c r="AB1135" s="1868">
        <v>0.63333000000000006</v>
      </c>
      <c r="AC1135" s="1868">
        <v>0.63202999999999998</v>
      </c>
      <c r="AD1135" s="1868">
        <v>0.63666</v>
      </c>
      <c r="AE1135" s="1868">
        <v>0.67663999999999991</v>
      </c>
      <c r="AF1135" s="1868">
        <v>0.71984999999999999</v>
      </c>
      <c r="AG1135" s="1868">
        <v>0.71683999999999992</v>
      </c>
      <c r="AH1135" s="1868">
        <v>0.64575000000000005</v>
      </c>
      <c r="AI1135" s="1868">
        <v>0.65637999999999996</v>
      </c>
      <c r="AJ1135" s="1868">
        <v>0.64181999999999995</v>
      </c>
      <c r="AK1135" s="1868">
        <v>0.24631999999999998</v>
      </c>
      <c r="AL1135" s="1868">
        <v>0.25614999999999999</v>
      </c>
      <c r="AM1135" s="1868">
        <v>0.25891999999999998</v>
      </c>
      <c r="AN1135" s="1868">
        <v>0.24665000000000001</v>
      </c>
      <c r="AO1135" s="1868">
        <v>0.24731999999999998</v>
      </c>
      <c r="AP1135" s="1868">
        <v>0.23810000000000001</v>
      </c>
      <c r="AQ1135" s="1868">
        <v>0.24956999999999999</v>
      </c>
      <c r="AR1135" s="1868">
        <v>0.25649</v>
      </c>
      <c r="AS1135" s="1868">
        <v>0.24911</v>
      </c>
      <c r="AT1135" s="1868">
        <v>0.26524000000000003</v>
      </c>
      <c r="AU1135" s="1868">
        <v>0.25522</v>
      </c>
      <c r="AV1135" s="1868">
        <v>0.28275</v>
      </c>
      <c r="AW1135" s="1868">
        <v>0.28664000000000001</v>
      </c>
      <c r="AX1135" s="1868">
        <v>0.25761000000000001</v>
      </c>
      <c r="AY1135" s="1868">
        <v>0.27449000000000001</v>
      </c>
      <c r="AZ1135" s="1868">
        <v>0.30125999999999997</v>
      </c>
      <c r="BA1135" s="1868">
        <v>0.35</v>
      </c>
    </row>
    <row r="1136" spans="1:53">
      <c r="A1136" s="1865" t="str">
        <f t="shared" si="17"/>
        <v>Southern AsiaGrapefruit (inc. pomelos)</v>
      </c>
      <c r="B1136" s="1866" t="s">
        <v>1352</v>
      </c>
      <c r="C1136" s="1866" t="s">
        <v>1377</v>
      </c>
      <c r="D1136" s="1868">
        <v>9.75</v>
      </c>
      <c r="E1136" s="1868">
        <v>9</v>
      </c>
      <c r="F1136" s="1868">
        <v>8.88889</v>
      </c>
      <c r="G1136" s="1868">
        <v>8.6071399999999993</v>
      </c>
      <c r="H1136" s="1868">
        <v>8.6428600000000007</v>
      </c>
      <c r="I1136" s="1868">
        <v>8.7586200000000005</v>
      </c>
      <c r="J1136" s="1868">
        <v>8.7666699999999995</v>
      </c>
      <c r="K1136" s="1868">
        <v>9.7368399999999991</v>
      </c>
      <c r="L1136" s="1868">
        <v>8.5526300000000006</v>
      </c>
      <c r="M1136" s="1868">
        <v>9.6666699999999999</v>
      </c>
      <c r="N1136" s="1868">
        <v>11.076919999999999</v>
      </c>
      <c r="O1136" s="1868">
        <v>10.75</v>
      </c>
      <c r="P1136" s="1868">
        <v>9.4170499999999997</v>
      </c>
      <c r="Q1136" s="1868">
        <v>9.1774100000000001</v>
      </c>
      <c r="R1136" s="1868">
        <v>10.53492</v>
      </c>
      <c r="S1136" s="1868">
        <v>8.123330000000001</v>
      </c>
      <c r="T1136" s="1868">
        <v>8.2753600000000009</v>
      </c>
      <c r="U1136" s="1868">
        <v>8.1322399999999995</v>
      </c>
      <c r="V1136" s="1868">
        <v>8.191930000000001</v>
      </c>
      <c r="W1136" s="1868">
        <v>8.1941399999999991</v>
      </c>
      <c r="X1136" s="1868">
        <v>8.3805600000000009</v>
      </c>
      <c r="Y1136" s="1868">
        <v>8.2779699999999998</v>
      </c>
      <c r="Z1136" s="1868">
        <v>9.45045</v>
      </c>
      <c r="AA1136" s="1868">
        <v>9.3126300000000004</v>
      </c>
      <c r="AB1136" s="1868">
        <v>8.8082399999999996</v>
      </c>
      <c r="AC1136" s="1868">
        <v>11.51498</v>
      </c>
      <c r="AD1136" s="1868">
        <v>12.18582</v>
      </c>
      <c r="AE1136" s="1868">
        <v>11.324780000000001</v>
      </c>
      <c r="AF1136" s="1868">
        <v>11.87912</v>
      </c>
      <c r="AG1136" s="1868">
        <v>11.16719</v>
      </c>
      <c r="AH1136" s="1868">
        <v>12.30851</v>
      </c>
      <c r="AI1136" s="1868">
        <v>11.691360000000001</v>
      </c>
      <c r="AJ1136" s="1868">
        <v>14.575139999999999</v>
      </c>
      <c r="AK1136" s="1868">
        <v>12.669039999999999</v>
      </c>
      <c r="AL1136" s="1868">
        <v>14.46954</v>
      </c>
      <c r="AM1136" s="1868">
        <v>13.142120000000002</v>
      </c>
      <c r="AN1136" s="1868">
        <v>12.72598</v>
      </c>
      <c r="AO1136" s="1868">
        <v>12.330399999999999</v>
      </c>
      <c r="AP1136" s="1868">
        <v>14.44824</v>
      </c>
      <c r="AQ1136" s="1868">
        <v>14.174799999999999</v>
      </c>
      <c r="AR1136" s="1868">
        <v>13.1678</v>
      </c>
      <c r="AS1136" s="1868">
        <v>13.53152</v>
      </c>
      <c r="AT1136" s="1868">
        <v>13.39589</v>
      </c>
      <c r="AU1136" s="1868">
        <v>14.439060000000001</v>
      </c>
      <c r="AV1136" s="1868">
        <v>12.65395</v>
      </c>
      <c r="AW1136" s="1868">
        <v>14.954260000000001</v>
      </c>
      <c r="AX1136" s="1868">
        <v>17.283940000000001</v>
      </c>
      <c r="AY1136" s="1868">
        <v>19.414870000000001</v>
      </c>
      <c r="AZ1136" s="1868">
        <v>17.956210000000002</v>
      </c>
      <c r="BA1136" s="1868">
        <v>18.994700000000002</v>
      </c>
    </row>
    <row r="1137" spans="1:53">
      <c r="A1137" s="1865" t="str">
        <f t="shared" si="17"/>
        <v>Southern AsiaGrapes</v>
      </c>
      <c r="B1137" s="1866" t="s">
        <v>1352</v>
      </c>
      <c r="C1137" s="1866" t="s">
        <v>1378</v>
      </c>
      <c r="D1137" s="1868">
        <v>4.6551300000000007</v>
      </c>
      <c r="E1137" s="1868">
        <v>4.7411799999999999</v>
      </c>
      <c r="F1137" s="1868">
        <v>4.8296400000000004</v>
      </c>
      <c r="G1137" s="1868">
        <v>5.0871599999999999</v>
      </c>
      <c r="H1137" s="1868">
        <v>5.2197899999999997</v>
      </c>
      <c r="I1137" s="1868">
        <v>5.2386099999999995</v>
      </c>
      <c r="J1137" s="1868">
        <v>5.5500300000000005</v>
      </c>
      <c r="K1137" s="1868">
        <v>5.4702199999999994</v>
      </c>
      <c r="L1137" s="1868">
        <v>5.7068599999999998</v>
      </c>
      <c r="M1137" s="1868">
        <v>5.7319000000000004</v>
      </c>
      <c r="N1137" s="1868">
        <v>5.2421199999999999</v>
      </c>
      <c r="O1137" s="1868">
        <v>5.7254300000000002</v>
      </c>
      <c r="P1137" s="1868">
        <v>5.6272800000000007</v>
      </c>
      <c r="Q1137" s="1868">
        <v>5.5622800000000003</v>
      </c>
      <c r="R1137" s="1868">
        <v>5.6306699999999994</v>
      </c>
      <c r="S1137" s="1868">
        <v>5.84741</v>
      </c>
      <c r="T1137" s="1868">
        <v>5.8086400000000005</v>
      </c>
      <c r="U1137" s="1868">
        <v>5.9283700000000001</v>
      </c>
      <c r="V1137" s="1868">
        <v>6.0671300000000006</v>
      </c>
      <c r="W1137" s="1868">
        <v>6.8300199999999993</v>
      </c>
      <c r="X1137" s="1868">
        <v>7.9231600000000002</v>
      </c>
      <c r="Y1137" s="1868">
        <v>8.1579899999999999</v>
      </c>
      <c r="Z1137" s="1868">
        <v>7.8944600000000005</v>
      </c>
      <c r="AA1137" s="1868">
        <v>7.7786600000000004</v>
      </c>
      <c r="AB1137" s="1868">
        <v>8.1228899999999999</v>
      </c>
      <c r="AC1137" s="1868">
        <v>8.1063500000000008</v>
      </c>
      <c r="AD1137" s="1868">
        <v>7.8931199999999997</v>
      </c>
      <c r="AE1137" s="1868">
        <v>8.3369999999999997</v>
      </c>
      <c r="AF1137" s="1868">
        <v>6.9683600000000006</v>
      </c>
      <c r="AG1137" s="1868">
        <v>7.3222199999999997</v>
      </c>
      <c r="AH1137" s="1868">
        <v>7.8201899999999993</v>
      </c>
      <c r="AI1137" s="1868">
        <v>7.9497899999999992</v>
      </c>
      <c r="AJ1137" s="1868">
        <v>8.9117999999999995</v>
      </c>
      <c r="AK1137" s="1868">
        <v>8.6052800000000005</v>
      </c>
      <c r="AL1137" s="1868">
        <v>8.7305799999999998</v>
      </c>
      <c r="AM1137" s="1868">
        <v>9.0860599999999998</v>
      </c>
      <c r="AN1137" s="1868">
        <v>9.3679800000000011</v>
      </c>
      <c r="AO1137" s="1868">
        <v>9.6314499999999992</v>
      </c>
      <c r="AP1137" s="1868">
        <v>10.30158</v>
      </c>
      <c r="AQ1137" s="1868">
        <v>10.90921</v>
      </c>
      <c r="AR1137" s="1868">
        <v>10.39655</v>
      </c>
      <c r="AS1137" s="1868">
        <v>11.204310000000001</v>
      </c>
      <c r="AT1137" s="1868">
        <v>10.758519999999999</v>
      </c>
      <c r="AU1137" s="1868">
        <v>10.75525</v>
      </c>
      <c r="AV1137" s="1868">
        <v>11.23502</v>
      </c>
      <c r="AW1137" s="1868">
        <v>10.17343</v>
      </c>
      <c r="AX1137" s="1868">
        <v>9.4657699999999991</v>
      </c>
      <c r="AY1137" s="1868">
        <v>12.246650000000001</v>
      </c>
      <c r="AZ1137" s="1868">
        <v>12.18207</v>
      </c>
      <c r="BA1137" s="1868">
        <v>12.95701</v>
      </c>
    </row>
    <row r="1138" spans="1:53">
      <c r="A1138" s="1865" t="str">
        <f t="shared" si="17"/>
        <v>Southern AsiaGroundnuts, with shell</v>
      </c>
      <c r="B1138" s="1866" t="s">
        <v>1352</v>
      </c>
      <c r="C1138" s="1866" t="s">
        <v>1379</v>
      </c>
      <c r="D1138" s="1868">
        <v>0.72672000000000003</v>
      </c>
      <c r="E1138" s="1868">
        <v>0.69716999999999996</v>
      </c>
      <c r="F1138" s="1868">
        <v>0.77133000000000007</v>
      </c>
      <c r="G1138" s="1868">
        <v>0.81591000000000002</v>
      </c>
      <c r="H1138" s="1868">
        <v>0.55723</v>
      </c>
      <c r="I1138" s="1868">
        <v>0.61002000000000001</v>
      </c>
      <c r="J1138" s="1868">
        <v>0.76638000000000006</v>
      </c>
      <c r="K1138" s="1868">
        <v>0.66223999999999994</v>
      </c>
      <c r="L1138" s="1868">
        <v>0.72872000000000003</v>
      </c>
      <c r="M1138" s="1868">
        <v>0.83993999999999991</v>
      </c>
      <c r="N1138" s="1868">
        <v>0.82804</v>
      </c>
      <c r="O1138" s="1868">
        <v>0.59298000000000006</v>
      </c>
      <c r="P1138" s="1868">
        <v>0.85087999999999997</v>
      </c>
      <c r="Q1138" s="1868">
        <v>0.71899999999999997</v>
      </c>
      <c r="R1138" s="1868">
        <v>0.94089</v>
      </c>
      <c r="S1138" s="1868">
        <v>0.75446999999999997</v>
      </c>
      <c r="T1138" s="1868">
        <v>0.87131000000000003</v>
      </c>
      <c r="U1138" s="1868">
        <v>0.83792999999999995</v>
      </c>
      <c r="V1138" s="1868">
        <v>0.80846000000000007</v>
      </c>
      <c r="W1138" s="1868">
        <v>0.74087000000000003</v>
      </c>
      <c r="X1138" s="1868">
        <v>0.97371000000000008</v>
      </c>
      <c r="Y1138" s="1868">
        <v>0.73738999999999999</v>
      </c>
      <c r="Z1138" s="1868">
        <v>0.9422299999999999</v>
      </c>
      <c r="AA1138" s="1868">
        <v>0.90059999999999996</v>
      </c>
      <c r="AB1138" s="1868">
        <v>0.72399999999999998</v>
      </c>
      <c r="AC1138" s="1868">
        <v>0.84619999999999995</v>
      </c>
      <c r="AD1138" s="1868">
        <v>0.85614000000000001</v>
      </c>
      <c r="AE1138" s="1868">
        <v>1.1327399999999999</v>
      </c>
      <c r="AF1138" s="1868">
        <v>0.93189999999999995</v>
      </c>
      <c r="AG1138" s="1868">
        <v>0.90700000000000003</v>
      </c>
      <c r="AH1138" s="1868">
        <v>0.82171000000000005</v>
      </c>
      <c r="AI1138" s="1868">
        <v>1.0489200000000001</v>
      </c>
      <c r="AJ1138" s="1868">
        <v>0.94245000000000001</v>
      </c>
      <c r="AK1138" s="1868">
        <v>1.0279499999999999</v>
      </c>
      <c r="AL1138" s="1868">
        <v>1.0088700000000002</v>
      </c>
      <c r="AM1138" s="1868">
        <v>1.1372100000000001</v>
      </c>
      <c r="AN1138" s="1868">
        <v>1.03966</v>
      </c>
      <c r="AO1138" s="1868">
        <v>1.21147</v>
      </c>
      <c r="AP1138" s="1868">
        <v>0.77207000000000003</v>
      </c>
      <c r="AQ1138" s="1868">
        <v>0.98997000000000013</v>
      </c>
      <c r="AR1138" s="1868">
        <v>1.12405</v>
      </c>
      <c r="AS1138" s="1868">
        <v>0.70208999999999999</v>
      </c>
      <c r="AT1138" s="1868">
        <v>1.35209</v>
      </c>
      <c r="AU1138" s="1868">
        <v>1.0166299999999999</v>
      </c>
      <c r="AV1138" s="1868">
        <v>1.1808100000000001</v>
      </c>
      <c r="AW1138" s="1868">
        <v>0.86746000000000001</v>
      </c>
      <c r="AX1138" s="1868">
        <v>1.4497799999999998</v>
      </c>
      <c r="AY1138" s="1868">
        <v>1.16144</v>
      </c>
      <c r="AZ1138" s="1868">
        <v>1.0047900000000001</v>
      </c>
      <c r="BA1138" s="1868">
        <v>1.14059</v>
      </c>
    </row>
    <row r="1139" spans="1:53">
      <c r="A1139" s="1865" t="str">
        <f t="shared" si="17"/>
        <v>Southern AsiaLeguminous vegetables, nes</v>
      </c>
      <c r="B1139" s="1866" t="s">
        <v>1352</v>
      </c>
      <c r="C1139" s="1866" t="s">
        <v>1380</v>
      </c>
      <c r="AG1139" s="1868">
        <v>12.5</v>
      </c>
      <c r="AH1139" s="1868">
        <v>9.7810100000000002</v>
      </c>
      <c r="AI1139" s="1868">
        <v>11.094489999999999</v>
      </c>
      <c r="AJ1139" s="1868">
        <v>10.394270000000001</v>
      </c>
      <c r="AK1139" s="1868">
        <v>12.06452</v>
      </c>
      <c r="AL1139" s="1868">
        <v>12.047460000000001</v>
      </c>
      <c r="AM1139" s="1868">
        <v>12.88129</v>
      </c>
      <c r="AN1139" s="1868">
        <v>12.802860000000001</v>
      </c>
      <c r="AO1139" s="1868">
        <v>12.97761</v>
      </c>
      <c r="AP1139" s="1868">
        <v>14.037470000000001</v>
      </c>
      <c r="AQ1139" s="1868">
        <v>14.02594</v>
      </c>
      <c r="AR1139" s="1868">
        <v>14.017420000000001</v>
      </c>
      <c r="AS1139" s="1868">
        <v>15.87214</v>
      </c>
      <c r="AT1139" s="1868">
        <v>14.852520000000002</v>
      </c>
      <c r="AU1139" s="1868">
        <v>16.08052</v>
      </c>
      <c r="AV1139" s="1868">
        <v>14.996960000000001</v>
      </c>
      <c r="AW1139" s="1868">
        <v>17.412379999999999</v>
      </c>
      <c r="AX1139" s="1868">
        <v>17.155820000000002</v>
      </c>
      <c r="AY1139" s="1868">
        <v>18.012060000000002</v>
      </c>
      <c r="AZ1139" s="1868">
        <v>17.11384</v>
      </c>
      <c r="BA1139" s="1868">
        <v>18.160920000000001</v>
      </c>
    </row>
    <row r="1140" spans="1:53">
      <c r="A1140" s="1865" t="str">
        <f t="shared" si="17"/>
        <v>Southern AsiaLinseed</v>
      </c>
      <c r="B1140" s="1866" t="s">
        <v>1352</v>
      </c>
      <c r="C1140" s="1866" t="s">
        <v>1381</v>
      </c>
      <c r="D1140" s="1868">
        <v>0.23425000000000001</v>
      </c>
      <c r="E1140" s="1868">
        <v>0.24453000000000003</v>
      </c>
      <c r="F1140" s="1868">
        <v>0.23798000000000002</v>
      </c>
      <c r="G1140" s="1868">
        <v>0.20190999999999998</v>
      </c>
      <c r="H1140" s="1868">
        <v>0.25223000000000001</v>
      </c>
      <c r="I1140" s="1868">
        <v>0.20723000000000003</v>
      </c>
      <c r="J1140" s="1868">
        <v>0.19136</v>
      </c>
      <c r="K1140" s="1868">
        <v>0.25834000000000001</v>
      </c>
      <c r="L1140" s="1868">
        <v>0.20948000000000003</v>
      </c>
      <c r="M1140" s="1868">
        <v>0.27131</v>
      </c>
      <c r="N1140" s="1868">
        <v>0.25824999999999998</v>
      </c>
      <c r="O1140" s="1868">
        <v>0.26568000000000003</v>
      </c>
      <c r="P1140" s="1868">
        <v>0.26190999999999998</v>
      </c>
      <c r="Q1140" s="1868">
        <v>0.26022000000000001</v>
      </c>
      <c r="R1140" s="1868">
        <v>0.28349999999999997</v>
      </c>
      <c r="S1140" s="1868">
        <v>0.29246</v>
      </c>
      <c r="T1140" s="1868">
        <v>0.23756999999999998</v>
      </c>
      <c r="U1140" s="1868">
        <v>0.27509</v>
      </c>
      <c r="V1140" s="1868">
        <v>0.26883000000000001</v>
      </c>
      <c r="W1140" s="1868">
        <v>0.19095000000000001</v>
      </c>
      <c r="X1140" s="1868">
        <v>0.26913999999999999</v>
      </c>
      <c r="Y1140" s="1868">
        <v>0.27960999999999997</v>
      </c>
      <c r="Z1140" s="1868">
        <v>0.28959000000000001</v>
      </c>
      <c r="AA1140" s="1868">
        <v>0.31755</v>
      </c>
      <c r="AB1140" s="1868">
        <v>0.29899999999999999</v>
      </c>
      <c r="AC1140" s="1868">
        <v>0.28749000000000002</v>
      </c>
      <c r="AD1140" s="1868">
        <v>0.30218</v>
      </c>
      <c r="AE1140" s="1868">
        <v>0.36131999999999997</v>
      </c>
      <c r="AF1140" s="1868">
        <v>0.32729000000000003</v>
      </c>
      <c r="AG1140" s="1868">
        <v>0.31744</v>
      </c>
      <c r="AH1140" s="1868">
        <v>0.33326</v>
      </c>
      <c r="AI1140" s="1868">
        <v>0.36112</v>
      </c>
      <c r="AJ1140" s="1868">
        <v>0.34107999999999999</v>
      </c>
      <c r="AK1140" s="1868">
        <v>0.37013000000000001</v>
      </c>
      <c r="AL1140" s="1868">
        <v>0.36536999999999997</v>
      </c>
      <c r="AM1140" s="1868">
        <v>0.37264000000000003</v>
      </c>
      <c r="AN1140" s="1868">
        <v>0.40084000000000003</v>
      </c>
      <c r="AO1140" s="1868">
        <v>0.32993</v>
      </c>
      <c r="AP1140" s="1868">
        <v>0.38646999999999998</v>
      </c>
      <c r="AQ1140" s="1868">
        <v>0.41393999999999997</v>
      </c>
      <c r="AR1140" s="1868">
        <v>0.3624</v>
      </c>
      <c r="AS1140" s="1868">
        <v>0.40076999999999996</v>
      </c>
      <c r="AT1140" s="1868">
        <v>0.40794000000000002</v>
      </c>
      <c r="AU1140" s="1868">
        <v>0.42411000000000004</v>
      </c>
      <c r="AV1140" s="1868">
        <v>0.39350000000000002</v>
      </c>
      <c r="AW1140" s="1868">
        <v>0.40655999999999998</v>
      </c>
      <c r="AX1140" s="1868">
        <v>0.40749000000000002</v>
      </c>
      <c r="AY1140" s="1868">
        <v>0.31403999999999999</v>
      </c>
      <c r="AZ1140" s="1868">
        <v>0.37304999999999999</v>
      </c>
      <c r="BA1140" s="1868">
        <v>0.33456999999999998</v>
      </c>
    </row>
    <row r="1141" spans="1:53">
      <c r="A1141" s="1865" t="str">
        <f t="shared" si="17"/>
        <v>Southern AsiaMaize</v>
      </c>
      <c r="B1141" s="1866" t="s">
        <v>1352</v>
      </c>
      <c r="C1141" s="1866" t="s">
        <v>1382</v>
      </c>
      <c r="D1141" s="1868">
        <v>1.0730200000000001</v>
      </c>
      <c r="E1141" s="1868">
        <v>1.0995700000000002</v>
      </c>
      <c r="F1141" s="1868">
        <v>1.10514</v>
      </c>
      <c r="G1141" s="1868">
        <v>1.1196700000000002</v>
      </c>
      <c r="H1141" s="1868">
        <v>1.1035200000000001</v>
      </c>
      <c r="I1141" s="1868">
        <v>1.06931</v>
      </c>
      <c r="J1141" s="1868">
        <v>1.2008099999999999</v>
      </c>
      <c r="K1141" s="1868">
        <v>1.09327</v>
      </c>
      <c r="L1141" s="1868">
        <v>1.0728500000000001</v>
      </c>
      <c r="M1141" s="1868">
        <v>1.3122499999999999</v>
      </c>
      <c r="N1141" s="1868">
        <v>1.0023899999999999</v>
      </c>
      <c r="O1141" s="1868">
        <v>1.16957</v>
      </c>
      <c r="P1141" s="1868">
        <v>1.07823</v>
      </c>
      <c r="Q1141" s="1868">
        <v>1.0710299999999999</v>
      </c>
      <c r="R1141" s="1868">
        <v>1.26475</v>
      </c>
      <c r="S1141" s="1868">
        <v>1.15883</v>
      </c>
      <c r="T1141" s="1868">
        <v>1.1431</v>
      </c>
      <c r="U1141" s="1868">
        <v>1.1613599999999999</v>
      </c>
      <c r="V1141" s="1868">
        <v>1.0705899999999999</v>
      </c>
      <c r="W1141" s="1868">
        <v>1.22851</v>
      </c>
      <c r="X1141" s="1868">
        <v>1.2282500000000001</v>
      </c>
      <c r="Y1141" s="1868">
        <v>1.2060999999999999</v>
      </c>
      <c r="Z1141" s="1868">
        <v>1.3726200000000002</v>
      </c>
      <c r="AA1141" s="1868">
        <v>1.4432200000000002</v>
      </c>
      <c r="AB1141" s="1868">
        <v>1.2040600000000001</v>
      </c>
      <c r="AC1141" s="1868">
        <v>1.31959</v>
      </c>
      <c r="AD1141" s="1868">
        <v>1.1214299999999999</v>
      </c>
      <c r="AE1141" s="1868">
        <v>1.4095600000000001</v>
      </c>
      <c r="AF1141" s="1868">
        <v>1.59704</v>
      </c>
      <c r="AG1141" s="1868">
        <v>1.5299200000000002</v>
      </c>
      <c r="AH1141" s="1868">
        <v>1.4253200000000001</v>
      </c>
      <c r="AI1141" s="1868">
        <v>1.6459999999999999</v>
      </c>
      <c r="AJ1141" s="1868">
        <v>1.5896600000000001</v>
      </c>
      <c r="AK1141" s="1868">
        <v>1.5236399999999999</v>
      </c>
      <c r="AL1141" s="1868">
        <v>1.6422900000000002</v>
      </c>
      <c r="AM1141" s="1868">
        <v>1.7446900000000001</v>
      </c>
      <c r="AN1141" s="1868">
        <v>1.7707099999999998</v>
      </c>
      <c r="AO1141" s="1868">
        <v>1.8529099999999998</v>
      </c>
      <c r="AP1141" s="1868">
        <v>1.8593999999999999</v>
      </c>
      <c r="AQ1141" s="1868">
        <v>1.8844400000000001</v>
      </c>
      <c r="AR1141" s="1868">
        <v>2.0366200000000001</v>
      </c>
      <c r="AS1141" s="1868">
        <v>1.85894</v>
      </c>
      <c r="AT1141" s="1868">
        <v>2.1132900000000001</v>
      </c>
      <c r="AU1141" s="1868">
        <v>2.1538200000000001</v>
      </c>
      <c r="AV1141" s="1868">
        <v>2.2021999999999999</v>
      </c>
      <c r="AW1141" s="1868">
        <v>2.2309700000000001</v>
      </c>
      <c r="AX1141" s="1868">
        <v>2.62852</v>
      </c>
      <c r="AY1141" s="1868">
        <v>2.6715200000000001</v>
      </c>
      <c r="AZ1141" s="1868">
        <v>2.3087</v>
      </c>
      <c r="BA1141" s="1868">
        <v>2.3306400000000003</v>
      </c>
    </row>
    <row r="1142" spans="1:53">
      <c r="A1142" s="1865" t="str">
        <f t="shared" si="17"/>
        <v>Southern AsiaMangoes, mangosteens, guavas</v>
      </c>
      <c r="B1142" s="1866" t="s">
        <v>1352</v>
      </c>
      <c r="C1142" s="1866" t="s">
        <v>1384</v>
      </c>
      <c r="D1142" s="1868">
        <v>8.3570700000000002</v>
      </c>
      <c r="E1142" s="1868">
        <v>8.5357599999999998</v>
      </c>
      <c r="F1142" s="1868">
        <v>8.3158200000000004</v>
      </c>
      <c r="G1142" s="1868">
        <v>8.3468199999999992</v>
      </c>
      <c r="H1142" s="1868">
        <v>8.3251399999999993</v>
      </c>
      <c r="I1142" s="1868">
        <v>8.3623399999999997</v>
      </c>
      <c r="J1142" s="1868">
        <v>8.6488700000000005</v>
      </c>
      <c r="K1142" s="1868">
        <v>8.67197</v>
      </c>
      <c r="L1142" s="1868">
        <v>8.3797999999999995</v>
      </c>
      <c r="M1142" s="1868">
        <v>8.3398800000000008</v>
      </c>
      <c r="N1142" s="1868">
        <v>8.3804999999999996</v>
      </c>
      <c r="O1142" s="1868">
        <v>8.3437900000000003</v>
      </c>
      <c r="P1142" s="1868">
        <v>8.3349200000000003</v>
      </c>
      <c r="Q1142" s="1868">
        <v>8.3155800000000006</v>
      </c>
      <c r="R1142" s="1868">
        <v>8.3206399999999991</v>
      </c>
      <c r="S1142" s="1868">
        <v>8.3225699999999989</v>
      </c>
      <c r="T1142" s="1868">
        <v>8.2624200000000005</v>
      </c>
      <c r="U1142" s="1868">
        <v>8.0959399999999988</v>
      </c>
      <c r="V1142" s="1868">
        <v>8.5805299999999995</v>
      </c>
      <c r="W1142" s="1868">
        <v>8.4875399999999992</v>
      </c>
      <c r="X1142" s="1868">
        <v>8.451080000000001</v>
      </c>
      <c r="Y1142" s="1868">
        <v>8.3349100000000007</v>
      </c>
      <c r="Z1142" s="1868">
        <v>8.34863</v>
      </c>
      <c r="AA1142" s="1868">
        <v>8.3350899999999992</v>
      </c>
      <c r="AB1142" s="1868">
        <v>10.66005</v>
      </c>
      <c r="AC1142" s="1868">
        <v>11.013730000000001</v>
      </c>
      <c r="AD1142" s="1868">
        <v>10.93529</v>
      </c>
      <c r="AE1142" s="1868">
        <v>8.5365099999999998</v>
      </c>
      <c r="AF1142" s="1868">
        <v>9.0391600000000007</v>
      </c>
      <c r="AG1142" s="1868">
        <v>9.7388600000000007</v>
      </c>
      <c r="AH1142" s="1868">
        <v>7.9825100000000004</v>
      </c>
      <c r="AI1142" s="1868">
        <v>7.9744199999999994</v>
      </c>
      <c r="AJ1142" s="1868">
        <v>8.1002799999999997</v>
      </c>
      <c r="AK1142" s="1868">
        <v>8.7131799999999995</v>
      </c>
      <c r="AL1142" s="1868">
        <v>8.4346300000000003</v>
      </c>
      <c r="AM1142" s="1868">
        <v>8.9214699999999993</v>
      </c>
      <c r="AN1142" s="1868">
        <v>8.9091699999999996</v>
      </c>
      <c r="AO1142" s="1868">
        <v>7.2943399999999992</v>
      </c>
      <c r="AP1142" s="1868">
        <v>6.9971300000000003</v>
      </c>
      <c r="AQ1142" s="1868">
        <v>7.0783899999999997</v>
      </c>
      <c r="AR1142" s="1868">
        <v>6.7104499999999998</v>
      </c>
      <c r="AS1142" s="1868">
        <v>6.4873599999999998</v>
      </c>
      <c r="AT1142" s="1868">
        <v>7.8226300000000002</v>
      </c>
      <c r="AU1142" s="1868">
        <v>6.1894499999999999</v>
      </c>
      <c r="AV1142" s="1868">
        <v>6.2681100000000001</v>
      </c>
      <c r="AW1142" s="1868">
        <v>6.4574400000000001</v>
      </c>
      <c r="AX1142" s="1868">
        <v>6.4801400000000005</v>
      </c>
      <c r="AY1142" s="1868">
        <v>6.5421899999999997</v>
      </c>
      <c r="AZ1142" s="1868">
        <v>5.9580199999999994</v>
      </c>
      <c r="BA1142" s="1868">
        <v>6.5409600000000001</v>
      </c>
    </row>
    <row r="1143" spans="1:53">
      <c r="A1143" s="1865" t="str">
        <f t="shared" si="17"/>
        <v>Southern AsiaMillet</v>
      </c>
      <c r="B1143" s="1866" t="s">
        <v>1352</v>
      </c>
      <c r="C1143" s="1866" t="s">
        <v>1385</v>
      </c>
      <c r="D1143" s="1868">
        <v>0.41928999999999994</v>
      </c>
      <c r="E1143" s="1868">
        <v>0.43831000000000003</v>
      </c>
      <c r="F1143" s="1868">
        <v>0.44135000000000002</v>
      </c>
      <c r="G1143" s="1868">
        <v>0.45561000000000001</v>
      </c>
      <c r="H1143" s="1868">
        <v>0.35670000000000002</v>
      </c>
      <c r="I1143" s="1868">
        <v>0.40500000000000003</v>
      </c>
      <c r="J1143" s="1868">
        <v>0.45518000000000003</v>
      </c>
      <c r="K1143" s="1868">
        <v>0.39090000000000003</v>
      </c>
      <c r="L1143" s="1868">
        <v>0.46533000000000002</v>
      </c>
      <c r="M1143" s="1868">
        <v>0.60287999999999997</v>
      </c>
      <c r="N1143" s="1868">
        <v>0.49733999999999995</v>
      </c>
      <c r="O1143" s="1868">
        <v>0.41238999999999998</v>
      </c>
      <c r="P1143" s="1868">
        <v>0.55620999999999998</v>
      </c>
      <c r="Q1143" s="1868">
        <v>0.39581</v>
      </c>
      <c r="R1143" s="1868">
        <v>0.55684999999999996</v>
      </c>
      <c r="S1143" s="1868">
        <v>0.54178000000000004</v>
      </c>
      <c r="T1143" s="1868">
        <v>0.53276999999999997</v>
      </c>
      <c r="U1143" s="1868">
        <v>0.57766000000000006</v>
      </c>
      <c r="V1143" s="1868">
        <v>0.47697000000000001</v>
      </c>
      <c r="W1143" s="1868">
        <v>0.51949999999999996</v>
      </c>
      <c r="X1143" s="1868">
        <v>0.55930000000000002</v>
      </c>
      <c r="Y1143" s="1868">
        <v>0.51507999999999998</v>
      </c>
      <c r="Z1143" s="1868">
        <v>0.67657</v>
      </c>
      <c r="AA1143" s="1868">
        <v>0.60306999999999999</v>
      </c>
      <c r="AB1143" s="1868">
        <v>0.46475</v>
      </c>
      <c r="AC1143" s="1868">
        <v>0.50931000000000004</v>
      </c>
      <c r="AD1143" s="1868">
        <v>0.50351000000000001</v>
      </c>
      <c r="AE1143" s="1868">
        <v>0.66117000000000004</v>
      </c>
      <c r="AF1143" s="1868">
        <v>0.67083999999999999</v>
      </c>
      <c r="AG1143" s="1868">
        <v>0.68851000000000007</v>
      </c>
      <c r="AH1143" s="1868">
        <v>0.57781000000000005</v>
      </c>
      <c r="AI1143" s="1868">
        <v>0.83667000000000002</v>
      </c>
      <c r="AJ1143" s="1868">
        <v>0.64318999999999993</v>
      </c>
      <c r="AK1143" s="1868">
        <v>0.74282999999999999</v>
      </c>
      <c r="AL1143" s="1868">
        <v>0.67673000000000005</v>
      </c>
      <c r="AM1143" s="1868">
        <v>0.81598999999999999</v>
      </c>
      <c r="AN1143" s="1868">
        <v>0.80101</v>
      </c>
      <c r="AO1143" s="1868">
        <v>0.80806999999999995</v>
      </c>
      <c r="AP1143" s="1868">
        <v>0.73036000000000001</v>
      </c>
      <c r="AQ1143" s="1868">
        <v>0.77178000000000002</v>
      </c>
      <c r="AR1143" s="1868">
        <v>0.89073999999999998</v>
      </c>
      <c r="AS1143" s="1868">
        <v>0.63553000000000004</v>
      </c>
      <c r="AT1143" s="1868">
        <v>1.06341</v>
      </c>
      <c r="AU1143" s="1868">
        <v>0.90561000000000003</v>
      </c>
      <c r="AV1143" s="1868">
        <v>0.85529999999999995</v>
      </c>
      <c r="AW1143" s="1868">
        <v>0.86886000000000008</v>
      </c>
      <c r="AX1143" s="1868">
        <v>1.0613999999999999</v>
      </c>
      <c r="AY1143" s="1868">
        <v>0.93812999999999991</v>
      </c>
      <c r="AZ1143" s="1868">
        <v>0.83509</v>
      </c>
      <c r="BA1143" s="1868">
        <v>0.94132000000000005</v>
      </c>
    </row>
    <row r="1144" spans="1:53">
      <c r="A1144" s="1865" t="str">
        <f t="shared" si="17"/>
        <v>Southern AsiaOats</v>
      </c>
      <c r="B1144" s="1866" t="s">
        <v>1352</v>
      </c>
      <c r="C1144" s="1866" t="s">
        <v>1349</v>
      </c>
      <c r="AU1144" s="1868">
        <v>0.86981000000000008</v>
      </c>
      <c r="AV1144" s="1868">
        <v>1.06359</v>
      </c>
      <c r="AW1144" s="1868">
        <v>1.0269299999999999</v>
      </c>
      <c r="AX1144" s="1868">
        <v>1.04098</v>
      </c>
      <c r="AY1144" s="1868">
        <v>0.91859000000000002</v>
      </c>
      <c r="AZ1144" s="1868">
        <v>0.7974</v>
      </c>
      <c r="BA1144" s="1868">
        <v>1</v>
      </c>
    </row>
    <row r="1145" spans="1:53">
      <c r="A1145" s="1865" t="str">
        <f t="shared" si="17"/>
        <v>Southern AsiaOlives</v>
      </c>
      <c r="B1145" s="1866" t="s">
        <v>1352</v>
      </c>
      <c r="C1145" s="1866" t="s">
        <v>1387</v>
      </c>
      <c r="D1145" s="1868">
        <v>2.8571400000000002</v>
      </c>
      <c r="E1145" s="1868">
        <v>2.875</v>
      </c>
      <c r="F1145" s="1868">
        <v>2.8571400000000002</v>
      </c>
      <c r="G1145" s="1868">
        <v>2.875</v>
      </c>
      <c r="H1145" s="1868">
        <v>2.8571400000000002</v>
      </c>
      <c r="I1145" s="1868">
        <v>2.875</v>
      </c>
      <c r="J1145" s="1868">
        <v>2.8571400000000002</v>
      </c>
      <c r="K1145" s="1868">
        <v>2.8928599999999998</v>
      </c>
      <c r="L1145" s="1868">
        <v>2.3214299999999999</v>
      </c>
      <c r="M1145" s="1868">
        <v>2.8928599999999998</v>
      </c>
      <c r="N1145" s="1868">
        <v>1.5192299999999999</v>
      </c>
      <c r="O1145" s="1868">
        <v>2.625</v>
      </c>
      <c r="P1145" s="1868">
        <v>2.5</v>
      </c>
      <c r="Q1145" s="1868">
        <v>3.0892900000000001</v>
      </c>
      <c r="R1145" s="1868">
        <v>2.5</v>
      </c>
      <c r="S1145" s="1868">
        <v>1.9140700000000002</v>
      </c>
      <c r="T1145" s="1868">
        <v>2.2916699999999999</v>
      </c>
      <c r="U1145" s="1868">
        <v>2.0142500000000001</v>
      </c>
      <c r="V1145" s="1868">
        <v>1.4905700000000002</v>
      </c>
      <c r="W1145" s="1868">
        <v>2.03091</v>
      </c>
      <c r="X1145" s="1868">
        <v>2.63158</v>
      </c>
      <c r="Y1145" s="1868">
        <v>2.76715</v>
      </c>
      <c r="Z1145" s="1868">
        <v>1.6868099999999999</v>
      </c>
      <c r="AA1145" s="1868">
        <v>1.9121900000000001</v>
      </c>
      <c r="AB1145" s="1868">
        <v>1.5629999999999999</v>
      </c>
      <c r="AC1145" s="1868">
        <v>2.7169599999999998</v>
      </c>
      <c r="AD1145" s="1868">
        <v>1.4363999999999999</v>
      </c>
      <c r="AE1145" s="1868">
        <v>2.1450299999999998</v>
      </c>
      <c r="AF1145" s="1868">
        <v>1.75647</v>
      </c>
      <c r="AG1145" s="1868">
        <v>2.0649900000000003</v>
      </c>
      <c r="AH1145" s="1868">
        <v>1.8706200000000002</v>
      </c>
      <c r="AI1145" s="1868">
        <v>2.5022099999999998</v>
      </c>
      <c r="AJ1145" s="1868">
        <v>1.5712700000000002</v>
      </c>
      <c r="AK1145" s="1868">
        <v>3.2677299999999998</v>
      </c>
      <c r="AL1145" s="1868">
        <v>3.28939</v>
      </c>
      <c r="AM1145" s="1868">
        <v>4.0058800000000003</v>
      </c>
      <c r="AN1145" s="1868">
        <v>3.5962300000000003</v>
      </c>
      <c r="AO1145" s="1868">
        <v>3.2215199999999999</v>
      </c>
      <c r="AP1145" s="1868">
        <v>2.6022500000000002</v>
      </c>
      <c r="AQ1145" s="1868">
        <v>3.2317099999999996</v>
      </c>
      <c r="AR1145" s="1868">
        <v>2.8990499999999999</v>
      </c>
      <c r="AS1145" s="1868">
        <v>2.6643400000000002</v>
      </c>
      <c r="AT1145" s="1868">
        <v>1.8615700000000002</v>
      </c>
      <c r="AU1145" s="1868">
        <v>1.7061299999999999</v>
      </c>
      <c r="AV1145" s="1868">
        <v>2.4813499999999999</v>
      </c>
      <c r="AW1145" s="1868">
        <v>1.6828000000000001</v>
      </c>
      <c r="AX1145" s="1868">
        <v>1.7843099999999998</v>
      </c>
      <c r="AY1145" s="1868">
        <v>1.2849899999999999</v>
      </c>
      <c r="AZ1145" s="1868">
        <v>1.4804899999999999</v>
      </c>
      <c r="BA1145" s="1868">
        <v>1.47041</v>
      </c>
    </row>
    <row r="1146" spans="1:53">
      <c r="A1146" s="1865" t="str">
        <f t="shared" si="17"/>
        <v>Southern AsiaOnions, dry</v>
      </c>
      <c r="B1146" s="1866" t="s">
        <v>1352</v>
      </c>
      <c r="C1146" s="1866" t="s">
        <v>1388</v>
      </c>
      <c r="D1146" s="1868">
        <v>9.1667699999999996</v>
      </c>
      <c r="E1146" s="1868">
        <v>9.4805399999999995</v>
      </c>
      <c r="F1146" s="1868">
        <v>9.5696300000000001</v>
      </c>
      <c r="G1146" s="1868">
        <v>9.7519799999999996</v>
      </c>
      <c r="H1146" s="1868">
        <v>9.451080000000001</v>
      </c>
      <c r="I1146" s="1868">
        <v>9.7230500000000006</v>
      </c>
      <c r="J1146" s="1868">
        <v>9.8391000000000002</v>
      </c>
      <c r="K1146" s="1868">
        <v>10.194699999999999</v>
      </c>
      <c r="L1146" s="1868">
        <v>10.224119999999999</v>
      </c>
      <c r="M1146" s="1868">
        <v>10.27497</v>
      </c>
      <c r="N1146" s="1868">
        <v>10.04669</v>
      </c>
      <c r="O1146" s="1868">
        <v>9.7471499999999995</v>
      </c>
      <c r="P1146" s="1868">
        <v>9.9839099999999998</v>
      </c>
      <c r="Q1146" s="1868">
        <v>9.9211799999999997</v>
      </c>
      <c r="R1146" s="1868">
        <v>9.9878100000000014</v>
      </c>
      <c r="S1146" s="1868">
        <v>10.53604</v>
      </c>
      <c r="T1146" s="1868">
        <v>10.78543</v>
      </c>
      <c r="U1146" s="1868">
        <v>10.184530000000001</v>
      </c>
      <c r="V1146" s="1868">
        <v>10.006550000000001</v>
      </c>
      <c r="W1146" s="1868">
        <v>10.10087</v>
      </c>
      <c r="X1146" s="1868">
        <v>10.53401</v>
      </c>
      <c r="Y1146" s="1868">
        <v>10.785600000000001</v>
      </c>
      <c r="Z1146" s="1868">
        <v>10.34684</v>
      </c>
      <c r="AA1146" s="1868">
        <v>11.37003</v>
      </c>
      <c r="AB1146" s="1868">
        <v>10.49441</v>
      </c>
      <c r="AC1146" s="1868">
        <v>10.296189999999999</v>
      </c>
      <c r="AD1146" s="1868">
        <v>10.713610000000001</v>
      </c>
      <c r="AE1146" s="1868">
        <v>10.96401</v>
      </c>
      <c r="AF1146" s="1868">
        <v>10.945679999999999</v>
      </c>
      <c r="AG1146" s="1868">
        <v>11.55627</v>
      </c>
      <c r="AH1146" s="1868">
        <v>11.973039999999999</v>
      </c>
      <c r="AI1146" s="1868">
        <v>11.90199</v>
      </c>
      <c r="AJ1146" s="1868">
        <v>11.66211</v>
      </c>
      <c r="AK1146" s="1868">
        <v>11.858599999999999</v>
      </c>
      <c r="AL1146" s="1868">
        <v>11.74945</v>
      </c>
      <c r="AM1146" s="1868">
        <v>11.79729</v>
      </c>
      <c r="AN1146" s="1868">
        <v>10.8423</v>
      </c>
      <c r="AO1146" s="1868">
        <v>12.22616</v>
      </c>
      <c r="AP1146" s="1868">
        <v>11.71823</v>
      </c>
      <c r="AQ1146" s="1868">
        <v>12.256639999999999</v>
      </c>
      <c r="AR1146" s="1868">
        <v>12.207560000000001</v>
      </c>
      <c r="AS1146" s="1868">
        <v>11.86782</v>
      </c>
      <c r="AT1146" s="1868">
        <v>12.60399</v>
      </c>
      <c r="AU1146" s="1868">
        <v>13.465310000000001</v>
      </c>
      <c r="AV1146" s="1868">
        <v>13.880599999999999</v>
      </c>
      <c r="AW1146" s="1868">
        <v>14.33831</v>
      </c>
      <c r="AX1146" s="1868">
        <v>16.285260000000001</v>
      </c>
      <c r="AY1146" s="1868">
        <v>15.726270000000001</v>
      </c>
      <c r="AZ1146" s="1868">
        <v>15.461920000000001</v>
      </c>
      <c r="BA1146" s="1868">
        <v>16.082910000000002</v>
      </c>
    </row>
    <row r="1147" spans="1:53">
      <c r="A1147" s="1865" t="str">
        <f t="shared" si="17"/>
        <v>Southern AsiaOranges</v>
      </c>
      <c r="B1147" s="1866" t="s">
        <v>1352</v>
      </c>
      <c r="C1147" s="1866" t="s">
        <v>1389</v>
      </c>
      <c r="D1147" s="1868">
        <v>3.5762400000000003</v>
      </c>
      <c r="E1147" s="1868">
        <v>2.6896299999999997</v>
      </c>
      <c r="F1147" s="1868">
        <v>2.6989400000000003</v>
      </c>
      <c r="G1147" s="1868">
        <v>3.09226</v>
      </c>
      <c r="H1147" s="1868">
        <v>3.1990400000000001</v>
      </c>
      <c r="I1147" s="1868">
        <v>10.12449</v>
      </c>
      <c r="J1147" s="1868">
        <v>10.27106</v>
      </c>
      <c r="K1147" s="1868">
        <v>10.21083</v>
      </c>
      <c r="L1147" s="1868">
        <v>9.8152600000000003</v>
      </c>
      <c r="M1147" s="1868">
        <v>10.101660000000001</v>
      </c>
      <c r="N1147" s="1868">
        <v>10.032299999999999</v>
      </c>
      <c r="O1147" s="1868">
        <v>10.227930000000001</v>
      </c>
      <c r="P1147" s="1868">
        <v>9.6795799999999996</v>
      </c>
      <c r="Q1147" s="1868">
        <v>10.10341</v>
      </c>
      <c r="R1147" s="1868">
        <v>9.2394300000000005</v>
      </c>
      <c r="S1147" s="1868">
        <v>10.026450000000001</v>
      </c>
      <c r="T1147" s="1868">
        <v>8.7265999999999995</v>
      </c>
      <c r="U1147" s="1868">
        <v>9.4796999999999993</v>
      </c>
      <c r="V1147" s="1868">
        <v>9.9521699999999989</v>
      </c>
      <c r="W1147" s="1868">
        <v>10.17783</v>
      </c>
      <c r="X1147" s="1868">
        <v>10.03045</v>
      </c>
      <c r="Y1147" s="1868">
        <v>10.291039999999999</v>
      </c>
      <c r="Z1147" s="1868">
        <v>9.9145800000000008</v>
      </c>
      <c r="AA1147" s="1868">
        <v>10.228660000000001</v>
      </c>
      <c r="AB1147" s="1868">
        <v>10.74555</v>
      </c>
      <c r="AC1147" s="1868">
        <v>11.23227</v>
      </c>
      <c r="AD1147" s="1868">
        <v>11.136889999999999</v>
      </c>
      <c r="AE1147" s="1868">
        <v>10.8841</v>
      </c>
      <c r="AF1147" s="1868">
        <v>12.016810000000001</v>
      </c>
      <c r="AG1147" s="1868">
        <v>12.413689999999999</v>
      </c>
      <c r="AH1147" s="1868">
        <v>12.05865</v>
      </c>
      <c r="AI1147" s="1868">
        <v>12.61633</v>
      </c>
      <c r="AJ1147" s="1868">
        <v>12.7729</v>
      </c>
      <c r="AK1147" s="1868">
        <v>11.128689999999999</v>
      </c>
      <c r="AL1147" s="1868">
        <v>9.8960399999999993</v>
      </c>
      <c r="AM1147" s="1868">
        <v>10.87397</v>
      </c>
      <c r="AN1147" s="1868">
        <v>11.71303</v>
      </c>
      <c r="AO1147" s="1868">
        <v>10.71452</v>
      </c>
      <c r="AP1147" s="1868">
        <v>11.56277</v>
      </c>
      <c r="AQ1147" s="1868">
        <v>10.850899999999999</v>
      </c>
      <c r="AR1147" s="1868">
        <v>11.22908</v>
      </c>
      <c r="AS1147" s="1868">
        <v>10.24933</v>
      </c>
      <c r="AT1147" s="1868">
        <v>9.2662999999999993</v>
      </c>
      <c r="AU1147" s="1868">
        <v>10.262460000000001</v>
      </c>
      <c r="AV1147" s="1868">
        <v>10.886950000000001</v>
      </c>
      <c r="AW1147" s="1868">
        <v>10.28177</v>
      </c>
      <c r="AX1147" s="1868">
        <v>10.180580000000001</v>
      </c>
      <c r="AY1147" s="1868">
        <v>11.110139999999999</v>
      </c>
      <c r="AZ1147" s="1868">
        <v>10.445789999999999</v>
      </c>
      <c r="BA1147" s="1868">
        <v>10.64744</v>
      </c>
    </row>
    <row r="1148" spans="1:53">
      <c r="A1148" s="1865" t="str">
        <f t="shared" si="17"/>
        <v>Southern AsiaPeaches and nectarines</v>
      </c>
      <c r="B1148" s="1866" t="s">
        <v>1352</v>
      </c>
      <c r="C1148" s="1866" t="s">
        <v>1390</v>
      </c>
      <c r="D1148" s="1868">
        <v>3.7954800000000004</v>
      </c>
      <c r="E1148" s="1868">
        <v>4.5511900000000001</v>
      </c>
      <c r="F1148" s="1868">
        <v>4.68987</v>
      </c>
      <c r="G1148" s="1868">
        <v>4.8845499999999999</v>
      </c>
      <c r="H1148" s="1868">
        <v>5.2015400000000005</v>
      </c>
      <c r="I1148" s="1868">
        <v>4.8299599999999998</v>
      </c>
      <c r="J1148" s="1868">
        <v>4.9645700000000001</v>
      </c>
      <c r="K1148" s="1868">
        <v>4.9103500000000002</v>
      </c>
      <c r="L1148" s="1868">
        <v>4.98346</v>
      </c>
      <c r="M1148" s="1868">
        <v>5.0598300000000007</v>
      </c>
      <c r="N1148" s="1868">
        <v>4.84</v>
      </c>
      <c r="O1148" s="1868">
        <v>5.0065900000000001</v>
      </c>
      <c r="P1148" s="1868">
        <v>5.0443199999999999</v>
      </c>
      <c r="Q1148" s="1868">
        <v>5.2824400000000002</v>
      </c>
      <c r="R1148" s="1868">
        <v>5.0727199999999995</v>
      </c>
      <c r="S1148" s="1868">
        <v>5.3697300000000006</v>
      </c>
      <c r="T1148" s="1868">
        <v>5.0705200000000001</v>
      </c>
      <c r="U1148" s="1868">
        <v>5.0391599999999999</v>
      </c>
      <c r="V1148" s="1868">
        <v>5.5316700000000001</v>
      </c>
      <c r="W1148" s="1868">
        <v>5.5308800000000007</v>
      </c>
      <c r="X1148" s="1868">
        <v>5.6828900000000004</v>
      </c>
      <c r="Y1148" s="1868">
        <v>5.5685500000000001</v>
      </c>
      <c r="Z1148" s="1868">
        <v>5.2521199999999997</v>
      </c>
      <c r="AA1148" s="1868">
        <v>5.6284599999999996</v>
      </c>
      <c r="AB1148" s="1868">
        <v>5.5673599999999999</v>
      </c>
      <c r="AC1148" s="1868">
        <v>5.5013699999999996</v>
      </c>
      <c r="AD1148" s="1868">
        <v>7.360710000000001</v>
      </c>
      <c r="AE1148" s="1868">
        <v>5.9189600000000002</v>
      </c>
      <c r="AF1148" s="1868">
        <v>5.9381199999999996</v>
      </c>
      <c r="AG1148" s="1868">
        <v>5.9986600000000001</v>
      </c>
      <c r="AH1148" s="1868">
        <v>6.5900999999999996</v>
      </c>
      <c r="AI1148" s="1868">
        <v>6.8919199999999998</v>
      </c>
      <c r="AJ1148" s="1868">
        <v>7.5903800000000006</v>
      </c>
      <c r="AK1148" s="1868">
        <v>7.2991000000000001</v>
      </c>
      <c r="AL1148" s="1868">
        <v>7.8357199999999994</v>
      </c>
      <c r="AM1148" s="1868">
        <v>8.5043600000000001</v>
      </c>
      <c r="AN1148" s="1868">
        <v>8.3367199999999997</v>
      </c>
      <c r="AO1148" s="1868">
        <v>8.7526600000000006</v>
      </c>
      <c r="AP1148" s="1868">
        <v>9.1184899999999995</v>
      </c>
      <c r="AQ1148" s="1868">
        <v>9.4985800000000005</v>
      </c>
      <c r="AR1148" s="1868">
        <v>10.47193</v>
      </c>
      <c r="AS1148" s="1868">
        <v>10.419360000000001</v>
      </c>
      <c r="AT1148" s="1868">
        <v>9.8085100000000001</v>
      </c>
      <c r="AU1148" s="1868">
        <v>9.3509700000000002</v>
      </c>
      <c r="AV1148" s="1868">
        <v>9.8296700000000001</v>
      </c>
      <c r="AW1148" s="1868">
        <v>8.81</v>
      </c>
      <c r="AX1148" s="1868">
        <v>9.3659600000000012</v>
      </c>
      <c r="AY1148" s="1868">
        <v>8.9168399999999988</v>
      </c>
      <c r="AZ1148" s="1868">
        <v>8.3181399999999996</v>
      </c>
      <c r="BA1148" s="1868">
        <v>8.53294</v>
      </c>
    </row>
    <row r="1149" spans="1:53">
      <c r="A1149" s="1865" t="str">
        <f t="shared" si="17"/>
        <v>Southern AsiaPeas, dry</v>
      </c>
      <c r="B1149" s="1866" t="s">
        <v>1352</v>
      </c>
      <c r="C1149" s="1866" t="s">
        <v>1391</v>
      </c>
      <c r="D1149" s="1868">
        <v>0.81833</v>
      </c>
      <c r="E1149" s="1868">
        <v>0.81001000000000001</v>
      </c>
      <c r="F1149" s="1868">
        <v>0.73055999999999999</v>
      </c>
      <c r="G1149" s="1868">
        <v>0.51083000000000001</v>
      </c>
      <c r="H1149" s="1868">
        <v>0.76283999999999996</v>
      </c>
      <c r="I1149" s="1868">
        <v>0.67908000000000002</v>
      </c>
      <c r="J1149" s="1868">
        <v>0.58053999999999994</v>
      </c>
      <c r="K1149" s="1868">
        <v>0.83191000000000004</v>
      </c>
      <c r="L1149" s="1868">
        <v>0.83551000000000009</v>
      </c>
      <c r="M1149" s="1868">
        <v>0.72126000000000001</v>
      </c>
      <c r="N1149" s="1868">
        <v>0.77564999999999995</v>
      </c>
      <c r="O1149" s="1868">
        <v>0.69548999999999994</v>
      </c>
      <c r="P1149" s="1868">
        <v>0.55923999999999996</v>
      </c>
      <c r="Q1149" s="1868">
        <v>0.50181000000000009</v>
      </c>
      <c r="R1149" s="1868">
        <v>0.64871999999999996</v>
      </c>
      <c r="S1149" s="1868">
        <v>0.70069999999999999</v>
      </c>
      <c r="T1149" s="1868">
        <v>0.60293999999999992</v>
      </c>
      <c r="U1149" s="1868">
        <v>0.56999</v>
      </c>
      <c r="V1149" s="1868">
        <v>0.55908000000000002</v>
      </c>
      <c r="W1149" s="1868">
        <v>0.49338000000000004</v>
      </c>
      <c r="X1149" s="1868">
        <v>0.62629999999999997</v>
      </c>
      <c r="Y1149" s="1868">
        <v>0.62487000000000004</v>
      </c>
      <c r="Z1149" s="1868">
        <v>0.67056000000000004</v>
      </c>
      <c r="AA1149" s="1868">
        <v>0.72638000000000003</v>
      </c>
      <c r="AB1149" s="1868">
        <v>0.67556000000000005</v>
      </c>
      <c r="AC1149" s="1868">
        <v>0.76418999999999992</v>
      </c>
      <c r="AD1149" s="1868">
        <v>0.73097999999999996</v>
      </c>
      <c r="AE1149" s="1868">
        <v>0.77305000000000001</v>
      </c>
      <c r="AF1149" s="1868">
        <v>0.81806999999999996</v>
      </c>
      <c r="AG1149" s="1868">
        <v>0.80826999999999993</v>
      </c>
      <c r="AH1149" s="1868">
        <v>0.95384999999999998</v>
      </c>
      <c r="AI1149" s="1868">
        <v>0.85643999999999998</v>
      </c>
      <c r="AJ1149" s="1868">
        <v>0.82007999999999992</v>
      </c>
      <c r="AK1149" s="1868">
        <v>0.85117999999999994</v>
      </c>
      <c r="AL1149" s="1868">
        <v>0.81925000000000003</v>
      </c>
      <c r="AM1149" s="1868">
        <v>0.78515000000000001</v>
      </c>
      <c r="AN1149" s="1868">
        <v>0.90254000000000001</v>
      </c>
      <c r="AO1149" s="1868">
        <v>0.83296000000000003</v>
      </c>
      <c r="AP1149" s="1868">
        <v>0.81491999999999998</v>
      </c>
      <c r="AQ1149" s="1868">
        <v>0.95778999999999992</v>
      </c>
      <c r="AR1149" s="1868">
        <v>0.82267000000000012</v>
      </c>
      <c r="AS1149" s="1868">
        <v>0.86308999999999991</v>
      </c>
      <c r="AT1149" s="1868">
        <v>0.85312999999999994</v>
      </c>
      <c r="AU1149" s="1868">
        <v>0.96647999999999989</v>
      </c>
      <c r="AV1149" s="1868">
        <v>0.95087999999999995</v>
      </c>
      <c r="AW1149" s="1868">
        <v>0.87923999999999991</v>
      </c>
      <c r="AX1149" s="1868">
        <v>0.98827999999999994</v>
      </c>
      <c r="AY1149" s="1868">
        <v>1.03328</v>
      </c>
      <c r="AZ1149" s="1868">
        <v>1.0410999999999999</v>
      </c>
      <c r="BA1149" s="1868">
        <v>1.02813</v>
      </c>
    </row>
    <row r="1150" spans="1:53">
      <c r="A1150" s="1865" t="str">
        <f t="shared" si="17"/>
        <v>Southern AsiaPeas, green</v>
      </c>
      <c r="B1150" s="1866" t="s">
        <v>1352</v>
      </c>
      <c r="C1150" s="1866" t="s">
        <v>1392</v>
      </c>
      <c r="D1150" s="1868">
        <v>9.1666699999999999</v>
      </c>
      <c r="E1150" s="1868">
        <v>8.8709699999999998</v>
      </c>
      <c r="F1150" s="1868">
        <v>8.90625</v>
      </c>
      <c r="G1150" s="1868">
        <v>9.2307699999999997</v>
      </c>
      <c r="H1150" s="1868">
        <v>9.32836</v>
      </c>
      <c r="I1150" s="1868">
        <v>9.4927499999999991</v>
      </c>
      <c r="J1150" s="1868">
        <v>10</v>
      </c>
      <c r="K1150" s="1868">
        <v>10</v>
      </c>
      <c r="L1150" s="1868">
        <v>10</v>
      </c>
      <c r="M1150" s="1868">
        <v>10.12987</v>
      </c>
      <c r="N1150" s="1868">
        <v>10.125</v>
      </c>
      <c r="O1150" s="1868">
        <v>10.120480000000001</v>
      </c>
      <c r="P1150" s="1868">
        <v>10.232560000000001</v>
      </c>
      <c r="Q1150" s="1868">
        <v>10.33333</v>
      </c>
      <c r="R1150" s="1868">
        <v>10.32258</v>
      </c>
      <c r="S1150" s="1868">
        <v>10.52632</v>
      </c>
      <c r="T1150" s="1868">
        <v>10.309280000000001</v>
      </c>
      <c r="U1150" s="1868">
        <v>10.5</v>
      </c>
      <c r="V1150" s="1868">
        <v>10.4902</v>
      </c>
      <c r="W1150" s="1868">
        <v>10.195039999999999</v>
      </c>
      <c r="X1150" s="1868">
        <v>10.575060000000001</v>
      </c>
      <c r="Y1150" s="1868">
        <v>10.868589999999999</v>
      </c>
      <c r="Z1150" s="1868">
        <v>10.61547</v>
      </c>
      <c r="AA1150" s="1868">
        <v>10.454549999999999</v>
      </c>
      <c r="AB1150" s="1868">
        <v>11.21856</v>
      </c>
      <c r="AC1150" s="1868">
        <v>11.167199999999999</v>
      </c>
      <c r="AD1150" s="1868">
        <v>12.20101</v>
      </c>
      <c r="AE1150" s="1868">
        <v>12.22125</v>
      </c>
      <c r="AF1150" s="1868">
        <v>12.488860000000001</v>
      </c>
      <c r="AG1150" s="1868">
        <v>12.765369999999999</v>
      </c>
      <c r="AH1150" s="1868">
        <v>13.92155</v>
      </c>
      <c r="AI1150" s="1868">
        <v>14.250299999999999</v>
      </c>
      <c r="AJ1150" s="1868">
        <v>14.10566</v>
      </c>
      <c r="AK1150" s="1868">
        <v>13.01994</v>
      </c>
      <c r="AL1150" s="1868">
        <v>11.19178</v>
      </c>
      <c r="AM1150" s="1868">
        <v>9.8662299999999998</v>
      </c>
      <c r="AN1150" s="1868">
        <v>9.8690999999999995</v>
      </c>
      <c r="AO1150" s="1868">
        <v>8.8811600000000013</v>
      </c>
      <c r="AP1150" s="1868">
        <v>9.5354899999999994</v>
      </c>
      <c r="AQ1150" s="1868">
        <v>9.9094300000000004</v>
      </c>
      <c r="AR1150" s="1868">
        <v>9.3237299999999994</v>
      </c>
      <c r="AS1150" s="1868">
        <v>6.8150100000000009</v>
      </c>
      <c r="AT1150" s="1868">
        <v>6.7721499999999999</v>
      </c>
      <c r="AU1150" s="1868">
        <v>6.6779500000000001</v>
      </c>
      <c r="AV1150" s="1868">
        <v>7.0550699999999997</v>
      </c>
      <c r="AW1150" s="1868">
        <v>7.9302399999999995</v>
      </c>
      <c r="AX1150" s="1868">
        <v>8.0462699999999998</v>
      </c>
      <c r="AY1150" s="1868">
        <v>7.9028100000000006</v>
      </c>
      <c r="AZ1150" s="1868">
        <v>8.3204600000000006</v>
      </c>
      <c r="BA1150" s="1868">
        <v>8.2370300000000007</v>
      </c>
    </row>
    <row r="1151" spans="1:53">
      <c r="A1151" s="1865" t="str">
        <f t="shared" si="17"/>
        <v>Southern AsiaPineapples</v>
      </c>
      <c r="B1151" s="1866" t="s">
        <v>1352</v>
      </c>
      <c r="C1151" s="1866" t="s">
        <v>1351</v>
      </c>
      <c r="D1151" s="1868">
        <v>8.0427300000000006</v>
      </c>
      <c r="E1151" s="1868">
        <v>8.021939999999999</v>
      </c>
      <c r="F1151" s="1868">
        <v>9.2980199999999993</v>
      </c>
      <c r="G1151" s="1868">
        <v>9.5917700000000004</v>
      </c>
      <c r="H1151" s="1868">
        <v>9.7147600000000001</v>
      </c>
      <c r="I1151" s="1868">
        <v>10.00544</v>
      </c>
      <c r="J1151" s="1868">
        <v>9.9172200000000004</v>
      </c>
      <c r="K1151" s="1868">
        <v>9.8366600000000002</v>
      </c>
      <c r="L1151" s="1868">
        <v>10.11594</v>
      </c>
      <c r="M1151" s="1868">
        <v>10.07583</v>
      </c>
      <c r="N1151" s="1868">
        <v>10.427960000000001</v>
      </c>
      <c r="O1151" s="1868">
        <v>10.571580000000001</v>
      </c>
      <c r="P1151" s="1868">
        <v>10.637210000000001</v>
      </c>
      <c r="Q1151" s="1868">
        <v>10.79975</v>
      </c>
      <c r="R1151" s="1868">
        <v>10.64207</v>
      </c>
      <c r="S1151" s="1868">
        <v>10.900119999999999</v>
      </c>
      <c r="T1151" s="1868">
        <v>10.746210000000001</v>
      </c>
      <c r="U1151" s="1868">
        <v>11.373380000000001</v>
      </c>
      <c r="V1151" s="1868">
        <v>11.7867</v>
      </c>
      <c r="W1151" s="1868">
        <v>11.756689999999999</v>
      </c>
      <c r="X1151" s="1868">
        <v>11.855789999999999</v>
      </c>
      <c r="Y1151" s="1868">
        <v>8.2039500000000007</v>
      </c>
      <c r="Z1151" s="1868">
        <v>8.6037800000000004</v>
      </c>
      <c r="AA1151" s="1868">
        <v>12.989269999999999</v>
      </c>
      <c r="AB1151" s="1868">
        <v>12.92807</v>
      </c>
      <c r="AC1151" s="1868">
        <v>12.197139999999999</v>
      </c>
      <c r="AD1151" s="1868">
        <v>12.06986</v>
      </c>
      <c r="AE1151" s="1868">
        <v>14.523760000000001</v>
      </c>
      <c r="AF1151" s="1868">
        <v>13.72025</v>
      </c>
      <c r="AG1151" s="1868">
        <v>14.940270000000002</v>
      </c>
      <c r="AH1151" s="1868">
        <v>11.746560000000001</v>
      </c>
      <c r="AI1151" s="1868">
        <v>14.04195</v>
      </c>
      <c r="AJ1151" s="1868">
        <v>15.3771</v>
      </c>
      <c r="AK1151" s="1868">
        <v>13.77333</v>
      </c>
      <c r="AL1151" s="1868">
        <v>13.02336</v>
      </c>
      <c r="AM1151" s="1868">
        <v>14.028320000000001</v>
      </c>
      <c r="AN1151" s="1868">
        <v>13.979920000000002</v>
      </c>
      <c r="AO1151" s="1868">
        <v>12.82821</v>
      </c>
      <c r="AP1151" s="1868">
        <v>12.86992</v>
      </c>
      <c r="AQ1151" s="1868">
        <v>13.641929999999999</v>
      </c>
      <c r="AR1151" s="1868">
        <v>14.391739999999999</v>
      </c>
      <c r="AS1151" s="1868">
        <v>13.997229999999998</v>
      </c>
      <c r="AT1151" s="1868">
        <v>13.892620000000001</v>
      </c>
      <c r="AU1151" s="1868">
        <v>14.618479999999998</v>
      </c>
      <c r="AV1151" s="1868">
        <v>14.751529999999999</v>
      </c>
      <c r="AW1151" s="1868">
        <v>15.058579999999999</v>
      </c>
      <c r="AX1151" s="1868">
        <v>15.199860000000001</v>
      </c>
      <c r="AY1151" s="1868">
        <v>14.93561</v>
      </c>
      <c r="AZ1151" s="1868">
        <v>15.481350000000001</v>
      </c>
      <c r="BA1151" s="1868">
        <v>15.998320000000001</v>
      </c>
    </row>
    <row r="1152" spans="1:53">
      <c r="A1152" s="1865" t="str">
        <f t="shared" si="17"/>
        <v>Southern AsiaPlantains</v>
      </c>
      <c r="B1152" s="1866" t="s">
        <v>1352</v>
      </c>
      <c r="C1152" s="1866" t="s">
        <v>1393</v>
      </c>
      <c r="D1152" s="1868">
        <v>8.4552700000000005</v>
      </c>
      <c r="E1152" s="1868">
        <v>8.2071300000000011</v>
      </c>
      <c r="F1152" s="1868">
        <v>8.8205100000000005</v>
      </c>
      <c r="G1152" s="1868">
        <v>9.0476200000000002</v>
      </c>
      <c r="H1152" s="1868">
        <v>9.3333300000000001</v>
      </c>
      <c r="I1152" s="1868">
        <v>21.819020000000002</v>
      </c>
      <c r="J1152" s="1868">
        <v>23.016200000000001</v>
      </c>
      <c r="K1152" s="1868">
        <v>7.7410199999999998</v>
      </c>
      <c r="L1152" s="1868">
        <v>8.8729800000000001</v>
      </c>
      <c r="M1152" s="1868">
        <v>8.436160000000001</v>
      </c>
      <c r="N1152" s="1868">
        <v>9.1666699999999999</v>
      </c>
      <c r="O1152" s="1868">
        <v>8.3423499999999997</v>
      </c>
      <c r="P1152" s="1868">
        <v>18.822789999999998</v>
      </c>
      <c r="Q1152" s="1868">
        <v>18.606289999999998</v>
      </c>
      <c r="R1152" s="1868">
        <v>27.473979999999997</v>
      </c>
      <c r="S1152" s="1868">
        <v>25.620709999999999</v>
      </c>
      <c r="T1152" s="1868">
        <v>27.234379999999998</v>
      </c>
      <c r="U1152" s="1868">
        <v>26.408759999999997</v>
      </c>
      <c r="V1152" s="1868">
        <v>53.323549999999997</v>
      </c>
      <c r="W1152" s="1868">
        <v>57.897440000000003</v>
      </c>
      <c r="X1152" s="1868">
        <v>40.303719999999998</v>
      </c>
      <c r="Y1152" s="1868">
        <v>30.82113</v>
      </c>
      <c r="Z1152" s="1868">
        <v>31.880190000000002</v>
      </c>
      <c r="AA1152" s="1868">
        <v>22.26979</v>
      </c>
      <c r="AB1152" s="1868">
        <v>15.525</v>
      </c>
      <c r="AC1152" s="1868">
        <v>15.458410000000001</v>
      </c>
      <c r="AD1152" s="1868">
        <v>14.232839999999999</v>
      </c>
      <c r="AE1152" s="1868">
        <v>14.180999999999999</v>
      </c>
      <c r="AF1152" s="1868">
        <v>15.1271</v>
      </c>
      <c r="AG1152" s="1868">
        <v>14.03815</v>
      </c>
      <c r="AH1152" s="1868">
        <v>12.96476</v>
      </c>
      <c r="AI1152" s="1868">
        <v>13.196279999999998</v>
      </c>
      <c r="AJ1152" s="1868">
        <v>13.625</v>
      </c>
      <c r="AK1152" s="1868">
        <v>13.690479999999999</v>
      </c>
      <c r="AL1152" s="1868">
        <v>13.181820000000002</v>
      </c>
      <c r="AM1152" s="1868">
        <v>12.888260000000001</v>
      </c>
      <c r="AN1152" s="1868">
        <v>10.80355</v>
      </c>
      <c r="AO1152" s="1868">
        <v>11.96078</v>
      </c>
      <c r="AP1152" s="1868">
        <v>11.826919999999999</v>
      </c>
      <c r="AQ1152" s="1868">
        <v>11.96078</v>
      </c>
      <c r="AR1152" s="1868">
        <v>13.40109</v>
      </c>
      <c r="AS1152" s="1868">
        <v>11.8</v>
      </c>
      <c r="AT1152" s="1868">
        <v>11.87909</v>
      </c>
      <c r="AU1152" s="1868">
        <v>10.718539999999999</v>
      </c>
      <c r="AV1152" s="1868">
        <v>10.660410000000001</v>
      </c>
      <c r="AW1152" s="1868">
        <v>10.325010000000001</v>
      </c>
      <c r="AX1152" s="1868">
        <v>10.49616</v>
      </c>
      <c r="AY1152" s="1868">
        <v>11.114089999999999</v>
      </c>
      <c r="AZ1152" s="1868">
        <v>10.651120000000001</v>
      </c>
      <c r="BA1152" s="1868">
        <v>10.92822</v>
      </c>
    </row>
    <row r="1153" spans="1:53">
      <c r="A1153" s="1865" t="str">
        <f t="shared" si="17"/>
        <v>Southern AsiaPotatoes</v>
      </c>
      <c r="B1153" s="1866" t="s">
        <v>1352</v>
      </c>
      <c r="C1153" s="1866" t="s">
        <v>1394</v>
      </c>
      <c r="D1153" s="1868">
        <v>7.2019600000000006</v>
      </c>
      <c r="E1153" s="1868">
        <v>6.8236399999999993</v>
      </c>
      <c r="F1153" s="1868">
        <v>7.9641899999999994</v>
      </c>
      <c r="G1153" s="1868">
        <v>6.5834699999999993</v>
      </c>
      <c r="H1153" s="1868">
        <v>8.3136799999999997</v>
      </c>
      <c r="I1153" s="1868">
        <v>8.3634899999999988</v>
      </c>
      <c r="J1153" s="1868">
        <v>7.8630300000000002</v>
      </c>
      <c r="K1153" s="1868">
        <v>8.6046499999999995</v>
      </c>
      <c r="L1153" s="1868">
        <v>9.0871100000000009</v>
      </c>
      <c r="M1153" s="1868">
        <v>8.287469999999999</v>
      </c>
      <c r="N1153" s="1868">
        <v>9.7315100000000001</v>
      </c>
      <c r="O1153" s="1868">
        <v>9.5967099999999999</v>
      </c>
      <c r="P1153" s="1868">
        <v>8.8780099999999997</v>
      </c>
      <c r="Q1153" s="1868">
        <v>8.9214000000000002</v>
      </c>
      <c r="R1153" s="1868">
        <v>10.094469999999999</v>
      </c>
      <c r="S1153" s="1868">
        <v>10.981669999999999</v>
      </c>
      <c r="T1153" s="1868">
        <v>10.933160000000001</v>
      </c>
      <c r="U1153" s="1868">
        <v>11.612349999999999</v>
      </c>
      <c r="V1153" s="1868">
        <v>11.89766</v>
      </c>
      <c r="W1153" s="1868">
        <v>11.71574</v>
      </c>
      <c r="X1153" s="1868">
        <v>12.650460000000001</v>
      </c>
      <c r="Y1153" s="1868">
        <v>12.58915</v>
      </c>
      <c r="Z1153" s="1868">
        <v>12.834070000000001</v>
      </c>
      <c r="AA1153" s="1868">
        <v>14.118170000000001</v>
      </c>
      <c r="AB1153" s="1868">
        <v>13.751520000000001</v>
      </c>
      <c r="AC1153" s="1868">
        <v>12.10773</v>
      </c>
      <c r="AD1153" s="1868">
        <v>14.006920000000001</v>
      </c>
      <c r="AE1153" s="1868">
        <v>14.288310000000001</v>
      </c>
      <c r="AF1153" s="1868">
        <v>14.691729999999998</v>
      </c>
      <c r="AG1153" s="1868">
        <v>14.50642</v>
      </c>
      <c r="AH1153" s="1868">
        <v>15.12105</v>
      </c>
      <c r="AI1153" s="1868">
        <v>14.98554</v>
      </c>
      <c r="AJ1153" s="1868">
        <v>14.6668</v>
      </c>
      <c r="AK1153" s="1868">
        <v>15.925970000000001</v>
      </c>
      <c r="AL1153" s="1868">
        <v>15.6905</v>
      </c>
      <c r="AM1153" s="1868">
        <v>16.196939999999998</v>
      </c>
      <c r="AN1153" s="1868">
        <v>17.780339999999999</v>
      </c>
      <c r="AO1153" s="1868">
        <v>14.514670000000001</v>
      </c>
      <c r="AP1153" s="1868">
        <v>16.475170000000002</v>
      </c>
      <c r="AQ1153" s="1868">
        <v>17.414100000000001</v>
      </c>
      <c r="AR1153" s="1868">
        <v>17.086560000000002</v>
      </c>
      <c r="AS1153" s="1868">
        <v>18.022349999999999</v>
      </c>
      <c r="AT1153" s="1868">
        <v>16.982009999999999</v>
      </c>
      <c r="AU1153" s="1868">
        <v>18.168120000000002</v>
      </c>
      <c r="AV1153" s="1868">
        <v>18.312560000000001</v>
      </c>
      <c r="AW1153" s="1868">
        <v>17.762720000000002</v>
      </c>
      <c r="AX1153" s="1868">
        <v>16.73301</v>
      </c>
      <c r="AY1153" s="1868">
        <v>18.775639999999999</v>
      </c>
      <c r="AZ1153" s="1868">
        <v>18.115960000000001</v>
      </c>
      <c r="BA1153" s="1868">
        <v>19.724399999999999</v>
      </c>
    </row>
    <row r="1154" spans="1:53">
      <c r="A1154" s="1865" t="str">
        <f t="shared" si="17"/>
        <v>Southern AsiaPulses, nes</v>
      </c>
      <c r="B1154" s="1866" t="s">
        <v>1352</v>
      </c>
      <c r="C1154" s="1866" t="s">
        <v>1395</v>
      </c>
      <c r="D1154" s="1868">
        <v>0.41959999999999997</v>
      </c>
      <c r="E1154" s="1868">
        <v>0.42661000000000004</v>
      </c>
      <c r="F1154" s="1868">
        <v>0.41544999999999999</v>
      </c>
      <c r="G1154" s="1868">
        <v>0.46844999999999998</v>
      </c>
      <c r="H1154" s="1868">
        <v>0.46744999999999998</v>
      </c>
      <c r="I1154" s="1868">
        <v>0.41556000000000004</v>
      </c>
      <c r="J1154" s="1868">
        <v>0.42086000000000001</v>
      </c>
      <c r="K1154" s="1868">
        <v>0.48538000000000003</v>
      </c>
      <c r="L1154" s="1868">
        <v>0.48204999999999998</v>
      </c>
      <c r="M1154" s="1868">
        <v>0.51538000000000006</v>
      </c>
      <c r="N1154" s="1868">
        <v>0.49987999999999999</v>
      </c>
      <c r="O1154" s="1868">
        <v>0.49211000000000005</v>
      </c>
      <c r="P1154" s="1868">
        <v>0.42118</v>
      </c>
      <c r="Q1154" s="1868">
        <v>0.44845000000000002</v>
      </c>
      <c r="R1154" s="1868">
        <v>0.49933</v>
      </c>
      <c r="S1154" s="1868">
        <v>0.50118999999999991</v>
      </c>
      <c r="T1154" s="1868">
        <v>0.41325000000000001</v>
      </c>
      <c r="U1154" s="1868">
        <v>0.43031999999999998</v>
      </c>
      <c r="V1154" s="1868">
        <v>0.42656000000000005</v>
      </c>
      <c r="W1154" s="1868">
        <v>0.37254999999999999</v>
      </c>
      <c r="X1154" s="1868">
        <v>0.42286000000000001</v>
      </c>
      <c r="Y1154" s="1868">
        <v>0.40719</v>
      </c>
      <c r="Z1154" s="1868">
        <v>0.43987999999999999</v>
      </c>
      <c r="AA1154" s="1868">
        <v>0.49661000000000005</v>
      </c>
      <c r="AB1154" s="1868">
        <v>0.46788000000000002</v>
      </c>
      <c r="AC1154" s="1868">
        <v>0.48516000000000004</v>
      </c>
      <c r="AD1154" s="1868">
        <v>0.49851000000000001</v>
      </c>
      <c r="AE1154" s="1868">
        <v>0.47138000000000002</v>
      </c>
      <c r="AF1154" s="1868">
        <v>0.52810000000000001</v>
      </c>
      <c r="AG1154" s="1868">
        <v>0.45523000000000002</v>
      </c>
      <c r="AH1154" s="1868">
        <v>0.72414000000000001</v>
      </c>
      <c r="AI1154" s="1868">
        <v>0.30574000000000001</v>
      </c>
      <c r="AJ1154" s="1868">
        <v>0.55181999999999998</v>
      </c>
      <c r="AK1154" s="1868">
        <v>0.65193999999999996</v>
      </c>
      <c r="AL1154" s="1868">
        <v>0.69628000000000001</v>
      </c>
      <c r="AM1154" s="1868">
        <v>0.63866000000000001</v>
      </c>
      <c r="AN1154" s="1868">
        <v>0.71335999999999999</v>
      </c>
      <c r="AO1154" s="1868">
        <v>0.61476999999999993</v>
      </c>
      <c r="AP1154" s="1868">
        <v>0.68347999999999998</v>
      </c>
      <c r="AQ1154" s="1868">
        <v>0.70321</v>
      </c>
      <c r="AR1154" s="1868">
        <v>0.81579999999999997</v>
      </c>
      <c r="AS1154" s="1868">
        <v>0.64336000000000004</v>
      </c>
      <c r="AT1154" s="1868">
        <v>0.56994</v>
      </c>
      <c r="AU1154" s="1868">
        <v>0.62285000000000001</v>
      </c>
      <c r="AV1154" s="1868">
        <v>0.53103</v>
      </c>
      <c r="AW1154" s="1868">
        <v>0.56679999999999997</v>
      </c>
      <c r="AX1154" s="1868">
        <v>0.54748999999999992</v>
      </c>
      <c r="AY1154" s="1868">
        <v>0.49293999999999999</v>
      </c>
      <c r="AZ1154" s="1868">
        <v>0.53486</v>
      </c>
      <c r="BA1154" s="1868">
        <v>0.50285000000000002</v>
      </c>
    </row>
    <row r="1155" spans="1:53">
      <c r="A1155" s="1865" t="str">
        <f t="shared" si="17"/>
        <v>Southern AsiaRice, paddy</v>
      </c>
      <c r="B1155" s="1866" t="s">
        <v>1352</v>
      </c>
      <c r="C1155" s="1866" t="s">
        <v>1396</v>
      </c>
      <c r="D1155" s="1868">
        <v>1.5832899999999999</v>
      </c>
      <c r="E1155" s="1868">
        <v>1.4483999999999999</v>
      </c>
      <c r="F1155" s="1868">
        <v>1.60791</v>
      </c>
      <c r="G1155" s="1868">
        <v>1.6520299999999999</v>
      </c>
      <c r="H1155" s="1868">
        <v>1.40639</v>
      </c>
      <c r="I1155" s="1868">
        <v>1.38489</v>
      </c>
      <c r="J1155" s="1868">
        <v>1.60148</v>
      </c>
      <c r="K1155" s="1868">
        <v>1.6740099999999998</v>
      </c>
      <c r="L1155" s="1868">
        <v>1.6822999999999999</v>
      </c>
      <c r="M1155" s="1868">
        <v>1.7226900000000001</v>
      </c>
      <c r="N1155" s="1868">
        <v>1.7278200000000001</v>
      </c>
      <c r="O1155" s="1868">
        <v>1.6432099999999998</v>
      </c>
      <c r="P1155" s="1868">
        <v>1.7830900000000001</v>
      </c>
      <c r="Q1155" s="1868">
        <v>1.6519099999999998</v>
      </c>
      <c r="R1155" s="1868">
        <v>1.8884000000000001</v>
      </c>
      <c r="S1155" s="1868">
        <v>1.7174700000000001</v>
      </c>
      <c r="T1155" s="1868">
        <v>1.98</v>
      </c>
      <c r="U1155" s="1868">
        <v>2.01207</v>
      </c>
      <c r="V1155" s="1868">
        <v>1.7161</v>
      </c>
      <c r="W1155" s="1868">
        <v>2.0335099999999997</v>
      </c>
      <c r="X1155" s="1868">
        <v>2.0079199999999999</v>
      </c>
      <c r="Y1155" s="1868">
        <v>1.9299400000000002</v>
      </c>
      <c r="Z1155" s="1868">
        <v>2.2202999999999999</v>
      </c>
      <c r="AA1155" s="1868">
        <v>2.1589499999999999</v>
      </c>
      <c r="AB1155" s="1868">
        <v>2.3154400000000002</v>
      </c>
      <c r="AC1155" s="1868">
        <v>2.2281400000000002</v>
      </c>
      <c r="AD1155" s="1868">
        <v>2.23706</v>
      </c>
      <c r="AE1155" s="1868">
        <v>2.4946900000000003</v>
      </c>
      <c r="AF1155" s="1868">
        <v>2.59762</v>
      </c>
      <c r="AG1155" s="1868">
        <v>2.6027800000000001</v>
      </c>
      <c r="AH1155" s="1868">
        <v>2.6306099999999999</v>
      </c>
      <c r="AI1155" s="1868">
        <v>2.6199599999999998</v>
      </c>
      <c r="AJ1155" s="1868">
        <v>2.8084799999999999</v>
      </c>
      <c r="AK1155" s="1868">
        <v>2.7838599999999998</v>
      </c>
      <c r="AL1155" s="1868">
        <v>2.7024400000000002</v>
      </c>
      <c r="AM1155" s="1868">
        <v>2.82159</v>
      </c>
      <c r="AN1155" s="1868">
        <v>2.83013</v>
      </c>
      <c r="AO1155" s="1868">
        <v>2.9021699999999999</v>
      </c>
      <c r="AP1155" s="1868">
        <v>3.02162</v>
      </c>
      <c r="AQ1155" s="1868">
        <v>2.9792000000000001</v>
      </c>
      <c r="AR1155" s="1868">
        <v>3.1530299999999998</v>
      </c>
      <c r="AS1155" s="1868">
        <v>2.8332200000000003</v>
      </c>
      <c r="AT1155" s="1868">
        <v>3.20323</v>
      </c>
      <c r="AU1155" s="1868">
        <v>3.0913300000000001</v>
      </c>
      <c r="AV1155" s="1868">
        <v>3.2730700000000001</v>
      </c>
      <c r="AW1155" s="1868">
        <v>3.3004800000000003</v>
      </c>
      <c r="AX1155" s="1868">
        <v>3.4326599999999998</v>
      </c>
      <c r="AY1155" s="1868">
        <v>3.5501300000000002</v>
      </c>
      <c r="AZ1155" s="1868">
        <v>3.4174199999999999</v>
      </c>
      <c r="BA1155" s="1868">
        <v>3.4634400000000003</v>
      </c>
    </row>
    <row r="1156" spans="1:53">
      <c r="A1156" s="1865" t="str">
        <f t="shared" ref="A1156:A1219" si="18">CONCATENATE(B1156,C1156)</f>
        <v>Southern AsiaRoots and Tubers, nes</v>
      </c>
      <c r="B1156" s="1866" t="s">
        <v>1352</v>
      </c>
      <c r="C1156" s="1866" t="s">
        <v>1356</v>
      </c>
      <c r="D1156" s="1868">
        <v>5.20913</v>
      </c>
      <c r="E1156" s="1868">
        <v>5.2276899999999999</v>
      </c>
      <c r="F1156" s="1868">
        <v>5.2322499999999996</v>
      </c>
      <c r="G1156" s="1868">
        <v>5.2093800000000003</v>
      </c>
      <c r="H1156" s="1868">
        <v>5.2016099999999996</v>
      </c>
      <c r="I1156" s="1868">
        <v>5.2221400000000004</v>
      </c>
      <c r="J1156" s="1868">
        <v>5.2144500000000003</v>
      </c>
      <c r="K1156" s="1868">
        <v>5.2077300000000006</v>
      </c>
      <c r="L1156" s="1868">
        <v>5.28674</v>
      </c>
      <c r="M1156" s="1868">
        <v>5.23942</v>
      </c>
      <c r="N1156" s="1868">
        <v>5.2781599999999997</v>
      </c>
      <c r="O1156" s="1868">
        <v>5.26797</v>
      </c>
      <c r="P1156" s="1868">
        <v>5.31637</v>
      </c>
      <c r="Q1156" s="1868">
        <v>5.3149100000000002</v>
      </c>
      <c r="R1156" s="1868">
        <v>5.3178099999999997</v>
      </c>
      <c r="S1156" s="1868">
        <v>5.2696100000000001</v>
      </c>
      <c r="T1156" s="1868">
        <v>5.3252300000000004</v>
      </c>
      <c r="U1156" s="1868">
        <v>5.3417300000000001</v>
      </c>
      <c r="V1156" s="1868">
        <v>5.3636900000000001</v>
      </c>
      <c r="W1156" s="1868">
        <v>9.52698</v>
      </c>
      <c r="X1156" s="1868">
        <v>8.6071299999999997</v>
      </c>
      <c r="Y1156" s="1868">
        <v>9.4623100000000004</v>
      </c>
      <c r="Z1156" s="1868">
        <v>9.7563700000000004</v>
      </c>
      <c r="AA1156" s="1868">
        <v>8.7272600000000011</v>
      </c>
      <c r="AB1156" s="1868">
        <v>8.5180699999999998</v>
      </c>
      <c r="AC1156" s="1868">
        <v>8.1961600000000008</v>
      </c>
      <c r="AD1156" s="1868">
        <v>9.0262100000000007</v>
      </c>
      <c r="AE1156" s="1868">
        <v>9.19346</v>
      </c>
      <c r="AF1156" s="1868">
        <v>8.9628899999999998</v>
      </c>
      <c r="AG1156" s="1868">
        <v>9.0623300000000011</v>
      </c>
      <c r="AH1156" s="1868">
        <v>9.3509399999999996</v>
      </c>
      <c r="AI1156" s="1868">
        <v>9.6468799999999995</v>
      </c>
      <c r="AJ1156" s="1868">
        <v>10.000680000000001</v>
      </c>
      <c r="AK1156" s="1868">
        <v>10.223989999999999</v>
      </c>
      <c r="AL1156" s="1868">
        <v>10.898660000000001</v>
      </c>
      <c r="AM1156" s="1868">
        <v>11.317039999999999</v>
      </c>
      <c r="AN1156" s="1868">
        <v>11.4291</v>
      </c>
      <c r="AO1156" s="1868">
        <v>11.535450000000001</v>
      </c>
      <c r="AP1156" s="1868">
        <v>11.40996</v>
      </c>
      <c r="AQ1156" s="1868">
        <v>11.34582</v>
      </c>
      <c r="AR1156" s="1868">
        <v>11.10765</v>
      </c>
      <c r="AS1156" s="1868">
        <v>10.62161</v>
      </c>
      <c r="AT1156" s="1868">
        <v>10.456</v>
      </c>
      <c r="AU1156" s="1868">
        <v>10.889989999999999</v>
      </c>
      <c r="AV1156" s="1868">
        <v>10.81133</v>
      </c>
      <c r="AW1156" s="1868">
        <v>10.30219</v>
      </c>
      <c r="AX1156" s="1868">
        <v>10.25277</v>
      </c>
      <c r="AY1156" s="1868">
        <v>10.166499999999999</v>
      </c>
      <c r="AZ1156" s="1868">
        <v>9.7891999999999992</v>
      </c>
      <c r="BA1156" s="1868">
        <v>9.5034299999999998</v>
      </c>
    </row>
    <row r="1157" spans="1:53">
      <c r="A1157" s="1865" t="str">
        <f t="shared" si="18"/>
        <v>Southern AsiaSeed cotton</v>
      </c>
      <c r="B1157" s="1866" t="s">
        <v>1352</v>
      </c>
      <c r="C1157" s="1866" t="s">
        <v>1397</v>
      </c>
      <c r="D1157" s="1868">
        <v>0.43725000000000003</v>
      </c>
      <c r="E1157" s="1868">
        <v>0.50016000000000005</v>
      </c>
      <c r="F1157" s="1868">
        <v>0.52639999999999998</v>
      </c>
      <c r="G1157" s="1868">
        <v>0.48296999999999995</v>
      </c>
      <c r="H1157" s="1868">
        <v>0.49563000000000001</v>
      </c>
      <c r="I1157" s="1868">
        <v>0.50392999999999999</v>
      </c>
      <c r="J1157" s="1868">
        <v>0.54384999999999994</v>
      </c>
      <c r="K1157" s="1868">
        <v>0.56367</v>
      </c>
      <c r="L1157" s="1868">
        <v>0.55621999999999994</v>
      </c>
      <c r="M1157" s="1868">
        <v>0.53446000000000005</v>
      </c>
      <c r="N1157" s="1868">
        <v>0.64983000000000002</v>
      </c>
      <c r="O1157" s="1868">
        <v>0.63522000000000001</v>
      </c>
      <c r="P1157" s="1868">
        <v>0.65538999999999992</v>
      </c>
      <c r="Q1157" s="1868">
        <v>0.67331000000000008</v>
      </c>
      <c r="R1157" s="1868">
        <v>0.59772000000000003</v>
      </c>
      <c r="S1157" s="1868">
        <v>0.58172000000000001</v>
      </c>
      <c r="T1157" s="1868">
        <v>0.6159</v>
      </c>
      <c r="U1157" s="1868">
        <v>0.59758999999999995</v>
      </c>
      <c r="V1157" s="1868">
        <v>0.64216000000000006</v>
      </c>
      <c r="W1157" s="1868">
        <v>0.63968999999999998</v>
      </c>
      <c r="X1157" s="1868">
        <v>0.64156999999999997</v>
      </c>
      <c r="Y1157" s="1868">
        <v>0.66335</v>
      </c>
      <c r="Z1157" s="1868">
        <v>0.51446000000000003</v>
      </c>
      <c r="AA1157" s="1868">
        <v>0.80486999999999997</v>
      </c>
      <c r="AB1157" s="1868">
        <v>0.85319999999999996</v>
      </c>
      <c r="AC1157" s="1868">
        <v>0.82917999999999992</v>
      </c>
      <c r="AD1157" s="1868">
        <v>0.88402000000000003</v>
      </c>
      <c r="AE1157" s="1868">
        <v>0.91852000000000011</v>
      </c>
      <c r="AF1157" s="1868">
        <v>1.02928</v>
      </c>
      <c r="AG1157" s="1868">
        <v>1.0273600000000001</v>
      </c>
      <c r="AH1157" s="1868">
        <v>1.13391</v>
      </c>
      <c r="AI1157" s="1868">
        <v>1.0463799999999999</v>
      </c>
      <c r="AJ1157" s="1868">
        <v>0.98740000000000006</v>
      </c>
      <c r="AK1157" s="1868">
        <v>1.04108</v>
      </c>
      <c r="AL1157" s="1868">
        <v>1.03789</v>
      </c>
      <c r="AM1157" s="1868">
        <v>1.02871</v>
      </c>
      <c r="AN1157" s="1868">
        <v>0.90542999999999996</v>
      </c>
      <c r="AO1157" s="1868">
        <v>0.92117999999999989</v>
      </c>
      <c r="AP1157" s="1868">
        <v>1.03572</v>
      </c>
      <c r="AQ1157" s="1868">
        <v>0.94769999999999999</v>
      </c>
      <c r="AR1157" s="1868">
        <v>0.90051000000000003</v>
      </c>
      <c r="AS1157" s="1868">
        <v>0.95794000000000001</v>
      </c>
      <c r="AT1157" s="1868">
        <v>1.19259</v>
      </c>
      <c r="AU1157" s="1868">
        <v>1.3532799999999998</v>
      </c>
      <c r="AV1157" s="1868">
        <v>1.4103600000000001</v>
      </c>
      <c r="AW1157" s="1868">
        <v>1.5047900000000001</v>
      </c>
      <c r="AX1157" s="1868">
        <v>1.5671299999999999</v>
      </c>
      <c r="AY1157" s="1868">
        <v>1.4492499999999999</v>
      </c>
      <c r="AZ1157" s="1868">
        <v>1.42886</v>
      </c>
      <c r="BA1157" s="1868">
        <v>1.7213400000000001</v>
      </c>
    </row>
    <row r="1158" spans="1:53">
      <c r="A1158" s="1865" t="str">
        <f t="shared" si="18"/>
        <v>Southern AsiaSesame seed</v>
      </c>
      <c r="B1158" s="1866" t="s">
        <v>1352</v>
      </c>
      <c r="C1158" s="1866" t="s">
        <v>1345</v>
      </c>
      <c r="D1158" s="1868">
        <v>0.18275999999999998</v>
      </c>
      <c r="E1158" s="1868">
        <v>0.20776</v>
      </c>
      <c r="F1158" s="1868">
        <v>0.19825999999999999</v>
      </c>
      <c r="G1158" s="1868">
        <v>0.20845</v>
      </c>
      <c r="H1158" s="1868">
        <v>0.18444000000000002</v>
      </c>
      <c r="I1158" s="1868">
        <v>0.1653</v>
      </c>
      <c r="J1158" s="1868">
        <v>0.18594000000000002</v>
      </c>
      <c r="K1158" s="1868">
        <v>0.19470999999999999</v>
      </c>
      <c r="L1158" s="1868">
        <v>0.21490000000000001</v>
      </c>
      <c r="M1158" s="1868">
        <v>0.24954999999999999</v>
      </c>
      <c r="N1158" s="1868">
        <v>0.20598000000000002</v>
      </c>
      <c r="O1158" s="1868">
        <v>0.18675999999999998</v>
      </c>
      <c r="P1158" s="1868">
        <v>0.22114</v>
      </c>
      <c r="Q1158" s="1868">
        <v>0.19622000000000001</v>
      </c>
      <c r="R1158" s="1868">
        <v>0.23929</v>
      </c>
      <c r="S1158" s="1868">
        <v>0.20590999999999998</v>
      </c>
      <c r="T1158" s="1868">
        <v>0.23601999999999998</v>
      </c>
      <c r="U1158" s="1868">
        <v>0.23903000000000002</v>
      </c>
      <c r="V1158" s="1868">
        <v>0.17566999999999999</v>
      </c>
      <c r="W1158" s="1868">
        <v>0.20649000000000001</v>
      </c>
      <c r="X1158" s="1868">
        <v>0.24991999999999998</v>
      </c>
      <c r="Y1158" s="1868">
        <v>0.27428000000000002</v>
      </c>
      <c r="Z1158" s="1868">
        <v>0.27987000000000001</v>
      </c>
      <c r="AA1158" s="1868">
        <v>0.27061000000000002</v>
      </c>
      <c r="AB1158" s="1868">
        <v>0.25479000000000002</v>
      </c>
      <c r="AC1158" s="1868">
        <v>0.23676999999999998</v>
      </c>
      <c r="AD1158" s="1868">
        <v>0.29503000000000001</v>
      </c>
      <c r="AE1158" s="1868">
        <v>0.29874000000000001</v>
      </c>
      <c r="AF1158" s="1868">
        <v>0.33211999999999997</v>
      </c>
      <c r="AG1158" s="1868">
        <v>0.34911999999999999</v>
      </c>
      <c r="AH1158" s="1868">
        <v>0.28854999999999997</v>
      </c>
      <c r="AI1158" s="1868">
        <v>0.37774999999999997</v>
      </c>
      <c r="AJ1158" s="1868">
        <v>0.28878999999999999</v>
      </c>
      <c r="AK1158" s="1868">
        <v>0.32834000000000002</v>
      </c>
      <c r="AL1158" s="1868">
        <v>0.32240000000000002</v>
      </c>
      <c r="AM1158" s="1868">
        <v>0.34520000000000001</v>
      </c>
      <c r="AN1158" s="1868">
        <v>0.36868000000000001</v>
      </c>
      <c r="AO1158" s="1868">
        <v>0.35958000000000001</v>
      </c>
      <c r="AP1158" s="1868">
        <v>0.33798</v>
      </c>
      <c r="AQ1158" s="1868">
        <v>0.33260000000000001</v>
      </c>
      <c r="AR1158" s="1868">
        <v>0.4385</v>
      </c>
      <c r="AS1158" s="1868">
        <v>0.32708999999999999</v>
      </c>
      <c r="AT1158" s="1868">
        <v>0.47348999999999997</v>
      </c>
      <c r="AU1158" s="1868">
        <v>0.39406999999999998</v>
      </c>
      <c r="AV1158" s="1868">
        <v>0.40439000000000003</v>
      </c>
      <c r="AW1158" s="1868">
        <v>0.40173999999999999</v>
      </c>
      <c r="AX1158" s="1868">
        <v>0.43366000000000005</v>
      </c>
      <c r="AY1158" s="1868">
        <v>0.40404000000000001</v>
      </c>
      <c r="AZ1158" s="1868">
        <v>0.37979000000000002</v>
      </c>
      <c r="BA1158" s="1868">
        <v>0.37714999999999999</v>
      </c>
    </row>
    <row r="1159" spans="1:53">
      <c r="A1159" s="1865" t="str">
        <f t="shared" si="18"/>
        <v>Southern AsiaSorghum</v>
      </c>
      <c r="B1159" s="1866" t="s">
        <v>1352</v>
      </c>
      <c r="C1159" s="1866" t="s">
        <v>1399</v>
      </c>
      <c r="D1159" s="1868">
        <v>0.44123000000000001</v>
      </c>
      <c r="E1159" s="1868">
        <v>0.52911000000000008</v>
      </c>
      <c r="F1159" s="1868">
        <v>0.50081999999999993</v>
      </c>
      <c r="G1159" s="1868">
        <v>0.53521000000000007</v>
      </c>
      <c r="H1159" s="1868">
        <v>0.42993999999999999</v>
      </c>
      <c r="I1159" s="1868">
        <v>0.51051999999999997</v>
      </c>
      <c r="J1159" s="1868">
        <v>0.54400999999999999</v>
      </c>
      <c r="K1159" s="1868">
        <v>0.52413999999999994</v>
      </c>
      <c r="L1159" s="1868">
        <v>0.52391999999999994</v>
      </c>
      <c r="M1159" s="1868">
        <v>0.47036000000000006</v>
      </c>
      <c r="N1159" s="1868">
        <v>0.46484999999999999</v>
      </c>
      <c r="O1159" s="1868">
        <v>0.45398999999999995</v>
      </c>
      <c r="P1159" s="1868">
        <v>0.54754999999999998</v>
      </c>
      <c r="Q1159" s="1868">
        <v>0.64212000000000002</v>
      </c>
      <c r="R1159" s="1868">
        <v>0.59075</v>
      </c>
      <c r="S1159" s="1868">
        <v>0.66508</v>
      </c>
      <c r="T1159" s="1868">
        <v>0.73341999999999996</v>
      </c>
      <c r="U1159" s="1868">
        <v>0.70353999999999994</v>
      </c>
      <c r="V1159" s="1868">
        <v>0.69588000000000005</v>
      </c>
      <c r="W1159" s="1868">
        <v>0.65796999999999994</v>
      </c>
      <c r="X1159" s="1868">
        <v>0.72311000000000003</v>
      </c>
      <c r="Y1159" s="1868">
        <v>0.65463000000000005</v>
      </c>
      <c r="Z1159" s="1868">
        <v>0.72172000000000003</v>
      </c>
      <c r="AA1159" s="1868">
        <v>0.71218999999999999</v>
      </c>
      <c r="AB1159" s="1868">
        <v>0.63244</v>
      </c>
      <c r="AC1159" s="1868">
        <v>0.57633000000000001</v>
      </c>
      <c r="AD1159" s="1868">
        <v>0.75843000000000005</v>
      </c>
      <c r="AE1159" s="1868">
        <v>0.69316</v>
      </c>
      <c r="AF1159" s="1868">
        <v>0.86141000000000001</v>
      </c>
      <c r="AG1159" s="1868">
        <v>0.80679999999999996</v>
      </c>
      <c r="AH1159" s="1868">
        <v>0.65321000000000007</v>
      </c>
      <c r="AI1159" s="1868">
        <v>0.97023999999999999</v>
      </c>
      <c r="AJ1159" s="1868">
        <v>0.88929999999999998</v>
      </c>
      <c r="AK1159" s="1868">
        <v>0.77212000000000003</v>
      </c>
      <c r="AL1159" s="1868">
        <v>0.81591000000000002</v>
      </c>
      <c r="AM1159" s="1868">
        <v>0.94762999999999997</v>
      </c>
      <c r="AN1159" s="1868">
        <v>0.68858999999999992</v>
      </c>
      <c r="AO1159" s="1868">
        <v>0.84927999999999992</v>
      </c>
      <c r="AP1159" s="1868">
        <v>0.83947999999999989</v>
      </c>
      <c r="AQ1159" s="1868">
        <v>0.75888999999999995</v>
      </c>
      <c r="AR1159" s="1868">
        <v>0.76617000000000002</v>
      </c>
      <c r="AS1159" s="1868">
        <v>0.75460000000000005</v>
      </c>
      <c r="AT1159" s="1868">
        <v>0.74811000000000005</v>
      </c>
      <c r="AU1159" s="1868">
        <v>0.71258999999999995</v>
      </c>
      <c r="AV1159" s="1868">
        <v>0.79142000000000001</v>
      </c>
      <c r="AW1159" s="1868">
        <v>0.87168999999999996</v>
      </c>
      <c r="AX1159" s="1868">
        <v>0.83657999999999988</v>
      </c>
      <c r="AY1159" s="1868">
        <v>1.00797</v>
      </c>
      <c r="AZ1159" s="1868">
        <v>0.95189999999999997</v>
      </c>
      <c r="BA1159" s="1868">
        <v>0.90217999999999998</v>
      </c>
    </row>
    <row r="1160" spans="1:53">
      <c r="A1160" s="1865" t="str">
        <f t="shared" si="18"/>
        <v>Southern AsiaSoybeans</v>
      </c>
      <c r="B1160" s="1866" t="s">
        <v>1352</v>
      </c>
      <c r="C1160" s="1866" t="s">
        <v>1359</v>
      </c>
      <c r="D1160" s="1868">
        <v>0.49764999999999998</v>
      </c>
      <c r="E1160" s="1868">
        <v>0.49764999999999998</v>
      </c>
      <c r="F1160" s="1868">
        <v>0.47753999999999996</v>
      </c>
      <c r="G1160" s="1868">
        <v>0.47852</v>
      </c>
      <c r="H1160" s="1868">
        <v>0.46561000000000002</v>
      </c>
      <c r="I1160" s="1868">
        <v>0.48271000000000003</v>
      </c>
      <c r="J1160" s="1868">
        <v>0.48546000000000006</v>
      </c>
      <c r="K1160" s="1868">
        <v>0.48553999999999997</v>
      </c>
      <c r="L1160" s="1868">
        <v>0.47597</v>
      </c>
      <c r="M1160" s="1868">
        <v>0.48707</v>
      </c>
      <c r="N1160" s="1868">
        <v>0.49454999999999999</v>
      </c>
      <c r="O1160" s="1868">
        <v>0.81399999999999995</v>
      </c>
      <c r="P1160" s="1868">
        <v>0.79330000000000001</v>
      </c>
      <c r="Q1160" s="1868">
        <v>0.85622999999999994</v>
      </c>
      <c r="R1160" s="1868">
        <v>1.0601399999999999</v>
      </c>
      <c r="S1160" s="1868">
        <v>1.1978</v>
      </c>
      <c r="T1160" s="1868">
        <v>1.1067799999999999</v>
      </c>
      <c r="U1160" s="1868">
        <v>1.08555</v>
      </c>
      <c r="V1160" s="1868">
        <v>0.66203999999999996</v>
      </c>
      <c r="W1160" s="1868">
        <v>0.76114999999999999</v>
      </c>
      <c r="X1160" s="1868">
        <v>0.78588000000000002</v>
      </c>
      <c r="Y1160" s="1868">
        <v>0.71543000000000001</v>
      </c>
      <c r="Z1160" s="1868">
        <v>0.83083999999999991</v>
      </c>
      <c r="AA1160" s="1868">
        <v>0.80689</v>
      </c>
      <c r="AB1160" s="1868">
        <v>0.79937000000000002</v>
      </c>
      <c r="AC1160" s="1868">
        <v>0.62116000000000005</v>
      </c>
      <c r="AD1160" s="1868">
        <v>0.60829999999999995</v>
      </c>
      <c r="AE1160" s="1868">
        <v>0.91578999999999999</v>
      </c>
      <c r="AF1160" s="1868">
        <v>0.81636999999999993</v>
      </c>
      <c r="AG1160" s="1868">
        <v>1.0179200000000002</v>
      </c>
      <c r="AH1160" s="1868">
        <v>0.78698999999999997</v>
      </c>
      <c r="AI1160" s="1868">
        <v>0.90452999999999995</v>
      </c>
      <c r="AJ1160" s="1868">
        <v>1.0938299999999999</v>
      </c>
      <c r="AK1160" s="1868">
        <v>0.94012000000000007</v>
      </c>
      <c r="AL1160" s="1868">
        <v>1.01424</v>
      </c>
      <c r="AM1160" s="1868">
        <v>1.0322799999999999</v>
      </c>
      <c r="AN1160" s="1868">
        <v>1.0871299999999999</v>
      </c>
      <c r="AO1160" s="1868">
        <v>1.1052899999999999</v>
      </c>
      <c r="AP1160" s="1868">
        <v>1.1398200000000001</v>
      </c>
      <c r="AQ1160" s="1868">
        <v>0.83321000000000001</v>
      </c>
      <c r="AR1160" s="1868">
        <v>0.94704999999999995</v>
      </c>
      <c r="AS1160" s="1868">
        <v>0.78358000000000005</v>
      </c>
      <c r="AT1160" s="1868">
        <v>1.20601</v>
      </c>
      <c r="AU1160" s="1868">
        <v>0.92437000000000002</v>
      </c>
      <c r="AV1160" s="1868">
        <v>1.0883399999999999</v>
      </c>
      <c r="AW1160" s="1868">
        <v>1.0762399999999999</v>
      </c>
      <c r="AX1160" s="1868">
        <v>1.2448999999999999</v>
      </c>
      <c r="AY1160" s="1868">
        <v>1.05505</v>
      </c>
      <c r="AZ1160" s="1868">
        <v>1.0404500000000001</v>
      </c>
      <c r="BA1160" s="1868">
        <v>1.0765799999999999</v>
      </c>
    </row>
    <row r="1161" spans="1:53">
      <c r="A1161" s="1865" t="str">
        <f t="shared" si="18"/>
        <v>Southern AsiaStrawberries</v>
      </c>
      <c r="B1161" s="1866" t="s">
        <v>1352</v>
      </c>
      <c r="C1161" s="1866" t="s">
        <v>1400</v>
      </c>
      <c r="W1161" s="1868">
        <v>3.3333300000000001</v>
      </c>
      <c r="X1161" s="1868">
        <v>3.3333300000000001</v>
      </c>
      <c r="Y1161" s="1868">
        <v>3.1</v>
      </c>
      <c r="Z1161" s="1868">
        <v>4.2307699999999997</v>
      </c>
      <c r="AA1161" s="1868">
        <v>4.5</v>
      </c>
      <c r="AB1161" s="1868">
        <v>4.8089900000000005</v>
      </c>
      <c r="AC1161" s="1868">
        <v>2.6186099999999999</v>
      </c>
      <c r="AD1161" s="1868">
        <v>3.7489599999999998</v>
      </c>
      <c r="AE1161" s="1868">
        <v>4.6677900000000001</v>
      </c>
      <c r="AF1161" s="1868">
        <v>6.55192</v>
      </c>
      <c r="AG1161" s="1868">
        <v>5.35886</v>
      </c>
      <c r="AH1161" s="1868">
        <v>4.8109800000000007</v>
      </c>
      <c r="AI1161" s="1868">
        <v>5.2655000000000003</v>
      </c>
      <c r="AJ1161" s="1868">
        <v>4.4837699999999998</v>
      </c>
      <c r="AK1161" s="1868">
        <v>5.9523800000000007</v>
      </c>
      <c r="AL1161" s="1868">
        <v>6.1875300000000006</v>
      </c>
      <c r="AM1161" s="1868">
        <v>7.850439999999999</v>
      </c>
      <c r="AN1161" s="1868">
        <v>6.9096800000000007</v>
      </c>
      <c r="AO1161" s="1868">
        <v>8.3703000000000003</v>
      </c>
      <c r="AP1161" s="1868">
        <v>7.5856500000000002</v>
      </c>
      <c r="AQ1161" s="1868">
        <v>8.3069100000000002</v>
      </c>
      <c r="AR1161" s="1868">
        <v>7.5376100000000008</v>
      </c>
      <c r="AS1161" s="1868">
        <v>10.66667</v>
      </c>
      <c r="AT1161" s="1868">
        <v>8.5987299999999998</v>
      </c>
      <c r="AU1161" s="1868">
        <v>8.7978100000000001</v>
      </c>
      <c r="AV1161" s="1868">
        <v>10.053280000000001</v>
      </c>
      <c r="AW1161" s="1868">
        <v>10.13158</v>
      </c>
      <c r="AX1161" s="1868">
        <v>10.28369</v>
      </c>
      <c r="AY1161" s="1868">
        <v>12.749219999999999</v>
      </c>
      <c r="AZ1161" s="1868">
        <v>12.349919999999999</v>
      </c>
      <c r="BA1161" s="1868">
        <v>13.04167</v>
      </c>
    </row>
    <row r="1162" spans="1:53">
      <c r="A1162" s="1865" t="str">
        <f t="shared" si="18"/>
        <v>Southern AsiaSugar beet</v>
      </c>
      <c r="B1162" s="1866" t="s">
        <v>1352</v>
      </c>
      <c r="C1162" s="1866" t="s">
        <v>1358</v>
      </c>
      <c r="D1162" s="1868">
        <v>16.20317</v>
      </c>
      <c r="E1162" s="1868">
        <v>19.72587</v>
      </c>
      <c r="F1162" s="1868">
        <v>20.988210000000002</v>
      </c>
      <c r="G1162" s="1868">
        <v>15.428470000000001</v>
      </c>
      <c r="H1162" s="1868">
        <v>20.989049999999999</v>
      </c>
      <c r="I1162" s="1868">
        <v>21.413789999999999</v>
      </c>
      <c r="J1162" s="1868">
        <v>21.148810000000001</v>
      </c>
      <c r="K1162" s="1868">
        <v>22.752099999999999</v>
      </c>
      <c r="L1162" s="1868">
        <v>21.948740000000001</v>
      </c>
      <c r="M1162" s="1868">
        <v>19.769120000000001</v>
      </c>
      <c r="N1162" s="1868">
        <v>24.225899999999999</v>
      </c>
      <c r="O1162" s="1868">
        <v>23.75554</v>
      </c>
      <c r="P1162" s="1868">
        <v>23.725660000000001</v>
      </c>
      <c r="Q1162" s="1868">
        <v>22.7821</v>
      </c>
      <c r="R1162" s="1868">
        <v>23.75469</v>
      </c>
      <c r="S1162" s="1868">
        <v>26.082699999999999</v>
      </c>
      <c r="T1162" s="1868">
        <v>25.289449999999999</v>
      </c>
      <c r="U1162" s="1868">
        <v>23.93909</v>
      </c>
      <c r="V1162" s="1868">
        <v>26.687640000000002</v>
      </c>
      <c r="W1162" s="1868">
        <v>23.779640000000001</v>
      </c>
      <c r="X1162" s="1868">
        <v>21.369389999999999</v>
      </c>
      <c r="Y1162" s="1868">
        <v>23.761700000000001</v>
      </c>
      <c r="Z1162" s="1868">
        <v>21.752589999999998</v>
      </c>
      <c r="AA1162" s="1868">
        <v>25.142240000000001</v>
      </c>
      <c r="AB1162" s="1868">
        <v>26.859509999999997</v>
      </c>
      <c r="AC1162" s="1868">
        <v>28.303100000000001</v>
      </c>
      <c r="AD1162" s="1868">
        <v>26.335359999999998</v>
      </c>
      <c r="AE1162" s="1868">
        <v>26.846979999999999</v>
      </c>
      <c r="AF1162" s="1868">
        <v>24.113710000000001</v>
      </c>
      <c r="AG1162" s="1868">
        <v>24.937160000000002</v>
      </c>
      <c r="AH1162" s="1868">
        <v>28.894679999999997</v>
      </c>
      <c r="AI1162" s="1868">
        <v>29.56317</v>
      </c>
      <c r="AJ1162" s="1868">
        <v>31.74053</v>
      </c>
      <c r="AK1162" s="1868">
        <v>26.246990000000004</v>
      </c>
      <c r="AL1162" s="1868">
        <v>27.159099999999999</v>
      </c>
      <c r="AM1162" s="1868">
        <v>24.79993</v>
      </c>
      <c r="AN1162" s="1868">
        <v>25.022950000000002</v>
      </c>
      <c r="AO1162" s="1868">
        <v>26.826599999999999</v>
      </c>
      <c r="AP1162" s="1868">
        <v>29.71555</v>
      </c>
      <c r="AQ1162" s="1868">
        <v>26.582829999999998</v>
      </c>
      <c r="AR1162" s="1868">
        <v>27.168679999999998</v>
      </c>
      <c r="AS1162" s="1868">
        <v>31.9497</v>
      </c>
      <c r="AT1162" s="1868">
        <v>28.786990000000003</v>
      </c>
      <c r="AU1162" s="1868">
        <v>31.471420000000002</v>
      </c>
      <c r="AV1162" s="1868">
        <v>32.07835</v>
      </c>
      <c r="AW1162" s="1868">
        <v>35.820259999999998</v>
      </c>
      <c r="AX1162" s="1868">
        <v>33.491209999999995</v>
      </c>
      <c r="AY1162" s="1868">
        <v>31.50703</v>
      </c>
      <c r="AZ1162" s="1868">
        <v>33.165279999999996</v>
      </c>
      <c r="BA1162" s="1868">
        <v>36.972729999999999</v>
      </c>
    </row>
    <row r="1163" spans="1:53">
      <c r="A1163" s="1865" t="str">
        <f t="shared" si="18"/>
        <v>Southern AsiaSugar cane</v>
      </c>
      <c r="B1163" s="1866" t="s">
        <v>1352</v>
      </c>
      <c r="C1163" s="1866" t="s">
        <v>1401</v>
      </c>
      <c r="D1163" s="1868">
        <v>43.015729999999998</v>
      </c>
      <c r="E1163" s="1868">
        <v>40.625609999999995</v>
      </c>
      <c r="F1163" s="1868">
        <v>39.611069999999998</v>
      </c>
      <c r="G1163" s="1868">
        <v>43.772420000000004</v>
      </c>
      <c r="H1163" s="1868">
        <v>45.178139999999999</v>
      </c>
      <c r="I1163" s="1868">
        <v>42.877229999999997</v>
      </c>
      <c r="J1163" s="1868">
        <v>39.49183</v>
      </c>
      <c r="K1163" s="1868">
        <v>44.79806</v>
      </c>
      <c r="L1163" s="1868">
        <v>47.54204</v>
      </c>
      <c r="M1163" s="1868">
        <v>47.744720000000001</v>
      </c>
      <c r="N1163" s="1868">
        <v>46.018529999999998</v>
      </c>
      <c r="O1163" s="1868">
        <v>45.197209999999998</v>
      </c>
      <c r="P1163" s="1868">
        <v>48.2575</v>
      </c>
      <c r="Q1163" s="1868">
        <v>48.28734</v>
      </c>
      <c r="R1163" s="1868">
        <v>46.335239999999999</v>
      </c>
      <c r="S1163" s="1868">
        <v>47.827290000000005</v>
      </c>
      <c r="T1163" s="1868">
        <v>49.687069999999999</v>
      </c>
      <c r="U1163" s="1868">
        <v>51.65981</v>
      </c>
      <c r="V1163" s="1868">
        <v>46.476649999999999</v>
      </c>
      <c r="W1163" s="1868">
        <v>46.73368</v>
      </c>
      <c r="X1163" s="1868">
        <v>52.943940000000005</v>
      </c>
      <c r="Y1163" s="1868">
        <v>53.407389999999999</v>
      </c>
      <c r="Z1163" s="1868">
        <v>51.601970000000001</v>
      </c>
      <c r="AA1163" s="1868">
        <v>51.587060000000001</v>
      </c>
      <c r="AB1163" s="1868">
        <v>52.105020000000003</v>
      </c>
      <c r="AC1163" s="1868">
        <v>54.117800000000003</v>
      </c>
      <c r="AD1163" s="1868">
        <v>58.683659999999996</v>
      </c>
      <c r="AE1163" s="1868">
        <v>54.934719999999999</v>
      </c>
      <c r="AF1163" s="1868">
        <v>56.056550000000001</v>
      </c>
      <c r="AG1163" s="1868">
        <v>59.644819999999996</v>
      </c>
      <c r="AH1163" s="1868">
        <v>59.476909999999997</v>
      </c>
      <c r="AI1163" s="1868">
        <v>60.67474</v>
      </c>
      <c r="AJ1163" s="1868">
        <v>58.709169999999993</v>
      </c>
      <c r="AK1163" s="1868">
        <v>61.474930000000008</v>
      </c>
      <c r="AL1163" s="1868">
        <v>64.97824</v>
      </c>
      <c r="AM1163" s="1868">
        <v>62.835540000000002</v>
      </c>
      <c r="AN1163" s="1868">
        <v>61.376359999999998</v>
      </c>
      <c r="AO1163" s="1868">
        <v>65.557580000000002</v>
      </c>
      <c r="AP1163" s="1868">
        <v>68.873949999999994</v>
      </c>
      <c r="AQ1163" s="1868">
        <v>65.072950000000006</v>
      </c>
      <c r="AR1163" s="1868">
        <v>63.422690000000003</v>
      </c>
      <c r="AS1163" s="1868">
        <v>62.973509999999997</v>
      </c>
      <c r="AT1163" s="1868">
        <v>59.92606</v>
      </c>
      <c r="AU1163" s="1868">
        <v>57.070099999999996</v>
      </c>
      <c r="AV1163" s="1868">
        <v>60.831069999999997</v>
      </c>
      <c r="AW1163" s="1868">
        <v>62.817769999999996</v>
      </c>
      <c r="AX1163" s="1868">
        <v>65.633719999999997</v>
      </c>
      <c r="AY1163" s="1868">
        <v>64.498500000000007</v>
      </c>
      <c r="AZ1163" s="1868">
        <v>60.668700000000001</v>
      </c>
      <c r="BA1163" s="1868">
        <v>63.143769999999996</v>
      </c>
    </row>
    <row r="1164" spans="1:53">
      <c r="A1164" s="1865" t="str">
        <f t="shared" si="18"/>
        <v>Southern AsiaSunflower seed</v>
      </c>
      <c r="B1164" s="1866" t="s">
        <v>1352</v>
      </c>
      <c r="C1164" s="1866" t="s">
        <v>1402</v>
      </c>
      <c r="D1164" s="1868">
        <v>1.39418</v>
      </c>
      <c r="E1164" s="1868">
        <v>1.4699500000000001</v>
      </c>
      <c r="F1164" s="1868">
        <v>1.4570799999999999</v>
      </c>
      <c r="G1164" s="1868">
        <v>1.4338500000000001</v>
      </c>
      <c r="H1164" s="1868">
        <v>1.44828</v>
      </c>
      <c r="I1164" s="1868">
        <v>1.5139799999999999</v>
      </c>
      <c r="J1164" s="1868">
        <v>1.4705900000000001</v>
      </c>
      <c r="K1164" s="1868">
        <v>1.25414</v>
      </c>
      <c r="L1164" s="1868">
        <v>0.88791000000000009</v>
      </c>
      <c r="M1164" s="1868">
        <v>0.74221999999999999</v>
      </c>
      <c r="N1164" s="1868">
        <v>0.71226999999999996</v>
      </c>
      <c r="O1164" s="1868">
        <v>0.72365000000000002</v>
      </c>
      <c r="P1164" s="1868">
        <v>0.72981000000000007</v>
      </c>
      <c r="Q1164" s="1868">
        <v>0.69473999999999991</v>
      </c>
      <c r="R1164" s="1868">
        <v>0.67971999999999999</v>
      </c>
      <c r="S1164" s="1868">
        <v>0.55476000000000003</v>
      </c>
      <c r="T1164" s="1868">
        <v>0.55008000000000001</v>
      </c>
      <c r="U1164" s="1868">
        <v>0.57804</v>
      </c>
      <c r="V1164" s="1868">
        <v>0.61316999999999999</v>
      </c>
      <c r="W1164" s="1868">
        <v>0.63756999999999997</v>
      </c>
      <c r="X1164" s="1868">
        <v>0.6089</v>
      </c>
      <c r="Y1164" s="1868">
        <v>0.53071000000000002</v>
      </c>
      <c r="Z1164" s="1868">
        <v>0.45913000000000004</v>
      </c>
      <c r="AA1164" s="1868">
        <v>0.55147999999999997</v>
      </c>
      <c r="AB1164" s="1868">
        <v>0.42641000000000001</v>
      </c>
      <c r="AC1164" s="1868">
        <v>0.44518999999999997</v>
      </c>
      <c r="AD1164" s="1868">
        <v>0.41426000000000002</v>
      </c>
      <c r="AE1164" s="1868">
        <v>0.38385000000000002</v>
      </c>
      <c r="AF1164" s="1868">
        <v>0.55815000000000003</v>
      </c>
      <c r="AG1164" s="1868">
        <v>0.55628</v>
      </c>
      <c r="AH1164" s="1868">
        <v>0.57336000000000009</v>
      </c>
      <c r="AI1164" s="1868">
        <v>0.59131</v>
      </c>
      <c r="AJ1164" s="1868">
        <v>0.52727000000000002</v>
      </c>
      <c r="AK1164" s="1868">
        <v>0.62143999999999999</v>
      </c>
      <c r="AL1164" s="1868">
        <v>0.60543000000000002</v>
      </c>
      <c r="AM1164" s="1868">
        <v>0.67732999999999999</v>
      </c>
      <c r="AN1164" s="1868">
        <v>0.55384</v>
      </c>
      <c r="AO1164" s="1868">
        <v>0.56725999999999999</v>
      </c>
      <c r="AP1164" s="1868">
        <v>0.59433000000000002</v>
      </c>
      <c r="AQ1164" s="1868">
        <v>0.66759999999999997</v>
      </c>
      <c r="AR1164" s="1868">
        <v>0.6351</v>
      </c>
      <c r="AS1164" s="1868">
        <v>0.60476000000000008</v>
      </c>
      <c r="AT1164" s="1868">
        <v>0.50641999999999998</v>
      </c>
      <c r="AU1164" s="1868">
        <v>0.63951999999999998</v>
      </c>
      <c r="AV1164" s="1868">
        <v>0.67832000000000003</v>
      </c>
      <c r="AW1164" s="1868">
        <v>0.63781999999999994</v>
      </c>
      <c r="AX1164" s="1868">
        <v>0.83409</v>
      </c>
      <c r="AY1164" s="1868">
        <v>0.79537000000000002</v>
      </c>
      <c r="AZ1164" s="1868">
        <v>0.73365000000000002</v>
      </c>
      <c r="BA1164" s="1868">
        <v>0.77569999999999995</v>
      </c>
    </row>
    <row r="1165" spans="1:53">
      <c r="A1165" s="1865" t="str">
        <f t="shared" si="18"/>
        <v>Southern AsiaSweet potatoes</v>
      </c>
      <c r="B1165" s="1866" t="s">
        <v>1352</v>
      </c>
      <c r="C1165" s="1866" t="s">
        <v>1403</v>
      </c>
      <c r="D1165" s="1868">
        <v>7.81203</v>
      </c>
      <c r="E1165" s="1868">
        <v>6.7092899999999993</v>
      </c>
      <c r="F1165" s="1868">
        <v>6.6977000000000002</v>
      </c>
      <c r="G1165" s="1868">
        <v>7.0501399999999999</v>
      </c>
      <c r="H1165" s="1868">
        <v>7.4063100000000004</v>
      </c>
      <c r="I1165" s="1868">
        <v>6.3561800000000002</v>
      </c>
      <c r="J1165" s="1868">
        <v>7.4172399999999996</v>
      </c>
      <c r="K1165" s="1868">
        <v>8.1145499999999995</v>
      </c>
      <c r="L1165" s="1868">
        <v>8.8244600000000002</v>
      </c>
      <c r="M1165" s="1868">
        <v>8.3930299999999995</v>
      </c>
      <c r="N1165" s="1868">
        <v>8.9331899999999997</v>
      </c>
      <c r="O1165" s="1868">
        <v>8.5645799999999994</v>
      </c>
      <c r="P1165" s="1868">
        <v>7.6548100000000003</v>
      </c>
      <c r="Q1165" s="1868">
        <v>7.3266999999999998</v>
      </c>
      <c r="R1165" s="1868">
        <v>7.4554199999999993</v>
      </c>
      <c r="S1165" s="1868">
        <v>7.5809300000000004</v>
      </c>
      <c r="T1165" s="1868">
        <v>7.3436100000000009</v>
      </c>
      <c r="U1165" s="1868">
        <v>7.5928199999999997</v>
      </c>
      <c r="V1165" s="1868">
        <v>8.3156199999999991</v>
      </c>
      <c r="W1165" s="1868">
        <v>7.6139000000000001</v>
      </c>
      <c r="X1165" s="1868">
        <v>8.08474</v>
      </c>
      <c r="Y1165" s="1868">
        <v>8.2967100000000009</v>
      </c>
      <c r="Z1165" s="1868">
        <v>8.1661900000000003</v>
      </c>
      <c r="AA1165" s="1868">
        <v>8.2478999999999996</v>
      </c>
      <c r="AB1165" s="1868">
        <v>9.0646500000000003</v>
      </c>
      <c r="AC1165" s="1868">
        <v>8.6762700000000006</v>
      </c>
      <c r="AD1165" s="1868">
        <v>8.7360199999999999</v>
      </c>
      <c r="AE1165" s="1868">
        <v>8.4270800000000001</v>
      </c>
      <c r="AF1165" s="1868">
        <v>8.5639300000000009</v>
      </c>
      <c r="AG1165" s="1868">
        <v>8.3210300000000004</v>
      </c>
      <c r="AH1165" s="1868">
        <v>8.5483700000000002</v>
      </c>
      <c r="AI1165" s="1868">
        <v>8.51023</v>
      </c>
      <c r="AJ1165" s="1868">
        <v>8.7464600000000008</v>
      </c>
      <c r="AK1165" s="1868">
        <v>8.6464300000000005</v>
      </c>
      <c r="AL1165" s="1868">
        <v>8.3418600000000005</v>
      </c>
      <c r="AM1165" s="1868">
        <v>8.3620300000000007</v>
      </c>
      <c r="AN1165" s="1868">
        <v>8.5861300000000007</v>
      </c>
      <c r="AO1165" s="1868">
        <v>8.7711699999999997</v>
      </c>
      <c r="AP1165" s="1868">
        <v>8.6328399999999998</v>
      </c>
      <c r="AQ1165" s="1868">
        <v>9.4477899999999995</v>
      </c>
      <c r="AR1165" s="1868">
        <v>8.7697800000000008</v>
      </c>
      <c r="AS1165" s="1868">
        <v>8.5776699999999995</v>
      </c>
      <c r="AT1165" s="1868">
        <v>8.5508000000000006</v>
      </c>
      <c r="AU1165" s="1868">
        <v>8.7883600000000008</v>
      </c>
      <c r="AV1165" s="1868">
        <v>8.7603399999999993</v>
      </c>
      <c r="AW1165" s="1868">
        <v>8.6695399999999996</v>
      </c>
      <c r="AX1165" s="1868">
        <v>8.7372199999999989</v>
      </c>
      <c r="AY1165" s="1868">
        <v>8.9983000000000004</v>
      </c>
      <c r="AZ1165" s="1868">
        <v>9.1007999999999996</v>
      </c>
      <c r="BA1165" s="1868">
        <v>9.2994399999999988</v>
      </c>
    </row>
    <row r="1166" spans="1:53">
      <c r="A1166" s="1865" t="str">
        <f t="shared" si="18"/>
        <v>Southern AsiaTangerines, mandarins, clem.</v>
      </c>
      <c r="B1166" s="1866" t="s">
        <v>1352</v>
      </c>
      <c r="C1166" s="1866" t="s">
        <v>1404</v>
      </c>
      <c r="D1166" s="1868">
        <v>1.2514000000000001</v>
      </c>
      <c r="E1166" s="1868">
        <v>0.81633</v>
      </c>
      <c r="F1166" s="1868">
        <v>1.0447799999999998</v>
      </c>
      <c r="G1166" s="1868">
        <v>1.3693600000000001</v>
      </c>
      <c r="H1166" s="1868">
        <v>1.29948</v>
      </c>
      <c r="I1166" s="1868">
        <v>8</v>
      </c>
      <c r="J1166" s="1868">
        <v>7.7227699999999997</v>
      </c>
      <c r="K1166" s="1868">
        <v>7.6862399999999997</v>
      </c>
      <c r="L1166" s="1868">
        <v>7.5004899999999992</v>
      </c>
      <c r="M1166" s="1868">
        <v>7.4416699999999993</v>
      </c>
      <c r="N1166" s="1868">
        <v>7.604239999999999</v>
      </c>
      <c r="O1166" s="1868">
        <v>7.7147100000000002</v>
      </c>
      <c r="P1166" s="1868">
        <v>7.9415300000000002</v>
      </c>
      <c r="Q1166" s="1868">
        <v>7.5514399999999995</v>
      </c>
      <c r="R1166" s="1868">
        <v>8.3276800000000009</v>
      </c>
      <c r="S1166" s="1868">
        <v>7.6199699999999995</v>
      </c>
      <c r="T1166" s="1868">
        <v>6.5953899999999992</v>
      </c>
      <c r="U1166" s="1868">
        <v>8.2540999999999993</v>
      </c>
      <c r="V1166" s="1868">
        <v>8.5365199999999994</v>
      </c>
      <c r="W1166" s="1868">
        <v>8.6383899999999993</v>
      </c>
      <c r="X1166" s="1868">
        <v>9.09145</v>
      </c>
      <c r="Y1166" s="1868">
        <v>9.4625199999999996</v>
      </c>
      <c r="Z1166" s="1868">
        <v>9.2442600000000006</v>
      </c>
      <c r="AA1166" s="1868">
        <v>9.2796800000000008</v>
      </c>
      <c r="AB1166" s="1868">
        <v>9.9264799999999997</v>
      </c>
      <c r="AC1166" s="1868">
        <v>10.10862</v>
      </c>
      <c r="AD1166" s="1868">
        <v>9.549669999999999</v>
      </c>
      <c r="AE1166" s="1868">
        <v>10.963280000000001</v>
      </c>
      <c r="AF1166" s="1868">
        <v>10.469469999999999</v>
      </c>
      <c r="AG1166" s="1868">
        <v>10.608689999999999</v>
      </c>
      <c r="AH1166" s="1868">
        <v>10.111829999999999</v>
      </c>
      <c r="AI1166" s="1868">
        <v>11.37365</v>
      </c>
      <c r="AJ1166" s="1868">
        <v>10.87303</v>
      </c>
      <c r="AK1166" s="1868">
        <v>12.21073</v>
      </c>
      <c r="AL1166" s="1868">
        <v>12.15146</v>
      </c>
      <c r="AM1166" s="1868">
        <v>11.985860000000001</v>
      </c>
      <c r="AN1166" s="1868">
        <v>12.58095</v>
      </c>
      <c r="AO1166" s="1868">
        <v>12.05561</v>
      </c>
      <c r="AP1166" s="1868">
        <v>12.680710000000001</v>
      </c>
      <c r="AQ1166" s="1868">
        <v>11.68915</v>
      </c>
      <c r="AR1166" s="1868">
        <v>12.089160000000001</v>
      </c>
      <c r="AS1166" s="1868">
        <v>11.99554</v>
      </c>
      <c r="AT1166" s="1868">
        <v>12.440329999999999</v>
      </c>
      <c r="AU1166" s="1868">
        <v>13.481920000000001</v>
      </c>
      <c r="AV1166" s="1868">
        <v>13.882729999999999</v>
      </c>
      <c r="AW1166" s="1868">
        <v>14.114889999999999</v>
      </c>
      <c r="AX1166" s="1868">
        <v>11.343960000000001</v>
      </c>
      <c r="AY1166" s="1868">
        <v>13.636900000000001</v>
      </c>
      <c r="AZ1166" s="1868">
        <v>13.013689999999999</v>
      </c>
      <c r="BA1166" s="1868">
        <v>13.65415</v>
      </c>
    </row>
    <row r="1167" spans="1:53">
      <c r="A1167" s="1865" t="str">
        <f t="shared" si="18"/>
        <v>Southern AsiaTea</v>
      </c>
      <c r="B1167" s="1866" t="s">
        <v>1352</v>
      </c>
      <c r="C1167" s="1866" t="s">
        <v>1405</v>
      </c>
      <c r="D1167" s="1868">
        <v>0.96365000000000001</v>
      </c>
      <c r="E1167" s="1868">
        <v>0.95067999999999997</v>
      </c>
      <c r="F1167" s="1868">
        <v>0.95928999999999998</v>
      </c>
      <c r="G1167" s="1868">
        <v>0.98143999999999998</v>
      </c>
      <c r="H1167" s="1868">
        <v>0.97682999999999998</v>
      </c>
      <c r="I1167" s="1868">
        <v>0.97647000000000006</v>
      </c>
      <c r="J1167" s="1868">
        <v>0.98372000000000004</v>
      </c>
      <c r="K1167" s="1868">
        <v>1.01623</v>
      </c>
      <c r="L1167" s="1868">
        <v>0.99506000000000006</v>
      </c>
      <c r="M1167" s="1868">
        <v>1.0158</v>
      </c>
      <c r="N1167" s="1868">
        <v>1.0226600000000001</v>
      </c>
      <c r="O1167" s="1868">
        <v>1.05766</v>
      </c>
      <c r="P1167" s="1868">
        <v>1.0840799999999999</v>
      </c>
      <c r="Q1167" s="1868">
        <v>1.1096700000000002</v>
      </c>
      <c r="R1167" s="1868">
        <v>1.1184000000000001</v>
      </c>
      <c r="S1167" s="1868">
        <v>1.1262700000000001</v>
      </c>
      <c r="T1167" s="1868">
        <v>1.2173799999999999</v>
      </c>
      <c r="U1167" s="1868">
        <v>1.20556</v>
      </c>
      <c r="V1167" s="1868">
        <v>1.18472</v>
      </c>
      <c r="W1167" s="1868">
        <v>1.18706</v>
      </c>
      <c r="X1167" s="1868">
        <v>1.1917500000000001</v>
      </c>
      <c r="Y1167" s="1868">
        <v>1.1591400000000001</v>
      </c>
      <c r="Z1167" s="1868">
        <v>1.16998</v>
      </c>
      <c r="AA1167" s="1868">
        <v>1.3246200000000001</v>
      </c>
      <c r="AB1167" s="1868">
        <v>1.33789</v>
      </c>
      <c r="AC1167" s="1868">
        <v>1.2742599999999999</v>
      </c>
      <c r="AD1167" s="1868">
        <v>1.2869299999999999</v>
      </c>
      <c r="AE1167" s="1868">
        <v>1.3793200000000001</v>
      </c>
      <c r="AF1167" s="1868">
        <v>1.3703799999999999</v>
      </c>
      <c r="AG1167" s="1868">
        <v>1.3928100000000001</v>
      </c>
      <c r="AH1167" s="1868">
        <v>1.45143</v>
      </c>
      <c r="AI1167" s="1868">
        <v>1.38788</v>
      </c>
      <c r="AJ1167" s="1868">
        <v>1.43868</v>
      </c>
      <c r="AK1167" s="1868">
        <v>1.5890899999999999</v>
      </c>
      <c r="AL1167" s="1868">
        <v>1.58372</v>
      </c>
      <c r="AM1167" s="1868">
        <v>1.6145200000000002</v>
      </c>
      <c r="AN1167" s="1868">
        <v>1.67662</v>
      </c>
      <c r="AO1167" s="1868">
        <v>1.6908400000000001</v>
      </c>
      <c r="AP1167" s="1868">
        <v>1.68462</v>
      </c>
      <c r="AQ1167" s="1868">
        <v>1.6044200000000002</v>
      </c>
      <c r="AR1167" s="1868">
        <v>1.5947200000000001</v>
      </c>
      <c r="AS1167" s="1868">
        <v>1.58707</v>
      </c>
      <c r="AT1167" s="1868">
        <v>1.55477</v>
      </c>
      <c r="AU1167" s="1868">
        <v>1.55762</v>
      </c>
      <c r="AV1167" s="1868">
        <v>1.61696</v>
      </c>
      <c r="AW1167" s="1868">
        <v>1.5850600000000001</v>
      </c>
      <c r="AX1167" s="1868">
        <v>1.58775</v>
      </c>
      <c r="AY1167" s="1868">
        <v>1.7272400000000001</v>
      </c>
      <c r="AZ1167" s="1868">
        <v>1.69163</v>
      </c>
      <c r="BA1167" s="1868">
        <v>1.6887299999999998</v>
      </c>
    </row>
    <row r="1168" spans="1:53">
      <c r="A1168" s="1865" t="str">
        <f t="shared" si="18"/>
        <v>Southern AsiaTobacco, unmanufactured</v>
      </c>
      <c r="B1168" s="1866" t="s">
        <v>1352</v>
      </c>
      <c r="C1168" s="1866" t="s">
        <v>1347</v>
      </c>
      <c r="D1168" s="1868">
        <v>0.80621999999999994</v>
      </c>
      <c r="E1168" s="1868">
        <v>0.85075000000000001</v>
      </c>
      <c r="F1168" s="1868">
        <v>0.88056000000000001</v>
      </c>
      <c r="G1168" s="1868">
        <v>0.86396000000000006</v>
      </c>
      <c r="H1168" s="1868">
        <v>0.93377999999999994</v>
      </c>
      <c r="I1168" s="1868">
        <v>0.90090000000000003</v>
      </c>
      <c r="J1168" s="1868">
        <v>0.97793999999999992</v>
      </c>
      <c r="K1168" s="1868">
        <v>0.99092999999999998</v>
      </c>
      <c r="L1168" s="1868">
        <v>0.95446000000000009</v>
      </c>
      <c r="M1168" s="1868">
        <v>0.90881000000000001</v>
      </c>
      <c r="N1168" s="1868">
        <v>0.94797000000000009</v>
      </c>
      <c r="O1168" s="1868">
        <v>0.98486000000000007</v>
      </c>
      <c r="P1168" s="1868">
        <v>0.88529999999999998</v>
      </c>
      <c r="Q1168" s="1868">
        <v>1.02149</v>
      </c>
      <c r="R1168" s="1868">
        <v>0.98913999999999991</v>
      </c>
      <c r="S1168" s="1868">
        <v>0.97477999999999998</v>
      </c>
      <c r="T1168" s="1868">
        <v>1.0016399999999999</v>
      </c>
      <c r="U1168" s="1868">
        <v>1.0020500000000001</v>
      </c>
      <c r="V1168" s="1868">
        <v>1.1061299999999998</v>
      </c>
      <c r="W1168" s="1868">
        <v>1.0659000000000001</v>
      </c>
      <c r="X1168" s="1868">
        <v>1.0867</v>
      </c>
      <c r="Y1168" s="1868">
        <v>1.1713499999999999</v>
      </c>
      <c r="Z1168" s="1868">
        <v>1.1578999999999999</v>
      </c>
      <c r="AA1168" s="1868">
        <v>1.1428700000000001</v>
      </c>
      <c r="AB1168" s="1868">
        <v>1.1508399999999999</v>
      </c>
      <c r="AC1168" s="1868">
        <v>1.1366799999999999</v>
      </c>
      <c r="AD1168" s="1868">
        <v>1.1892100000000001</v>
      </c>
      <c r="AE1168" s="1868">
        <v>1.1773200000000001</v>
      </c>
      <c r="AF1168" s="1868">
        <v>1.2828899999999999</v>
      </c>
      <c r="AG1168" s="1868">
        <v>1.3029899999999999</v>
      </c>
      <c r="AH1168" s="1868">
        <v>1.3437399999999999</v>
      </c>
      <c r="AI1168" s="1868">
        <v>1.3648499999999999</v>
      </c>
      <c r="AJ1168" s="1868">
        <v>1.415</v>
      </c>
      <c r="AK1168" s="1868">
        <v>1.4453799999999999</v>
      </c>
      <c r="AL1168" s="1868">
        <v>1.45367</v>
      </c>
      <c r="AM1168" s="1868">
        <v>1.3540399999999999</v>
      </c>
      <c r="AN1168" s="1868">
        <v>1.4397500000000001</v>
      </c>
      <c r="AO1168" s="1868">
        <v>1.4013799999999998</v>
      </c>
      <c r="AP1168" s="1868">
        <v>1.4400999999999999</v>
      </c>
      <c r="AQ1168" s="1868">
        <v>1.2611600000000001</v>
      </c>
      <c r="AR1168" s="1868">
        <v>1.35093</v>
      </c>
      <c r="AS1168" s="1868">
        <v>1.5665799999999999</v>
      </c>
      <c r="AT1168" s="1868">
        <v>1.5047900000000001</v>
      </c>
      <c r="AU1168" s="1868">
        <v>1.5003299999999999</v>
      </c>
      <c r="AV1168" s="1868">
        <v>1.5359799999999999</v>
      </c>
      <c r="AW1168" s="1868">
        <v>1.5259100000000001</v>
      </c>
      <c r="AX1168" s="1868">
        <v>1.4629000000000001</v>
      </c>
      <c r="AY1168" s="1868">
        <v>1.4812000000000001</v>
      </c>
      <c r="AZ1168" s="1868">
        <v>1.6180399999999999</v>
      </c>
      <c r="BA1168" s="1868">
        <v>1.6731099999999999</v>
      </c>
    </row>
    <row r="1169" spans="1:53">
      <c r="A1169" s="1865" t="str">
        <f t="shared" si="18"/>
        <v>Southern AsiaTomatoes</v>
      </c>
      <c r="B1169" s="1866" t="s">
        <v>1352</v>
      </c>
      <c r="C1169" s="1866" t="s">
        <v>1406</v>
      </c>
      <c r="D1169" s="1868">
        <v>8.1667699999999996</v>
      </c>
      <c r="E1169" s="1868">
        <v>8.26919</v>
      </c>
      <c r="F1169" s="1868">
        <v>8.1249300000000009</v>
      </c>
      <c r="G1169" s="1868">
        <v>8.1372999999999998</v>
      </c>
      <c r="H1169" s="1868">
        <v>8.3215399999999988</v>
      </c>
      <c r="I1169" s="1868">
        <v>8.5046600000000012</v>
      </c>
      <c r="J1169" s="1868">
        <v>8.45336</v>
      </c>
      <c r="K1169" s="1868">
        <v>8.7001799999999996</v>
      </c>
      <c r="L1169" s="1868">
        <v>8.9661100000000005</v>
      </c>
      <c r="M1169" s="1868">
        <v>8.9903899999999997</v>
      </c>
      <c r="N1169" s="1868">
        <v>9.0443999999999996</v>
      </c>
      <c r="O1169" s="1868">
        <v>8.9379100000000005</v>
      </c>
      <c r="P1169" s="1868">
        <v>8.877089999999999</v>
      </c>
      <c r="Q1169" s="1868">
        <v>8.2683499999999999</v>
      </c>
      <c r="R1169" s="1868">
        <v>8.1413799999999998</v>
      </c>
      <c r="S1169" s="1868">
        <v>8.7293699999999994</v>
      </c>
      <c r="T1169" s="1868">
        <v>8.3118199999999991</v>
      </c>
      <c r="U1169" s="1868">
        <v>8.9628199999999989</v>
      </c>
      <c r="V1169" s="1868">
        <v>8.4048999999999996</v>
      </c>
      <c r="W1169" s="1868">
        <v>9.5022599999999997</v>
      </c>
      <c r="X1169" s="1868">
        <v>9.8505300000000009</v>
      </c>
      <c r="Y1169" s="1868">
        <v>10.152699999999999</v>
      </c>
      <c r="Z1169" s="1868">
        <v>11.43768</v>
      </c>
      <c r="AA1169" s="1868">
        <v>10.660160000000001</v>
      </c>
      <c r="AB1169" s="1868">
        <v>10.27501</v>
      </c>
      <c r="AC1169" s="1868">
        <v>11.075889999999999</v>
      </c>
      <c r="AD1169" s="1868">
        <v>9.9025300000000005</v>
      </c>
      <c r="AE1169" s="1868">
        <v>14.263539999999999</v>
      </c>
      <c r="AF1169" s="1868">
        <v>14.30156</v>
      </c>
      <c r="AG1169" s="1868">
        <v>16.518820000000002</v>
      </c>
      <c r="AH1169" s="1868">
        <v>15.786760000000001</v>
      </c>
      <c r="AI1169" s="1868">
        <v>17.253889999999998</v>
      </c>
      <c r="AJ1169" s="1868">
        <v>16.865790000000001</v>
      </c>
      <c r="AK1169" s="1868">
        <v>15.311279999999998</v>
      </c>
      <c r="AL1169" s="1868">
        <v>16.248999999999999</v>
      </c>
      <c r="AM1169" s="1868">
        <v>18.222160000000002</v>
      </c>
      <c r="AN1169" s="1868">
        <v>18.43327</v>
      </c>
      <c r="AO1169" s="1868">
        <v>17.014749999999999</v>
      </c>
      <c r="AP1169" s="1868">
        <v>18.866020000000002</v>
      </c>
      <c r="AQ1169" s="1868">
        <v>17.580370000000002</v>
      </c>
      <c r="AR1169" s="1868">
        <v>17.234000000000002</v>
      </c>
      <c r="AS1169" s="1868">
        <v>18.845029999999998</v>
      </c>
      <c r="AT1169" s="1868">
        <v>18.82648</v>
      </c>
      <c r="AU1169" s="1868">
        <v>18.515779999999999</v>
      </c>
      <c r="AV1169" s="1868">
        <v>20.027979999999999</v>
      </c>
      <c r="AW1169" s="1868">
        <v>20.307760000000002</v>
      </c>
      <c r="AX1169" s="1868">
        <v>19.768539999999998</v>
      </c>
      <c r="AY1169" s="1868">
        <v>20.40812</v>
      </c>
      <c r="AZ1169" s="1868">
        <v>21.12454</v>
      </c>
      <c r="BA1169" s="1868">
        <v>21.20148</v>
      </c>
    </row>
    <row r="1170" spans="1:53">
      <c r="A1170" s="1865" t="str">
        <f t="shared" si="18"/>
        <v>Southern AsiaVegetables fresh nes</v>
      </c>
      <c r="B1170" s="1866" t="s">
        <v>1352</v>
      </c>
      <c r="C1170" s="1866" t="s">
        <v>1407</v>
      </c>
      <c r="D1170" s="1868">
        <v>6.2888500000000001</v>
      </c>
      <c r="E1170" s="1868">
        <v>5.9358300000000002</v>
      </c>
      <c r="F1170" s="1868">
        <v>6.3905500000000002</v>
      </c>
      <c r="G1170" s="1868">
        <v>6.50657</v>
      </c>
      <c r="H1170" s="1868">
        <v>6.54887</v>
      </c>
      <c r="I1170" s="1868">
        <v>6.7875600000000009</v>
      </c>
      <c r="J1170" s="1868">
        <v>6.9795899999999991</v>
      </c>
      <c r="K1170" s="1868">
        <v>7.2498800000000001</v>
      </c>
      <c r="L1170" s="1868">
        <v>7.3128199999999994</v>
      </c>
      <c r="M1170" s="1868">
        <v>7.4085399999999995</v>
      </c>
      <c r="N1170" s="1868">
        <v>7.5341500000000003</v>
      </c>
      <c r="O1170" s="1868">
        <v>7.5596800000000002</v>
      </c>
      <c r="P1170" s="1868">
        <v>7.6441600000000003</v>
      </c>
      <c r="Q1170" s="1868">
        <v>7.7664800000000005</v>
      </c>
      <c r="R1170" s="1868">
        <v>7.7880899999999995</v>
      </c>
      <c r="S1170" s="1868">
        <v>7.8357700000000001</v>
      </c>
      <c r="T1170" s="1868">
        <v>7.9705699999999995</v>
      </c>
      <c r="U1170" s="1868">
        <v>7.9192399999999994</v>
      </c>
      <c r="V1170" s="1868">
        <v>8.0131499999999996</v>
      </c>
      <c r="W1170" s="1868">
        <v>8.1189900000000002</v>
      </c>
      <c r="X1170" s="1868">
        <v>8.3040199999999995</v>
      </c>
      <c r="Y1170" s="1868">
        <v>8.401860000000001</v>
      </c>
      <c r="Z1170" s="1868">
        <v>8.427719999999999</v>
      </c>
      <c r="AA1170" s="1868">
        <v>8.6633899999999997</v>
      </c>
      <c r="AB1170" s="1868">
        <v>8.6846399999999999</v>
      </c>
      <c r="AC1170" s="1868">
        <v>8.7886299999999995</v>
      </c>
      <c r="AD1170" s="1868">
        <v>8.8373000000000008</v>
      </c>
      <c r="AE1170" s="1868">
        <v>9.4394500000000008</v>
      </c>
      <c r="AF1170" s="1868">
        <v>9.5200600000000009</v>
      </c>
      <c r="AG1170" s="1868">
        <v>9.959439999999999</v>
      </c>
      <c r="AH1170" s="1868">
        <v>9.7901899999999991</v>
      </c>
      <c r="AI1170" s="1868">
        <v>10.67634</v>
      </c>
      <c r="AJ1170" s="1868">
        <v>10.28566</v>
      </c>
      <c r="AK1170" s="1868">
        <v>11.87087</v>
      </c>
      <c r="AL1170" s="1868">
        <v>8.4265399999999993</v>
      </c>
      <c r="AM1170" s="1868">
        <v>10.278729999999999</v>
      </c>
      <c r="AN1170" s="1868">
        <v>9.0988199999999999</v>
      </c>
      <c r="AO1170" s="1868">
        <v>11.036619999999999</v>
      </c>
      <c r="AP1170" s="1868">
        <v>12.62979</v>
      </c>
      <c r="AQ1170" s="1868">
        <v>13.322179999999999</v>
      </c>
      <c r="AR1170" s="1868">
        <v>13.721</v>
      </c>
      <c r="AS1170" s="1868">
        <v>11.64931</v>
      </c>
      <c r="AT1170" s="1868">
        <v>10.369819999999999</v>
      </c>
      <c r="AU1170" s="1868">
        <v>11.151489999999999</v>
      </c>
      <c r="AV1170" s="1868">
        <v>11.09394</v>
      </c>
      <c r="AW1170" s="1868">
        <v>12.10378</v>
      </c>
      <c r="AX1170" s="1868">
        <v>12.579419999999999</v>
      </c>
      <c r="AY1170" s="1868">
        <v>12.67253</v>
      </c>
      <c r="AZ1170" s="1868">
        <v>12.17835</v>
      </c>
      <c r="BA1170" s="1868">
        <v>13.16032</v>
      </c>
    </row>
    <row r="1171" spans="1:53">
      <c r="A1171" s="1865" t="str">
        <f t="shared" si="18"/>
        <v>Southern AsiaWheat</v>
      </c>
      <c r="B1171" s="1866" t="s">
        <v>1352</v>
      </c>
      <c r="C1171" s="1866" t="s">
        <v>1409</v>
      </c>
      <c r="D1171" s="1868">
        <v>0.85421000000000002</v>
      </c>
      <c r="E1171" s="1868">
        <v>0.86786000000000008</v>
      </c>
      <c r="F1171" s="1868">
        <v>0.79647999999999997</v>
      </c>
      <c r="G1171" s="1868">
        <v>0.76988999999999996</v>
      </c>
      <c r="H1171" s="1868">
        <v>0.88426000000000005</v>
      </c>
      <c r="I1171" s="1868">
        <v>0.81283000000000005</v>
      </c>
      <c r="J1171" s="1868">
        <v>0.87537000000000009</v>
      </c>
      <c r="K1171" s="1868">
        <v>1.04129</v>
      </c>
      <c r="L1171" s="1868">
        <v>1.0847200000000001</v>
      </c>
      <c r="M1171" s="1868">
        <v>1.1106200000000002</v>
      </c>
      <c r="N1171" s="1868">
        <v>1.13144</v>
      </c>
      <c r="O1171" s="1868">
        <v>1.20688</v>
      </c>
      <c r="P1171" s="1868">
        <v>1.1797299999999999</v>
      </c>
      <c r="Q1171" s="1868">
        <v>1.12063</v>
      </c>
      <c r="R1171" s="1868">
        <v>1.2454799999999999</v>
      </c>
      <c r="S1171" s="1868">
        <v>1.3404399999999999</v>
      </c>
      <c r="T1171" s="1868">
        <v>1.3180100000000001</v>
      </c>
      <c r="U1171" s="1868">
        <v>1.3645799999999999</v>
      </c>
      <c r="V1171" s="1868">
        <v>1.46949</v>
      </c>
      <c r="W1171" s="1868">
        <v>1.38184</v>
      </c>
      <c r="X1171" s="1868">
        <v>1.49234</v>
      </c>
      <c r="Y1171" s="1868">
        <v>1.54267</v>
      </c>
      <c r="Z1171" s="1868">
        <v>1.6368200000000002</v>
      </c>
      <c r="AA1171" s="1868">
        <v>1.64316</v>
      </c>
      <c r="AB1171" s="1868">
        <v>1.6684700000000001</v>
      </c>
      <c r="AC1171" s="1868">
        <v>1.8320400000000001</v>
      </c>
      <c r="AD1171" s="1868">
        <v>1.6862999999999999</v>
      </c>
      <c r="AE1171" s="1868">
        <v>1.75627</v>
      </c>
      <c r="AF1171" s="1868">
        <v>1.9132099999999999</v>
      </c>
      <c r="AG1171" s="1868">
        <v>1.8708400000000001</v>
      </c>
      <c r="AH1171" s="1868">
        <v>1.9762900000000001</v>
      </c>
      <c r="AI1171" s="1868">
        <v>2.0830900000000003</v>
      </c>
      <c r="AJ1171" s="1868">
        <v>2.03505</v>
      </c>
      <c r="AK1171" s="1868">
        <v>2.0837400000000001</v>
      </c>
      <c r="AL1171" s="1868">
        <v>2.25379</v>
      </c>
      <c r="AM1171" s="1868">
        <v>2.1728499999999999</v>
      </c>
      <c r="AN1171" s="1868">
        <v>2.3124700000000002</v>
      </c>
      <c r="AO1171" s="1868">
        <v>2.2871900000000003</v>
      </c>
      <c r="AP1171" s="1868">
        <v>2.3454999999999999</v>
      </c>
      <c r="AQ1171" s="1868">
        <v>2.4684300000000001</v>
      </c>
      <c r="AR1171" s="1868">
        <v>2.4048400000000001</v>
      </c>
      <c r="AS1171" s="1868">
        <v>2.4886200000000001</v>
      </c>
      <c r="AT1171" s="1868">
        <v>2.41635</v>
      </c>
      <c r="AU1171" s="1868">
        <v>2.49383</v>
      </c>
      <c r="AV1171" s="1868">
        <v>2.4571800000000001</v>
      </c>
      <c r="AW1171" s="1868">
        <v>2.47682</v>
      </c>
      <c r="AX1171" s="1868">
        <v>2.5698699999999999</v>
      </c>
      <c r="AY1171" s="1868">
        <v>2.4965000000000002</v>
      </c>
      <c r="AZ1171" s="1868">
        <v>2.6630500000000001</v>
      </c>
      <c r="BA1171" s="1868">
        <v>2.60954</v>
      </c>
    </row>
    <row r="1172" spans="1:53">
      <c r="A1172" s="1865" t="str">
        <f t="shared" si="18"/>
        <v>Southern AsiaCereals (Rice Milled Eqv</v>
      </c>
      <c r="B1172" s="1866" t="s">
        <v>1352</v>
      </c>
      <c r="C1172" s="1866" t="s">
        <v>1410</v>
      </c>
      <c r="D1172" s="1868">
        <v>0.80659999999999998</v>
      </c>
      <c r="E1172" s="1868">
        <v>0.79813999999999996</v>
      </c>
      <c r="F1172" s="1868">
        <v>0.81967999999999996</v>
      </c>
      <c r="G1172" s="1868">
        <v>0.83299999999999996</v>
      </c>
      <c r="H1172" s="1868">
        <v>0.76268000000000002</v>
      </c>
      <c r="I1172" s="1868">
        <v>0.75873000000000002</v>
      </c>
      <c r="J1172" s="1868">
        <v>0.84756000000000009</v>
      </c>
      <c r="K1172" s="1868">
        <v>0.89382000000000006</v>
      </c>
      <c r="L1172" s="1868">
        <v>0.91267999999999994</v>
      </c>
      <c r="M1172" s="1868">
        <v>0.96240999999999999</v>
      </c>
      <c r="N1172" s="1868">
        <v>0.94318999999999997</v>
      </c>
      <c r="O1172" s="1868">
        <v>0.94320000000000004</v>
      </c>
      <c r="P1172" s="1868">
        <v>0.98938999999999999</v>
      </c>
      <c r="Q1172" s="1868">
        <v>0.93715999999999999</v>
      </c>
      <c r="R1172" s="1868">
        <v>1.0639000000000001</v>
      </c>
      <c r="S1172" s="1868">
        <v>1.05453</v>
      </c>
      <c r="T1172" s="1868">
        <v>1.1196200000000001</v>
      </c>
      <c r="U1172" s="1868">
        <v>1.14774</v>
      </c>
      <c r="V1172" s="1868">
        <v>1.08487</v>
      </c>
      <c r="W1172" s="1868">
        <v>1.14967</v>
      </c>
      <c r="X1172" s="1868">
        <v>1.18652</v>
      </c>
      <c r="Y1172" s="1868">
        <v>1.1723299999999999</v>
      </c>
      <c r="Z1172" s="1868">
        <v>1.31166</v>
      </c>
      <c r="AA1172" s="1868">
        <v>1.3045599999999999</v>
      </c>
      <c r="AB1172" s="1868">
        <v>1.3123100000000001</v>
      </c>
      <c r="AC1172" s="1868">
        <v>1.3417600000000001</v>
      </c>
      <c r="AD1172" s="1868">
        <v>1.3289600000000001</v>
      </c>
      <c r="AE1172" s="1868">
        <v>1.4370799999999999</v>
      </c>
      <c r="AF1172" s="1868">
        <v>1.5427500000000001</v>
      </c>
      <c r="AG1172" s="1868">
        <v>1.5366</v>
      </c>
      <c r="AH1172" s="1868">
        <v>1.56416</v>
      </c>
      <c r="AI1172" s="1868">
        <v>1.6554799999999998</v>
      </c>
      <c r="AJ1172" s="1868">
        <v>1.6806599999999998</v>
      </c>
      <c r="AK1172" s="1868">
        <v>1.6909299999999998</v>
      </c>
      <c r="AL1172" s="1868">
        <v>1.7343999999999999</v>
      </c>
      <c r="AM1172" s="1868">
        <v>1.7710099999999998</v>
      </c>
      <c r="AN1172" s="1868">
        <v>1.8056099999999999</v>
      </c>
      <c r="AO1172" s="1868">
        <v>1.8527099999999999</v>
      </c>
      <c r="AP1172" s="1868">
        <v>1.8957999999999999</v>
      </c>
      <c r="AQ1172" s="1868">
        <v>1.9180299999999999</v>
      </c>
      <c r="AR1172" s="1868">
        <v>1.9687599999999998</v>
      </c>
      <c r="AS1172" s="1868">
        <v>1.8974500000000001</v>
      </c>
      <c r="AT1172" s="1868">
        <v>2.00773</v>
      </c>
      <c r="AU1172" s="1868">
        <v>2.0015700000000001</v>
      </c>
      <c r="AV1172" s="1868">
        <v>2.04887</v>
      </c>
      <c r="AW1172" s="1868">
        <v>2.0793699999999999</v>
      </c>
      <c r="AX1172" s="1868">
        <v>2.20248</v>
      </c>
      <c r="AY1172" s="1868">
        <v>2.2122599999999997</v>
      </c>
      <c r="AZ1172" s="1868">
        <v>2.21454</v>
      </c>
      <c r="BA1172" s="1868">
        <v>2.2036500000000001</v>
      </c>
    </row>
    <row r="1173" spans="1:53">
      <c r="A1173" s="1865" t="str">
        <f t="shared" si="18"/>
        <v>Southern EuropeBananas</v>
      </c>
      <c r="B1173" s="1866" t="s">
        <v>1423</v>
      </c>
      <c r="C1173" s="1866" t="s">
        <v>1362</v>
      </c>
      <c r="D1173" s="1868">
        <v>30.611969999999999</v>
      </c>
      <c r="E1173" s="1868">
        <v>27.337770000000003</v>
      </c>
      <c r="F1173" s="1868">
        <v>30.10763</v>
      </c>
      <c r="G1173" s="1868">
        <v>31.866399999999999</v>
      </c>
      <c r="H1173" s="1868">
        <v>32.784750000000003</v>
      </c>
      <c r="I1173" s="1868">
        <v>33.467579999999998</v>
      </c>
      <c r="J1173" s="1868">
        <v>31.495590000000004</v>
      </c>
      <c r="K1173" s="1868">
        <v>32.145590000000006</v>
      </c>
      <c r="L1173" s="1868">
        <v>35.903269999999999</v>
      </c>
      <c r="M1173" s="1868">
        <v>32.280709999999999</v>
      </c>
      <c r="N1173" s="1868">
        <v>27.612490000000001</v>
      </c>
      <c r="O1173" s="1868">
        <v>25.3567</v>
      </c>
      <c r="P1173" s="1868">
        <v>29.815590000000004</v>
      </c>
      <c r="Q1173" s="1868">
        <v>26.658000000000001</v>
      </c>
      <c r="R1173" s="1868">
        <v>24.69013</v>
      </c>
      <c r="S1173" s="1868">
        <v>22.945320000000002</v>
      </c>
      <c r="T1173" s="1868">
        <v>24.9787</v>
      </c>
      <c r="U1173" s="1868">
        <v>23.92022</v>
      </c>
      <c r="V1173" s="1868">
        <v>23.199149999999999</v>
      </c>
      <c r="W1173" s="1868">
        <v>31.432120000000001</v>
      </c>
      <c r="X1173" s="1868">
        <v>30.533309999999997</v>
      </c>
      <c r="Y1173" s="1868">
        <v>27.872979999999998</v>
      </c>
      <c r="Z1173" s="1868">
        <v>28.393240000000002</v>
      </c>
      <c r="AA1173" s="1868">
        <v>27.958729999999999</v>
      </c>
      <c r="AB1173" s="1868">
        <v>32.43627</v>
      </c>
      <c r="AC1173" s="1868">
        <v>38.681789999999999</v>
      </c>
      <c r="AD1173" s="1868">
        <v>39.63588</v>
      </c>
      <c r="AE1173" s="1868">
        <v>37.784939999999999</v>
      </c>
      <c r="AF1173" s="1868">
        <v>40.827680000000001</v>
      </c>
      <c r="AG1173" s="1868">
        <v>43.142609999999998</v>
      </c>
      <c r="AH1173" s="1868">
        <v>39.163779999999996</v>
      </c>
      <c r="AI1173" s="1868">
        <v>39.795459999999999</v>
      </c>
      <c r="AJ1173" s="1868">
        <v>38.702680000000001</v>
      </c>
      <c r="AK1173" s="1868">
        <v>38.338079999999998</v>
      </c>
      <c r="AL1173" s="1868">
        <v>41.351030000000002</v>
      </c>
      <c r="AM1173" s="1868">
        <v>38.399590000000003</v>
      </c>
      <c r="AN1173" s="1868">
        <v>45.297350000000002</v>
      </c>
      <c r="AO1173" s="1868">
        <v>41.947620000000001</v>
      </c>
      <c r="AP1173" s="1868">
        <v>39.437480000000001</v>
      </c>
      <c r="AQ1173" s="1868">
        <v>42.620519999999999</v>
      </c>
      <c r="AR1173" s="1868">
        <v>43.482709999999997</v>
      </c>
      <c r="AS1173" s="1868">
        <v>42.823729999999998</v>
      </c>
      <c r="AT1173" s="1868">
        <v>40.07302</v>
      </c>
      <c r="AU1173" s="1868">
        <v>41.560099999999998</v>
      </c>
      <c r="AV1173" s="1868">
        <v>35.356879999999997</v>
      </c>
      <c r="AW1173" s="1868">
        <v>34.719920000000002</v>
      </c>
      <c r="AX1173" s="1868">
        <v>35.771500000000003</v>
      </c>
      <c r="AY1173" s="1868">
        <v>38.503990000000002</v>
      </c>
      <c r="AZ1173" s="1868">
        <v>34.59055</v>
      </c>
      <c r="BA1173" s="1868">
        <v>36.751440000000002</v>
      </c>
    </row>
    <row r="1174" spans="1:53">
      <c r="A1174" s="1865" t="str">
        <f t="shared" si="18"/>
        <v>Southern EuropeBarley</v>
      </c>
      <c r="B1174" s="1866" t="s">
        <v>1423</v>
      </c>
      <c r="C1174" s="1866" t="s">
        <v>1363</v>
      </c>
      <c r="D1174" s="1868">
        <v>1.2158500000000001</v>
      </c>
      <c r="E1174" s="1868">
        <v>1.3833</v>
      </c>
      <c r="F1174" s="1868">
        <v>1.3634700000000002</v>
      </c>
      <c r="G1174" s="1868">
        <v>1.34772</v>
      </c>
      <c r="H1174" s="1868">
        <v>1.42293</v>
      </c>
      <c r="I1174" s="1868">
        <v>1.55328</v>
      </c>
      <c r="J1174" s="1868">
        <v>1.7393599999999998</v>
      </c>
      <c r="K1174" s="1868">
        <v>1.6355</v>
      </c>
      <c r="L1174" s="1868">
        <v>1.71505</v>
      </c>
      <c r="M1174" s="1868">
        <v>1.4712700000000001</v>
      </c>
      <c r="N1174" s="1868">
        <v>1.9574799999999999</v>
      </c>
      <c r="O1174" s="1868">
        <v>1.76183</v>
      </c>
      <c r="P1174" s="1868">
        <v>1.6924999999999999</v>
      </c>
      <c r="Q1174" s="1868">
        <v>1.90526</v>
      </c>
      <c r="R1174" s="1868">
        <v>2.0750700000000002</v>
      </c>
      <c r="S1174" s="1868">
        <v>1.8229099999999998</v>
      </c>
      <c r="T1174" s="1868">
        <v>2.0084400000000002</v>
      </c>
      <c r="U1174" s="1868">
        <v>2.2920199999999999</v>
      </c>
      <c r="V1174" s="1868">
        <v>1.89683</v>
      </c>
      <c r="W1174" s="1868">
        <v>2.45872</v>
      </c>
      <c r="X1174" s="1868">
        <v>1.59995</v>
      </c>
      <c r="Y1174" s="1868">
        <v>1.7011599999999998</v>
      </c>
      <c r="Z1174" s="1868">
        <v>1.9111900000000002</v>
      </c>
      <c r="AA1174" s="1868">
        <v>2.7229400000000004</v>
      </c>
      <c r="AB1174" s="1868">
        <v>2.5444499999999999</v>
      </c>
      <c r="AC1174" s="1868">
        <v>1.9329000000000001</v>
      </c>
      <c r="AD1174" s="1868">
        <v>2.36212</v>
      </c>
      <c r="AE1174" s="1868">
        <v>2.85141</v>
      </c>
      <c r="AF1174" s="1868">
        <v>2.3376099999999997</v>
      </c>
      <c r="AG1174" s="1868">
        <v>2.2880199999999999</v>
      </c>
      <c r="AH1174" s="1868">
        <v>2.3072699999999999</v>
      </c>
      <c r="AI1174" s="1868">
        <v>1.7699599999999998</v>
      </c>
      <c r="AJ1174" s="1868">
        <v>2.8008500000000001</v>
      </c>
      <c r="AK1174" s="1868">
        <v>2.28498</v>
      </c>
      <c r="AL1174" s="1868">
        <v>1.7335700000000001</v>
      </c>
      <c r="AM1174" s="1868">
        <v>2.9695400000000003</v>
      </c>
      <c r="AN1174" s="1868">
        <v>2.4116400000000002</v>
      </c>
      <c r="AO1174" s="1868">
        <v>3.0945200000000002</v>
      </c>
      <c r="AP1174" s="1868">
        <v>2.51823</v>
      </c>
      <c r="AQ1174" s="1868">
        <v>3.3094000000000001</v>
      </c>
      <c r="AR1174" s="1868">
        <v>2.2705599999999997</v>
      </c>
      <c r="AS1174" s="1868">
        <v>2.7684000000000002</v>
      </c>
      <c r="AT1174" s="1868">
        <v>2.7206700000000001</v>
      </c>
      <c r="AU1174" s="1868">
        <v>3.3660800000000002</v>
      </c>
      <c r="AV1174" s="1868">
        <v>1.7735299999999998</v>
      </c>
      <c r="AW1174" s="1868">
        <v>2.6883499999999998</v>
      </c>
      <c r="AX1174" s="1868">
        <v>3.5840699999999996</v>
      </c>
      <c r="AY1174" s="1868">
        <v>3.2879400000000003</v>
      </c>
      <c r="AZ1174" s="1868">
        <v>2.5523400000000001</v>
      </c>
      <c r="BA1174" s="1868">
        <v>2.9076900000000001</v>
      </c>
    </row>
    <row r="1175" spans="1:53">
      <c r="A1175" s="1865" t="str">
        <f t="shared" si="18"/>
        <v>Southern EuropeBeans, dry</v>
      </c>
      <c r="B1175" s="1866" t="s">
        <v>1423</v>
      </c>
      <c r="C1175" s="1866" t="s">
        <v>1364</v>
      </c>
      <c r="D1175" s="1868">
        <v>0.32283000000000001</v>
      </c>
      <c r="E1175" s="1868">
        <v>0.28678999999999999</v>
      </c>
      <c r="F1175" s="1868">
        <v>0.31435000000000002</v>
      </c>
      <c r="G1175" s="1868">
        <v>0.32546999999999998</v>
      </c>
      <c r="H1175" s="1868">
        <v>0.28239000000000003</v>
      </c>
      <c r="I1175" s="1868">
        <v>0.50858000000000003</v>
      </c>
      <c r="J1175" s="1868">
        <v>0.54763000000000006</v>
      </c>
      <c r="K1175" s="1868">
        <v>0.53805000000000003</v>
      </c>
      <c r="L1175" s="1868">
        <v>0.58009999999999995</v>
      </c>
      <c r="M1175" s="1868">
        <v>0.59689999999999999</v>
      </c>
      <c r="N1175" s="1868">
        <v>0.63085000000000002</v>
      </c>
      <c r="O1175" s="1868">
        <v>0.60363999999999995</v>
      </c>
      <c r="P1175" s="1868">
        <v>0.68815999999999999</v>
      </c>
      <c r="Q1175" s="1868">
        <v>0.65410000000000001</v>
      </c>
      <c r="R1175" s="1868">
        <v>0.63341999999999998</v>
      </c>
      <c r="S1175" s="1868">
        <v>0.62161999999999995</v>
      </c>
      <c r="T1175" s="1868">
        <v>0.63095000000000001</v>
      </c>
      <c r="U1175" s="1868">
        <v>0.62881000000000009</v>
      </c>
      <c r="V1175" s="1868">
        <v>0.67688999999999999</v>
      </c>
      <c r="W1175" s="1868">
        <v>0.62023000000000006</v>
      </c>
      <c r="X1175" s="1868">
        <v>0.61673</v>
      </c>
      <c r="Y1175" s="1868">
        <v>0.64638000000000007</v>
      </c>
      <c r="Z1175" s="1868">
        <v>0.68437000000000003</v>
      </c>
      <c r="AA1175" s="1868">
        <v>0.69118000000000002</v>
      </c>
      <c r="AB1175" s="1868">
        <v>0.68406</v>
      </c>
      <c r="AC1175" s="1868">
        <v>0.90152999999999994</v>
      </c>
      <c r="AD1175" s="1868">
        <v>0.86647000000000007</v>
      </c>
      <c r="AE1175" s="1868">
        <v>0.86178999999999994</v>
      </c>
      <c r="AF1175" s="1868">
        <v>0.88146000000000002</v>
      </c>
      <c r="AG1175" s="1868">
        <v>0.82142000000000004</v>
      </c>
      <c r="AH1175" s="1868">
        <v>0.89727000000000012</v>
      </c>
      <c r="AI1175" s="1868">
        <v>1.2442</v>
      </c>
      <c r="AJ1175" s="1868">
        <v>1.1393500000000001</v>
      </c>
      <c r="AK1175" s="1868">
        <v>1.26376</v>
      </c>
      <c r="AL1175" s="1868">
        <v>1.3200100000000001</v>
      </c>
      <c r="AM1175" s="1868">
        <v>1.25806</v>
      </c>
      <c r="AN1175" s="1868">
        <v>1.4691700000000001</v>
      </c>
      <c r="AO1175" s="1868">
        <v>1.50075</v>
      </c>
      <c r="AP1175" s="1868">
        <v>1.7769099999999998</v>
      </c>
      <c r="AQ1175" s="1868">
        <v>1.2553399999999999</v>
      </c>
      <c r="AR1175" s="1868">
        <v>1.7012200000000002</v>
      </c>
      <c r="AS1175" s="1868">
        <v>1.7579400000000001</v>
      </c>
      <c r="AT1175" s="1868">
        <v>1.4616</v>
      </c>
      <c r="AU1175" s="1868">
        <v>1.71312</v>
      </c>
      <c r="AV1175" s="1868">
        <v>1.7836299999999998</v>
      </c>
      <c r="AW1175" s="1868">
        <v>1.63676</v>
      </c>
      <c r="AX1175" s="1868">
        <v>1.3373600000000001</v>
      </c>
      <c r="AY1175" s="1868">
        <v>1.6108</v>
      </c>
      <c r="AZ1175" s="1868">
        <v>1.7213700000000001</v>
      </c>
      <c r="BA1175" s="1868">
        <v>1.6650599999999998</v>
      </c>
    </row>
    <row r="1176" spans="1:53">
      <c r="A1176" s="1865" t="str">
        <f t="shared" si="18"/>
        <v>Southern EuropeBeans, green</v>
      </c>
      <c r="B1176" s="1866" t="s">
        <v>1423</v>
      </c>
      <c r="C1176" s="1866" t="s">
        <v>1365</v>
      </c>
      <c r="D1176" s="1868">
        <v>5.7268499999999998</v>
      </c>
      <c r="E1176" s="1868">
        <v>5.5497100000000001</v>
      </c>
      <c r="F1176" s="1868">
        <v>5.7012700000000001</v>
      </c>
      <c r="G1176" s="1868">
        <v>6.4407399999999999</v>
      </c>
      <c r="H1176" s="1868">
        <v>6.03179</v>
      </c>
      <c r="I1176" s="1868">
        <v>6.1221800000000002</v>
      </c>
      <c r="J1176" s="1868">
        <v>6.1258099999999995</v>
      </c>
      <c r="K1176" s="1868">
        <v>6.3638300000000001</v>
      </c>
      <c r="L1176" s="1868">
        <v>6.4544300000000003</v>
      </c>
      <c r="M1176" s="1868">
        <v>6.6347899999999997</v>
      </c>
      <c r="N1176" s="1868">
        <v>7.0283100000000003</v>
      </c>
      <c r="O1176" s="1868">
        <v>7.2466499999999998</v>
      </c>
      <c r="P1176" s="1868">
        <v>7.2916999999999996</v>
      </c>
      <c r="Q1176" s="1868">
        <v>7.3013199999999996</v>
      </c>
      <c r="R1176" s="1868">
        <v>7.6079800000000004</v>
      </c>
      <c r="S1176" s="1868">
        <v>7.6356299999999999</v>
      </c>
      <c r="T1176" s="1868">
        <v>7.8610199999999999</v>
      </c>
      <c r="U1176" s="1868">
        <v>8.0623000000000005</v>
      </c>
      <c r="V1176" s="1868">
        <v>8.0691500000000005</v>
      </c>
      <c r="W1176" s="1868">
        <v>8.1307200000000002</v>
      </c>
      <c r="X1176" s="1868">
        <v>8.1428700000000003</v>
      </c>
      <c r="Y1176" s="1868">
        <v>8.3089100000000009</v>
      </c>
      <c r="Z1176" s="1868">
        <v>8.2089800000000004</v>
      </c>
      <c r="AA1176" s="1868">
        <v>8.4870999999999999</v>
      </c>
      <c r="AB1176" s="1868">
        <v>8.8063800000000008</v>
      </c>
      <c r="AC1176" s="1868">
        <v>8.7072399999999988</v>
      </c>
      <c r="AD1176" s="1868">
        <v>8.7540600000000008</v>
      </c>
      <c r="AE1176" s="1868">
        <v>8.5633800000000004</v>
      </c>
      <c r="AF1176" s="1868">
        <v>8.9522100000000009</v>
      </c>
      <c r="AG1176" s="1868">
        <v>9.0088100000000004</v>
      </c>
      <c r="AH1176" s="1868">
        <v>8.9398100000000014</v>
      </c>
      <c r="AI1176" s="1868">
        <v>6.6288499999999999</v>
      </c>
      <c r="AJ1176" s="1868">
        <v>6.4331699999999996</v>
      </c>
      <c r="AK1176" s="1868">
        <v>6.58718</v>
      </c>
      <c r="AL1176" s="1868">
        <v>6.3475599999999996</v>
      </c>
      <c r="AM1176" s="1868">
        <v>6.6694100000000009</v>
      </c>
      <c r="AN1176" s="1868">
        <v>6.33291</v>
      </c>
      <c r="AO1176" s="1868">
        <v>6.34694</v>
      </c>
      <c r="AP1176" s="1868">
        <v>6.53559</v>
      </c>
      <c r="AQ1176" s="1868">
        <v>6.2074699999999998</v>
      </c>
      <c r="AR1176" s="1868">
        <v>6.4910800000000002</v>
      </c>
      <c r="AS1176" s="1868">
        <v>6.6331100000000003</v>
      </c>
      <c r="AT1176" s="1868">
        <v>6.3408199999999999</v>
      </c>
      <c r="AU1176" s="1868">
        <v>6.5575000000000001</v>
      </c>
      <c r="AV1176" s="1868">
        <v>6.9766899999999996</v>
      </c>
      <c r="AW1176" s="1868">
        <v>7.1001100000000008</v>
      </c>
      <c r="AX1176" s="1868">
        <v>6.8169399999999998</v>
      </c>
      <c r="AY1176" s="1868">
        <v>6.7809499999999998</v>
      </c>
      <c r="AZ1176" s="1868">
        <v>6.9276200000000001</v>
      </c>
      <c r="BA1176" s="1868">
        <v>6.4817900000000002</v>
      </c>
    </row>
    <row r="1177" spans="1:53">
      <c r="A1177" s="1865" t="str">
        <f t="shared" si="18"/>
        <v>Southern EuropeCarrots and turnips</v>
      </c>
      <c r="B1177" s="1866" t="s">
        <v>1423</v>
      </c>
      <c r="C1177" s="1866" t="s">
        <v>1366</v>
      </c>
      <c r="D1177" s="1868">
        <v>21.292159999999999</v>
      </c>
      <c r="E1177" s="1868">
        <v>21.497039999999998</v>
      </c>
      <c r="F1177" s="1868">
        <v>20.93375</v>
      </c>
      <c r="G1177" s="1868">
        <v>19.182129999999997</v>
      </c>
      <c r="H1177" s="1868">
        <v>19.554300000000001</v>
      </c>
      <c r="I1177" s="1868">
        <v>20.306039999999999</v>
      </c>
      <c r="J1177" s="1868">
        <v>20.89977</v>
      </c>
      <c r="K1177" s="1868">
        <v>21.35905</v>
      </c>
      <c r="L1177" s="1868">
        <v>22.860440000000001</v>
      </c>
      <c r="M1177" s="1868">
        <v>21.183060000000001</v>
      </c>
      <c r="N1177" s="1868">
        <v>21.84179</v>
      </c>
      <c r="O1177" s="1868">
        <v>21.5472</v>
      </c>
      <c r="P1177" s="1868">
        <v>20.894920000000003</v>
      </c>
      <c r="Q1177" s="1868">
        <v>21.886479999999999</v>
      </c>
      <c r="R1177" s="1868">
        <v>21.002020000000002</v>
      </c>
      <c r="S1177" s="1868">
        <v>20.813690000000001</v>
      </c>
      <c r="T1177" s="1868">
        <v>20.95703</v>
      </c>
      <c r="U1177" s="1868">
        <v>22.04091</v>
      </c>
      <c r="V1177" s="1868">
        <v>21.357150000000001</v>
      </c>
      <c r="W1177" s="1868">
        <v>22.852550000000001</v>
      </c>
      <c r="X1177" s="1868">
        <v>24.27984</v>
      </c>
      <c r="Y1177" s="1868">
        <v>24.040229999999998</v>
      </c>
      <c r="Z1177" s="1868">
        <v>22.722179999999998</v>
      </c>
      <c r="AA1177" s="1868">
        <v>22.528860000000002</v>
      </c>
      <c r="AB1177" s="1868">
        <v>22.060179999999999</v>
      </c>
      <c r="AC1177" s="1868">
        <v>23.32667</v>
      </c>
      <c r="AD1177" s="1868">
        <v>22.534760000000002</v>
      </c>
      <c r="AE1177" s="1868">
        <v>22.06354</v>
      </c>
      <c r="AF1177" s="1868">
        <v>26.135729999999999</v>
      </c>
      <c r="AG1177" s="1868">
        <v>28.950329999999997</v>
      </c>
      <c r="AH1177" s="1868">
        <v>28.758579999999998</v>
      </c>
      <c r="AI1177" s="1868">
        <v>28.098040000000001</v>
      </c>
      <c r="AJ1177" s="1868">
        <v>27.736209999999996</v>
      </c>
      <c r="AK1177" s="1868">
        <v>27.902959999999997</v>
      </c>
      <c r="AL1177" s="1868">
        <v>28.299709999999997</v>
      </c>
      <c r="AM1177" s="1868">
        <v>26.810540000000003</v>
      </c>
      <c r="AN1177" s="1868">
        <v>31.106209999999997</v>
      </c>
      <c r="AO1177" s="1868">
        <v>30.56908</v>
      </c>
      <c r="AP1177" s="1868">
        <v>30.464509999999997</v>
      </c>
      <c r="AQ1177" s="1868">
        <v>33.6556</v>
      </c>
      <c r="AR1177" s="1868">
        <v>31.258390000000002</v>
      </c>
      <c r="AS1177" s="1868">
        <v>30.926859999999998</v>
      </c>
      <c r="AT1177" s="1868">
        <v>30.602129999999999</v>
      </c>
      <c r="AU1177" s="1868">
        <v>29.644130000000001</v>
      </c>
      <c r="AV1177" s="1868">
        <v>30.565790000000003</v>
      </c>
      <c r="AW1177" s="1868">
        <v>31.71537</v>
      </c>
      <c r="AX1177" s="1868">
        <v>34.313590000000005</v>
      </c>
      <c r="AY1177" s="1868">
        <v>35.86495</v>
      </c>
      <c r="AZ1177" s="1868">
        <v>33.489579999999997</v>
      </c>
      <c r="BA1177" s="1868">
        <v>33.201340000000002</v>
      </c>
    </row>
    <row r="1178" spans="1:53">
      <c r="A1178" s="1865" t="str">
        <f t="shared" si="18"/>
        <v>Southern EuropeCauliflowers and broccoli</v>
      </c>
      <c r="B1178" s="1866" t="s">
        <v>1423</v>
      </c>
      <c r="C1178" s="1866" t="s">
        <v>1369</v>
      </c>
      <c r="D1178" s="1868">
        <v>19.405609999999999</v>
      </c>
      <c r="E1178" s="1868">
        <v>15.688770000000002</v>
      </c>
      <c r="F1178" s="1868">
        <v>19.39029</v>
      </c>
      <c r="G1178" s="1868">
        <v>19.663640000000001</v>
      </c>
      <c r="H1178" s="1868">
        <v>19.799240000000001</v>
      </c>
      <c r="I1178" s="1868">
        <v>19.017160000000001</v>
      </c>
      <c r="J1178" s="1868">
        <v>19.160870000000003</v>
      </c>
      <c r="K1178" s="1868">
        <v>19.496270000000003</v>
      </c>
      <c r="L1178" s="1868">
        <v>19.268090000000001</v>
      </c>
      <c r="M1178" s="1868">
        <v>19.453960000000002</v>
      </c>
      <c r="N1178" s="1868">
        <v>20.012970000000003</v>
      </c>
      <c r="O1178" s="1868">
        <v>20.432790000000001</v>
      </c>
      <c r="P1178" s="1868">
        <v>20.153779999999998</v>
      </c>
      <c r="Q1178" s="1868">
        <v>20.45093</v>
      </c>
      <c r="R1178" s="1868">
        <v>20.38672</v>
      </c>
      <c r="S1178" s="1868">
        <v>20.26322</v>
      </c>
      <c r="T1178" s="1868">
        <v>19.601310000000002</v>
      </c>
      <c r="U1178" s="1868">
        <v>18.001149999999999</v>
      </c>
      <c r="V1178" s="1868">
        <v>18.57846</v>
      </c>
      <c r="W1178" s="1868">
        <v>18.991520000000001</v>
      </c>
      <c r="X1178" s="1868">
        <v>19.31963</v>
      </c>
      <c r="Y1178" s="1868">
        <v>19.350529999999999</v>
      </c>
      <c r="Z1178" s="1868">
        <v>19.755649999999999</v>
      </c>
      <c r="AA1178" s="1868">
        <v>18.110700000000001</v>
      </c>
      <c r="AB1178" s="1868">
        <v>18.57817</v>
      </c>
      <c r="AC1178" s="1868">
        <v>19.866879999999998</v>
      </c>
      <c r="AD1178" s="1868">
        <v>20.50996</v>
      </c>
      <c r="AE1178" s="1868">
        <v>20.71256</v>
      </c>
      <c r="AF1178" s="1868">
        <v>20.450410000000002</v>
      </c>
      <c r="AG1178" s="1868">
        <v>19.384320000000002</v>
      </c>
      <c r="AH1178" s="1868">
        <v>19.864160000000002</v>
      </c>
      <c r="AI1178" s="1868">
        <v>20.28276</v>
      </c>
      <c r="AJ1178" s="1868">
        <v>19.832329999999999</v>
      </c>
      <c r="AK1178" s="1868">
        <v>19.714289999999998</v>
      </c>
      <c r="AL1178" s="1868">
        <v>19.55855</v>
      </c>
      <c r="AM1178" s="1868">
        <v>19.71444</v>
      </c>
      <c r="AN1178" s="1868">
        <v>19.129270000000002</v>
      </c>
      <c r="AO1178" s="1868">
        <v>20.45966</v>
      </c>
      <c r="AP1178" s="1868">
        <v>19.708539999999999</v>
      </c>
      <c r="AQ1178" s="1868">
        <v>20.252189999999999</v>
      </c>
      <c r="AR1178" s="1868">
        <v>18.709199999999999</v>
      </c>
      <c r="AS1178" s="1868">
        <v>18.825369999999999</v>
      </c>
      <c r="AT1178" s="1868">
        <v>19.339220000000001</v>
      </c>
      <c r="AU1178" s="1868">
        <v>20.037329999999997</v>
      </c>
      <c r="AV1178" s="1868">
        <v>19.942079999999997</v>
      </c>
      <c r="AW1178" s="1868">
        <v>18.962029999999999</v>
      </c>
      <c r="AX1178" s="1868">
        <v>19.42934</v>
      </c>
      <c r="AY1178" s="1868">
        <v>19.034929999999999</v>
      </c>
      <c r="AZ1178" s="1868">
        <v>20.275129999999997</v>
      </c>
      <c r="BA1178" s="1868">
        <v>19.769220000000001</v>
      </c>
    </row>
    <row r="1179" spans="1:53">
      <c r="A1179" s="1865" t="str">
        <f t="shared" si="18"/>
        <v>Southern EuropeCereals, nes</v>
      </c>
      <c r="B1179" s="1866" t="s">
        <v>1423</v>
      </c>
      <c r="C1179" s="1866" t="s">
        <v>1370</v>
      </c>
      <c r="D1179" s="1868">
        <v>2.5510200000000003</v>
      </c>
      <c r="E1179" s="1868">
        <v>1.7359200000000001</v>
      </c>
      <c r="F1179" s="1868">
        <v>1.7916000000000001</v>
      </c>
      <c r="G1179" s="1868">
        <v>1.7413799999999999</v>
      </c>
      <c r="H1179" s="1868">
        <v>1.8725700000000001</v>
      </c>
      <c r="I1179" s="1868">
        <v>1.8492599999999999</v>
      </c>
      <c r="J1179" s="1868">
        <v>1.9049799999999999</v>
      </c>
      <c r="K1179" s="1868">
        <v>1.6729400000000001</v>
      </c>
      <c r="L1179" s="1868">
        <v>1.6433400000000002</v>
      </c>
      <c r="M1179" s="1868">
        <v>1.6386000000000001</v>
      </c>
      <c r="N1179" s="1868">
        <v>2.0545599999999999</v>
      </c>
      <c r="O1179" s="1868">
        <v>2.1491700000000002</v>
      </c>
      <c r="P1179" s="1868">
        <v>2.2333099999999999</v>
      </c>
      <c r="Q1179" s="1868">
        <v>2.10101</v>
      </c>
      <c r="R1179" s="1868">
        <v>2.2432099999999999</v>
      </c>
      <c r="S1179" s="1868">
        <v>2.1621599999999996</v>
      </c>
      <c r="T1179" s="1868">
        <v>2.1822900000000001</v>
      </c>
      <c r="U1179" s="1868">
        <v>2.2471900000000002</v>
      </c>
      <c r="V1179" s="1868">
        <v>2.2764199999999999</v>
      </c>
      <c r="W1179" s="1868">
        <v>2.7272699999999999</v>
      </c>
      <c r="X1179" s="1868">
        <v>2.4810099999999999</v>
      </c>
      <c r="Y1179" s="1868">
        <v>3.32056</v>
      </c>
      <c r="Z1179" s="1868">
        <v>3.3365099999999996</v>
      </c>
      <c r="AA1179" s="1868">
        <v>3.7436400000000001</v>
      </c>
      <c r="AB1179" s="1868">
        <v>2.7027000000000001</v>
      </c>
      <c r="AC1179" s="1868">
        <v>2.7638199999999999</v>
      </c>
      <c r="AD1179" s="1868">
        <v>3.25203</v>
      </c>
      <c r="AE1179" s="1868">
        <v>2.1505400000000003</v>
      </c>
      <c r="AF1179" s="1868">
        <v>2.0166300000000001</v>
      </c>
      <c r="AG1179" s="1868">
        <v>2.3451299999999997</v>
      </c>
      <c r="AH1179" s="1868">
        <v>3.2039400000000002</v>
      </c>
      <c r="AI1179" s="1868">
        <v>3.7031300000000003</v>
      </c>
      <c r="AJ1179" s="1868">
        <v>3.8449199999999997</v>
      </c>
      <c r="AK1179" s="1868">
        <v>3.6014300000000001</v>
      </c>
      <c r="AL1179" s="1868">
        <v>3.80016</v>
      </c>
      <c r="AM1179" s="1868">
        <v>4.2651199999999996</v>
      </c>
      <c r="AN1179" s="1868">
        <v>2.5635599999999998</v>
      </c>
      <c r="AO1179" s="1868">
        <v>3.8065099999999998</v>
      </c>
      <c r="AP1179" s="1868">
        <v>3.4496599999999997</v>
      </c>
      <c r="AQ1179" s="1868">
        <v>3.4226300000000003</v>
      </c>
      <c r="AR1179" s="1868">
        <v>4.5208699999999995</v>
      </c>
      <c r="AS1179" s="1868">
        <v>4.2983500000000001</v>
      </c>
      <c r="AT1179" s="1868">
        <v>5.0098599999999998</v>
      </c>
      <c r="AU1179" s="1868">
        <v>4.9011399999999998</v>
      </c>
      <c r="AV1179" s="1868">
        <v>4.2859600000000002</v>
      </c>
      <c r="AW1179" s="1868">
        <v>3.1489799999999999</v>
      </c>
      <c r="AX1179" s="1868">
        <v>3.65124</v>
      </c>
      <c r="AY1179" s="1868">
        <v>3.67841</v>
      </c>
      <c r="AZ1179" s="1868">
        <v>2.7502299999999997</v>
      </c>
      <c r="BA1179" s="1868">
        <v>3.2801099999999996</v>
      </c>
    </row>
    <row r="1180" spans="1:53">
      <c r="A1180" s="1865" t="str">
        <f t="shared" si="18"/>
        <v>Southern EuropeChestnuts</v>
      </c>
      <c r="B1180" s="1866" t="s">
        <v>1423</v>
      </c>
      <c r="C1180" s="1866" t="s">
        <v>1371</v>
      </c>
      <c r="D1180" s="1868">
        <v>7.8716600000000003</v>
      </c>
      <c r="E1180" s="1868">
        <v>6.0605199999999995</v>
      </c>
      <c r="F1180" s="1868">
        <v>8.2682399999999987</v>
      </c>
      <c r="G1180" s="1868">
        <v>7.1056800000000004</v>
      </c>
      <c r="H1180" s="1868">
        <v>5.5451100000000002</v>
      </c>
      <c r="I1180" s="1868">
        <v>5.6346400000000001</v>
      </c>
      <c r="J1180" s="1868">
        <v>5.1129600000000002</v>
      </c>
      <c r="K1180" s="1868">
        <v>4.5776699999999995</v>
      </c>
      <c r="L1180" s="1868">
        <v>4.7330199999999998</v>
      </c>
      <c r="M1180" s="1868">
        <v>4.8845000000000001</v>
      </c>
      <c r="N1180" s="1868">
        <v>6.2102000000000004</v>
      </c>
      <c r="O1180" s="1868">
        <v>6.6458300000000001</v>
      </c>
      <c r="P1180" s="1868">
        <v>7.0030700000000001</v>
      </c>
      <c r="Q1180" s="1868">
        <v>6.8104800000000001</v>
      </c>
      <c r="R1180" s="1868">
        <v>6.28322</v>
      </c>
      <c r="S1180" s="1868">
        <v>6.1877399999999998</v>
      </c>
      <c r="T1180" s="1868">
        <v>5.12974</v>
      </c>
      <c r="U1180" s="1868">
        <v>5.6001300000000001</v>
      </c>
      <c r="V1180" s="1868">
        <v>9.0905000000000005</v>
      </c>
      <c r="W1180" s="1868">
        <v>7.93</v>
      </c>
      <c r="X1180" s="1868">
        <v>8.3333300000000001</v>
      </c>
      <c r="Y1180" s="1868">
        <v>8.85487</v>
      </c>
      <c r="Z1180" s="1868">
        <v>9.4930000000000003</v>
      </c>
      <c r="AA1180" s="1868">
        <v>7.5369999999999999</v>
      </c>
      <c r="AB1180" s="1868">
        <v>2.04854</v>
      </c>
      <c r="AC1180" s="1868">
        <v>2.2471900000000002</v>
      </c>
      <c r="AD1180" s="1868">
        <v>2.3863699999999999</v>
      </c>
      <c r="AE1180" s="1868">
        <v>2.3182700000000001</v>
      </c>
      <c r="AF1180" s="1868">
        <v>2.2076099999999999</v>
      </c>
      <c r="AG1180" s="1868">
        <v>2.0870799999999998</v>
      </c>
      <c r="AH1180" s="1868">
        <v>2.1123699999999999</v>
      </c>
      <c r="AI1180" s="1868">
        <v>2.16011</v>
      </c>
      <c r="AJ1180" s="1868">
        <v>2.0383</v>
      </c>
      <c r="AK1180" s="1868">
        <v>2.1394500000000001</v>
      </c>
      <c r="AL1180" s="1868">
        <v>2.0152999999999999</v>
      </c>
      <c r="AM1180" s="1868">
        <v>2.06846</v>
      </c>
      <c r="AN1180" s="1868">
        <v>2.0581999999999998</v>
      </c>
      <c r="AO1180" s="1868">
        <v>2.1681499999999998</v>
      </c>
      <c r="AP1180" s="1868">
        <v>1.72262</v>
      </c>
      <c r="AQ1180" s="1868">
        <v>1.72882</v>
      </c>
      <c r="AR1180" s="1868">
        <v>1.6664099999999999</v>
      </c>
      <c r="AS1180" s="1868">
        <v>1.75058</v>
      </c>
      <c r="AT1180" s="1868">
        <v>1.6138700000000001</v>
      </c>
      <c r="AU1180" s="1868">
        <v>1.57473</v>
      </c>
      <c r="AV1180" s="1868">
        <v>1.50806</v>
      </c>
      <c r="AW1180" s="1868">
        <v>1.63039</v>
      </c>
      <c r="AX1180" s="1868">
        <v>1.4271499999999999</v>
      </c>
      <c r="AY1180" s="1868">
        <v>1.3083</v>
      </c>
      <c r="AZ1180" s="1868">
        <v>1.2961799999999999</v>
      </c>
      <c r="BA1180" s="1868">
        <v>1.2520200000000001</v>
      </c>
    </row>
    <row r="1181" spans="1:53">
      <c r="A1181" s="1865" t="str">
        <f t="shared" si="18"/>
        <v>Southern EuropeCitrus fruit, nes</v>
      </c>
      <c r="B1181" s="1866" t="s">
        <v>1423</v>
      </c>
      <c r="C1181" s="1866" t="s">
        <v>1372</v>
      </c>
      <c r="D1181" s="1868">
        <v>13.22925</v>
      </c>
      <c r="E1181" s="1868">
        <v>12.14575</v>
      </c>
      <c r="F1181" s="1868">
        <v>15.356249999999999</v>
      </c>
      <c r="G1181" s="1868">
        <v>14.801839999999999</v>
      </c>
      <c r="H1181" s="1868">
        <v>10.609730000000001</v>
      </c>
      <c r="I1181" s="1868">
        <v>13.552879999999998</v>
      </c>
      <c r="J1181" s="1868">
        <v>12.248660000000001</v>
      </c>
      <c r="K1181" s="1868">
        <v>11.515139999999999</v>
      </c>
      <c r="L1181" s="1868">
        <v>10.594889999999999</v>
      </c>
      <c r="M1181" s="1868">
        <v>11.69271</v>
      </c>
      <c r="N1181" s="1868">
        <v>8.6932799999999997</v>
      </c>
      <c r="O1181" s="1868">
        <v>8.603019999999999</v>
      </c>
      <c r="P1181" s="1868">
        <v>10.367039999999999</v>
      </c>
      <c r="Q1181" s="1868">
        <v>11.126339999999999</v>
      </c>
      <c r="R1181" s="1868">
        <v>12.03098</v>
      </c>
      <c r="S1181" s="1868">
        <v>9.8431899999999999</v>
      </c>
      <c r="T1181" s="1868">
        <v>11.912510000000001</v>
      </c>
      <c r="U1181" s="1868">
        <v>12.587580000000001</v>
      </c>
      <c r="V1181" s="1868">
        <v>12.855080000000001</v>
      </c>
      <c r="W1181" s="1868">
        <v>12.12735</v>
      </c>
      <c r="X1181" s="1868">
        <v>11.51362</v>
      </c>
      <c r="Y1181" s="1868">
        <v>10.328950000000001</v>
      </c>
      <c r="Z1181" s="1868">
        <v>12.59473</v>
      </c>
      <c r="AA1181" s="1868">
        <v>8.13002</v>
      </c>
      <c r="AB1181" s="1868">
        <v>12.715160000000001</v>
      </c>
      <c r="AC1181" s="1868">
        <v>13.77266</v>
      </c>
      <c r="AD1181" s="1868">
        <v>14.429270000000001</v>
      </c>
      <c r="AE1181" s="1868">
        <v>7.5631000000000004</v>
      </c>
      <c r="AF1181" s="1868">
        <v>14.213470000000001</v>
      </c>
      <c r="AG1181" s="1868">
        <v>9.8915199999999999</v>
      </c>
      <c r="AH1181" s="1868">
        <v>13.984439999999999</v>
      </c>
      <c r="AI1181" s="1868">
        <v>15.51177</v>
      </c>
      <c r="AJ1181" s="1868">
        <v>14.989739999999999</v>
      </c>
      <c r="AK1181" s="1868">
        <v>10.4457</v>
      </c>
      <c r="AL1181" s="1868">
        <v>11.535630000000001</v>
      </c>
      <c r="AM1181" s="1868">
        <v>10.55447</v>
      </c>
      <c r="AN1181" s="1868">
        <v>13.47301</v>
      </c>
      <c r="AO1181" s="1868">
        <v>8.1102899999999991</v>
      </c>
      <c r="AP1181" s="1868">
        <v>19.228059999999999</v>
      </c>
      <c r="AQ1181" s="1868">
        <v>14.79025</v>
      </c>
      <c r="AR1181" s="1868">
        <v>17.262350000000001</v>
      </c>
      <c r="AS1181" s="1868">
        <v>16.731549999999999</v>
      </c>
      <c r="AT1181" s="1868">
        <v>16.06352</v>
      </c>
      <c r="AU1181" s="1868">
        <v>10.15602</v>
      </c>
      <c r="AV1181" s="1868">
        <v>8.2421600000000002</v>
      </c>
      <c r="AW1181" s="1868">
        <v>9.2859999999999996</v>
      </c>
      <c r="AX1181" s="1868">
        <v>5.4714199999999993</v>
      </c>
      <c r="AY1181" s="1868">
        <v>8.6033500000000007</v>
      </c>
      <c r="AZ1181" s="1868">
        <v>7.3293499999999998</v>
      </c>
      <c r="BA1181" s="1868">
        <v>7.6188399999999996</v>
      </c>
    </row>
    <row r="1182" spans="1:53">
      <c r="A1182" s="1865" t="str">
        <f t="shared" si="18"/>
        <v>Southern EuropeCow peas, dry</v>
      </c>
      <c r="B1182" s="1866" t="s">
        <v>1423</v>
      </c>
      <c r="C1182" s="1866" t="s">
        <v>1355</v>
      </c>
      <c r="D1182" s="1868">
        <v>3.0305299999999997</v>
      </c>
      <c r="E1182" s="1868">
        <v>4.2763200000000001</v>
      </c>
      <c r="F1182" s="1868">
        <v>3.56989</v>
      </c>
      <c r="G1182" s="1868">
        <v>4.1428599999999998</v>
      </c>
      <c r="H1182" s="1868">
        <v>3.4705900000000001</v>
      </c>
      <c r="I1182" s="1868">
        <v>4.0865400000000003</v>
      </c>
      <c r="J1182" s="1868">
        <v>3.1377599999999997</v>
      </c>
      <c r="K1182" s="1868">
        <v>3.0637300000000001</v>
      </c>
      <c r="L1182" s="1868">
        <v>3.0778300000000001</v>
      </c>
      <c r="M1182" s="1868">
        <v>2.5295099999999997</v>
      </c>
      <c r="N1182" s="1868">
        <v>2.9898599999999997</v>
      </c>
      <c r="O1182" s="1868">
        <v>3.0656500000000002</v>
      </c>
      <c r="P1182" s="1868">
        <v>2.7751700000000001</v>
      </c>
      <c r="Q1182" s="1868">
        <v>3.5568699999999995</v>
      </c>
      <c r="R1182" s="1868">
        <v>3.5485500000000001</v>
      </c>
      <c r="S1182" s="1868">
        <v>3.5747</v>
      </c>
      <c r="T1182" s="1868">
        <v>6.4589699999999999</v>
      </c>
      <c r="U1182" s="1868">
        <v>3.7493300000000005</v>
      </c>
      <c r="V1182" s="1868">
        <v>2.8184299999999998</v>
      </c>
      <c r="W1182" s="1868">
        <v>3.2017099999999998</v>
      </c>
      <c r="X1182" s="1868">
        <v>3.5633300000000001</v>
      </c>
      <c r="Y1182" s="1868">
        <v>2.4344099999999997</v>
      </c>
      <c r="Z1182" s="1868">
        <v>3.9039099999999998</v>
      </c>
      <c r="AA1182" s="1868">
        <v>3.8214099999999998</v>
      </c>
      <c r="AB1182" s="1868">
        <v>3.1432099999999998</v>
      </c>
      <c r="AC1182" s="1868">
        <v>3.72526</v>
      </c>
      <c r="AD1182" s="1868">
        <v>3.4558599999999999</v>
      </c>
      <c r="AE1182" s="1868">
        <v>3.3486199999999999</v>
      </c>
      <c r="AF1182" s="1868">
        <v>3.3953599999999997</v>
      </c>
      <c r="AG1182" s="1868">
        <v>2.6462500000000002</v>
      </c>
      <c r="AH1182" s="1868">
        <v>4.5250000000000004</v>
      </c>
      <c r="AI1182" s="1868">
        <v>3.1059099999999997</v>
      </c>
      <c r="AJ1182" s="1868">
        <v>3.1451700000000002</v>
      </c>
      <c r="AK1182" s="1868">
        <v>2.7649400000000002</v>
      </c>
      <c r="AL1182" s="1868">
        <v>2.8517999999999999</v>
      </c>
      <c r="AM1182" s="1868">
        <v>2.6960999999999999</v>
      </c>
      <c r="AN1182" s="1868">
        <v>3.0230799999999998</v>
      </c>
      <c r="AO1182" s="1868">
        <v>2.98292</v>
      </c>
      <c r="AP1182" s="1868">
        <v>3.0828500000000001</v>
      </c>
      <c r="AQ1182" s="1868">
        <v>2.58785</v>
      </c>
      <c r="AR1182" s="1868">
        <v>3.1141400000000004</v>
      </c>
      <c r="AS1182" s="1868">
        <v>2.93973</v>
      </c>
      <c r="AT1182" s="1868">
        <v>2.8393000000000002</v>
      </c>
      <c r="AU1182" s="1868">
        <v>3.2759</v>
      </c>
      <c r="AV1182" s="1868">
        <v>3.4352800000000001</v>
      </c>
      <c r="AW1182" s="1868">
        <v>3.2057000000000002</v>
      </c>
      <c r="AX1182" s="1868">
        <v>2.8010999999999999</v>
      </c>
      <c r="AY1182" s="1868">
        <v>3.06637</v>
      </c>
      <c r="AZ1182" s="1868">
        <v>3.2460900000000001</v>
      </c>
      <c r="BA1182" s="1868">
        <v>3.45526</v>
      </c>
    </row>
    <row r="1183" spans="1:53">
      <c r="A1183" s="1865" t="str">
        <f t="shared" si="18"/>
        <v>Southern EuropeDates</v>
      </c>
      <c r="B1183" s="1866" t="s">
        <v>1423</v>
      </c>
      <c r="C1183" s="1866" t="s">
        <v>1374</v>
      </c>
      <c r="D1183" s="1868">
        <v>29.629629999999999</v>
      </c>
      <c r="E1183" s="1868">
        <v>29.925190000000001</v>
      </c>
      <c r="F1183" s="1868">
        <v>29.925190000000001</v>
      </c>
      <c r="G1183" s="1868">
        <v>28.248590000000004</v>
      </c>
      <c r="H1183" s="1868">
        <v>27.3752</v>
      </c>
      <c r="I1183" s="1868">
        <v>25.367739999999998</v>
      </c>
      <c r="J1183" s="1868">
        <v>24.101610000000001</v>
      </c>
      <c r="K1183" s="1868">
        <v>26.135479999999998</v>
      </c>
      <c r="L1183" s="1868">
        <v>25.545159999999999</v>
      </c>
      <c r="M1183" s="1868">
        <v>20.952110000000001</v>
      </c>
      <c r="N1183" s="1868">
        <v>22.456340000000001</v>
      </c>
      <c r="O1183" s="1868">
        <v>21.223800000000001</v>
      </c>
      <c r="P1183" s="1868">
        <v>21.527010000000001</v>
      </c>
      <c r="Q1183" s="1868">
        <v>21.10239</v>
      </c>
      <c r="R1183" s="1868">
        <v>20.8735</v>
      </c>
      <c r="S1183" s="1868">
        <v>20.93478</v>
      </c>
      <c r="T1183" s="1868">
        <v>21.544989999999999</v>
      </c>
      <c r="U1183" s="1868">
        <v>21.451450000000001</v>
      </c>
      <c r="V1183" s="1868">
        <v>21.580570000000002</v>
      </c>
      <c r="W1183" s="1868">
        <v>21.236079999999998</v>
      </c>
      <c r="X1183" s="1868">
        <v>20.71161</v>
      </c>
      <c r="Y1183" s="1868">
        <v>21.047969999999999</v>
      </c>
      <c r="Z1183" s="1868">
        <v>19.594260000000002</v>
      </c>
      <c r="AA1183" s="1868">
        <v>19.105740000000001</v>
      </c>
      <c r="AB1183" s="1868">
        <v>19.390910000000002</v>
      </c>
      <c r="AC1183" s="1868">
        <v>18.704320000000003</v>
      </c>
      <c r="AD1183" s="1868">
        <v>18.610139999999998</v>
      </c>
      <c r="AE1183" s="1868">
        <v>18.668610000000001</v>
      </c>
      <c r="AF1183" s="1868">
        <v>18.96705</v>
      </c>
      <c r="AG1183" s="1868">
        <v>18.57546</v>
      </c>
      <c r="AH1183" s="1868">
        <v>18.00468</v>
      </c>
      <c r="AI1183" s="1868">
        <v>17.628959999999999</v>
      </c>
      <c r="AJ1183" s="1868">
        <v>18.995190000000001</v>
      </c>
      <c r="AK1183" s="1868">
        <v>17.653510000000001</v>
      </c>
      <c r="AL1183" s="1868">
        <v>17.284479999999999</v>
      </c>
      <c r="AM1183" s="1868">
        <v>16.406879999999997</v>
      </c>
      <c r="AN1183" s="1868">
        <v>13.670070000000001</v>
      </c>
      <c r="AO1183" s="1868">
        <v>12.827349999999999</v>
      </c>
      <c r="AP1183" s="1868">
        <v>14.409520000000001</v>
      </c>
      <c r="AQ1183" s="1868">
        <v>4.92971</v>
      </c>
      <c r="AR1183" s="1868">
        <v>4.3598099999999995</v>
      </c>
      <c r="AS1183" s="1868">
        <v>4.5170199999999996</v>
      </c>
      <c r="AT1183" s="1868">
        <v>4.6858599999999999</v>
      </c>
      <c r="AU1183" s="1868">
        <v>3.1816200000000001</v>
      </c>
      <c r="AV1183" s="1868">
        <v>3.22723</v>
      </c>
      <c r="AW1183" s="1868">
        <v>3.2398500000000001</v>
      </c>
      <c r="AX1183" s="1868">
        <v>3.13253</v>
      </c>
      <c r="AY1183" s="1868">
        <v>3.3082199999999995</v>
      </c>
      <c r="AZ1183" s="1868">
        <v>3.4425500000000002</v>
      </c>
      <c r="BA1183" s="1868">
        <v>3.8021199999999995</v>
      </c>
    </row>
    <row r="1184" spans="1:53">
      <c r="A1184" s="1865" t="str">
        <f t="shared" si="18"/>
        <v>Southern EuropeEggplants (aubergines)</v>
      </c>
      <c r="B1184" s="1866" t="s">
        <v>1423</v>
      </c>
      <c r="C1184" s="1866" t="s">
        <v>1375</v>
      </c>
      <c r="D1184" s="1868">
        <v>19.358260000000001</v>
      </c>
      <c r="E1184" s="1868">
        <v>19.988939999999999</v>
      </c>
      <c r="F1184" s="1868">
        <v>20.180859999999999</v>
      </c>
      <c r="G1184" s="1868">
        <v>20.36899</v>
      </c>
      <c r="H1184" s="1868">
        <v>21.17248</v>
      </c>
      <c r="I1184" s="1868">
        <v>21.508150000000001</v>
      </c>
      <c r="J1184" s="1868">
        <v>22.198869999999999</v>
      </c>
      <c r="K1184" s="1868">
        <v>22.26463</v>
      </c>
      <c r="L1184" s="1868">
        <v>22.860279999999999</v>
      </c>
      <c r="M1184" s="1868">
        <v>22.999949999999998</v>
      </c>
      <c r="N1184" s="1868">
        <v>23.346970000000002</v>
      </c>
      <c r="O1184" s="1868">
        <v>23.331520000000001</v>
      </c>
      <c r="P1184" s="1868">
        <v>23.752089999999999</v>
      </c>
      <c r="Q1184" s="1868">
        <v>24.128220000000002</v>
      </c>
      <c r="R1184" s="1868">
        <v>24.339270000000003</v>
      </c>
      <c r="S1184" s="1868">
        <v>24.46021</v>
      </c>
      <c r="T1184" s="1868">
        <v>24.148720000000001</v>
      </c>
      <c r="U1184" s="1868">
        <v>23.711470000000002</v>
      </c>
      <c r="V1184" s="1868">
        <v>24.056539999999998</v>
      </c>
      <c r="W1184" s="1868">
        <v>24.319800000000001</v>
      </c>
      <c r="X1184" s="1868">
        <v>24.439</v>
      </c>
      <c r="Y1184" s="1868">
        <v>24.433489999999999</v>
      </c>
      <c r="Z1184" s="1868">
        <v>25.304389999999998</v>
      </c>
      <c r="AA1184" s="1868">
        <v>25.248249999999999</v>
      </c>
      <c r="AB1184" s="1868">
        <v>25.337150000000001</v>
      </c>
      <c r="AC1184" s="1868">
        <v>25.404989999999998</v>
      </c>
      <c r="AD1184" s="1868">
        <v>26.417159999999999</v>
      </c>
      <c r="AE1184" s="1868">
        <v>25.927600000000002</v>
      </c>
      <c r="AF1184" s="1868">
        <v>26.691659999999999</v>
      </c>
      <c r="AG1184" s="1868">
        <v>26.960249999999998</v>
      </c>
      <c r="AH1184" s="1868">
        <v>27.919759999999997</v>
      </c>
      <c r="AI1184" s="1868">
        <v>28.486759999999997</v>
      </c>
      <c r="AJ1184" s="1868">
        <v>29.132859999999997</v>
      </c>
      <c r="AK1184" s="1868">
        <v>29.247350000000001</v>
      </c>
      <c r="AL1184" s="1868">
        <v>30.467770000000002</v>
      </c>
      <c r="AM1184" s="1868">
        <v>29.137840000000001</v>
      </c>
      <c r="AN1184" s="1868">
        <v>30.18282</v>
      </c>
      <c r="AO1184" s="1868">
        <v>29.860800000000001</v>
      </c>
      <c r="AP1184" s="1868">
        <v>27.704659999999997</v>
      </c>
      <c r="AQ1184" s="1868">
        <v>29.328540000000004</v>
      </c>
      <c r="AR1184" s="1868">
        <v>29.532759999999996</v>
      </c>
      <c r="AS1184" s="1868">
        <v>28.761140000000001</v>
      </c>
      <c r="AT1184" s="1868">
        <v>29.965140000000002</v>
      </c>
      <c r="AU1184" s="1868">
        <v>30.369059999999998</v>
      </c>
      <c r="AV1184" s="1868">
        <v>29.177299999999999</v>
      </c>
      <c r="AW1184" s="1868">
        <v>30.765420000000002</v>
      </c>
      <c r="AX1184" s="1868">
        <v>29.032459999999997</v>
      </c>
      <c r="AY1184" s="1868">
        <v>33.777540000000002</v>
      </c>
      <c r="AZ1184" s="1868">
        <v>34.308040000000005</v>
      </c>
      <c r="BA1184" s="1868">
        <v>33.00882</v>
      </c>
    </row>
    <row r="1185" spans="1:53">
      <c r="A1185" s="1865" t="str">
        <f t="shared" si="18"/>
        <v>Southern EuropeGrapefruit (inc. pomelos)</v>
      </c>
      <c r="B1185" s="1866" t="s">
        <v>1423</v>
      </c>
      <c r="C1185" s="1866" t="s">
        <v>1377</v>
      </c>
      <c r="D1185" s="1868">
        <v>10.393939999999999</v>
      </c>
      <c r="E1185" s="1868">
        <v>10.581200000000001</v>
      </c>
      <c r="F1185" s="1868">
        <v>12.06387</v>
      </c>
      <c r="G1185" s="1868">
        <v>11.72381</v>
      </c>
      <c r="H1185" s="1868">
        <v>11.9627</v>
      </c>
      <c r="I1185" s="1868">
        <v>12.398289999999999</v>
      </c>
      <c r="J1185" s="1868">
        <v>10.72883</v>
      </c>
      <c r="K1185" s="1868">
        <v>12.907260000000001</v>
      </c>
      <c r="L1185" s="1868">
        <v>13.245120000000002</v>
      </c>
      <c r="M1185" s="1868">
        <v>10.290749999999999</v>
      </c>
      <c r="N1185" s="1868">
        <v>10.126110000000001</v>
      </c>
      <c r="O1185" s="1868">
        <v>9.7901600000000002</v>
      </c>
      <c r="P1185" s="1868">
        <v>10.20702</v>
      </c>
      <c r="Q1185" s="1868">
        <v>9.9305899999999987</v>
      </c>
      <c r="R1185" s="1868">
        <v>10.84695</v>
      </c>
      <c r="S1185" s="1868">
        <v>10.98137</v>
      </c>
      <c r="T1185" s="1868">
        <v>14.17116</v>
      </c>
      <c r="U1185" s="1868">
        <v>13.02411</v>
      </c>
      <c r="V1185" s="1868">
        <v>14.958329999999998</v>
      </c>
      <c r="W1185" s="1868">
        <v>10.18802</v>
      </c>
      <c r="X1185" s="1868">
        <v>9.813880000000001</v>
      </c>
      <c r="Y1185" s="1868">
        <v>12.01656</v>
      </c>
      <c r="Z1185" s="1868">
        <v>12.46819</v>
      </c>
      <c r="AA1185" s="1868">
        <v>10.60473</v>
      </c>
      <c r="AB1185" s="1868">
        <v>11.76721</v>
      </c>
      <c r="AC1185" s="1868">
        <v>13.504479999999999</v>
      </c>
      <c r="AD1185" s="1868">
        <v>10.655289999999999</v>
      </c>
      <c r="AE1185" s="1868">
        <v>13.36839</v>
      </c>
      <c r="AF1185" s="1868">
        <v>11.914350000000001</v>
      </c>
      <c r="AG1185" s="1868">
        <v>11.77862</v>
      </c>
      <c r="AH1185" s="1868">
        <v>14.48739</v>
      </c>
      <c r="AI1185" s="1868">
        <v>18.170110000000001</v>
      </c>
      <c r="AJ1185" s="1868">
        <v>16.228929999999998</v>
      </c>
      <c r="AK1185" s="1868">
        <v>17.273250000000001</v>
      </c>
      <c r="AL1185" s="1868">
        <v>18.120660000000001</v>
      </c>
      <c r="AM1185" s="1868">
        <v>16.050160000000002</v>
      </c>
      <c r="AN1185" s="1868">
        <v>19.969470000000001</v>
      </c>
      <c r="AO1185" s="1868">
        <v>20.514379999999999</v>
      </c>
      <c r="AP1185" s="1868">
        <v>18.47522</v>
      </c>
      <c r="AQ1185" s="1868">
        <v>21.526070000000001</v>
      </c>
      <c r="AR1185" s="1868">
        <v>22.721920000000001</v>
      </c>
      <c r="AS1185" s="1868">
        <v>23.484279999999998</v>
      </c>
      <c r="AT1185" s="1868">
        <v>21.79842</v>
      </c>
      <c r="AU1185" s="1868">
        <v>25.97343</v>
      </c>
      <c r="AV1185" s="1868">
        <v>25.295629999999999</v>
      </c>
      <c r="AW1185" s="1868">
        <v>29.42728</v>
      </c>
      <c r="AX1185" s="1868">
        <v>28.653540000000003</v>
      </c>
      <c r="AY1185" s="1868">
        <v>26.411820000000002</v>
      </c>
      <c r="AZ1185" s="1868">
        <v>25.569879999999998</v>
      </c>
      <c r="BA1185" s="1868">
        <v>27.16713</v>
      </c>
    </row>
    <row r="1186" spans="1:53">
      <c r="A1186" s="1865" t="str">
        <f t="shared" si="18"/>
        <v>Southern EuropeGrapes</v>
      </c>
      <c r="B1186" s="1866" t="s">
        <v>1423</v>
      </c>
      <c r="C1186" s="1866" t="s">
        <v>1378</v>
      </c>
      <c r="D1186" s="1868">
        <v>3.6405400000000001</v>
      </c>
      <c r="E1186" s="1868">
        <v>4.8170199999999994</v>
      </c>
      <c r="F1186" s="1868">
        <v>4.1492100000000001</v>
      </c>
      <c r="G1186" s="1868">
        <v>4.9805999999999999</v>
      </c>
      <c r="H1186" s="1868">
        <v>4.9272499999999999</v>
      </c>
      <c r="I1186" s="1868">
        <v>4.9994899999999998</v>
      </c>
      <c r="J1186" s="1868">
        <v>5.0774599999999994</v>
      </c>
      <c r="K1186" s="1868">
        <v>5.0537199999999993</v>
      </c>
      <c r="L1186" s="1868">
        <v>5.3613599999999995</v>
      </c>
      <c r="M1186" s="1868">
        <v>5.3359100000000002</v>
      </c>
      <c r="N1186" s="1868">
        <v>5.1376900000000001</v>
      </c>
      <c r="O1186" s="1868">
        <v>4.9800000000000004</v>
      </c>
      <c r="P1186" s="1868">
        <v>6.3278999999999996</v>
      </c>
      <c r="Q1186" s="1868">
        <v>6.1749999999999998</v>
      </c>
      <c r="R1186" s="1868">
        <v>5.4660900000000003</v>
      </c>
      <c r="S1186" s="1868">
        <v>5.0853699999999993</v>
      </c>
      <c r="T1186" s="1868">
        <v>4.6691400000000005</v>
      </c>
      <c r="U1186" s="1868">
        <v>5.2165599999999994</v>
      </c>
      <c r="V1186" s="1868">
        <v>6.9541600000000008</v>
      </c>
      <c r="W1186" s="1868">
        <v>6.6295399999999995</v>
      </c>
      <c r="X1186" s="1868">
        <v>5.5654000000000003</v>
      </c>
      <c r="Y1186" s="1868">
        <v>6.0831599999999995</v>
      </c>
      <c r="Z1186" s="1868">
        <v>6.5815700000000001</v>
      </c>
      <c r="AA1186" s="1868">
        <v>6.1611900000000004</v>
      </c>
      <c r="AB1186" s="1868">
        <v>5.7764899999999999</v>
      </c>
      <c r="AC1186" s="1868">
        <v>6.6216399999999993</v>
      </c>
      <c r="AD1186" s="1868">
        <v>6.81853</v>
      </c>
      <c r="AE1186" s="1868">
        <v>5.2446400000000004</v>
      </c>
      <c r="AF1186" s="1868">
        <v>5.7980999999999998</v>
      </c>
      <c r="AG1186" s="1868">
        <v>6.09335</v>
      </c>
      <c r="AH1186" s="1868">
        <v>6.2691600000000003</v>
      </c>
      <c r="AI1186" s="1868">
        <v>6.8516199999999996</v>
      </c>
      <c r="AJ1186" s="1868">
        <v>6.20174</v>
      </c>
      <c r="AK1186" s="1868">
        <v>5.8749799999999999</v>
      </c>
      <c r="AL1186" s="1868">
        <v>5.7487399999999997</v>
      </c>
      <c r="AM1186" s="1868">
        <v>7.0541600000000004</v>
      </c>
      <c r="AN1186" s="1868">
        <v>6.6371199999999995</v>
      </c>
      <c r="AO1186" s="1868">
        <v>6.8745199999999995</v>
      </c>
      <c r="AP1186" s="1868">
        <v>7.2154999999999996</v>
      </c>
      <c r="AQ1186" s="1868">
        <v>7.3588899999999997</v>
      </c>
      <c r="AR1186" s="1868">
        <v>6.9918699999999996</v>
      </c>
      <c r="AS1186" s="1868">
        <v>6.5033500000000002</v>
      </c>
      <c r="AT1186" s="1868">
        <v>7.1325799999999999</v>
      </c>
      <c r="AU1186" s="1868">
        <v>7.7845199999999997</v>
      </c>
      <c r="AV1186" s="1868">
        <v>7.2100899999999992</v>
      </c>
      <c r="AW1186" s="1868">
        <v>7.5336399999999992</v>
      </c>
      <c r="AX1186" s="1868">
        <v>6.7649399999999993</v>
      </c>
      <c r="AY1186" s="1868">
        <v>6.98163</v>
      </c>
      <c r="AZ1186" s="1868">
        <v>6.9325800000000006</v>
      </c>
      <c r="BA1186" s="1868">
        <v>7.7046199999999994</v>
      </c>
    </row>
    <row r="1187" spans="1:53">
      <c r="A1187" s="1865" t="str">
        <f t="shared" si="18"/>
        <v>Southern EuropeGroundnuts, with shell</v>
      </c>
      <c r="B1187" s="1866" t="s">
        <v>1423</v>
      </c>
      <c r="C1187" s="1866" t="s">
        <v>1379</v>
      </c>
      <c r="D1187" s="1868">
        <v>1.7843099999999998</v>
      </c>
      <c r="E1187" s="1868">
        <v>1.73715</v>
      </c>
      <c r="F1187" s="1868">
        <v>1.9006099999999999</v>
      </c>
      <c r="G1187" s="1868">
        <v>2.0404499999999999</v>
      </c>
      <c r="H1187" s="1868">
        <v>2.0259</v>
      </c>
      <c r="I1187" s="1868">
        <v>1.9274500000000001</v>
      </c>
      <c r="J1187" s="1868">
        <v>2.0613299999999999</v>
      </c>
      <c r="K1187" s="1868">
        <v>1.8907700000000001</v>
      </c>
      <c r="L1187" s="1868">
        <v>2.0072299999999998</v>
      </c>
      <c r="M1187" s="1868">
        <v>2.0757699999999999</v>
      </c>
      <c r="N1187" s="1868">
        <v>1.96783</v>
      </c>
      <c r="O1187" s="1868">
        <v>1.8887599999999998</v>
      </c>
      <c r="P1187" s="1868">
        <v>2.1695500000000001</v>
      </c>
      <c r="Q1187" s="1868">
        <v>2.3154300000000001</v>
      </c>
      <c r="R1187" s="1868">
        <v>2.68248</v>
      </c>
      <c r="S1187" s="1868">
        <v>2.4808599999999998</v>
      </c>
      <c r="T1187" s="1868">
        <v>2.6475900000000001</v>
      </c>
      <c r="U1187" s="1868">
        <v>2.5202499999999999</v>
      </c>
      <c r="V1187" s="1868">
        <v>2.6933599999999998</v>
      </c>
      <c r="W1187" s="1868">
        <v>2.6004</v>
      </c>
      <c r="X1187" s="1868">
        <v>2.64181</v>
      </c>
      <c r="Y1187" s="1868">
        <v>2.61842</v>
      </c>
      <c r="Z1187" s="1868">
        <v>2.7385000000000002</v>
      </c>
      <c r="AA1187" s="1868">
        <v>2.7377799999999999</v>
      </c>
      <c r="AB1187" s="1868">
        <v>2.89331</v>
      </c>
      <c r="AC1187" s="1868">
        <v>2.9677199999999999</v>
      </c>
      <c r="AD1187" s="1868">
        <v>2.9859400000000003</v>
      </c>
      <c r="AE1187" s="1868">
        <v>3.2680099999999999</v>
      </c>
      <c r="AF1187" s="1868">
        <v>3.7033400000000003</v>
      </c>
      <c r="AG1187" s="1868">
        <v>2.7804599999999997</v>
      </c>
      <c r="AH1187" s="1868">
        <v>3.6739099999999998</v>
      </c>
      <c r="AI1187" s="1868">
        <v>3.7280599999999997</v>
      </c>
      <c r="AJ1187" s="1868">
        <v>3.1654100000000001</v>
      </c>
      <c r="AK1187" s="1868">
        <v>3.3627800000000003</v>
      </c>
      <c r="AL1187" s="1868">
        <v>2.9510200000000002</v>
      </c>
      <c r="AM1187" s="1868">
        <v>3.6821800000000002</v>
      </c>
      <c r="AN1187" s="1868">
        <v>3.7762500000000001</v>
      </c>
      <c r="AO1187" s="1868">
        <v>3.4902599999999997</v>
      </c>
      <c r="AP1187" s="1868">
        <v>4.07531</v>
      </c>
      <c r="AQ1187" s="1868">
        <v>4.7224699999999995</v>
      </c>
      <c r="AR1187" s="1868">
        <v>3.8725699999999996</v>
      </c>
      <c r="AS1187" s="1868">
        <v>2.0450499999999998</v>
      </c>
      <c r="AT1187" s="1868">
        <v>2.0691599999999997</v>
      </c>
      <c r="AU1187" s="1868">
        <v>3.46679</v>
      </c>
      <c r="AV1187" s="1868">
        <v>3.3756699999999995</v>
      </c>
      <c r="AW1187" s="1868">
        <v>2.7368399999999999</v>
      </c>
      <c r="AX1187" s="1868">
        <v>3.2099000000000002</v>
      </c>
      <c r="AY1187" s="1868">
        <v>3.008</v>
      </c>
      <c r="AZ1187" s="1868">
        <v>3.0442900000000002</v>
      </c>
      <c r="BA1187" s="1868">
        <v>3.3285699999999996</v>
      </c>
    </row>
    <row r="1188" spans="1:53">
      <c r="A1188" s="1865" t="str">
        <f t="shared" si="18"/>
        <v>Southern EuropeLeguminous vegetables, nes</v>
      </c>
      <c r="B1188" s="1866" t="s">
        <v>1423</v>
      </c>
      <c r="C1188" s="1866" t="s">
        <v>1380</v>
      </c>
      <c r="D1188" s="1868">
        <v>6.2927099999999996</v>
      </c>
      <c r="E1188" s="1868">
        <v>6.06027</v>
      </c>
      <c r="F1188" s="1868">
        <v>5.7326899999999998</v>
      </c>
      <c r="G1188" s="1868">
        <v>5.3791500000000001</v>
      </c>
      <c r="H1188" s="1868">
        <v>6.0326300000000002</v>
      </c>
      <c r="I1188" s="1868">
        <v>6.01105</v>
      </c>
      <c r="J1188" s="1868">
        <v>6.2706900000000001</v>
      </c>
      <c r="K1188" s="1868">
        <v>5.76755</v>
      </c>
      <c r="L1188" s="1868">
        <v>6.0251400000000004</v>
      </c>
      <c r="M1188" s="1868">
        <v>6.2690299999999999</v>
      </c>
      <c r="N1188" s="1868">
        <v>6.5012300000000005</v>
      </c>
      <c r="O1188" s="1868">
        <v>6.53749</v>
      </c>
      <c r="P1188" s="1868">
        <v>6.8817600000000008</v>
      </c>
      <c r="Q1188" s="1868">
        <v>7.5004600000000003</v>
      </c>
      <c r="R1188" s="1868">
        <v>7.3774699999999998</v>
      </c>
      <c r="S1188" s="1868">
        <v>7.8731499999999999</v>
      </c>
      <c r="T1188" s="1868">
        <v>7.3043300000000002</v>
      </c>
      <c r="U1188" s="1868">
        <v>7.4200899999999992</v>
      </c>
      <c r="V1188" s="1868">
        <v>7.5599600000000002</v>
      </c>
      <c r="W1188" s="1868">
        <v>7.66275</v>
      </c>
      <c r="X1188" s="1868">
        <v>7.3258399999999995</v>
      </c>
      <c r="Y1188" s="1868">
        <v>7.3747100000000003</v>
      </c>
      <c r="Z1188" s="1868">
        <v>7.0356899999999998</v>
      </c>
      <c r="AA1188" s="1868">
        <v>7.0294300000000005</v>
      </c>
      <c r="AB1188" s="1868">
        <v>7.4181300000000006</v>
      </c>
      <c r="AC1188" s="1868">
        <v>7.8156399999999993</v>
      </c>
      <c r="AD1188" s="1868">
        <v>7.4809000000000001</v>
      </c>
      <c r="AE1188" s="1868">
        <v>7.5870199999999999</v>
      </c>
      <c r="AF1188" s="1868">
        <v>6.9848699999999999</v>
      </c>
      <c r="AG1188" s="1868">
        <v>6.8761999999999999</v>
      </c>
      <c r="AH1188" s="1868">
        <v>7.4005000000000001</v>
      </c>
      <c r="AI1188" s="1868">
        <v>7.2503800000000007</v>
      </c>
      <c r="AJ1188" s="1868">
        <v>6.6241500000000002</v>
      </c>
      <c r="AK1188" s="1868">
        <v>7.2785899999999994</v>
      </c>
      <c r="AL1188" s="1868">
        <v>6.7941500000000001</v>
      </c>
      <c r="AM1188" s="1868">
        <v>7.2530299999999999</v>
      </c>
      <c r="AN1188" s="1868">
        <v>7.194189999999999</v>
      </c>
      <c r="AO1188" s="1868">
        <v>7.59253</v>
      </c>
      <c r="AP1188" s="1868">
        <v>7.5577500000000004</v>
      </c>
      <c r="AQ1188" s="1868">
        <v>7.4192</v>
      </c>
      <c r="AR1188" s="1868">
        <v>7.2582600000000008</v>
      </c>
      <c r="AS1188" s="1868">
        <v>7.6640800000000002</v>
      </c>
      <c r="AT1188" s="1868">
        <v>7.5238500000000004</v>
      </c>
      <c r="AU1188" s="1868">
        <v>7.7615499999999997</v>
      </c>
      <c r="AV1188" s="1868">
        <v>6.9500699999999993</v>
      </c>
      <c r="AW1188" s="1868">
        <v>6.8674800000000005</v>
      </c>
      <c r="AX1188" s="1868">
        <v>7.0094899999999996</v>
      </c>
      <c r="AY1188" s="1868">
        <v>7.5731100000000007</v>
      </c>
      <c r="AZ1188" s="1868">
        <v>7.4134199999999995</v>
      </c>
      <c r="BA1188" s="1868">
        <v>7.1794600000000006</v>
      </c>
    </row>
    <row r="1189" spans="1:53">
      <c r="A1189" s="1865" t="str">
        <f t="shared" si="18"/>
        <v>Southern EuropeLinseed</v>
      </c>
      <c r="B1189" s="1866" t="s">
        <v>1423</v>
      </c>
      <c r="C1189" s="1866" t="s">
        <v>1381</v>
      </c>
      <c r="D1189" s="1868">
        <v>0.47688999999999998</v>
      </c>
      <c r="E1189" s="1868">
        <v>0.51171999999999995</v>
      </c>
      <c r="F1189" s="1868">
        <v>0.46656000000000003</v>
      </c>
      <c r="G1189" s="1868">
        <v>0.47478999999999999</v>
      </c>
      <c r="H1189" s="1868">
        <v>0.45986000000000005</v>
      </c>
      <c r="I1189" s="1868">
        <v>0.48166000000000003</v>
      </c>
      <c r="J1189" s="1868">
        <v>0.51541999999999999</v>
      </c>
      <c r="K1189" s="1868">
        <v>0.52734999999999999</v>
      </c>
      <c r="L1189" s="1868">
        <v>0.36579</v>
      </c>
      <c r="M1189" s="1868">
        <v>0.34568000000000004</v>
      </c>
      <c r="N1189" s="1868">
        <v>0.39111999999999997</v>
      </c>
      <c r="O1189" s="1868">
        <v>0.47033000000000003</v>
      </c>
      <c r="P1189" s="1868">
        <v>0.40085999999999999</v>
      </c>
      <c r="Q1189" s="1868">
        <v>0.50544999999999995</v>
      </c>
      <c r="R1189" s="1868">
        <v>0.62383999999999995</v>
      </c>
      <c r="S1189" s="1868">
        <v>0.70145000000000002</v>
      </c>
      <c r="T1189" s="1868">
        <v>0.54017999999999999</v>
      </c>
      <c r="U1189" s="1868">
        <v>0.61721999999999999</v>
      </c>
      <c r="V1189" s="1868">
        <v>0.54525000000000001</v>
      </c>
      <c r="W1189" s="1868">
        <v>0.68657999999999997</v>
      </c>
      <c r="X1189" s="1868">
        <v>0.59704999999999997</v>
      </c>
      <c r="Y1189" s="1868">
        <v>0.49653000000000003</v>
      </c>
      <c r="Z1189" s="1868">
        <v>0.43796999999999997</v>
      </c>
      <c r="AA1189" s="1868">
        <v>0.40921000000000002</v>
      </c>
      <c r="AB1189" s="1868">
        <v>0.43828999999999996</v>
      </c>
      <c r="AC1189" s="1868">
        <v>0.41733000000000003</v>
      </c>
      <c r="AD1189" s="1868">
        <v>0.27473999999999998</v>
      </c>
      <c r="AE1189" s="1868">
        <v>0.52117000000000002</v>
      </c>
      <c r="AF1189" s="1868">
        <v>0.61033000000000004</v>
      </c>
      <c r="AG1189" s="1868">
        <v>0.84443999999999997</v>
      </c>
      <c r="AH1189" s="1868">
        <v>0.89972999999999992</v>
      </c>
      <c r="AI1189" s="1868">
        <v>0.65246000000000004</v>
      </c>
      <c r="AJ1189" s="1868">
        <v>0.99757999999999991</v>
      </c>
      <c r="AK1189" s="1868">
        <v>0.71643999999999997</v>
      </c>
      <c r="AL1189" s="1868">
        <v>0.78339999999999999</v>
      </c>
      <c r="AM1189" s="1868">
        <v>0.38369999999999999</v>
      </c>
      <c r="AN1189" s="1868">
        <v>0.39600000000000002</v>
      </c>
      <c r="AO1189" s="1868">
        <v>0.90531000000000006</v>
      </c>
      <c r="AP1189" s="1868">
        <v>0.92857000000000012</v>
      </c>
      <c r="AQ1189" s="1868">
        <v>0.70933999999999997</v>
      </c>
      <c r="AR1189" s="1868">
        <v>0.63549</v>
      </c>
      <c r="AS1189" s="1868">
        <v>0.41003999999999996</v>
      </c>
      <c r="AT1189" s="1868">
        <v>0.41003999999999996</v>
      </c>
      <c r="AU1189" s="1868">
        <v>1</v>
      </c>
      <c r="AV1189" s="1868">
        <v>1</v>
      </c>
      <c r="AW1189" s="1868">
        <v>0.99988999999999995</v>
      </c>
      <c r="AX1189" s="1868">
        <v>1.0054100000000001</v>
      </c>
      <c r="AY1189" s="1868">
        <v>0.92786000000000002</v>
      </c>
      <c r="AZ1189" s="1868">
        <v>1.06603</v>
      </c>
      <c r="BA1189" s="1868">
        <v>1.21505</v>
      </c>
    </row>
    <row r="1190" spans="1:53">
      <c r="A1190" s="1865" t="str">
        <f t="shared" si="18"/>
        <v>Southern EuropeMaize</v>
      </c>
      <c r="B1190" s="1866" t="s">
        <v>1423</v>
      </c>
      <c r="C1190" s="1866" t="s">
        <v>1382</v>
      </c>
      <c r="D1190" s="1868">
        <v>2.1126200000000002</v>
      </c>
      <c r="E1190" s="1868">
        <v>2.15591</v>
      </c>
      <c r="F1190" s="1868">
        <v>2.31074</v>
      </c>
      <c r="G1190" s="1868">
        <v>2.7345900000000003</v>
      </c>
      <c r="H1190" s="1868">
        <v>2.3215499999999998</v>
      </c>
      <c r="I1190" s="1868">
        <v>2.8940799999999998</v>
      </c>
      <c r="J1190" s="1868">
        <v>2.84789</v>
      </c>
      <c r="K1190" s="1868">
        <v>2.8755599999999997</v>
      </c>
      <c r="L1190" s="1868">
        <v>3.2797699999999996</v>
      </c>
      <c r="M1190" s="1868">
        <v>3.2158799999999998</v>
      </c>
      <c r="N1190" s="1868">
        <v>3.3496599999999996</v>
      </c>
      <c r="O1190" s="1868">
        <v>3.54854</v>
      </c>
      <c r="P1190" s="1868">
        <v>3.7440900000000004</v>
      </c>
      <c r="Q1190" s="1868">
        <v>3.8082500000000001</v>
      </c>
      <c r="R1190" s="1868">
        <v>4.0573899999999998</v>
      </c>
      <c r="S1190" s="1868">
        <v>4.0149900000000001</v>
      </c>
      <c r="T1190" s="1868">
        <v>4.5128699999999995</v>
      </c>
      <c r="U1190" s="1868">
        <v>4.1775500000000001</v>
      </c>
      <c r="V1190" s="1868">
        <v>4.70289</v>
      </c>
      <c r="W1190" s="1868">
        <v>4.7966699999999998</v>
      </c>
      <c r="X1190" s="1868">
        <v>4.9996800000000006</v>
      </c>
      <c r="Y1190" s="1868">
        <v>5.3379599999999998</v>
      </c>
      <c r="Z1190" s="1868">
        <v>5.2245800000000004</v>
      </c>
      <c r="AA1190" s="1868">
        <v>5.4652699999999994</v>
      </c>
      <c r="AB1190" s="1868">
        <v>5.0978199999999996</v>
      </c>
      <c r="AC1190" s="1868">
        <v>5.8962199999999996</v>
      </c>
      <c r="AD1190" s="1868">
        <v>5.2092800000000006</v>
      </c>
      <c r="AE1190" s="1868">
        <v>4.9028199999999993</v>
      </c>
      <c r="AF1190" s="1868">
        <v>5.4226999999999999</v>
      </c>
      <c r="AG1190" s="1868">
        <v>4.6815100000000003</v>
      </c>
      <c r="AH1190" s="1868">
        <v>6.0354999999999999</v>
      </c>
      <c r="AI1190" s="1868">
        <v>5.2004999999999999</v>
      </c>
      <c r="AJ1190" s="1868">
        <v>5.24404</v>
      </c>
      <c r="AK1190" s="1868">
        <v>5.4708199999999998</v>
      </c>
      <c r="AL1190" s="1868">
        <v>6.1211400000000005</v>
      </c>
      <c r="AM1190" s="1868">
        <v>6.2473000000000001</v>
      </c>
      <c r="AN1190" s="1868">
        <v>7.0295800000000002</v>
      </c>
      <c r="AO1190" s="1868">
        <v>6.4178100000000002</v>
      </c>
      <c r="AP1190" s="1868">
        <v>7.0142800000000003</v>
      </c>
      <c r="AQ1190" s="1868">
        <v>5.9551699999999999</v>
      </c>
      <c r="AR1190" s="1868">
        <v>7.1117100000000004</v>
      </c>
      <c r="AS1190" s="1868">
        <v>7.1453800000000003</v>
      </c>
      <c r="AT1190" s="1868">
        <v>5.7755400000000003</v>
      </c>
      <c r="AU1190" s="1868">
        <v>7.4955699999999998</v>
      </c>
      <c r="AV1190" s="1868">
        <v>7.6074699999999993</v>
      </c>
      <c r="AW1190" s="1868">
        <v>7.1420199999999996</v>
      </c>
      <c r="AX1190" s="1868">
        <v>6.4458099999999998</v>
      </c>
      <c r="AY1190" s="1868">
        <v>7.3524899999999995</v>
      </c>
      <c r="AZ1190" s="1868">
        <v>7.2366299999999999</v>
      </c>
      <c r="BA1190" s="1868">
        <v>7.6782399999999997</v>
      </c>
    </row>
    <row r="1191" spans="1:53">
      <c r="A1191" s="1865" t="str">
        <f t="shared" si="18"/>
        <v>Southern EuropeMaize, green</v>
      </c>
      <c r="B1191" s="1866" t="s">
        <v>1423</v>
      </c>
      <c r="C1191" s="1866" t="s">
        <v>1383</v>
      </c>
      <c r="AI1191" s="1868">
        <v>12.5</v>
      </c>
      <c r="AJ1191" s="1868">
        <v>10</v>
      </c>
      <c r="AK1191" s="1868">
        <v>10.23016</v>
      </c>
      <c r="AL1191" s="1868">
        <v>11.39015</v>
      </c>
      <c r="AM1191" s="1868">
        <v>11.53565</v>
      </c>
      <c r="AN1191" s="1868">
        <v>13.965760000000001</v>
      </c>
      <c r="AO1191" s="1868">
        <v>9.8624299999999998</v>
      </c>
      <c r="AP1191" s="1868">
        <v>11.56902</v>
      </c>
      <c r="AQ1191" s="1868">
        <v>13.198960000000001</v>
      </c>
      <c r="AR1191" s="1868">
        <v>13.276160000000001</v>
      </c>
      <c r="AS1191" s="1868">
        <v>12.79583</v>
      </c>
      <c r="AT1191" s="1868">
        <v>11.45679</v>
      </c>
      <c r="AU1191" s="1868">
        <v>13.294989999999999</v>
      </c>
      <c r="AV1191" s="1868">
        <v>20.30809</v>
      </c>
      <c r="AW1191" s="1868">
        <v>18.621300000000002</v>
      </c>
      <c r="AX1191" s="1868">
        <v>18.42212</v>
      </c>
      <c r="AY1191" s="1868">
        <v>21</v>
      </c>
      <c r="AZ1191" s="1868">
        <v>21.766579999999998</v>
      </c>
      <c r="BA1191" s="1868">
        <v>18.571429999999999</v>
      </c>
    </row>
    <row r="1192" spans="1:53">
      <c r="A1192" s="1865" t="str">
        <f t="shared" si="18"/>
        <v>Southern EuropeMillet</v>
      </c>
      <c r="B1192" s="1866" t="s">
        <v>1423</v>
      </c>
      <c r="C1192" s="1866" t="s">
        <v>1385</v>
      </c>
      <c r="D1192" s="1868">
        <v>1.28443</v>
      </c>
      <c r="E1192" s="1868">
        <v>1.1667000000000001</v>
      </c>
      <c r="F1192" s="1868">
        <v>1.3141</v>
      </c>
      <c r="G1192" s="1868">
        <v>1.26908</v>
      </c>
      <c r="H1192" s="1868">
        <v>1.20367</v>
      </c>
      <c r="I1192" s="1868">
        <v>1.6698999999999999</v>
      </c>
      <c r="J1192" s="1868">
        <v>1.6614</v>
      </c>
      <c r="K1192" s="1868">
        <v>1.8061400000000001</v>
      </c>
      <c r="L1192" s="1868">
        <v>1.7330599999999998</v>
      </c>
      <c r="M1192" s="1868">
        <v>1.5714299999999999</v>
      </c>
      <c r="N1192" s="1868">
        <v>1.59</v>
      </c>
      <c r="O1192" s="1868">
        <v>1.5301</v>
      </c>
      <c r="P1192" s="1868">
        <v>1.5334299999999998</v>
      </c>
      <c r="Q1192" s="1868">
        <v>1.6587499999999999</v>
      </c>
      <c r="R1192" s="1868">
        <v>1.9039700000000002</v>
      </c>
      <c r="S1192" s="1868">
        <v>1.9396900000000001</v>
      </c>
      <c r="T1192" s="1868">
        <v>1.3740000000000001</v>
      </c>
      <c r="U1192" s="1868">
        <v>1.9777799999999999</v>
      </c>
      <c r="V1192" s="1868">
        <v>1.7784</v>
      </c>
      <c r="W1192" s="1868">
        <v>1.5402200000000001</v>
      </c>
      <c r="X1192" s="1868">
        <v>2.1317200000000001</v>
      </c>
      <c r="Y1192" s="1868">
        <v>1.8937299999999999</v>
      </c>
      <c r="Z1192" s="1868">
        <v>1.3519600000000001</v>
      </c>
      <c r="AA1192" s="1868">
        <v>1.7978799999999999</v>
      </c>
      <c r="AB1192" s="1868">
        <v>1.64113</v>
      </c>
      <c r="AC1192" s="1868">
        <v>2.0328200000000001</v>
      </c>
      <c r="AD1192" s="1868">
        <v>2.66344</v>
      </c>
      <c r="AE1192" s="1868">
        <v>2.0559799999999999</v>
      </c>
      <c r="AF1192" s="1868">
        <v>2.4433799999999999</v>
      </c>
      <c r="AG1192" s="1868">
        <v>1.92543</v>
      </c>
      <c r="AH1192" s="1868">
        <v>2.3591000000000002</v>
      </c>
      <c r="AI1192" s="1868">
        <v>2.43573</v>
      </c>
      <c r="AJ1192" s="1868">
        <v>1.96163</v>
      </c>
      <c r="AK1192" s="1868">
        <v>2.9351099999999999</v>
      </c>
      <c r="AL1192" s="1868">
        <v>2.45363</v>
      </c>
      <c r="AM1192" s="1868">
        <v>3.03992</v>
      </c>
      <c r="AN1192" s="1868">
        <v>2.3561099999999997</v>
      </c>
      <c r="AO1192" s="1868">
        <v>2.2934099999999997</v>
      </c>
      <c r="AP1192" s="1868">
        <v>1.8778400000000002</v>
      </c>
      <c r="AQ1192" s="1868">
        <v>1.9457200000000001</v>
      </c>
      <c r="AR1192" s="1868">
        <v>2.1629299999999998</v>
      </c>
      <c r="AS1192" s="1868">
        <v>2.43249</v>
      </c>
      <c r="AT1192" s="1868">
        <v>1.9809099999999999</v>
      </c>
      <c r="AU1192" s="1868">
        <v>2.12568</v>
      </c>
      <c r="AV1192" s="1868">
        <v>1.7347599999999999</v>
      </c>
      <c r="AW1192" s="1868">
        <v>1.9426599999999998</v>
      </c>
      <c r="AX1192" s="1868">
        <v>1.90802</v>
      </c>
      <c r="AY1192" s="1868">
        <v>1.8618700000000001</v>
      </c>
      <c r="AZ1192" s="1868">
        <v>1.88506</v>
      </c>
      <c r="BA1192" s="1868">
        <v>1.94537</v>
      </c>
    </row>
    <row r="1193" spans="1:53">
      <c r="A1193" s="1865" t="str">
        <f t="shared" si="18"/>
        <v>Southern EuropeOats</v>
      </c>
      <c r="B1193" s="1866" t="s">
        <v>1423</v>
      </c>
      <c r="C1193" s="1866" t="s">
        <v>1349</v>
      </c>
      <c r="D1193" s="1868">
        <v>0.96407999999999994</v>
      </c>
      <c r="E1193" s="1868">
        <v>0.98446</v>
      </c>
      <c r="F1193" s="1868">
        <v>0.95237999999999989</v>
      </c>
      <c r="G1193" s="1868">
        <v>0.86987999999999988</v>
      </c>
      <c r="H1193" s="1868">
        <v>0.93742999999999987</v>
      </c>
      <c r="I1193" s="1868">
        <v>1.0335799999999999</v>
      </c>
      <c r="J1193" s="1868">
        <v>1.12924</v>
      </c>
      <c r="K1193" s="1868">
        <v>1.01312</v>
      </c>
      <c r="L1193" s="1868">
        <v>1.08917</v>
      </c>
      <c r="M1193" s="1868">
        <v>1.0285299999999999</v>
      </c>
      <c r="N1193" s="1868">
        <v>1.29</v>
      </c>
      <c r="O1193" s="1868">
        <v>1.0930200000000001</v>
      </c>
      <c r="P1193" s="1868">
        <v>0.99219999999999997</v>
      </c>
      <c r="Q1193" s="1868">
        <v>1.3133700000000001</v>
      </c>
      <c r="R1193" s="1868">
        <v>1.37405</v>
      </c>
      <c r="S1193" s="1868">
        <v>1.2373799999999999</v>
      </c>
      <c r="T1193" s="1868">
        <v>1.1397899999999999</v>
      </c>
      <c r="U1193" s="1868">
        <v>1.30894</v>
      </c>
      <c r="V1193" s="1868">
        <v>1.2226399999999999</v>
      </c>
      <c r="W1193" s="1868">
        <v>1.4513200000000002</v>
      </c>
      <c r="X1193" s="1868">
        <v>1.2200299999999999</v>
      </c>
      <c r="Y1193" s="1868">
        <v>1.1791700000000001</v>
      </c>
      <c r="Z1193" s="1868">
        <v>1.12202</v>
      </c>
      <c r="AA1193" s="1868">
        <v>1.5938399999999999</v>
      </c>
      <c r="AB1193" s="1868">
        <v>1.4432700000000001</v>
      </c>
      <c r="AC1193" s="1868">
        <v>1.4562299999999999</v>
      </c>
      <c r="AD1193" s="1868">
        <v>1.56172</v>
      </c>
      <c r="AE1193" s="1868">
        <v>1.6376600000000001</v>
      </c>
      <c r="AF1193" s="1868">
        <v>1.5278200000000002</v>
      </c>
      <c r="AG1193" s="1868">
        <v>1.5616099999999999</v>
      </c>
      <c r="AH1193" s="1868">
        <v>1.5805</v>
      </c>
      <c r="AI1193" s="1868">
        <v>1.42652</v>
      </c>
      <c r="AJ1193" s="1868">
        <v>1.62764</v>
      </c>
      <c r="AK1193" s="1868">
        <v>1.57667</v>
      </c>
      <c r="AL1193" s="1868">
        <v>1.2096</v>
      </c>
      <c r="AM1193" s="1868">
        <v>1.7733000000000001</v>
      </c>
      <c r="AN1193" s="1868">
        <v>1.51502</v>
      </c>
      <c r="AO1193" s="1868">
        <v>1.8904900000000002</v>
      </c>
      <c r="AP1193" s="1868">
        <v>1.6034899999999999</v>
      </c>
      <c r="AQ1193" s="1868">
        <v>2.0543999999999998</v>
      </c>
      <c r="AR1193" s="1868">
        <v>1.6583700000000001</v>
      </c>
      <c r="AS1193" s="1868">
        <v>1.99068</v>
      </c>
      <c r="AT1193" s="1868">
        <v>1.8010299999999999</v>
      </c>
      <c r="AU1193" s="1868">
        <v>2.1343900000000002</v>
      </c>
      <c r="AV1193" s="1868">
        <v>1.56002</v>
      </c>
      <c r="AW1193" s="1868">
        <v>1.9686099999999997</v>
      </c>
      <c r="AX1193" s="1868">
        <v>2.31012</v>
      </c>
      <c r="AY1193" s="1868">
        <v>2.3043800000000001</v>
      </c>
      <c r="AZ1193" s="1868">
        <v>1.7915700000000001</v>
      </c>
      <c r="BA1193" s="1868">
        <v>1.93838</v>
      </c>
    </row>
    <row r="1194" spans="1:53">
      <c r="A1194" s="1865" t="str">
        <f t="shared" si="18"/>
        <v>Southern EuropeOlives</v>
      </c>
      <c r="B1194" s="1866" t="s">
        <v>1423</v>
      </c>
      <c r="C1194" s="1866" t="s">
        <v>1387</v>
      </c>
      <c r="D1194" s="1868">
        <v>5.2340400000000002</v>
      </c>
      <c r="E1194" s="1868">
        <v>3.36544</v>
      </c>
      <c r="F1194" s="1868">
        <v>6.5148999999999999</v>
      </c>
      <c r="G1194" s="1868">
        <v>2.81351</v>
      </c>
      <c r="H1194" s="1868">
        <v>4.3209400000000002</v>
      </c>
      <c r="I1194" s="1868">
        <v>4.0533199999999994</v>
      </c>
      <c r="J1194" s="1868">
        <v>4.4876399999999999</v>
      </c>
      <c r="K1194" s="1868">
        <v>4.1971300000000005</v>
      </c>
      <c r="L1194" s="1868">
        <v>4.1563800000000004</v>
      </c>
      <c r="M1194" s="1868">
        <v>4.2422500000000003</v>
      </c>
      <c r="N1194" s="1868">
        <v>4.3647099999999996</v>
      </c>
      <c r="O1194" s="1868">
        <v>4.18241</v>
      </c>
      <c r="P1194" s="1868">
        <v>4.5903999999999998</v>
      </c>
      <c r="Q1194" s="1868">
        <v>3.8552499999999998</v>
      </c>
      <c r="R1194" s="1868">
        <v>5.1608000000000001</v>
      </c>
      <c r="S1194" s="1868">
        <v>3.6687599999999998</v>
      </c>
      <c r="T1194" s="1868">
        <v>4.891</v>
      </c>
      <c r="U1194" s="1868">
        <v>4.7240900000000003</v>
      </c>
      <c r="V1194" s="1868">
        <v>4.8857999999999997</v>
      </c>
      <c r="W1194" s="1868">
        <v>3.1727699999999999</v>
      </c>
      <c r="X1194" s="1868">
        <v>1.8705099999999999</v>
      </c>
      <c r="Y1194" s="1868">
        <v>2.3418099999999997</v>
      </c>
      <c r="Z1194" s="1868">
        <v>2.1326099999999997</v>
      </c>
      <c r="AA1194" s="1868">
        <v>2.1384500000000002</v>
      </c>
      <c r="AB1194" s="1868">
        <v>1.7309299999999999</v>
      </c>
      <c r="AC1194" s="1868">
        <v>1.4034</v>
      </c>
      <c r="AD1194" s="1868">
        <v>2.0883500000000002</v>
      </c>
      <c r="AE1194" s="1868">
        <v>1.45766</v>
      </c>
      <c r="AF1194" s="1868">
        <v>1.8725599999999998</v>
      </c>
      <c r="AG1194" s="1868">
        <v>1.2792399999999999</v>
      </c>
      <c r="AH1194" s="1868">
        <v>2.20499</v>
      </c>
      <c r="AI1194" s="1868">
        <v>1.7687599999999999</v>
      </c>
      <c r="AJ1194" s="1868">
        <v>1.7924400000000003</v>
      </c>
      <c r="AK1194" s="1868">
        <v>1.7782799999999999</v>
      </c>
      <c r="AL1194" s="1868">
        <v>1.7515700000000001</v>
      </c>
      <c r="AM1194" s="1868">
        <v>2.0994900000000003</v>
      </c>
      <c r="AN1194" s="1868">
        <v>2.6633499999999999</v>
      </c>
      <c r="AO1194" s="1868">
        <v>2.0763700000000003</v>
      </c>
      <c r="AP1194" s="1868">
        <v>2.2200099999999998</v>
      </c>
      <c r="AQ1194" s="1868">
        <v>2.2700099999999996</v>
      </c>
      <c r="AR1194" s="1868">
        <v>2.6334900000000001</v>
      </c>
      <c r="AS1194" s="1868">
        <v>2.2061799999999998</v>
      </c>
      <c r="AT1194" s="1868">
        <v>2.80585</v>
      </c>
      <c r="AU1194" s="1868">
        <v>2.5430599999999997</v>
      </c>
      <c r="AV1194" s="1868">
        <v>2.2007699999999999</v>
      </c>
      <c r="AW1194" s="1868">
        <v>2.452</v>
      </c>
      <c r="AX1194" s="1868">
        <v>2.4714900000000002</v>
      </c>
      <c r="AY1194" s="1868">
        <v>2.4713400000000001</v>
      </c>
      <c r="AZ1194" s="1868">
        <v>2.8603999999999998</v>
      </c>
      <c r="BA1194" s="1868">
        <v>3.0117700000000003</v>
      </c>
    </row>
    <row r="1195" spans="1:53">
      <c r="A1195" s="1865" t="str">
        <f t="shared" si="18"/>
        <v>Southern EuropeOnions, dry</v>
      </c>
      <c r="B1195" s="1866" t="s">
        <v>1423</v>
      </c>
      <c r="C1195" s="1866" t="s">
        <v>1388</v>
      </c>
      <c r="D1195" s="1868">
        <v>15.154949999999999</v>
      </c>
      <c r="E1195" s="1868">
        <v>14.910029999999999</v>
      </c>
      <c r="F1195" s="1868">
        <v>15.659700000000001</v>
      </c>
      <c r="G1195" s="1868">
        <v>15.31465</v>
      </c>
      <c r="H1195" s="1868">
        <v>15.118039999999999</v>
      </c>
      <c r="I1195" s="1868">
        <v>15.075170000000002</v>
      </c>
      <c r="J1195" s="1868">
        <v>16.548189999999998</v>
      </c>
      <c r="K1195" s="1868">
        <v>16.267009999999999</v>
      </c>
      <c r="L1195" s="1868">
        <v>16.53172</v>
      </c>
      <c r="M1195" s="1868">
        <v>15.997010000000001</v>
      </c>
      <c r="N1195" s="1868">
        <v>16.536460000000002</v>
      </c>
      <c r="O1195" s="1868">
        <v>16.337710000000001</v>
      </c>
      <c r="P1195" s="1868">
        <v>16.685579999999998</v>
      </c>
      <c r="Q1195" s="1868">
        <v>16.606570000000001</v>
      </c>
      <c r="R1195" s="1868">
        <v>16.264399999999998</v>
      </c>
      <c r="S1195" s="1868">
        <v>16.517009999999999</v>
      </c>
      <c r="T1195" s="1868">
        <v>18.91742</v>
      </c>
      <c r="U1195" s="1868">
        <v>17.864660000000001</v>
      </c>
      <c r="V1195" s="1868">
        <v>17.691140000000001</v>
      </c>
      <c r="W1195" s="1868">
        <v>18.09684</v>
      </c>
      <c r="X1195" s="1868">
        <v>19.181910000000002</v>
      </c>
      <c r="Y1195" s="1868">
        <v>18.821110000000001</v>
      </c>
      <c r="Z1195" s="1868">
        <v>18.21414</v>
      </c>
      <c r="AA1195" s="1868">
        <v>19.516270000000002</v>
      </c>
      <c r="AB1195" s="1868">
        <v>19.750629999999997</v>
      </c>
      <c r="AC1195" s="1868">
        <v>19.820439999999998</v>
      </c>
      <c r="AD1195" s="1868">
        <v>19.730499999999999</v>
      </c>
      <c r="AE1195" s="1868">
        <v>18.945049999999998</v>
      </c>
      <c r="AF1195" s="1868">
        <v>19.0517</v>
      </c>
      <c r="AG1195" s="1868">
        <v>19.142240000000001</v>
      </c>
      <c r="AH1195" s="1868">
        <v>19.519179999999999</v>
      </c>
      <c r="AI1195" s="1868">
        <v>19.976489999999998</v>
      </c>
      <c r="AJ1195" s="1868">
        <v>18.434660000000001</v>
      </c>
      <c r="AK1195" s="1868">
        <v>19.941870000000002</v>
      </c>
      <c r="AL1195" s="1868">
        <v>20.194320000000001</v>
      </c>
      <c r="AM1195" s="1868">
        <v>20.063949999999998</v>
      </c>
      <c r="AN1195" s="1868">
        <v>20.62914</v>
      </c>
      <c r="AO1195" s="1868">
        <v>20.88617</v>
      </c>
      <c r="AP1195" s="1868">
        <v>22.516400000000001</v>
      </c>
      <c r="AQ1195" s="1868">
        <v>22.20045</v>
      </c>
      <c r="AR1195" s="1868">
        <v>22.958660000000002</v>
      </c>
      <c r="AS1195" s="1868">
        <v>23.094089999999998</v>
      </c>
      <c r="AT1195" s="1868">
        <v>20.881489999999999</v>
      </c>
      <c r="AU1195" s="1868">
        <v>24.315539999999999</v>
      </c>
      <c r="AV1195" s="1868">
        <v>23.96856</v>
      </c>
      <c r="AW1195" s="1868">
        <v>26.04936</v>
      </c>
      <c r="AX1195" s="1868">
        <v>26.851700000000001</v>
      </c>
      <c r="AY1195" s="1868">
        <v>24.012139999999999</v>
      </c>
      <c r="AZ1195" s="1868">
        <v>28.008520000000001</v>
      </c>
      <c r="BA1195" s="1868">
        <v>26.168479999999999</v>
      </c>
    </row>
    <row r="1196" spans="1:53">
      <c r="A1196" s="1865" t="str">
        <f t="shared" si="18"/>
        <v>Southern EuropeOranges</v>
      </c>
      <c r="B1196" s="1866" t="s">
        <v>1423</v>
      </c>
      <c r="C1196" s="1866" t="s">
        <v>1389</v>
      </c>
      <c r="D1196" s="1868">
        <v>16.37002</v>
      </c>
      <c r="E1196" s="1868">
        <v>12.48456</v>
      </c>
      <c r="F1196" s="1868">
        <v>15.79219</v>
      </c>
      <c r="G1196" s="1868">
        <v>16.416039999999999</v>
      </c>
      <c r="H1196" s="1868">
        <v>16.31353</v>
      </c>
      <c r="I1196" s="1868">
        <v>17.604979999999998</v>
      </c>
      <c r="J1196" s="1868">
        <v>15.8568</v>
      </c>
      <c r="K1196" s="1868">
        <v>15.83554</v>
      </c>
      <c r="L1196" s="1868">
        <v>17.738009999999999</v>
      </c>
      <c r="M1196" s="1868">
        <v>14.15325</v>
      </c>
      <c r="N1196" s="1868">
        <v>14.498670000000001</v>
      </c>
      <c r="O1196" s="1868">
        <v>16.893750000000001</v>
      </c>
      <c r="P1196" s="1868">
        <v>15.109210000000001</v>
      </c>
      <c r="Q1196" s="1868">
        <v>15.294570000000002</v>
      </c>
      <c r="R1196" s="1868">
        <v>14.811470000000002</v>
      </c>
      <c r="S1196" s="1868">
        <v>14.836039999999999</v>
      </c>
      <c r="T1196" s="1868">
        <v>14.417720000000001</v>
      </c>
      <c r="U1196" s="1868">
        <v>13.396170000000001</v>
      </c>
      <c r="V1196" s="1868">
        <v>14.813039999999999</v>
      </c>
      <c r="W1196" s="1868">
        <v>15.163</v>
      </c>
      <c r="X1196" s="1868">
        <v>15.384310000000001</v>
      </c>
      <c r="Y1196" s="1868">
        <v>15.342739999999999</v>
      </c>
      <c r="Z1196" s="1868">
        <v>19.862549999999999</v>
      </c>
      <c r="AA1196" s="1868">
        <v>14.659329999999999</v>
      </c>
      <c r="AB1196" s="1868">
        <v>17.951529999999998</v>
      </c>
      <c r="AC1196" s="1868">
        <v>19.006720000000001</v>
      </c>
      <c r="AD1196" s="1868">
        <v>15.494420000000002</v>
      </c>
      <c r="AE1196" s="1868">
        <v>18.706889999999998</v>
      </c>
      <c r="AF1196" s="1868">
        <v>20.25263</v>
      </c>
      <c r="AG1196" s="1868">
        <v>18.50216</v>
      </c>
      <c r="AH1196" s="1868">
        <v>18.386689999999998</v>
      </c>
      <c r="AI1196" s="1868">
        <v>20.61373</v>
      </c>
      <c r="AJ1196" s="1868">
        <v>18.565620000000003</v>
      </c>
      <c r="AK1196" s="1868">
        <v>18.54731</v>
      </c>
      <c r="AL1196" s="1868">
        <v>17.52525</v>
      </c>
      <c r="AM1196" s="1868">
        <v>16.75225</v>
      </c>
      <c r="AN1196" s="1868">
        <v>19.141449999999999</v>
      </c>
      <c r="AO1196" s="1868">
        <v>15.630120000000002</v>
      </c>
      <c r="AP1196" s="1868">
        <v>19.045349999999999</v>
      </c>
      <c r="AQ1196" s="1868">
        <v>18.65803</v>
      </c>
      <c r="AR1196" s="1868">
        <v>19.40607</v>
      </c>
      <c r="AS1196" s="1868">
        <v>21.09506</v>
      </c>
      <c r="AT1196" s="1868">
        <v>19.678820000000002</v>
      </c>
      <c r="AU1196" s="1868">
        <v>19.165520000000001</v>
      </c>
      <c r="AV1196" s="1868">
        <v>18.918960000000002</v>
      </c>
      <c r="AW1196" s="1868">
        <v>22.377749999999999</v>
      </c>
      <c r="AX1196" s="1868">
        <v>20.11356</v>
      </c>
      <c r="AY1196" s="1868">
        <v>20.605869999999999</v>
      </c>
      <c r="AZ1196" s="1868">
        <v>19.425320000000003</v>
      </c>
      <c r="BA1196" s="1868">
        <v>22.576070000000001</v>
      </c>
    </row>
    <row r="1197" spans="1:53">
      <c r="A1197" s="1865" t="str">
        <f t="shared" si="18"/>
        <v>Southern EuropePeaches and nectarines</v>
      </c>
      <c r="B1197" s="1866" t="s">
        <v>1423</v>
      </c>
      <c r="C1197" s="1866" t="s">
        <v>1390</v>
      </c>
      <c r="D1197" s="1868">
        <v>10.055870000000001</v>
      </c>
      <c r="E1197" s="1868">
        <v>9.7743300000000009</v>
      </c>
      <c r="F1197" s="1868">
        <v>11.221360000000001</v>
      </c>
      <c r="G1197" s="1868">
        <v>11.542680000000001</v>
      </c>
      <c r="H1197" s="1868">
        <v>10.910299999999999</v>
      </c>
      <c r="I1197" s="1868">
        <v>11.296330000000001</v>
      </c>
      <c r="J1197" s="1868">
        <v>9.8448100000000007</v>
      </c>
      <c r="K1197" s="1868">
        <v>12.924770000000001</v>
      </c>
      <c r="L1197" s="1868">
        <v>9.5593500000000002</v>
      </c>
      <c r="M1197" s="1868">
        <v>10.855650000000001</v>
      </c>
      <c r="N1197" s="1868">
        <v>11.83858</v>
      </c>
      <c r="O1197" s="1868">
        <v>11.83212</v>
      </c>
      <c r="P1197" s="1868">
        <v>11.24178</v>
      </c>
      <c r="Q1197" s="1868">
        <v>11.732229999999999</v>
      </c>
      <c r="R1197" s="1868">
        <v>10.444610000000001</v>
      </c>
      <c r="S1197" s="1868">
        <v>13.85951</v>
      </c>
      <c r="T1197" s="1868">
        <v>10.815049999999999</v>
      </c>
      <c r="U1197" s="1868">
        <v>12.46491</v>
      </c>
      <c r="V1197" s="1868">
        <v>12.85558</v>
      </c>
      <c r="W1197" s="1868">
        <v>13.555720000000001</v>
      </c>
      <c r="X1197" s="1868">
        <v>15.177899999999999</v>
      </c>
      <c r="Y1197" s="1868">
        <v>15.632620000000001</v>
      </c>
      <c r="Z1197" s="1868">
        <v>15.967970000000001</v>
      </c>
      <c r="AA1197" s="1868">
        <v>15.434379999999999</v>
      </c>
      <c r="AB1197" s="1868">
        <v>12.98063</v>
      </c>
      <c r="AC1197" s="1868">
        <v>12.71039</v>
      </c>
      <c r="AD1197" s="1868">
        <v>13.164</v>
      </c>
      <c r="AE1197" s="1868">
        <v>12.547880000000001</v>
      </c>
      <c r="AF1197" s="1868">
        <v>13.48649</v>
      </c>
      <c r="AG1197" s="1868">
        <v>13.43829</v>
      </c>
      <c r="AH1197" s="1868">
        <v>12.68346</v>
      </c>
      <c r="AI1197" s="1868">
        <v>16.681100000000001</v>
      </c>
      <c r="AJ1197" s="1868">
        <v>14.842079999999999</v>
      </c>
      <c r="AK1197" s="1868">
        <v>15.579239999999999</v>
      </c>
      <c r="AL1197" s="1868">
        <v>12.556410000000001</v>
      </c>
      <c r="AM1197" s="1868">
        <v>15.504829999999998</v>
      </c>
      <c r="AN1197" s="1868">
        <v>12.2028</v>
      </c>
      <c r="AO1197" s="1868">
        <v>12.93876</v>
      </c>
      <c r="AP1197" s="1868">
        <v>17.052960000000002</v>
      </c>
      <c r="AQ1197" s="1868">
        <v>16.8871</v>
      </c>
      <c r="AR1197" s="1868">
        <v>16.261589999999998</v>
      </c>
      <c r="AS1197" s="1868">
        <v>15.779329999999998</v>
      </c>
      <c r="AT1197" s="1868">
        <v>12.200469999999999</v>
      </c>
      <c r="AU1197" s="1868">
        <v>16.011689999999998</v>
      </c>
      <c r="AV1197" s="1868">
        <v>17.19332</v>
      </c>
      <c r="AW1197" s="1868">
        <v>16.646039999999999</v>
      </c>
      <c r="AX1197" s="1868">
        <v>16.491039999999998</v>
      </c>
      <c r="AY1197" s="1868">
        <v>16.86544</v>
      </c>
      <c r="AZ1197" s="1868">
        <v>16.661539999999999</v>
      </c>
      <c r="BA1197" s="1868">
        <v>15.8238</v>
      </c>
    </row>
    <row r="1198" spans="1:53">
      <c r="A1198" s="1865" t="str">
        <f t="shared" si="18"/>
        <v>Southern EuropePeas, dry</v>
      </c>
      <c r="B1198" s="1866" t="s">
        <v>1423</v>
      </c>
      <c r="C1198" s="1866" t="s">
        <v>1391</v>
      </c>
      <c r="D1198" s="1868">
        <v>0.74001000000000006</v>
      </c>
      <c r="E1198" s="1868">
        <v>0.83796000000000004</v>
      </c>
      <c r="F1198" s="1868">
        <v>0.86165999999999998</v>
      </c>
      <c r="G1198" s="1868">
        <v>0.82046000000000008</v>
      </c>
      <c r="H1198" s="1868">
        <v>0.72394999999999998</v>
      </c>
      <c r="I1198" s="1868">
        <v>0.87812000000000012</v>
      </c>
      <c r="J1198" s="1868">
        <v>0.91052999999999995</v>
      </c>
      <c r="K1198" s="1868">
        <v>0.8585299999999999</v>
      </c>
      <c r="L1198" s="1868">
        <v>0.95602000000000009</v>
      </c>
      <c r="M1198" s="1868">
        <v>0.95871000000000006</v>
      </c>
      <c r="N1198" s="1868">
        <v>1.0682399999999999</v>
      </c>
      <c r="O1198" s="1868">
        <v>0.9438200000000001</v>
      </c>
      <c r="P1198" s="1868">
        <v>0.99918999999999991</v>
      </c>
      <c r="Q1198" s="1868">
        <v>1.05139</v>
      </c>
      <c r="R1198" s="1868">
        <v>0.8888299999999999</v>
      </c>
      <c r="S1198" s="1868">
        <v>0.99458999999999997</v>
      </c>
      <c r="T1198" s="1868">
        <v>1.2104600000000001</v>
      </c>
      <c r="U1198" s="1868">
        <v>1.2151299999999998</v>
      </c>
      <c r="V1198" s="1868">
        <v>1.0164200000000001</v>
      </c>
      <c r="W1198" s="1868">
        <v>1.0817099999999999</v>
      </c>
      <c r="X1198" s="1868">
        <v>0.96389999999999998</v>
      </c>
      <c r="Y1198" s="1868">
        <v>1.0065299999999999</v>
      </c>
      <c r="Z1198" s="1868">
        <v>0.99555000000000005</v>
      </c>
      <c r="AA1198" s="1868">
        <v>1.2300899999999999</v>
      </c>
      <c r="AB1198" s="1868">
        <v>1.5195799999999999</v>
      </c>
      <c r="AC1198" s="1868">
        <v>1.5097</v>
      </c>
      <c r="AD1198" s="1868">
        <v>1.49983</v>
      </c>
      <c r="AE1198" s="1868">
        <v>1.2145900000000001</v>
      </c>
      <c r="AF1198" s="1868">
        <v>1.7363099999999998</v>
      </c>
      <c r="AG1198" s="1868">
        <v>1.9324599999999998</v>
      </c>
      <c r="AH1198" s="1868">
        <v>2.1999499999999999</v>
      </c>
      <c r="AI1198" s="1868">
        <v>1.9495799999999999</v>
      </c>
      <c r="AJ1198" s="1868">
        <v>1.8691</v>
      </c>
      <c r="AK1198" s="1868">
        <v>1.29382</v>
      </c>
      <c r="AL1198" s="1868">
        <v>1.0953899999999999</v>
      </c>
      <c r="AM1198" s="1868">
        <v>1.2160500000000001</v>
      </c>
      <c r="AN1198" s="1868">
        <v>1.2064999999999999</v>
      </c>
      <c r="AO1198" s="1868">
        <v>1.5097399999999999</v>
      </c>
      <c r="AP1198" s="1868">
        <v>1.51166</v>
      </c>
      <c r="AQ1198" s="1868">
        <v>1.58867</v>
      </c>
      <c r="AR1198" s="1868">
        <v>1.45478</v>
      </c>
      <c r="AS1198" s="1868">
        <v>1.60849</v>
      </c>
      <c r="AT1198" s="1868">
        <v>1.60144</v>
      </c>
      <c r="AU1198" s="1868">
        <v>1.67947</v>
      </c>
      <c r="AV1198" s="1868">
        <v>1.1810499999999999</v>
      </c>
      <c r="AW1198" s="1868">
        <v>1.5820299999999998</v>
      </c>
      <c r="AX1198" s="1868">
        <v>1.4405700000000001</v>
      </c>
      <c r="AY1198" s="1868">
        <v>1.6772499999999999</v>
      </c>
      <c r="AZ1198" s="1868">
        <v>1.23498</v>
      </c>
      <c r="BA1198" s="1868">
        <v>1.17008</v>
      </c>
    </row>
    <row r="1199" spans="1:53">
      <c r="A1199" s="1865" t="str">
        <f t="shared" si="18"/>
        <v>Southern EuropePeas, green</v>
      </c>
      <c r="B1199" s="1866" t="s">
        <v>1423</v>
      </c>
      <c r="C1199" s="1866" t="s">
        <v>1392</v>
      </c>
      <c r="D1199" s="1868">
        <v>4.0677599999999998</v>
      </c>
      <c r="E1199" s="1868">
        <v>3.9277300000000004</v>
      </c>
      <c r="F1199" s="1868">
        <v>3.8731800000000005</v>
      </c>
      <c r="G1199" s="1868">
        <v>4.2664800000000005</v>
      </c>
      <c r="H1199" s="1868">
        <v>4.4402999999999997</v>
      </c>
      <c r="I1199" s="1868">
        <v>4.85311</v>
      </c>
      <c r="J1199" s="1868">
        <v>4.8722500000000002</v>
      </c>
      <c r="K1199" s="1868">
        <v>4.7554699999999999</v>
      </c>
      <c r="L1199" s="1868">
        <v>4.9254600000000002</v>
      </c>
      <c r="M1199" s="1868">
        <v>4.4207199999999993</v>
      </c>
      <c r="N1199" s="1868">
        <v>4.68947</v>
      </c>
      <c r="O1199" s="1868">
        <v>4.8112699999999995</v>
      </c>
      <c r="P1199" s="1868">
        <v>4.9298000000000002</v>
      </c>
      <c r="Q1199" s="1868">
        <v>5.1474500000000001</v>
      </c>
      <c r="R1199" s="1868">
        <v>5.2636599999999998</v>
      </c>
      <c r="S1199" s="1868">
        <v>5.2109500000000004</v>
      </c>
      <c r="T1199" s="1868">
        <v>5.5844699999999996</v>
      </c>
      <c r="U1199" s="1868">
        <v>5.1970900000000002</v>
      </c>
      <c r="V1199" s="1868">
        <v>4.9527999999999999</v>
      </c>
      <c r="W1199" s="1868">
        <v>5.0751800000000005</v>
      </c>
      <c r="X1199" s="1868">
        <v>5.0924100000000001</v>
      </c>
      <c r="Y1199" s="1868">
        <v>5.0755999999999997</v>
      </c>
      <c r="Z1199" s="1868">
        <v>5.0465300000000006</v>
      </c>
      <c r="AA1199" s="1868">
        <v>5.20939</v>
      </c>
      <c r="AB1199" s="1868">
        <v>5.2584</v>
      </c>
      <c r="AC1199" s="1868">
        <v>5.1637300000000002</v>
      </c>
      <c r="AD1199" s="1868">
        <v>5.2373900000000004</v>
      </c>
      <c r="AE1199" s="1868">
        <v>5.2437399999999998</v>
      </c>
      <c r="AF1199" s="1868">
        <v>5.1775799999999998</v>
      </c>
      <c r="AG1199" s="1868">
        <v>5.0785499999999999</v>
      </c>
      <c r="AH1199" s="1868">
        <v>5.8132599999999996</v>
      </c>
      <c r="AI1199" s="1868">
        <v>4.9010800000000003</v>
      </c>
      <c r="AJ1199" s="1868">
        <v>4.9650300000000005</v>
      </c>
      <c r="AK1199" s="1868">
        <v>4.7173800000000004</v>
      </c>
      <c r="AL1199" s="1868">
        <v>4.6337000000000002</v>
      </c>
      <c r="AM1199" s="1868">
        <v>4.7184400000000002</v>
      </c>
      <c r="AN1199" s="1868">
        <v>5.0099599999999995</v>
      </c>
      <c r="AO1199" s="1868">
        <v>5.25542</v>
      </c>
      <c r="AP1199" s="1868">
        <v>4.7169400000000001</v>
      </c>
      <c r="AQ1199" s="1868">
        <v>4.4075600000000001</v>
      </c>
      <c r="AR1199" s="1868">
        <v>4.6414200000000001</v>
      </c>
      <c r="AS1199" s="1868">
        <v>4.6537100000000002</v>
      </c>
      <c r="AT1199" s="1868">
        <v>4.2002899999999999</v>
      </c>
      <c r="AU1199" s="1868">
        <v>5.0671300000000006</v>
      </c>
      <c r="AV1199" s="1868">
        <v>4.9812500000000002</v>
      </c>
      <c r="AW1199" s="1868">
        <v>5.5118199999999993</v>
      </c>
      <c r="AX1199" s="1868">
        <v>5.1166599999999995</v>
      </c>
      <c r="AY1199" s="1868">
        <v>5.4496900000000004</v>
      </c>
      <c r="AZ1199" s="1868">
        <v>5.1344500000000002</v>
      </c>
      <c r="BA1199" s="1868">
        <v>4.9340900000000003</v>
      </c>
    </row>
    <row r="1200" spans="1:53">
      <c r="A1200" s="1865" t="str">
        <f t="shared" si="18"/>
        <v>Southern EuropePineapples</v>
      </c>
      <c r="B1200" s="1866" t="s">
        <v>1423</v>
      </c>
      <c r="C1200" s="1866" t="s">
        <v>1351</v>
      </c>
      <c r="D1200" s="1868">
        <v>7.5</v>
      </c>
      <c r="E1200" s="1868">
        <v>7.5</v>
      </c>
      <c r="F1200" s="1868">
        <v>7.8125</v>
      </c>
      <c r="G1200" s="1868">
        <v>7.8125</v>
      </c>
      <c r="H1200" s="1868">
        <v>7.7651199999999996</v>
      </c>
      <c r="I1200" s="1868">
        <v>7.0953499999999998</v>
      </c>
      <c r="J1200" s="1868">
        <v>8.3953500000000005</v>
      </c>
      <c r="K1200" s="1868">
        <v>8.1906999999999996</v>
      </c>
      <c r="L1200" s="1868">
        <v>8.2828600000000012</v>
      </c>
      <c r="M1200" s="1868">
        <v>8.1960800000000003</v>
      </c>
      <c r="N1200" s="1868">
        <v>8.0078399999999998</v>
      </c>
      <c r="O1200" s="1868">
        <v>8.3318200000000004</v>
      </c>
      <c r="P1200" s="1868">
        <v>8.231819999999999</v>
      </c>
      <c r="Q1200" s="1868">
        <v>8.43</v>
      </c>
      <c r="R1200" s="1868">
        <v>8.3249999999999993</v>
      </c>
      <c r="S1200" s="1868">
        <v>8.2550000000000008</v>
      </c>
      <c r="T1200" s="1868">
        <v>6.8</v>
      </c>
      <c r="U1200" s="1868">
        <v>7.8250000000000002</v>
      </c>
      <c r="V1200" s="1868">
        <v>7.9850000000000003</v>
      </c>
      <c r="W1200" s="1868">
        <v>8.0250000000000004</v>
      </c>
      <c r="X1200" s="1868">
        <v>7.67</v>
      </c>
      <c r="Y1200" s="1868">
        <v>7.7555600000000009</v>
      </c>
      <c r="Z1200" s="1868">
        <v>7.9055600000000004</v>
      </c>
      <c r="AA1200" s="1868">
        <v>7.9222199999999994</v>
      </c>
      <c r="AB1200" s="1868">
        <v>8.4812499999999993</v>
      </c>
      <c r="AC1200" s="1868">
        <v>8.2750000000000004</v>
      </c>
      <c r="AD1200" s="1868">
        <v>8.4250000000000007</v>
      </c>
      <c r="AE1200" s="1868">
        <v>7.9058800000000007</v>
      </c>
      <c r="AF1200" s="1868">
        <v>8.4058799999999998</v>
      </c>
      <c r="AG1200" s="1868">
        <v>7.5</v>
      </c>
      <c r="AH1200" s="1868">
        <v>9.0909100000000009</v>
      </c>
      <c r="AI1200" s="1868">
        <v>9.9130399999999987</v>
      </c>
      <c r="AJ1200" s="1868">
        <v>10</v>
      </c>
      <c r="AK1200" s="1868">
        <v>11.77895</v>
      </c>
      <c r="AL1200" s="1868">
        <v>14.26111</v>
      </c>
      <c r="AM1200" s="1868">
        <v>16.096589999999999</v>
      </c>
      <c r="AN1200" s="1868">
        <v>14.80625</v>
      </c>
      <c r="AO1200" s="1868">
        <v>10.590060000000001</v>
      </c>
      <c r="AP1200" s="1868">
        <v>12.810130000000001</v>
      </c>
      <c r="AQ1200" s="1868">
        <v>12.911569999999999</v>
      </c>
      <c r="AR1200" s="1868">
        <v>11.86806</v>
      </c>
      <c r="AS1200" s="1868">
        <v>14.07042</v>
      </c>
      <c r="AT1200" s="1868">
        <v>12.687939999999999</v>
      </c>
      <c r="AU1200" s="1868">
        <v>14.302160000000001</v>
      </c>
      <c r="AV1200" s="1868">
        <v>13.260870000000001</v>
      </c>
      <c r="AW1200" s="1868">
        <v>12.5</v>
      </c>
      <c r="AX1200" s="1868">
        <v>12</v>
      </c>
      <c r="AY1200" s="1868">
        <v>12</v>
      </c>
      <c r="AZ1200" s="1868">
        <v>11.97719</v>
      </c>
      <c r="BA1200" s="1868">
        <v>13.584910000000001</v>
      </c>
    </row>
    <row r="1201" spans="1:53">
      <c r="A1201" s="1865" t="str">
        <f t="shared" si="18"/>
        <v>Southern EuropePotatoes</v>
      </c>
      <c r="B1201" s="1866" t="s">
        <v>1423</v>
      </c>
      <c r="C1201" s="1866" t="s">
        <v>1394</v>
      </c>
      <c r="D1201" s="1868">
        <v>10.159880000000001</v>
      </c>
      <c r="E1201" s="1868">
        <v>9.1590399999999992</v>
      </c>
      <c r="F1201" s="1868">
        <v>10.782999999999999</v>
      </c>
      <c r="G1201" s="1868">
        <v>10.18557</v>
      </c>
      <c r="H1201" s="1868">
        <v>9.3617100000000004</v>
      </c>
      <c r="I1201" s="1868">
        <v>10.66826</v>
      </c>
      <c r="J1201" s="1868">
        <v>10.766919999999999</v>
      </c>
      <c r="K1201" s="1868">
        <v>10.86924</v>
      </c>
      <c r="L1201" s="1868">
        <v>11.53074</v>
      </c>
      <c r="M1201" s="1868">
        <v>11.62079</v>
      </c>
      <c r="N1201" s="1868">
        <v>11.41949</v>
      </c>
      <c r="O1201" s="1868">
        <v>11.471500000000001</v>
      </c>
      <c r="P1201" s="1868">
        <v>12.27201</v>
      </c>
      <c r="Q1201" s="1868">
        <v>12.469749999999999</v>
      </c>
      <c r="R1201" s="1868">
        <v>11.923019999999999</v>
      </c>
      <c r="S1201" s="1868">
        <v>12.554160000000001</v>
      </c>
      <c r="T1201" s="1868">
        <v>12.822460000000001</v>
      </c>
      <c r="U1201" s="1868">
        <v>12.317500000000001</v>
      </c>
      <c r="V1201" s="1868">
        <v>13.366149999999999</v>
      </c>
      <c r="W1201" s="1868">
        <v>13.3726</v>
      </c>
      <c r="X1201" s="1868">
        <v>13.431889999999999</v>
      </c>
      <c r="Y1201" s="1868">
        <v>13.000249999999999</v>
      </c>
      <c r="Z1201" s="1868">
        <v>12.875080000000001</v>
      </c>
      <c r="AA1201" s="1868">
        <v>13.632070000000001</v>
      </c>
      <c r="AB1201" s="1868">
        <v>13.667670000000001</v>
      </c>
      <c r="AC1201" s="1868">
        <v>14.398870000000001</v>
      </c>
      <c r="AD1201" s="1868">
        <v>14.526639999999999</v>
      </c>
      <c r="AE1201" s="1868">
        <v>12.68242</v>
      </c>
      <c r="AF1201" s="1868">
        <v>14.482810000000001</v>
      </c>
      <c r="AG1201" s="1868">
        <v>14.068239999999999</v>
      </c>
      <c r="AH1201" s="1868">
        <v>14.918060000000001</v>
      </c>
      <c r="AI1201" s="1868">
        <v>15.842260000000001</v>
      </c>
      <c r="AJ1201" s="1868">
        <v>14.609879999999999</v>
      </c>
      <c r="AK1201" s="1868">
        <v>15.100589999999999</v>
      </c>
      <c r="AL1201" s="1868">
        <v>15.483270000000001</v>
      </c>
      <c r="AM1201" s="1868">
        <v>15.88335</v>
      </c>
      <c r="AN1201" s="1868">
        <v>15.73714</v>
      </c>
      <c r="AO1201" s="1868">
        <v>16.28087</v>
      </c>
      <c r="AP1201" s="1868">
        <v>16.857039999999998</v>
      </c>
      <c r="AQ1201" s="1868">
        <v>16.13287</v>
      </c>
      <c r="AR1201" s="1868">
        <v>17.429779999999997</v>
      </c>
      <c r="AS1201" s="1868">
        <v>17.63316</v>
      </c>
      <c r="AT1201" s="1868">
        <v>15.622689999999999</v>
      </c>
      <c r="AU1201" s="1868">
        <v>18.785450000000001</v>
      </c>
      <c r="AV1201" s="1868">
        <v>18.46369</v>
      </c>
      <c r="AW1201" s="1868">
        <v>18.766960000000001</v>
      </c>
      <c r="AX1201" s="1868">
        <v>18.650120000000001</v>
      </c>
      <c r="AY1201" s="1868">
        <v>18.310500000000001</v>
      </c>
      <c r="AZ1201" s="1868">
        <v>20.22955</v>
      </c>
      <c r="BA1201" s="1868">
        <v>19.88083</v>
      </c>
    </row>
    <row r="1202" spans="1:53">
      <c r="A1202" s="1865" t="str">
        <f t="shared" si="18"/>
        <v>Southern EuropePulses, nes</v>
      </c>
      <c r="B1202" s="1866" t="s">
        <v>1423</v>
      </c>
      <c r="C1202" s="1866" t="s">
        <v>1395</v>
      </c>
      <c r="D1202" s="1868">
        <v>0.69278000000000006</v>
      </c>
      <c r="E1202" s="1868">
        <v>0.74804999999999999</v>
      </c>
      <c r="F1202" s="1868">
        <v>0.66858000000000006</v>
      </c>
      <c r="G1202" s="1868">
        <v>0.58157000000000003</v>
      </c>
      <c r="H1202" s="1868">
        <v>0.47162999999999999</v>
      </c>
      <c r="I1202" s="1868">
        <v>0.80088999999999999</v>
      </c>
      <c r="J1202" s="1868">
        <v>0.79459999999999997</v>
      </c>
      <c r="K1202" s="1868">
        <v>0.77908999999999995</v>
      </c>
      <c r="L1202" s="1868">
        <v>0.77803</v>
      </c>
      <c r="M1202" s="1868">
        <v>0.66605000000000003</v>
      </c>
      <c r="N1202" s="1868">
        <v>0.75638000000000005</v>
      </c>
      <c r="O1202" s="1868">
        <v>0.73836999999999997</v>
      </c>
      <c r="P1202" s="1868">
        <v>0.71199999999999997</v>
      </c>
      <c r="Q1202" s="1868">
        <v>0.67466999999999999</v>
      </c>
      <c r="R1202" s="1868">
        <v>0.75693999999999995</v>
      </c>
      <c r="S1202" s="1868">
        <v>0.53656000000000004</v>
      </c>
      <c r="T1202" s="1868">
        <v>0.81120999999999999</v>
      </c>
      <c r="U1202" s="1868">
        <v>0.91887000000000008</v>
      </c>
      <c r="V1202" s="1868">
        <v>0.80610999999999999</v>
      </c>
      <c r="W1202" s="1868">
        <v>0.99222999999999995</v>
      </c>
      <c r="X1202" s="1868">
        <v>0.48993000000000003</v>
      </c>
      <c r="Y1202" s="1868">
        <v>0.66763000000000006</v>
      </c>
      <c r="Z1202" s="1868">
        <v>0.65022000000000002</v>
      </c>
      <c r="AA1202" s="1868">
        <v>0.85580000000000001</v>
      </c>
      <c r="AB1202" s="1868">
        <v>1.00275</v>
      </c>
      <c r="AC1202" s="1868">
        <v>0.76821000000000006</v>
      </c>
      <c r="AD1202" s="1868">
        <v>0.80196000000000001</v>
      </c>
      <c r="AE1202" s="1868">
        <v>0.92046000000000006</v>
      </c>
      <c r="AF1202" s="1868">
        <v>0.78742999999999996</v>
      </c>
      <c r="AG1202" s="1868">
        <v>0.77953000000000006</v>
      </c>
      <c r="AH1202" s="1868">
        <v>0.72606000000000004</v>
      </c>
      <c r="AI1202" s="1868">
        <v>0.59382999999999997</v>
      </c>
      <c r="AJ1202" s="1868">
        <v>0.78383000000000003</v>
      </c>
      <c r="AK1202" s="1868">
        <v>0.62980000000000003</v>
      </c>
      <c r="AL1202" s="1868">
        <v>0.32418000000000002</v>
      </c>
      <c r="AM1202" s="1868">
        <v>0.79698999999999998</v>
      </c>
      <c r="AN1202" s="1868">
        <v>0.63480000000000003</v>
      </c>
      <c r="AO1202" s="1868">
        <v>0.70814999999999995</v>
      </c>
      <c r="AP1202" s="1868">
        <v>0.31961999999999996</v>
      </c>
      <c r="AQ1202" s="1868">
        <v>0.77076999999999996</v>
      </c>
      <c r="AR1202" s="1868">
        <v>0.53543999999999992</v>
      </c>
      <c r="AS1202" s="1868">
        <v>0.83046000000000009</v>
      </c>
      <c r="AT1202" s="1868">
        <v>0.65328999999999993</v>
      </c>
      <c r="AU1202" s="1868">
        <v>0.83817000000000008</v>
      </c>
      <c r="AV1202" s="1868">
        <v>0.27143</v>
      </c>
      <c r="AW1202" s="1868">
        <v>0.79883000000000004</v>
      </c>
      <c r="AX1202" s="1868">
        <v>0.98996000000000006</v>
      </c>
      <c r="AY1202" s="1868">
        <v>0.93536000000000008</v>
      </c>
      <c r="AZ1202" s="1868">
        <v>0.80451000000000006</v>
      </c>
      <c r="BA1202" s="1868">
        <v>0.79384999999999994</v>
      </c>
    </row>
    <row r="1203" spans="1:53">
      <c r="A1203" s="1865" t="str">
        <f t="shared" si="18"/>
        <v>Southern EuropeRice, paddy</v>
      </c>
      <c r="B1203" s="1866" t="s">
        <v>1423</v>
      </c>
      <c r="C1203" s="1866" t="s">
        <v>1396</v>
      </c>
      <c r="D1203" s="1868">
        <v>5.4223600000000003</v>
      </c>
      <c r="E1203" s="1868">
        <v>5.3977900000000005</v>
      </c>
      <c r="F1203" s="1868">
        <v>5.0934999999999997</v>
      </c>
      <c r="G1203" s="1868">
        <v>5.2439</v>
      </c>
      <c r="H1203" s="1868">
        <v>4.4617699999999996</v>
      </c>
      <c r="I1203" s="1868">
        <v>5.0138499999999997</v>
      </c>
      <c r="J1203" s="1868">
        <v>5.2724500000000001</v>
      </c>
      <c r="K1203" s="1868">
        <v>4.63117</v>
      </c>
      <c r="L1203" s="1868">
        <v>5.2591400000000004</v>
      </c>
      <c r="M1203" s="1868">
        <v>4.9467300000000005</v>
      </c>
      <c r="N1203" s="1868">
        <v>5.03071</v>
      </c>
      <c r="O1203" s="1868">
        <v>4.4156900000000006</v>
      </c>
      <c r="P1203" s="1868">
        <v>5.3630800000000001</v>
      </c>
      <c r="Q1203" s="1868">
        <v>5.3214800000000002</v>
      </c>
      <c r="R1203" s="1868">
        <v>5.5456500000000002</v>
      </c>
      <c r="S1203" s="1868">
        <v>4.9817300000000007</v>
      </c>
      <c r="T1203" s="1868">
        <v>4.0850599999999995</v>
      </c>
      <c r="U1203" s="1868">
        <v>5.0372900000000005</v>
      </c>
      <c r="V1203" s="1868">
        <v>5.7197699999999996</v>
      </c>
      <c r="W1203" s="1868">
        <v>5.4628100000000002</v>
      </c>
      <c r="X1203" s="1868">
        <v>5.4529399999999999</v>
      </c>
      <c r="Y1203" s="1868">
        <v>5.51973</v>
      </c>
      <c r="Z1203" s="1868">
        <v>5.3814500000000001</v>
      </c>
      <c r="AA1203" s="1868">
        <v>5.5542499999999997</v>
      </c>
      <c r="AB1203" s="1868">
        <v>5.8985500000000002</v>
      </c>
      <c r="AC1203" s="1868">
        <v>5.8802099999999999</v>
      </c>
      <c r="AD1203" s="1868">
        <v>5.6848999999999998</v>
      </c>
      <c r="AE1203" s="1868">
        <v>5.5314899999999998</v>
      </c>
      <c r="AF1203" s="1868">
        <v>5.8009000000000004</v>
      </c>
      <c r="AG1203" s="1868">
        <v>5.86747</v>
      </c>
      <c r="AH1203" s="1868">
        <v>5.9146300000000007</v>
      </c>
      <c r="AI1203" s="1868">
        <v>6.0160300000000007</v>
      </c>
      <c r="AJ1203" s="1868">
        <v>5.8212699999999993</v>
      </c>
      <c r="AK1203" s="1868">
        <v>5.8312800000000005</v>
      </c>
      <c r="AL1203" s="1868">
        <v>5.8129800000000005</v>
      </c>
      <c r="AM1203" s="1868">
        <v>6.2572599999999996</v>
      </c>
      <c r="AN1203" s="1868">
        <v>6.3653300000000002</v>
      </c>
      <c r="AO1203" s="1868">
        <v>6.5249199999999998</v>
      </c>
      <c r="AP1203" s="1868">
        <v>6.7866200000000001</v>
      </c>
      <c r="AQ1203" s="1868">
        <v>6.1225100000000001</v>
      </c>
      <c r="AR1203" s="1868">
        <v>6.4428300000000007</v>
      </c>
      <c r="AS1203" s="1868">
        <v>6.5773899999999994</v>
      </c>
      <c r="AT1203" s="1868">
        <v>6.6491499999999997</v>
      </c>
      <c r="AU1203" s="1868">
        <v>6.8210100000000002</v>
      </c>
      <c r="AV1203" s="1868">
        <v>6.4988800000000007</v>
      </c>
      <c r="AW1203" s="1868">
        <v>6.4722099999999996</v>
      </c>
      <c r="AX1203" s="1868">
        <v>6.7609699999999995</v>
      </c>
      <c r="AY1203" s="1868">
        <v>6.3909199999999995</v>
      </c>
      <c r="AZ1203" s="1868">
        <v>6.6526500000000004</v>
      </c>
      <c r="BA1203" s="1868">
        <v>6.8359199999999998</v>
      </c>
    </row>
    <row r="1204" spans="1:53">
      <c r="A1204" s="1865" t="str">
        <f t="shared" si="18"/>
        <v>Southern EuropeRoots and Tubers, nes</v>
      </c>
      <c r="B1204" s="1866" t="s">
        <v>1423</v>
      </c>
      <c r="C1204" s="1866" t="s">
        <v>1356</v>
      </c>
      <c r="D1204" s="1868">
        <v>9.5</v>
      </c>
      <c r="E1204" s="1868">
        <v>9</v>
      </c>
      <c r="F1204" s="1868">
        <v>9</v>
      </c>
      <c r="G1204" s="1868">
        <v>9</v>
      </c>
      <c r="H1204" s="1868">
        <v>9</v>
      </c>
      <c r="I1204" s="1868">
        <v>9</v>
      </c>
      <c r="J1204" s="1868">
        <v>9</v>
      </c>
      <c r="K1204" s="1868">
        <v>10</v>
      </c>
      <c r="L1204" s="1868">
        <v>11</v>
      </c>
      <c r="M1204" s="1868">
        <v>10</v>
      </c>
      <c r="N1204" s="1868">
        <v>10</v>
      </c>
      <c r="O1204" s="1868">
        <v>10.022780000000001</v>
      </c>
      <c r="P1204" s="1868">
        <v>10</v>
      </c>
      <c r="Q1204" s="1868">
        <v>10.001530000000001</v>
      </c>
      <c r="R1204" s="1868">
        <v>9.9417200000000001</v>
      </c>
      <c r="S1204" s="1868">
        <v>9.9958200000000001</v>
      </c>
      <c r="T1204" s="1868">
        <v>10</v>
      </c>
      <c r="U1204" s="1868">
        <v>10.00126</v>
      </c>
      <c r="V1204" s="1868">
        <v>10</v>
      </c>
      <c r="W1204" s="1868">
        <v>10</v>
      </c>
      <c r="X1204" s="1868">
        <v>9.9917800000000003</v>
      </c>
      <c r="Y1204" s="1868">
        <v>9.9703900000000001</v>
      </c>
      <c r="Z1204" s="1868">
        <v>9.7506599999999999</v>
      </c>
      <c r="AA1204" s="1868">
        <v>9.7817000000000007</v>
      </c>
      <c r="AB1204" s="1868">
        <v>9.9610599999999998</v>
      </c>
      <c r="AC1204" s="1868">
        <v>9.7944600000000008</v>
      </c>
      <c r="AD1204" s="1868">
        <v>10</v>
      </c>
      <c r="AE1204" s="1868">
        <v>12</v>
      </c>
      <c r="AF1204" s="1868">
        <v>12.09632</v>
      </c>
      <c r="AG1204" s="1868">
        <v>12.211219999999999</v>
      </c>
      <c r="AH1204" s="1868">
        <v>13.005330000000001</v>
      </c>
      <c r="AI1204" s="1868">
        <v>10.46463</v>
      </c>
      <c r="AJ1204" s="1868">
        <v>13.2</v>
      </c>
      <c r="AK1204" s="1868">
        <v>10.425180000000001</v>
      </c>
      <c r="AL1204" s="1868">
        <v>18</v>
      </c>
      <c r="AM1204" s="1868">
        <v>16.2</v>
      </c>
      <c r="AN1204" s="1868">
        <v>18</v>
      </c>
      <c r="AO1204" s="1868">
        <v>20.399999999999999</v>
      </c>
      <c r="AP1204" s="1868">
        <v>19.8</v>
      </c>
      <c r="AQ1204" s="1868">
        <v>20</v>
      </c>
      <c r="AR1204" s="1868">
        <v>19.68112</v>
      </c>
      <c r="AS1204" s="1868">
        <v>20</v>
      </c>
      <c r="AT1204" s="1868">
        <v>20</v>
      </c>
      <c r="AU1204" s="1868">
        <v>20.614090000000001</v>
      </c>
      <c r="AV1204" s="1868">
        <v>24.169179999999997</v>
      </c>
      <c r="AW1204" s="1868">
        <v>23.75</v>
      </c>
      <c r="AX1204" s="1868">
        <v>20</v>
      </c>
      <c r="AY1204" s="1868">
        <v>19.745840000000001</v>
      </c>
      <c r="AZ1204" s="1868">
        <v>19.276510000000002</v>
      </c>
      <c r="BA1204" s="1868">
        <v>18.72691</v>
      </c>
    </row>
    <row r="1205" spans="1:53">
      <c r="A1205" s="1865" t="str">
        <f t="shared" si="18"/>
        <v>Southern EuropeRye</v>
      </c>
      <c r="B1205" s="1866" t="s">
        <v>1423</v>
      </c>
      <c r="C1205" s="1866" t="s">
        <v>1353</v>
      </c>
      <c r="D1205" s="1868">
        <v>0.74276000000000009</v>
      </c>
      <c r="E1205" s="1868">
        <v>0.86006000000000005</v>
      </c>
      <c r="F1205" s="1868">
        <v>0.89949000000000001</v>
      </c>
      <c r="G1205" s="1868">
        <v>0.83751000000000009</v>
      </c>
      <c r="H1205" s="1868">
        <v>0.88082999999999989</v>
      </c>
      <c r="I1205" s="1868">
        <v>0.85712999999999995</v>
      </c>
      <c r="J1205" s="1868">
        <v>0.93118999999999996</v>
      </c>
      <c r="K1205" s="1868">
        <v>0.98201000000000005</v>
      </c>
      <c r="L1205" s="1868">
        <v>0.95671000000000006</v>
      </c>
      <c r="M1205" s="1868">
        <v>0.88578999999999997</v>
      </c>
      <c r="N1205" s="1868">
        <v>0.95774999999999999</v>
      </c>
      <c r="O1205" s="1868">
        <v>0.94006000000000001</v>
      </c>
      <c r="P1205" s="1868">
        <v>0.92097000000000007</v>
      </c>
      <c r="Q1205" s="1868">
        <v>0.97878999999999994</v>
      </c>
      <c r="R1205" s="1868">
        <v>0.97260000000000002</v>
      </c>
      <c r="S1205" s="1868">
        <v>0.97937999999999992</v>
      </c>
      <c r="T1205" s="1868">
        <v>0.8871</v>
      </c>
      <c r="U1205" s="1868">
        <v>0.94674999999999998</v>
      </c>
      <c r="V1205" s="1868">
        <v>0.92077000000000009</v>
      </c>
      <c r="W1205" s="1868">
        <v>1.2371299999999998</v>
      </c>
      <c r="X1205" s="1868">
        <v>1.03054</v>
      </c>
      <c r="Y1205" s="1868">
        <v>0.97997999999999996</v>
      </c>
      <c r="Z1205" s="1868">
        <v>1.1102700000000001</v>
      </c>
      <c r="AA1205" s="1868">
        <v>1.26396</v>
      </c>
      <c r="AB1205" s="1868">
        <v>1.23024</v>
      </c>
      <c r="AC1205" s="1868">
        <v>1.1664700000000001</v>
      </c>
      <c r="AD1205" s="1868">
        <v>1.40124</v>
      </c>
      <c r="AE1205" s="1868">
        <v>1.4616</v>
      </c>
      <c r="AF1205" s="1868">
        <v>1.47079</v>
      </c>
      <c r="AG1205" s="1868">
        <v>1.3360000000000001</v>
      </c>
      <c r="AH1205" s="1868">
        <v>1.3402399999999999</v>
      </c>
      <c r="AI1205" s="1868">
        <v>1.2647600000000001</v>
      </c>
      <c r="AJ1205" s="1868">
        <v>1.6644299999999999</v>
      </c>
      <c r="AK1205" s="1868">
        <v>1.3877899999999999</v>
      </c>
      <c r="AL1205" s="1868">
        <v>1.1282000000000001</v>
      </c>
      <c r="AM1205" s="1868">
        <v>1.6040000000000001</v>
      </c>
      <c r="AN1205" s="1868">
        <v>1.3985100000000001</v>
      </c>
      <c r="AO1205" s="1868">
        <v>1.5525200000000001</v>
      </c>
      <c r="AP1205" s="1868">
        <v>1.6988000000000001</v>
      </c>
      <c r="AQ1205" s="1868">
        <v>1.7823</v>
      </c>
      <c r="AR1205" s="1868">
        <v>1.20886</v>
      </c>
      <c r="AS1205" s="1868">
        <v>1.7032</v>
      </c>
      <c r="AT1205" s="1868">
        <v>1.7488099999999998</v>
      </c>
      <c r="AU1205" s="1868">
        <v>1.8082200000000002</v>
      </c>
      <c r="AV1205" s="1868">
        <v>1.5425</v>
      </c>
      <c r="AW1205" s="1868">
        <v>1.6544299999999998</v>
      </c>
      <c r="AX1205" s="1868">
        <v>2.18093</v>
      </c>
      <c r="AY1205" s="1868">
        <v>2.36761</v>
      </c>
      <c r="AZ1205" s="1868">
        <v>1.52738</v>
      </c>
      <c r="BA1205" s="1868">
        <v>1.8669900000000001</v>
      </c>
    </row>
    <row r="1206" spans="1:53">
      <c r="A1206" s="1865" t="str">
        <f t="shared" si="18"/>
        <v>Southern EuropeSeed cotton</v>
      </c>
      <c r="B1206" s="1866" t="s">
        <v>1423</v>
      </c>
      <c r="C1206" s="1866" t="s">
        <v>1397</v>
      </c>
      <c r="D1206" s="1868">
        <v>1.0902799999999999</v>
      </c>
      <c r="E1206" s="1868">
        <v>0.95094000000000001</v>
      </c>
      <c r="F1206" s="1868">
        <v>1.1640999999999999</v>
      </c>
      <c r="G1206" s="1868">
        <v>1.27484</v>
      </c>
      <c r="H1206" s="1868">
        <v>1.37087</v>
      </c>
      <c r="I1206" s="1868">
        <v>1.3832899999999999</v>
      </c>
      <c r="J1206" s="1868">
        <v>1.6212299999999999</v>
      </c>
      <c r="K1206" s="1868">
        <v>1.51424</v>
      </c>
      <c r="L1206" s="1868">
        <v>1.5729</v>
      </c>
      <c r="M1206" s="1868">
        <v>1.8896099999999998</v>
      </c>
      <c r="N1206" s="1868">
        <v>1.9980099999999998</v>
      </c>
      <c r="O1206" s="1868">
        <v>1.8019000000000001</v>
      </c>
      <c r="P1206" s="1868">
        <v>1.8802299999999998</v>
      </c>
      <c r="Q1206" s="1868">
        <v>1.9261900000000001</v>
      </c>
      <c r="R1206" s="1868">
        <v>2.3603900000000002</v>
      </c>
      <c r="S1206" s="1868">
        <v>2.0288599999999999</v>
      </c>
      <c r="T1206" s="1868">
        <v>1.8880299999999999</v>
      </c>
      <c r="U1206" s="1868">
        <v>2.2974000000000001</v>
      </c>
      <c r="V1206" s="1868">
        <v>2.3114400000000002</v>
      </c>
      <c r="W1206" s="1868">
        <v>2.4586900000000003</v>
      </c>
      <c r="X1206" s="1868">
        <v>2.6907299999999998</v>
      </c>
      <c r="Y1206" s="1868">
        <v>2.3335499999999998</v>
      </c>
      <c r="Z1206" s="1868">
        <v>2.33792</v>
      </c>
      <c r="AA1206" s="1868">
        <v>2.17435</v>
      </c>
      <c r="AB1206" s="1868">
        <v>2.3045499999999999</v>
      </c>
      <c r="AC1206" s="1868">
        <v>2.8281099999999997</v>
      </c>
      <c r="AD1206" s="1868">
        <v>2.7190599999999998</v>
      </c>
      <c r="AE1206" s="1868">
        <v>2.60548</v>
      </c>
      <c r="AF1206" s="1868">
        <v>2.86843</v>
      </c>
      <c r="AG1206" s="1868">
        <v>2.6518099999999998</v>
      </c>
      <c r="AH1206" s="1868">
        <v>2.71068</v>
      </c>
      <c r="AI1206" s="1868">
        <v>2.5846400000000003</v>
      </c>
      <c r="AJ1206" s="1868">
        <v>2.8764500000000002</v>
      </c>
      <c r="AK1206" s="1868">
        <v>3.3372800000000002</v>
      </c>
      <c r="AL1206" s="1868">
        <v>3.1623299999999999</v>
      </c>
      <c r="AM1206" s="1868">
        <v>3.1410099999999996</v>
      </c>
      <c r="AN1206" s="1868">
        <v>2.8793000000000002</v>
      </c>
      <c r="AO1206" s="1868">
        <v>2.9614400000000001</v>
      </c>
      <c r="AP1206" s="1868">
        <v>3.1130100000000001</v>
      </c>
      <c r="AQ1206" s="1868">
        <v>3.1579799999999998</v>
      </c>
      <c r="AR1206" s="1868">
        <v>3.4037699999999997</v>
      </c>
      <c r="AS1206" s="1868">
        <v>3.4329499999999999</v>
      </c>
      <c r="AT1206" s="1868">
        <v>2.9564699999999999</v>
      </c>
      <c r="AU1206" s="1868">
        <v>3.2859300000000005</v>
      </c>
      <c r="AV1206" s="1868">
        <v>3.4916699999999996</v>
      </c>
      <c r="AW1206" s="1868">
        <v>2.7130400000000003</v>
      </c>
      <c r="AX1206" s="1868">
        <v>2.7227099999999997</v>
      </c>
      <c r="AY1206" s="1868">
        <v>3.1923599999999999</v>
      </c>
      <c r="AZ1206" s="1868">
        <v>3.1004700000000001</v>
      </c>
      <c r="BA1206" s="1868">
        <v>2.4941</v>
      </c>
    </row>
    <row r="1207" spans="1:53">
      <c r="A1207" s="1865" t="str">
        <f t="shared" si="18"/>
        <v>Southern EuropeSesame seed</v>
      </c>
      <c r="B1207" s="1866" t="s">
        <v>1423</v>
      </c>
      <c r="C1207" s="1866" t="s">
        <v>1345</v>
      </c>
      <c r="D1207" s="1868">
        <v>0.33396999999999999</v>
      </c>
      <c r="E1207" s="1868">
        <v>0.31346999999999997</v>
      </c>
      <c r="F1207" s="1868">
        <v>0.39277000000000001</v>
      </c>
      <c r="G1207" s="1868">
        <v>0.375</v>
      </c>
      <c r="H1207" s="1868">
        <v>0.38836999999999999</v>
      </c>
      <c r="I1207" s="1868">
        <v>0.38142999999999999</v>
      </c>
      <c r="J1207" s="1868">
        <v>0.41417999999999999</v>
      </c>
      <c r="K1207" s="1868">
        <v>0.33459</v>
      </c>
      <c r="L1207" s="1868">
        <v>0.37231999999999998</v>
      </c>
      <c r="M1207" s="1868">
        <v>0.39379999999999998</v>
      </c>
      <c r="N1207" s="1868">
        <v>0.41903999999999997</v>
      </c>
      <c r="O1207" s="1868">
        <v>0.40210999999999997</v>
      </c>
      <c r="P1207" s="1868">
        <v>0.39526</v>
      </c>
      <c r="Q1207" s="1868">
        <v>0.43301999999999996</v>
      </c>
      <c r="R1207" s="1868">
        <v>0.47051999999999999</v>
      </c>
      <c r="S1207" s="1868">
        <v>0.37803000000000003</v>
      </c>
      <c r="T1207" s="1868">
        <v>0.45682</v>
      </c>
      <c r="U1207" s="1868">
        <v>0.44368000000000002</v>
      </c>
      <c r="V1207" s="1868">
        <v>0.48841000000000001</v>
      </c>
      <c r="W1207" s="1868">
        <v>0.45484999999999998</v>
      </c>
      <c r="X1207" s="1868">
        <v>0.60760000000000003</v>
      </c>
      <c r="Y1207" s="1868">
        <v>0.54952999999999996</v>
      </c>
      <c r="Z1207" s="1868">
        <v>0.52551999999999999</v>
      </c>
      <c r="AA1207" s="1868">
        <v>0.58391999999999999</v>
      </c>
      <c r="AB1207" s="1868">
        <v>0.9244</v>
      </c>
      <c r="AC1207" s="1868">
        <v>0.58326</v>
      </c>
      <c r="AD1207" s="1868">
        <v>0.53725000000000001</v>
      </c>
      <c r="AE1207" s="1868">
        <v>0.77788999999999997</v>
      </c>
      <c r="AF1207" s="1868">
        <v>0.65246000000000004</v>
      </c>
      <c r="AG1207" s="1868">
        <v>0.81701000000000001</v>
      </c>
      <c r="AH1207" s="1868">
        <v>0.47726999999999997</v>
      </c>
      <c r="AI1207" s="1868">
        <v>0.81481999999999999</v>
      </c>
      <c r="AJ1207" s="1868">
        <v>0.72463999999999995</v>
      </c>
      <c r="AK1207" s="1868">
        <v>0.89113999999999993</v>
      </c>
      <c r="AL1207" s="1868">
        <v>0.87457999999999991</v>
      </c>
      <c r="AM1207" s="1868">
        <v>1</v>
      </c>
      <c r="AN1207" s="1868">
        <v>0.62980999999999998</v>
      </c>
      <c r="AO1207" s="1868">
        <v>0.77778000000000003</v>
      </c>
      <c r="AP1207" s="1868">
        <v>0.87065000000000003</v>
      </c>
      <c r="AQ1207" s="1868">
        <v>0.85092999999999996</v>
      </c>
      <c r="AR1207" s="1868">
        <v>1.1052600000000001</v>
      </c>
      <c r="AS1207" s="1868">
        <v>4.9591199999999995</v>
      </c>
      <c r="AT1207" s="1868">
        <v>6.1447799999999999</v>
      </c>
      <c r="AU1207" s="1868">
        <v>5.6779099999999998</v>
      </c>
      <c r="AV1207" s="1868">
        <v>5.13971</v>
      </c>
      <c r="AW1207" s="1868">
        <v>4.4612800000000004</v>
      </c>
      <c r="AX1207" s="1868">
        <v>3.8473999999999999</v>
      </c>
      <c r="AY1207" s="1868">
        <v>5.74803</v>
      </c>
      <c r="AZ1207" s="1868">
        <v>6.0124000000000004</v>
      </c>
      <c r="BA1207" s="1868">
        <v>5.1481500000000002</v>
      </c>
    </row>
    <row r="1208" spans="1:53">
      <c r="A1208" s="1865" t="str">
        <f t="shared" si="18"/>
        <v>Southern EuropeSorghum</v>
      </c>
      <c r="B1208" s="1866" t="s">
        <v>1423</v>
      </c>
      <c r="C1208" s="1866" t="s">
        <v>1399</v>
      </c>
      <c r="D1208" s="1868">
        <v>1.2798499999999999</v>
      </c>
      <c r="E1208" s="1868">
        <v>1.14303</v>
      </c>
      <c r="F1208" s="1868">
        <v>1.26796</v>
      </c>
      <c r="G1208" s="1868">
        <v>1.6798599999999999</v>
      </c>
      <c r="H1208" s="1868">
        <v>1.7811900000000001</v>
      </c>
      <c r="I1208" s="1868">
        <v>1.53322</v>
      </c>
      <c r="J1208" s="1868">
        <v>1.9079299999999999</v>
      </c>
      <c r="K1208" s="1868">
        <v>2.2981500000000001</v>
      </c>
      <c r="L1208" s="1868">
        <v>2.20621</v>
      </c>
      <c r="M1208" s="1868">
        <v>2.7212299999999998</v>
      </c>
      <c r="N1208" s="1868">
        <v>2.97417</v>
      </c>
      <c r="O1208" s="1868">
        <v>2.8420200000000002</v>
      </c>
      <c r="P1208" s="1868">
        <v>2.72858</v>
      </c>
      <c r="Q1208" s="1868">
        <v>2.9408799999999999</v>
      </c>
      <c r="R1208" s="1868">
        <v>2.8003499999999999</v>
      </c>
      <c r="S1208" s="1868">
        <v>2.88144</v>
      </c>
      <c r="T1208" s="1868">
        <v>3.3998400000000002</v>
      </c>
      <c r="U1208" s="1868">
        <v>3.9588800000000002</v>
      </c>
      <c r="V1208" s="1868">
        <v>3.6009699999999998</v>
      </c>
      <c r="W1208" s="1868">
        <v>3.48169</v>
      </c>
      <c r="X1208" s="1868">
        <v>3.5425199999999997</v>
      </c>
      <c r="Y1208" s="1868">
        <v>3.2656400000000003</v>
      </c>
      <c r="Z1208" s="1868">
        <v>3.0579299999999998</v>
      </c>
      <c r="AA1208" s="1868">
        <v>3.3235800000000002</v>
      </c>
      <c r="AB1208" s="1868">
        <v>2.9176500000000001</v>
      </c>
      <c r="AC1208" s="1868">
        <v>3.4651800000000001</v>
      </c>
      <c r="AD1208" s="1868">
        <v>3.3529300000000002</v>
      </c>
      <c r="AE1208" s="1868">
        <v>3.2652700000000001</v>
      </c>
      <c r="AF1208" s="1868">
        <v>4.0291399999999999</v>
      </c>
      <c r="AG1208" s="1868">
        <v>3.6902199999999996</v>
      </c>
      <c r="AH1208" s="1868">
        <v>4.1832199999999995</v>
      </c>
      <c r="AI1208" s="1868">
        <v>4.3832500000000003</v>
      </c>
      <c r="AJ1208" s="1868">
        <v>5.5373999999999999</v>
      </c>
      <c r="AK1208" s="1868">
        <v>5.0886100000000001</v>
      </c>
      <c r="AL1208" s="1868">
        <v>5.6605600000000003</v>
      </c>
      <c r="AM1208" s="1868">
        <v>5.3757099999999998</v>
      </c>
      <c r="AN1208" s="1868">
        <v>5.3286199999999999</v>
      </c>
      <c r="AO1208" s="1868">
        <v>5.0992199999999999</v>
      </c>
      <c r="AP1208" s="1868">
        <v>5.9485299999999999</v>
      </c>
      <c r="AQ1208" s="1868">
        <v>5.8064300000000006</v>
      </c>
      <c r="AR1208" s="1868">
        <v>5.5470899999999999</v>
      </c>
      <c r="AS1208" s="1868">
        <v>5.6367400000000005</v>
      </c>
      <c r="AT1208" s="1868">
        <v>4.6739899999999999</v>
      </c>
      <c r="AU1208" s="1868">
        <v>5.6371199999999995</v>
      </c>
      <c r="AV1208" s="1868">
        <v>5.2769199999999996</v>
      </c>
      <c r="AW1208" s="1868">
        <v>5.3709600000000002</v>
      </c>
      <c r="AX1208" s="1868">
        <v>5.1560100000000002</v>
      </c>
      <c r="AY1208" s="1868">
        <v>5.26288</v>
      </c>
      <c r="AZ1208" s="1868">
        <v>5.61843</v>
      </c>
      <c r="BA1208" s="1868">
        <v>6.17903</v>
      </c>
    </row>
    <row r="1209" spans="1:53">
      <c r="A1209" s="1865" t="str">
        <f t="shared" si="18"/>
        <v>Southern EuropeSoybeans</v>
      </c>
      <c r="B1209" s="1866" t="s">
        <v>1423</v>
      </c>
      <c r="C1209" s="1866" t="s">
        <v>1359</v>
      </c>
      <c r="D1209" s="1868">
        <v>0.78466999999999998</v>
      </c>
      <c r="E1209" s="1868">
        <v>1.05985</v>
      </c>
      <c r="F1209" s="1868">
        <v>1.3167</v>
      </c>
      <c r="G1209" s="1868">
        <v>1.67547</v>
      </c>
      <c r="H1209" s="1868">
        <v>1.2111399999999999</v>
      </c>
      <c r="I1209" s="1868">
        <v>1.71025</v>
      </c>
      <c r="J1209" s="1868">
        <v>1.3291999999999999</v>
      </c>
      <c r="K1209" s="1868">
        <v>0.67571000000000003</v>
      </c>
      <c r="L1209" s="1868">
        <v>1.2828999999999999</v>
      </c>
      <c r="M1209" s="1868">
        <v>1.37866</v>
      </c>
      <c r="N1209" s="1868">
        <v>0.97814999999999996</v>
      </c>
      <c r="O1209" s="1868">
        <v>1.4913299999999998</v>
      </c>
      <c r="P1209" s="1868">
        <v>1.5163899999999999</v>
      </c>
      <c r="Q1209" s="1868">
        <v>1.57829</v>
      </c>
      <c r="R1209" s="1868">
        <v>1.9859200000000001</v>
      </c>
      <c r="S1209" s="1868">
        <v>1.5400799999999999</v>
      </c>
      <c r="T1209" s="1868">
        <v>2.0667400000000002</v>
      </c>
      <c r="U1209" s="1868">
        <v>1.8584000000000001</v>
      </c>
      <c r="V1209" s="1868">
        <v>2.06602</v>
      </c>
      <c r="W1209" s="1868">
        <v>1.7748599999999999</v>
      </c>
      <c r="X1209" s="1868">
        <v>1.8128200000000001</v>
      </c>
      <c r="Y1209" s="1868">
        <v>2.47044</v>
      </c>
      <c r="Z1209" s="1868">
        <v>2.0414599999999998</v>
      </c>
      <c r="AA1209" s="1868">
        <v>2.2153700000000001</v>
      </c>
      <c r="AB1209" s="1868">
        <v>2.34294</v>
      </c>
      <c r="AC1209" s="1868">
        <v>3.1099099999999997</v>
      </c>
      <c r="AD1209" s="1868">
        <v>3.09795</v>
      </c>
      <c r="AE1209" s="1868">
        <v>2.879</v>
      </c>
      <c r="AF1209" s="1868">
        <v>3.1698599999999999</v>
      </c>
      <c r="AG1209" s="1868">
        <v>3.0476799999999997</v>
      </c>
      <c r="AH1209" s="1868">
        <v>3.4644900000000001</v>
      </c>
      <c r="AI1209" s="1868">
        <v>2.7166000000000001</v>
      </c>
      <c r="AJ1209" s="1868">
        <v>2.6808700000000001</v>
      </c>
      <c r="AK1209" s="1868">
        <v>2.9271099999999999</v>
      </c>
      <c r="AL1209" s="1868">
        <v>3.3002500000000001</v>
      </c>
      <c r="AM1209" s="1868">
        <v>3.2008400000000004</v>
      </c>
      <c r="AN1209" s="1868">
        <v>3.4960900000000001</v>
      </c>
      <c r="AO1209" s="1868">
        <v>3.1079400000000001</v>
      </c>
      <c r="AP1209" s="1868">
        <v>3.1670400000000001</v>
      </c>
      <c r="AQ1209" s="1868">
        <v>2.5592099999999998</v>
      </c>
      <c r="AR1209" s="1868">
        <v>3.2584499999999998</v>
      </c>
      <c r="AS1209" s="1868">
        <v>3.1825600000000001</v>
      </c>
      <c r="AT1209" s="1868">
        <v>2.1029800000000001</v>
      </c>
      <c r="AU1209" s="1868">
        <v>2.9916499999999999</v>
      </c>
      <c r="AV1209" s="1868">
        <v>3.1135000000000002</v>
      </c>
      <c r="AW1209" s="1868">
        <v>2.88489</v>
      </c>
      <c r="AX1209" s="1868">
        <v>2.45994</v>
      </c>
      <c r="AY1209" s="1868">
        <v>2.7837200000000002</v>
      </c>
      <c r="AZ1209" s="1868">
        <v>2.8658399999999999</v>
      </c>
      <c r="BA1209" s="1868">
        <v>3.2053400000000001</v>
      </c>
    </row>
    <row r="1210" spans="1:53">
      <c r="A1210" s="1865" t="str">
        <f t="shared" si="18"/>
        <v>Southern EuropeStrawberries</v>
      </c>
      <c r="B1210" s="1866" t="s">
        <v>1423</v>
      </c>
      <c r="C1210" s="1866" t="s">
        <v>1400</v>
      </c>
      <c r="D1210" s="1868">
        <v>6.2921399999999998</v>
      </c>
      <c r="E1210" s="1868">
        <v>6.1080699999999997</v>
      </c>
      <c r="F1210" s="1868">
        <v>5.3389800000000003</v>
      </c>
      <c r="G1210" s="1868">
        <v>6.7092899999999993</v>
      </c>
      <c r="H1210" s="1868">
        <v>6.3978299999999999</v>
      </c>
      <c r="I1210" s="1868">
        <v>7.26877</v>
      </c>
      <c r="J1210" s="1868">
        <v>6.8406799999999999</v>
      </c>
      <c r="K1210" s="1868">
        <v>6.6019100000000002</v>
      </c>
      <c r="L1210" s="1868">
        <v>7.4558100000000005</v>
      </c>
      <c r="M1210" s="1868">
        <v>7.7061399999999995</v>
      </c>
      <c r="N1210" s="1868">
        <v>7.9156600000000008</v>
      </c>
      <c r="O1210" s="1868">
        <v>8.7718799999999995</v>
      </c>
      <c r="P1210" s="1868">
        <v>10.11267</v>
      </c>
      <c r="Q1210" s="1868">
        <v>10.249239999999999</v>
      </c>
      <c r="R1210" s="1868">
        <v>10.684939999999999</v>
      </c>
      <c r="S1210" s="1868">
        <v>12.12067</v>
      </c>
      <c r="T1210" s="1868">
        <v>11.69716</v>
      </c>
      <c r="U1210" s="1868">
        <v>13.397860000000001</v>
      </c>
      <c r="V1210" s="1868">
        <v>14.05824</v>
      </c>
      <c r="W1210" s="1868">
        <v>16.586660000000002</v>
      </c>
      <c r="X1210" s="1868">
        <v>16.161079999999998</v>
      </c>
      <c r="Y1210" s="1868">
        <v>15.13246</v>
      </c>
      <c r="Z1210" s="1868">
        <v>16.358620000000002</v>
      </c>
      <c r="AA1210" s="1868">
        <v>16.715350000000001</v>
      </c>
      <c r="AB1210" s="1868">
        <v>12.8627</v>
      </c>
      <c r="AC1210" s="1868">
        <v>13.349399999999999</v>
      </c>
      <c r="AD1210" s="1868">
        <v>14.5928</v>
      </c>
      <c r="AE1210" s="1868">
        <v>14.240729999999999</v>
      </c>
      <c r="AF1210" s="1868">
        <v>14.739970000000001</v>
      </c>
      <c r="AG1210" s="1868">
        <v>13.91005</v>
      </c>
      <c r="AH1210" s="1868">
        <v>14.47781</v>
      </c>
      <c r="AI1210" s="1868">
        <v>15.341989999999999</v>
      </c>
      <c r="AJ1210" s="1868">
        <v>18.827939999999998</v>
      </c>
      <c r="AK1210" s="1868">
        <v>19.162430000000001</v>
      </c>
      <c r="AL1210" s="1868">
        <v>19.328939999999999</v>
      </c>
      <c r="AM1210" s="1868">
        <v>17.165870000000002</v>
      </c>
      <c r="AN1210" s="1868">
        <v>18.609310000000001</v>
      </c>
      <c r="AO1210" s="1868">
        <v>19.697960000000002</v>
      </c>
      <c r="AP1210" s="1868">
        <v>20.206779999999998</v>
      </c>
      <c r="AQ1210" s="1868">
        <v>18.822379999999999</v>
      </c>
      <c r="AR1210" s="1868">
        <v>18.068570000000001</v>
      </c>
      <c r="AS1210" s="1868">
        <v>16.333920000000003</v>
      </c>
      <c r="AT1210" s="1868">
        <v>16.277329999999999</v>
      </c>
      <c r="AU1210" s="1868">
        <v>20.958570000000002</v>
      </c>
      <c r="AV1210" s="1868">
        <v>19.210920000000002</v>
      </c>
      <c r="AW1210" s="1868">
        <v>20.310779999999998</v>
      </c>
      <c r="AX1210" s="1868">
        <v>18.969139999999999</v>
      </c>
      <c r="AY1210" s="1868">
        <v>18.789210000000001</v>
      </c>
      <c r="AZ1210" s="1868">
        <v>19.484679999999997</v>
      </c>
      <c r="BA1210" s="1868">
        <v>19.716650000000001</v>
      </c>
    </row>
    <row r="1211" spans="1:53">
      <c r="A1211" s="1865" t="str">
        <f t="shared" si="18"/>
        <v>Southern EuropeSugar beet</v>
      </c>
      <c r="B1211" s="1866" t="s">
        <v>1423</v>
      </c>
      <c r="C1211" s="1866" t="s">
        <v>1358</v>
      </c>
      <c r="D1211" s="1868">
        <v>28.08905</v>
      </c>
      <c r="E1211" s="1868">
        <v>26.813320000000001</v>
      </c>
      <c r="F1211" s="1868">
        <v>29.914490000000001</v>
      </c>
      <c r="G1211" s="1868">
        <v>30.722909999999999</v>
      </c>
      <c r="H1211" s="1868">
        <v>30.442440000000001</v>
      </c>
      <c r="I1211" s="1868">
        <v>34.567709999999998</v>
      </c>
      <c r="J1211" s="1868">
        <v>35.093319999999999</v>
      </c>
      <c r="K1211" s="1868">
        <v>33.554569999999998</v>
      </c>
      <c r="L1211" s="1868">
        <v>34.116520000000001</v>
      </c>
      <c r="M1211" s="1868">
        <v>31.352209999999996</v>
      </c>
      <c r="N1211" s="1868">
        <v>34.66657</v>
      </c>
      <c r="O1211" s="1868">
        <v>37.193979999999996</v>
      </c>
      <c r="P1211" s="1868">
        <v>36.108609999999999</v>
      </c>
      <c r="Q1211" s="1868">
        <v>37.005029999999998</v>
      </c>
      <c r="R1211" s="1868">
        <v>40.90052</v>
      </c>
      <c r="S1211" s="1868">
        <v>43.684370000000001</v>
      </c>
      <c r="T1211" s="1868">
        <v>40.324249999999999</v>
      </c>
      <c r="U1211" s="1868">
        <v>40.631250000000001</v>
      </c>
      <c r="V1211" s="1868">
        <v>42.314619999999998</v>
      </c>
      <c r="W1211" s="1868">
        <v>42.925909999999995</v>
      </c>
      <c r="X1211" s="1868">
        <v>46.257480000000001</v>
      </c>
      <c r="Y1211" s="1868">
        <v>40.104599999999998</v>
      </c>
      <c r="Z1211" s="1868">
        <v>42.040370000000003</v>
      </c>
      <c r="AA1211" s="1868">
        <v>45.428269999999998</v>
      </c>
      <c r="AB1211" s="1868">
        <v>41.149729999999998</v>
      </c>
      <c r="AC1211" s="1868">
        <v>44.516870000000004</v>
      </c>
      <c r="AD1211" s="1868">
        <v>46.444800000000001</v>
      </c>
      <c r="AE1211" s="1868">
        <v>45.452570000000001</v>
      </c>
      <c r="AF1211" s="1868">
        <v>51.529000000000003</v>
      </c>
      <c r="AG1211" s="1868">
        <v>42.970939999999999</v>
      </c>
      <c r="AH1211" s="1868">
        <v>43.859470000000002</v>
      </c>
      <c r="AI1211" s="1868">
        <v>44.539879999999997</v>
      </c>
      <c r="AJ1211" s="1868">
        <v>43.125040000000006</v>
      </c>
      <c r="AK1211" s="1868">
        <v>44.268900000000002</v>
      </c>
      <c r="AL1211" s="1868">
        <v>44.179580000000001</v>
      </c>
      <c r="AM1211" s="1868">
        <v>47.445140000000002</v>
      </c>
      <c r="AN1211" s="1868">
        <v>48.24221</v>
      </c>
      <c r="AO1211" s="1868">
        <v>49.149900000000002</v>
      </c>
      <c r="AP1211" s="1868">
        <v>51.246600000000001</v>
      </c>
      <c r="AQ1211" s="1868">
        <v>49.0505</v>
      </c>
      <c r="AR1211" s="1868">
        <v>47.849899999999998</v>
      </c>
      <c r="AS1211" s="1868">
        <v>56.787780000000005</v>
      </c>
      <c r="AT1211" s="1868">
        <v>40.823450000000001</v>
      </c>
      <c r="AU1211" s="1868">
        <v>52.974059999999994</v>
      </c>
      <c r="AV1211" s="1868">
        <v>58.075619999999994</v>
      </c>
      <c r="AW1211" s="1868">
        <v>54.787669999999999</v>
      </c>
      <c r="AX1211" s="1868">
        <v>53.830449999999999</v>
      </c>
      <c r="AY1211" s="1868">
        <v>60.255200000000002</v>
      </c>
      <c r="AZ1211" s="1868">
        <v>59.299040000000005</v>
      </c>
      <c r="BA1211" s="1868">
        <v>57.978969999999997</v>
      </c>
    </row>
    <row r="1212" spans="1:53">
      <c r="A1212" s="1865" t="str">
        <f t="shared" si="18"/>
        <v>Southern EuropeSugar cane</v>
      </c>
      <c r="B1212" s="1866" t="s">
        <v>1423</v>
      </c>
      <c r="C1212" s="1866" t="s">
        <v>1401</v>
      </c>
      <c r="D1212" s="1868">
        <v>56.694219999999994</v>
      </c>
      <c r="E1212" s="1868">
        <v>58.993899999999996</v>
      </c>
      <c r="F1212" s="1868">
        <v>62.540089999999999</v>
      </c>
      <c r="G1212" s="1868">
        <v>60.65831</v>
      </c>
      <c r="H1212" s="1868">
        <v>76.323740000000001</v>
      </c>
      <c r="I1212" s="1868">
        <v>72.08663</v>
      </c>
      <c r="J1212" s="1868">
        <v>70.663359999999997</v>
      </c>
      <c r="K1212" s="1868">
        <v>66.985509999999991</v>
      </c>
      <c r="L1212" s="1868">
        <v>75.259460000000004</v>
      </c>
      <c r="M1212" s="1868">
        <v>69.09371999999999</v>
      </c>
      <c r="N1212" s="1868">
        <v>72.021500000000003</v>
      </c>
      <c r="O1212" s="1868">
        <v>63.005330000000008</v>
      </c>
      <c r="P1212" s="1868">
        <v>61.60051</v>
      </c>
      <c r="Q1212" s="1868">
        <v>66.177779999999998</v>
      </c>
      <c r="R1212" s="1868">
        <v>60.788580000000003</v>
      </c>
      <c r="S1212" s="1868">
        <v>58.300190000000001</v>
      </c>
      <c r="T1212" s="1868">
        <v>59.822669999999995</v>
      </c>
      <c r="U1212" s="1868">
        <v>57.440069999999999</v>
      </c>
      <c r="V1212" s="1868">
        <v>58.267449999999997</v>
      </c>
      <c r="W1212" s="1868">
        <v>63.122750000000003</v>
      </c>
      <c r="X1212" s="1868">
        <v>50.720390000000002</v>
      </c>
      <c r="Y1212" s="1868">
        <v>61.476599999999998</v>
      </c>
      <c r="Z1212" s="1868">
        <v>59.041430000000005</v>
      </c>
      <c r="AA1212" s="1868">
        <v>60.108719999999998</v>
      </c>
      <c r="AB1212" s="1868">
        <v>69.19256</v>
      </c>
      <c r="AC1212" s="1868">
        <v>66.401730000000001</v>
      </c>
      <c r="AD1212" s="1868">
        <v>77.359719999999996</v>
      </c>
      <c r="AE1212" s="1868">
        <v>78.803280000000001</v>
      </c>
      <c r="AF1212" s="1868">
        <v>82.287990000000008</v>
      </c>
      <c r="AG1212" s="1868">
        <v>79.683540000000008</v>
      </c>
      <c r="AH1212" s="1868">
        <v>78.49396999999999</v>
      </c>
      <c r="AI1212" s="1868">
        <v>79.507419999999996</v>
      </c>
      <c r="AJ1212" s="1868">
        <v>76.896720000000002</v>
      </c>
      <c r="AK1212" s="1868">
        <v>84.373590000000007</v>
      </c>
      <c r="AL1212" s="1868">
        <v>72.021290000000008</v>
      </c>
      <c r="AM1212" s="1868">
        <v>45.975809999999996</v>
      </c>
      <c r="AN1212" s="1868">
        <v>62.470209999999994</v>
      </c>
      <c r="AO1212" s="1868">
        <v>86.680549999999997</v>
      </c>
      <c r="AP1212" s="1868">
        <v>94.814819999999997</v>
      </c>
      <c r="AQ1212" s="1868">
        <v>98.549199999999999</v>
      </c>
      <c r="AR1212" s="1868">
        <v>88.343170000000001</v>
      </c>
      <c r="AS1212" s="1868">
        <v>88.630899999999997</v>
      </c>
      <c r="AT1212" s="1868">
        <v>75.955650000000006</v>
      </c>
      <c r="AU1212" s="1868">
        <v>61.842799999999997</v>
      </c>
      <c r="AV1212" s="1868">
        <v>71.393069999999994</v>
      </c>
      <c r="AW1212" s="1868">
        <v>62.6462</v>
      </c>
      <c r="AX1212" s="1868">
        <v>80.31429</v>
      </c>
      <c r="AY1212" s="1868">
        <v>80</v>
      </c>
      <c r="AZ1212" s="1868">
        <v>80</v>
      </c>
      <c r="BA1212" s="1868">
        <v>80</v>
      </c>
    </row>
    <row r="1213" spans="1:53">
      <c r="A1213" s="1865" t="str">
        <f t="shared" si="18"/>
        <v>Southern EuropeSunflower seed</v>
      </c>
      <c r="B1213" s="1866" t="s">
        <v>1423</v>
      </c>
      <c r="C1213" s="1866" t="s">
        <v>1402</v>
      </c>
      <c r="D1213" s="1868">
        <v>1.30769</v>
      </c>
      <c r="E1213" s="1868">
        <v>1.5466500000000001</v>
      </c>
      <c r="F1213" s="1868">
        <v>1.57647</v>
      </c>
      <c r="G1213" s="1868">
        <v>1.6708700000000001</v>
      </c>
      <c r="H1213" s="1868">
        <v>1.5709799999999998</v>
      </c>
      <c r="I1213" s="1868">
        <v>1.6133600000000001</v>
      </c>
      <c r="J1213" s="1868">
        <v>1.5285899999999999</v>
      </c>
      <c r="K1213" s="1868">
        <v>1.6532</v>
      </c>
      <c r="L1213" s="1868">
        <v>1.50139</v>
      </c>
      <c r="M1213" s="1868">
        <v>1.17605</v>
      </c>
      <c r="N1213" s="1868">
        <v>1.17184</v>
      </c>
      <c r="O1213" s="1868">
        <v>1.01014</v>
      </c>
      <c r="P1213" s="1868">
        <v>1.1336200000000001</v>
      </c>
      <c r="Q1213" s="1868">
        <v>0.93552999999999997</v>
      </c>
      <c r="R1213" s="1868">
        <v>0.73628000000000005</v>
      </c>
      <c r="S1213" s="1868">
        <v>0.97294999999999998</v>
      </c>
      <c r="T1213" s="1868">
        <v>1.1678299999999999</v>
      </c>
      <c r="U1213" s="1868">
        <v>1.22092</v>
      </c>
      <c r="V1213" s="1868">
        <v>1.1737200000000001</v>
      </c>
      <c r="W1213" s="1868">
        <v>1.1607299999999998</v>
      </c>
      <c r="X1213" s="1868">
        <v>0.81213999999999997</v>
      </c>
      <c r="Y1213" s="1868">
        <v>1.0238399999999999</v>
      </c>
      <c r="Z1213" s="1868">
        <v>0.97562999999999989</v>
      </c>
      <c r="AA1213" s="1868">
        <v>1.2076200000000001</v>
      </c>
      <c r="AB1213" s="1868">
        <v>1.15133</v>
      </c>
      <c r="AC1213" s="1868">
        <v>1.3413899999999999</v>
      </c>
      <c r="AD1213" s="1868">
        <v>1.3109999999999999</v>
      </c>
      <c r="AE1213" s="1868">
        <v>1.4264299999999999</v>
      </c>
      <c r="AF1213" s="1868">
        <v>1.2750900000000001</v>
      </c>
      <c r="AG1213" s="1868">
        <v>1.2931900000000001</v>
      </c>
      <c r="AH1213" s="1868">
        <v>1.24566</v>
      </c>
      <c r="AI1213" s="1868">
        <v>1.11768</v>
      </c>
      <c r="AJ1213" s="1868">
        <v>0.80645</v>
      </c>
      <c r="AK1213" s="1868">
        <v>0.99511000000000005</v>
      </c>
      <c r="AL1213" s="1868">
        <v>0.92347000000000012</v>
      </c>
      <c r="AM1213" s="1868">
        <v>1.2902400000000001</v>
      </c>
      <c r="AN1213" s="1868">
        <v>1.41364</v>
      </c>
      <c r="AO1213" s="1868">
        <v>1.3291999999999999</v>
      </c>
      <c r="AP1213" s="1868">
        <v>1.0982499999999999</v>
      </c>
      <c r="AQ1213" s="1868">
        <v>1.38937</v>
      </c>
      <c r="AR1213" s="1868">
        <v>1.2820499999999999</v>
      </c>
      <c r="AS1213" s="1868">
        <v>1.3107600000000001</v>
      </c>
      <c r="AT1213" s="1868">
        <v>1.2014100000000001</v>
      </c>
      <c r="AU1213" s="1868">
        <v>1.4398500000000001</v>
      </c>
      <c r="AV1213" s="1868">
        <v>1.22719</v>
      </c>
      <c r="AW1213" s="1868">
        <v>1.4492200000000002</v>
      </c>
      <c r="AX1213" s="1868">
        <v>1.49522</v>
      </c>
      <c r="AY1213" s="1868">
        <v>1.5640700000000001</v>
      </c>
      <c r="AZ1213" s="1868">
        <v>1.37653</v>
      </c>
      <c r="BA1213" s="1868">
        <v>1.5176399999999999</v>
      </c>
    </row>
    <row r="1214" spans="1:53">
      <c r="A1214" s="1865" t="str">
        <f t="shared" si="18"/>
        <v>Southern EuropeSweet potatoes</v>
      </c>
      <c r="B1214" s="1866" t="s">
        <v>1423</v>
      </c>
      <c r="C1214" s="1866" t="s">
        <v>1403</v>
      </c>
      <c r="D1214" s="1868">
        <v>10.888589999999999</v>
      </c>
      <c r="E1214" s="1868">
        <v>10.92883</v>
      </c>
      <c r="F1214" s="1868">
        <v>11.221769999999999</v>
      </c>
      <c r="G1214" s="1868">
        <v>11.464310000000001</v>
      </c>
      <c r="H1214" s="1868">
        <v>11.265180000000001</v>
      </c>
      <c r="I1214" s="1868">
        <v>10.326310000000001</v>
      </c>
      <c r="J1214" s="1868">
        <v>10.58029</v>
      </c>
      <c r="K1214" s="1868">
        <v>10.25652</v>
      </c>
      <c r="L1214" s="1868">
        <v>9.943010000000001</v>
      </c>
      <c r="M1214" s="1868">
        <v>10.133100000000001</v>
      </c>
      <c r="N1214" s="1868">
        <v>9.3792200000000001</v>
      </c>
      <c r="O1214" s="1868">
        <v>9.6133699999999997</v>
      </c>
      <c r="P1214" s="1868">
        <v>9.6068499999999997</v>
      </c>
      <c r="Q1214" s="1868">
        <v>10.366989999999999</v>
      </c>
      <c r="R1214" s="1868">
        <v>10.034889999999999</v>
      </c>
      <c r="S1214" s="1868">
        <v>10.42966</v>
      </c>
      <c r="T1214" s="1868">
        <v>10.620760000000001</v>
      </c>
      <c r="U1214" s="1868">
        <v>10.482619999999999</v>
      </c>
      <c r="V1214" s="1868">
        <v>10.797880000000001</v>
      </c>
      <c r="W1214" s="1868">
        <v>10.649699999999999</v>
      </c>
      <c r="X1214" s="1868">
        <v>11.90748</v>
      </c>
      <c r="Y1214" s="1868">
        <v>11.36558</v>
      </c>
      <c r="Z1214" s="1868">
        <v>10.702860000000001</v>
      </c>
      <c r="AA1214" s="1868">
        <v>11.712719999999999</v>
      </c>
      <c r="AB1214" s="1868">
        <v>11.46349</v>
      </c>
      <c r="AC1214" s="1868">
        <v>12.17435</v>
      </c>
      <c r="AD1214" s="1868">
        <v>12.83276</v>
      </c>
      <c r="AE1214" s="1868">
        <v>12.163460000000001</v>
      </c>
      <c r="AF1214" s="1868">
        <v>13.102349999999999</v>
      </c>
      <c r="AG1214" s="1868">
        <v>12.63096</v>
      </c>
      <c r="AH1214" s="1868">
        <v>12.298869999999999</v>
      </c>
      <c r="AI1214" s="1868">
        <v>13.69561</v>
      </c>
      <c r="AJ1214" s="1868">
        <v>16.418939999999999</v>
      </c>
      <c r="AK1214" s="1868">
        <v>15.1797</v>
      </c>
      <c r="AL1214" s="1868">
        <v>13.529639999999999</v>
      </c>
      <c r="AM1214" s="1868">
        <v>13.00108</v>
      </c>
      <c r="AN1214" s="1868">
        <v>12.7623</v>
      </c>
      <c r="AO1214" s="1868">
        <v>12.62411</v>
      </c>
      <c r="AP1214" s="1868">
        <v>11.126810000000001</v>
      </c>
      <c r="AQ1214" s="1868">
        <v>11.0817</v>
      </c>
      <c r="AR1214" s="1868">
        <v>13.564679999999999</v>
      </c>
      <c r="AS1214" s="1868">
        <v>12.958550000000001</v>
      </c>
      <c r="AT1214" s="1868">
        <v>13.170279999999998</v>
      </c>
      <c r="AU1214" s="1868">
        <v>15.038360000000001</v>
      </c>
      <c r="AV1214" s="1868">
        <v>13.68319</v>
      </c>
      <c r="AW1214" s="1868">
        <v>11.68853</v>
      </c>
      <c r="AX1214" s="1868">
        <v>11.47317</v>
      </c>
      <c r="AY1214" s="1868">
        <v>11.64564</v>
      </c>
      <c r="AZ1214" s="1868">
        <v>11.639380000000001</v>
      </c>
      <c r="BA1214" s="1868">
        <v>12.440989999999999</v>
      </c>
    </row>
    <row r="1215" spans="1:53">
      <c r="A1215" s="1865" t="str">
        <f t="shared" si="18"/>
        <v>Southern EuropeTangerines, mandarins, clem.</v>
      </c>
      <c r="B1215" s="1866" t="s">
        <v>1423</v>
      </c>
      <c r="C1215" s="1866" t="s">
        <v>1404</v>
      </c>
      <c r="D1215" s="1868">
        <v>11.7874</v>
      </c>
      <c r="E1215" s="1868">
        <v>9.7439600000000013</v>
      </c>
      <c r="F1215" s="1868">
        <v>11.518750000000001</v>
      </c>
      <c r="G1215" s="1868">
        <v>12.91845</v>
      </c>
      <c r="H1215" s="1868">
        <v>12.68791</v>
      </c>
      <c r="I1215" s="1868">
        <v>14.034829999999999</v>
      </c>
      <c r="J1215" s="1868">
        <v>12.871560000000001</v>
      </c>
      <c r="K1215" s="1868">
        <v>13.16262</v>
      </c>
      <c r="L1215" s="1868">
        <v>13.92501</v>
      </c>
      <c r="M1215" s="1868">
        <v>14.43985</v>
      </c>
      <c r="N1215" s="1868">
        <v>13.471310000000001</v>
      </c>
      <c r="O1215" s="1868">
        <v>15.606770000000001</v>
      </c>
      <c r="P1215" s="1868">
        <v>13.030010000000001</v>
      </c>
      <c r="Q1215" s="1868">
        <v>12.744669999999999</v>
      </c>
      <c r="R1215" s="1868">
        <v>12.93422</v>
      </c>
      <c r="S1215" s="1868">
        <v>12.91095</v>
      </c>
      <c r="T1215" s="1868">
        <v>14.946249999999999</v>
      </c>
      <c r="U1215" s="1868">
        <v>17.40709</v>
      </c>
      <c r="V1215" s="1868">
        <v>15.646679999999998</v>
      </c>
      <c r="W1215" s="1868">
        <v>16.693660000000001</v>
      </c>
      <c r="X1215" s="1868">
        <v>14.718470000000002</v>
      </c>
      <c r="Y1215" s="1868">
        <v>16.434940000000001</v>
      </c>
      <c r="Z1215" s="1868">
        <v>21.579339999999998</v>
      </c>
      <c r="AA1215" s="1868">
        <v>15.29452</v>
      </c>
      <c r="AB1215" s="1868">
        <v>18.162220000000001</v>
      </c>
      <c r="AC1215" s="1868">
        <v>19.582750000000001</v>
      </c>
      <c r="AD1215" s="1868">
        <v>17.811399999999999</v>
      </c>
      <c r="AE1215" s="1868">
        <v>17.180979999999998</v>
      </c>
      <c r="AF1215" s="1868">
        <v>19.534489999999998</v>
      </c>
      <c r="AG1215" s="1868">
        <v>19.151329999999998</v>
      </c>
      <c r="AH1215" s="1868">
        <v>17.46463</v>
      </c>
      <c r="AI1215" s="1868">
        <v>19.318089999999998</v>
      </c>
      <c r="AJ1215" s="1868">
        <v>20.061029999999999</v>
      </c>
      <c r="AK1215" s="1868">
        <v>19.890779999999999</v>
      </c>
      <c r="AL1215" s="1868">
        <v>18.680399999999999</v>
      </c>
      <c r="AM1215" s="1868">
        <v>16.5471</v>
      </c>
      <c r="AN1215" s="1868">
        <v>18.110849999999999</v>
      </c>
      <c r="AO1215" s="1868">
        <v>15.684479999999999</v>
      </c>
      <c r="AP1215" s="1868">
        <v>17.27983</v>
      </c>
      <c r="AQ1215" s="1868">
        <v>16.20382</v>
      </c>
      <c r="AR1215" s="1868">
        <v>15.57361</v>
      </c>
      <c r="AS1215" s="1868">
        <v>16.947610000000001</v>
      </c>
      <c r="AT1215" s="1868">
        <v>16.624389999999998</v>
      </c>
      <c r="AU1215" s="1868">
        <v>19.648129999999998</v>
      </c>
      <c r="AV1215" s="1868">
        <v>16.62331</v>
      </c>
      <c r="AW1215" s="1868">
        <v>19.29637</v>
      </c>
      <c r="AX1215" s="1868">
        <v>16.844049999999999</v>
      </c>
      <c r="AY1215" s="1868">
        <v>18.011849999999999</v>
      </c>
      <c r="AZ1215" s="1868">
        <v>17.11872</v>
      </c>
      <c r="BA1215" s="1868">
        <v>14.603629999999999</v>
      </c>
    </row>
    <row r="1216" spans="1:53">
      <c r="A1216" s="1865" t="str">
        <f t="shared" si="18"/>
        <v>Southern EuropeTea</v>
      </c>
      <c r="B1216" s="1866" t="s">
        <v>1423</v>
      </c>
      <c r="C1216" s="1866" t="s">
        <v>1405</v>
      </c>
      <c r="D1216" s="1868">
        <v>0.64</v>
      </c>
      <c r="E1216" s="1868">
        <v>0.55556000000000005</v>
      </c>
      <c r="F1216" s="1868">
        <v>0.6</v>
      </c>
      <c r="G1216" s="1868">
        <v>0.6</v>
      </c>
      <c r="H1216" s="1868">
        <v>0.6</v>
      </c>
      <c r="I1216" s="1868">
        <v>0.66037999999999997</v>
      </c>
      <c r="J1216" s="1868">
        <v>0.66666999999999998</v>
      </c>
      <c r="K1216" s="1868">
        <v>0.66666999999999998</v>
      </c>
      <c r="L1216" s="1868">
        <v>0.66666999999999998</v>
      </c>
      <c r="M1216" s="1868">
        <v>0.66666999999999998</v>
      </c>
      <c r="N1216" s="1868">
        <v>0.66666999999999998</v>
      </c>
      <c r="O1216" s="1868">
        <v>0.66666999999999998</v>
      </c>
      <c r="P1216" s="1868">
        <v>0.66666999999999998</v>
      </c>
      <c r="Q1216" s="1868">
        <v>0.66666999999999998</v>
      </c>
      <c r="R1216" s="1868">
        <v>0.66666999999999998</v>
      </c>
      <c r="S1216" s="1868">
        <v>0.67221999999999993</v>
      </c>
      <c r="T1216" s="1868">
        <v>0.66749999999999998</v>
      </c>
      <c r="U1216" s="1868">
        <v>0.66249999999999998</v>
      </c>
      <c r="V1216" s="1868">
        <v>0.66458000000000006</v>
      </c>
      <c r="W1216" s="1868">
        <v>0.66176999999999997</v>
      </c>
      <c r="X1216" s="1868">
        <v>0.66666999999999998</v>
      </c>
      <c r="Y1216" s="1868">
        <v>0.67600000000000005</v>
      </c>
      <c r="Z1216" s="1868">
        <v>0.66</v>
      </c>
      <c r="AA1216" s="1868">
        <v>0.67406999999999995</v>
      </c>
      <c r="AB1216" s="1868">
        <v>0.66364000000000001</v>
      </c>
      <c r="AC1216" s="1868">
        <v>0.66332999999999998</v>
      </c>
      <c r="AD1216" s="1868">
        <v>0.66071000000000002</v>
      </c>
      <c r="AE1216" s="1868">
        <v>0.67500000000000004</v>
      </c>
      <c r="AF1216" s="1868">
        <v>0.66</v>
      </c>
      <c r="AG1216" s="1868">
        <v>0.65713999999999995</v>
      </c>
      <c r="AH1216" s="1868">
        <v>0.67895000000000005</v>
      </c>
      <c r="AI1216" s="1868">
        <v>0.69</v>
      </c>
      <c r="AJ1216" s="1868">
        <v>0.7</v>
      </c>
      <c r="AK1216" s="1868">
        <v>0.66666999999999998</v>
      </c>
      <c r="AL1216" s="1868">
        <v>0.66128999999999993</v>
      </c>
      <c r="AM1216" s="1868">
        <v>0.66316000000000008</v>
      </c>
      <c r="AN1216" s="1868">
        <v>0.60976000000000008</v>
      </c>
      <c r="AO1216" s="1868">
        <v>0.58536999999999995</v>
      </c>
      <c r="AP1216" s="1868">
        <v>3</v>
      </c>
      <c r="AQ1216" s="1868">
        <v>2.1</v>
      </c>
      <c r="AR1216" s="1868">
        <v>2.15</v>
      </c>
      <c r="AS1216" s="1868">
        <v>3</v>
      </c>
      <c r="AT1216" s="1868">
        <v>3.2222200000000001</v>
      </c>
      <c r="AU1216" s="1868">
        <v>3.4722199999999996</v>
      </c>
      <c r="AV1216" s="1868">
        <v>3.11111</v>
      </c>
      <c r="AW1216" s="1868">
        <v>2.875</v>
      </c>
      <c r="AX1216" s="1868">
        <v>2.9249999999999998</v>
      </c>
      <c r="AY1216" s="1868">
        <v>2.875</v>
      </c>
      <c r="AZ1216" s="1868">
        <v>2.875</v>
      </c>
      <c r="BA1216" s="1868">
        <v>3.25</v>
      </c>
    </row>
    <row r="1217" spans="1:53">
      <c r="A1217" s="1865" t="str">
        <f t="shared" si="18"/>
        <v>Southern EuropeTobacco, unmanufactured</v>
      </c>
      <c r="B1217" s="1866" t="s">
        <v>1423</v>
      </c>
      <c r="C1217" s="1866" t="s">
        <v>1347</v>
      </c>
      <c r="D1217" s="1868">
        <v>0.7923</v>
      </c>
      <c r="E1217" s="1868">
        <v>0.90485000000000004</v>
      </c>
      <c r="F1217" s="1868">
        <v>1.0206899999999999</v>
      </c>
      <c r="G1217" s="1868">
        <v>1.06681</v>
      </c>
      <c r="H1217" s="1868">
        <v>1.04664</v>
      </c>
      <c r="I1217" s="1868">
        <v>0.98540000000000005</v>
      </c>
      <c r="J1217" s="1868">
        <v>1.11696</v>
      </c>
      <c r="K1217" s="1868">
        <v>1.01128</v>
      </c>
      <c r="L1217" s="1868">
        <v>1.00732</v>
      </c>
      <c r="M1217" s="1868">
        <v>1.1547100000000001</v>
      </c>
      <c r="N1217" s="1868">
        <v>1.17103</v>
      </c>
      <c r="O1217" s="1868">
        <v>1.2328600000000001</v>
      </c>
      <c r="P1217" s="1868">
        <v>1.3021</v>
      </c>
      <c r="Q1217" s="1868">
        <v>1.22299</v>
      </c>
      <c r="R1217" s="1868">
        <v>1.3687100000000001</v>
      </c>
      <c r="S1217" s="1868">
        <v>1.3023799999999999</v>
      </c>
      <c r="T1217" s="1868">
        <v>1.2588600000000001</v>
      </c>
      <c r="U1217" s="1868">
        <v>1.34727</v>
      </c>
      <c r="V1217" s="1868">
        <v>1.5302500000000001</v>
      </c>
      <c r="W1217" s="1868">
        <v>1.44719</v>
      </c>
      <c r="X1217" s="1868">
        <v>1.5896600000000001</v>
      </c>
      <c r="Y1217" s="1868">
        <v>1.6119600000000001</v>
      </c>
      <c r="Z1217" s="1868">
        <v>1.50498</v>
      </c>
      <c r="AA1217" s="1868">
        <v>1.7009799999999999</v>
      </c>
      <c r="AB1217" s="1868">
        <v>1.5752600000000001</v>
      </c>
      <c r="AC1217" s="1868">
        <v>1.5449999999999999</v>
      </c>
      <c r="AD1217" s="1868">
        <v>1.58121</v>
      </c>
      <c r="AE1217" s="1868">
        <v>1.51071</v>
      </c>
      <c r="AF1217" s="1868">
        <v>1.6459900000000001</v>
      </c>
      <c r="AG1217" s="1868">
        <v>1.76722</v>
      </c>
      <c r="AH1217" s="1868">
        <v>1.91022</v>
      </c>
      <c r="AI1217" s="1868">
        <v>1.8666400000000001</v>
      </c>
      <c r="AJ1217" s="1868">
        <v>1.8994099999999998</v>
      </c>
      <c r="AK1217" s="1868">
        <v>1.92153</v>
      </c>
      <c r="AL1217" s="1868">
        <v>2.0970900000000001</v>
      </c>
      <c r="AM1217" s="1868">
        <v>2.0833200000000001</v>
      </c>
      <c r="AN1217" s="1868">
        <v>2.1091900000000003</v>
      </c>
      <c r="AO1217" s="1868">
        <v>2.1309299999999998</v>
      </c>
      <c r="AP1217" s="1868">
        <v>2.2133400000000001</v>
      </c>
      <c r="AQ1217" s="1868">
        <v>2.2564900000000003</v>
      </c>
      <c r="AR1217" s="1868">
        <v>2.35426</v>
      </c>
      <c r="AS1217" s="1868">
        <v>2.3182900000000002</v>
      </c>
      <c r="AT1217" s="1868">
        <v>2.3951799999999999</v>
      </c>
      <c r="AU1217" s="1868">
        <v>2.4846599999999999</v>
      </c>
      <c r="AV1217" s="1868">
        <v>2.4555400000000001</v>
      </c>
      <c r="AW1217" s="1868">
        <v>2.3136400000000004</v>
      </c>
      <c r="AX1217" s="1868">
        <v>2.31081</v>
      </c>
      <c r="AY1217" s="1868">
        <v>2.40822</v>
      </c>
      <c r="AZ1217" s="1868">
        <v>2.50847</v>
      </c>
      <c r="BA1217" s="1868">
        <v>2.5333099999999997</v>
      </c>
    </row>
    <row r="1218" spans="1:53">
      <c r="A1218" s="1865" t="str">
        <f t="shared" si="18"/>
        <v>Southern EuropeTomatoes</v>
      </c>
      <c r="B1218" s="1866" t="s">
        <v>1423</v>
      </c>
      <c r="C1218" s="1866" t="s">
        <v>1406</v>
      </c>
      <c r="D1218" s="1868">
        <v>19.32884</v>
      </c>
      <c r="E1218" s="1868">
        <v>20.01831</v>
      </c>
      <c r="F1218" s="1868">
        <v>20.870200000000001</v>
      </c>
      <c r="G1218" s="1868">
        <v>22.45664</v>
      </c>
      <c r="H1218" s="1868">
        <v>23.068449999999999</v>
      </c>
      <c r="I1218" s="1868">
        <v>23.606549999999999</v>
      </c>
      <c r="J1218" s="1868">
        <v>23.912279999999999</v>
      </c>
      <c r="K1218" s="1868">
        <v>23.76238</v>
      </c>
      <c r="L1218" s="1868">
        <v>25.5959</v>
      </c>
      <c r="M1218" s="1868">
        <v>25.754570000000001</v>
      </c>
      <c r="N1218" s="1868">
        <v>26.07572</v>
      </c>
      <c r="O1218" s="1868">
        <v>26.22167</v>
      </c>
      <c r="P1218" s="1868">
        <v>28.519459999999999</v>
      </c>
      <c r="Q1218" s="1868">
        <v>29.447209999999998</v>
      </c>
      <c r="R1218" s="1868">
        <v>30.34985</v>
      </c>
      <c r="S1218" s="1868">
        <v>28.247979999999998</v>
      </c>
      <c r="T1218" s="1868">
        <v>28.243099999999998</v>
      </c>
      <c r="U1218" s="1868">
        <v>29.366690000000002</v>
      </c>
      <c r="V1218" s="1868">
        <v>32.343709999999994</v>
      </c>
      <c r="W1218" s="1868">
        <v>30.554600000000001</v>
      </c>
      <c r="X1218" s="1868">
        <v>32.274180000000001</v>
      </c>
      <c r="Y1218" s="1868">
        <v>32.353149999999999</v>
      </c>
      <c r="Z1218" s="1868">
        <v>35.238529999999997</v>
      </c>
      <c r="AA1218" s="1868">
        <v>38.354100000000003</v>
      </c>
      <c r="AB1218" s="1868">
        <v>39.36889</v>
      </c>
      <c r="AC1218" s="1868">
        <v>37.868850000000002</v>
      </c>
      <c r="AD1218" s="1868">
        <v>37.61356</v>
      </c>
      <c r="AE1218" s="1868">
        <v>35.649659999999997</v>
      </c>
      <c r="AF1218" s="1868">
        <v>39.248779999999996</v>
      </c>
      <c r="AG1218" s="1868">
        <v>37.82508</v>
      </c>
      <c r="AH1218" s="1868">
        <v>40.309979999999996</v>
      </c>
      <c r="AI1218" s="1868">
        <v>38.898679999999999</v>
      </c>
      <c r="AJ1218" s="1868">
        <v>41.32526</v>
      </c>
      <c r="AK1218" s="1868">
        <v>43.34619</v>
      </c>
      <c r="AL1218" s="1868">
        <v>41.562290000000004</v>
      </c>
      <c r="AM1218" s="1868">
        <v>46.100320000000004</v>
      </c>
      <c r="AN1218" s="1868">
        <v>44.291809999999998</v>
      </c>
      <c r="AO1218" s="1868">
        <v>46.149070000000002</v>
      </c>
      <c r="AP1218" s="1868">
        <v>48.702590000000001</v>
      </c>
      <c r="AQ1218" s="1868">
        <v>48.693779999999997</v>
      </c>
      <c r="AR1218" s="1868">
        <v>48.769159999999999</v>
      </c>
      <c r="AS1218" s="1868">
        <v>46.588009999999997</v>
      </c>
      <c r="AT1218" s="1868">
        <v>47.67089</v>
      </c>
      <c r="AU1218" s="1868">
        <v>51.349499999999999</v>
      </c>
      <c r="AV1218" s="1868">
        <v>51.378489999999999</v>
      </c>
      <c r="AW1218" s="1868">
        <v>49.905390000000004</v>
      </c>
      <c r="AX1218" s="1868">
        <v>52.153379999999999</v>
      </c>
      <c r="AY1218" s="1868">
        <v>53.011140000000005</v>
      </c>
      <c r="AZ1218" s="1868">
        <v>55.752659999999999</v>
      </c>
      <c r="BA1218" s="1868">
        <v>53.319359999999996</v>
      </c>
    </row>
    <row r="1219" spans="1:53">
      <c r="A1219" s="1865" t="str">
        <f t="shared" si="18"/>
        <v>Southern EuropeTriticale</v>
      </c>
      <c r="B1219" s="1866" t="s">
        <v>1423</v>
      </c>
      <c r="C1219" s="1866" t="s">
        <v>1361</v>
      </c>
      <c r="V1219" s="1868">
        <v>1.5294099999999999</v>
      </c>
      <c r="W1219" s="1868">
        <v>1.5</v>
      </c>
      <c r="X1219" s="1868">
        <v>1.5</v>
      </c>
      <c r="Y1219" s="1868">
        <v>1.5384599999999999</v>
      </c>
      <c r="Z1219" s="1868">
        <v>1.5384599999999999</v>
      </c>
      <c r="AA1219" s="1868">
        <v>1.6</v>
      </c>
      <c r="AB1219" s="1868">
        <v>2.6</v>
      </c>
      <c r="AC1219" s="1868">
        <v>1.7629700000000001</v>
      </c>
      <c r="AD1219" s="1868">
        <v>2.5276700000000001</v>
      </c>
      <c r="AE1219" s="1868">
        <v>2.1575700000000002</v>
      </c>
      <c r="AF1219" s="1868">
        <v>2.28024</v>
      </c>
      <c r="AG1219" s="1868">
        <v>1.9145299999999998</v>
      </c>
      <c r="AH1219" s="1868">
        <v>2.37853</v>
      </c>
      <c r="AI1219" s="1868">
        <v>1.7599099999999999</v>
      </c>
      <c r="AJ1219" s="1868">
        <v>1.4246299999999998</v>
      </c>
      <c r="AK1219" s="1868">
        <v>1.6520900000000001</v>
      </c>
      <c r="AL1219" s="1868">
        <v>0.97367000000000004</v>
      </c>
      <c r="AM1219" s="1868">
        <v>1.85538</v>
      </c>
      <c r="AN1219" s="1868">
        <v>1.32348</v>
      </c>
      <c r="AO1219" s="1868">
        <v>1.4227000000000001</v>
      </c>
      <c r="AP1219" s="1868">
        <v>1.2076899999999999</v>
      </c>
      <c r="AQ1219" s="1868">
        <v>2.2337500000000001</v>
      </c>
      <c r="AR1219" s="1868">
        <v>1.8963099999999999</v>
      </c>
      <c r="AS1219" s="1868">
        <v>2.3603700000000001</v>
      </c>
      <c r="AT1219" s="1868">
        <v>1.8888499999999999</v>
      </c>
      <c r="AU1219" s="1868">
        <v>1.37521</v>
      </c>
      <c r="AV1219" s="1868">
        <v>1.1341299999999999</v>
      </c>
      <c r="AW1219" s="1868">
        <v>2.9809000000000001</v>
      </c>
      <c r="AX1219" s="1868">
        <v>3.07029</v>
      </c>
      <c r="AY1219" s="1868">
        <v>2.9003099999999997</v>
      </c>
      <c r="AZ1219" s="1868">
        <v>2.6450299999999998</v>
      </c>
      <c r="BA1219" s="1868">
        <v>2.2922599999999997</v>
      </c>
    </row>
    <row r="1220" spans="1:53">
      <c r="A1220" s="1865" t="str">
        <f t="shared" ref="A1220:A1283" si="19">CONCATENATE(B1220,C1220)</f>
        <v>Southern EuropeVegetables fresh nes</v>
      </c>
      <c r="B1220" s="1866" t="s">
        <v>1423</v>
      </c>
      <c r="C1220" s="1866" t="s">
        <v>1407</v>
      </c>
      <c r="D1220" s="1868">
        <v>15.253550000000001</v>
      </c>
      <c r="E1220" s="1868">
        <v>14.006829999999999</v>
      </c>
      <c r="F1220" s="1868">
        <v>15.942229999999999</v>
      </c>
      <c r="G1220" s="1868">
        <v>16.43929</v>
      </c>
      <c r="H1220" s="1868">
        <v>16.705570000000002</v>
      </c>
      <c r="I1220" s="1868">
        <v>17.349989999999998</v>
      </c>
      <c r="J1220" s="1868">
        <v>17.552800000000001</v>
      </c>
      <c r="K1220" s="1868">
        <v>17.606870000000001</v>
      </c>
      <c r="L1220" s="1868">
        <v>17.84825</v>
      </c>
      <c r="M1220" s="1868">
        <v>18.674389999999999</v>
      </c>
      <c r="N1220" s="1868">
        <v>17.83446</v>
      </c>
      <c r="O1220" s="1868">
        <v>18.21574</v>
      </c>
      <c r="P1220" s="1868">
        <v>18.248989999999999</v>
      </c>
      <c r="Q1220" s="1868">
        <v>20.448979999999999</v>
      </c>
      <c r="R1220" s="1868">
        <v>21.551870000000001</v>
      </c>
      <c r="S1220" s="1868">
        <v>20.492570000000001</v>
      </c>
      <c r="T1220" s="1868">
        <v>21.750610000000002</v>
      </c>
      <c r="U1220" s="1868">
        <v>19.957729999999998</v>
      </c>
      <c r="V1220" s="1868">
        <v>20.397370000000002</v>
      </c>
      <c r="W1220" s="1868">
        <v>20.237010000000001</v>
      </c>
      <c r="X1220" s="1868">
        <v>20.877939999999999</v>
      </c>
      <c r="Y1220" s="1868">
        <v>19.366329999999998</v>
      </c>
      <c r="Z1220" s="1868">
        <v>19.633770000000002</v>
      </c>
      <c r="AA1220" s="1868">
        <v>19.346229999999998</v>
      </c>
      <c r="AB1220" s="1868">
        <v>19.765470000000001</v>
      </c>
      <c r="AC1220" s="1868">
        <v>22.09947</v>
      </c>
      <c r="AD1220" s="1868">
        <v>19.398849999999999</v>
      </c>
      <c r="AE1220" s="1868">
        <v>19.170999999999999</v>
      </c>
      <c r="AF1220" s="1868">
        <v>19.13035</v>
      </c>
      <c r="AG1220" s="1868">
        <v>18.27413</v>
      </c>
      <c r="AH1220" s="1868">
        <v>17.961389999999998</v>
      </c>
      <c r="AI1220" s="1868">
        <v>14.30251</v>
      </c>
      <c r="AJ1220" s="1868">
        <v>14.299670000000001</v>
      </c>
      <c r="AK1220" s="1868">
        <v>14.142870000000002</v>
      </c>
      <c r="AL1220" s="1868">
        <v>13.834710000000001</v>
      </c>
      <c r="AM1220" s="1868">
        <v>13.262189999999999</v>
      </c>
      <c r="AN1220" s="1868">
        <v>13.16174</v>
      </c>
      <c r="AO1220" s="1868">
        <v>13.84309</v>
      </c>
      <c r="AP1220" s="1868">
        <v>13.381179999999999</v>
      </c>
      <c r="AQ1220" s="1868">
        <v>13.030139999999999</v>
      </c>
      <c r="AR1220" s="1868">
        <v>12.858080000000001</v>
      </c>
      <c r="AS1220" s="1868">
        <v>12.16258</v>
      </c>
      <c r="AT1220" s="1868">
        <v>12.15019</v>
      </c>
      <c r="AU1220" s="1868">
        <v>14.066549999999999</v>
      </c>
      <c r="AV1220" s="1868">
        <v>13.258179999999999</v>
      </c>
      <c r="AW1220" s="1868">
        <v>13.048739999999999</v>
      </c>
      <c r="AX1220" s="1868">
        <v>12.65868</v>
      </c>
      <c r="AY1220" s="1868">
        <v>11.97245</v>
      </c>
      <c r="AZ1220" s="1868">
        <v>12.122869999999999</v>
      </c>
      <c r="BA1220" s="1868">
        <v>11.92503</v>
      </c>
    </row>
    <row r="1221" spans="1:53">
      <c r="A1221" s="1865" t="str">
        <f t="shared" si="19"/>
        <v>Southern EuropeVetches</v>
      </c>
      <c r="B1221" s="1866" t="s">
        <v>1423</v>
      </c>
      <c r="C1221" s="1866" t="s">
        <v>1408</v>
      </c>
      <c r="D1221" s="1868">
        <v>1.1804299999999999</v>
      </c>
      <c r="E1221" s="1868">
        <v>1.12798</v>
      </c>
      <c r="F1221" s="1868">
        <v>1.1585399999999999</v>
      </c>
      <c r="G1221" s="1868">
        <v>1.1625399999999999</v>
      </c>
      <c r="H1221" s="1868">
        <v>1.2113100000000001</v>
      </c>
      <c r="I1221" s="1868">
        <v>1.28556</v>
      </c>
      <c r="J1221" s="1868">
        <v>1.2682799999999999</v>
      </c>
      <c r="K1221" s="1868">
        <v>1.22522</v>
      </c>
      <c r="L1221" s="1868">
        <v>1.19042</v>
      </c>
      <c r="M1221" s="1868">
        <v>1.15862</v>
      </c>
      <c r="N1221" s="1868">
        <v>1.1425100000000001</v>
      </c>
      <c r="O1221" s="1868">
        <v>1.1094299999999999</v>
      </c>
      <c r="P1221" s="1868">
        <v>1.11877</v>
      </c>
      <c r="Q1221" s="1868">
        <v>1.1002100000000001</v>
      </c>
      <c r="R1221" s="1868">
        <v>1.13687</v>
      </c>
      <c r="S1221" s="1868">
        <v>1.0782799999999999</v>
      </c>
      <c r="T1221" s="1868">
        <v>1.1512899999999999</v>
      </c>
      <c r="U1221" s="1868">
        <v>1.1937599999999999</v>
      </c>
      <c r="V1221" s="1868">
        <v>1.17058</v>
      </c>
      <c r="W1221" s="1868">
        <v>1.22407</v>
      </c>
      <c r="X1221" s="1868">
        <v>1.13809</v>
      </c>
      <c r="Y1221" s="1868">
        <v>1.1016900000000001</v>
      </c>
      <c r="Z1221" s="1868">
        <v>1.0295000000000001</v>
      </c>
      <c r="AA1221" s="1868">
        <v>1.1823600000000001</v>
      </c>
      <c r="AB1221" s="1868">
        <v>1.2181200000000001</v>
      </c>
      <c r="AC1221" s="1868">
        <v>1.1604000000000001</v>
      </c>
      <c r="AD1221" s="1868">
        <v>1.18574</v>
      </c>
      <c r="AE1221" s="1868">
        <v>1.1612499999999999</v>
      </c>
      <c r="AF1221" s="1868">
        <v>1.0690299999999999</v>
      </c>
      <c r="AG1221" s="1868">
        <v>1.02695</v>
      </c>
      <c r="AH1221" s="1868">
        <v>0.9367700000000001</v>
      </c>
      <c r="AI1221" s="1868">
        <v>0.82550000000000001</v>
      </c>
      <c r="AJ1221" s="1868">
        <v>1.1307100000000001</v>
      </c>
      <c r="AK1221" s="1868">
        <v>0.79121000000000008</v>
      </c>
      <c r="AL1221" s="1868">
        <v>0.58633000000000002</v>
      </c>
      <c r="AM1221" s="1868">
        <v>0.68694999999999995</v>
      </c>
      <c r="AN1221" s="1868">
        <v>0.66959999999999997</v>
      </c>
      <c r="AO1221" s="1868">
        <v>0.78937999999999997</v>
      </c>
      <c r="AP1221" s="1868">
        <v>0.64756999999999998</v>
      </c>
      <c r="AQ1221" s="1868">
        <v>0.92486000000000002</v>
      </c>
      <c r="AR1221" s="1868">
        <v>0.77131000000000005</v>
      </c>
      <c r="AS1221" s="1868">
        <v>0.94267000000000012</v>
      </c>
      <c r="AT1221" s="1868">
        <v>1.0093799999999999</v>
      </c>
      <c r="AU1221" s="1868">
        <v>1.0713600000000001</v>
      </c>
      <c r="AV1221" s="1868">
        <v>0.60893999999999993</v>
      </c>
      <c r="AW1221" s="1868">
        <v>1.2635000000000001</v>
      </c>
      <c r="AX1221" s="1868">
        <v>1.2195499999999999</v>
      </c>
      <c r="AY1221" s="1868">
        <v>1.4462299999999999</v>
      </c>
      <c r="AZ1221" s="1868">
        <v>1.2859399999999999</v>
      </c>
      <c r="BA1221" s="1868">
        <v>1.2521899999999999</v>
      </c>
    </row>
    <row r="1222" spans="1:53">
      <c r="A1222" s="1865" t="str">
        <f t="shared" si="19"/>
        <v>Southern EuropeWheat</v>
      </c>
      <c r="B1222" s="1866" t="s">
        <v>1423</v>
      </c>
      <c r="C1222" s="1866" t="s">
        <v>1409</v>
      </c>
      <c r="D1222" s="1868">
        <v>1.3955500000000001</v>
      </c>
      <c r="E1222" s="1868">
        <v>1.5633700000000001</v>
      </c>
      <c r="F1222" s="1868">
        <v>1.51346</v>
      </c>
      <c r="G1222" s="1868">
        <v>1.48875</v>
      </c>
      <c r="H1222" s="1868">
        <v>1.6984900000000001</v>
      </c>
      <c r="I1222" s="1868">
        <v>1.7693000000000001</v>
      </c>
      <c r="J1222" s="1868">
        <v>1.9153500000000001</v>
      </c>
      <c r="K1222" s="1868">
        <v>1.8051099999999998</v>
      </c>
      <c r="L1222" s="1868">
        <v>1.82402</v>
      </c>
      <c r="M1222" s="1868">
        <v>1.7694599999999998</v>
      </c>
      <c r="N1222" s="1868">
        <v>2.16283</v>
      </c>
      <c r="O1222" s="1868">
        <v>1.9641200000000001</v>
      </c>
      <c r="P1222" s="1868">
        <v>2.0295900000000002</v>
      </c>
      <c r="Q1222" s="1868">
        <v>2.28294</v>
      </c>
      <c r="R1222" s="1868">
        <v>2.2645</v>
      </c>
      <c r="S1222" s="1868">
        <v>2.3796400000000002</v>
      </c>
      <c r="T1222" s="1868">
        <v>2.1586400000000001</v>
      </c>
      <c r="U1222" s="1868">
        <v>2.4019699999999999</v>
      </c>
      <c r="V1222" s="1868">
        <v>2.3026</v>
      </c>
      <c r="W1222" s="1868">
        <v>2.6328999999999998</v>
      </c>
      <c r="X1222" s="1868">
        <v>2.2802599999999997</v>
      </c>
      <c r="Y1222" s="1868">
        <v>2.4678599999999999</v>
      </c>
      <c r="Z1222" s="1868">
        <v>2.3734299999999999</v>
      </c>
      <c r="AA1222" s="1868">
        <v>2.9911500000000002</v>
      </c>
      <c r="AB1222" s="1868">
        <v>2.7562500000000001</v>
      </c>
      <c r="AC1222" s="1868">
        <v>2.7104200000000001</v>
      </c>
      <c r="AD1222" s="1868">
        <v>2.9174900000000004</v>
      </c>
      <c r="AE1222" s="1868">
        <v>2.9999799999999999</v>
      </c>
      <c r="AF1222" s="1868">
        <v>2.7447499999999998</v>
      </c>
      <c r="AG1222" s="1868">
        <v>2.8731100000000001</v>
      </c>
      <c r="AH1222" s="1868">
        <v>3.2332200000000002</v>
      </c>
      <c r="AI1222" s="1868">
        <v>2.7509700000000001</v>
      </c>
      <c r="AJ1222" s="1868">
        <v>2.9662000000000002</v>
      </c>
      <c r="AK1222" s="1868">
        <v>2.95926</v>
      </c>
      <c r="AL1222" s="1868">
        <v>2.5880700000000001</v>
      </c>
      <c r="AM1222" s="1868">
        <v>2.9543200000000001</v>
      </c>
      <c r="AN1222" s="1868">
        <v>2.6832799999999999</v>
      </c>
      <c r="AO1222" s="1868">
        <v>3.1819099999999998</v>
      </c>
      <c r="AP1222" s="1868">
        <v>2.6789299999999998</v>
      </c>
      <c r="AQ1222" s="1868">
        <v>3.0663400000000003</v>
      </c>
      <c r="AR1222" s="1868">
        <v>2.6748699999999999</v>
      </c>
      <c r="AS1222" s="1868">
        <v>2.9374599999999997</v>
      </c>
      <c r="AT1222" s="1868">
        <v>2.6140699999999999</v>
      </c>
      <c r="AU1222" s="1868">
        <v>3.39696</v>
      </c>
      <c r="AV1222" s="1868">
        <v>2.73969</v>
      </c>
      <c r="AW1222" s="1868">
        <v>3.1990799999999999</v>
      </c>
      <c r="AX1222" s="1868">
        <v>3.3193900000000003</v>
      </c>
      <c r="AY1222" s="1868">
        <v>3.60785</v>
      </c>
      <c r="AZ1222" s="1868">
        <v>3.1844200000000003</v>
      </c>
      <c r="BA1222" s="1868">
        <v>3.3185199999999999</v>
      </c>
    </row>
    <row r="1223" spans="1:53">
      <c r="A1223" s="1865" t="str">
        <f t="shared" si="19"/>
        <v>Southern EuropeCereals (Rice Milled Eqv</v>
      </c>
      <c r="B1223" s="1866" t="s">
        <v>1423</v>
      </c>
      <c r="C1223" s="1866" t="s">
        <v>1410</v>
      </c>
      <c r="D1223" s="1868">
        <v>1.4935</v>
      </c>
      <c r="E1223" s="1868">
        <v>1.6115299999999999</v>
      </c>
      <c r="F1223" s="1868">
        <v>1.61697</v>
      </c>
      <c r="G1223" s="1868">
        <v>1.6900500000000001</v>
      </c>
      <c r="H1223" s="1868">
        <v>1.72963</v>
      </c>
      <c r="I1223" s="1868">
        <v>1.9195</v>
      </c>
      <c r="J1223" s="1868">
        <v>2.0226199999999999</v>
      </c>
      <c r="K1223" s="1868">
        <v>1.9428799999999999</v>
      </c>
      <c r="L1223" s="1868">
        <v>2.0591699999999999</v>
      </c>
      <c r="M1223" s="1868">
        <v>1.9843299999999999</v>
      </c>
      <c r="N1223" s="1868">
        <v>2.3141500000000002</v>
      </c>
      <c r="O1223" s="1868">
        <v>2.2018900000000001</v>
      </c>
      <c r="P1223" s="1868">
        <v>2.2633099999999997</v>
      </c>
      <c r="Q1223" s="1868">
        <v>2.4474</v>
      </c>
      <c r="R1223" s="1868">
        <v>2.5399700000000003</v>
      </c>
      <c r="S1223" s="1868">
        <v>2.5120299999999998</v>
      </c>
      <c r="T1223" s="1868">
        <v>2.57355</v>
      </c>
      <c r="U1223" s="1868">
        <v>2.6579799999999998</v>
      </c>
      <c r="V1223" s="1868">
        <v>2.6583799999999997</v>
      </c>
      <c r="W1223" s="1868">
        <v>2.9647600000000001</v>
      </c>
      <c r="X1223" s="1868">
        <v>2.65151</v>
      </c>
      <c r="Y1223" s="1868">
        <v>2.81779</v>
      </c>
      <c r="Z1223" s="1868">
        <v>2.7817500000000002</v>
      </c>
      <c r="AA1223" s="1868">
        <v>3.3549300000000004</v>
      </c>
      <c r="AB1223" s="1868">
        <v>3.14289</v>
      </c>
      <c r="AC1223" s="1868">
        <v>3.1248800000000001</v>
      </c>
      <c r="AD1223" s="1868">
        <v>3.1720099999999998</v>
      </c>
      <c r="AE1223" s="1868">
        <v>3.2920400000000001</v>
      </c>
      <c r="AF1223" s="1868">
        <v>3.1390599999999997</v>
      </c>
      <c r="AG1223" s="1868">
        <v>3.0201099999999999</v>
      </c>
      <c r="AH1223" s="1868">
        <v>3.4742300000000004</v>
      </c>
      <c r="AI1223" s="1868">
        <v>2.9490400000000001</v>
      </c>
      <c r="AJ1223" s="1868">
        <v>3.3571499999999999</v>
      </c>
      <c r="AK1223" s="1868">
        <v>3.2713299999999998</v>
      </c>
      <c r="AL1223" s="1868">
        <v>3.0714000000000001</v>
      </c>
      <c r="AM1223" s="1868">
        <v>3.6954899999999999</v>
      </c>
      <c r="AN1223" s="1868">
        <v>3.5939900000000002</v>
      </c>
      <c r="AO1223" s="1868">
        <v>3.8670199999999997</v>
      </c>
      <c r="AP1223" s="1868">
        <v>3.6348599999999998</v>
      </c>
      <c r="AQ1223" s="1868">
        <v>3.7569800000000004</v>
      </c>
      <c r="AR1223" s="1868">
        <v>3.6508099999999999</v>
      </c>
      <c r="AS1223" s="1868">
        <v>3.8679600000000001</v>
      </c>
      <c r="AT1223" s="1868">
        <v>3.4199900000000003</v>
      </c>
      <c r="AU1223" s="1868">
        <v>4.3563599999999996</v>
      </c>
      <c r="AV1223" s="1868">
        <v>3.6429199999999997</v>
      </c>
      <c r="AW1223" s="1868">
        <v>3.9571000000000001</v>
      </c>
      <c r="AX1223" s="1868">
        <v>4.1053600000000001</v>
      </c>
      <c r="AY1223" s="1868">
        <v>4.3217400000000001</v>
      </c>
      <c r="AZ1223" s="1868">
        <v>3.9139900000000001</v>
      </c>
      <c r="BA1223" s="1868">
        <v>4.2054599999999995</v>
      </c>
    </row>
    <row r="1224" spans="1:53">
      <c r="A1224" s="1865" t="str">
        <f t="shared" si="19"/>
        <v>Western AfricaBananas</v>
      </c>
      <c r="B1224" s="1866" t="s">
        <v>1424</v>
      </c>
      <c r="C1224" s="1866" t="s">
        <v>1362</v>
      </c>
      <c r="D1224" s="1868">
        <v>7.5273399999999997</v>
      </c>
      <c r="E1224" s="1868">
        <v>8.3826000000000001</v>
      </c>
      <c r="F1224" s="1868">
        <v>8.52515</v>
      </c>
      <c r="G1224" s="1868">
        <v>8.414060000000001</v>
      </c>
      <c r="H1224" s="1868">
        <v>8.5838900000000002</v>
      </c>
      <c r="I1224" s="1868">
        <v>8.9295200000000001</v>
      </c>
      <c r="J1224" s="1868">
        <v>8.4611699999999992</v>
      </c>
      <c r="K1224" s="1868">
        <v>8.9381500000000003</v>
      </c>
      <c r="L1224" s="1868">
        <v>8.73766</v>
      </c>
      <c r="M1224" s="1868">
        <v>8.0580600000000011</v>
      </c>
      <c r="N1224" s="1868">
        <v>8.2169299999999996</v>
      </c>
      <c r="O1224" s="1868">
        <v>8.9425399999999993</v>
      </c>
      <c r="P1224" s="1868">
        <v>8.1481999999999992</v>
      </c>
      <c r="Q1224" s="1868">
        <v>8.7891899999999996</v>
      </c>
      <c r="R1224" s="1868">
        <v>8.5831800000000005</v>
      </c>
      <c r="S1224" s="1868">
        <v>7.6900600000000008</v>
      </c>
      <c r="T1224" s="1868">
        <v>8.3293100000000013</v>
      </c>
      <c r="U1224" s="1868">
        <v>9.2270899999999987</v>
      </c>
      <c r="V1224" s="1868">
        <v>8.2875600000000009</v>
      </c>
      <c r="W1224" s="1868">
        <v>8.6616800000000005</v>
      </c>
      <c r="X1224" s="1868">
        <v>8.6703100000000006</v>
      </c>
      <c r="Y1224" s="1868">
        <v>8.4752500000000008</v>
      </c>
      <c r="Z1224" s="1868">
        <v>8.61693</v>
      </c>
      <c r="AA1224" s="1868">
        <v>8.9936100000000003</v>
      </c>
      <c r="AB1224" s="1868">
        <v>9.2662499999999994</v>
      </c>
      <c r="AC1224" s="1868">
        <v>9.2626100000000005</v>
      </c>
      <c r="AD1224" s="1868">
        <v>9.6439899999999987</v>
      </c>
      <c r="AE1224" s="1868">
        <v>9.2654800000000002</v>
      </c>
      <c r="AF1224" s="1868">
        <v>9.1425999999999998</v>
      </c>
      <c r="AG1224" s="1868">
        <v>9.0051299999999994</v>
      </c>
      <c r="AH1224" s="1868">
        <v>8.6103000000000005</v>
      </c>
      <c r="AI1224" s="1868">
        <v>8.4115899999999986</v>
      </c>
      <c r="AJ1224" s="1868">
        <v>9.0437600000000007</v>
      </c>
      <c r="AK1224" s="1868">
        <v>8.680769999999999</v>
      </c>
      <c r="AL1224" s="1868">
        <v>8.61355</v>
      </c>
      <c r="AM1224" s="1868">
        <v>8.7860899999999997</v>
      </c>
      <c r="AN1224" s="1868">
        <v>8.3066700000000004</v>
      </c>
      <c r="AO1224" s="1868">
        <v>8.9214500000000001</v>
      </c>
      <c r="AP1224" s="1868">
        <v>8.538219999999999</v>
      </c>
      <c r="AQ1224" s="1868">
        <v>8.489139999999999</v>
      </c>
      <c r="AR1224" s="1868">
        <v>8.5858000000000008</v>
      </c>
      <c r="AS1224" s="1868">
        <v>8.7568699999999993</v>
      </c>
      <c r="AT1224" s="1868">
        <v>8.9690399999999997</v>
      </c>
      <c r="AU1224" s="1868">
        <v>9.6438699999999997</v>
      </c>
      <c r="AV1224" s="1868">
        <v>8.8845899999999993</v>
      </c>
      <c r="AW1224" s="1868">
        <v>11.9999</v>
      </c>
      <c r="AX1224" s="1868">
        <v>11.897360000000001</v>
      </c>
      <c r="AY1224" s="1868">
        <v>10.348089999999999</v>
      </c>
      <c r="AZ1224" s="1868">
        <v>10.76201</v>
      </c>
      <c r="BA1224" s="1868">
        <v>12.780889999999999</v>
      </c>
    </row>
    <row r="1225" spans="1:53">
      <c r="A1225" s="1865" t="str">
        <f t="shared" si="19"/>
        <v>Western AfricaBarley</v>
      </c>
      <c r="B1225" s="1866" t="s">
        <v>1424</v>
      </c>
      <c r="C1225" s="1866" t="s">
        <v>1363</v>
      </c>
      <c r="D1225" s="1868">
        <v>0.66666999999999998</v>
      </c>
      <c r="E1225" s="1868">
        <v>0.66666999999999998</v>
      </c>
      <c r="F1225" s="1868">
        <v>0.66666999999999998</v>
      </c>
      <c r="G1225" s="1868">
        <v>0.7</v>
      </c>
      <c r="H1225" s="1868">
        <v>0.66666999999999998</v>
      </c>
      <c r="I1225" s="1868">
        <v>0.66666999999999998</v>
      </c>
      <c r="J1225" s="1868">
        <v>0.66666999999999998</v>
      </c>
      <c r="K1225" s="1868">
        <v>0.6875</v>
      </c>
      <c r="L1225" s="1868">
        <v>0.6875</v>
      </c>
      <c r="M1225" s="1868">
        <v>0.6875</v>
      </c>
      <c r="N1225" s="1868">
        <v>0.6875</v>
      </c>
      <c r="O1225" s="1868">
        <v>0.66666999999999998</v>
      </c>
      <c r="P1225" s="1868">
        <v>0.75</v>
      </c>
      <c r="Q1225" s="1868">
        <v>0.76191000000000009</v>
      </c>
      <c r="R1225" s="1868">
        <v>0.77273000000000003</v>
      </c>
      <c r="S1225" s="1868">
        <v>0.78261000000000003</v>
      </c>
      <c r="T1225" s="1868">
        <v>0.8333299999999999</v>
      </c>
      <c r="U1225" s="1868">
        <v>0.5</v>
      </c>
      <c r="V1225" s="1868">
        <v>0.66666999999999998</v>
      </c>
      <c r="W1225" s="1868">
        <v>0.6875</v>
      </c>
      <c r="X1225" s="1868">
        <v>0.88234999999999997</v>
      </c>
      <c r="Y1225" s="1868">
        <v>0.91177000000000008</v>
      </c>
      <c r="Z1225" s="1868">
        <v>0.91428999999999994</v>
      </c>
      <c r="AA1225" s="1868">
        <v>0.94443999999999995</v>
      </c>
      <c r="AB1225" s="1868">
        <v>0.97222000000000008</v>
      </c>
      <c r="AC1225" s="1868">
        <v>0.97222000000000008</v>
      </c>
      <c r="AD1225" s="1868">
        <v>1</v>
      </c>
      <c r="AE1225" s="1868">
        <v>1</v>
      </c>
      <c r="AF1225" s="1868">
        <v>1</v>
      </c>
      <c r="AG1225" s="1868">
        <v>1.0249999999999999</v>
      </c>
      <c r="AH1225" s="1868">
        <v>0.79847999999999997</v>
      </c>
      <c r="AI1225" s="1868">
        <v>1.05263</v>
      </c>
      <c r="AJ1225" s="1868">
        <v>0.88234999999999997</v>
      </c>
      <c r="AK1225" s="1868">
        <v>1.05444</v>
      </c>
      <c r="AL1225" s="1868">
        <v>1.1193200000000001</v>
      </c>
      <c r="AM1225" s="1868">
        <v>1.2300899999999999</v>
      </c>
      <c r="AN1225" s="1868">
        <v>0.88234999999999997</v>
      </c>
      <c r="AO1225" s="1868">
        <v>1.3624000000000001</v>
      </c>
      <c r="AP1225" s="1868">
        <v>2</v>
      </c>
      <c r="AQ1225" s="1868">
        <v>2</v>
      </c>
      <c r="AR1225" s="1868">
        <v>2</v>
      </c>
      <c r="AS1225" s="1868">
        <v>2</v>
      </c>
      <c r="AT1225" s="1868">
        <v>1.9824599999999999</v>
      </c>
      <c r="AU1225" s="1868">
        <v>1.9824599999999999</v>
      </c>
      <c r="AV1225" s="1868">
        <v>1.9791700000000001</v>
      </c>
      <c r="AW1225" s="1868">
        <v>2.07843</v>
      </c>
      <c r="AX1225" s="1868">
        <v>2.1372599999999999</v>
      </c>
      <c r="AY1225" s="1868">
        <v>2.1372599999999999</v>
      </c>
      <c r="AZ1225" s="1868">
        <v>2.4368699999999999</v>
      </c>
      <c r="BA1225" s="1868">
        <v>2.6</v>
      </c>
    </row>
    <row r="1226" spans="1:53">
      <c r="A1226" s="1865" t="str">
        <f t="shared" si="19"/>
        <v>Western AfricaBeans, dry</v>
      </c>
      <c r="B1226" s="1866" t="s">
        <v>1424</v>
      </c>
      <c r="C1226" s="1866" t="s">
        <v>1364</v>
      </c>
      <c r="D1226" s="1868">
        <v>0.28526999999999997</v>
      </c>
      <c r="E1226" s="1868">
        <v>0.28904999999999997</v>
      </c>
      <c r="F1226" s="1868">
        <v>0.24685000000000001</v>
      </c>
      <c r="G1226" s="1868">
        <v>0.23985999999999999</v>
      </c>
      <c r="H1226" s="1868">
        <v>0.28433000000000003</v>
      </c>
      <c r="I1226" s="1868">
        <v>0.28409000000000001</v>
      </c>
      <c r="J1226" s="1868">
        <v>0.30109999999999998</v>
      </c>
      <c r="K1226" s="1868">
        <v>0.26336999999999999</v>
      </c>
      <c r="L1226" s="1868">
        <v>0.27710000000000001</v>
      </c>
      <c r="M1226" s="1868">
        <v>0.27283000000000002</v>
      </c>
      <c r="N1226" s="1868">
        <v>0.30736999999999998</v>
      </c>
      <c r="O1226" s="1868">
        <v>0.35293000000000002</v>
      </c>
      <c r="P1226" s="1868">
        <v>0.32085000000000002</v>
      </c>
      <c r="Q1226" s="1868">
        <v>0.35081999999999997</v>
      </c>
      <c r="R1226" s="1868">
        <v>0.36025999999999997</v>
      </c>
      <c r="S1226" s="1868">
        <v>0.34312999999999999</v>
      </c>
      <c r="T1226" s="1868">
        <v>0.35355999999999999</v>
      </c>
      <c r="U1226" s="1868">
        <v>0.38001999999999997</v>
      </c>
      <c r="V1226" s="1868">
        <v>0.32679999999999998</v>
      </c>
      <c r="W1226" s="1868">
        <v>0.28678999999999999</v>
      </c>
      <c r="X1226" s="1868">
        <v>0.30604000000000003</v>
      </c>
      <c r="Y1226" s="1868">
        <v>0.32779999999999998</v>
      </c>
      <c r="Z1226" s="1868">
        <v>0.27359</v>
      </c>
      <c r="AA1226" s="1868">
        <v>0.37028</v>
      </c>
      <c r="AB1226" s="1868">
        <v>0.31253000000000003</v>
      </c>
      <c r="AC1226" s="1868">
        <v>0.32988000000000001</v>
      </c>
      <c r="AD1226" s="1868">
        <v>0.39003000000000004</v>
      </c>
      <c r="AE1226" s="1868">
        <v>0.32006000000000001</v>
      </c>
      <c r="AF1226" s="1868">
        <v>0.3498</v>
      </c>
      <c r="AG1226" s="1868">
        <v>0.33034999999999998</v>
      </c>
      <c r="AH1226" s="1868">
        <v>0.39211999999999997</v>
      </c>
      <c r="AI1226" s="1868">
        <v>0.43855</v>
      </c>
      <c r="AJ1226" s="1868">
        <v>0.36058000000000001</v>
      </c>
      <c r="AK1226" s="1868">
        <v>0.49463000000000001</v>
      </c>
      <c r="AL1226" s="1868">
        <v>0.38494</v>
      </c>
      <c r="AM1226" s="1868">
        <v>0.40245999999999998</v>
      </c>
      <c r="AN1226" s="1868">
        <v>0.48578999999999994</v>
      </c>
      <c r="AO1226" s="1868">
        <v>0.45852999999999999</v>
      </c>
      <c r="AP1226" s="1868">
        <v>0.52588999999999997</v>
      </c>
      <c r="AQ1226" s="1868">
        <v>0.53183999999999998</v>
      </c>
      <c r="AR1226" s="1868">
        <v>0.51459999999999995</v>
      </c>
      <c r="AS1226" s="1868">
        <v>0.53291999999999995</v>
      </c>
      <c r="AT1226" s="1868">
        <v>0.52969999999999995</v>
      </c>
      <c r="AU1226" s="1868">
        <v>0.54800000000000004</v>
      </c>
      <c r="AV1226" s="1868">
        <v>0.60811000000000004</v>
      </c>
      <c r="AW1226" s="1868">
        <v>0.52231000000000005</v>
      </c>
      <c r="AX1226" s="1868">
        <v>0.58638000000000001</v>
      </c>
      <c r="AY1226" s="1868">
        <v>0.61333000000000004</v>
      </c>
      <c r="AZ1226" s="1868">
        <v>0.64934999999999998</v>
      </c>
      <c r="BA1226" s="1868">
        <v>0.62580000000000002</v>
      </c>
    </row>
    <row r="1227" spans="1:53">
      <c r="A1227" s="1865" t="str">
        <f t="shared" si="19"/>
        <v>Western AfricaBeans, green</v>
      </c>
      <c r="B1227" s="1866" t="s">
        <v>1424</v>
      </c>
      <c r="C1227" s="1866" t="s">
        <v>1365</v>
      </c>
      <c r="Y1227" s="1868">
        <v>5</v>
      </c>
      <c r="Z1227" s="1868">
        <v>5</v>
      </c>
      <c r="AA1227" s="1868">
        <v>7.7777799999999999</v>
      </c>
      <c r="AB1227" s="1868">
        <v>7.8409800000000001</v>
      </c>
      <c r="AC1227" s="1868">
        <v>7.519610000000001</v>
      </c>
      <c r="AD1227" s="1868">
        <v>7.8110499999999998</v>
      </c>
      <c r="AE1227" s="1868">
        <v>7.1600399999999995</v>
      </c>
      <c r="AF1227" s="1868">
        <v>7.3511600000000001</v>
      </c>
      <c r="AG1227" s="1868">
        <v>4.6871700000000001</v>
      </c>
      <c r="AH1227" s="1868">
        <v>4.5440100000000001</v>
      </c>
      <c r="AI1227" s="1868">
        <v>4.9785000000000004</v>
      </c>
      <c r="AJ1227" s="1868">
        <v>4.9116800000000005</v>
      </c>
      <c r="AK1227" s="1868">
        <v>4.2934800000000006</v>
      </c>
      <c r="AL1227" s="1868">
        <v>4.4237400000000004</v>
      </c>
      <c r="AM1227" s="1868">
        <v>4.4669499999999998</v>
      </c>
      <c r="AN1227" s="1868">
        <v>4.2529300000000001</v>
      </c>
      <c r="AO1227" s="1868">
        <v>5.1221500000000004</v>
      </c>
      <c r="AP1227" s="1868">
        <v>4.8126499999999997</v>
      </c>
      <c r="AQ1227" s="1868">
        <v>4.1855000000000002</v>
      </c>
      <c r="AR1227" s="1868">
        <v>7.4036200000000001</v>
      </c>
      <c r="AS1227" s="1868">
        <v>6.0784199999999995</v>
      </c>
      <c r="AT1227" s="1868">
        <v>4.7238100000000003</v>
      </c>
      <c r="AU1227" s="1868">
        <v>5.1218699999999995</v>
      </c>
      <c r="AV1227" s="1868">
        <v>5.2723699999999996</v>
      </c>
      <c r="AW1227" s="1868">
        <v>5.88734</v>
      </c>
      <c r="AX1227" s="1868">
        <v>4.3536599999999996</v>
      </c>
      <c r="AY1227" s="1868">
        <v>5.0842199999999993</v>
      </c>
      <c r="AZ1227" s="1868">
        <v>4.92232</v>
      </c>
      <c r="BA1227" s="1868">
        <v>6.0302199999999999</v>
      </c>
    </row>
    <row r="1228" spans="1:53">
      <c r="A1228" s="1865" t="str">
        <f t="shared" si="19"/>
        <v>Western AfricaCarrots and turnips</v>
      </c>
      <c r="B1228" s="1866" t="s">
        <v>1424</v>
      </c>
      <c r="C1228" s="1866" t="s">
        <v>1366</v>
      </c>
      <c r="D1228" s="1868">
        <v>7.5</v>
      </c>
      <c r="E1228" s="1868">
        <v>7.5</v>
      </c>
      <c r="F1228" s="1868">
        <v>7.5</v>
      </c>
      <c r="G1228" s="1868">
        <v>7.5</v>
      </c>
      <c r="H1228" s="1868">
        <v>7.5</v>
      </c>
      <c r="I1228" s="1868">
        <v>7.5</v>
      </c>
      <c r="J1228" s="1868">
        <v>7.5</v>
      </c>
      <c r="K1228" s="1868">
        <v>7.5</v>
      </c>
      <c r="L1228" s="1868">
        <v>7.5</v>
      </c>
      <c r="M1228" s="1868">
        <v>7.5</v>
      </c>
      <c r="N1228" s="1868">
        <v>7.5</v>
      </c>
      <c r="O1228" s="1868">
        <v>7.5</v>
      </c>
      <c r="P1228" s="1868">
        <v>7.5</v>
      </c>
      <c r="Q1228" s="1868">
        <v>7.5</v>
      </c>
      <c r="R1228" s="1868">
        <v>7.5</v>
      </c>
      <c r="S1228" s="1868">
        <v>7.5</v>
      </c>
      <c r="T1228" s="1868">
        <v>7.5</v>
      </c>
      <c r="U1228" s="1868">
        <v>7.5</v>
      </c>
      <c r="V1228" s="1868">
        <v>7.5</v>
      </c>
      <c r="W1228" s="1868">
        <v>7.5</v>
      </c>
      <c r="X1228" s="1868">
        <v>7.5</v>
      </c>
      <c r="Y1228" s="1868">
        <v>7.5</v>
      </c>
      <c r="Z1228" s="1868">
        <v>7.5</v>
      </c>
      <c r="AA1228" s="1868">
        <v>7.5</v>
      </c>
      <c r="AB1228" s="1868">
        <v>7.5</v>
      </c>
      <c r="AC1228" s="1868">
        <v>7.5</v>
      </c>
      <c r="AD1228" s="1868">
        <v>7.5062499999999996</v>
      </c>
      <c r="AE1228" s="1868">
        <v>7.5062499999999996</v>
      </c>
      <c r="AF1228" s="1868">
        <v>7.9121300000000003</v>
      </c>
      <c r="AG1228" s="1868">
        <v>7.8688600000000006</v>
      </c>
      <c r="AH1228" s="1868">
        <v>8.1821099999999998</v>
      </c>
      <c r="AI1228" s="1868">
        <v>9.0291700000000006</v>
      </c>
      <c r="AJ1228" s="1868">
        <v>7.7418600000000009</v>
      </c>
      <c r="AK1228" s="1868">
        <v>8.0521999999999991</v>
      </c>
      <c r="AL1228" s="1868">
        <v>6.4866099999999998</v>
      </c>
      <c r="AM1228" s="1868">
        <v>6.3458699999999997</v>
      </c>
      <c r="AN1228" s="1868">
        <v>8.3985300000000009</v>
      </c>
      <c r="AO1228" s="1868">
        <v>8.6413499999999992</v>
      </c>
      <c r="AP1228" s="1868">
        <v>8.5442300000000007</v>
      </c>
      <c r="AQ1228" s="1868">
        <v>8.9576499999999992</v>
      </c>
      <c r="AR1228" s="1868">
        <v>10.88533</v>
      </c>
      <c r="AS1228" s="1868">
        <v>8.7334700000000005</v>
      </c>
      <c r="AT1228" s="1868">
        <v>9.10412</v>
      </c>
      <c r="AU1228" s="1868">
        <v>10.47198</v>
      </c>
      <c r="AV1228" s="1868">
        <v>8.6883300000000006</v>
      </c>
      <c r="AW1228" s="1868">
        <v>8.8795300000000008</v>
      </c>
      <c r="AX1228" s="1868">
        <v>8.7322600000000001</v>
      </c>
      <c r="AY1228" s="1868">
        <v>10.272629999999999</v>
      </c>
      <c r="AZ1228" s="1868">
        <v>8.9443900000000003</v>
      </c>
      <c r="BA1228" s="1868">
        <v>8.5118799999999997</v>
      </c>
    </row>
    <row r="1229" spans="1:53">
      <c r="A1229" s="1865" t="str">
        <f t="shared" si="19"/>
        <v>Western AfricaCashew nuts, with shell</v>
      </c>
      <c r="B1229" s="1866" t="s">
        <v>1424</v>
      </c>
      <c r="C1229" s="1866" t="s">
        <v>1367</v>
      </c>
      <c r="D1229" s="1868">
        <v>0.27</v>
      </c>
      <c r="E1229" s="1868">
        <v>0.37385999999999997</v>
      </c>
      <c r="F1229" s="1868">
        <v>0.38778000000000001</v>
      </c>
      <c r="G1229" s="1868">
        <v>0.42058999999999996</v>
      </c>
      <c r="H1229" s="1868">
        <v>0.44053999999999999</v>
      </c>
      <c r="I1229" s="1868">
        <v>0.44666999999999996</v>
      </c>
      <c r="J1229" s="1868">
        <v>0.43223</v>
      </c>
      <c r="K1229" s="1868">
        <v>0.42623</v>
      </c>
      <c r="L1229" s="1868">
        <v>0.41820000000000002</v>
      </c>
      <c r="M1229" s="1868">
        <v>0.40983000000000003</v>
      </c>
      <c r="N1229" s="1868">
        <v>0.41231999999999996</v>
      </c>
      <c r="O1229" s="1868">
        <v>0.41275000000000001</v>
      </c>
      <c r="P1229" s="1868">
        <v>0.41121999999999997</v>
      </c>
      <c r="Q1229" s="1868">
        <v>0.41416000000000003</v>
      </c>
      <c r="R1229" s="1868">
        <v>0.41006999999999999</v>
      </c>
      <c r="S1229" s="1868">
        <v>0.43145</v>
      </c>
      <c r="T1229" s="1868">
        <v>0.41723999999999994</v>
      </c>
      <c r="U1229" s="1868">
        <v>0.40679999999999999</v>
      </c>
      <c r="V1229" s="1868">
        <v>0.40229999999999999</v>
      </c>
      <c r="W1229" s="1868">
        <v>0.39726999999999996</v>
      </c>
      <c r="X1229" s="1868">
        <v>0.37238000000000004</v>
      </c>
      <c r="Y1229" s="1868">
        <v>0.34909000000000001</v>
      </c>
      <c r="Z1229" s="1868">
        <v>0.35718</v>
      </c>
      <c r="AA1229" s="1868">
        <v>0.34769</v>
      </c>
      <c r="AB1229" s="1868">
        <v>0.36360999999999999</v>
      </c>
      <c r="AC1229" s="1868">
        <v>0.36888000000000004</v>
      </c>
      <c r="AD1229" s="1868">
        <v>0.37185000000000001</v>
      </c>
      <c r="AE1229" s="1868">
        <v>0.38375999999999999</v>
      </c>
      <c r="AF1229" s="1868">
        <v>0.38730999999999999</v>
      </c>
      <c r="AG1229" s="1868">
        <v>0.38494</v>
      </c>
      <c r="AH1229" s="1868">
        <v>0.37035000000000001</v>
      </c>
      <c r="AI1229" s="1868">
        <v>0.39266999999999996</v>
      </c>
      <c r="AJ1229" s="1868">
        <v>0.41761999999999999</v>
      </c>
      <c r="AK1229" s="1868">
        <v>0.39163999999999999</v>
      </c>
      <c r="AL1229" s="1868">
        <v>0.42311000000000004</v>
      </c>
      <c r="AM1229" s="1868">
        <v>0.42288000000000003</v>
      </c>
      <c r="AN1229" s="1868">
        <v>0.38201000000000002</v>
      </c>
      <c r="AO1229" s="1868">
        <v>0.43076000000000003</v>
      </c>
      <c r="AP1229" s="1868">
        <v>0.69450000000000001</v>
      </c>
      <c r="AQ1229" s="1868">
        <v>0.75283999999999995</v>
      </c>
      <c r="AR1229" s="1868">
        <v>0.90011000000000008</v>
      </c>
      <c r="AS1229" s="1868">
        <v>0.77690999999999999</v>
      </c>
      <c r="AT1229" s="1868">
        <v>0.75697999999999999</v>
      </c>
      <c r="AU1229" s="1868">
        <v>0.74548000000000003</v>
      </c>
      <c r="AV1229" s="1868">
        <v>0.73143999999999998</v>
      </c>
      <c r="AW1229" s="1868">
        <v>0.72076000000000007</v>
      </c>
      <c r="AX1229" s="1868">
        <v>0.71145999999999998</v>
      </c>
      <c r="AY1229" s="1868">
        <v>0.73008000000000006</v>
      </c>
      <c r="AZ1229" s="1868">
        <v>0.63654999999999995</v>
      </c>
      <c r="BA1229" s="1868">
        <v>0.66025</v>
      </c>
    </row>
    <row r="1230" spans="1:53">
      <c r="A1230" s="1865" t="str">
        <f t="shared" si="19"/>
        <v>Western AfricaCassava</v>
      </c>
      <c r="B1230" s="1866" t="s">
        <v>1424</v>
      </c>
      <c r="C1230" s="1866" t="s">
        <v>1368</v>
      </c>
      <c r="D1230" s="1868">
        <v>7.8265899999999995</v>
      </c>
      <c r="E1230" s="1868">
        <v>7.3978199999999994</v>
      </c>
      <c r="F1230" s="1868">
        <v>7.6787300000000007</v>
      </c>
      <c r="G1230" s="1868">
        <v>7.4424600000000005</v>
      </c>
      <c r="H1230" s="1868">
        <v>7.8902600000000005</v>
      </c>
      <c r="I1230" s="1868">
        <v>7.7731100000000009</v>
      </c>
      <c r="J1230" s="1868">
        <v>7.6713199999999997</v>
      </c>
      <c r="K1230" s="1868">
        <v>8.0922600000000013</v>
      </c>
      <c r="L1230" s="1868">
        <v>8.2371999999999996</v>
      </c>
      <c r="M1230" s="1868">
        <v>9.1890300000000007</v>
      </c>
      <c r="N1230" s="1868">
        <v>8.3996499999999994</v>
      </c>
      <c r="O1230" s="1868">
        <v>8.3132600000000014</v>
      </c>
      <c r="P1230" s="1868">
        <v>8.2680899999999991</v>
      </c>
      <c r="Q1230" s="1868">
        <v>8.0182399999999987</v>
      </c>
      <c r="R1230" s="1868">
        <v>8.5012799999999995</v>
      </c>
      <c r="S1230" s="1868">
        <v>8.848180000000001</v>
      </c>
      <c r="T1230" s="1868">
        <v>8.7528899999999989</v>
      </c>
      <c r="U1230" s="1868">
        <v>9.2664600000000004</v>
      </c>
      <c r="V1230" s="1868">
        <v>8.978530000000001</v>
      </c>
      <c r="W1230" s="1868">
        <v>8.5536100000000008</v>
      </c>
      <c r="X1230" s="1868">
        <v>8.4078300000000006</v>
      </c>
      <c r="Y1230" s="1868">
        <v>8.1240899999999989</v>
      </c>
      <c r="Z1230" s="1868">
        <v>7.7830199999999996</v>
      </c>
      <c r="AA1230" s="1868">
        <v>8.3450600000000001</v>
      </c>
      <c r="AB1230" s="1868">
        <v>9.3549199999999999</v>
      </c>
      <c r="AC1230" s="1868">
        <v>9.1757899999999992</v>
      </c>
      <c r="AD1230" s="1868">
        <v>9.0234800000000011</v>
      </c>
      <c r="AE1230" s="1868">
        <v>9.435830000000001</v>
      </c>
      <c r="AF1230" s="1868">
        <v>9.1595600000000008</v>
      </c>
      <c r="AG1230" s="1868">
        <v>10.00629</v>
      </c>
      <c r="AH1230" s="1868">
        <v>9.6082800000000006</v>
      </c>
      <c r="AI1230" s="1868">
        <v>9.79176</v>
      </c>
      <c r="AJ1230" s="1868">
        <v>9.9416899999999995</v>
      </c>
      <c r="AK1230" s="1868">
        <v>9.8877500000000005</v>
      </c>
      <c r="AL1230" s="1868">
        <v>10.021889999999999</v>
      </c>
      <c r="AM1230" s="1868">
        <v>10.11215</v>
      </c>
      <c r="AN1230" s="1868">
        <v>10.943949999999999</v>
      </c>
      <c r="AO1230" s="1868">
        <v>10.277950000000001</v>
      </c>
      <c r="AP1230" s="1868">
        <v>9.6374700000000004</v>
      </c>
      <c r="AQ1230" s="1868">
        <v>9.7146699999999999</v>
      </c>
      <c r="AR1230" s="1868">
        <v>9.7385000000000002</v>
      </c>
      <c r="AS1230" s="1868">
        <v>9.8403600000000004</v>
      </c>
      <c r="AT1230" s="1868">
        <v>10.398489999999999</v>
      </c>
      <c r="AU1230" s="1868">
        <v>10.760530000000001</v>
      </c>
      <c r="AV1230" s="1868">
        <v>10.85121</v>
      </c>
      <c r="AW1230" s="1868">
        <v>11.400399999999999</v>
      </c>
      <c r="AX1230" s="1868">
        <v>10.907760000000001</v>
      </c>
      <c r="AY1230" s="1868">
        <v>11.464180000000001</v>
      </c>
      <c r="AZ1230" s="1868">
        <v>11.58475</v>
      </c>
      <c r="BA1230" s="1868">
        <v>12.04466</v>
      </c>
    </row>
    <row r="1231" spans="1:53">
      <c r="A1231" s="1865" t="str">
        <f t="shared" si="19"/>
        <v>Western AfricaCauliflowers and broccoli</v>
      </c>
      <c r="B1231" s="1866" t="s">
        <v>1424</v>
      </c>
      <c r="C1231" s="1866" t="s">
        <v>1369</v>
      </c>
      <c r="AD1231" s="1868">
        <v>12.5</v>
      </c>
      <c r="AE1231" s="1868">
        <v>12.5</v>
      </c>
      <c r="AF1231" s="1868">
        <v>12.5</v>
      </c>
      <c r="AG1231" s="1868">
        <v>12.66667</v>
      </c>
      <c r="AH1231" s="1868">
        <v>10</v>
      </c>
      <c r="AI1231" s="1868">
        <v>12</v>
      </c>
      <c r="AJ1231" s="1868">
        <v>17</v>
      </c>
      <c r="AK1231" s="1868">
        <v>12</v>
      </c>
      <c r="AL1231" s="1868">
        <v>10</v>
      </c>
      <c r="AM1231" s="1868">
        <v>12</v>
      </c>
      <c r="AN1231" s="1868">
        <v>12</v>
      </c>
      <c r="AO1231" s="1868">
        <v>10.33333</v>
      </c>
      <c r="AP1231" s="1868">
        <v>15.75</v>
      </c>
      <c r="AQ1231" s="1868">
        <v>11</v>
      </c>
      <c r="AR1231" s="1868">
        <v>16.75</v>
      </c>
      <c r="AS1231" s="1868">
        <v>14.6</v>
      </c>
      <c r="AT1231" s="1868">
        <v>15.4</v>
      </c>
      <c r="AU1231" s="1868">
        <v>13.166670000000002</v>
      </c>
      <c r="AV1231" s="1868">
        <v>16.8</v>
      </c>
      <c r="AW1231" s="1868">
        <v>12</v>
      </c>
      <c r="AX1231" s="1868">
        <v>12</v>
      </c>
      <c r="AY1231" s="1868">
        <v>12</v>
      </c>
      <c r="AZ1231" s="1868">
        <v>12</v>
      </c>
      <c r="BA1231" s="1868">
        <v>14</v>
      </c>
    </row>
    <row r="1232" spans="1:53">
      <c r="A1232" s="1865" t="str">
        <f t="shared" si="19"/>
        <v>Western AfricaCereals, nes</v>
      </c>
      <c r="B1232" s="1866" t="s">
        <v>1424</v>
      </c>
      <c r="C1232" s="1866" t="s">
        <v>1370</v>
      </c>
      <c r="D1232" s="1868">
        <v>0.28836999999999996</v>
      </c>
      <c r="E1232" s="1868">
        <v>0.39951999999999999</v>
      </c>
      <c r="F1232" s="1868">
        <v>0.44286000000000003</v>
      </c>
      <c r="G1232" s="1868">
        <v>0.28421999999999997</v>
      </c>
      <c r="H1232" s="1868">
        <v>0.31119999999999998</v>
      </c>
      <c r="I1232" s="1868">
        <v>0.23673000000000002</v>
      </c>
      <c r="J1232" s="1868">
        <v>0.36780999999999997</v>
      </c>
      <c r="K1232" s="1868">
        <v>0.32424000000000003</v>
      </c>
      <c r="L1232" s="1868">
        <v>0.37686999999999998</v>
      </c>
      <c r="M1232" s="1868">
        <v>0.36249000000000003</v>
      </c>
      <c r="N1232" s="1868">
        <v>0.37866</v>
      </c>
      <c r="O1232" s="1868">
        <v>0.41283999999999998</v>
      </c>
      <c r="P1232" s="1868">
        <v>0.40153</v>
      </c>
      <c r="Q1232" s="1868">
        <v>0.46466999999999997</v>
      </c>
      <c r="R1232" s="1868">
        <v>0.48004999999999998</v>
      </c>
      <c r="S1232" s="1868">
        <v>0.46065</v>
      </c>
      <c r="T1232" s="1868">
        <v>0.46426999999999996</v>
      </c>
      <c r="U1232" s="1868">
        <v>0.47031999999999996</v>
      </c>
      <c r="V1232" s="1868">
        <v>0.48813999999999996</v>
      </c>
      <c r="W1232" s="1868">
        <v>0.52413999999999994</v>
      </c>
      <c r="X1232" s="1868">
        <v>0.52413999999999994</v>
      </c>
      <c r="Y1232" s="1868">
        <v>0.52759</v>
      </c>
      <c r="Z1232" s="1868">
        <v>0.62290000000000001</v>
      </c>
      <c r="AA1232" s="1868">
        <v>0.63580000000000003</v>
      </c>
      <c r="AB1232" s="1868">
        <v>0.63363999999999998</v>
      </c>
      <c r="AC1232" s="1868">
        <v>0.65706000000000009</v>
      </c>
      <c r="AD1232" s="1868">
        <v>0.62853999999999999</v>
      </c>
      <c r="AE1232" s="1868">
        <v>0.59843999999999997</v>
      </c>
      <c r="AF1232" s="1868">
        <v>0.30731999999999998</v>
      </c>
      <c r="AG1232" s="1868">
        <v>0.32978000000000002</v>
      </c>
      <c r="AH1232" s="1868">
        <v>0.65720000000000001</v>
      </c>
      <c r="AI1232" s="1868">
        <v>0.66128999999999993</v>
      </c>
      <c r="AJ1232" s="1868">
        <v>0.57103000000000004</v>
      </c>
      <c r="AK1232" s="1868">
        <v>0.73214000000000001</v>
      </c>
      <c r="AL1232" s="1868">
        <v>0.61296000000000006</v>
      </c>
      <c r="AM1232" s="1868">
        <v>0.79053999999999991</v>
      </c>
      <c r="AN1232" s="1868">
        <v>0.88055000000000005</v>
      </c>
      <c r="AO1232" s="1868">
        <v>0.94810000000000005</v>
      </c>
      <c r="AP1232" s="1868">
        <v>0.64028000000000007</v>
      </c>
      <c r="AQ1232" s="1868">
        <v>0.66656000000000004</v>
      </c>
      <c r="AR1232" s="1868">
        <v>0.61455000000000004</v>
      </c>
      <c r="AS1232" s="1868">
        <v>0.51771999999999996</v>
      </c>
      <c r="AT1232" s="1868">
        <v>0.67726999999999993</v>
      </c>
      <c r="AU1232" s="1868">
        <v>0.58216000000000001</v>
      </c>
      <c r="AV1232" s="1868">
        <v>0.63638000000000006</v>
      </c>
      <c r="AW1232" s="1868">
        <v>0.46851999999999999</v>
      </c>
      <c r="AX1232" s="1868">
        <v>0.40195999999999998</v>
      </c>
      <c r="AY1232" s="1868">
        <v>0.45745000000000002</v>
      </c>
      <c r="AZ1232" s="1868">
        <v>0.45206000000000002</v>
      </c>
      <c r="BA1232" s="1868">
        <v>0.42278000000000004</v>
      </c>
    </row>
    <row r="1233" spans="1:53">
      <c r="A1233" s="1865" t="str">
        <f t="shared" si="19"/>
        <v>Western AfricaCitrus fruit, nes</v>
      </c>
      <c r="B1233" s="1866" t="s">
        <v>1424</v>
      </c>
      <c r="C1233" s="1866" t="s">
        <v>1372</v>
      </c>
      <c r="D1233" s="1868">
        <v>3.5367099999999998</v>
      </c>
      <c r="E1233" s="1868">
        <v>3.5444300000000002</v>
      </c>
      <c r="F1233" s="1868">
        <v>3.5484100000000001</v>
      </c>
      <c r="G1233" s="1868">
        <v>3.54766</v>
      </c>
      <c r="H1233" s="1868">
        <v>3.5735800000000002</v>
      </c>
      <c r="I1233" s="1868">
        <v>3.6018599999999998</v>
      </c>
      <c r="J1233" s="1868">
        <v>3.6123599999999998</v>
      </c>
      <c r="K1233" s="1868">
        <v>3.61361</v>
      </c>
      <c r="L1233" s="1868">
        <v>3.6120099999999997</v>
      </c>
      <c r="M1233" s="1868">
        <v>3.5398699999999996</v>
      </c>
      <c r="N1233" s="1868">
        <v>3.5540099999999999</v>
      </c>
      <c r="O1233" s="1868">
        <v>3.5504699999999998</v>
      </c>
      <c r="P1233" s="1868">
        <v>3.56176</v>
      </c>
      <c r="Q1233" s="1868">
        <v>3.58121</v>
      </c>
      <c r="R1233" s="1868">
        <v>3.5914699999999997</v>
      </c>
      <c r="S1233" s="1868">
        <v>3.5876099999999997</v>
      </c>
      <c r="T1233" s="1868">
        <v>3.5748500000000001</v>
      </c>
      <c r="U1233" s="1868">
        <v>3.5574800000000004</v>
      </c>
      <c r="V1233" s="1868">
        <v>3.4588199999999998</v>
      </c>
      <c r="W1233" s="1868">
        <v>3.4783599999999999</v>
      </c>
      <c r="X1233" s="1868">
        <v>3.4838300000000002</v>
      </c>
      <c r="Y1233" s="1868">
        <v>3.4886300000000001</v>
      </c>
      <c r="Z1233" s="1868">
        <v>3.7032300000000005</v>
      </c>
      <c r="AA1233" s="1868">
        <v>3.7052099999999997</v>
      </c>
      <c r="AB1233" s="1868">
        <v>3.6046</v>
      </c>
      <c r="AC1233" s="1868">
        <v>3.6143300000000003</v>
      </c>
      <c r="AD1233" s="1868">
        <v>3.6115599999999999</v>
      </c>
      <c r="AE1233" s="1868">
        <v>3.6050800000000005</v>
      </c>
      <c r="AF1233" s="1868">
        <v>3.67991</v>
      </c>
      <c r="AG1233" s="1868">
        <v>3.7279100000000001</v>
      </c>
      <c r="AH1233" s="1868">
        <v>4.0766999999999998</v>
      </c>
      <c r="AI1233" s="1868">
        <v>4.3318599999999998</v>
      </c>
      <c r="AJ1233" s="1868">
        <v>4.4357899999999999</v>
      </c>
      <c r="AK1233" s="1868">
        <v>4.2205399999999997</v>
      </c>
      <c r="AL1233" s="1868">
        <v>4.24749</v>
      </c>
      <c r="AM1233" s="1868">
        <v>4.3878900000000005</v>
      </c>
      <c r="AN1233" s="1868">
        <v>4.4492199999999995</v>
      </c>
      <c r="AO1233" s="1868">
        <v>4.5181100000000001</v>
      </c>
      <c r="AP1233" s="1868">
        <v>4.4942299999999999</v>
      </c>
      <c r="AQ1233" s="1868">
        <v>4.5266199999999994</v>
      </c>
      <c r="AR1233" s="1868">
        <v>4.3582099999999997</v>
      </c>
      <c r="AS1233" s="1868">
        <v>4.4345400000000001</v>
      </c>
      <c r="AT1233" s="1868">
        <v>4.6096500000000002</v>
      </c>
      <c r="AU1233" s="1868">
        <v>4.8616099999999998</v>
      </c>
      <c r="AV1233" s="1868">
        <v>5.8374800000000002</v>
      </c>
      <c r="AW1233" s="1868">
        <v>4.5216799999999999</v>
      </c>
      <c r="AX1233" s="1868">
        <v>4.6418800000000005</v>
      </c>
      <c r="AY1233" s="1868">
        <v>4.8554500000000003</v>
      </c>
      <c r="AZ1233" s="1868">
        <v>5.1522100000000002</v>
      </c>
      <c r="BA1233" s="1868">
        <v>4.8092300000000003</v>
      </c>
    </row>
    <row r="1234" spans="1:53">
      <c r="A1234" s="1865" t="str">
        <f t="shared" si="19"/>
        <v>Western AfricaCoffee, green</v>
      </c>
      <c r="B1234" s="1866" t="s">
        <v>1424</v>
      </c>
      <c r="C1234" s="1866" t="s">
        <v>1373</v>
      </c>
      <c r="D1234" s="1868">
        <v>0.44929999999999998</v>
      </c>
      <c r="E1234" s="1868">
        <v>0.24281999999999998</v>
      </c>
      <c r="F1234" s="1868">
        <v>0.37929000000000002</v>
      </c>
      <c r="G1234" s="1868">
        <v>0.46450000000000002</v>
      </c>
      <c r="H1234" s="1868">
        <v>0.35085</v>
      </c>
      <c r="I1234" s="1868">
        <v>0.44472</v>
      </c>
      <c r="J1234" s="1868">
        <v>0.22339000000000001</v>
      </c>
      <c r="K1234" s="1868">
        <v>0.42751000000000006</v>
      </c>
      <c r="L1234" s="1868">
        <v>0.33234000000000002</v>
      </c>
      <c r="M1234" s="1868">
        <v>0.41566999999999998</v>
      </c>
      <c r="N1234" s="1868">
        <v>0.35875000000000001</v>
      </c>
      <c r="O1234" s="1868">
        <v>0.38395000000000001</v>
      </c>
      <c r="P1234" s="1868">
        <v>0.40798000000000001</v>
      </c>
      <c r="Q1234" s="1868">
        <v>0.24071999999999999</v>
      </c>
      <c r="R1234" s="1868">
        <v>0.32214999999999999</v>
      </c>
      <c r="S1234" s="1868">
        <v>0.34123000000000003</v>
      </c>
      <c r="T1234" s="1868">
        <v>0.32987</v>
      </c>
      <c r="U1234" s="1868">
        <v>0.21895000000000001</v>
      </c>
      <c r="V1234" s="1868">
        <v>0.29089999999999999</v>
      </c>
      <c r="W1234" s="1868">
        <v>0.26303000000000004</v>
      </c>
      <c r="X1234" s="1868">
        <v>0.34775</v>
      </c>
      <c r="Y1234" s="1868">
        <v>0.24176</v>
      </c>
      <c r="Z1234" s="1868">
        <v>0.25209999999999999</v>
      </c>
      <c r="AA1234" s="1868">
        <v>0.11654</v>
      </c>
      <c r="AB1234" s="1868">
        <v>0.28673999999999999</v>
      </c>
      <c r="AC1234" s="1868">
        <v>0.26379000000000002</v>
      </c>
      <c r="AD1234" s="1868">
        <v>0.26780999999999999</v>
      </c>
      <c r="AE1234" s="1868">
        <v>0.19979</v>
      </c>
      <c r="AF1234" s="1868">
        <v>0.25570999999999999</v>
      </c>
      <c r="AG1234" s="1868">
        <v>0.24958000000000002</v>
      </c>
      <c r="AH1234" s="1868">
        <v>0.25269999999999998</v>
      </c>
      <c r="AI1234" s="1868">
        <v>0.34954000000000002</v>
      </c>
      <c r="AJ1234" s="1868">
        <v>0.22971999999999998</v>
      </c>
      <c r="AK1234" s="1868">
        <v>0.23724000000000001</v>
      </c>
      <c r="AL1234" s="1868">
        <v>0.25375999999999999</v>
      </c>
      <c r="AM1234" s="1868">
        <v>0.26776</v>
      </c>
      <c r="AN1234" s="1868">
        <v>0.36674000000000001</v>
      </c>
      <c r="AO1234" s="1868">
        <v>0.37444</v>
      </c>
      <c r="AP1234" s="1868">
        <v>0.38109999999999999</v>
      </c>
      <c r="AQ1234" s="1868">
        <v>0.45238</v>
      </c>
      <c r="AR1234" s="1868">
        <v>0.48503999999999997</v>
      </c>
      <c r="AS1234" s="1868">
        <v>0.40544000000000002</v>
      </c>
      <c r="AT1234" s="1868">
        <v>0.37886999999999998</v>
      </c>
      <c r="AU1234" s="1868">
        <v>0.24761999999999998</v>
      </c>
      <c r="AV1234" s="1868">
        <v>0.19252</v>
      </c>
      <c r="AW1234" s="1868">
        <v>0.21103000000000002</v>
      </c>
      <c r="AX1234" s="1868">
        <v>0.25864000000000004</v>
      </c>
      <c r="AY1234" s="1868">
        <v>0.17196</v>
      </c>
      <c r="AZ1234" s="1868">
        <v>0.28615000000000002</v>
      </c>
      <c r="BA1234" s="1868">
        <v>0.28583999999999998</v>
      </c>
    </row>
    <row r="1235" spans="1:53">
      <c r="A1235" s="1865" t="str">
        <f t="shared" si="19"/>
        <v>Western AfricaCow peas, dry</v>
      </c>
      <c r="B1235" s="1866" t="s">
        <v>1424</v>
      </c>
      <c r="C1235" s="1866" t="s">
        <v>1355</v>
      </c>
      <c r="D1235" s="1868">
        <v>0.29863000000000001</v>
      </c>
      <c r="E1235" s="1868">
        <v>0.30488999999999999</v>
      </c>
      <c r="F1235" s="1868">
        <v>0.23271</v>
      </c>
      <c r="G1235" s="1868">
        <v>0.24424999999999999</v>
      </c>
      <c r="H1235" s="1868">
        <v>0.23743000000000003</v>
      </c>
      <c r="I1235" s="1868">
        <v>0.19370999999999999</v>
      </c>
      <c r="J1235" s="1868">
        <v>0.15583</v>
      </c>
      <c r="K1235" s="1868">
        <v>0.19195000000000001</v>
      </c>
      <c r="L1235" s="1868">
        <v>0.21390999999999999</v>
      </c>
      <c r="M1235" s="1868">
        <v>0.21366999999999997</v>
      </c>
      <c r="N1235" s="1868">
        <v>0.19545000000000001</v>
      </c>
      <c r="O1235" s="1868">
        <v>0.17845999999999998</v>
      </c>
      <c r="P1235" s="1868">
        <v>0.16702</v>
      </c>
      <c r="Q1235" s="1868">
        <v>0.32186999999999999</v>
      </c>
      <c r="R1235" s="1868">
        <v>0.28710999999999998</v>
      </c>
      <c r="S1235" s="1868">
        <v>0.26900999999999997</v>
      </c>
      <c r="T1235" s="1868">
        <v>0.28028999999999998</v>
      </c>
      <c r="U1235" s="1868">
        <v>0.33078000000000002</v>
      </c>
      <c r="V1235" s="1868">
        <v>0.38740999999999998</v>
      </c>
      <c r="W1235" s="1868">
        <v>0.31040000000000001</v>
      </c>
      <c r="X1235" s="1868">
        <v>0.35217999999999999</v>
      </c>
      <c r="Y1235" s="1868">
        <v>0.30673</v>
      </c>
      <c r="Z1235" s="1868">
        <v>0.30625000000000002</v>
      </c>
      <c r="AA1235" s="1868">
        <v>0.26289000000000001</v>
      </c>
      <c r="AB1235" s="1868">
        <v>0.2661</v>
      </c>
      <c r="AC1235" s="1868">
        <v>0.32551999999999998</v>
      </c>
      <c r="AD1235" s="1868">
        <v>0.28293000000000001</v>
      </c>
      <c r="AE1235" s="1868">
        <v>0.34521000000000002</v>
      </c>
      <c r="AF1235" s="1868">
        <v>0.39229999999999998</v>
      </c>
      <c r="AG1235" s="1868">
        <v>0.34678999999999999</v>
      </c>
      <c r="AH1235" s="1868">
        <v>0.38242999999999999</v>
      </c>
      <c r="AI1235" s="1868">
        <v>0.28131999999999996</v>
      </c>
      <c r="AJ1235" s="1868">
        <v>0.27476</v>
      </c>
      <c r="AK1235" s="1868">
        <v>0.35336000000000001</v>
      </c>
      <c r="AL1235" s="1868">
        <v>0.28786</v>
      </c>
      <c r="AM1235" s="1868">
        <v>0.30741999999999997</v>
      </c>
      <c r="AN1235" s="1868">
        <v>0.30008000000000001</v>
      </c>
      <c r="AO1235" s="1868">
        <v>0.33895999999999998</v>
      </c>
      <c r="AP1235" s="1868">
        <v>0.36454999999999999</v>
      </c>
      <c r="AQ1235" s="1868">
        <v>0.39828000000000002</v>
      </c>
      <c r="AR1235" s="1868">
        <v>0.38390000000000002</v>
      </c>
      <c r="AS1235" s="1868">
        <v>0.38708999999999999</v>
      </c>
      <c r="AT1235" s="1868">
        <v>0.38985999999999998</v>
      </c>
      <c r="AU1235" s="1868">
        <v>0.43088999999999994</v>
      </c>
      <c r="AV1235" s="1868">
        <v>0.44398000000000004</v>
      </c>
      <c r="AW1235" s="1868">
        <v>0.43645</v>
      </c>
      <c r="AX1235" s="1868">
        <v>0.40760999999999997</v>
      </c>
      <c r="AY1235" s="1868">
        <v>0.46418000000000004</v>
      </c>
      <c r="AZ1235" s="1868">
        <v>0.46781000000000006</v>
      </c>
      <c r="BA1235" s="1868">
        <v>0.49803999999999998</v>
      </c>
    </row>
    <row r="1236" spans="1:53">
      <c r="A1236" s="1865" t="str">
        <f t="shared" si="19"/>
        <v>Western AfricaDates</v>
      </c>
      <c r="B1236" s="1866" t="s">
        <v>1424</v>
      </c>
      <c r="C1236" s="1866" t="s">
        <v>1374</v>
      </c>
      <c r="D1236" s="1868">
        <v>3</v>
      </c>
      <c r="E1236" s="1868">
        <v>3.1</v>
      </c>
      <c r="F1236" s="1868">
        <v>3.0519500000000002</v>
      </c>
      <c r="G1236" s="1868">
        <v>2.9367799999999997</v>
      </c>
      <c r="H1236" s="1868">
        <v>2.99457</v>
      </c>
      <c r="I1236" s="1868">
        <v>3.07463</v>
      </c>
      <c r="J1236" s="1868">
        <v>3.01613</v>
      </c>
      <c r="K1236" s="1868">
        <v>3.0781299999999998</v>
      </c>
      <c r="L1236" s="1868">
        <v>3.1017000000000001</v>
      </c>
      <c r="M1236" s="1868">
        <v>3.1044800000000001</v>
      </c>
      <c r="N1236" s="1868">
        <v>3.0384599999999997</v>
      </c>
      <c r="O1236" s="1868">
        <v>3.0384599999999997</v>
      </c>
      <c r="P1236" s="1868">
        <v>3.1538499999999998</v>
      </c>
      <c r="Q1236" s="1868">
        <v>3.0943400000000003</v>
      </c>
      <c r="R1236" s="1868">
        <v>3.1343299999999998</v>
      </c>
      <c r="S1236" s="1868">
        <v>4.1730300000000007</v>
      </c>
      <c r="T1236" s="1868">
        <v>3.0905900000000002</v>
      </c>
      <c r="U1236" s="1868">
        <v>3.1</v>
      </c>
      <c r="V1236" s="1868">
        <v>3.0934200000000001</v>
      </c>
      <c r="W1236" s="1868">
        <v>3.09091</v>
      </c>
      <c r="X1236" s="1868">
        <v>3.09836</v>
      </c>
      <c r="Y1236" s="1868">
        <v>3.0141800000000001</v>
      </c>
      <c r="Z1236" s="1868">
        <v>3.09199</v>
      </c>
      <c r="AA1236" s="1868">
        <v>3.0350900000000003</v>
      </c>
      <c r="AB1236" s="1868">
        <v>2.9497</v>
      </c>
      <c r="AC1236" s="1868">
        <v>3.00305</v>
      </c>
      <c r="AD1236" s="1868">
        <v>2.93729</v>
      </c>
      <c r="AE1236" s="1868">
        <v>2.5354099999999997</v>
      </c>
      <c r="AF1236" s="1868">
        <v>2.3809499999999999</v>
      </c>
      <c r="AG1236" s="1868">
        <v>2.2949000000000002</v>
      </c>
      <c r="AH1236" s="1868">
        <v>2.5579499999999999</v>
      </c>
      <c r="AI1236" s="1868">
        <v>2.59335</v>
      </c>
      <c r="AJ1236" s="1868">
        <v>2.9255</v>
      </c>
      <c r="AK1236" s="1868">
        <v>2.8824000000000001</v>
      </c>
      <c r="AL1236" s="1868">
        <v>2.8981400000000002</v>
      </c>
      <c r="AM1236" s="1868">
        <v>2.4939</v>
      </c>
      <c r="AN1236" s="1868">
        <v>2.8896199999999999</v>
      </c>
      <c r="AO1236" s="1868">
        <v>2.7837700000000001</v>
      </c>
      <c r="AP1236" s="1868">
        <v>3.1778299999999997</v>
      </c>
      <c r="AQ1236" s="1868">
        <v>3.3859499999999998</v>
      </c>
      <c r="AR1236" s="1868">
        <v>2.6702300000000001</v>
      </c>
      <c r="AS1236" s="1868">
        <v>3.1708099999999999</v>
      </c>
      <c r="AT1236" s="1868">
        <v>2.3494000000000002</v>
      </c>
      <c r="AU1236" s="1868">
        <v>3.19251</v>
      </c>
      <c r="AV1236" s="1868">
        <v>2.8976700000000002</v>
      </c>
      <c r="AW1236" s="1868">
        <v>2.7743099999999998</v>
      </c>
      <c r="AX1236" s="1868">
        <v>2.7741700000000002</v>
      </c>
      <c r="AY1236" s="1868">
        <v>2.778</v>
      </c>
      <c r="AZ1236" s="1868">
        <v>2.9659900000000001</v>
      </c>
      <c r="BA1236" s="1868">
        <v>2.9244400000000002</v>
      </c>
    </row>
    <row r="1237" spans="1:53">
      <c r="A1237" s="1865" t="str">
        <f t="shared" si="19"/>
        <v>Western AfricaEggplants (aubergines)</v>
      </c>
      <c r="B1237" s="1866" t="s">
        <v>1424</v>
      </c>
      <c r="C1237" s="1866" t="s">
        <v>1375</v>
      </c>
      <c r="D1237" s="1868">
        <v>5.1458000000000004</v>
      </c>
      <c r="E1237" s="1868">
        <v>5.1458000000000004</v>
      </c>
      <c r="F1237" s="1868">
        <v>6</v>
      </c>
      <c r="G1237" s="1868">
        <v>6.6666699999999999</v>
      </c>
      <c r="H1237" s="1868">
        <v>7.6022600000000002</v>
      </c>
      <c r="I1237" s="1868">
        <v>8.4167899999999989</v>
      </c>
      <c r="J1237" s="1868">
        <v>8.2916699999999999</v>
      </c>
      <c r="K1237" s="1868">
        <v>8.1229999999999993</v>
      </c>
      <c r="L1237" s="1868">
        <v>5.7142900000000001</v>
      </c>
      <c r="M1237" s="1868">
        <v>4.7619099999999994</v>
      </c>
      <c r="N1237" s="1868">
        <v>4.9056600000000001</v>
      </c>
      <c r="O1237" s="1868">
        <v>3.1355900000000001</v>
      </c>
      <c r="P1237" s="1868">
        <v>4.2272699999999999</v>
      </c>
      <c r="Q1237" s="1868">
        <v>4.0454600000000003</v>
      </c>
      <c r="R1237" s="1868">
        <v>5.1907500000000004</v>
      </c>
      <c r="S1237" s="1868">
        <v>4.2376199999999997</v>
      </c>
      <c r="T1237" s="1868">
        <v>4.76</v>
      </c>
      <c r="U1237" s="1868">
        <v>4.8219199999999995</v>
      </c>
      <c r="V1237" s="1868">
        <v>4.9014100000000003</v>
      </c>
      <c r="W1237" s="1868">
        <v>4.125</v>
      </c>
      <c r="X1237" s="1868">
        <v>4.1176500000000003</v>
      </c>
      <c r="Y1237" s="1868">
        <v>4.0970900000000006</v>
      </c>
      <c r="Z1237" s="1868">
        <v>4.4293800000000001</v>
      </c>
      <c r="AA1237" s="1868">
        <v>4.8453599999999994</v>
      </c>
      <c r="AB1237" s="1868">
        <v>5.75</v>
      </c>
      <c r="AC1237" s="1868">
        <v>8.3333300000000001</v>
      </c>
      <c r="AD1237" s="1868">
        <v>9.0576899999999991</v>
      </c>
      <c r="AE1237" s="1868">
        <v>10.57766</v>
      </c>
      <c r="AF1237" s="1868">
        <v>11.076000000000001</v>
      </c>
      <c r="AG1237" s="1868">
        <v>9.8723399999999994</v>
      </c>
      <c r="AH1237" s="1868">
        <v>10.939210000000001</v>
      </c>
      <c r="AI1237" s="1868">
        <v>12.015700000000001</v>
      </c>
      <c r="AJ1237" s="1868">
        <v>10.571260000000001</v>
      </c>
      <c r="AK1237" s="1868">
        <v>10.29175</v>
      </c>
      <c r="AL1237" s="1868">
        <v>8.1116299999999999</v>
      </c>
      <c r="AM1237" s="1868">
        <v>9.3266399999999994</v>
      </c>
      <c r="AN1237" s="1868">
        <v>11.11791</v>
      </c>
      <c r="AO1237" s="1868">
        <v>9.7171899999999987</v>
      </c>
      <c r="AP1237" s="1868">
        <v>9.4856699999999989</v>
      </c>
      <c r="AQ1237" s="1868">
        <v>9.9426100000000002</v>
      </c>
      <c r="AR1237" s="1868">
        <v>13.423820000000001</v>
      </c>
      <c r="AS1237" s="1868">
        <v>8.9624299999999995</v>
      </c>
      <c r="AT1237" s="1868">
        <v>8.2708399999999997</v>
      </c>
      <c r="AU1237" s="1868">
        <v>7.4240000000000004</v>
      </c>
      <c r="AV1237" s="1868">
        <v>6.8202999999999996</v>
      </c>
      <c r="AW1237" s="1868">
        <v>7.4625100000000009</v>
      </c>
      <c r="AX1237" s="1868">
        <v>6.95045</v>
      </c>
      <c r="AY1237" s="1868">
        <v>6.6759300000000001</v>
      </c>
      <c r="AZ1237" s="1868">
        <v>7.4802399999999993</v>
      </c>
      <c r="BA1237" s="1868">
        <v>6.5675100000000004</v>
      </c>
    </row>
    <row r="1238" spans="1:53">
      <c r="A1238" s="1865" t="str">
        <f t="shared" si="19"/>
        <v>Western AfricaGrapefruit (inc. pomelos)</v>
      </c>
      <c r="B1238" s="1866" t="s">
        <v>1424</v>
      </c>
      <c r="C1238" s="1866" t="s">
        <v>1377</v>
      </c>
      <c r="D1238" s="1868">
        <v>6.0606099999999996</v>
      </c>
      <c r="E1238" s="1868">
        <v>6.0606099999999996</v>
      </c>
      <c r="F1238" s="1868">
        <v>6.0606099999999996</v>
      </c>
      <c r="G1238" s="1868">
        <v>6.0606099999999996</v>
      </c>
      <c r="H1238" s="1868">
        <v>6</v>
      </c>
      <c r="I1238" s="1868">
        <v>6</v>
      </c>
      <c r="J1238" s="1868">
        <v>6</v>
      </c>
      <c r="K1238" s="1868">
        <v>6</v>
      </c>
      <c r="L1238" s="1868">
        <v>5.8823499999999997</v>
      </c>
      <c r="M1238" s="1868">
        <v>5.8823499999999997</v>
      </c>
      <c r="N1238" s="1868">
        <v>5.8823499999999997</v>
      </c>
      <c r="O1238" s="1868">
        <v>5.8823499999999997</v>
      </c>
      <c r="P1238" s="1868">
        <v>6</v>
      </c>
      <c r="Q1238" s="1868">
        <v>6</v>
      </c>
      <c r="R1238" s="1868">
        <v>6</v>
      </c>
      <c r="S1238" s="1868">
        <v>5.9259300000000001</v>
      </c>
      <c r="T1238" s="1868">
        <v>5.9259300000000001</v>
      </c>
      <c r="U1238" s="1868">
        <v>5.9259300000000001</v>
      </c>
      <c r="V1238" s="1868">
        <v>5.9259300000000001</v>
      </c>
      <c r="W1238" s="1868">
        <v>6.0606099999999996</v>
      </c>
      <c r="X1238" s="1868">
        <v>6.0606099999999996</v>
      </c>
      <c r="Y1238" s="1868">
        <v>6.0606099999999996</v>
      </c>
      <c r="Z1238" s="1868">
        <v>6.0606099999999996</v>
      </c>
      <c r="AA1238" s="1868">
        <v>6</v>
      </c>
      <c r="AB1238" s="1868">
        <v>6</v>
      </c>
      <c r="AC1238" s="1868">
        <v>6</v>
      </c>
      <c r="AD1238" s="1868">
        <v>6</v>
      </c>
      <c r="AE1238" s="1868">
        <v>6</v>
      </c>
      <c r="AF1238" s="1868">
        <v>6.0465099999999996</v>
      </c>
      <c r="AG1238" s="1868">
        <v>7.1313199999999997</v>
      </c>
      <c r="AH1238" s="1868">
        <v>6.5596300000000003</v>
      </c>
      <c r="AI1238" s="1868">
        <v>6.7574300000000003</v>
      </c>
      <c r="AJ1238" s="1868">
        <v>6.2805999999999997</v>
      </c>
      <c r="AK1238" s="1868">
        <v>6.1284599999999996</v>
      </c>
      <c r="AL1238" s="1868">
        <v>6.2484500000000001</v>
      </c>
      <c r="AM1238" s="1868">
        <v>6.0174099999999999</v>
      </c>
      <c r="AN1238" s="1868">
        <v>0.64749999999999996</v>
      </c>
      <c r="AO1238" s="1868">
        <v>6.0396099999999997</v>
      </c>
      <c r="AP1238" s="1868">
        <v>6.0386600000000001</v>
      </c>
      <c r="AQ1238" s="1868">
        <v>6.0338500000000002</v>
      </c>
      <c r="AR1238" s="1868">
        <v>6.0327299999999999</v>
      </c>
      <c r="AS1238" s="1868">
        <v>6.0330000000000004</v>
      </c>
      <c r="AT1238" s="1868">
        <v>6.0319599999999998</v>
      </c>
      <c r="AU1238" s="1868">
        <v>6.0309300000000006</v>
      </c>
      <c r="AV1238" s="1868">
        <v>6.0336800000000004</v>
      </c>
      <c r="AW1238" s="1868">
        <v>5.8544</v>
      </c>
      <c r="AX1238" s="1868">
        <v>5.68729</v>
      </c>
      <c r="AY1238" s="1868">
        <v>5.7530599999999996</v>
      </c>
      <c r="AZ1238" s="1868">
        <v>6.1020699999999994</v>
      </c>
      <c r="BA1238" s="1868">
        <v>6.1194800000000003</v>
      </c>
    </row>
    <row r="1239" spans="1:53">
      <c r="A1239" s="1865" t="str">
        <f t="shared" si="19"/>
        <v>Western AfricaGroundnuts, with shell</v>
      </c>
      <c r="B1239" s="1866" t="s">
        <v>1424</v>
      </c>
      <c r="C1239" s="1866" t="s">
        <v>1379</v>
      </c>
      <c r="D1239" s="1868">
        <v>0.89115</v>
      </c>
      <c r="E1239" s="1868">
        <v>1.00556</v>
      </c>
      <c r="F1239" s="1868">
        <v>0.90982999999999992</v>
      </c>
      <c r="G1239" s="1868">
        <v>0.87487999999999988</v>
      </c>
      <c r="H1239" s="1868">
        <v>0.88182999999999989</v>
      </c>
      <c r="I1239" s="1868">
        <v>0.79271999999999998</v>
      </c>
      <c r="J1239" s="1868">
        <v>0.75556000000000001</v>
      </c>
      <c r="K1239" s="1868">
        <v>0.78526000000000007</v>
      </c>
      <c r="L1239" s="1868">
        <v>0.86407000000000012</v>
      </c>
      <c r="M1239" s="1868">
        <v>0.72258999999999995</v>
      </c>
      <c r="N1239" s="1868">
        <v>0.78222999999999998</v>
      </c>
      <c r="O1239" s="1868">
        <v>0.63724999999999998</v>
      </c>
      <c r="P1239" s="1868">
        <v>0.54113</v>
      </c>
      <c r="Q1239" s="1868">
        <v>0.91008999999999995</v>
      </c>
      <c r="R1239" s="1868">
        <v>0.68698000000000004</v>
      </c>
      <c r="S1239" s="1868">
        <v>0.82867999999999997</v>
      </c>
      <c r="T1239" s="1868">
        <v>0.64559</v>
      </c>
      <c r="U1239" s="1868">
        <v>0.87216000000000005</v>
      </c>
      <c r="V1239" s="1868">
        <v>0.73836999999999997</v>
      </c>
      <c r="W1239" s="1868">
        <v>0.65969</v>
      </c>
      <c r="X1239" s="1868">
        <v>0.77590000000000003</v>
      </c>
      <c r="Y1239" s="1868">
        <v>0.81184999999999996</v>
      </c>
      <c r="Z1239" s="1868">
        <v>0.64590000000000003</v>
      </c>
      <c r="AA1239" s="1868">
        <v>0.69915000000000005</v>
      </c>
      <c r="AB1239" s="1868">
        <v>0.90305000000000002</v>
      </c>
      <c r="AC1239" s="1868">
        <v>0.98237999999999992</v>
      </c>
      <c r="AD1239" s="1868">
        <v>0.96914</v>
      </c>
      <c r="AE1239" s="1868">
        <v>0.99491000000000007</v>
      </c>
      <c r="AF1239" s="1868">
        <v>1.0721700000000001</v>
      </c>
      <c r="AG1239" s="1868">
        <v>0.97827999999999993</v>
      </c>
      <c r="AH1239" s="1868">
        <v>0.93958999999999993</v>
      </c>
      <c r="AI1239" s="1868">
        <v>0.85299999999999998</v>
      </c>
      <c r="AJ1239" s="1868">
        <v>0.94751000000000007</v>
      </c>
      <c r="AK1239" s="1868">
        <v>0.83840000000000003</v>
      </c>
      <c r="AL1239" s="1868">
        <v>0.85145000000000004</v>
      </c>
      <c r="AM1239" s="1868">
        <v>0.86972000000000005</v>
      </c>
      <c r="AN1239" s="1868">
        <v>0.93989999999999996</v>
      </c>
      <c r="AO1239" s="1868">
        <v>0.95812999999999993</v>
      </c>
      <c r="AP1239" s="1868">
        <v>1.2123899999999999</v>
      </c>
      <c r="AQ1239" s="1868">
        <v>1.1316899999999999</v>
      </c>
      <c r="AR1239" s="1868">
        <v>1.1712799999999999</v>
      </c>
      <c r="AS1239" s="1868">
        <v>1.0507200000000001</v>
      </c>
      <c r="AT1239" s="1868">
        <v>1.16221</v>
      </c>
      <c r="AU1239" s="1868">
        <v>1.12788</v>
      </c>
      <c r="AV1239" s="1868">
        <v>1.2014799999999999</v>
      </c>
      <c r="AW1239" s="1868">
        <v>1.24197</v>
      </c>
      <c r="AX1239" s="1868">
        <v>0.98089999999999999</v>
      </c>
      <c r="AY1239" s="1868">
        <v>1.0366299999999999</v>
      </c>
      <c r="AZ1239" s="1868">
        <v>0.99111000000000005</v>
      </c>
      <c r="BA1239" s="1868">
        <v>0.97472999999999987</v>
      </c>
    </row>
    <row r="1240" spans="1:53">
      <c r="A1240" s="1865" t="str">
        <f t="shared" si="19"/>
        <v>Western AfricaLeguminous vegetables, nes</v>
      </c>
      <c r="B1240" s="1866" t="s">
        <v>1424</v>
      </c>
      <c r="C1240" s="1866" t="s">
        <v>1380</v>
      </c>
      <c r="AG1240" s="1868">
        <v>3.0303</v>
      </c>
      <c r="AH1240" s="1868">
        <v>3.0303</v>
      </c>
      <c r="AI1240" s="1868">
        <v>3</v>
      </c>
      <c r="AJ1240" s="1868">
        <v>2.3911700000000002</v>
      </c>
      <c r="AK1240" s="1868">
        <v>3.0769199999999999</v>
      </c>
      <c r="AL1240" s="1868">
        <v>2.8048099999999998</v>
      </c>
      <c r="AM1240" s="1868">
        <v>2.4342900000000003</v>
      </c>
      <c r="AN1240" s="1868">
        <v>2.0147900000000001</v>
      </c>
      <c r="AO1240" s="1868">
        <v>3</v>
      </c>
      <c r="AP1240" s="1868">
        <v>2.5266999999999999</v>
      </c>
      <c r="AQ1240" s="1868">
        <v>3</v>
      </c>
      <c r="AR1240" s="1868">
        <v>3.7168099999999997</v>
      </c>
      <c r="AS1240" s="1868">
        <v>3.9412800000000003</v>
      </c>
      <c r="AT1240" s="1868">
        <v>3.0065400000000002</v>
      </c>
      <c r="AU1240" s="1868">
        <v>2.7787299999999999</v>
      </c>
      <c r="AV1240" s="1868">
        <v>2.8520099999999999</v>
      </c>
      <c r="AW1240" s="1868">
        <v>2.8467099999999999</v>
      </c>
      <c r="AX1240" s="1868">
        <v>2.68533</v>
      </c>
      <c r="AY1240" s="1868">
        <v>3.14106</v>
      </c>
      <c r="AZ1240" s="1868">
        <v>3.0967700000000002</v>
      </c>
      <c r="BA1240" s="1868">
        <v>3.0625</v>
      </c>
    </row>
    <row r="1241" spans="1:53">
      <c r="A1241" s="1865" t="str">
        <f t="shared" si="19"/>
        <v>Western AfricaMaize</v>
      </c>
      <c r="B1241" s="1866" t="s">
        <v>1424</v>
      </c>
      <c r="C1241" s="1866" t="s">
        <v>1382</v>
      </c>
      <c r="D1241" s="1868">
        <v>0.74143000000000003</v>
      </c>
      <c r="E1241" s="1868">
        <v>0.76812000000000002</v>
      </c>
      <c r="F1241" s="1868">
        <v>0.82345000000000002</v>
      </c>
      <c r="G1241" s="1868">
        <v>0.72430000000000005</v>
      </c>
      <c r="H1241" s="1868">
        <v>0.76511000000000007</v>
      </c>
      <c r="I1241" s="1868">
        <v>0.83804999999999996</v>
      </c>
      <c r="J1241" s="1868">
        <v>0.78176000000000001</v>
      </c>
      <c r="K1241" s="1868">
        <v>0.85241</v>
      </c>
      <c r="L1241" s="1868">
        <v>0.85682000000000003</v>
      </c>
      <c r="M1241" s="1868">
        <v>0.92564999999999997</v>
      </c>
      <c r="N1241" s="1868">
        <v>0.94494</v>
      </c>
      <c r="O1241" s="1868">
        <v>0.69636000000000009</v>
      </c>
      <c r="P1241" s="1868">
        <v>0.75773999999999997</v>
      </c>
      <c r="Q1241" s="1868">
        <v>0.8853700000000001</v>
      </c>
      <c r="R1241" s="1868">
        <v>0.99624000000000001</v>
      </c>
      <c r="S1241" s="1868">
        <v>0.91247000000000011</v>
      </c>
      <c r="T1241" s="1868">
        <v>0.84617000000000009</v>
      </c>
      <c r="U1241" s="1868">
        <v>0.91574999999999995</v>
      </c>
      <c r="V1241" s="1868">
        <v>0.85266000000000008</v>
      </c>
      <c r="W1241" s="1868">
        <v>0.93494999999999995</v>
      </c>
      <c r="X1241" s="1868">
        <v>1.01535</v>
      </c>
      <c r="Y1241" s="1868">
        <v>0.95776000000000006</v>
      </c>
      <c r="Z1241" s="1868">
        <v>0.78003</v>
      </c>
      <c r="AA1241" s="1868">
        <v>0.97497000000000011</v>
      </c>
      <c r="AB1241" s="1868">
        <v>1.0597399999999999</v>
      </c>
      <c r="AC1241" s="1868">
        <v>1.11897</v>
      </c>
      <c r="AD1241" s="1868">
        <v>1.1538299999999999</v>
      </c>
      <c r="AE1241" s="1868">
        <v>1.3483399999999999</v>
      </c>
      <c r="AF1241" s="1868">
        <v>1.22872</v>
      </c>
      <c r="AG1241" s="1868">
        <v>1.0769200000000001</v>
      </c>
      <c r="AH1241" s="1868">
        <v>1.12018</v>
      </c>
      <c r="AI1241" s="1868">
        <v>1.0892999999999999</v>
      </c>
      <c r="AJ1241" s="1868">
        <v>1.1620999999999999</v>
      </c>
      <c r="AK1241" s="1868">
        <v>1.2134</v>
      </c>
      <c r="AL1241" s="1868">
        <v>1.2159799999999998</v>
      </c>
      <c r="AM1241" s="1868">
        <v>1.25559</v>
      </c>
      <c r="AN1241" s="1868">
        <v>1.28247</v>
      </c>
      <c r="AO1241" s="1868">
        <v>1.3163899999999999</v>
      </c>
      <c r="AP1241" s="1868">
        <v>1.51268</v>
      </c>
      <c r="AQ1241" s="1868">
        <v>1.3459299999999998</v>
      </c>
      <c r="AR1241" s="1868">
        <v>1.3898299999999999</v>
      </c>
      <c r="AS1241" s="1868">
        <v>1.41361</v>
      </c>
      <c r="AT1241" s="1868">
        <v>1.5099499999999999</v>
      </c>
      <c r="AU1241" s="1868">
        <v>1.5232000000000001</v>
      </c>
      <c r="AV1241" s="1868">
        <v>1.59209</v>
      </c>
      <c r="AW1241" s="1868">
        <v>1.6726700000000001</v>
      </c>
      <c r="AX1241" s="1868">
        <v>1.52624</v>
      </c>
      <c r="AY1241" s="1868">
        <v>1.7569700000000001</v>
      </c>
      <c r="AZ1241" s="1868">
        <v>1.8881700000000001</v>
      </c>
      <c r="BA1241" s="1868">
        <v>1.8598299999999999</v>
      </c>
    </row>
    <row r="1242" spans="1:53">
      <c r="A1242" s="1865" t="str">
        <f t="shared" si="19"/>
        <v>Western AfricaMaize, green</v>
      </c>
      <c r="B1242" s="1866" t="s">
        <v>1424</v>
      </c>
      <c r="C1242" s="1866" t="s">
        <v>1383</v>
      </c>
      <c r="D1242" s="1868">
        <v>2.0921500000000002</v>
      </c>
      <c r="E1242" s="1868">
        <v>2.2234700000000003</v>
      </c>
      <c r="F1242" s="1868">
        <v>2.3767200000000002</v>
      </c>
      <c r="G1242" s="1868">
        <v>2.0253000000000001</v>
      </c>
      <c r="H1242" s="1868">
        <v>2.1340699999999999</v>
      </c>
      <c r="I1242" s="1868">
        <v>2.1952799999999999</v>
      </c>
      <c r="J1242" s="1868">
        <v>2.1442799999999997</v>
      </c>
      <c r="K1242" s="1868">
        <v>2.3155999999999999</v>
      </c>
      <c r="L1242" s="1868">
        <v>2.24579</v>
      </c>
      <c r="M1242" s="1868">
        <v>2.3149900000000003</v>
      </c>
      <c r="N1242" s="1868">
        <v>2.4780099999999998</v>
      </c>
      <c r="O1242" s="1868">
        <v>1.9678900000000001</v>
      </c>
      <c r="P1242" s="1868">
        <v>2.4382799999999998</v>
      </c>
      <c r="Q1242" s="1868">
        <v>2.3869799999999999</v>
      </c>
      <c r="R1242" s="1868">
        <v>2.8772099999999998</v>
      </c>
      <c r="S1242" s="1868">
        <v>2.65435</v>
      </c>
      <c r="T1242" s="1868">
        <v>2.6785700000000001</v>
      </c>
      <c r="U1242" s="1868">
        <v>2.4632800000000001</v>
      </c>
      <c r="V1242" s="1868">
        <v>2.5794599999999996</v>
      </c>
      <c r="W1242" s="1868">
        <v>2.79874</v>
      </c>
      <c r="X1242" s="1868">
        <v>2.7738400000000003</v>
      </c>
      <c r="Y1242" s="1868">
        <v>2.6667999999999998</v>
      </c>
      <c r="Z1242" s="1868">
        <v>2.5696099999999999</v>
      </c>
      <c r="AA1242" s="1868">
        <v>2.7126600000000001</v>
      </c>
      <c r="AB1242" s="1868">
        <v>2.7519800000000001</v>
      </c>
      <c r="AC1242" s="1868">
        <v>2.6651199999999999</v>
      </c>
      <c r="AD1242" s="1868">
        <v>2.9510800000000001</v>
      </c>
      <c r="AE1242" s="1868">
        <v>3.0608599999999999</v>
      </c>
      <c r="AF1242" s="1868">
        <v>3.0654599999999999</v>
      </c>
      <c r="AG1242" s="1868">
        <v>3.0934300000000001</v>
      </c>
      <c r="AH1242" s="1868">
        <v>3.1936299999999997</v>
      </c>
      <c r="AI1242" s="1868">
        <v>3.1784500000000002</v>
      </c>
      <c r="AJ1242" s="1868">
        <v>3.7015199999999999</v>
      </c>
      <c r="AK1242" s="1868">
        <v>3.6239800000000004</v>
      </c>
      <c r="AL1242" s="1868">
        <v>2.7914500000000002</v>
      </c>
      <c r="AM1242" s="1868">
        <v>2.4839799999999999</v>
      </c>
      <c r="AN1242" s="1868">
        <v>2.48115</v>
      </c>
      <c r="AO1242" s="1868">
        <v>2.0825099999999996</v>
      </c>
      <c r="AP1242" s="1868">
        <v>2.0142000000000002</v>
      </c>
      <c r="AQ1242" s="1868">
        <v>2.0933200000000003</v>
      </c>
      <c r="AR1242" s="1868">
        <v>2.23698</v>
      </c>
      <c r="AS1242" s="1868">
        <v>2.3583699999999999</v>
      </c>
      <c r="AT1242" s="1868">
        <v>2.1681499999999998</v>
      </c>
      <c r="AU1242" s="1868">
        <v>2.3908</v>
      </c>
      <c r="AV1242" s="1868">
        <v>2.1743999999999999</v>
      </c>
      <c r="AW1242" s="1868">
        <v>2.95797</v>
      </c>
      <c r="AX1242" s="1868">
        <v>2.9608099999999999</v>
      </c>
      <c r="AY1242" s="1868">
        <v>3.2292700000000001</v>
      </c>
      <c r="AZ1242" s="1868">
        <v>3.1918500000000001</v>
      </c>
      <c r="BA1242" s="1868">
        <v>2.9790700000000001</v>
      </c>
    </row>
    <row r="1243" spans="1:53">
      <c r="A1243" s="1865" t="str">
        <f t="shared" si="19"/>
        <v>Western AfricaMangoes, mangosteens, guavas</v>
      </c>
      <c r="B1243" s="1866" t="s">
        <v>1424</v>
      </c>
      <c r="C1243" s="1866" t="s">
        <v>1384</v>
      </c>
      <c r="D1243" s="1868">
        <v>4.3391599999999997</v>
      </c>
      <c r="E1243" s="1868">
        <v>4.3410099999999998</v>
      </c>
      <c r="F1243" s="1868">
        <v>4.3608199999999995</v>
      </c>
      <c r="G1243" s="1868">
        <v>4.36592</v>
      </c>
      <c r="H1243" s="1868">
        <v>4.4574600000000002</v>
      </c>
      <c r="I1243" s="1868">
        <v>4.4255300000000002</v>
      </c>
      <c r="J1243" s="1868">
        <v>4.4479600000000001</v>
      </c>
      <c r="K1243" s="1868">
        <v>4.4506500000000004</v>
      </c>
      <c r="L1243" s="1868">
        <v>4.4722</v>
      </c>
      <c r="M1243" s="1868">
        <v>4.5158300000000002</v>
      </c>
      <c r="N1243" s="1868">
        <v>4.5465200000000001</v>
      </c>
      <c r="O1243" s="1868">
        <v>4.5298099999999994</v>
      </c>
      <c r="P1243" s="1868">
        <v>4.5443899999999999</v>
      </c>
      <c r="Q1243" s="1868">
        <v>4.5144900000000003</v>
      </c>
      <c r="R1243" s="1868">
        <v>4.5745699999999996</v>
      </c>
      <c r="S1243" s="1868">
        <v>4.5986400000000005</v>
      </c>
      <c r="T1243" s="1868">
        <v>4.5669900000000005</v>
      </c>
      <c r="U1243" s="1868">
        <v>4.55999</v>
      </c>
      <c r="V1243" s="1868">
        <v>4.5822199999999995</v>
      </c>
      <c r="W1243" s="1868">
        <v>4.6393300000000002</v>
      </c>
      <c r="X1243" s="1868">
        <v>4.6007499999999997</v>
      </c>
      <c r="Y1243" s="1868">
        <v>4.59985</v>
      </c>
      <c r="Z1243" s="1868">
        <v>4.5605900000000004</v>
      </c>
      <c r="AA1243" s="1868">
        <v>4.55159</v>
      </c>
      <c r="AB1243" s="1868">
        <v>4.3747400000000001</v>
      </c>
      <c r="AC1243" s="1868">
        <v>4.3769800000000005</v>
      </c>
      <c r="AD1243" s="1868">
        <v>4.2895900000000005</v>
      </c>
      <c r="AE1243" s="1868">
        <v>4.1910600000000002</v>
      </c>
      <c r="AF1243" s="1868">
        <v>4.6941100000000002</v>
      </c>
      <c r="AG1243" s="1868">
        <v>4.5420800000000003</v>
      </c>
      <c r="AH1243" s="1868">
        <v>4.3009699999999995</v>
      </c>
      <c r="AI1243" s="1868">
        <v>4.1585900000000002</v>
      </c>
      <c r="AJ1243" s="1868">
        <v>4.31717</v>
      </c>
      <c r="AK1243" s="1868">
        <v>4.1554500000000001</v>
      </c>
      <c r="AL1243" s="1868">
        <v>4.2246300000000003</v>
      </c>
      <c r="AM1243" s="1868">
        <v>4.3017500000000002</v>
      </c>
      <c r="AN1243" s="1868">
        <v>4.3462300000000003</v>
      </c>
      <c r="AO1243" s="1868">
        <v>4.2750599999999999</v>
      </c>
      <c r="AP1243" s="1868">
        <v>3.7647800000000005</v>
      </c>
      <c r="AQ1243" s="1868">
        <v>3.8459699999999999</v>
      </c>
      <c r="AR1243" s="1868">
        <v>3.82341</v>
      </c>
      <c r="AS1243" s="1868">
        <v>3.8367100000000001</v>
      </c>
      <c r="AT1243" s="1868">
        <v>4.1258599999999994</v>
      </c>
      <c r="AU1243" s="1868">
        <v>4.0582900000000004</v>
      </c>
      <c r="AV1243" s="1868">
        <v>3.8402400000000001</v>
      </c>
      <c r="AW1243" s="1868">
        <v>3.6932199999999997</v>
      </c>
      <c r="AX1243" s="1868">
        <v>3.9804599999999999</v>
      </c>
      <c r="AY1243" s="1868">
        <v>4.7228199999999996</v>
      </c>
      <c r="AZ1243" s="1868">
        <v>4.7696699999999996</v>
      </c>
      <c r="BA1243" s="1868">
        <v>4.9482900000000001</v>
      </c>
    </row>
    <row r="1244" spans="1:53">
      <c r="A1244" s="1865" t="str">
        <f t="shared" si="19"/>
        <v>Western AfricaMillet</v>
      </c>
      <c r="B1244" s="1866" t="s">
        <v>1424</v>
      </c>
      <c r="C1244" s="1866" t="s">
        <v>1385</v>
      </c>
      <c r="D1244" s="1868">
        <v>0.55103000000000002</v>
      </c>
      <c r="E1244" s="1868">
        <v>0.54884999999999995</v>
      </c>
      <c r="F1244" s="1868">
        <v>0.57476000000000005</v>
      </c>
      <c r="G1244" s="1868">
        <v>0.58599999999999997</v>
      </c>
      <c r="H1244" s="1868">
        <v>0.54061999999999999</v>
      </c>
      <c r="I1244" s="1868">
        <v>0.46583999999999998</v>
      </c>
      <c r="J1244" s="1868">
        <v>0.56631000000000009</v>
      </c>
      <c r="K1244" s="1868">
        <v>0.53779999999999994</v>
      </c>
      <c r="L1244" s="1868">
        <v>0.58546000000000009</v>
      </c>
      <c r="M1244" s="1868">
        <v>0.54166999999999998</v>
      </c>
      <c r="N1244" s="1868">
        <v>0.54151000000000005</v>
      </c>
      <c r="O1244" s="1868">
        <v>0.54011999999999993</v>
      </c>
      <c r="P1244" s="1868">
        <v>0.55786999999999998</v>
      </c>
      <c r="Q1244" s="1868">
        <v>0.71087</v>
      </c>
      <c r="R1244" s="1868">
        <v>0.63907000000000003</v>
      </c>
      <c r="S1244" s="1868">
        <v>0.59051999999999993</v>
      </c>
      <c r="T1244" s="1868">
        <v>0.58316000000000001</v>
      </c>
      <c r="U1244" s="1868">
        <v>0.69350000000000001</v>
      </c>
      <c r="V1244" s="1868">
        <v>0.63433000000000006</v>
      </c>
      <c r="W1244" s="1868">
        <v>0.59687000000000001</v>
      </c>
      <c r="X1244" s="1868">
        <v>0.77666999999999997</v>
      </c>
      <c r="Y1244" s="1868">
        <v>0.74621999999999999</v>
      </c>
      <c r="Z1244" s="1868">
        <v>0.72616000000000003</v>
      </c>
      <c r="AA1244" s="1868">
        <v>0.70567000000000002</v>
      </c>
      <c r="AB1244" s="1868">
        <v>0.85603999999999991</v>
      </c>
      <c r="AC1244" s="1868">
        <v>0.75170999999999999</v>
      </c>
      <c r="AD1244" s="1868">
        <v>0.71504000000000001</v>
      </c>
      <c r="AE1244" s="1868">
        <v>0.76636000000000004</v>
      </c>
      <c r="AF1244" s="1868">
        <v>0.75581999999999994</v>
      </c>
      <c r="AG1244" s="1868">
        <v>0.68858999999999992</v>
      </c>
      <c r="AH1244" s="1868">
        <v>0.68281999999999998</v>
      </c>
      <c r="AI1244" s="1868">
        <v>0.65751000000000004</v>
      </c>
      <c r="AJ1244" s="1868">
        <v>0.65648000000000006</v>
      </c>
      <c r="AK1244" s="1868">
        <v>0.66673000000000004</v>
      </c>
      <c r="AL1244" s="1868">
        <v>0.70523000000000002</v>
      </c>
      <c r="AM1244" s="1868">
        <v>0.72321999999999997</v>
      </c>
      <c r="AN1244" s="1868">
        <v>0.69806000000000001</v>
      </c>
      <c r="AO1244" s="1868">
        <v>0.76378999999999997</v>
      </c>
      <c r="AP1244" s="1868">
        <v>0.75738000000000005</v>
      </c>
      <c r="AQ1244" s="1868">
        <v>0.70877999999999997</v>
      </c>
      <c r="AR1244" s="1868">
        <v>0.80757999999999996</v>
      </c>
      <c r="AS1244" s="1868">
        <v>0.76827999999999996</v>
      </c>
      <c r="AT1244" s="1868">
        <v>0.83748999999999996</v>
      </c>
      <c r="AU1244" s="1868">
        <v>0.81330000000000002</v>
      </c>
      <c r="AV1244" s="1868">
        <v>0.90659999999999996</v>
      </c>
      <c r="AW1244" s="1868">
        <v>0.92118999999999995</v>
      </c>
      <c r="AX1244" s="1868">
        <v>0.90534999999999999</v>
      </c>
      <c r="AY1244" s="1868">
        <v>1.0102200000000001</v>
      </c>
      <c r="AZ1244" s="1868">
        <v>0.77039999999999997</v>
      </c>
      <c r="BA1244" s="1868">
        <v>0.76817000000000002</v>
      </c>
    </row>
    <row r="1245" spans="1:53">
      <c r="A1245" s="1865" t="str">
        <f t="shared" si="19"/>
        <v>Western AfricaOats</v>
      </c>
      <c r="B1245" s="1866" t="s">
        <v>1424</v>
      </c>
      <c r="C1245" s="1866" t="s">
        <v>1349</v>
      </c>
      <c r="AM1245" s="1868">
        <v>0.66666999999999998</v>
      </c>
      <c r="AN1245" s="1868">
        <v>0.65517000000000003</v>
      </c>
      <c r="AO1245" s="1868">
        <v>0.625</v>
      </c>
      <c r="AP1245" s="1868">
        <v>0.61765000000000003</v>
      </c>
      <c r="AQ1245" s="1868">
        <v>0.6129</v>
      </c>
      <c r="AR1245" s="1868">
        <v>0.54546000000000006</v>
      </c>
      <c r="AS1245" s="1868">
        <v>0.63158000000000003</v>
      </c>
      <c r="AT1245" s="1868">
        <v>0.65713999999999995</v>
      </c>
      <c r="AU1245" s="1868">
        <v>0.65625</v>
      </c>
      <c r="AV1245" s="1868">
        <v>0.72726999999999997</v>
      </c>
      <c r="AW1245" s="1868">
        <v>0.74286000000000008</v>
      </c>
      <c r="AX1245" s="1868">
        <v>0.65790000000000004</v>
      </c>
      <c r="AY1245" s="1868">
        <v>0.79069999999999996</v>
      </c>
      <c r="AZ1245" s="1868">
        <v>0.82978999999999992</v>
      </c>
      <c r="BA1245" s="1868">
        <v>0.8</v>
      </c>
    </row>
    <row r="1246" spans="1:53">
      <c r="A1246" s="1865" t="str">
        <f t="shared" si="19"/>
        <v>Western AfricaOil palm fruit</v>
      </c>
      <c r="B1246" s="1866" t="s">
        <v>1424</v>
      </c>
      <c r="C1246" s="1866" t="s">
        <v>1386</v>
      </c>
      <c r="D1246" s="1868">
        <v>2.9011400000000003</v>
      </c>
      <c r="E1246" s="1868">
        <v>2.94753</v>
      </c>
      <c r="F1246" s="1868">
        <v>2.9283299999999999</v>
      </c>
      <c r="G1246" s="1868">
        <v>2.9112499999999999</v>
      </c>
      <c r="H1246" s="1868">
        <v>2.9133200000000001</v>
      </c>
      <c r="I1246" s="1868">
        <v>2.92428</v>
      </c>
      <c r="J1246" s="1868">
        <v>3.0371099999999998</v>
      </c>
      <c r="K1246" s="1868">
        <v>3.0232799999999997</v>
      </c>
      <c r="L1246" s="1868">
        <v>3.01139</v>
      </c>
      <c r="M1246" s="1868">
        <v>3.0789</v>
      </c>
      <c r="N1246" s="1868">
        <v>3.11294</v>
      </c>
      <c r="O1246" s="1868">
        <v>3.1972400000000003</v>
      </c>
      <c r="P1246" s="1868">
        <v>3.1958199999999999</v>
      </c>
      <c r="Q1246" s="1868">
        <v>3.2792400000000002</v>
      </c>
      <c r="R1246" s="1868">
        <v>3.3021400000000001</v>
      </c>
      <c r="S1246" s="1868">
        <v>3.2999099999999997</v>
      </c>
      <c r="T1246" s="1868">
        <v>3.18391</v>
      </c>
      <c r="U1246" s="1868">
        <v>3.3134000000000001</v>
      </c>
      <c r="V1246" s="1868">
        <v>3.1948300000000001</v>
      </c>
      <c r="W1246" s="1868">
        <v>3.2580200000000001</v>
      </c>
      <c r="X1246" s="1868">
        <v>3.26823</v>
      </c>
      <c r="Y1246" s="1868">
        <v>3.30071</v>
      </c>
      <c r="Z1246" s="1868">
        <v>3.3170900000000003</v>
      </c>
      <c r="AA1246" s="1868">
        <v>3.21339</v>
      </c>
      <c r="AB1246" s="1868">
        <v>3.2380599999999999</v>
      </c>
      <c r="AC1246" s="1868">
        <v>3.3523000000000001</v>
      </c>
      <c r="AD1246" s="1868">
        <v>3.3409300000000002</v>
      </c>
      <c r="AE1246" s="1868">
        <v>3.3039999999999998</v>
      </c>
      <c r="AF1246" s="1868">
        <v>3.3458900000000003</v>
      </c>
      <c r="AG1246" s="1868">
        <v>3.39194</v>
      </c>
      <c r="AH1246" s="1868">
        <v>3.3261800000000004</v>
      </c>
      <c r="AI1246" s="1868">
        <v>3.3065000000000002</v>
      </c>
      <c r="AJ1246" s="1868">
        <v>3.3136900000000002</v>
      </c>
      <c r="AK1246" s="1868">
        <v>3.2932099999999997</v>
      </c>
      <c r="AL1246" s="1868">
        <v>3.26858</v>
      </c>
      <c r="AM1246" s="1868">
        <v>3.3186400000000003</v>
      </c>
      <c r="AN1246" s="1868">
        <v>3.1455900000000003</v>
      </c>
      <c r="AO1246" s="1868">
        <v>3.2154500000000001</v>
      </c>
      <c r="AP1246" s="1868">
        <v>3.2400500000000001</v>
      </c>
      <c r="AQ1246" s="1868">
        <v>3.1870700000000003</v>
      </c>
      <c r="AR1246" s="1868">
        <v>3.13415</v>
      </c>
      <c r="AS1246" s="1868">
        <v>3.1658300000000001</v>
      </c>
      <c r="AT1246" s="1868">
        <v>3.1598099999999998</v>
      </c>
      <c r="AU1246" s="1868">
        <v>3.23129</v>
      </c>
      <c r="AV1246" s="1868">
        <v>3.1571599999999997</v>
      </c>
      <c r="AW1246" s="1868">
        <v>3.3400400000000001</v>
      </c>
      <c r="AX1246" s="1868">
        <v>3.27488</v>
      </c>
      <c r="AY1246" s="1868">
        <v>3.2637800000000001</v>
      </c>
      <c r="AZ1246" s="1868">
        <v>3.3756499999999998</v>
      </c>
      <c r="BA1246" s="1868">
        <v>3.2877400000000003</v>
      </c>
    </row>
    <row r="1247" spans="1:53">
      <c r="A1247" s="1865" t="str">
        <f t="shared" si="19"/>
        <v>Western AfricaOnions, dry</v>
      </c>
      <c r="B1247" s="1866" t="s">
        <v>1424</v>
      </c>
      <c r="C1247" s="1866" t="s">
        <v>1388</v>
      </c>
      <c r="D1247" s="1868">
        <v>14.549339999999999</v>
      </c>
      <c r="E1247" s="1868">
        <v>14.410679999999999</v>
      </c>
      <c r="F1247" s="1868">
        <v>14.34646</v>
      </c>
      <c r="G1247" s="1868">
        <v>14.313989999999999</v>
      </c>
      <c r="H1247" s="1868">
        <v>14.618429999999998</v>
      </c>
      <c r="I1247" s="1868">
        <v>14.47199</v>
      </c>
      <c r="J1247" s="1868">
        <v>14.582179999999999</v>
      </c>
      <c r="K1247" s="1868">
        <v>14.4733</v>
      </c>
      <c r="L1247" s="1868">
        <v>14.144120000000001</v>
      </c>
      <c r="M1247" s="1868">
        <v>14.133239999999999</v>
      </c>
      <c r="N1247" s="1868">
        <v>13.607470000000001</v>
      </c>
      <c r="O1247" s="1868">
        <v>13.374129999999999</v>
      </c>
      <c r="P1247" s="1868">
        <v>13.56047</v>
      </c>
      <c r="Q1247" s="1868">
        <v>13.657210000000001</v>
      </c>
      <c r="R1247" s="1868">
        <v>14.37116</v>
      </c>
      <c r="S1247" s="1868">
        <v>14.548689999999999</v>
      </c>
      <c r="T1247" s="1868">
        <v>14.42985</v>
      </c>
      <c r="U1247" s="1868">
        <v>14.524649999999999</v>
      </c>
      <c r="V1247" s="1868">
        <v>15.03023</v>
      </c>
      <c r="W1247" s="1868">
        <v>15.18707</v>
      </c>
      <c r="X1247" s="1868">
        <v>15.22897</v>
      </c>
      <c r="Y1247" s="1868">
        <v>14.924300000000001</v>
      </c>
      <c r="Z1247" s="1868">
        <v>15.005139999999999</v>
      </c>
      <c r="AA1247" s="1868">
        <v>14.36403</v>
      </c>
      <c r="AB1247" s="1868">
        <v>14.13734</v>
      </c>
      <c r="AC1247" s="1868">
        <v>15.001629999999999</v>
      </c>
      <c r="AD1247" s="1868">
        <v>15.04654</v>
      </c>
      <c r="AE1247" s="1868">
        <v>15.10286</v>
      </c>
      <c r="AF1247" s="1868">
        <v>15.492050000000001</v>
      </c>
      <c r="AG1247" s="1868">
        <v>17.164920000000002</v>
      </c>
      <c r="AH1247" s="1868">
        <v>15.492679999999998</v>
      </c>
      <c r="AI1247" s="1868">
        <v>16.373760000000001</v>
      </c>
      <c r="AJ1247" s="1868">
        <v>17.571270000000002</v>
      </c>
      <c r="AK1247" s="1868">
        <v>16.375389999999999</v>
      </c>
      <c r="AL1247" s="1868">
        <v>13.70449</v>
      </c>
      <c r="AM1247" s="1868">
        <v>15.425239999999999</v>
      </c>
      <c r="AN1247" s="1868">
        <v>14.588770000000002</v>
      </c>
      <c r="AO1247" s="1868">
        <v>14.931029999999998</v>
      </c>
      <c r="AP1247" s="1868">
        <v>14.376810000000001</v>
      </c>
      <c r="AQ1247" s="1868">
        <v>15.735729999999998</v>
      </c>
      <c r="AR1247" s="1868">
        <v>17.685359999999999</v>
      </c>
      <c r="AS1247" s="1868">
        <v>16.19257</v>
      </c>
      <c r="AT1247" s="1868">
        <v>17.578440000000001</v>
      </c>
      <c r="AU1247" s="1868">
        <v>24.023569999999999</v>
      </c>
      <c r="AV1247" s="1868">
        <v>17.391479999999998</v>
      </c>
      <c r="AW1247" s="1868">
        <v>16.59628</v>
      </c>
      <c r="AX1247" s="1868">
        <v>17.206310000000002</v>
      </c>
      <c r="AY1247" s="1868">
        <v>17.15164</v>
      </c>
      <c r="AZ1247" s="1868">
        <v>16.913930000000001</v>
      </c>
      <c r="BA1247" s="1868">
        <v>16.475529999999999</v>
      </c>
    </row>
    <row r="1248" spans="1:53">
      <c r="A1248" s="1865" t="str">
        <f t="shared" si="19"/>
        <v>Western AfricaOranges</v>
      </c>
      <c r="B1248" s="1866" t="s">
        <v>1424</v>
      </c>
      <c r="C1248" s="1866" t="s">
        <v>1389</v>
      </c>
      <c r="D1248" s="1868">
        <v>4.5558500000000004</v>
      </c>
      <c r="E1248" s="1868">
        <v>5.0731699999999993</v>
      </c>
      <c r="F1248" s="1868">
        <v>4.9187000000000003</v>
      </c>
      <c r="G1248" s="1868">
        <v>4.9187000000000003</v>
      </c>
      <c r="H1248" s="1868">
        <v>4.6959</v>
      </c>
      <c r="I1248" s="1868">
        <v>5.01952</v>
      </c>
      <c r="J1248" s="1868">
        <v>5.22872</v>
      </c>
      <c r="K1248" s="1868">
        <v>5.2907099999999998</v>
      </c>
      <c r="L1248" s="1868">
        <v>5.4001099999999997</v>
      </c>
      <c r="M1248" s="1868">
        <v>6.0139899999999997</v>
      </c>
      <c r="N1248" s="1868">
        <v>6.0217599999999996</v>
      </c>
      <c r="O1248" s="1868">
        <v>5.6393800000000001</v>
      </c>
      <c r="P1248" s="1868">
        <v>5.9545599999999999</v>
      </c>
      <c r="Q1248" s="1868">
        <v>6.0099</v>
      </c>
      <c r="R1248" s="1868">
        <v>6.0166199999999996</v>
      </c>
      <c r="S1248" s="1868">
        <v>5.6651400000000001</v>
      </c>
      <c r="T1248" s="1868">
        <v>5.3581799999999999</v>
      </c>
      <c r="U1248" s="1868">
        <v>5.4787400000000002</v>
      </c>
      <c r="V1248" s="1868">
        <v>5.3147699999999993</v>
      </c>
      <c r="W1248" s="1868">
        <v>5.9004000000000003</v>
      </c>
      <c r="X1248" s="1868">
        <v>5.4672099999999997</v>
      </c>
      <c r="Y1248" s="1868">
        <v>5.2471500000000004</v>
      </c>
      <c r="Z1248" s="1868">
        <v>6.7709600000000005</v>
      </c>
      <c r="AA1248" s="1868">
        <v>6.0834400000000004</v>
      </c>
      <c r="AB1248" s="1868">
        <v>5.5036800000000001</v>
      </c>
      <c r="AC1248" s="1868">
        <v>5.2257699999999998</v>
      </c>
      <c r="AD1248" s="1868">
        <v>5.1184099999999999</v>
      </c>
      <c r="AE1248" s="1868">
        <v>5.1841400000000002</v>
      </c>
      <c r="AF1248" s="1868">
        <v>5.3212800000000007</v>
      </c>
      <c r="AG1248" s="1868">
        <v>4.7871300000000003</v>
      </c>
      <c r="AH1248" s="1868">
        <v>5.3093399999999997</v>
      </c>
      <c r="AI1248" s="1868">
        <v>5.47722</v>
      </c>
      <c r="AJ1248" s="1868">
        <v>5.4566400000000002</v>
      </c>
      <c r="AK1248" s="1868">
        <v>5.3788499999999999</v>
      </c>
      <c r="AL1248" s="1868">
        <v>5.8021900000000004</v>
      </c>
      <c r="AM1248" s="1868">
        <v>6.1194600000000001</v>
      </c>
      <c r="AN1248" s="1868">
        <v>6.2058900000000001</v>
      </c>
      <c r="AO1248" s="1868">
        <v>6.0577300000000003</v>
      </c>
      <c r="AP1248" s="1868">
        <v>6.0322699999999996</v>
      </c>
      <c r="AQ1248" s="1868">
        <v>6.0783100000000001</v>
      </c>
      <c r="AR1248" s="1868">
        <v>5.9742899999999999</v>
      </c>
      <c r="AS1248" s="1868">
        <v>6.1946900000000005</v>
      </c>
      <c r="AT1248" s="1868">
        <v>6.3769200000000001</v>
      </c>
      <c r="AU1248" s="1868">
        <v>6.7087199999999996</v>
      </c>
      <c r="AV1248" s="1868">
        <v>7.01675</v>
      </c>
      <c r="AW1248" s="1868">
        <v>7.2023299999999999</v>
      </c>
      <c r="AX1248" s="1868">
        <v>7.2552199999999996</v>
      </c>
      <c r="AY1248" s="1868">
        <v>7.8238199999999996</v>
      </c>
      <c r="AZ1248" s="1868">
        <v>7.7416</v>
      </c>
      <c r="BA1248" s="1868">
        <v>7.5894399999999997</v>
      </c>
    </row>
    <row r="1249" spans="1:53">
      <c r="A1249" s="1865" t="str">
        <f t="shared" si="19"/>
        <v>Western AfricaPeas, dry</v>
      </c>
      <c r="B1249" s="1866" t="s">
        <v>1424</v>
      </c>
      <c r="C1249" s="1866" t="s">
        <v>1391</v>
      </c>
      <c r="D1249" s="1868">
        <v>0.52083000000000002</v>
      </c>
      <c r="E1249" s="1868">
        <v>0.53332999999999997</v>
      </c>
      <c r="F1249" s="1868">
        <v>0.56667000000000001</v>
      </c>
      <c r="G1249" s="1868">
        <v>0.5625</v>
      </c>
      <c r="H1249" s="1868">
        <v>0.625</v>
      </c>
      <c r="I1249" s="1868">
        <v>0.53332999999999997</v>
      </c>
      <c r="J1249" s="1868">
        <v>0.5</v>
      </c>
      <c r="K1249" s="1868">
        <v>0.53332999999999997</v>
      </c>
      <c r="L1249" s="1868">
        <v>0.5</v>
      </c>
      <c r="M1249" s="1868">
        <v>0.53332999999999997</v>
      </c>
      <c r="N1249" s="1868">
        <v>0.5</v>
      </c>
      <c r="O1249" s="1868">
        <v>0.5</v>
      </c>
      <c r="P1249" s="1868">
        <v>0.5</v>
      </c>
      <c r="Q1249" s="1868">
        <v>0.54546000000000006</v>
      </c>
      <c r="R1249" s="1868">
        <v>0.54546000000000006</v>
      </c>
      <c r="S1249" s="1868">
        <v>0.54546000000000006</v>
      </c>
      <c r="T1249" s="1868">
        <v>0.58823999999999999</v>
      </c>
      <c r="U1249" s="1868">
        <v>0.61765000000000003</v>
      </c>
      <c r="V1249" s="1868">
        <v>0.62856999999999996</v>
      </c>
      <c r="W1249" s="1868">
        <v>0.63276999999999994</v>
      </c>
      <c r="X1249" s="1868">
        <v>0.63888999999999996</v>
      </c>
      <c r="Y1249" s="1868">
        <v>0.68420999999999998</v>
      </c>
      <c r="Z1249" s="1868">
        <v>0.70768999999999993</v>
      </c>
      <c r="AA1249" s="1868">
        <v>0.65790000000000004</v>
      </c>
      <c r="AB1249" s="1868">
        <v>0.72499999999999998</v>
      </c>
      <c r="AC1249" s="1868">
        <v>0.75</v>
      </c>
      <c r="AD1249" s="1868">
        <v>0.76</v>
      </c>
      <c r="AE1249" s="1868">
        <v>0.76097999999999999</v>
      </c>
      <c r="AF1249" s="1868">
        <v>0.76191000000000009</v>
      </c>
      <c r="AG1249" s="1868">
        <v>1.2619100000000001</v>
      </c>
      <c r="AH1249" s="1868">
        <v>0.51508999999999994</v>
      </c>
      <c r="AI1249" s="1868">
        <v>0.44081999999999999</v>
      </c>
      <c r="AJ1249" s="1868">
        <v>0.44213000000000002</v>
      </c>
      <c r="AK1249" s="1868">
        <v>0.40678000000000003</v>
      </c>
      <c r="AL1249" s="1868">
        <v>0.35086999999999996</v>
      </c>
      <c r="AM1249" s="1868">
        <v>0.38329000000000002</v>
      </c>
      <c r="AN1249" s="1868">
        <v>0.37259000000000003</v>
      </c>
      <c r="AO1249" s="1868">
        <v>0.37719000000000003</v>
      </c>
      <c r="AP1249" s="1868">
        <v>0.35599000000000003</v>
      </c>
      <c r="AQ1249" s="1868">
        <v>0.35602</v>
      </c>
      <c r="AR1249" s="1868">
        <v>0.35663</v>
      </c>
      <c r="AS1249" s="1868">
        <v>0.35875999999999997</v>
      </c>
      <c r="AT1249" s="1868">
        <v>0.35697000000000001</v>
      </c>
      <c r="AU1249" s="1868">
        <v>0.29838999999999999</v>
      </c>
      <c r="AV1249" s="1868">
        <v>0.31480000000000002</v>
      </c>
      <c r="AW1249" s="1868">
        <v>0.29891999999999996</v>
      </c>
      <c r="AX1249" s="1868">
        <v>0.31640999999999997</v>
      </c>
      <c r="AY1249" s="1868">
        <v>0.32649</v>
      </c>
      <c r="AZ1249" s="1868">
        <v>0.56125999999999998</v>
      </c>
      <c r="BA1249" s="1868">
        <v>0.39030999999999999</v>
      </c>
    </row>
    <row r="1250" spans="1:53">
      <c r="A1250" s="1865" t="str">
        <f t="shared" si="19"/>
        <v>Western AfricaPeas, green</v>
      </c>
      <c r="B1250" s="1866" t="s">
        <v>1424</v>
      </c>
      <c r="C1250" s="1866" t="s">
        <v>1392</v>
      </c>
      <c r="AG1250" s="1868">
        <v>2.5</v>
      </c>
      <c r="AH1250" s="1868">
        <v>1.8421099999999999</v>
      </c>
      <c r="AI1250" s="1868">
        <v>1.68</v>
      </c>
      <c r="AJ1250" s="1868">
        <v>2.1428599999999998</v>
      </c>
      <c r="AK1250" s="1868">
        <v>2.2727300000000001</v>
      </c>
      <c r="AL1250" s="1868">
        <v>1.39286</v>
      </c>
      <c r="AM1250" s="1868">
        <v>1.7407400000000002</v>
      </c>
      <c r="AN1250" s="1868">
        <v>1.64</v>
      </c>
      <c r="AO1250" s="1868">
        <v>1.56667</v>
      </c>
      <c r="AP1250" s="1868">
        <v>1.8260900000000002</v>
      </c>
      <c r="AQ1250" s="1868">
        <v>2.5</v>
      </c>
      <c r="AR1250" s="1868">
        <v>3.2142900000000001</v>
      </c>
      <c r="AS1250" s="1868">
        <v>3.0625</v>
      </c>
      <c r="AT1250" s="1868">
        <v>2.88889</v>
      </c>
      <c r="AU1250" s="1868">
        <v>2.5</v>
      </c>
      <c r="AV1250" s="1868">
        <v>2.55172</v>
      </c>
      <c r="AW1250" s="1868">
        <v>3.12</v>
      </c>
      <c r="AX1250" s="1868">
        <v>2.6071400000000002</v>
      </c>
      <c r="AY1250" s="1868">
        <v>3.30769</v>
      </c>
      <c r="AZ1250" s="1868">
        <v>2.9565200000000003</v>
      </c>
      <c r="BA1250" s="1868">
        <v>3.2</v>
      </c>
    </row>
    <row r="1251" spans="1:53">
      <c r="A1251" s="1865" t="str">
        <f t="shared" si="19"/>
        <v>Western AfricaPineapples</v>
      </c>
      <c r="B1251" s="1866" t="s">
        <v>1424</v>
      </c>
      <c r="C1251" s="1866" t="s">
        <v>1351</v>
      </c>
      <c r="D1251" s="1868">
        <v>5.7534300000000007</v>
      </c>
      <c r="E1251" s="1868">
        <v>5.8244600000000002</v>
      </c>
      <c r="F1251" s="1868">
        <v>5.8737699999999995</v>
      </c>
      <c r="G1251" s="1868">
        <v>5.9532499999999997</v>
      </c>
      <c r="H1251" s="1868">
        <v>6.0512899999999998</v>
      </c>
      <c r="I1251" s="1868">
        <v>6.2873599999999996</v>
      </c>
      <c r="J1251" s="1868">
        <v>6.3509799999999998</v>
      </c>
      <c r="K1251" s="1868">
        <v>6.3060300000000007</v>
      </c>
      <c r="L1251" s="1868">
        <v>6.2359800000000005</v>
      </c>
      <c r="M1251" s="1868">
        <v>6.6954100000000007</v>
      </c>
      <c r="N1251" s="1868">
        <v>6.9645199999999994</v>
      </c>
      <c r="O1251" s="1868">
        <v>7.115660000000001</v>
      </c>
      <c r="P1251" s="1868">
        <v>7.287939999999999</v>
      </c>
      <c r="Q1251" s="1868">
        <v>7.2729800000000004</v>
      </c>
      <c r="R1251" s="1868">
        <v>7.5478600000000009</v>
      </c>
      <c r="S1251" s="1868">
        <v>7.9957399999999996</v>
      </c>
      <c r="T1251" s="1868">
        <v>7.6707700000000001</v>
      </c>
      <c r="U1251" s="1868">
        <v>8.2692499999999995</v>
      </c>
      <c r="V1251" s="1868">
        <v>7.7844199999999999</v>
      </c>
      <c r="W1251" s="1868">
        <v>7.7568899999999994</v>
      </c>
      <c r="X1251" s="1868">
        <v>7.7934399999999995</v>
      </c>
      <c r="Y1251" s="1868">
        <v>7.2314100000000003</v>
      </c>
      <c r="Z1251" s="1868">
        <v>7.8033600000000005</v>
      </c>
      <c r="AA1251" s="1868">
        <v>8.1744800000000009</v>
      </c>
      <c r="AB1251" s="1868">
        <v>8.7356699999999989</v>
      </c>
      <c r="AC1251" s="1868">
        <v>8.62608</v>
      </c>
      <c r="AD1251" s="1868">
        <v>8.3140199999999993</v>
      </c>
      <c r="AE1251" s="1868">
        <v>8.1422600000000003</v>
      </c>
      <c r="AF1251" s="1868">
        <v>8.216289999999999</v>
      </c>
      <c r="AG1251" s="1868">
        <v>8.6824300000000001</v>
      </c>
      <c r="AH1251" s="1868">
        <v>8.1108799999999999</v>
      </c>
      <c r="AI1251" s="1868">
        <v>7.7518699999999994</v>
      </c>
      <c r="AJ1251" s="1868">
        <v>6.6091499999999996</v>
      </c>
      <c r="AK1251" s="1868">
        <v>6.3432000000000004</v>
      </c>
      <c r="AL1251" s="1868">
        <v>6.2779800000000003</v>
      </c>
      <c r="AM1251" s="1868">
        <v>6.59605</v>
      </c>
      <c r="AN1251" s="1868">
        <v>8.99465</v>
      </c>
      <c r="AO1251" s="1868">
        <v>8.392710000000001</v>
      </c>
      <c r="AP1251" s="1868">
        <v>8.2227399999999999</v>
      </c>
      <c r="AQ1251" s="1868">
        <v>6.4132600000000002</v>
      </c>
      <c r="AR1251" s="1868">
        <v>7.0294999999999996</v>
      </c>
      <c r="AS1251" s="1868">
        <v>8.4958600000000004</v>
      </c>
      <c r="AT1251" s="1868">
        <v>8.8628300000000007</v>
      </c>
      <c r="AU1251" s="1868">
        <v>9.10623</v>
      </c>
      <c r="AV1251" s="1868">
        <v>8.55246</v>
      </c>
      <c r="AW1251" s="1868">
        <v>8.2375899999999991</v>
      </c>
      <c r="AX1251" s="1868">
        <v>8.3997899999999994</v>
      </c>
      <c r="AY1251" s="1868">
        <v>7.6044899999999993</v>
      </c>
      <c r="AZ1251" s="1868">
        <v>6.7527200000000001</v>
      </c>
      <c r="BA1251" s="1868">
        <v>7.4264000000000001</v>
      </c>
    </row>
    <row r="1252" spans="1:53">
      <c r="A1252" s="1865" t="str">
        <f t="shared" si="19"/>
        <v>Western AfricaPlantains</v>
      </c>
      <c r="B1252" s="1866" t="s">
        <v>1424</v>
      </c>
      <c r="C1252" s="1866" t="s">
        <v>1393</v>
      </c>
      <c r="D1252" s="1868">
        <v>3.1273400000000002</v>
      </c>
      <c r="E1252" s="1868">
        <v>3.0986700000000003</v>
      </c>
      <c r="F1252" s="1868">
        <v>3.15544</v>
      </c>
      <c r="G1252" s="1868">
        <v>3.1426500000000002</v>
      </c>
      <c r="H1252" s="1868">
        <v>3.17761</v>
      </c>
      <c r="I1252" s="1868">
        <v>3.2117400000000003</v>
      </c>
      <c r="J1252" s="1868">
        <v>3.2848199999999999</v>
      </c>
      <c r="K1252" s="1868">
        <v>3.3174399999999999</v>
      </c>
      <c r="L1252" s="1868">
        <v>3.3762400000000001</v>
      </c>
      <c r="M1252" s="1868">
        <v>3.4606599999999998</v>
      </c>
      <c r="N1252" s="1868">
        <v>3.4987699999999995</v>
      </c>
      <c r="O1252" s="1868">
        <v>3.4611300000000003</v>
      </c>
      <c r="P1252" s="1868">
        <v>3.5203699999999998</v>
      </c>
      <c r="Q1252" s="1868">
        <v>3.5057099999999997</v>
      </c>
      <c r="R1252" s="1868">
        <v>3.8965099999999997</v>
      </c>
      <c r="S1252" s="1868">
        <v>3.9519800000000003</v>
      </c>
      <c r="T1252" s="1868">
        <v>3.7051800000000004</v>
      </c>
      <c r="U1252" s="1868">
        <v>3.78566</v>
      </c>
      <c r="V1252" s="1868">
        <v>4.2215400000000001</v>
      </c>
      <c r="W1252" s="1868">
        <v>4.4051999999999998</v>
      </c>
      <c r="X1252" s="1868">
        <v>4.5021599999999999</v>
      </c>
      <c r="Y1252" s="1868">
        <v>4.3269900000000003</v>
      </c>
      <c r="Z1252" s="1868">
        <v>4.3886099999999999</v>
      </c>
      <c r="AA1252" s="1868">
        <v>4.5760800000000001</v>
      </c>
      <c r="AB1252" s="1868">
        <v>4.5545800000000005</v>
      </c>
      <c r="AC1252" s="1868">
        <v>4.6837800000000005</v>
      </c>
      <c r="AD1252" s="1868">
        <v>4.8780700000000001</v>
      </c>
      <c r="AE1252" s="1868">
        <v>4.7264300000000006</v>
      </c>
      <c r="AF1252" s="1868">
        <v>4.9581</v>
      </c>
      <c r="AG1252" s="1868">
        <v>4.8844199999999995</v>
      </c>
      <c r="AH1252" s="1868">
        <v>5.1459000000000001</v>
      </c>
      <c r="AI1252" s="1868">
        <v>5.1584099999999999</v>
      </c>
      <c r="AJ1252" s="1868">
        <v>5.4397099999999998</v>
      </c>
      <c r="AK1252" s="1868">
        <v>5.5181500000000003</v>
      </c>
      <c r="AL1252" s="1868">
        <v>5.4085599999999996</v>
      </c>
      <c r="AM1252" s="1868">
        <v>5.3751899999999999</v>
      </c>
      <c r="AN1252" s="1868">
        <v>5.7333400000000001</v>
      </c>
      <c r="AO1252" s="1868">
        <v>5.59206</v>
      </c>
      <c r="AP1252" s="1868">
        <v>5.0014900000000004</v>
      </c>
      <c r="AQ1252" s="1868">
        <v>5.0002500000000003</v>
      </c>
      <c r="AR1252" s="1868">
        <v>4.9745300000000006</v>
      </c>
      <c r="AS1252" s="1868">
        <v>5.1434600000000001</v>
      </c>
      <c r="AT1252" s="1868">
        <v>5.2301000000000002</v>
      </c>
      <c r="AU1252" s="1868">
        <v>5.4746800000000002</v>
      </c>
      <c r="AV1252" s="1868">
        <v>5.9858799999999999</v>
      </c>
      <c r="AW1252" s="1868">
        <v>6.16967</v>
      </c>
      <c r="AX1252" s="1868">
        <v>6.47994</v>
      </c>
      <c r="AY1252" s="1868">
        <v>6.4743300000000001</v>
      </c>
      <c r="AZ1252" s="1868">
        <v>6.43973</v>
      </c>
      <c r="BA1252" s="1868">
        <v>6.3107499999999996</v>
      </c>
    </row>
    <row r="1253" spans="1:53">
      <c r="A1253" s="1865" t="str">
        <f t="shared" si="19"/>
        <v>Western AfricaPotatoes</v>
      </c>
      <c r="B1253" s="1866" t="s">
        <v>1424</v>
      </c>
      <c r="C1253" s="1866" t="s">
        <v>1394</v>
      </c>
      <c r="D1253" s="1868">
        <v>9.1726600000000005</v>
      </c>
      <c r="E1253" s="1868">
        <v>9.8207899999999988</v>
      </c>
      <c r="F1253" s="1868">
        <v>10.33445</v>
      </c>
      <c r="G1253" s="1868">
        <v>10.33333</v>
      </c>
      <c r="H1253" s="1868">
        <v>10.76667</v>
      </c>
      <c r="I1253" s="1868">
        <v>10.877189999999999</v>
      </c>
      <c r="J1253" s="1868">
        <v>10.219439999999999</v>
      </c>
      <c r="K1253" s="1868">
        <v>10.625</v>
      </c>
      <c r="L1253" s="1868">
        <v>11.644299999999999</v>
      </c>
      <c r="M1253" s="1868">
        <v>11.336960000000001</v>
      </c>
      <c r="N1253" s="1868">
        <v>10.132669999999999</v>
      </c>
      <c r="O1253" s="1868">
        <v>8.8587000000000007</v>
      </c>
      <c r="P1253" s="1868">
        <v>8.26816</v>
      </c>
      <c r="Q1253" s="1868">
        <v>7.6605499999999997</v>
      </c>
      <c r="R1253" s="1868">
        <v>7.3498999999999999</v>
      </c>
      <c r="S1253" s="1868">
        <v>7.3078399999999997</v>
      </c>
      <c r="T1253" s="1868">
        <v>7.2897399999999992</v>
      </c>
      <c r="U1253" s="1868">
        <v>8.1152899999999999</v>
      </c>
      <c r="V1253" s="1868">
        <v>8.1204900000000002</v>
      </c>
      <c r="W1253" s="1868">
        <v>8.0715399999999988</v>
      </c>
      <c r="X1253" s="1868">
        <v>7.9028700000000001</v>
      </c>
      <c r="Y1253" s="1868">
        <v>7.65428</v>
      </c>
      <c r="Z1253" s="1868">
        <v>7.0830600000000006</v>
      </c>
      <c r="AA1253" s="1868">
        <v>6.8816399999999991</v>
      </c>
      <c r="AB1253" s="1868">
        <v>6.9509999999999996</v>
      </c>
      <c r="AC1253" s="1868">
        <v>6.8425000000000002</v>
      </c>
      <c r="AD1253" s="1868">
        <v>7.2702899999999993</v>
      </c>
      <c r="AE1253" s="1868">
        <v>7.2979799999999999</v>
      </c>
      <c r="AF1253" s="1868">
        <v>7.0458899999999991</v>
      </c>
      <c r="AG1253" s="1868">
        <v>9.0205500000000001</v>
      </c>
      <c r="AH1253" s="1868">
        <v>9.05504</v>
      </c>
      <c r="AI1253" s="1868">
        <v>8.11693</v>
      </c>
      <c r="AJ1253" s="1868">
        <v>9.0983000000000001</v>
      </c>
      <c r="AK1253" s="1868">
        <v>8.1232399999999991</v>
      </c>
      <c r="AL1253" s="1868">
        <v>8.359589999999999</v>
      </c>
      <c r="AM1253" s="1868">
        <v>6.7596899999999991</v>
      </c>
      <c r="AN1253" s="1868">
        <v>6.8457100000000004</v>
      </c>
      <c r="AO1253" s="1868">
        <v>6.6239399999999993</v>
      </c>
      <c r="AP1253" s="1868">
        <v>3.0746099999999998</v>
      </c>
      <c r="AQ1253" s="1868">
        <v>3.1291799999999999</v>
      </c>
      <c r="AR1253" s="1868">
        <v>3.1334299999999997</v>
      </c>
      <c r="AS1253" s="1868">
        <v>3.2027700000000001</v>
      </c>
      <c r="AT1253" s="1868">
        <v>3.2723499999999999</v>
      </c>
      <c r="AU1253" s="1868">
        <v>3.2264200000000001</v>
      </c>
      <c r="AV1253" s="1868">
        <v>3.3133499999999998</v>
      </c>
      <c r="AW1253" s="1868">
        <v>3.6269800000000001</v>
      </c>
      <c r="AX1253" s="1868">
        <v>2.9827400000000002</v>
      </c>
      <c r="AY1253" s="1868">
        <v>4.3408699999999998</v>
      </c>
      <c r="AZ1253" s="1868">
        <v>4.2509199999999998</v>
      </c>
      <c r="BA1253" s="1868">
        <v>4.2967399999999998</v>
      </c>
    </row>
    <row r="1254" spans="1:53">
      <c r="A1254" s="1865" t="str">
        <f t="shared" si="19"/>
        <v>Western AfricaPulses, nes</v>
      </c>
      <c r="B1254" s="1866" t="s">
        <v>1424</v>
      </c>
      <c r="C1254" s="1866" t="s">
        <v>1395</v>
      </c>
      <c r="D1254" s="1868">
        <v>0.44424999999999998</v>
      </c>
      <c r="E1254" s="1868">
        <v>0.46237</v>
      </c>
      <c r="F1254" s="1868">
        <v>0.44041999999999998</v>
      </c>
      <c r="G1254" s="1868">
        <v>0.46521999999999997</v>
      </c>
      <c r="H1254" s="1868">
        <v>0.45833000000000002</v>
      </c>
      <c r="I1254" s="1868">
        <v>0.44111999999999996</v>
      </c>
      <c r="J1254" s="1868">
        <v>0.47001999999999999</v>
      </c>
      <c r="K1254" s="1868">
        <v>0.42530000000000001</v>
      </c>
      <c r="L1254" s="1868">
        <v>0.44303999999999999</v>
      </c>
      <c r="M1254" s="1868">
        <v>0.39024999999999999</v>
      </c>
      <c r="N1254" s="1868">
        <v>0.40292</v>
      </c>
      <c r="O1254" s="1868">
        <v>0.40316999999999997</v>
      </c>
      <c r="P1254" s="1868">
        <v>0.44248000000000004</v>
      </c>
      <c r="Q1254" s="1868">
        <v>0.39095999999999997</v>
      </c>
      <c r="R1254" s="1868">
        <v>0.40031</v>
      </c>
      <c r="S1254" s="1868">
        <v>0.39543</v>
      </c>
      <c r="T1254" s="1868">
        <v>0.38624000000000003</v>
      </c>
      <c r="U1254" s="1868">
        <v>0.41636999999999996</v>
      </c>
      <c r="V1254" s="1868">
        <v>0.42835000000000001</v>
      </c>
      <c r="W1254" s="1868">
        <v>0.44446000000000002</v>
      </c>
      <c r="X1254" s="1868">
        <v>0.39418999999999998</v>
      </c>
      <c r="Y1254" s="1868">
        <v>0.39019999999999999</v>
      </c>
      <c r="Z1254" s="1868">
        <v>0.38750000000000001</v>
      </c>
      <c r="AA1254" s="1868">
        <v>0.40215000000000001</v>
      </c>
      <c r="AB1254" s="1868">
        <v>0.42953999999999998</v>
      </c>
      <c r="AC1254" s="1868">
        <v>0.38200000000000001</v>
      </c>
      <c r="AD1254" s="1868">
        <v>0.40515999999999996</v>
      </c>
      <c r="AE1254" s="1868">
        <v>0.44288</v>
      </c>
      <c r="AF1254" s="1868">
        <v>0.42107</v>
      </c>
      <c r="AG1254" s="1868">
        <v>0.40598000000000001</v>
      </c>
      <c r="AH1254" s="1868">
        <v>0.39638000000000001</v>
      </c>
      <c r="AI1254" s="1868">
        <v>0.38440000000000002</v>
      </c>
      <c r="AJ1254" s="1868">
        <v>0.38116</v>
      </c>
      <c r="AK1254" s="1868">
        <v>0.35865000000000002</v>
      </c>
      <c r="AL1254" s="1868">
        <v>0.36624000000000001</v>
      </c>
      <c r="AM1254" s="1868">
        <v>0.39598</v>
      </c>
      <c r="AN1254" s="1868">
        <v>0.36801999999999996</v>
      </c>
      <c r="AO1254" s="1868">
        <v>0.44691999999999998</v>
      </c>
      <c r="AP1254" s="1868">
        <v>0.46124999999999999</v>
      </c>
      <c r="AQ1254" s="1868">
        <v>0.45095000000000002</v>
      </c>
      <c r="AR1254" s="1868">
        <v>0.47148000000000001</v>
      </c>
      <c r="AS1254" s="1868">
        <v>0.45834999999999998</v>
      </c>
      <c r="AT1254" s="1868">
        <v>0.43613000000000002</v>
      </c>
      <c r="AU1254" s="1868">
        <v>0.54053999999999991</v>
      </c>
      <c r="AV1254" s="1868">
        <v>0.45206999999999997</v>
      </c>
      <c r="AW1254" s="1868">
        <v>0.39200999999999997</v>
      </c>
      <c r="AX1254" s="1868">
        <v>0.44635000000000002</v>
      </c>
      <c r="AY1254" s="1868">
        <v>0.44068000000000002</v>
      </c>
      <c r="AZ1254" s="1868">
        <v>0.60919000000000001</v>
      </c>
      <c r="BA1254" s="1868">
        <v>0.49773999999999996</v>
      </c>
    </row>
    <row r="1255" spans="1:53">
      <c r="A1255" s="1865" t="str">
        <f t="shared" si="19"/>
        <v>Western AfricaRice, paddy</v>
      </c>
      <c r="B1255" s="1866" t="s">
        <v>1424</v>
      </c>
      <c r="C1255" s="1866" t="s">
        <v>1396</v>
      </c>
      <c r="D1255" s="1868">
        <v>0.9341799999999999</v>
      </c>
      <c r="E1255" s="1868">
        <v>1.0229200000000001</v>
      </c>
      <c r="F1255" s="1868">
        <v>1.07931</v>
      </c>
      <c r="G1255" s="1868">
        <v>1.06376</v>
      </c>
      <c r="H1255" s="1868">
        <v>1.0777600000000001</v>
      </c>
      <c r="I1255" s="1868">
        <v>1.20889</v>
      </c>
      <c r="J1255" s="1868">
        <v>1.2754700000000001</v>
      </c>
      <c r="K1255" s="1868">
        <v>1.2749200000000001</v>
      </c>
      <c r="L1255" s="1868">
        <v>1.3281700000000001</v>
      </c>
      <c r="M1255" s="1868">
        <v>1.2527900000000001</v>
      </c>
      <c r="N1255" s="1868">
        <v>1.2784599999999999</v>
      </c>
      <c r="O1255" s="1868">
        <v>1.3004799999999999</v>
      </c>
      <c r="P1255" s="1868">
        <v>1.2392299999999998</v>
      </c>
      <c r="Q1255" s="1868">
        <v>1.4153799999999999</v>
      </c>
      <c r="R1255" s="1868">
        <v>1.40751</v>
      </c>
      <c r="S1255" s="1868">
        <v>1.3005200000000001</v>
      </c>
      <c r="T1255" s="1868">
        <v>1.30941</v>
      </c>
      <c r="U1255" s="1868">
        <v>1.3873500000000001</v>
      </c>
      <c r="V1255" s="1868">
        <v>1.3403799999999999</v>
      </c>
      <c r="W1255" s="1868">
        <v>1.4156</v>
      </c>
      <c r="X1255" s="1868">
        <v>1.4845899999999999</v>
      </c>
      <c r="Y1255" s="1868">
        <v>1.4820200000000001</v>
      </c>
      <c r="Z1255" s="1868">
        <v>1.45618</v>
      </c>
      <c r="AA1255" s="1868">
        <v>1.54996</v>
      </c>
      <c r="AB1255" s="1868">
        <v>1.5887200000000001</v>
      </c>
      <c r="AC1255" s="1868">
        <v>1.57779</v>
      </c>
      <c r="AD1255" s="1868">
        <v>1.6840400000000002</v>
      </c>
      <c r="AE1255" s="1868">
        <v>1.62097</v>
      </c>
      <c r="AF1255" s="1868">
        <v>1.6839</v>
      </c>
      <c r="AG1255" s="1868">
        <v>1.6884400000000002</v>
      </c>
      <c r="AH1255" s="1868">
        <v>1.6782599999999999</v>
      </c>
      <c r="AI1255" s="1868">
        <v>1.6752200000000002</v>
      </c>
      <c r="AJ1255" s="1868">
        <v>1.7535700000000001</v>
      </c>
      <c r="AK1255" s="1868">
        <v>1.44634</v>
      </c>
      <c r="AL1255" s="1868">
        <v>1.5462799999999999</v>
      </c>
      <c r="AM1255" s="1868">
        <v>1.71112</v>
      </c>
      <c r="AN1255" s="1868">
        <v>1.59012</v>
      </c>
      <c r="AO1255" s="1868">
        <v>1.6558099999999998</v>
      </c>
      <c r="AP1255" s="1868">
        <v>1.6529400000000001</v>
      </c>
      <c r="AQ1255" s="1868">
        <v>1.6527599999999998</v>
      </c>
      <c r="AR1255" s="1868">
        <v>1.5306200000000001</v>
      </c>
      <c r="AS1255" s="1868">
        <v>1.5280799999999999</v>
      </c>
      <c r="AT1255" s="1868">
        <v>1.5941399999999999</v>
      </c>
      <c r="AU1255" s="1868">
        <v>1.5302200000000001</v>
      </c>
      <c r="AV1255" s="1868">
        <v>1.62205</v>
      </c>
      <c r="AW1255" s="1868">
        <v>1.6813499999999999</v>
      </c>
      <c r="AX1255" s="1868">
        <v>1.5965400000000001</v>
      </c>
      <c r="AY1255" s="1868">
        <v>1.9796499999999999</v>
      </c>
      <c r="AZ1255" s="1868">
        <v>1.94082</v>
      </c>
      <c r="BA1255" s="1868">
        <v>2.0869</v>
      </c>
    </row>
    <row r="1256" spans="1:53">
      <c r="A1256" s="1865" t="str">
        <f t="shared" si="19"/>
        <v>Western AfricaRoots and Tubers, nes</v>
      </c>
      <c r="B1256" s="1866" t="s">
        <v>1424</v>
      </c>
      <c r="C1256" s="1866" t="s">
        <v>1356</v>
      </c>
      <c r="D1256" s="1868">
        <v>6.1538500000000003</v>
      </c>
      <c r="E1256" s="1868">
        <v>6.1538500000000003</v>
      </c>
      <c r="F1256" s="1868">
        <v>6.1538500000000003</v>
      </c>
      <c r="G1256" s="1868">
        <v>6.1538500000000003</v>
      </c>
      <c r="H1256" s="1868">
        <v>6.1538500000000003</v>
      </c>
      <c r="I1256" s="1868">
        <v>6.1538500000000003</v>
      </c>
      <c r="J1256" s="1868">
        <v>6.1538500000000003</v>
      </c>
      <c r="K1256" s="1868">
        <v>6.4285699999999997</v>
      </c>
      <c r="L1256" s="1868">
        <v>6.1538500000000003</v>
      </c>
      <c r="M1256" s="1868">
        <v>6.1538500000000003</v>
      </c>
      <c r="N1256" s="1868">
        <v>5.8333300000000001</v>
      </c>
      <c r="O1256" s="1868">
        <v>6.1538500000000003</v>
      </c>
      <c r="P1256" s="1868">
        <v>5.8333300000000001</v>
      </c>
      <c r="Q1256" s="1868">
        <v>5.8333300000000001</v>
      </c>
      <c r="R1256" s="1868">
        <v>6</v>
      </c>
      <c r="S1256" s="1868">
        <v>6</v>
      </c>
      <c r="T1256" s="1868">
        <v>6.25</v>
      </c>
      <c r="U1256" s="1868">
        <v>6.1538500000000003</v>
      </c>
      <c r="V1256" s="1868">
        <v>6.25</v>
      </c>
      <c r="W1256" s="1868">
        <v>5.5555599999999998</v>
      </c>
      <c r="X1256" s="1868">
        <v>6.1538500000000003</v>
      </c>
      <c r="Y1256" s="1868">
        <v>6.1538500000000003</v>
      </c>
      <c r="Z1256" s="1868">
        <v>6.25</v>
      </c>
      <c r="AA1256" s="1868">
        <v>6.1538500000000003</v>
      </c>
      <c r="AB1256" s="1868">
        <v>6.9230800000000006</v>
      </c>
      <c r="AC1256" s="1868">
        <v>6.4</v>
      </c>
      <c r="AD1256" s="1868">
        <v>6.2492199999999993</v>
      </c>
      <c r="AE1256" s="1868">
        <v>6.2492199999999993</v>
      </c>
      <c r="AF1256" s="1868">
        <v>6.2188499999999998</v>
      </c>
      <c r="AG1256" s="1868">
        <v>6.1909800000000006</v>
      </c>
      <c r="AH1256" s="1868">
        <v>6.2768699999999997</v>
      </c>
      <c r="AI1256" s="1868">
        <v>6.2509600000000001</v>
      </c>
      <c r="AJ1256" s="1868">
        <v>6.2259599999999997</v>
      </c>
      <c r="AK1256" s="1868">
        <v>6.1923599999999999</v>
      </c>
      <c r="AL1256" s="1868">
        <v>6.1590199999999999</v>
      </c>
      <c r="AM1256" s="1868">
        <v>6.21509</v>
      </c>
      <c r="AN1256" s="1868">
        <v>6.2200199999999999</v>
      </c>
      <c r="AO1256" s="1868">
        <v>6.0799599999999998</v>
      </c>
      <c r="AP1256" s="1868">
        <v>5.9505400000000002</v>
      </c>
      <c r="AQ1256" s="1868">
        <v>5.99505</v>
      </c>
      <c r="AR1256" s="1868">
        <v>5.9960699999999996</v>
      </c>
      <c r="AS1256" s="1868">
        <v>6.0687899999999999</v>
      </c>
      <c r="AT1256" s="1868">
        <v>5.9302099999999998</v>
      </c>
      <c r="AU1256" s="1868">
        <v>6.1013599999999997</v>
      </c>
      <c r="AV1256" s="1868">
        <v>6.1569099999999999</v>
      </c>
      <c r="AW1256" s="1868">
        <v>6.0240499999999999</v>
      </c>
      <c r="AX1256" s="1868">
        <v>6.0201199999999995</v>
      </c>
      <c r="AY1256" s="1868">
        <v>6.4643300000000004</v>
      </c>
      <c r="AZ1256" s="1868">
        <v>6.39785</v>
      </c>
      <c r="BA1256" s="1868">
        <v>8.7069500000000009</v>
      </c>
    </row>
    <row r="1257" spans="1:53">
      <c r="A1257" s="1865" t="str">
        <f t="shared" si="19"/>
        <v>Western AfricaSeed cotton</v>
      </c>
      <c r="B1257" s="1866" t="s">
        <v>1424</v>
      </c>
      <c r="C1257" s="1866" t="s">
        <v>1397</v>
      </c>
      <c r="D1257" s="1868">
        <v>0.41323999999999994</v>
      </c>
      <c r="E1257" s="1868">
        <v>0.41494999999999999</v>
      </c>
      <c r="F1257" s="1868">
        <v>0.35239999999999999</v>
      </c>
      <c r="G1257" s="1868">
        <v>0.37891999999999998</v>
      </c>
      <c r="H1257" s="1868">
        <v>0.37048000000000003</v>
      </c>
      <c r="I1257" s="1868">
        <v>0.41192000000000001</v>
      </c>
      <c r="J1257" s="1868">
        <v>0.46353999999999995</v>
      </c>
      <c r="K1257" s="1868">
        <v>0.39363000000000004</v>
      </c>
      <c r="L1257" s="1868">
        <v>0.52201000000000009</v>
      </c>
      <c r="M1257" s="1868">
        <v>0.61465000000000003</v>
      </c>
      <c r="N1257" s="1868">
        <v>0.45213999999999999</v>
      </c>
      <c r="O1257" s="1868">
        <v>0.48373999999999995</v>
      </c>
      <c r="P1257" s="1868">
        <v>0.47256000000000004</v>
      </c>
      <c r="Q1257" s="1868">
        <v>0.39999000000000001</v>
      </c>
      <c r="R1257" s="1868">
        <v>0.52761000000000002</v>
      </c>
      <c r="S1257" s="1868">
        <v>0.55493000000000003</v>
      </c>
      <c r="T1257" s="1868">
        <v>0.51724999999999999</v>
      </c>
      <c r="U1257" s="1868">
        <v>0.46550000000000002</v>
      </c>
      <c r="V1257" s="1868">
        <v>0.56362999999999996</v>
      </c>
      <c r="W1257" s="1868">
        <v>0.53793000000000002</v>
      </c>
      <c r="X1257" s="1868">
        <v>0.57336999999999994</v>
      </c>
      <c r="Y1257" s="1868">
        <v>0.61846000000000001</v>
      </c>
      <c r="Z1257" s="1868">
        <v>0.66306999999999994</v>
      </c>
      <c r="AA1257" s="1868">
        <v>0.66010000000000002</v>
      </c>
      <c r="AB1257" s="1868">
        <v>0.91930000000000001</v>
      </c>
      <c r="AC1257" s="1868">
        <v>0.96732000000000007</v>
      </c>
      <c r="AD1257" s="1868">
        <v>0.93452999999999997</v>
      </c>
      <c r="AE1257" s="1868">
        <v>0.94642999999999988</v>
      </c>
      <c r="AF1257" s="1868">
        <v>0.96567999999999987</v>
      </c>
      <c r="AG1257" s="1868">
        <v>0.90823999999999994</v>
      </c>
      <c r="AH1257" s="1868">
        <v>0.89112999999999998</v>
      </c>
      <c r="AI1257" s="1868">
        <v>0.88657000000000008</v>
      </c>
      <c r="AJ1257" s="1868">
        <v>1.0287999999999999</v>
      </c>
      <c r="AK1257" s="1868">
        <v>0.96683999999999992</v>
      </c>
      <c r="AL1257" s="1868">
        <v>0.99026000000000003</v>
      </c>
      <c r="AM1257" s="1868">
        <v>0.97245000000000004</v>
      </c>
      <c r="AN1257" s="1868">
        <v>1.0044600000000001</v>
      </c>
      <c r="AO1257" s="1868">
        <v>0.95057000000000003</v>
      </c>
      <c r="AP1257" s="1868">
        <v>0.98383999999999994</v>
      </c>
      <c r="AQ1257" s="1868">
        <v>0.99256</v>
      </c>
      <c r="AR1257" s="1868">
        <v>1.01522</v>
      </c>
      <c r="AS1257" s="1868">
        <v>1.0215000000000001</v>
      </c>
      <c r="AT1257" s="1868">
        <v>1.05925</v>
      </c>
      <c r="AU1257" s="1868">
        <v>0.93484999999999996</v>
      </c>
      <c r="AV1257" s="1868">
        <v>0.98033999999999999</v>
      </c>
      <c r="AW1257" s="1868">
        <v>1.0034799999999999</v>
      </c>
      <c r="AX1257" s="1868">
        <v>0.98619000000000001</v>
      </c>
      <c r="AY1257" s="1868">
        <v>1.16143</v>
      </c>
      <c r="AZ1257" s="1868">
        <v>1.2177200000000001</v>
      </c>
      <c r="BA1257" s="1868">
        <v>1.12226</v>
      </c>
    </row>
    <row r="1258" spans="1:53">
      <c r="A1258" s="1865" t="str">
        <f t="shared" si="19"/>
        <v>Western AfricaSesame seed</v>
      </c>
      <c r="B1258" s="1866" t="s">
        <v>1424</v>
      </c>
      <c r="C1258" s="1866" t="s">
        <v>1345</v>
      </c>
      <c r="D1258" s="1868">
        <v>0.28045999999999999</v>
      </c>
      <c r="E1258" s="1868">
        <v>0.29275000000000001</v>
      </c>
      <c r="F1258" s="1868">
        <v>0.28231000000000001</v>
      </c>
      <c r="G1258" s="1868">
        <v>0.28062999999999999</v>
      </c>
      <c r="H1258" s="1868">
        <v>0.28671999999999997</v>
      </c>
      <c r="I1258" s="1868">
        <v>0.28493000000000002</v>
      </c>
      <c r="J1258" s="1868">
        <v>0.28036</v>
      </c>
      <c r="K1258" s="1868">
        <v>0.29916999999999999</v>
      </c>
      <c r="L1258" s="1868">
        <v>0.27973000000000003</v>
      </c>
      <c r="M1258" s="1868">
        <v>0.27573000000000003</v>
      </c>
      <c r="N1258" s="1868">
        <v>0.26974999999999999</v>
      </c>
      <c r="O1258" s="1868">
        <v>0.26149</v>
      </c>
      <c r="P1258" s="1868">
        <v>0.27216999999999997</v>
      </c>
      <c r="Q1258" s="1868">
        <v>0.30012</v>
      </c>
      <c r="R1258" s="1868">
        <v>0.28915999999999997</v>
      </c>
      <c r="S1258" s="1868">
        <v>0.29793999999999998</v>
      </c>
      <c r="T1258" s="1868">
        <v>0.29870000000000002</v>
      </c>
      <c r="U1258" s="1868">
        <v>0.29046</v>
      </c>
      <c r="V1258" s="1868">
        <v>0.29138999999999998</v>
      </c>
      <c r="W1258" s="1868">
        <v>0.29431000000000002</v>
      </c>
      <c r="X1258" s="1868">
        <v>0.30848999999999999</v>
      </c>
      <c r="Y1258" s="1868">
        <v>0.31670999999999999</v>
      </c>
      <c r="Z1258" s="1868">
        <v>0.31068000000000001</v>
      </c>
      <c r="AA1258" s="1868">
        <v>0.32274000000000003</v>
      </c>
      <c r="AB1258" s="1868">
        <v>0.31385999999999997</v>
      </c>
      <c r="AC1258" s="1868">
        <v>0.34978999999999999</v>
      </c>
      <c r="AD1258" s="1868">
        <v>0.37378</v>
      </c>
      <c r="AE1258" s="1868">
        <v>0.40584000000000003</v>
      </c>
      <c r="AF1258" s="1868">
        <v>0.37881999999999999</v>
      </c>
      <c r="AG1258" s="1868">
        <v>0.40129000000000004</v>
      </c>
      <c r="AH1258" s="1868">
        <v>0.40138000000000001</v>
      </c>
      <c r="AI1258" s="1868">
        <v>0.40179000000000004</v>
      </c>
      <c r="AJ1258" s="1868">
        <v>0.39745999999999998</v>
      </c>
      <c r="AK1258" s="1868">
        <v>0.42918999999999996</v>
      </c>
      <c r="AL1258" s="1868">
        <v>0.46015</v>
      </c>
      <c r="AM1258" s="1868">
        <v>0.45771000000000006</v>
      </c>
      <c r="AN1258" s="1868">
        <v>0.43717</v>
      </c>
      <c r="AO1258" s="1868">
        <v>0.46728000000000003</v>
      </c>
      <c r="AP1258" s="1868">
        <v>0.41153000000000001</v>
      </c>
      <c r="AQ1258" s="1868">
        <v>0.36162</v>
      </c>
      <c r="AR1258" s="1868">
        <v>0.48612</v>
      </c>
      <c r="AS1258" s="1868">
        <v>0.46768999999999994</v>
      </c>
      <c r="AT1258" s="1868">
        <v>0.51417999999999997</v>
      </c>
      <c r="AU1258" s="1868">
        <v>0.48841999999999997</v>
      </c>
      <c r="AV1258" s="1868">
        <v>0.54379</v>
      </c>
      <c r="AW1258" s="1868">
        <v>0.51759999999999995</v>
      </c>
      <c r="AX1258" s="1868">
        <v>0.42344999999999999</v>
      </c>
      <c r="AY1258" s="1868">
        <v>0.44891999999999999</v>
      </c>
      <c r="AZ1258" s="1868">
        <v>0.44906000000000001</v>
      </c>
      <c r="BA1258" s="1868">
        <v>0.47386999999999996</v>
      </c>
    </row>
    <row r="1259" spans="1:53">
      <c r="A1259" s="1865" t="str">
        <f t="shared" si="19"/>
        <v>Western AfricaSisal</v>
      </c>
      <c r="B1259" s="1866" t="s">
        <v>1424</v>
      </c>
      <c r="C1259" s="1866" t="s">
        <v>1398</v>
      </c>
      <c r="D1259" s="1868">
        <v>0.1</v>
      </c>
      <c r="E1259" s="1868">
        <v>0.1</v>
      </c>
      <c r="F1259" s="1868">
        <v>0.1</v>
      </c>
      <c r="G1259" s="1868">
        <v>0.1</v>
      </c>
      <c r="H1259" s="1868">
        <v>0.1</v>
      </c>
      <c r="I1259" s="1868">
        <v>0.1</v>
      </c>
      <c r="J1259" s="1868">
        <v>0.1</v>
      </c>
      <c r="K1259" s="1868">
        <v>0.1</v>
      </c>
      <c r="L1259" s="1868">
        <v>0.1</v>
      </c>
      <c r="M1259" s="1868">
        <v>0.1</v>
      </c>
      <c r="N1259" s="1868">
        <v>0.1</v>
      </c>
      <c r="O1259" s="1868">
        <v>0.1</v>
      </c>
      <c r="P1259" s="1868">
        <v>0.1</v>
      </c>
      <c r="Q1259" s="1868">
        <v>0.1</v>
      </c>
      <c r="R1259" s="1868">
        <v>0.1</v>
      </c>
      <c r="S1259" s="1868">
        <v>0.1</v>
      </c>
      <c r="T1259" s="1868">
        <v>0.1</v>
      </c>
      <c r="U1259" s="1868">
        <v>0.1</v>
      </c>
      <c r="V1259" s="1868">
        <v>0.1</v>
      </c>
      <c r="W1259" s="1868">
        <v>0.1</v>
      </c>
      <c r="X1259" s="1868">
        <v>0.1</v>
      </c>
      <c r="Y1259" s="1868">
        <v>0.1</v>
      </c>
      <c r="Z1259" s="1868">
        <v>0.1</v>
      </c>
      <c r="AA1259" s="1868">
        <v>0.10909000000000001</v>
      </c>
      <c r="AB1259" s="1868">
        <v>0.10909000000000001</v>
      </c>
      <c r="AC1259" s="1868">
        <v>0.10909000000000001</v>
      </c>
      <c r="AD1259" s="1868">
        <v>0.10909000000000001</v>
      </c>
      <c r="AE1259" s="1868">
        <v>0.10909000000000001</v>
      </c>
      <c r="AF1259" s="1868">
        <v>0.10909000000000001</v>
      </c>
      <c r="AG1259" s="1868">
        <v>0.10590999999999999</v>
      </c>
      <c r="AH1259" s="1868">
        <v>0.12726999999999999</v>
      </c>
      <c r="AI1259" s="1868">
        <v>0.18548000000000001</v>
      </c>
      <c r="AJ1259" s="1868">
        <v>0.10833</v>
      </c>
      <c r="AK1259" s="1868">
        <v>0.13564000000000001</v>
      </c>
      <c r="AL1259" s="1868">
        <v>0.14035</v>
      </c>
      <c r="AM1259" s="1868">
        <v>0.10082999999999999</v>
      </c>
      <c r="AN1259" s="1868">
        <v>0.1275</v>
      </c>
      <c r="AO1259" s="1868">
        <v>0.13333</v>
      </c>
      <c r="AP1259" s="1868">
        <v>0.12082999999999999</v>
      </c>
      <c r="AQ1259" s="1868">
        <v>0.10917</v>
      </c>
      <c r="AR1259" s="1868">
        <v>0.12667</v>
      </c>
      <c r="AS1259" s="1868">
        <v>0.13917000000000002</v>
      </c>
      <c r="AT1259" s="1868">
        <v>0.15332999999999999</v>
      </c>
      <c r="AU1259" s="1868">
        <v>0.14082999999999998</v>
      </c>
      <c r="AV1259" s="1868">
        <v>0.16417000000000001</v>
      </c>
      <c r="AW1259" s="1868">
        <v>0.1087</v>
      </c>
      <c r="AX1259" s="1868">
        <v>6.1350000000000002E-2</v>
      </c>
      <c r="AY1259" s="1868">
        <v>0.10828</v>
      </c>
      <c r="AZ1259" s="1868">
        <v>9.4240000000000004E-2</v>
      </c>
      <c r="BA1259" s="1868">
        <v>0.12042</v>
      </c>
    </row>
    <row r="1260" spans="1:53">
      <c r="A1260" s="1865" t="str">
        <f t="shared" si="19"/>
        <v>Western AfricaSorghum</v>
      </c>
      <c r="B1260" s="1866" t="s">
        <v>1424</v>
      </c>
      <c r="C1260" s="1866" t="s">
        <v>1399</v>
      </c>
      <c r="D1260" s="1868">
        <v>0.75038000000000005</v>
      </c>
      <c r="E1260" s="1868">
        <v>0.82056000000000007</v>
      </c>
      <c r="F1260" s="1868">
        <v>0.71501999999999999</v>
      </c>
      <c r="G1260" s="1868">
        <v>0.71794999999999998</v>
      </c>
      <c r="H1260" s="1868">
        <v>0.67574999999999996</v>
      </c>
      <c r="I1260" s="1868">
        <v>0.64571999999999996</v>
      </c>
      <c r="J1260" s="1868">
        <v>0.65401000000000009</v>
      </c>
      <c r="K1260" s="1868">
        <v>0.61202999999999996</v>
      </c>
      <c r="L1260" s="1868">
        <v>0.53993999999999998</v>
      </c>
      <c r="M1260" s="1868">
        <v>0.66100000000000003</v>
      </c>
      <c r="N1260" s="1868">
        <v>0.65400000000000003</v>
      </c>
      <c r="O1260" s="1868">
        <v>0.56730999999999998</v>
      </c>
      <c r="P1260" s="1868">
        <v>0.57274999999999998</v>
      </c>
      <c r="Q1260" s="1868">
        <v>0.85550999999999999</v>
      </c>
      <c r="R1260" s="1868">
        <v>0.83135000000000003</v>
      </c>
      <c r="S1260" s="1868">
        <v>0.59784999999999999</v>
      </c>
      <c r="T1260" s="1868">
        <v>0.77803</v>
      </c>
      <c r="U1260" s="1868">
        <v>0.67569999999999997</v>
      </c>
      <c r="V1260" s="1868">
        <v>0.82320000000000004</v>
      </c>
      <c r="W1260" s="1868">
        <v>0.87261</v>
      </c>
      <c r="X1260" s="1868">
        <v>0.98717999999999995</v>
      </c>
      <c r="Y1260" s="1868">
        <v>0.97887000000000002</v>
      </c>
      <c r="Z1260" s="1868">
        <v>0.97228999999999999</v>
      </c>
      <c r="AA1260" s="1868">
        <v>0.83172000000000013</v>
      </c>
      <c r="AB1260" s="1868">
        <v>0.85487999999999997</v>
      </c>
      <c r="AC1260" s="1868">
        <v>0.89987000000000006</v>
      </c>
      <c r="AD1260" s="1868">
        <v>0.87343999999999999</v>
      </c>
      <c r="AE1260" s="1868">
        <v>0.88612000000000002</v>
      </c>
      <c r="AF1260" s="1868">
        <v>0.80108999999999997</v>
      </c>
      <c r="AG1260" s="1868">
        <v>0.67733999999999994</v>
      </c>
      <c r="AH1260" s="1868">
        <v>0.79821000000000009</v>
      </c>
      <c r="AI1260" s="1868">
        <v>0.79351000000000005</v>
      </c>
      <c r="AJ1260" s="1868">
        <v>0.83414999999999995</v>
      </c>
      <c r="AK1260" s="1868">
        <v>0.82887000000000011</v>
      </c>
      <c r="AL1260" s="1868">
        <v>0.89134999999999998</v>
      </c>
      <c r="AM1260" s="1868">
        <v>0.90105000000000002</v>
      </c>
      <c r="AN1260" s="1868">
        <v>0.8649</v>
      </c>
      <c r="AO1260" s="1868">
        <v>0.89121000000000006</v>
      </c>
      <c r="AP1260" s="1868">
        <v>0.89707999999999988</v>
      </c>
      <c r="AQ1260" s="1868">
        <v>0.87942000000000009</v>
      </c>
      <c r="AR1260" s="1868">
        <v>0.85217999999999994</v>
      </c>
      <c r="AS1260" s="1868">
        <v>0.87990000000000002</v>
      </c>
      <c r="AT1260" s="1868">
        <v>0.94059999999999999</v>
      </c>
      <c r="AU1260" s="1868">
        <v>0.94948999999999995</v>
      </c>
      <c r="AV1260" s="1868">
        <v>1.02007</v>
      </c>
      <c r="AW1260" s="1868">
        <v>1.0494299999999999</v>
      </c>
      <c r="AX1260" s="1868">
        <v>0.91853999999999991</v>
      </c>
      <c r="AY1260" s="1868">
        <v>0.98637999999999992</v>
      </c>
      <c r="AZ1260" s="1868">
        <v>0.90690000000000004</v>
      </c>
      <c r="BA1260" s="1868">
        <v>0.84148999999999996</v>
      </c>
    </row>
    <row r="1261" spans="1:53">
      <c r="A1261" s="1865" t="str">
        <f t="shared" si="19"/>
        <v>Western AfricaSoybeans</v>
      </c>
      <c r="B1261" s="1866" t="s">
        <v>1424</v>
      </c>
      <c r="C1261" s="1866" t="s">
        <v>1359</v>
      </c>
      <c r="D1261" s="1868">
        <v>0.34939999999999999</v>
      </c>
      <c r="E1261" s="1868">
        <v>0.36458000000000002</v>
      </c>
      <c r="F1261" s="1868">
        <v>0.36788000000000004</v>
      </c>
      <c r="G1261" s="1868">
        <v>0.32786999999999999</v>
      </c>
      <c r="H1261" s="1868">
        <v>0.30480999999999997</v>
      </c>
      <c r="I1261" s="1868">
        <v>0.32446999999999998</v>
      </c>
      <c r="J1261" s="1868">
        <v>0.36046999999999996</v>
      </c>
      <c r="K1261" s="1868">
        <v>0.35065999999999997</v>
      </c>
      <c r="L1261" s="1868">
        <v>0.38653999999999999</v>
      </c>
      <c r="M1261" s="1868">
        <v>0.31406000000000001</v>
      </c>
      <c r="N1261" s="1868">
        <v>0.31519999999999998</v>
      </c>
      <c r="O1261" s="1868">
        <v>0.31519999999999998</v>
      </c>
      <c r="P1261" s="1868">
        <v>0.3201</v>
      </c>
      <c r="Q1261" s="1868">
        <v>0.32549</v>
      </c>
      <c r="R1261" s="1868">
        <v>0.32549</v>
      </c>
      <c r="S1261" s="1868">
        <v>0.31872</v>
      </c>
      <c r="T1261" s="1868">
        <v>0.31896999999999998</v>
      </c>
      <c r="U1261" s="1868">
        <v>0.30170999999999998</v>
      </c>
      <c r="V1261" s="1868">
        <v>0.29449999999999998</v>
      </c>
      <c r="W1261" s="1868">
        <v>0.28883999999999999</v>
      </c>
      <c r="X1261" s="1868">
        <v>0.26865</v>
      </c>
      <c r="Y1261" s="1868">
        <v>0.24011999999999997</v>
      </c>
      <c r="Z1261" s="1868">
        <v>0.22925999999999999</v>
      </c>
      <c r="AA1261" s="1868">
        <v>0.23546</v>
      </c>
      <c r="AB1261" s="1868">
        <v>0.30618000000000001</v>
      </c>
      <c r="AC1261" s="1868">
        <v>0.33589000000000002</v>
      </c>
      <c r="AD1261" s="1868">
        <v>0.33576999999999996</v>
      </c>
      <c r="AE1261" s="1868">
        <v>0.34486</v>
      </c>
      <c r="AF1261" s="1868">
        <v>0.40307999999999999</v>
      </c>
      <c r="AG1261" s="1868">
        <v>0.30714000000000002</v>
      </c>
      <c r="AH1261" s="1868">
        <v>0.31919000000000003</v>
      </c>
      <c r="AI1261" s="1868">
        <v>0.31409000000000004</v>
      </c>
      <c r="AJ1261" s="1868">
        <v>0.31830999999999998</v>
      </c>
      <c r="AK1261" s="1868">
        <v>0.31067</v>
      </c>
      <c r="AL1261" s="1868">
        <v>0.47411000000000003</v>
      </c>
      <c r="AM1261" s="1868">
        <v>0.64659999999999995</v>
      </c>
      <c r="AN1261" s="1868">
        <v>0.66981999999999997</v>
      </c>
      <c r="AO1261" s="1868">
        <v>0.74026000000000003</v>
      </c>
      <c r="AP1261" s="1868">
        <v>0.80151000000000006</v>
      </c>
      <c r="AQ1261" s="1868">
        <v>0.82804999999999995</v>
      </c>
      <c r="AR1261" s="1868">
        <v>0.83788999999999991</v>
      </c>
      <c r="AS1261" s="1868">
        <v>0.85699999999999998</v>
      </c>
      <c r="AT1261" s="1868">
        <v>0.88918999999999992</v>
      </c>
      <c r="AU1261" s="1868">
        <v>0.88983999999999996</v>
      </c>
      <c r="AV1261" s="1868">
        <v>0.93384</v>
      </c>
      <c r="AW1261" s="1868">
        <v>0.95499999999999996</v>
      </c>
      <c r="AX1261" s="1868">
        <v>0.90461000000000003</v>
      </c>
      <c r="AY1261" s="1868">
        <v>0.97919</v>
      </c>
      <c r="AZ1261" s="1868">
        <v>0.95997999999999994</v>
      </c>
      <c r="BA1261" s="1868">
        <v>1.2961</v>
      </c>
    </row>
    <row r="1262" spans="1:53">
      <c r="A1262" s="1865" t="str">
        <f t="shared" si="19"/>
        <v>Western AfricaSugar beet</v>
      </c>
      <c r="B1262" s="1866" t="s">
        <v>1424</v>
      </c>
      <c r="C1262" s="1866" t="s">
        <v>1358</v>
      </c>
      <c r="AX1262" s="1868">
        <v>14.094339999999999</v>
      </c>
      <c r="AY1262" s="1868">
        <v>14.074070000000001</v>
      </c>
      <c r="AZ1262" s="1868">
        <v>14.074070000000001</v>
      </c>
      <c r="BA1262" s="1868">
        <v>14.074070000000001</v>
      </c>
    </row>
    <row r="1263" spans="1:53">
      <c r="A1263" s="1865" t="str">
        <f t="shared" si="19"/>
        <v>Western AfricaSugar cane</v>
      </c>
      <c r="B1263" s="1866" t="s">
        <v>1424</v>
      </c>
      <c r="C1263" s="1866" t="s">
        <v>1401</v>
      </c>
      <c r="D1263" s="1868">
        <v>19.995760000000001</v>
      </c>
      <c r="E1263" s="1868">
        <v>20.659929999999999</v>
      </c>
      <c r="F1263" s="1868">
        <v>22.625109999999999</v>
      </c>
      <c r="G1263" s="1868">
        <v>25.18169</v>
      </c>
      <c r="H1263" s="1868">
        <v>26.601420000000001</v>
      </c>
      <c r="I1263" s="1868">
        <v>21.47475</v>
      </c>
      <c r="J1263" s="1868">
        <v>24.000910000000001</v>
      </c>
      <c r="K1263" s="1868">
        <v>27.46285</v>
      </c>
      <c r="L1263" s="1868">
        <v>24.092679999999998</v>
      </c>
      <c r="M1263" s="1868">
        <v>31.270340000000001</v>
      </c>
      <c r="N1263" s="1868">
        <v>32.45955</v>
      </c>
      <c r="O1263" s="1868">
        <v>33.570840000000004</v>
      </c>
      <c r="P1263" s="1868">
        <v>33.364660000000001</v>
      </c>
      <c r="Q1263" s="1868">
        <v>33.039650000000002</v>
      </c>
      <c r="R1263" s="1868">
        <v>36.852740000000004</v>
      </c>
      <c r="S1263" s="1868">
        <v>41.155670000000001</v>
      </c>
      <c r="T1263" s="1868">
        <v>45.180630000000001</v>
      </c>
      <c r="U1263" s="1868">
        <v>41.781779999999998</v>
      </c>
      <c r="V1263" s="1868">
        <v>46.138129999999997</v>
      </c>
      <c r="W1263" s="1868">
        <v>47.966349999999998</v>
      </c>
      <c r="X1263" s="1868">
        <v>46.036559999999994</v>
      </c>
      <c r="Y1263" s="1868">
        <v>47.147359999999999</v>
      </c>
      <c r="Z1263" s="1868">
        <v>47.647379999999998</v>
      </c>
      <c r="AA1263" s="1868">
        <v>41.24333</v>
      </c>
      <c r="AB1263" s="1868">
        <v>44.30104</v>
      </c>
      <c r="AC1263" s="1868">
        <v>45.753050000000002</v>
      </c>
      <c r="AD1263" s="1868">
        <v>45.560790000000004</v>
      </c>
      <c r="AE1263" s="1868">
        <v>43.164679999999997</v>
      </c>
      <c r="AF1263" s="1868">
        <v>45.70261</v>
      </c>
      <c r="AG1263" s="1868">
        <v>46.748390000000001</v>
      </c>
      <c r="AH1263" s="1868">
        <v>47.8217</v>
      </c>
      <c r="AI1263" s="1868">
        <v>47.242240000000002</v>
      </c>
      <c r="AJ1263" s="1868">
        <v>45.935540000000003</v>
      </c>
      <c r="AK1263" s="1868">
        <v>45.171659999999996</v>
      </c>
      <c r="AL1263" s="1868">
        <v>44.659019999999998</v>
      </c>
      <c r="AM1263" s="1868">
        <v>43.757179999999998</v>
      </c>
      <c r="AN1263" s="1868">
        <v>43.894220000000004</v>
      </c>
      <c r="AO1263" s="1868">
        <v>42.211640000000003</v>
      </c>
      <c r="AP1263" s="1868">
        <v>43.807540000000003</v>
      </c>
      <c r="AQ1263" s="1868">
        <v>45.58231</v>
      </c>
      <c r="AR1263" s="1868">
        <v>45.762090000000001</v>
      </c>
      <c r="AS1263" s="1868">
        <v>39.70908</v>
      </c>
      <c r="AT1263" s="1868">
        <v>38.859190000000005</v>
      </c>
      <c r="AU1263" s="1868">
        <v>39.694699999999997</v>
      </c>
      <c r="AV1263" s="1868">
        <v>39.919550000000001</v>
      </c>
      <c r="AW1263" s="1868">
        <v>39.117800000000003</v>
      </c>
      <c r="AX1263" s="1868">
        <v>38.788409999999999</v>
      </c>
      <c r="AY1263" s="1868">
        <v>36.685549999999999</v>
      </c>
      <c r="AZ1263" s="1868">
        <v>36.468499999999999</v>
      </c>
      <c r="BA1263" s="1868">
        <v>36.642389999999999</v>
      </c>
    </row>
    <row r="1264" spans="1:53">
      <c r="A1264" s="1865" t="str">
        <f t="shared" si="19"/>
        <v>Western AfricaSweet potatoes</v>
      </c>
      <c r="B1264" s="1866" t="s">
        <v>1424</v>
      </c>
      <c r="C1264" s="1866" t="s">
        <v>1403</v>
      </c>
      <c r="D1264" s="1868">
        <v>5.5525699999999993</v>
      </c>
      <c r="E1264" s="1868">
        <v>4.8302500000000004</v>
      </c>
      <c r="F1264" s="1868">
        <v>5.4934099999999999</v>
      </c>
      <c r="G1264" s="1868">
        <v>5.7364800000000002</v>
      </c>
      <c r="H1264" s="1868">
        <v>5.41296</v>
      </c>
      <c r="I1264" s="1868">
        <v>5.3416100000000002</v>
      </c>
      <c r="J1264" s="1868">
        <v>5.2250800000000002</v>
      </c>
      <c r="K1264" s="1868">
        <v>5.2952900000000005</v>
      </c>
      <c r="L1264" s="1868">
        <v>5.5128399999999997</v>
      </c>
      <c r="M1264" s="1868">
        <v>4.9493400000000003</v>
      </c>
      <c r="N1264" s="1868">
        <v>4.6507399999999999</v>
      </c>
      <c r="O1264" s="1868">
        <v>4.6903899999999998</v>
      </c>
      <c r="P1264" s="1868">
        <v>4.8172800000000002</v>
      </c>
      <c r="Q1264" s="1868">
        <v>4.4934599999999998</v>
      </c>
      <c r="R1264" s="1868">
        <v>4.6116099999999998</v>
      </c>
      <c r="S1264" s="1868">
        <v>4.9121199999999998</v>
      </c>
      <c r="T1264" s="1868">
        <v>4.9010099999999994</v>
      </c>
      <c r="U1264" s="1868">
        <v>4.9161599999999996</v>
      </c>
      <c r="V1264" s="1868">
        <v>5.2484199999999994</v>
      </c>
      <c r="W1264" s="1868">
        <v>5.0194800000000006</v>
      </c>
      <c r="X1264" s="1868">
        <v>5.33108</v>
      </c>
      <c r="Y1264" s="1868">
        <v>5.5918999999999999</v>
      </c>
      <c r="Z1264" s="1868">
        <v>5.5557400000000001</v>
      </c>
      <c r="AA1264" s="1868">
        <v>5.4855900000000002</v>
      </c>
      <c r="AB1264" s="1868">
        <v>5.0827099999999996</v>
      </c>
      <c r="AC1264" s="1868">
        <v>4.9869599999999998</v>
      </c>
      <c r="AD1264" s="1868">
        <v>4.8675199999999998</v>
      </c>
      <c r="AE1264" s="1868">
        <v>5.2525500000000003</v>
      </c>
      <c r="AF1264" s="1868">
        <v>4.9366000000000003</v>
      </c>
      <c r="AG1264" s="1868">
        <v>4.7362199999999994</v>
      </c>
      <c r="AH1264" s="1868">
        <v>4.9078599999999994</v>
      </c>
      <c r="AI1264" s="1868">
        <v>4.2656300000000007</v>
      </c>
      <c r="AJ1264" s="1868">
        <v>4.6899199999999999</v>
      </c>
      <c r="AK1264" s="1868">
        <v>4.1866000000000003</v>
      </c>
      <c r="AL1264" s="1868">
        <v>3.94625</v>
      </c>
      <c r="AM1264" s="1868">
        <v>4.2160900000000003</v>
      </c>
      <c r="AN1264" s="1868">
        <v>4.0442</v>
      </c>
      <c r="AO1264" s="1868">
        <v>4.53728</v>
      </c>
      <c r="AP1264" s="1868">
        <v>3.0285799999999998</v>
      </c>
      <c r="AQ1264" s="1868">
        <v>3.0566800000000001</v>
      </c>
      <c r="AR1264" s="1868">
        <v>3.0539200000000002</v>
      </c>
      <c r="AS1264" s="1868">
        <v>3.0733700000000002</v>
      </c>
      <c r="AT1264" s="1868">
        <v>3.1745000000000001</v>
      </c>
      <c r="AU1264" s="1868">
        <v>3.1451500000000001</v>
      </c>
      <c r="AV1264" s="1868">
        <v>3.3331599999999999</v>
      </c>
      <c r="AW1264" s="1868">
        <v>3.5413999999999999</v>
      </c>
      <c r="AX1264" s="1868">
        <v>2.5394299999999999</v>
      </c>
      <c r="AY1264" s="1868">
        <v>3.27047</v>
      </c>
      <c r="AZ1264" s="1868">
        <v>3.1665900000000002</v>
      </c>
      <c r="BA1264" s="1868">
        <v>3.1501399999999999</v>
      </c>
    </row>
    <row r="1265" spans="1:53">
      <c r="A1265" s="1865" t="str">
        <f t="shared" si="19"/>
        <v>Western AfricaTangerines, mandarins, clem.</v>
      </c>
      <c r="B1265" s="1866" t="s">
        <v>1424</v>
      </c>
      <c r="C1265" s="1866" t="s">
        <v>1404</v>
      </c>
      <c r="AA1265" s="1868">
        <v>5</v>
      </c>
      <c r="AB1265" s="1868">
        <v>5</v>
      </c>
      <c r="AC1265" s="1868">
        <v>6</v>
      </c>
      <c r="AD1265" s="1868">
        <v>7</v>
      </c>
      <c r="AE1265" s="1868">
        <v>8</v>
      </c>
      <c r="AF1265" s="1868">
        <v>8.5</v>
      </c>
      <c r="AG1265" s="1868">
        <v>8.9230800000000006</v>
      </c>
      <c r="AH1265" s="1868">
        <v>8.88889</v>
      </c>
      <c r="AI1265" s="1868">
        <v>8.9285700000000006</v>
      </c>
      <c r="AJ1265" s="1868">
        <v>8.59375</v>
      </c>
      <c r="AK1265" s="1868">
        <v>8.0285700000000002</v>
      </c>
      <c r="AL1265" s="1868">
        <v>7.5789499999999999</v>
      </c>
      <c r="AM1265" s="1868">
        <v>10.133330000000001</v>
      </c>
      <c r="AN1265" s="1868">
        <v>10.533329999999999</v>
      </c>
      <c r="AO1265" s="1868">
        <v>10.3125</v>
      </c>
      <c r="AP1265" s="1868">
        <v>11.4</v>
      </c>
      <c r="AQ1265" s="1868">
        <v>10.15152</v>
      </c>
      <c r="AR1265" s="1868">
        <v>9.0263200000000001</v>
      </c>
      <c r="AS1265" s="1868">
        <v>9.2051300000000005</v>
      </c>
      <c r="AT1265" s="1868">
        <v>9.25</v>
      </c>
      <c r="AU1265" s="1868">
        <v>12.66667</v>
      </c>
      <c r="AV1265" s="1868">
        <v>13.666670000000002</v>
      </c>
      <c r="AW1265" s="1868">
        <v>10.390239999999999</v>
      </c>
      <c r="AX1265" s="1868">
        <v>8.2857099999999999</v>
      </c>
      <c r="AY1265" s="1868">
        <v>8.3714300000000001</v>
      </c>
      <c r="AZ1265" s="1868">
        <v>8.7837800000000001</v>
      </c>
      <c r="BA1265" s="1868">
        <v>8.3783799999999999</v>
      </c>
    </row>
    <row r="1266" spans="1:53">
      <c r="A1266" s="1865" t="str">
        <f t="shared" si="19"/>
        <v>Western AfricaTea</v>
      </c>
      <c r="B1266" s="1866" t="s">
        <v>1424</v>
      </c>
      <c r="C1266" s="1866" t="s">
        <v>1405</v>
      </c>
      <c r="Q1266" s="1868">
        <v>0.5</v>
      </c>
      <c r="R1266" s="1868">
        <v>0.5</v>
      </c>
      <c r="S1266" s="1868">
        <v>0.5</v>
      </c>
      <c r="T1266" s="1868">
        <v>0.52941000000000005</v>
      </c>
      <c r="U1266" s="1868">
        <v>0.55556000000000005</v>
      </c>
      <c r="V1266" s="1868">
        <v>0.57894999999999996</v>
      </c>
      <c r="W1266" s="1868">
        <v>0.32821</v>
      </c>
      <c r="X1266" s="1868">
        <v>0.49</v>
      </c>
      <c r="Y1266" s="1868">
        <v>0.36191000000000001</v>
      </c>
      <c r="Z1266" s="1868">
        <v>0.4</v>
      </c>
      <c r="AA1266" s="1868">
        <v>0.41499999999999998</v>
      </c>
      <c r="AB1266" s="1868">
        <v>0.435</v>
      </c>
      <c r="AC1266" s="1868">
        <v>0.44500000000000001</v>
      </c>
      <c r="AD1266" s="1868">
        <v>0.27500000000000002</v>
      </c>
      <c r="AE1266" s="1868">
        <v>0.41499999999999998</v>
      </c>
      <c r="AF1266" s="1868">
        <v>1.585</v>
      </c>
      <c r="AG1266" s="1868">
        <v>0.70667000000000002</v>
      </c>
      <c r="AH1266" s="1868">
        <v>0.70768999999999993</v>
      </c>
      <c r="AI1266" s="1868">
        <v>0.76666999999999996</v>
      </c>
      <c r="AJ1266" s="1868">
        <v>0.79142999999999997</v>
      </c>
      <c r="AK1266" s="1868">
        <v>0.78400000000000003</v>
      </c>
      <c r="AL1266" s="1868">
        <v>0.67332999999999998</v>
      </c>
      <c r="AM1266" s="1868">
        <v>0.69</v>
      </c>
      <c r="AN1266" s="1868">
        <v>0.55556000000000005</v>
      </c>
      <c r="AO1266" s="1868">
        <v>0.66666999999999998</v>
      </c>
      <c r="AP1266" s="1868">
        <v>0.63217999999999996</v>
      </c>
      <c r="AQ1266" s="1868">
        <v>0.66</v>
      </c>
      <c r="AR1266" s="1868">
        <v>0.57471000000000005</v>
      </c>
      <c r="AS1266" s="1868">
        <v>0.85366000000000009</v>
      </c>
      <c r="AT1266" s="1868">
        <v>1.15385</v>
      </c>
      <c r="AU1266" s="1868">
        <v>1.3252999999999999</v>
      </c>
      <c r="AV1266" s="1868">
        <v>1.5</v>
      </c>
      <c r="AW1266" s="1868">
        <v>1.5</v>
      </c>
      <c r="AX1266" s="1868">
        <v>1.5</v>
      </c>
      <c r="AY1266" s="1868">
        <v>1.5618000000000001</v>
      </c>
      <c r="AZ1266" s="1868">
        <v>1.42222</v>
      </c>
      <c r="BA1266" s="1868">
        <v>1.3</v>
      </c>
    </row>
    <row r="1267" spans="1:53">
      <c r="A1267" s="1865" t="str">
        <f t="shared" si="19"/>
        <v>Western AfricaTobacco, unmanufactured</v>
      </c>
      <c r="B1267" s="1866" t="s">
        <v>1424</v>
      </c>
      <c r="C1267" s="1866" t="s">
        <v>1347</v>
      </c>
      <c r="D1267" s="1868">
        <v>0.56898000000000004</v>
      </c>
      <c r="E1267" s="1868">
        <v>0.56443999999999994</v>
      </c>
      <c r="F1267" s="1868">
        <v>0.43117</v>
      </c>
      <c r="G1267" s="1868">
        <v>0.54388000000000003</v>
      </c>
      <c r="H1267" s="1868">
        <v>0.55430000000000001</v>
      </c>
      <c r="I1267" s="1868">
        <v>0.51819999999999999</v>
      </c>
      <c r="J1267" s="1868">
        <v>0.52295000000000003</v>
      </c>
      <c r="K1267" s="1868">
        <v>0.51971000000000001</v>
      </c>
      <c r="L1267" s="1868">
        <v>0.51595000000000002</v>
      </c>
      <c r="M1267" s="1868">
        <v>0.49235000000000001</v>
      </c>
      <c r="N1267" s="1868">
        <v>0.46728000000000003</v>
      </c>
      <c r="O1267" s="1868">
        <v>0.53011000000000008</v>
      </c>
      <c r="P1267" s="1868">
        <v>0.53198999999999996</v>
      </c>
      <c r="Q1267" s="1868">
        <v>0.49953000000000003</v>
      </c>
      <c r="R1267" s="1868">
        <v>0.51561999999999997</v>
      </c>
      <c r="S1267" s="1868">
        <v>0.46498999999999996</v>
      </c>
      <c r="T1267" s="1868">
        <v>0.48257</v>
      </c>
      <c r="U1267" s="1868">
        <v>0.47370000000000001</v>
      </c>
      <c r="V1267" s="1868">
        <v>0.53249000000000002</v>
      </c>
      <c r="W1267" s="1868">
        <v>0.54644999999999999</v>
      </c>
      <c r="X1267" s="1868">
        <v>0.53238999999999992</v>
      </c>
      <c r="Y1267" s="1868">
        <v>0.35921999999999998</v>
      </c>
      <c r="Z1267" s="1868">
        <v>0.35041</v>
      </c>
      <c r="AA1267" s="1868">
        <v>0.47341000000000005</v>
      </c>
      <c r="AB1267" s="1868">
        <v>0.4889</v>
      </c>
      <c r="AC1267" s="1868">
        <v>0.43736999999999998</v>
      </c>
      <c r="AD1267" s="1868">
        <v>0.40551999999999999</v>
      </c>
      <c r="AE1267" s="1868">
        <v>0.45143999999999995</v>
      </c>
      <c r="AF1267" s="1868">
        <v>0.45126000000000005</v>
      </c>
      <c r="AG1267" s="1868">
        <v>0.47531999999999996</v>
      </c>
      <c r="AH1267" s="1868">
        <v>0.47641000000000006</v>
      </c>
      <c r="AI1267" s="1868">
        <v>0.49067</v>
      </c>
      <c r="AJ1267" s="1868">
        <v>0.53426000000000007</v>
      </c>
      <c r="AK1267" s="1868">
        <v>0.45243</v>
      </c>
      <c r="AL1267" s="1868">
        <v>0.46811000000000003</v>
      </c>
      <c r="AM1267" s="1868">
        <v>0.36343999999999999</v>
      </c>
      <c r="AN1267" s="1868">
        <v>0.44536000000000003</v>
      </c>
      <c r="AO1267" s="1868">
        <v>0.49681999999999998</v>
      </c>
      <c r="AP1267" s="1868">
        <v>0.62009999999999998</v>
      </c>
      <c r="AQ1267" s="1868">
        <v>0.58760000000000001</v>
      </c>
      <c r="AR1267" s="1868">
        <v>0.57813999999999999</v>
      </c>
      <c r="AS1267" s="1868">
        <v>0.58955000000000002</v>
      </c>
      <c r="AT1267" s="1868">
        <v>0.58618000000000003</v>
      </c>
      <c r="AU1267" s="1868">
        <v>0.57633000000000001</v>
      </c>
      <c r="AV1267" s="1868">
        <v>0.58609</v>
      </c>
      <c r="AW1267" s="1868">
        <v>0.58883999999999992</v>
      </c>
      <c r="AX1267" s="1868">
        <v>0.48548000000000002</v>
      </c>
      <c r="AY1267" s="1868">
        <v>0.66453999999999991</v>
      </c>
      <c r="AZ1267" s="1868">
        <v>0.69038999999999995</v>
      </c>
      <c r="BA1267" s="1868">
        <v>0.88434000000000001</v>
      </c>
    </row>
    <row r="1268" spans="1:53">
      <c r="A1268" s="1865" t="str">
        <f t="shared" si="19"/>
        <v>Western AfricaTomatoes</v>
      </c>
      <c r="B1268" s="1866" t="s">
        <v>1424</v>
      </c>
      <c r="C1268" s="1866" t="s">
        <v>1406</v>
      </c>
      <c r="D1268" s="1868">
        <v>8.17563</v>
      </c>
      <c r="E1268" s="1868">
        <v>8.2706900000000001</v>
      </c>
      <c r="F1268" s="1868">
        <v>8.4250100000000003</v>
      </c>
      <c r="G1268" s="1868">
        <v>8.2226499999999998</v>
      </c>
      <c r="H1268" s="1868">
        <v>7.9025100000000004</v>
      </c>
      <c r="I1268" s="1868">
        <v>7.9413199999999993</v>
      </c>
      <c r="J1268" s="1868">
        <v>7.694189999999999</v>
      </c>
      <c r="K1268" s="1868">
        <v>7.6580300000000001</v>
      </c>
      <c r="L1268" s="1868">
        <v>7.8260199999999998</v>
      </c>
      <c r="M1268" s="1868">
        <v>7.44848</v>
      </c>
      <c r="N1268" s="1868">
        <v>7.3965600000000009</v>
      </c>
      <c r="O1268" s="1868">
        <v>6.7991800000000007</v>
      </c>
      <c r="P1268" s="1868">
        <v>6.7142499999999998</v>
      </c>
      <c r="Q1268" s="1868">
        <v>6.88307</v>
      </c>
      <c r="R1268" s="1868">
        <v>7.2821999999999996</v>
      </c>
      <c r="S1268" s="1868">
        <v>7.1377499999999996</v>
      </c>
      <c r="T1268" s="1868">
        <v>8.1739999999999995</v>
      </c>
      <c r="U1268" s="1868">
        <v>7.1674699999999998</v>
      </c>
      <c r="V1268" s="1868">
        <v>7.2405499999999998</v>
      </c>
      <c r="W1268" s="1868">
        <v>7.473139999999999</v>
      </c>
      <c r="X1268" s="1868">
        <v>7.8023100000000003</v>
      </c>
      <c r="Y1268" s="1868">
        <v>8.1037800000000004</v>
      </c>
      <c r="Z1268" s="1868">
        <v>8.0039800000000003</v>
      </c>
      <c r="AA1268" s="1868">
        <v>8.0879999999999992</v>
      </c>
      <c r="AB1268" s="1868">
        <v>8.4893100000000015</v>
      </c>
      <c r="AC1268" s="1868">
        <v>8.5470299999999995</v>
      </c>
      <c r="AD1268" s="1868">
        <v>8.0891300000000008</v>
      </c>
      <c r="AE1268" s="1868">
        <v>8.6153999999999993</v>
      </c>
      <c r="AF1268" s="1868">
        <v>8.7309199999999993</v>
      </c>
      <c r="AG1268" s="1868">
        <v>9.2667600000000014</v>
      </c>
      <c r="AH1268" s="1868">
        <v>8.9275099999999998</v>
      </c>
      <c r="AI1268" s="1868">
        <v>9.1081199999999995</v>
      </c>
      <c r="AJ1268" s="1868">
        <v>8.61158</v>
      </c>
      <c r="AK1268" s="1868">
        <v>8.1036600000000014</v>
      </c>
      <c r="AL1268" s="1868">
        <v>8.9356500000000008</v>
      </c>
      <c r="AM1268" s="1868">
        <v>9.7790999999999997</v>
      </c>
      <c r="AN1268" s="1868">
        <v>8.1993299999999998</v>
      </c>
      <c r="AO1268" s="1868">
        <v>7.6126199999999997</v>
      </c>
      <c r="AP1268" s="1868">
        <v>7.1613600000000002</v>
      </c>
      <c r="AQ1268" s="1868">
        <v>6.7985399999999991</v>
      </c>
      <c r="AR1268" s="1868">
        <v>7.9942299999999999</v>
      </c>
      <c r="AS1268" s="1868">
        <v>7.2429199999999998</v>
      </c>
      <c r="AT1268" s="1868">
        <v>7.8144899999999993</v>
      </c>
      <c r="AU1268" s="1868">
        <v>9.6175899999999999</v>
      </c>
      <c r="AV1268" s="1868">
        <v>7.5197600000000007</v>
      </c>
      <c r="AW1268" s="1868">
        <v>7.7272300000000005</v>
      </c>
      <c r="AX1268" s="1868">
        <v>7.6640399999999991</v>
      </c>
      <c r="AY1268" s="1868">
        <v>6.6333000000000002</v>
      </c>
      <c r="AZ1268" s="1868">
        <v>6.5952299999999999</v>
      </c>
      <c r="BA1268" s="1868">
        <v>7.2199200000000001</v>
      </c>
    </row>
    <row r="1269" spans="1:53">
      <c r="A1269" s="1865" t="str">
        <f t="shared" si="19"/>
        <v>Western AfricaVegetables fresh nes</v>
      </c>
      <c r="B1269" s="1866" t="s">
        <v>1424</v>
      </c>
      <c r="C1269" s="1866" t="s">
        <v>1407</v>
      </c>
      <c r="D1269" s="1868">
        <v>5.07761</v>
      </c>
      <c r="E1269" s="1868">
        <v>5.0766800000000005</v>
      </c>
      <c r="F1269" s="1868">
        <v>5.0852900000000005</v>
      </c>
      <c r="G1269" s="1868">
        <v>5.0891400000000004</v>
      </c>
      <c r="H1269" s="1868">
        <v>5.0876700000000001</v>
      </c>
      <c r="I1269" s="1868">
        <v>5.0580400000000001</v>
      </c>
      <c r="J1269" s="1868">
        <v>5.0420499999999997</v>
      </c>
      <c r="K1269" s="1868">
        <v>5.0497800000000002</v>
      </c>
      <c r="L1269" s="1868">
        <v>5.0415599999999996</v>
      </c>
      <c r="M1269" s="1868">
        <v>4.8950199999999997</v>
      </c>
      <c r="N1269" s="1868">
        <v>4.9610400000000006</v>
      </c>
      <c r="O1269" s="1868">
        <v>4.9871699999999999</v>
      </c>
      <c r="P1269" s="1868">
        <v>4.9894699999999998</v>
      </c>
      <c r="Q1269" s="1868">
        <v>4.9657200000000001</v>
      </c>
      <c r="R1269" s="1868">
        <v>4.9822800000000003</v>
      </c>
      <c r="S1269" s="1868">
        <v>4.9431799999999999</v>
      </c>
      <c r="T1269" s="1868">
        <v>4.9861900000000006</v>
      </c>
      <c r="U1269" s="1868">
        <v>4.99533</v>
      </c>
      <c r="V1269" s="1868">
        <v>5.0246500000000003</v>
      </c>
      <c r="W1269" s="1868">
        <v>5.0274000000000001</v>
      </c>
      <c r="X1269" s="1868">
        <v>5.0722199999999997</v>
      </c>
      <c r="Y1269" s="1868">
        <v>5.0913699999999995</v>
      </c>
      <c r="Z1269" s="1868">
        <v>5.0818000000000003</v>
      </c>
      <c r="AA1269" s="1868">
        <v>5.1113</v>
      </c>
      <c r="AB1269" s="1868">
        <v>5.1288400000000003</v>
      </c>
      <c r="AC1269" s="1868">
        <v>5.18025</v>
      </c>
      <c r="AD1269" s="1868">
        <v>5.2436699999999998</v>
      </c>
      <c r="AE1269" s="1868">
        <v>5.3025699999999993</v>
      </c>
      <c r="AF1269" s="1868">
        <v>5.2855300000000005</v>
      </c>
      <c r="AG1269" s="1868">
        <v>5.4847900000000003</v>
      </c>
      <c r="AH1269" s="1868">
        <v>5.7815099999999999</v>
      </c>
      <c r="AI1269" s="1868">
        <v>5.97309</v>
      </c>
      <c r="AJ1269" s="1868">
        <v>6.1536499999999998</v>
      </c>
      <c r="AK1269" s="1868">
        <v>6.0446599999999995</v>
      </c>
      <c r="AL1269" s="1868">
        <v>5.6888899999999998</v>
      </c>
      <c r="AM1269" s="1868">
        <v>5.7935400000000001</v>
      </c>
      <c r="AN1269" s="1868">
        <v>5.8218100000000002</v>
      </c>
      <c r="AO1269" s="1868">
        <v>5.69876</v>
      </c>
      <c r="AP1269" s="1868">
        <v>5.85067</v>
      </c>
      <c r="AQ1269" s="1868">
        <v>5.9913800000000004</v>
      </c>
      <c r="AR1269" s="1868">
        <v>6.93025</v>
      </c>
      <c r="AS1269" s="1868">
        <v>6.0493199999999998</v>
      </c>
      <c r="AT1269" s="1868">
        <v>6.3781499999999998</v>
      </c>
      <c r="AU1269" s="1868">
        <v>5.4214400000000005</v>
      </c>
      <c r="AV1269" s="1868">
        <v>6.6409799999999999</v>
      </c>
      <c r="AW1269" s="1868">
        <v>7.1387899999999993</v>
      </c>
      <c r="AX1269" s="1868">
        <v>7.0159399999999996</v>
      </c>
      <c r="AY1269" s="1868">
        <v>8.1843800000000009</v>
      </c>
      <c r="AZ1269" s="1868">
        <v>8.1103699999999996</v>
      </c>
      <c r="BA1269" s="1868">
        <v>7.2406300000000003</v>
      </c>
    </row>
    <row r="1270" spans="1:53">
      <c r="A1270" s="1865" t="str">
        <f t="shared" si="19"/>
        <v>Western AfricaWheat</v>
      </c>
      <c r="B1270" s="1866" t="s">
        <v>1424</v>
      </c>
      <c r="C1270" s="1866" t="s">
        <v>1409</v>
      </c>
      <c r="D1270" s="1868">
        <v>1.63337</v>
      </c>
      <c r="E1270" s="1868">
        <v>1.60816</v>
      </c>
      <c r="F1270" s="1868">
        <v>1.6071</v>
      </c>
      <c r="G1270" s="1868">
        <v>1.6390200000000001</v>
      </c>
      <c r="H1270" s="1868">
        <v>1.6332200000000001</v>
      </c>
      <c r="I1270" s="1868">
        <v>1.7093200000000002</v>
      </c>
      <c r="J1270" s="1868">
        <v>1.7907400000000002</v>
      </c>
      <c r="K1270" s="1868">
        <v>1.6787799999999999</v>
      </c>
      <c r="L1270" s="1868">
        <v>1.7143599999999999</v>
      </c>
      <c r="M1270" s="1868">
        <v>1.6250899999999999</v>
      </c>
      <c r="N1270" s="1868">
        <v>1.6500400000000002</v>
      </c>
      <c r="O1270" s="1868">
        <v>1.6537200000000001</v>
      </c>
      <c r="P1270" s="1868">
        <v>1.3654899999999999</v>
      </c>
      <c r="Q1270" s="1868">
        <v>1.4137500000000001</v>
      </c>
      <c r="R1270" s="1868">
        <v>1.5446899999999999</v>
      </c>
      <c r="S1270" s="1868">
        <v>1.65757</v>
      </c>
      <c r="T1270" s="1868">
        <v>1.8473299999999999</v>
      </c>
      <c r="U1270" s="1868">
        <v>1.90357</v>
      </c>
      <c r="V1270" s="1868">
        <v>1.9671900000000002</v>
      </c>
      <c r="W1270" s="1868">
        <v>2.1093000000000002</v>
      </c>
      <c r="X1270" s="1868">
        <v>2.1978</v>
      </c>
      <c r="Y1270" s="1868">
        <v>2.1359400000000002</v>
      </c>
      <c r="Z1270" s="1868">
        <v>1.67885</v>
      </c>
      <c r="AA1270" s="1868">
        <v>1.6695</v>
      </c>
      <c r="AB1270" s="1868">
        <v>2.0381</v>
      </c>
      <c r="AC1270" s="1868">
        <v>1.93753</v>
      </c>
      <c r="AD1270" s="1868">
        <v>1.89211</v>
      </c>
      <c r="AE1270" s="1868">
        <v>1.2403500000000001</v>
      </c>
      <c r="AF1270" s="1868">
        <v>1.19895</v>
      </c>
      <c r="AG1270" s="1868">
        <v>0.98326000000000002</v>
      </c>
      <c r="AH1270" s="1868">
        <v>1.33694</v>
      </c>
      <c r="AI1270" s="1868">
        <v>1.43052</v>
      </c>
      <c r="AJ1270" s="1868">
        <v>2.2909700000000002</v>
      </c>
      <c r="AK1270" s="1868">
        <v>2.2260900000000001</v>
      </c>
      <c r="AL1270" s="1868">
        <v>2.1216900000000001</v>
      </c>
      <c r="AM1270" s="1868">
        <v>1.89967</v>
      </c>
      <c r="AN1270" s="1868">
        <v>2.56698</v>
      </c>
      <c r="AO1270" s="1868">
        <v>2.1314500000000001</v>
      </c>
      <c r="AP1270" s="1868">
        <v>2.0277500000000002</v>
      </c>
      <c r="AQ1270" s="1868">
        <v>1.4891099999999999</v>
      </c>
      <c r="AR1270" s="1868">
        <v>1.07287</v>
      </c>
      <c r="AS1270" s="1868">
        <v>1.03742</v>
      </c>
      <c r="AT1270" s="1868">
        <v>1.1231599999999999</v>
      </c>
      <c r="AU1270" s="1868">
        <v>1.2029100000000001</v>
      </c>
      <c r="AV1270" s="1868">
        <v>1.1703600000000001</v>
      </c>
      <c r="AW1270" s="1868">
        <v>1.2232399999999999</v>
      </c>
      <c r="AX1270" s="1868">
        <v>1.7530599999999998</v>
      </c>
      <c r="AY1270" s="1868">
        <v>1.7456099999999999</v>
      </c>
      <c r="AZ1270" s="1868">
        <v>1.3457399999999999</v>
      </c>
      <c r="BA1270" s="1868">
        <v>1.2886200000000001</v>
      </c>
    </row>
    <row r="1271" spans="1:53">
      <c r="A1271" s="1865" t="str">
        <f t="shared" si="19"/>
        <v>Western AfricaCereals (Rice Milled Eqv</v>
      </c>
      <c r="B1271" s="1866" t="s">
        <v>1424</v>
      </c>
      <c r="C1271" s="1866" t="s">
        <v>1410</v>
      </c>
      <c r="D1271" s="1868">
        <v>0.65283000000000002</v>
      </c>
      <c r="E1271" s="1868">
        <v>0.68493000000000004</v>
      </c>
      <c r="F1271" s="1868">
        <v>0.66769999999999996</v>
      </c>
      <c r="G1271" s="1868">
        <v>0.66428999999999994</v>
      </c>
      <c r="H1271" s="1868">
        <v>0.63358999999999999</v>
      </c>
      <c r="I1271" s="1868">
        <v>0.60523000000000005</v>
      </c>
      <c r="J1271" s="1868">
        <v>0.64901999999999993</v>
      </c>
      <c r="K1271" s="1868">
        <v>0.62966</v>
      </c>
      <c r="L1271" s="1868">
        <v>0.61634</v>
      </c>
      <c r="M1271" s="1868">
        <v>0.65636000000000005</v>
      </c>
      <c r="N1271" s="1868">
        <v>0.65673000000000004</v>
      </c>
      <c r="O1271" s="1868">
        <v>0.60065000000000002</v>
      </c>
      <c r="P1271" s="1868">
        <v>0.60966999999999993</v>
      </c>
      <c r="Q1271" s="1868">
        <v>0.79818999999999996</v>
      </c>
      <c r="R1271" s="1868">
        <v>0.77383999999999997</v>
      </c>
      <c r="S1271" s="1868">
        <v>0.65575000000000006</v>
      </c>
      <c r="T1271" s="1868">
        <v>0.70806000000000002</v>
      </c>
      <c r="U1271" s="1868">
        <v>0.7409</v>
      </c>
      <c r="V1271" s="1868">
        <v>0.75236000000000003</v>
      </c>
      <c r="W1271" s="1868">
        <v>0.76558000000000004</v>
      </c>
      <c r="X1271" s="1868">
        <v>0.89812000000000003</v>
      </c>
      <c r="Y1271" s="1868">
        <v>0.87812999999999997</v>
      </c>
      <c r="Z1271" s="1868">
        <v>0.84032000000000007</v>
      </c>
      <c r="AA1271" s="1868">
        <v>0.83038999999999996</v>
      </c>
      <c r="AB1271" s="1868">
        <v>0.91262999999999994</v>
      </c>
      <c r="AC1271" s="1868">
        <v>0.90057000000000009</v>
      </c>
      <c r="AD1271" s="1868">
        <v>0.89885000000000004</v>
      </c>
      <c r="AE1271" s="1868">
        <v>0.95381000000000005</v>
      </c>
      <c r="AF1271" s="1868">
        <v>0.9075200000000001</v>
      </c>
      <c r="AG1271" s="1868">
        <v>0.81594999999999995</v>
      </c>
      <c r="AH1271" s="1868">
        <v>0.86137000000000008</v>
      </c>
      <c r="AI1271" s="1868">
        <v>0.84197999999999995</v>
      </c>
      <c r="AJ1271" s="1868">
        <v>0.87231000000000003</v>
      </c>
      <c r="AK1271" s="1868">
        <v>0.86553999999999998</v>
      </c>
      <c r="AL1271" s="1868">
        <v>0.90682999999999991</v>
      </c>
      <c r="AM1271" s="1868">
        <v>0.92762999999999995</v>
      </c>
      <c r="AN1271" s="1868">
        <v>0.90626000000000007</v>
      </c>
      <c r="AO1271" s="1868">
        <v>0.94192000000000009</v>
      </c>
      <c r="AP1271" s="1868">
        <v>0.97153999999999996</v>
      </c>
      <c r="AQ1271" s="1868">
        <v>0.91367999999999994</v>
      </c>
      <c r="AR1271" s="1868">
        <v>0.94781000000000004</v>
      </c>
      <c r="AS1271" s="1868">
        <v>0.94606000000000001</v>
      </c>
      <c r="AT1271" s="1868">
        <v>1.01247</v>
      </c>
      <c r="AU1271" s="1868">
        <v>1.0085600000000001</v>
      </c>
      <c r="AV1271" s="1868">
        <v>1.0852700000000002</v>
      </c>
      <c r="AW1271" s="1868">
        <v>1.1197299999999999</v>
      </c>
      <c r="AX1271" s="1868">
        <v>1.04077</v>
      </c>
      <c r="AY1271" s="1868">
        <v>1.1744299999999999</v>
      </c>
      <c r="AZ1271" s="1868">
        <v>1.1005499999999999</v>
      </c>
      <c r="BA1271" s="1868">
        <v>1.0805200000000001</v>
      </c>
    </row>
    <row r="1272" spans="1:53">
      <c r="A1272" s="1865" t="str">
        <f t="shared" si="19"/>
        <v>Western AsiaBananas</v>
      </c>
      <c r="B1272" s="1866" t="s">
        <v>1425</v>
      </c>
      <c r="C1272" s="1866" t="s">
        <v>1362</v>
      </c>
      <c r="D1272" s="1868">
        <v>8.8537300000000005</v>
      </c>
      <c r="E1272" s="1868">
        <v>9.4583700000000004</v>
      </c>
      <c r="F1272" s="1868">
        <v>9.0773600000000005</v>
      </c>
      <c r="G1272" s="1868">
        <v>8.0867599999999999</v>
      </c>
      <c r="H1272" s="1868">
        <v>8.8015699999999999</v>
      </c>
      <c r="I1272" s="1868">
        <v>9.5897800000000011</v>
      </c>
      <c r="J1272" s="1868">
        <v>9.5481300000000005</v>
      </c>
      <c r="K1272" s="1868">
        <v>9.1357600000000012</v>
      </c>
      <c r="L1272" s="1868">
        <v>10.856780000000001</v>
      </c>
      <c r="M1272" s="1868">
        <v>11.459860000000001</v>
      </c>
      <c r="N1272" s="1868">
        <v>11.047969999999999</v>
      </c>
      <c r="O1272" s="1868">
        <v>9.6577999999999999</v>
      </c>
      <c r="P1272" s="1868">
        <v>9.7944600000000008</v>
      </c>
      <c r="Q1272" s="1868">
        <v>10.201189999999999</v>
      </c>
      <c r="R1272" s="1868">
        <v>11.57005</v>
      </c>
      <c r="S1272" s="1868">
        <v>10.948460000000001</v>
      </c>
      <c r="T1272" s="1868">
        <v>12.136560000000001</v>
      </c>
      <c r="U1272" s="1868">
        <v>10.5929</v>
      </c>
      <c r="V1272" s="1868">
        <v>10.89495</v>
      </c>
      <c r="W1272" s="1868">
        <v>12.15424</v>
      </c>
      <c r="X1272" s="1868">
        <v>12.013110000000001</v>
      </c>
      <c r="Y1272" s="1868">
        <v>13.513450000000001</v>
      </c>
      <c r="Z1272" s="1868">
        <v>13.599129999999999</v>
      </c>
      <c r="AA1272" s="1868">
        <v>15.208420000000002</v>
      </c>
      <c r="AB1272" s="1868">
        <v>16.648050000000001</v>
      </c>
      <c r="AC1272" s="1868">
        <v>16.44689</v>
      </c>
      <c r="AD1272" s="1868">
        <v>17.58625</v>
      </c>
      <c r="AE1272" s="1868">
        <v>16.81503</v>
      </c>
      <c r="AF1272" s="1868">
        <v>15.147720000000001</v>
      </c>
      <c r="AG1272" s="1868">
        <v>14.73875</v>
      </c>
      <c r="AH1272" s="1868">
        <v>17.352070000000001</v>
      </c>
      <c r="AI1272" s="1868">
        <v>15.29889</v>
      </c>
      <c r="AJ1272" s="1868">
        <v>15.804670000000002</v>
      </c>
      <c r="AK1272" s="1868">
        <v>18.38448</v>
      </c>
      <c r="AL1272" s="1868">
        <v>19.05958</v>
      </c>
      <c r="AM1272" s="1868">
        <v>18.33135</v>
      </c>
      <c r="AN1272" s="1868">
        <v>18.73527</v>
      </c>
      <c r="AO1272" s="1868">
        <v>17.639229999999998</v>
      </c>
      <c r="AP1272" s="1868">
        <v>18.968160000000001</v>
      </c>
      <c r="AQ1272" s="1868">
        <v>16.725070000000002</v>
      </c>
      <c r="AR1272" s="1868">
        <v>17.7713</v>
      </c>
      <c r="AS1272" s="1868">
        <v>19.063549999999999</v>
      </c>
      <c r="AT1272" s="1868">
        <v>18.85754</v>
      </c>
      <c r="AU1272" s="1868">
        <v>23.610700000000001</v>
      </c>
      <c r="AV1272" s="1868">
        <v>23.41093</v>
      </c>
      <c r="AW1272" s="1868">
        <v>25.635159999999999</v>
      </c>
      <c r="AX1272" s="1868">
        <v>25.177120000000002</v>
      </c>
      <c r="AY1272" s="1868">
        <v>24.56316</v>
      </c>
      <c r="AZ1272" s="1868">
        <v>24.779299999999999</v>
      </c>
      <c r="BA1272" s="1868">
        <v>24.559479999999997</v>
      </c>
    </row>
    <row r="1273" spans="1:53">
      <c r="A1273" s="1865" t="str">
        <f t="shared" si="19"/>
        <v>Western AsiaBarley</v>
      </c>
      <c r="B1273" s="1866" t="s">
        <v>1425</v>
      </c>
      <c r="C1273" s="1866" t="s">
        <v>1363</v>
      </c>
      <c r="D1273" s="1868">
        <v>0.94566000000000006</v>
      </c>
      <c r="E1273" s="1868">
        <v>1.17364</v>
      </c>
      <c r="F1273" s="1868">
        <v>1.25749</v>
      </c>
      <c r="G1273" s="1868">
        <v>1.0433299999999999</v>
      </c>
      <c r="H1273" s="1868">
        <v>1.0914299999999999</v>
      </c>
      <c r="I1273" s="1868">
        <v>1.1602700000000001</v>
      </c>
      <c r="J1273" s="1868">
        <v>1.1933499999999999</v>
      </c>
      <c r="K1273" s="1868">
        <v>1.17977</v>
      </c>
      <c r="L1273" s="1868">
        <v>1.30762</v>
      </c>
      <c r="M1273" s="1868">
        <v>0.96179999999999999</v>
      </c>
      <c r="N1273" s="1868">
        <v>1.3450500000000001</v>
      </c>
      <c r="O1273" s="1868">
        <v>1.40703</v>
      </c>
      <c r="P1273" s="1868">
        <v>0.90380000000000005</v>
      </c>
      <c r="Q1273" s="1868">
        <v>1.18648</v>
      </c>
      <c r="R1273" s="1868">
        <v>1.3086200000000001</v>
      </c>
      <c r="S1273" s="1868">
        <v>1.4665999999999999</v>
      </c>
      <c r="T1273" s="1868">
        <v>1.30972</v>
      </c>
      <c r="U1273" s="1868">
        <v>1.4043299999999999</v>
      </c>
      <c r="V1273" s="1868">
        <v>1.3147</v>
      </c>
      <c r="W1273" s="1868">
        <v>1.5558700000000001</v>
      </c>
      <c r="X1273" s="1868">
        <v>1.5380100000000001</v>
      </c>
      <c r="Y1273" s="1868">
        <v>1.35426</v>
      </c>
      <c r="Z1273" s="1868">
        <v>1.2876700000000001</v>
      </c>
      <c r="AA1273" s="1868">
        <v>1.4228499999999999</v>
      </c>
      <c r="AB1273" s="1868">
        <v>1.40167</v>
      </c>
      <c r="AC1273" s="1868">
        <v>1.4478899999999999</v>
      </c>
      <c r="AD1273" s="1868">
        <v>1.4227799999999999</v>
      </c>
      <c r="AE1273" s="1868">
        <v>1.8108900000000001</v>
      </c>
      <c r="AF1273" s="1868">
        <v>0.81779999999999997</v>
      </c>
      <c r="AG1273" s="1868">
        <v>1.29132</v>
      </c>
      <c r="AH1273" s="1868">
        <v>1.3928799999999999</v>
      </c>
      <c r="AI1273" s="1868">
        <v>1.31494</v>
      </c>
      <c r="AJ1273" s="1868">
        <v>1.4790399999999999</v>
      </c>
      <c r="AK1273" s="1868">
        <v>1.5768</v>
      </c>
      <c r="AL1273" s="1868">
        <v>1.54237</v>
      </c>
      <c r="AM1273" s="1868">
        <v>1.6339700000000001</v>
      </c>
      <c r="AN1273" s="1868">
        <v>1.5526899999999999</v>
      </c>
      <c r="AO1273" s="1868">
        <v>1.64883</v>
      </c>
      <c r="AP1273" s="1868">
        <v>1.4023600000000001</v>
      </c>
      <c r="AQ1273" s="1868">
        <v>1.43082</v>
      </c>
      <c r="AR1273" s="1868">
        <v>1.6646900000000002</v>
      </c>
      <c r="AS1273" s="1868">
        <v>1.69475</v>
      </c>
      <c r="AT1273" s="1868">
        <v>1.7735599999999998</v>
      </c>
      <c r="AU1273" s="1868">
        <v>1.7766099999999998</v>
      </c>
      <c r="AV1273" s="1868">
        <v>1.8191200000000001</v>
      </c>
      <c r="AW1273" s="1868">
        <v>1.9302900000000001</v>
      </c>
      <c r="AX1273" s="1868">
        <v>1.5579399999999999</v>
      </c>
      <c r="AY1273" s="1868">
        <v>1.2547900000000001</v>
      </c>
      <c r="AZ1273" s="1868">
        <v>1.7643799999999998</v>
      </c>
      <c r="BA1273" s="1868">
        <v>1.64405</v>
      </c>
    </row>
    <row r="1274" spans="1:53">
      <c r="A1274" s="1865" t="str">
        <f t="shared" si="19"/>
        <v>Western AsiaBeans, dry</v>
      </c>
      <c r="B1274" s="1866" t="s">
        <v>1425</v>
      </c>
      <c r="C1274" s="1866" t="s">
        <v>1364</v>
      </c>
      <c r="D1274" s="1868">
        <v>1.1475500000000001</v>
      </c>
      <c r="E1274" s="1868">
        <v>1.07711</v>
      </c>
      <c r="F1274" s="1868">
        <v>1.2211399999999999</v>
      </c>
      <c r="G1274" s="1868">
        <v>1.2282899999999999</v>
      </c>
      <c r="H1274" s="1868">
        <v>1.23946</v>
      </c>
      <c r="I1274" s="1868">
        <v>1.2210299999999998</v>
      </c>
      <c r="J1274" s="1868">
        <v>1.2950900000000001</v>
      </c>
      <c r="K1274" s="1868">
        <v>1.2357</v>
      </c>
      <c r="L1274" s="1868">
        <v>1.22438</v>
      </c>
      <c r="M1274" s="1868">
        <v>1.36494</v>
      </c>
      <c r="N1274" s="1868">
        <v>1.44119</v>
      </c>
      <c r="O1274" s="1868">
        <v>1.46363</v>
      </c>
      <c r="P1274" s="1868">
        <v>1.41628</v>
      </c>
      <c r="Q1274" s="1868">
        <v>1.3408899999999999</v>
      </c>
      <c r="R1274" s="1868">
        <v>1.51556</v>
      </c>
      <c r="S1274" s="1868">
        <v>1.4770099999999999</v>
      </c>
      <c r="T1274" s="1868">
        <v>1.5015399999999999</v>
      </c>
      <c r="U1274" s="1868">
        <v>1.4931299999999998</v>
      </c>
      <c r="V1274" s="1868">
        <v>1.4558899999999999</v>
      </c>
      <c r="W1274" s="1868">
        <v>1.4247299999999998</v>
      </c>
      <c r="X1274" s="1868">
        <v>1.4720600000000001</v>
      </c>
      <c r="Y1274" s="1868">
        <v>1.50759</v>
      </c>
      <c r="Z1274" s="1868">
        <v>1.45539</v>
      </c>
      <c r="AA1274" s="1868">
        <v>1.4448099999999999</v>
      </c>
      <c r="AB1274" s="1868">
        <v>1.1456200000000001</v>
      </c>
      <c r="AC1274" s="1868">
        <v>1.1091899999999999</v>
      </c>
      <c r="AD1274" s="1868">
        <v>1.1788399999999999</v>
      </c>
      <c r="AE1274" s="1868">
        <v>1.21285</v>
      </c>
      <c r="AF1274" s="1868">
        <v>1.1170500000000001</v>
      </c>
      <c r="AG1274" s="1868">
        <v>1.24159</v>
      </c>
      <c r="AH1274" s="1868">
        <v>1.2037100000000001</v>
      </c>
      <c r="AI1274" s="1868">
        <v>1.2055200000000001</v>
      </c>
      <c r="AJ1274" s="1868">
        <v>1.23081</v>
      </c>
      <c r="AK1274" s="1868">
        <v>1.13564</v>
      </c>
      <c r="AL1274" s="1868">
        <v>1.3262499999999999</v>
      </c>
      <c r="AM1274" s="1868">
        <v>1.37002</v>
      </c>
      <c r="AN1274" s="1868">
        <v>1.3355700000000001</v>
      </c>
      <c r="AO1274" s="1868">
        <v>1.3568499999999999</v>
      </c>
      <c r="AP1274" s="1868">
        <v>1.34487</v>
      </c>
      <c r="AQ1274" s="1868">
        <v>1.2738200000000002</v>
      </c>
      <c r="AR1274" s="1868">
        <v>1.27884</v>
      </c>
      <c r="AS1274" s="1868">
        <v>1.37863</v>
      </c>
      <c r="AT1274" s="1868">
        <v>1.5282500000000001</v>
      </c>
      <c r="AU1274" s="1868">
        <v>1.57935</v>
      </c>
      <c r="AV1274" s="1868">
        <v>1.5810799999999998</v>
      </c>
      <c r="AW1274" s="1868">
        <v>1.53362</v>
      </c>
      <c r="AX1274" s="1868">
        <v>1.4663600000000001</v>
      </c>
      <c r="AY1274" s="1868">
        <v>1.61781</v>
      </c>
      <c r="AZ1274" s="1868">
        <v>1.86172</v>
      </c>
      <c r="BA1274" s="1868">
        <v>1.954</v>
      </c>
    </row>
    <row r="1275" spans="1:53">
      <c r="A1275" s="1865" t="str">
        <f t="shared" si="19"/>
        <v>Western AsiaBeans, green</v>
      </c>
      <c r="B1275" s="1866" t="s">
        <v>1425</v>
      </c>
      <c r="C1275" s="1866" t="s">
        <v>1365</v>
      </c>
      <c r="D1275" s="1868">
        <v>6.8226600000000008</v>
      </c>
      <c r="E1275" s="1868">
        <v>6.8903600000000003</v>
      </c>
      <c r="F1275" s="1868">
        <v>6.8861300000000005</v>
      </c>
      <c r="G1275" s="1868">
        <v>6.5893899999999999</v>
      </c>
      <c r="H1275" s="1868">
        <v>6.5748100000000003</v>
      </c>
      <c r="I1275" s="1868">
        <v>5.39961</v>
      </c>
      <c r="J1275" s="1868">
        <v>6.4266699999999997</v>
      </c>
      <c r="K1275" s="1868">
        <v>6.6243399999999992</v>
      </c>
      <c r="L1275" s="1868">
        <v>6.6027300000000002</v>
      </c>
      <c r="M1275" s="1868">
        <v>6.685410000000001</v>
      </c>
      <c r="N1275" s="1868">
        <v>6.66927</v>
      </c>
      <c r="O1275" s="1868">
        <v>6.7141699999999993</v>
      </c>
      <c r="P1275" s="1868">
        <v>6.4849800000000002</v>
      </c>
      <c r="Q1275" s="1868">
        <v>6.7387699999999997</v>
      </c>
      <c r="R1275" s="1868">
        <v>6.8045800000000005</v>
      </c>
      <c r="S1275" s="1868">
        <v>6.8623799999999999</v>
      </c>
      <c r="T1275" s="1868">
        <v>6.8878300000000001</v>
      </c>
      <c r="U1275" s="1868">
        <v>6.9735899999999997</v>
      </c>
      <c r="V1275" s="1868">
        <v>6.9950899999999994</v>
      </c>
      <c r="W1275" s="1868">
        <v>7.9329999999999998</v>
      </c>
      <c r="X1275" s="1868">
        <v>5.3761900000000002</v>
      </c>
      <c r="Y1275" s="1868">
        <v>6.2229999999999999</v>
      </c>
      <c r="Z1275" s="1868">
        <v>7.0776199999999996</v>
      </c>
      <c r="AA1275" s="1868">
        <v>8.2145600000000005</v>
      </c>
      <c r="AB1275" s="1868">
        <v>8.2240199999999994</v>
      </c>
      <c r="AC1275" s="1868">
        <v>8.1929600000000011</v>
      </c>
      <c r="AD1275" s="1868">
        <v>8.144680000000001</v>
      </c>
      <c r="AE1275" s="1868">
        <v>8.3923000000000005</v>
      </c>
      <c r="AF1275" s="1868">
        <v>8.4193600000000011</v>
      </c>
      <c r="AG1275" s="1868">
        <v>8.5275600000000011</v>
      </c>
      <c r="AH1275" s="1868">
        <v>8.3765499999999999</v>
      </c>
      <c r="AI1275" s="1868">
        <v>8.4674199999999988</v>
      </c>
      <c r="AJ1275" s="1868">
        <v>8.3944500000000009</v>
      </c>
      <c r="AK1275" s="1868">
        <v>8.3519100000000002</v>
      </c>
      <c r="AL1275" s="1868">
        <v>8.3735499999999998</v>
      </c>
      <c r="AM1275" s="1868">
        <v>8.3396899999999992</v>
      </c>
      <c r="AN1275" s="1868">
        <v>8.3096300000000003</v>
      </c>
      <c r="AO1275" s="1868">
        <v>8.5459199999999989</v>
      </c>
      <c r="AP1275" s="1868">
        <v>8.46706</v>
      </c>
      <c r="AQ1275" s="1868">
        <v>8.4419899999999988</v>
      </c>
      <c r="AR1275" s="1868">
        <v>8.4718600000000013</v>
      </c>
      <c r="AS1275" s="1868">
        <v>8.5981000000000005</v>
      </c>
      <c r="AT1275" s="1868">
        <v>8.4349699999999999</v>
      </c>
      <c r="AU1275" s="1868">
        <v>8.4548000000000005</v>
      </c>
      <c r="AV1275" s="1868">
        <v>8.3541500000000006</v>
      </c>
      <c r="AW1275" s="1868">
        <v>8.480830000000001</v>
      </c>
      <c r="AX1275" s="1868">
        <v>8.3848800000000008</v>
      </c>
      <c r="AY1275" s="1868">
        <v>8.4810300000000005</v>
      </c>
      <c r="AZ1275" s="1868">
        <v>8.5168199999999992</v>
      </c>
      <c r="BA1275" s="1868">
        <v>8.5106099999999998</v>
      </c>
    </row>
    <row r="1276" spans="1:53">
      <c r="A1276" s="1865" t="str">
        <f t="shared" si="19"/>
        <v>Western AsiaCarrots and turnips</v>
      </c>
      <c r="B1276" s="1866" t="s">
        <v>1425</v>
      </c>
      <c r="C1276" s="1866" t="s">
        <v>1366</v>
      </c>
      <c r="D1276" s="1868">
        <v>11.65236</v>
      </c>
      <c r="E1276" s="1868">
        <v>13.389610000000001</v>
      </c>
      <c r="F1276" s="1868">
        <v>12.821060000000001</v>
      </c>
      <c r="G1276" s="1868">
        <v>10.61246</v>
      </c>
      <c r="H1276" s="1868">
        <v>11.367989999999999</v>
      </c>
      <c r="I1276" s="1868">
        <v>14.31047</v>
      </c>
      <c r="J1276" s="1868">
        <v>14.721970000000001</v>
      </c>
      <c r="K1276" s="1868">
        <v>15.193899999999999</v>
      </c>
      <c r="L1276" s="1868">
        <v>17.363289999999999</v>
      </c>
      <c r="M1276" s="1868">
        <v>17.960249999999998</v>
      </c>
      <c r="N1276" s="1868">
        <v>16.910360000000001</v>
      </c>
      <c r="O1276" s="1868">
        <v>16.021739999999998</v>
      </c>
      <c r="P1276" s="1868">
        <v>17.094570000000001</v>
      </c>
      <c r="Q1276" s="1868">
        <v>17.035740000000001</v>
      </c>
      <c r="R1276" s="1868">
        <v>15.804860000000001</v>
      </c>
      <c r="S1276" s="1868">
        <v>17.040020000000002</v>
      </c>
      <c r="T1276" s="1868">
        <v>18.053339999999999</v>
      </c>
      <c r="U1276" s="1868">
        <v>17.854210000000002</v>
      </c>
      <c r="V1276" s="1868">
        <v>16.160350000000001</v>
      </c>
      <c r="W1276" s="1868">
        <v>14.300129999999999</v>
      </c>
      <c r="X1276" s="1868">
        <v>15.525399999999999</v>
      </c>
      <c r="Y1276" s="1868">
        <v>21.82874</v>
      </c>
      <c r="Z1276" s="1868">
        <v>19.792439999999999</v>
      </c>
      <c r="AA1276" s="1868">
        <v>20.836749999999999</v>
      </c>
      <c r="AB1276" s="1868">
        <v>21.77073</v>
      </c>
      <c r="AC1276" s="1868">
        <v>23.884510000000002</v>
      </c>
      <c r="AD1276" s="1868">
        <v>23.482009999999999</v>
      </c>
      <c r="AE1276" s="1868">
        <v>23.250489999999999</v>
      </c>
      <c r="AF1276" s="1868">
        <v>25.47418</v>
      </c>
      <c r="AG1276" s="1868">
        <v>25.899639999999998</v>
      </c>
      <c r="AH1276" s="1868">
        <v>21.359690000000001</v>
      </c>
      <c r="AI1276" s="1868">
        <v>22.457560000000001</v>
      </c>
      <c r="AJ1276" s="1868">
        <v>19.485800000000001</v>
      </c>
      <c r="AK1276" s="1868">
        <v>19.964089999999999</v>
      </c>
      <c r="AL1276" s="1868">
        <v>19.916429999999998</v>
      </c>
      <c r="AM1276" s="1868">
        <v>20.053290000000001</v>
      </c>
      <c r="AN1276" s="1868">
        <v>20.178979999999999</v>
      </c>
      <c r="AO1276" s="1868">
        <v>21.336639999999999</v>
      </c>
      <c r="AP1276" s="1868">
        <v>20.808050000000001</v>
      </c>
      <c r="AQ1276" s="1868">
        <v>21.579170000000001</v>
      </c>
      <c r="AR1276" s="1868">
        <v>21.305529999999997</v>
      </c>
      <c r="AS1276" s="1868">
        <v>22.449950000000001</v>
      </c>
      <c r="AT1276" s="1868">
        <v>19.647770000000001</v>
      </c>
      <c r="AU1276" s="1868">
        <v>19.288629999999998</v>
      </c>
      <c r="AV1276" s="1868">
        <v>19.570979999999999</v>
      </c>
      <c r="AW1276" s="1868">
        <v>21.710160000000002</v>
      </c>
      <c r="AX1276" s="1868">
        <v>20.98865</v>
      </c>
      <c r="AY1276" s="1868">
        <v>21.648900000000001</v>
      </c>
      <c r="AZ1276" s="1868">
        <v>21.29149</v>
      </c>
      <c r="BA1276" s="1868">
        <v>21.342300000000002</v>
      </c>
    </row>
    <row r="1277" spans="1:53">
      <c r="A1277" s="1865" t="str">
        <f t="shared" si="19"/>
        <v>Western AsiaCauliflowers and broccoli</v>
      </c>
      <c r="B1277" s="1866" t="s">
        <v>1425</v>
      </c>
      <c r="C1277" s="1866" t="s">
        <v>1369</v>
      </c>
      <c r="D1277" s="1868">
        <v>14.3041</v>
      </c>
      <c r="E1277" s="1868">
        <v>15.09728</v>
      </c>
      <c r="F1277" s="1868">
        <v>14.554550000000001</v>
      </c>
      <c r="G1277" s="1868">
        <v>14.28839</v>
      </c>
      <c r="H1277" s="1868">
        <v>14.297079999999999</v>
      </c>
      <c r="I1277" s="1868">
        <v>11.412800000000001</v>
      </c>
      <c r="J1277" s="1868">
        <v>12.69017</v>
      </c>
      <c r="K1277" s="1868">
        <v>10.491350000000001</v>
      </c>
      <c r="L1277" s="1868">
        <v>11.537100000000001</v>
      </c>
      <c r="M1277" s="1868">
        <v>11.96391</v>
      </c>
      <c r="N1277" s="1868">
        <v>11.55237</v>
      </c>
      <c r="O1277" s="1868">
        <v>13.679449999999999</v>
      </c>
      <c r="P1277" s="1868">
        <v>11.317219999999999</v>
      </c>
      <c r="Q1277" s="1868">
        <v>13.855739999999999</v>
      </c>
      <c r="R1277" s="1868">
        <v>15.34084</v>
      </c>
      <c r="S1277" s="1868">
        <v>16.146420000000003</v>
      </c>
      <c r="T1277" s="1868">
        <v>15.43857</v>
      </c>
      <c r="U1277" s="1868">
        <v>17.85228</v>
      </c>
      <c r="V1277" s="1868">
        <v>18.56409</v>
      </c>
      <c r="W1277" s="1868">
        <v>20.588239999999999</v>
      </c>
      <c r="X1277" s="1868">
        <v>20.61918</v>
      </c>
      <c r="Y1277" s="1868">
        <v>20.633470000000003</v>
      </c>
      <c r="Z1277" s="1868">
        <v>18.094750000000001</v>
      </c>
      <c r="AA1277" s="1868">
        <v>18.695329999999998</v>
      </c>
      <c r="AB1277" s="1868">
        <v>18.246010000000002</v>
      </c>
      <c r="AC1277" s="1868">
        <v>18.709039999999998</v>
      </c>
      <c r="AD1277" s="1868">
        <v>18.795310000000001</v>
      </c>
      <c r="AE1277" s="1868">
        <v>19.876539999999999</v>
      </c>
      <c r="AF1277" s="1868">
        <v>16.903829999999999</v>
      </c>
      <c r="AG1277" s="1868">
        <v>19.202929999999999</v>
      </c>
      <c r="AH1277" s="1868">
        <v>18.63954</v>
      </c>
      <c r="AI1277" s="1868">
        <v>18.93554</v>
      </c>
      <c r="AJ1277" s="1868">
        <v>18.222070000000002</v>
      </c>
      <c r="AK1277" s="1868">
        <v>19.18731</v>
      </c>
      <c r="AL1277" s="1868">
        <v>21.340949999999999</v>
      </c>
      <c r="AM1277" s="1868">
        <v>20.463920000000002</v>
      </c>
      <c r="AN1277" s="1868">
        <v>18.961389999999998</v>
      </c>
      <c r="AO1277" s="1868">
        <v>18.67155</v>
      </c>
      <c r="AP1277" s="1868">
        <v>17.78435</v>
      </c>
      <c r="AQ1277" s="1868">
        <v>19.95814</v>
      </c>
      <c r="AR1277" s="1868">
        <v>19.21669</v>
      </c>
      <c r="AS1277" s="1868">
        <v>19.929170000000003</v>
      </c>
      <c r="AT1277" s="1868">
        <v>18.84301</v>
      </c>
      <c r="AU1277" s="1868">
        <v>22.307470000000002</v>
      </c>
      <c r="AV1277" s="1868">
        <v>21.35117</v>
      </c>
      <c r="AW1277" s="1868">
        <v>20.534960000000002</v>
      </c>
      <c r="AX1277" s="1868">
        <v>21.5245</v>
      </c>
      <c r="AY1277" s="1868">
        <v>21.47758</v>
      </c>
      <c r="AZ1277" s="1868">
        <v>21.714779999999998</v>
      </c>
      <c r="BA1277" s="1868">
        <v>21.032800000000002</v>
      </c>
    </row>
    <row r="1278" spans="1:53">
      <c r="A1278" s="1865" t="str">
        <f t="shared" si="19"/>
        <v>Western AsiaCereals, nes</v>
      </c>
      <c r="B1278" s="1866" t="s">
        <v>1425</v>
      </c>
      <c r="C1278" s="1866" t="s">
        <v>1370</v>
      </c>
      <c r="D1278" s="1868">
        <v>0.9375</v>
      </c>
      <c r="E1278" s="1868">
        <v>0.9375</v>
      </c>
      <c r="F1278" s="1868">
        <v>0.9375</v>
      </c>
      <c r="G1278" s="1868">
        <v>0.94117999999999991</v>
      </c>
      <c r="H1278" s="1868">
        <v>0.94117999999999991</v>
      </c>
      <c r="I1278" s="1868">
        <v>0.94443999999999995</v>
      </c>
      <c r="J1278" s="1868">
        <v>0.97367999999999988</v>
      </c>
      <c r="K1278" s="1868">
        <v>0.97367999999999988</v>
      </c>
      <c r="L1278" s="1868">
        <v>0.97367999999999988</v>
      </c>
      <c r="M1278" s="1868">
        <v>0.95</v>
      </c>
      <c r="N1278" s="1868">
        <v>0.95</v>
      </c>
      <c r="O1278" s="1868">
        <v>0.92857000000000012</v>
      </c>
      <c r="P1278" s="1868">
        <v>0.95237999999999989</v>
      </c>
      <c r="Q1278" s="1868">
        <v>0.95237999999999989</v>
      </c>
      <c r="R1278" s="1868">
        <v>0.95237999999999989</v>
      </c>
      <c r="S1278" s="1868">
        <v>1</v>
      </c>
      <c r="T1278" s="1868">
        <v>1.05</v>
      </c>
      <c r="U1278" s="1868">
        <v>1.05</v>
      </c>
      <c r="V1278" s="1868">
        <v>1.05</v>
      </c>
      <c r="W1278" s="1868">
        <v>1.05</v>
      </c>
      <c r="X1278" s="1868">
        <v>1.02041</v>
      </c>
      <c r="Y1278" s="1868">
        <v>1.02041</v>
      </c>
      <c r="Z1278" s="1868">
        <v>1.02041</v>
      </c>
      <c r="AA1278" s="1868">
        <v>1.02041</v>
      </c>
      <c r="AB1278" s="1868">
        <v>1.02041</v>
      </c>
      <c r="AC1278" s="1868">
        <v>1.0588200000000001</v>
      </c>
      <c r="AD1278" s="1868">
        <v>1.11111</v>
      </c>
      <c r="AE1278" s="1868">
        <v>1.1413</v>
      </c>
      <c r="AF1278" s="1868">
        <v>1.1578999999999999</v>
      </c>
      <c r="AG1278" s="1868">
        <v>1.1499999999999999</v>
      </c>
      <c r="AH1278" s="1868">
        <v>0.95162999999999998</v>
      </c>
      <c r="AI1278" s="1868">
        <v>0.89737999999999996</v>
      </c>
      <c r="AJ1278" s="1868">
        <v>0.76651000000000002</v>
      </c>
      <c r="AK1278" s="1868">
        <v>0.70399999999999996</v>
      </c>
      <c r="AL1278" s="1868">
        <v>1.3235299999999999</v>
      </c>
      <c r="AM1278" s="1868">
        <v>1.33019</v>
      </c>
      <c r="AN1278" s="1868">
        <v>1.33945</v>
      </c>
      <c r="AO1278" s="1868">
        <v>1.8531599999999999</v>
      </c>
      <c r="AP1278" s="1868">
        <v>2.5336799999999999</v>
      </c>
      <c r="AQ1278" s="1868">
        <v>2.6400399999999999</v>
      </c>
      <c r="AR1278" s="1868">
        <v>3.3312499999999998</v>
      </c>
      <c r="AS1278" s="1868">
        <v>3.2187799999999998</v>
      </c>
      <c r="AT1278" s="1868">
        <v>1.2022299999999999</v>
      </c>
      <c r="AU1278" s="1868">
        <v>1.9063700000000001</v>
      </c>
      <c r="AV1278" s="1868">
        <v>1.6736200000000001</v>
      </c>
      <c r="AW1278" s="1868">
        <v>1.20906</v>
      </c>
      <c r="AX1278" s="1868">
        <v>2.31148</v>
      </c>
      <c r="AY1278" s="1868">
        <v>2.1044499999999999</v>
      </c>
      <c r="AZ1278" s="1868">
        <v>1.9964200000000001</v>
      </c>
      <c r="BA1278" s="1868">
        <v>1.82412</v>
      </c>
    </row>
    <row r="1279" spans="1:53">
      <c r="A1279" s="1865" t="str">
        <f t="shared" si="19"/>
        <v>Western AsiaChestnuts</v>
      </c>
      <c r="B1279" s="1866" t="s">
        <v>1425</v>
      </c>
      <c r="C1279" s="1866" t="s">
        <v>1371</v>
      </c>
      <c r="D1279" s="1868">
        <v>0.79142999999999997</v>
      </c>
      <c r="E1279" s="1868">
        <v>0.72338999999999998</v>
      </c>
      <c r="F1279" s="1868">
        <v>0.64810000000000001</v>
      </c>
      <c r="G1279" s="1868">
        <v>0.65306000000000008</v>
      </c>
      <c r="H1279" s="1868">
        <v>0.66</v>
      </c>
      <c r="I1279" s="1868">
        <v>0.63829999999999998</v>
      </c>
      <c r="J1279" s="1868">
        <v>0.71488999999999991</v>
      </c>
      <c r="K1279" s="1868">
        <v>1.15591</v>
      </c>
      <c r="L1279" s="1868">
        <v>1.21658</v>
      </c>
      <c r="M1279" s="1868">
        <v>1.21889</v>
      </c>
      <c r="N1279" s="1868">
        <v>1.2195100000000001</v>
      </c>
      <c r="O1279" s="1868">
        <v>1.23716</v>
      </c>
      <c r="P1279" s="1868">
        <v>1.2935299999999998</v>
      </c>
      <c r="Q1279" s="1868">
        <v>1.2</v>
      </c>
      <c r="R1279" s="1868">
        <v>1.10588</v>
      </c>
      <c r="S1279" s="1868">
        <v>1.1041700000000001</v>
      </c>
      <c r="T1279" s="1868">
        <v>1.0905</v>
      </c>
      <c r="U1279" s="1868">
        <v>1.0416700000000001</v>
      </c>
      <c r="V1279" s="1868">
        <v>1.0648200000000001</v>
      </c>
      <c r="W1279" s="1868">
        <v>1.8055599999999998</v>
      </c>
      <c r="X1279" s="1868">
        <v>1.84375</v>
      </c>
      <c r="Y1279" s="1868">
        <v>1.8644099999999999</v>
      </c>
      <c r="Z1279" s="1868">
        <v>1.8333299999999999</v>
      </c>
      <c r="AA1279" s="1868">
        <v>1.7272700000000001</v>
      </c>
      <c r="AB1279" s="1868">
        <v>2.09964</v>
      </c>
      <c r="AC1279" s="1868">
        <v>1.9125700000000001</v>
      </c>
      <c r="AD1279" s="1868">
        <v>2.4509799999999999</v>
      </c>
      <c r="AE1279" s="1868">
        <v>2.4390200000000002</v>
      </c>
      <c r="AF1279" s="1868">
        <v>1.9550099999999999</v>
      </c>
      <c r="AG1279" s="1868">
        <v>2.09754</v>
      </c>
      <c r="AH1279" s="1868">
        <v>2.0684400000000003</v>
      </c>
      <c r="AI1279" s="1868">
        <v>2.1736900000000001</v>
      </c>
      <c r="AJ1279" s="1868">
        <v>2.02718</v>
      </c>
      <c r="AK1279" s="1868">
        <v>1.9253400000000001</v>
      </c>
      <c r="AL1279" s="1868">
        <v>1.9355599999999999</v>
      </c>
      <c r="AM1279" s="1868">
        <v>1.6544000000000001</v>
      </c>
      <c r="AN1279" s="1868">
        <v>1.5135799999999999</v>
      </c>
      <c r="AO1279" s="1868">
        <v>1.44587</v>
      </c>
      <c r="AP1279" s="1868">
        <v>1.4587000000000001</v>
      </c>
      <c r="AQ1279" s="1868">
        <v>1.4213100000000001</v>
      </c>
      <c r="AR1279" s="1868">
        <v>1.34511</v>
      </c>
      <c r="AS1279" s="1868">
        <v>1.30054</v>
      </c>
      <c r="AT1279" s="1868">
        <v>1.3021399999999999</v>
      </c>
      <c r="AU1279" s="1868">
        <v>1.3078700000000001</v>
      </c>
      <c r="AV1279" s="1868">
        <v>1.3599299999999999</v>
      </c>
      <c r="AW1279" s="1868">
        <v>1.4836499999999999</v>
      </c>
      <c r="AX1279" s="1868">
        <v>1.4476599999999999</v>
      </c>
      <c r="AY1279" s="1868">
        <v>1.42665</v>
      </c>
      <c r="AZ1279" s="1868">
        <v>1.5827100000000001</v>
      </c>
      <c r="BA1279" s="1868">
        <v>1.54165</v>
      </c>
    </row>
    <row r="1280" spans="1:53">
      <c r="A1280" s="1865" t="str">
        <f t="shared" si="19"/>
        <v>Western AsiaCitrus fruit, nes</v>
      </c>
      <c r="B1280" s="1866" t="s">
        <v>1425</v>
      </c>
      <c r="C1280" s="1866" t="s">
        <v>1372</v>
      </c>
      <c r="D1280" s="1868">
        <v>4.7715399999999999</v>
      </c>
      <c r="E1280" s="1868">
        <v>4.4843000000000002</v>
      </c>
      <c r="F1280" s="1868">
        <v>3.6488099999999997</v>
      </c>
      <c r="G1280" s="1868">
        <v>3.0301</v>
      </c>
      <c r="H1280" s="1868">
        <v>4.1302699999999994</v>
      </c>
      <c r="I1280" s="1868">
        <v>3.9153800000000003</v>
      </c>
      <c r="J1280" s="1868">
        <v>4.2473800000000006</v>
      </c>
      <c r="K1280" s="1868">
        <v>5.8798500000000002</v>
      </c>
      <c r="L1280" s="1868">
        <v>5.7412300000000007</v>
      </c>
      <c r="M1280" s="1868">
        <v>5.6169500000000001</v>
      </c>
      <c r="N1280" s="1868">
        <v>5.8062699999999996</v>
      </c>
      <c r="O1280" s="1868">
        <v>6.0471900000000005</v>
      </c>
      <c r="P1280" s="1868">
        <v>7.2342500000000003</v>
      </c>
      <c r="Q1280" s="1868">
        <v>7.1398600000000005</v>
      </c>
      <c r="R1280" s="1868">
        <v>5.7305299999999999</v>
      </c>
      <c r="S1280" s="1868">
        <v>6.7280100000000003</v>
      </c>
      <c r="T1280" s="1868">
        <v>7.0502899999999995</v>
      </c>
      <c r="U1280" s="1868">
        <v>7.7069300000000007</v>
      </c>
      <c r="V1280" s="1868">
        <v>7.3143600000000006</v>
      </c>
      <c r="W1280" s="1868">
        <v>7.667489999999999</v>
      </c>
      <c r="X1280" s="1868">
        <v>7.3512100000000009</v>
      </c>
      <c r="Y1280" s="1868">
        <v>8.2479200000000006</v>
      </c>
      <c r="Z1280" s="1868">
        <v>8.0420699999999989</v>
      </c>
      <c r="AA1280" s="1868">
        <v>8.1055700000000002</v>
      </c>
      <c r="AB1280" s="1868">
        <v>7.2331300000000001</v>
      </c>
      <c r="AC1280" s="1868">
        <v>8.8660199999999989</v>
      </c>
      <c r="AD1280" s="1868">
        <v>10.36928</v>
      </c>
      <c r="AE1280" s="1868">
        <v>9.8982899999999994</v>
      </c>
      <c r="AF1280" s="1868">
        <v>11.85417</v>
      </c>
      <c r="AG1280" s="1868">
        <v>11.597339999999999</v>
      </c>
      <c r="AH1280" s="1868">
        <v>13.362039999999999</v>
      </c>
      <c r="AI1280" s="1868">
        <v>8.6302800000000008</v>
      </c>
      <c r="AJ1280" s="1868">
        <v>11.314819999999999</v>
      </c>
      <c r="AK1280" s="1868">
        <v>12.64977</v>
      </c>
      <c r="AL1280" s="1868">
        <v>11.970369999999999</v>
      </c>
      <c r="AM1280" s="1868">
        <v>12.935</v>
      </c>
      <c r="AN1280" s="1868">
        <v>13.96166</v>
      </c>
      <c r="AO1280" s="1868">
        <v>13.042119999999999</v>
      </c>
      <c r="AP1280" s="1868">
        <v>16.373739999999998</v>
      </c>
      <c r="AQ1280" s="1868">
        <v>17.436</v>
      </c>
      <c r="AR1280" s="1868">
        <v>21.39648</v>
      </c>
      <c r="AS1280" s="1868">
        <v>19.025549999999999</v>
      </c>
      <c r="AT1280" s="1868">
        <v>16.734920000000002</v>
      </c>
      <c r="AU1280" s="1868">
        <v>19.947110000000002</v>
      </c>
      <c r="AV1280" s="1868">
        <v>19.139020000000002</v>
      </c>
      <c r="AW1280" s="1868">
        <v>17.298570000000002</v>
      </c>
      <c r="AX1280" s="1868">
        <v>16.7422</v>
      </c>
      <c r="AY1280" s="1868">
        <v>15.76862</v>
      </c>
      <c r="AZ1280" s="1868">
        <v>15.37689</v>
      </c>
      <c r="BA1280" s="1868">
        <v>15.297270000000001</v>
      </c>
    </row>
    <row r="1281" spans="1:53">
      <c r="A1281" s="1865" t="str">
        <f t="shared" si="19"/>
        <v>Western AsiaCoffee, green</v>
      </c>
      <c r="B1281" s="1866" t="s">
        <v>1425</v>
      </c>
      <c r="C1281" s="1866" t="s">
        <v>1373</v>
      </c>
      <c r="D1281" s="1868">
        <v>0.44642999999999999</v>
      </c>
      <c r="E1281" s="1868">
        <v>0.44611999999999996</v>
      </c>
      <c r="F1281" s="1868">
        <v>0.44843</v>
      </c>
      <c r="G1281" s="1868">
        <v>0.45490000000000003</v>
      </c>
      <c r="H1281" s="1868">
        <v>0.44818000000000002</v>
      </c>
      <c r="I1281" s="1868">
        <v>0.44681999999999999</v>
      </c>
      <c r="J1281" s="1868">
        <v>0.45516999999999996</v>
      </c>
      <c r="K1281" s="1868">
        <v>0.45516999999999996</v>
      </c>
      <c r="L1281" s="1868">
        <v>0.44881000000000004</v>
      </c>
      <c r="M1281" s="1868">
        <v>0.45103999999999994</v>
      </c>
      <c r="N1281" s="1868">
        <v>0.45195000000000002</v>
      </c>
      <c r="O1281" s="1868">
        <v>0.44011000000000006</v>
      </c>
      <c r="P1281" s="1868">
        <v>0.44746000000000002</v>
      </c>
      <c r="Q1281" s="1868">
        <v>0.45038999999999996</v>
      </c>
      <c r="R1281" s="1868">
        <v>0.44722000000000001</v>
      </c>
      <c r="S1281" s="1868">
        <v>0.50717999999999996</v>
      </c>
      <c r="T1281" s="1868">
        <v>0.57379999999999998</v>
      </c>
      <c r="U1281" s="1868">
        <v>0.57718000000000003</v>
      </c>
      <c r="V1281" s="1868">
        <v>0.54398999999999997</v>
      </c>
      <c r="W1281" s="1868">
        <v>0.54431000000000007</v>
      </c>
      <c r="X1281" s="1868">
        <v>0.54913999999999996</v>
      </c>
      <c r="Y1281" s="1868">
        <v>0.54395000000000004</v>
      </c>
      <c r="Z1281" s="1868">
        <v>0.52224999999999999</v>
      </c>
      <c r="AA1281" s="1868">
        <v>0.31219999999999998</v>
      </c>
      <c r="AB1281" s="1868">
        <v>0.29396</v>
      </c>
      <c r="AC1281" s="1868">
        <v>0.29529</v>
      </c>
      <c r="AD1281" s="1868">
        <v>0.28442000000000001</v>
      </c>
      <c r="AE1281" s="1868">
        <v>0.33263000000000004</v>
      </c>
      <c r="AF1281" s="1868">
        <v>0.30659000000000003</v>
      </c>
      <c r="AG1281" s="1868">
        <v>0.29878000000000005</v>
      </c>
      <c r="AH1281" s="1868">
        <v>0.23605000000000001</v>
      </c>
      <c r="AI1281" s="1868">
        <v>0.34726000000000001</v>
      </c>
      <c r="AJ1281" s="1868">
        <v>0.35520000000000002</v>
      </c>
      <c r="AK1281" s="1868">
        <v>0.33685999999999999</v>
      </c>
      <c r="AL1281" s="1868">
        <v>0.32884999999999998</v>
      </c>
      <c r="AM1281" s="1868">
        <v>0.36276999999999998</v>
      </c>
      <c r="AN1281" s="1868">
        <v>0.32655000000000001</v>
      </c>
      <c r="AO1281" s="1868">
        <v>0.35224</v>
      </c>
      <c r="AP1281" s="1868">
        <v>0.34053</v>
      </c>
      <c r="AQ1281" s="1868">
        <v>0.33976999999999996</v>
      </c>
      <c r="AR1281" s="1868">
        <v>0.35391</v>
      </c>
      <c r="AS1281" s="1868">
        <v>0.34278999999999998</v>
      </c>
      <c r="AT1281" s="1868">
        <v>0.34484000000000004</v>
      </c>
      <c r="AU1281" s="1868">
        <v>0.36185</v>
      </c>
      <c r="AV1281" s="1868">
        <v>0.39315</v>
      </c>
      <c r="AW1281" s="1868">
        <v>0.53601999999999994</v>
      </c>
      <c r="AX1281" s="1868">
        <v>0.54681999999999997</v>
      </c>
      <c r="AY1281" s="1868">
        <v>0.54788000000000003</v>
      </c>
      <c r="AZ1281" s="1868">
        <v>0.54857</v>
      </c>
      <c r="BA1281" s="1868">
        <v>0.54811999999999994</v>
      </c>
    </row>
    <row r="1282" spans="1:53">
      <c r="A1282" s="1865" t="str">
        <f t="shared" si="19"/>
        <v>Western AsiaCow peas, dry</v>
      </c>
      <c r="B1282" s="1866" t="s">
        <v>1425</v>
      </c>
      <c r="C1282" s="1866" t="s">
        <v>1355</v>
      </c>
      <c r="D1282" s="1868">
        <v>0.63421000000000005</v>
      </c>
      <c r="E1282" s="1868">
        <v>0.68415000000000004</v>
      </c>
      <c r="F1282" s="1868">
        <v>0.65936000000000006</v>
      </c>
      <c r="G1282" s="1868">
        <v>0.89666000000000001</v>
      </c>
      <c r="H1282" s="1868">
        <v>1.02034</v>
      </c>
      <c r="I1282" s="1868">
        <v>1.0350600000000001</v>
      </c>
      <c r="J1282" s="1868">
        <v>0.89416000000000007</v>
      </c>
      <c r="K1282" s="1868">
        <v>0.93864999999999998</v>
      </c>
      <c r="L1282" s="1868">
        <v>0.77859999999999996</v>
      </c>
      <c r="M1282" s="1868">
        <v>0.95853999999999995</v>
      </c>
      <c r="N1282" s="1868">
        <v>0.94973999999999992</v>
      </c>
      <c r="O1282" s="1868">
        <v>0.91862999999999995</v>
      </c>
      <c r="P1282" s="1868">
        <v>0.78198000000000001</v>
      </c>
      <c r="Q1282" s="1868">
        <v>0.78254000000000001</v>
      </c>
      <c r="R1282" s="1868">
        <v>0.80549999999999999</v>
      </c>
      <c r="S1282" s="1868">
        <v>0.62111000000000005</v>
      </c>
      <c r="T1282" s="1868">
        <v>0.55032999999999999</v>
      </c>
      <c r="U1282" s="1868">
        <v>0.98578999999999994</v>
      </c>
      <c r="V1282" s="1868">
        <v>0.77801999999999993</v>
      </c>
      <c r="W1282" s="1868">
        <v>0.86176000000000008</v>
      </c>
      <c r="X1282" s="1868">
        <v>0.86424999999999996</v>
      </c>
      <c r="Y1282" s="1868">
        <v>0.83558999999999994</v>
      </c>
      <c r="Z1282" s="1868">
        <v>0.83758999999999995</v>
      </c>
      <c r="AA1282" s="1868">
        <v>0.97037999999999991</v>
      </c>
      <c r="AB1282" s="1868">
        <v>0.97402999999999995</v>
      </c>
      <c r="AC1282" s="1868">
        <v>0.89827000000000012</v>
      </c>
      <c r="AD1282" s="1868">
        <v>0.86504999999999999</v>
      </c>
      <c r="AE1282" s="1868">
        <v>0.88127000000000011</v>
      </c>
      <c r="AF1282" s="1868">
        <v>0.89023999999999992</v>
      </c>
      <c r="AG1282" s="1868">
        <v>0.91123999999999994</v>
      </c>
      <c r="AH1282" s="1868">
        <v>0.86957000000000007</v>
      </c>
      <c r="AI1282" s="1868">
        <v>0.95732000000000006</v>
      </c>
      <c r="AJ1282" s="1868">
        <v>0.96386000000000005</v>
      </c>
      <c r="AK1282" s="1868">
        <v>0.96318999999999999</v>
      </c>
      <c r="AL1282" s="1868">
        <v>0.96950999999999998</v>
      </c>
      <c r="AM1282" s="1868">
        <v>1.0123500000000001</v>
      </c>
      <c r="AN1282" s="1868">
        <v>1.0661100000000001</v>
      </c>
      <c r="AO1282" s="1868">
        <v>1</v>
      </c>
      <c r="AP1282" s="1868">
        <v>1.11513</v>
      </c>
      <c r="AQ1282" s="1868">
        <v>0.97058999999999995</v>
      </c>
      <c r="AR1282" s="1868">
        <v>1.12744</v>
      </c>
      <c r="AS1282" s="1868">
        <v>1.03725</v>
      </c>
      <c r="AT1282" s="1868">
        <v>0.94242000000000004</v>
      </c>
      <c r="AU1282" s="1868">
        <v>1.0122500000000001</v>
      </c>
      <c r="AV1282" s="1868">
        <v>1.0655700000000001</v>
      </c>
      <c r="AW1282" s="1868">
        <v>0.87878999999999996</v>
      </c>
      <c r="AX1282" s="1868">
        <v>0.88567999999999991</v>
      </c>
      <c r="AY1282" s="1868">
        <v>0.70025999999999999</v>
      </c>
      <c r="AZ1282" s="1868">
        <v>0.58411000000000002</v>
      </c>
      <c r="BA1282" s="1868">
        <v>0.70988000000000007</v>
      </c>
    </row>
    <row r="1283" spans="1:53">
      <c r="A1283" s="1865" t="str">
        <f t="shared" si="19"/>
        <v>Western AsiaDates</v>
      </c>
      <c r="B1283" s="1866" t="s">
        <v>1425</v>
      </c>
      <c r="C1283" s="1866" t="s">
        <v>1374</v>
      </c>
      <c r="D1283" s="1868">
        <v>12.66695</v>
      </c>
      <c r="E1283" s="1868">
        <v>13.932089999999999</v>
      </c>
      <c r="F1283" s="1868">
        <v>11.994769999999999</v>
      </c>
      <c r="G1283" s="1868">
        <v>11.77033</v>
      </c>
      <c r="H1283" s="1868">
        <v>11.05836</v>
      </c>
      <c r="I1283" s="1868">
        <v>12.836030000000001</v>
      </c>
      <c r="J1283" s="1868">
        <v>11.889560000000001</v>
      </c>
      <c r="K1283" s="1868">
        <v>10.34937</v>
      </c>
      <c r="L1283" s="1868">
        <v>14.322229999999999</v>
      </c>
      <c r="M1283" s="1868">
        <v>11.203250000000001</v>
      </c>
      <c r="N1283" s="1868">
        <v>13.3017</v>
      </c>
      <c r="O1283" s="1868">
        <v>9.9407600000000009</v>
      </c>
      <c r="P1283" s="1868">
        <v>12.30485</v>
      </c>
      <c r="Q1283" s="1868">
        <v>9.0222899999999999</v>
      </c>
      <c r="R1283" s="1868">
        <v>11.083349999999999</v>
      </c>
      <c r="S1283" s="1868">
        <v>8.0393699999999999</v>
      </c>
      <c r="T1283" s="1868">
        <v>12.08717</v>
      </c>
      <c r="U1283" s="1868">
        <v>9.6466899999999995</v>
      </c>
      <c r="V1283" s="1868">
        <v>10.49194</v>
      </c>
      <c r="W1283" s="1868">
        <v>10.84202</v>
      </c>
      <c r="X1283" s="1868">
        <v>8.6269500000000008</v>
      </c>
      <c r="Y1283" s="1868">
        <v>8.4767399999999995</v>
      </c>
      <c r="Z1283" s="1868">
        <v>9.4284499999999998</v>
      </c>
      <c r="AA1283" s="1868">
        <v>8.7141099999999998</v>
      </c>
      <c r="AB1283" s="1868">
        <v>4.89968</v>
      </c>
      <c r="AC1283" s="1868">
        <v>4.8154199999999996</v>
      </c>
      <c r="AD1283" s="1868">
        <v>4.82829</v>
      </c>
      <c r="AE1283" s="1868">
        <v>5.07212</v>
      </c>
      <c r="AF1283" s="1868">
        <v>5.1807999999999996</v>
      </c>
      <c r="AG1283" s="1868">
        <v>5.2503800000000007</v>
      </c>
      <c r="AH1283" s="1868">
        <v>5.57</v>
      </c>
      <c r="AI1283" s="1868">
        <v>5.2662399999999998</v>
      </c>
      <c r="AJ1283" s="1868">
        <v>5.4658499999999997</v>
      </c>
      <c r="AK1283" s="1868">
        <v>5.1744199999999996</v>
      </c>
      <c r="AL1283" s="1868">
        <v>5.6407400000000001</v>
      </c>
      <c r="AM1283" s="1868">
        <v>5.2564400000000004</v>
      </c>
      <c r="AN1283" s="1868">
        <v>5.4821300000000006</v>
      </c>
      <c r="AO1283" s="1868">
        <v>5.8099499999999997</v>
      </c>
      <c r="AP1283" s="1868">
        <v>5.0916499999999996</v>
      </c>
      <c r="AQ1283" s="1868">
        <v>5.5202999999999998</v>
      </c>
      <c r="AR1283" s="1868">
        <v>5.82334</v>
      </c>
      <c r="AS1283" s="1868">
        <v>5.64018</v>
      </c>
      <c r="AT1283" s="1868">
        <v>5.6928800000000006</v>
      </c>
      <c r="AU1283" s="1868">
        <v>5.12554</v>
      </c>
      <c r="AV1283" s="1868">
        <v>5.60609</v>
      </c>
      <c r="AW1283" s="1868">
        <v>5.1487400000000001</v>
      </c>
      <c r="AX1283" s="1868">
        <v>5.0574199999999996</v>
      </c>
      <c r="AY1283" s="1868">
        <v>5.2261300000000004</v>
      </c>
      <c r="AZ1283" s="1868">
        <v>5.1454300000000002</v>
      </c>
      <c r="BA1283" s="1868">
        <v>6.4356</v>
      </c>
    </row>
    <row r="1284" spans="1:53">
      <c r="A1284" s="1865" t="str">
        <f t="shared" ref="A1284:A1347" si="20">CONCATENATE(B1284,C1284)</f>
        <v>Western AsiaEggplants (aubergines)</v>
      </c>
      <c r="B1284" s="1866" t="s">
        <v>1425</v>
      </c>
      <c r="C1284" s="1866" t="s">
        <v>1375</v>
      </c>
      <c r="D1284" s="1868">
        <v>14.07559</v>
      </c>
      <c r="E1284" s="1868">
        <v>14.031639999999999</v>
      </c>
      <c r="F1284" s="1868">
        <v>14.236679999999998</v>
      </c>
      <c r="G1284" s="1868">
        <v>14.878970000000001</v>
      </c>
      <c r="H1284" s="1868">
        <v>14.614599999999999</v>
      </c>
      <c r="I1284" s="1868">
        <v>14.88364</v>
      </c>
      <c r="J1284" s="1868">
        <v>16.200770000000002</v>
      </c>
      <c r="K1284" s="1868">
        <v>14.948770000000001</v>
      </c>
      <c r="L1284" s="1868">
        <v>15.617050000000001</v>
      </c>
      <c r="M1284" s="1868">
        <v>15.7362</v>
      </c>
      <c r="N1284" s="1868">
        <v>15.800050000000001</v>
      </c>
      <c r="O1284" s="1868">
        <v>16.295939999999998</v>
      </c>
      <c r="P1284" s="1868">
        <v>15.635079999999999</v>
      </c>
      <c r="Q1284" s="1868">
        <v>15.71091</v>
      </c>
      <c r="R1284" s="1868">
        <v>17.063110000000002</v>
      </c>
      <c r="S1284" s="1868">
        <v>16.703199999999999</v>
      </c>
      <c r="T1284" s="1868">
        <v>16.896129999999999</v>
      </c>
      <c r="U1284" s="1868">
        <v>17.82668</v>
      </c>
      <c r="V1284" s="1868">
        <v>16.784110000000002</v>
      </c>
      <c r="W1284" s="1868">
        <v>17.363039999999998</v>
      </c>
      <c r="X1284" s="1868">
        <v>15.696539999999999</v>
      </c>
      <c r="Y1284" s="1868">
        <v>16.284839999999999</v>
      </c>
      <c r="Z1284" s="1868">
        <v>16.486339999999998</v>
      </c>
      <c r="AA1284" s="1868">
        <v>17.371179999999999</v>
      </c>
      <c r="AB1284" s="1868">
        <v>17.517510000000001</v>
      </c>
      <c r="AC1284" s="1868">
        <v>17.38072</v>
      </c>
      <c r="AD1284" s="1868">
        <v>18.149929999999998</v>
      </c>
      <c r="AE1284" s="1868">
        <v>20.285689999999999</v>
      </c>
      <c r="AF1284" s="1868">
        <v>19.370799999999999</v>
      </c>
      <c r="AG1284" s="1868">
        <v>19.59947</v>
      </c>
      <c r="AH1284" s="1868">
        <v>20.973500000000001</v>
      </c>
      <c r="AI1284" s="1868">
        <v>20.031979999999997</v>
      </c>
      <c r="AJ1284" s="1868">
        <v>21.950770000000002</v>
      </c>
      <c r="AK1284" s="1868">
        <v>22.405279999999998</v>
      </c>
      <c r="AL1284" s="1868">
        <v>22.071290000000001</v>
      </c>
      <c r="AM1284" s="1868">
        <v>23.0778</v>
      </c>
      <c r="AN1284" s="1868">
        <v>22.31025</v>
      </c>
      <c r="AO1284" s="1868">
        <v>23.233799999999999</v>
      </c>
      <c r="AP1284" s="1868">
        <v>23.01914</v>
      </c>
      <c r="AQ1284" s="1868">
        <v>23.548850000000002</v>
      </c>
      <c r="AR1284" s="1868">
        <v>19.732289999999999</v>
      </c>
      <c r="AS1284" s="1868">
        <v>22.140439999999998</v>
      </c>
      <c r="AT1284" s="1868">
        <v>22.14978</v>
      </c>
      <c r="AU1284" s="1868">
        <v>21.34882</v>
      </c>
      <c r="AV1284" s="1868">
        <v>21.575670000000002</v>
      </c>
      <c r="AW1284" s="1868">
        <v>21.399450000000002</v>
      </c>
      <c r="AX1284" s="1868">
        <v>21.839089999999999</v>
      </c>
      <c r="AY1284" s="1868">
        <v>23.261649999999999</v>
      </c>
      <c r="AZ1284" s="1868">
        <v>24.61317</v>
      </c>
      <c r="BA1284" s="1868">
        <v>26.10464</v>
      </c>
    </row>
    <row r="1285" spans="1:53">
      <c r="A1285" s="1865" t="str">
        <f t="shared" si="20"/>
        <v>Western AsiaGrapefruit (inc. pomelos)</v>
      </c>
      <c r="B1285" s="1866" t="s">
        <v>1425</v>
      </c>
      <c r="C1285" s="1866" t="s">
        <v>1377</v>
      </c>
      <c r="D1285" s="1868">
        <v>28.60127</v>
      </c>
      <c r="E1285" s="1868">
        <v>26.040389999999999</v>
      </c>
      <c r="F1285" s="1868">
        <v>28.614529999999998</v>
      </c>
      <c r="G1285" s="1868">
        <v>30.135179999999998</v>
      </c>
      <c r="H1285" s="1868">
        <v>28.509509999999999</v>
      </c>
      <c r="I1285" s="1868">
        <v>26.722950000000001</v>
      </c>
      <c r="J1285" s="1868">
        <v>33.651000000000003</v>
      </c>
      <c r="K1285" s="1868">
        <v>38.250979999999998</v>
      </c>
      <c r="L1285" s="1868">
        <v>38.025559999999999</v>
      </c>
      <c r="M1285" s="1868">
        <v>40.20355</v>
      </c>
      <c r="N1285" s="1868">
        <v>41.990380000000002</v>
      </c>
      <c r="O1285" s="1868">
        <v>38.916600000000003</v>
      </c>
      <c r="P1285" s="1868">
        <v>38.137149999999998</v>
      </c>
      <c r="Q1285" s="1868">
        <v>37.264590000000005</v>
      </c>
      <c r="R1285" s="1868">
        <v>43.904519999999998</v>
      </c>
      <c r="S1285" s="1868">
        <v>46.260020000000004</v>
      </c>
      <c r="T1285" s="1868">
        <v>50.268990000000002</v>
      </c>
      <c r="U1285" s="1868">
        <v>46.227759999999996</v>
      </c>
      <c r="V1285" s="1868">
        <v>50.439149999999998</v>
      </c>
      <c r="W1285" s="1868">
        <v>53.297130000000003</v>
      </c>
      <c r="X1285" s="1868">
        <v>48.56409</v>
      </c>
      <c r="Y1285" s="1868">
        <v>53.58569</v>
      </c>
      <c r="Z1285" s="1868">
        <v>55.032209999999999</v>
      </c>
      <c r="AA1285" s="1868">
        <v>48.60069</v>
      </c>
      <c r="AB1285" s="1868">
        <v>47.221600000000002</v>
      </c>
      <c r="AC1285" s="1868">
        <v>48.954830000000001</v>
      </c>
      <c r="AD1285" s="1868">
        <v>50.950379999999996</v>
      </c>
      <c r="AE1285" s="1868">
        <v>42.520969999999998</v>
      </c>
      <c r="AF1285" s="1868">
        <v>47.238779999999998</v>
      </c>
      <c r="AG1285" s="1868">
        <v>51.736460000000001</v>
      </c>
      <c r="AH1285" s="1868">
        <v>48.672709999999995</v>
      </c>
      <c r="AI1285" s="1868">
        <v>42.823740000000001</v>
      </c>
      <c r="AJ1285" s="1868">
        <v>43.161390000000004</v>
      </c>
      <c r="AK1285" s="1868">
        <v>37.848179999999999</v>
      </c>
      <c r="AL1285" s="1868">
        <v>45.865380000000002</v>
      </c>
      <c r="AM1285" s="1868">
        <v>42.472700000000003</v>
      </c>
      <c r="AN1285" s="1868">
        <v>44.522129999999997</v>
      </c>
      <c r="AO1285" s="1868">
        <v>42.282140000000005</v>
      </c>
      <c r="AP1285" s="1868">
        <v>49.747609999999995</v>
      </c>
      <c r="AQ1285" s="1868">
        <v>37.69849</v>
      </c>
      <c r="AR1285" s="1868">
        <v>53.186869999999992</v>
      </c>
      <c r="AS1285" s="1868">
        <v>43.300460000000001</v>
      </c>
      <c r="AT1285" s="1868">
        <v>45.091640000000005</v>
      </c>
      <c r="AU1285" s="1868">
        <v>40.355129999999996</v>
      </c>
      <c r="AV1285" s="1868">
        <v>51.415680000000002</v>
      </c>
      <c r="AW1285" s="1868">
        <v>53.316759999999995</v>
      </c>
      <c r="AX1285" s="1868">
        <v>42.262440000000005</v>
      </c>
      <c r="AY1285" s="1868">
        <v>44.72437</v>
      </c>
      <c r="AZ1285" s="1868">
        <v>47.85633</v>
      </c>
      <c r="BA1285" s="1868">
        <v>38.768659999999997</v>
      </c>
    </row>
    <row r="1286" spans="1:53">
      <c r="A1286" s="1865" t="str">
        <f t="shared" si="20"/>
        <v>Western AsiaGrapes</v>
      </c>
      <c r="B1286" s="1866" t="s">
        <v>1425</v>
      </c>
      <c r="C1286" s="1866" t="s">
        <v>1378</v>
      </c>
      <c r="D1286" s="1868">
        <v>4.0541199999999993</v>
      </c>
      <c r="E1286" s="1868">
        <v>4.1532200000000001</v>
      </c>
      <c r="F1286" s="1868">
        <v>3.2829000000000002</v>
      </c>
      <c r="G1286" s="1868">
        <v>3.5274800000000002</v>
      </c>
      <c r="H1286" s="1868">
        <v>4.1125099999999994</v>
      </c>
      <c r="I1286" s="1868">
        <v>3.7628599999999999</v>
      </c>
      <c r="J1286" s="1868">
        <v>4.1797000000000004</v>
      </c>
      <c r="K1286" s="1868">
        <v>4.3636900000000001</v>
      </c>
      <c r="L1286" s="1868">
        <v>4.3533800000000005</v>
      </c>
      <c r="M1286" s="1868">
        <v>4.46549</v>
      </c>
      <c r="N1286" s="1868">
        <v>4.4838500000000003</v>
      </c>
      <c r="O1286" s="1868">
        <v>4.0998900000000003</v>
      </c>
      <c r="P1286" s="1868">
        <v>4.02196</v>
      </c>
      <c r="Q1286" s="1868">
        <v>4.2463800000000003</v>
      </c>
      <c r="R1286" s="1868">
        <v>4.2641099999999996</v>
      </c>
      <c r="S1286" s="1868">
        <v>4.2273899999999998</v>
      </c>
      <c r="T1286" s="1868">
        <v>4.4157500000000001</v>
      </c>
      <c r="U1286" s="1868">
        <v>4.8191300000000004</v>
      </c>
      <c r="V1286" s="1868">
        <v>4.4007300000000003</v>
      </c>
      <c r="W1286" s="1868">
        <v>4.5664499999999997</v>
      </c>
      <c r="X1286" s="1868">
        <v>4.8793699999999998</v>
      </c>
      <c r="Y1286" s="1868">
        <v>5.7037900000000006</v>
      </c>
      <c r="Z1286" s="1868">
        <v>5.3898900000000003</v>
      </c>
      <c r="AA1286" s="1868">
        <v>5.71061</v>
      </c>
      <c r="AB1286" s="1868">
        <v>5.7981300000000005</v>
      </c>
      <c r="AC1286" s="1868">
        <v>5.58866</v>
      </c>
      <c r="AD1286" s="1868">
        <v>5.9894999999999996</v>
      </c>
      <c r="AE1286" s="1868">
        <v>6.2862900000000002</v>
      </c>
      <c r="AF1286" s="1868">
        <v>6.2161599999999995</v>
      </c>
      <c r="AG1286" s="1868">
        <v>6.4130000000000003</v>
      </c>
      <c r="AH1286" s="1868">
        <v>6.5270000000000001</v>
      </c>
      <c r="AI1286" s="1868">
        <v>5.8844900000000004</v>
      </c>
      <c r="AJ1286" s="1868">
        <v>6.4156699999999995</v>
      </c>
      <c r="AK1286" s="1868">
        <v>6.07768</v>
      </c>
      <c r="AL1286" s="1868">
        <v>6.5496999999999996</v>
      </c>
      <c r="AM1286" s="1868">
        <v>6.6277699999999999</v>
      </c>
      <c r="AN1286" s="1868">
        <v>6.5432800000000002</v>
      </c>
      <c r="AO1286" s="1868">
        <v>6.8954600000000008</v>
      </c>
      <c r="AP1286" s="1868">
        <v>6.4737200000000001</v>
      </c>
      <c r="AQ1286" s="1868">
        <v>6.8030999999999997</v>
      </c>
      <c r="AR1286" s="1868">
        <v>6.3863799999999999</v>
      </c>
      <c r="AS1286" s="1868">
        <v>7.0012399999999992</v>
      </c>
      <c r="AT1286" s="1868">
        <v>7.0618800000000004</v>
      </c>
      <c r="AU1286" s="1868">
        <v>6.6244199999999998</v>
      </c>
      <c r="AV1286" s="1868">
        <v>7.4860399999999991</v>
      </c>
      <c r="AW1286" s="1868">
        <v>7.9125800000000002</v>
      </c>
      <c r="AX1286" s="1868">
        <v>7.7418800000000001</v>
      </c>
      <c r="AY1286" s="1868">
        <v>8.103769999999999</v>
      </c>
      <c r="AZ1286" s="1868">
        <v>8.7283100000000005</v>
      </c>
      <c r="BA1286" s="1868">
        <v>8.795160000000001</v>
      </c>
    </row>
    <row r="1287" spans="1:53">
      <c r="A1287" s="1865" t="str">
        <f t="shared" si="20"/>
        <v>Western AsiaGroundnuts, with shell</v>
      </c>
      <c r="B1287" s="1866" t="s">
        <v>1425</v>
      </c>
      <c r="C1287" s="1866" t="s">
        <v>1379</v>
      </c>
      <c r="D1287" s="1868">
        <v>2.3686199999999999</v>
      </c>
      <c r="E1287" s="1868">
        <v>2.44339</v>
      </c>
      <c r="F1287" s="1868">
        <v>2.4587500000000002</v>
      </c>
      <c r="G1287" s="1868">
        <v>2.44468</v>
      </c>
      <c r="H1287" s="1868">
        <v>2.5685500000000001</v>
      </c>
      <c r="I1287" s="1868">
        <v>2.2838799999999999</v>
      </c>
      <c r="J1287" s="1868">
        <v>2.2212400000000003</v>
      </c>
      <c r="K1287" s="1868">
        <v>2.1785600000000001</v>
      </c>
      <c r="L1287" s="1868">
        <v>2.3319999999999999</v>
      </c>
      <c r="M1287" s="1868">
        <v>2.2982400000000003</v>
      </c>
      <c r="N1287" s="1868">
        <v>2.41432</v>
      </c>
      <c r="O1287" s="1868">
        <v>2.2561499999999999</v>
      </c>
      <c r="P1287" s="1868">
        <v>2.1992500000000001</v>
      </c>
      <c r="Q1287" s="1868">
        <v>2.1722000000000001</v>
      </c>
      <c r="R1287" s="1868">
        <v>2.0958200000000002</v>
      </c>
      <c r="S1287" s="1868">
        <v>2.4565599999999996</v>
      </c>
      <c r="T1287" s="1868">
        <v>2.3042599999999998</v>
      </c>
      <c r="U1287" s="1868">
        <v>2.3224499999999999</v>
      </c>
      <c r="V1287" s="1868">
        <v>2.25902</v>
      </c>
      <c r="W1287" s="1868">
        <v>2.1754199999999999</v>
      </c>
      <c r="X1287" s="1868">
        <v>2.49701</v>
      </c>
      <c r="Y1287" s="1868">
        <v>2.3353599999999997</v>
      </c>
      <c r="Z1287" s="1868">
        <v>2.3444599999999998</v>
      </c>
      <c r="AA1287" s="1868">
        <v>2.3663400000000001</v>
      </c>
      <c r="AB1287" s="1868">
        <v>2.84171</v>
      </c>
      <c r="AC1287" s="1868">
        <v>2.51505</v>
      </c>
      <c r="AD1287" s="1868">
        <v>2.5775900000000003</v>
      </c>
      <c r="AE1287" s="1868">
        <v>2.6293000000000002</v>
      </c>
      <c r="AF1287" s="1868">
        <v>2.6118799999999998</v>
      </c>
      <c r="AG1287" s="1868">
        <v>2.80138</v>
      </c>
      <c r="AH1287" s="1868">
        <v>2.6567099999999999</v>
      </c>
      <c r="AI1287" s="1868">
        <v>2.6862699999999999</v>
      </c>
      <c r="AJ1287" s="1868">
        <v>2.6935799999999999</v>
      </c>
      <c r="AK1287" s="1868">
        <v>2.6158399999999999</v>
      </c>
      <c r="AL1287" s="1868">
        <v>2.6863799999999998</v>
      </c>
      <c r="AM1287" s="1868">
        <v>2.6323599999999998</v>
      </c>
      <c r="AN1287" s="1868">
        <v>2.63767</v>
      </c>
      <c r="AO1287" s="1868">
        <v>2.9282699999999999</v>
      </c>
      <c r="AP1287" s="1868">
        <v>3.03295</v>
      </c>
      <c r="AQ1287" s="1868">
        <v>3.0996700000000001</v>
      </c>
      <c r="AR1287" s="1868">
        <v>2.8227199999999999</v>
      </c>
      <c r="AS1287" s="1868">
        <v>3.0488</v>
      </c>
      <c r="AT1287" s="1868">
        <v>3.4788699999999997</v>
      </c>
      <c r="AU1287" s="1868">
        <v>3.47519</v>
      </c>
      <c r="AV1287" s="1868">
        <v>3.6082999999999998</v>
      </c>
      <c r="AW1287" s="1868">
        <v>3.7137899999999999</v>
      </c>
      <c r="AX1287" s="1868">
        <v>3.6634800000000003</v>
      </c>
      <c r="AY1287" s="1868">
        <v>3.53965</v>
      </c>
      <c r="AZ1287" s="1868">
        <v>3.6709800000000001</v>
      </c>
      <c r="BA1287" s="1868">
        <v>3.5726</v>
      </c>
    </row>
    <row r="1288" spans="1:53">
      <c r="A1288" s="1865" t="str">
        <f t="shared" si="20"/>
        <v>Western AsiaLeguminous vegetables, nes</v>
      </c>
      <c r="B1288" s="1866" t="s">
        <v>1425</v>
      </c>
      <c r="C1288" s="1866" t="s">
        <v>1380</v>
      </c>
      <c r="D1288" s="1868">
        <v>5.39452</v>
      </c>
      <c r="E1288" s="1868">
        <v>5.8948099999999997</v>
      </c>
      <c r="F1288" s="1868">
        <v>5.7895000000000003</v>
      </c>
      <c r="G1288" s="1868">
        <v>4.7593500000000004</v>
      </c>
      <c r="H1288" s="1868">
        <v>5.0629300000000006</v>
      </c>
      <c r="I1288" s="1868">
        <v>5.5477400000000001</v>
      </c>
      <c r="J1288" s="1868">
        <v>5.2923999999999998</v>
      </c>
      <c r="K1288" s="1868">
        <v>5.5485600000000002</v>
      </c>
      <c r="L1288" s="1868">
        <v>4.9660500000000001</v>
      </c>
      <c r="M1288" s="1868">
        <v>5.13598</v>
      </c>
      <c r="N1288" s="1868">
        <v>6.0637400000000001</v>
      </c>
      <c r="O1288" s="1868">
        <v>5.27088</v>
      </c>
      <c r="P1288" s="1868">
        <v>4.93025</v>
      </c>
      <c r="Q1288" s="1868">
        <v>5.6196999999999999</v>
      </c>
      <c r="R1288" s="1868">
        <v>6.5718699999999997</v>
      </c>
      <c r="S1288" s="1868">
        <v>5.8578999999999999</v>
      </c>
      <c r="T1288" s="1868">
        <v>5.8804499999999997</v>
      </c>
      <c r="U1288" s="1868">
        <v>5.8538500000000004</v>
      </c>
      <c r="V1288" s="1868">
        <v>6.6700399999999993</v>
      </c>
      <c r="W1288" s="1868">
        <v>6.90937</v>
      </c>
      <c r="X1288" s="1868">
        <v>6.3966799999999999</v>
      </c>
      <c r="Y1288" s="1868">
        <v>6.816139999999999</v>
      </c>
      <c r="Z1288" s="1868">
        <v>6.7983500000000001</v>
      </c>
      <c r="AA1288" s="1868">
        <v>6.0405300000000004</v>
      </c>
      <c r="AB1288" s="1868">
        <v>5.5189599999999999</v>
      </c>
      <c r="AC1288" s="1868">
        <v>6.6160600000000009</v>
      </c>
      <c r="AD1288" s="1868">
        <v>6.7698999999999998</v>
      </c>
      <c r="AE1288" s="1868">
        <v>7.1463299999999998</v>
      </c>
      <c r="AF1288" s="1868">
        <v>6.2347999999999999</v>
      </c>
      <c r="AG1288" s="1868">
        <v>7.3141100000000003</v>
      </c>
      <c r="AH1288" s="1868">
        <v>6.9496699999999993</v>
      </c>
      <c r="AI1288" s="1868">
        <v>6.7770299999999999</v>
      </c>
      <c r="AJ1288" s="1868">
        <v>6.5891899999999994</v>
      </c>
      <c r="AK1288" s="1868">
        <v>6.6756199999999994</v>
      </c>
      <c r="AL1288" s="1868">
        <v>6.704839999999999</v>
      </c>
      <c r="AM1288" s="1868">
        <v>7.0274700000000001</v>
      </c>
      <c r="AN1288" s="1868">
        <v>6.601</v>
      </c>
      <c r="AO1288" s="1868">
        <v>6.3521800000000006</v>
      </c>
      <c r="AP1288" s="1868">
        <v>5.6142199999999995</v>
      </c>
      <c r="AQ1288" s="1868">
        <v>5.6513900000000001</v>
      </c>
      <c r="AR1288" s="1868">
        <v>5.4365800000000002</v>
      </c>
      <c r="AS1288" s="1868">
        <v>6.2339599999999997</v>
      </c>
      <c r="AT1288" s="1868">
        <v>6.8807800000000006</v>
      </c>
      <c r="AU1288" s="1868">
        <v>6.6037100000000004</v>
      </c>
      <c r="AV1288" s="1868">
        <v>6.6295800000000007</v>
      </c>
      <c r="AW1288" s="1868">
        <v>7.6594600000000002</v>
      </c>
      <c r="AX1288" s="1868">
        <v>7.2854999999999999</v>
      </c>
      <c r="AY1288" s="1868">
        <v>7.412910000000001</v>
      </c>
      <c r="AZ1288" s="1868">
        <v>7.7353500000000004</v>
      </c>
      <c r="BA1288" s="1868">
        <v>8.1698399999999989</v>
      </c>
    </row>
    <row r="1289" spans="1:53">
      <c r="A1289" s="1865" t="str">
        <f t="shared" si="20"/>
        <v>Western AsiaLinseed</v>
      </c>
      <c r="B1289" s="1866" t="s">
        <v>1425</v>
      </c>
      <c r="C1289" s="1866" t="s">
        <v>1381</v>
      </c>
      <c r="D1289" s="1868">
        <v>0.53005000000000002</v>
      </c>
      <c r="E1289" s="1868">
        <v>0.62412000000000001</v>
      </c>
      <c r="F1289" s="1868">
        <v>0.59219999999999995</v>
      </c>
      <c r="G1289" s="1868">
        <v>0.62095</v>
      </c>
      <c r="H1289" s="1868">
        <v>0.64663000000000004</v>
      </c>
      <c r="I1289" s="1868">
        <v>0.68594999999999995</v>
      </c>
      <c r="J1289" s="1868">
        <v>0.72311000000000003</v>
      </c>
      <c r="K1289" s="1868">
        <v>0.75975999999999999</v>
      </c>
      <c r="L1289" s="1868">
        <v>0.70779999999999998</v>
      </c>
      <c r="M1289" s="1868">
        <v>0.74028000000000005</v>
      </c>
      <c r="N1289" s="1868">
        <v>0.65163000000000004</v>
      </c>
      <c r="O1289" s="1868">
        <v>0.57308999999999999</v>
      </c>
      <c r="P1289" s="1868">
        <v>0.54891999999999996</v>
      </c>
      <c r="Q1289" s="1868">
        <v>0.55381999999999998</v>
      </c>
      <c r="R1289" s="1868">
        <v>0.58823999999999999</v>
      </c>
      <c r="S1289" s="1868">
        <v>0.63922999999999996</v>
      </c>
      <c r="T1289" s="1868">
        <v>0.60131000000000001</v>
      </c>
      <c r="U1289" s="1868">
        <v>0.65571999999999997</v>
      </c>
      <c r="V1289" s="1868">
        <v>0.47136999999999996</v>
      </c>
      <c r="W1289" s="1868">
        <v>0.37358000000000002</v>
      </c>
      <c r="X1289" s="1868">
        <v>0.30723</v>
      </c>
      <c r="Y1289" s="1868">
        <v>0.64293999999999996</v>
      </c>
      <c r="Z1289" s="1868">
        <v>0.38181999999999999</v>
      </c>
      <c r="AA1289" s="1868">
        <v>0.64438000000000006</v>
      </c>
      <c r="AB1289" s="1868">
        <v>0.64633999999999991</v>
      </c>
      <c r="AC1289" s="1868">
        <v>0.72268999999999994</v>
      </c>
      <c r="AD1289" s="1868">
        <v>0.76622000000000001</v>
      </c>
      <c r="AE1289" s="1868">
        <v>0.66546000000000005</v>
      </c>
      <c r="AF1289" s="1868">
        <v>0.59331999999999996</v>
      </c>
      <c r="AG1289" s="1868">
        <v>0.53332999999999997</v>
      </c>
      <c r="AH1289" s="1868">
        <v>0.62731999999999999</v>
      </c>
      <c r="AI1289" s="1868">
        <v>0.62844</v>
      </c>
      <c r="AJ1289" s="1868">
        <v>0.60455000000000003</v>
      </c>
      <c r="AK1289" s="1868">
        <v>0.49868999999999997</v>
      </c>
      <c r="AL1289" s="1868">
        <v>0.54471999999999998</v>
      </c>
      <c r="AM1289" s="1868">
        <v>0.56000000000000005</v>
      </c>
      <c r="AN1289" s="1868">
        <v>0.56471000000000005</v>
      </c>
      <c r="AO1289" s="1868">
        <v>0.54696</v>
      </c>
      <c r="AP1289" s="1868">
        <v>0.54051000000000005</v>
      </c>
      <c r="AQ1289" s="1868">
        <v>0.52022999999999997</v>
      </c>
      <c r="AR1289" s="1868">
        <v>0.48213999999999996</v>
      </c>
      <c r="AS1289" s="1868">
        <v>0.44</v>
      </c>
      <c r="AT1289" s="1868">
        <v>0.40278000000000003</v>
      </c>
      <c r="AU1289" s="1868">
        <v>0.37661999999999995</v>
      </c>
      <c r="AV1289" s="1868">
        <v>0.35624</v>
      </c>
      <c r="AW1289" s="1868">
        <v>0.42857000000000001</v>
      </c>
      <c r="AX1289" s="1868">
        <v>0.46861000000000003</v>
      </c>
      <c r="AY1289" s="1868">
        <v>0.48936000000000002</v>
      </c>
      <c r="AZ1289" s="1868">
        <v>0.49051000000000006</v>
      </c>
      <c r="BA1289" s="1868">
        <v>0.53823999999999994</v>
      </c>
    </row>
    <row r="1290" spans="1:53">
      <c r="A1290" s="1865" t="str">
        <f t="shared" si="20"/>
        <v>Western AsiaMaize</v>
      </c>
      <c r="B1290" s="1866" t="s">
        <v>1425</v>
      </c>
      <c r="C1290" s="1866" t="s">
        <v>1382</v>
      </c>
      <c r="D1290" s="1868">
        <v>1.36425</v>
      </c>
      <c r="E1290" s="1868">
        <v>1.1397899999999999</v>
      </c>
      <c r="F1290" s="1868">
        <v>1.3873500000000001</v>
      </c>
      <c r="G1290" s="1868">
        <v>1.3793899999999999</v>
      </c>
      <c r="H1290" s="1868">
        <v>1.3584000000000001</v>
      </c>
      <c r="I1290" s="1868">
        <v>1.4233</v>
      </c>
      <c r="J1290" s="1868">
        <v>1.4530299999999998</v>
      </c>
      <c r="K1290" s="1868">
        <v>1.4195</v>
      </c>
      <c r="L1290" s="1868">
        <v>1.4117500000000001</v>
      </c>
      <c r="M1290" s="1868">
        <v>1.4901799999999998</v>
      </c>
      <c r="N1290" s="1868">
        <v>1.6616799999999998</v>
      </c>
      <c r="O1290" s="1868">
        <v>1.58616</v>
      </c>
      <c r="P1290" s="1868">
        <v>1.66798</v>
      </c>
      <c r="Q1290" s="1868">
        <v>1.8074700000000001</v>
      </c>
      <c r="R1290" s="1868">
        <v>1.8946599999999998</v>
      </c>
      <c r="S1290" s="1868">
        <v>2.05728</v>
      </c>
      <c r="T1290" s="1868">
        <v>2.0803799999999999</v>
      </c>
      <c r="U1290" s="1868">
        <v>2.117</v>
      </c>
      <c r="V1290" s="1868">
        <v>2.1390599999999997</v>
      </c>
      <c r="W1290" s="1868">
        <v>2.0189900000000001</v>
      </c>
      <c r="X1290" s="1868">
        <v>1.9453799999999999</v>
      </c>
      <c r="Y1290" s="1868">
        <v>2.2147000000000001</v>
      </c>
      <c r="Z1290" s="1868">
        <v>2.4151199999999999</v>
      </c>
      <c r="AA1290" s="1868">
        <v>2.4928499999999998</v>
      </c>
      <c r="AB1290" s="1868">
        <v>3.1261200000000002</v>
      </c>
      <c r="AC1290" s="1868">
        <v>3.7207800000000004</v>
      </c>
      <c r="AD1290" s="1868">
        <v>3.7774400000000004</v>
      </c>
      <c r="AE1290" s="1868">
        <v>3.5304599999999997</v>
      </c>
      <c r="AF1290" s="1868">
        <v>3.5660699999999999</v>
      </c>
      <c r="AG1290" s="1868">
        <v>3.7374499999999999</v>
      </c>
      <c r="AH1290" s="1868">
        <v>3.8456099999999998</v>
      </c>
      <c r="AI1290" s="1868">
        <v>3.59795</v>
      </c>
      <c r="AJ1290" s="1868">
        <v>3.6820900000000001</v>
      </c>
      <c r="AK1290" s="1868">
        <v>3.3744499999999999</v>
      </c>
      <c r="AL1290" s="1868">
        <v>3.2656700000000001</v>
      </c>
      <c r="AM1290" s="1868">
        <v>3.4715800000000003</v>
      </c>
      <c r="AN1290" s="1868">
        <v>3.5413399999999999</v>
      </c>
      <c r="AO1290" s="1868">
        <v>3.5682400000000003</v>
      </c>
      <c r="AP1290" s="1868">
        <v>3.61069</v>
      </c>
      <c r="AQ1290" s="1868">
        <v>3.30905</v>
      </c>
      <c r="AR1290" s="1868">
        <v>3.3135500000000002</v>
      </c>
      <c r="AS1290" s="1868">
        <v>3.5151500000000002</v>
      </c>
      <c r="AT1290" s="1868">
        <v>4.1093400000000004</v>
      </c>
      <c r="AU1290" s="1868">
        <v>4.10541</v>
      </c>
      <c r="AV1290" s="1868">
        <v>4.9836599999999995</v>
      </c>
      <c r="AW1290" s="1868">
        <v>5.1873500000000003</v>
      </c>
      <c r="AX1290" s="1868">
        <v>5.0775699999999997</v>
      </c>
      <c r="AY1290" s="1868">
        <v>5.4560000000000004</v>
      </c>
      <c r="AZ1290" s="1868">
        <v>5.5799799999999999</v>
      </c>
      <c r="BA1290" s="1868">
        <v>5.5835900000000001</v>
      </c>
    </row>
    <row r="1291" spans="1:53">
      <c r="A1291" s="1865" t="str">
        <f t="shared" si="20"/>
        <v>Western AsiaMaize, green</v>
      </c>
      <c r="B1291" s="1866" t="s">
        <v>1425</v>
      </c>
      <c r="C1291" s="1866" t="s">
        <v>1383</v>
      </c>
      <c r="T1291" s="1868">
        <v>10</v>
      </c>
      <c r="U1291" s="1868">
        <v>9.523810000000001</v>
      </c>
      <c r="V1291" s="1868">
        <v>9.523810000000001</v>
      </c>
      <c r="W1291" s="1868">
        <v>9.6153899999999997</v>
      </c>
      <c r="X1291" s="1868">
        <v>10</v>
      </c>
      <c r="Y1291" s="1868">
        <v>10</v>
      </c>
      <c r="Z1291" s="1868">
        <v>10</v>
      </c>
      <c r="AA1291" s="1868">
        <v>11.428570000000001</v>
      </c>
      <c r="AB1291" s="1868">
        <v>12</v>
      </c>
      <c r="AC1291" s="1868">
        <v>13.357139999999999</v>
      </c>
      <c r="AD1291" s="1868">
        <v>13</v>
      </c>
      <c r="AE1291" s="1868">
        <v>1887.5</v>
      </c>
      <c r="AF1291" s="1868">
        <v>2313.3000000000002</v>
      </c>
      <c r="AG1291" s="1868">
        <v>2678.6666700000001</v>
      </c>
      <c r="AH1291" s="1868">
        <v>1921.2727300000001</v>
      </c>
      <c r="AI1291" s="1868">
        <v>512.45832999999993</v>
      </c>
      <c r="AJ1291" s="1868">
        <v>1012.66667</v>
      </c>
      <c r="AK1291" s="1868">
        <v>56.597700000000003</v>
      </c>
      <c r="AL1291" s="1868">
        <v>54.401380000000003</v>
      </c>
      <c r="AM1291" s="1868">
        <v>40.271630000000002</v>
      </c>
      <c r="AN1291" s="1868">
        <v>29.75807</v>
      </c>
      <c r="AO1291" s="1868">
        <v>37.565220000000004</v>
      </c>
      <c r="AP1291" s="1868">
        <v>30.777959999999997</v>
      </c>
      <c r="AQ1291" s="1868">
        <v>19.391929999999999</v>
      </c>
      <c r="AR1291" s="1868">
        <v>26.654940000000003</v>
      </c>
      <c r="AS1291" s="1868">
        <v>23.923739999999999</v>
      </c>
      <c r="AT1291" s="1868">
        <v>24.022220000000001</v>
      </c>
      <c r="AU1291" s="1868">
        <v>26.724209999999999</v>
      </c>
      <c r="AV1291" s="1868">
        <v>27.454229999999999</v>
      </c>
      <c r="AW1291" s="1868">
        <v>22.598779999999998</v>
      </c>
      <c r="AX1291" s="1868">
        <v>23.379239999999999</v>
      </c>
      <c r="AY1291" s="1868">
        <v>25.255979999999997</v>
      </c>
      <c r="AZ1291" s="1868">
        <v>26.669959999999996</v>
      </c>
      <c r="BA1291" s="1868">
        <v>27.30303</v>
      </c>
    </row>
    <row r="1292" spans="1:53">
      <c r="A1292" s="1865" t="str">
        <f t="shared" si="20"/>
        <v>Western AsiaMangoes, mangosteens, guavas</v>
      </c>
      <c r="B1292" s="1866" t="s">
        <v>1425</v>
      </c>
      <c r="C1292" s="1866" t="s">
        <v>1384</v>
      </c>
      <c r="D1292" s="1868">
        <v>4.6391800000000005</v>
      </c>
      <c r="E1292" s="1868">
        <v>4.7422699999999995</v>
      </c>
      <c r="F1292" s="1868">
        <v>4.6601900000000001</v>
      </c>
      <c r="G1292" s="1868">
        <v>4.4859800000000005</v>
      </c>
      <c r="H1292" s="1868">
        <v>4.4144100000000002</v>
      </c>
      <c r="I1292" s="1868">
        <v>4.6554599999999997</v>
      </c>
      <c r="J1292" s="1868">
        <v>5.3</v>
      </c>
      <c r="K1292" s="1868">
        <v>5.1176500000000003</v>
      </c>
      <c r="L1292" s="1868">
        <v>6.4038500000000003</v>
      </c>
      <c r="M1292" s="1868">
        <v>5.2381000000000002</v>
      </c>
      <c r="N1292" s="1868">
        <v>4.7619099999999994</v>
      </c>
      <c r="O1292" s="1868">
        <v>5.38462</v>
      </c>
      <c r="P1292" s="1868">
        <v>5.1655600000000002</v>
      </c>
      <c r="Q1292" s="1868">
        <v>5.4717000000000002</v>
      </c>
      <c r="R1292" s="1868">
        <v>5.5232599999999996</v>
      </c>
      <c r="S1292" s="1868">
        <v>5.7608699999999997</v>
      </c>
      <c r="T1292" s="1868">
        <v>1.7997599999999998</v>
      </c>
      <c r="U1292" s="1868">
        <v>1.46031</v>
      </c>
      <c r="V1292" s="1868">
        <v>2.3141599999999998</v>
      </c>
      <c r="W1292" s="1868">
        <v>2.3663500000000002</v>
      </c>
      <c r="X1292" s="1868">
        <v>2.90544</v>
      </c>
      <c r="Y1292" s="1868">
        <v>3.02203</v>
      </c>
      <c r="Z1292" s="1868">
        <v>3.1503299999999999</v>
      </c>
      <c r="AA1292" s="1868">
        <v>3.8780300000000003</v>
      </c>
      <c r="AB1292" s="1868">
        <v>4.5872400000000004</v>
      </c>
      <c r="AC1292" s="1868">
        <v>4.8966000000000003</v>
      </c>
      <c r="AD1292" s="1868">
        <v>4.8295199999999996</v>
      </c>
      <c r="AE1292" s="1868">
        <v>4.1923399999999997</v>
      </c>
      <c r="AF1292" s="1868">
        <v>4.9463699999999999</v>
      </c>
      <c r="AG1292" s="1868">
        <v>4.4279199999999994</v>
      </c>
      <c r="AH1292" s="1868">
        <v>5.3824199999999998</v>
      </c>
      <c r="AI1292" s="1868">
        <v>5.4945599999999999</v>
      </c>
      <c r="AJ1292" s="1868">
        <v>6.42483</v>
      </c>
      <c r="AK1292" s="1868">
        <v>6.3174700000000001</v>
      </c>
      <c r="AL1292" s="1868">
        <v>7.1052600000000004</v>
      </c>
      <c r="AM1292" s="1868">
        <v>7.68187</v>
      </c>
      <c r="AN1292" s="1868">
        <v>7.7636199999999995</v>
      </c>
      <c r="AO1292" s="1868">
        <v>7.1692600000000004</v>
      </c>
      <c r="AP1292" s="1868">
        <v>7.7334800000000001</v>
      </c>
      <c r="AQ1292" s="1868">
        <v>13.980379999999998</v>
      </c>
      <c r="AR1292" s="1868">
        <v>14.360729999999998</v>
      </c>
      <c r="AS1292" s="1868">
        <v>14.182539999999999</v>
      </c>
      <c r="AT1292" s="1868">
        <v>14.13659</v>
      </c>
      <c r="AU1292" s="1868">
        <v>14.777139999999999</v>
      </c>
      <c r="AV1292" s="1868">
        <v>15.08291</v>
      </c>
      <c r="AW1292" s="1868">
        <v>14.60045</v>
      </c>
      <c r="AX1292" s="1868">
        <v>15.789949999999999</v>
      </c>
      <c r="AY1292" s="1868">
        <v>16.292839999999998</v>
      </c>
      <c r="AZ1292" s="1868">
        <v>16.20308</v>
      </c>
      <c r="BA1292" s="1868">
        <v>15.930079999999998</v>
      </c>
    </row>
    <row r="1293" spans="1:53">
      <c r="A1293" s="1865" t="str">
        <f t="shared" si="20"/>
        <v>Western AsiaMillet</v>
      </c>
      <c r="B1293" s="1866" t="s">
        <v>1425</v>
      </c>
      <c r="C1293" s="1866" t="s">
        <v>1385</v>
      </c>
      <c r="D1293" s="1868">
        <v>1.01234</v>
      </c>
      <c r="E1293" s="1868">
        <v>1.0248600000000001</v>
      </c>
      <c r="F1293" s="1868">
        <v>1.0027600000000001</v>
      </c>
      <c r="G1293" s="1868">
        <v>1.04698</v>
      </c>
      <c r="H1293" s="1868">
        <v>1.05555</v>
      </c>
      <c r="I1293" s="1868">
        <v>0.97721000000000002</v>
      </c>
      <c r="J1293" s="1868">
        <v>1.13626</v>
      </c>
      <c r="K1293" s="1868">
        <v>1.0160899999999999</v>
      </c>
      <c r="L1293" s="1868">
        <v>1.34555</v>
      </c>
      <c r="M1293" s="1868">
        <v>1.1793799999999999</v>
      </c>
      <c r="N1293" s="1868">
        <v>1.22051</v>
      </c>
      <c r="O1293" s="1868">
        <v>1.18486</v>
      </c>
      <c r="P1293" s="1868">
        <v>1.13456</v>
      </c>
      <c r="Q1293" s="1868">
        <v>1.00254</v>
      </c>
      <c r="R1293" s="1868">
        <v>1.06768</v>
      </c>
      <c r="S1293" s="1868">
        <v>1.0303200000000001</v>
      </c>
      <c r="T1293" s="1868">
        <v>1.1110500000000001</v>
      </c>
      <c r="U1293" s="1868">
        <v>1.10416</v>
      </c>
      <c r="V1293" s="1868">
        <v>1.0814600000000001</v>
      </c>
      <c r="W1293" s="1868">
        <v>1.0462100000000001</v>
      </c>
      <c r="X1293" s="1868">
        <v>0.95369999999999999</v>
      </c>
      <c r="Y1293" s="1868">
        <v>0.84204999999999997</v>
      </c>
      <c r="Z1293" s="1868">
        <v>0.77756999999999998</v>
      </c>
      <c r="AA1293" s="1868">
        <v>0.76196000000000008</v>
      </c>
      <c r="AB1293" s="1868">
        <v>0.51968999999999999</v>
      </c>
      <c r="AC1293" s="1868">
        <v>0.63597000000000004</v>
      </c>
      <c r="AD1293" s="1868">
        <v>0.55703999999999998</v>
      </c>
      <c r="AE1293" s="1868">
        <v>0.52832000000000001</v>
      </c>
      <c r="AF1293" s="1868">
        <v>0.51154999999999995</v>
      </c>
      <c r="AG1293" s="1868">
        <v>0.44408999999999998</v>
      </c>
      <c r="AH1293" s="1868">
        <v>0.40448000000000001</v>
      </c>
      <c r="AI1293" s="1868">
        <v>0.70611999999999997</v>
      </c>
      <c r="AJ1293" s="1868">
        <v>0.70008000000000004</v>
      </c>
      <c r="AK1293" s="1868">
        <v>0.68220999999999998</v>
      </c>
      <c r="AL1293" s="1868">
        <v>0.70536999999999994</v>
      </c>
      <c r="AM1293" s="1868">
        <v>0.68020999999999998</v>
      </c>
      <c r="AN1293" s="1868">
        <v>0.71733000000000002</v>
      </c>
      <c r="AO1293" s="1868">
        <v>0.76316000000000006</v>
      </c>
      <c r="AP1293" s="1868">
        <v>0.69711999999999996</v>
      </c>
      <c r="AQ1293" s="1868">
        <v>0.71265000000000001</v>
      </c>
      <c r="AR1293" s="1868">
        <v>0.73819000000000001</v>
      </c>
      <c r="AS1293" s="1868">
        <v>0.68271000000000004</v>
      </c>
      <c r="AT1293" s="1868">
        <v>0.62423000000000006</v>
      </c>
      <c r="AU1293" s="1868">
        <v>0.76439000000000001</v>
      </c>
      <c r="AV1293" s="1868">
        <v>0.76386999999999994</v>
      </c>
      <c r="AW1293" s="1868">
        <v>0.81105000000000005</v>
      </c>
      <c r="AX1293" s="1868">
        <v>0.82871000000000006</v>
      </c>
      <c r="AY1293" s="1868">
        <v>0.73743000000000003</v>
      </c>
      <c r="AZ1293" s="1868">
        <v>0.74541999999999997</v>
      </c>
      <c r="BA1293" s="1868">
        <v>0.88008999999999993</v>
      </c>
    </row>
    <row r="1294" spans="1:53">
      <c r="A1294" s="1865" t="str">
        <f t="shared" si="20"/>
        <v>Western AsiaOats</v>
      </c>
      <c r="B1294" s="1866" t="s">
        <v>1425</v>
      </c>
      <c r="C1294" s="1866" t="s">
        <v>1349</v>
      </c>
      <c r="D1294" s="1868">
        <v>1.05199</v>
      </c>
      <c r="E1294" s="1868">
        <v>1.0944499999999999</v>
      </c>
      <c r="F1294" s="1868">
        <v>1.2416</v>
      </c>
      <c r="G1294" s="1868">
        <v>1.3329600000000001</v>
      </c>
      <c r="H1294" s="1868">
        <v>1.3468799999999999</v>
      </c>
      <c r="I1294" s="1868">
        <v>1.2726</v>
      </c>
      <c r="J1294" s="1868">
        <v>1.30365</v>
      </c>
      <c r="K1294" s="1868">
        <v>1.2290000000000001</v>
      </c>
      <c r="L1294" s="1868">
        <v>1.33317</v>
      </c>
      <c r="M1294" s="1868">
        <v>1.2917700000000001</v>
      </c>
      <c r="N1294" s="1868">
        <v>1.4646700000000001</v>
      </c>
      <c r="O1294" s="1868">
        <v>1.3435700000000002</v>
      </c>
      <c r="P1294" s="1868">
        <v>1.3516900000000001</v>
      </c>
      <c r="Q1294" s="1868">
        <v>1.37171</v>
      </c>
      <c r="R1294" s="1868">
        <v>1.48986</v>
      </c>
      <c r="S1294" s="1868">
        <v>1.6475500000000001</v>
      </c>
      <c r="T1294" s="1868">
        <v>1.6012600000000001</v>
      </c>
      <c r="U1294" s="1868">
        <v>1.62975</v>
      </c>
      <c r="V1294" s="1868">
        <v>1.6642400000000002</v>
      </c>
      <c r="W1294" s="1868">
        <v>1.79057</v>
      </c>
      <c r="X1294" s="1868">
        <v>1.7904099999999998</v>
      </c>
      <c r="Y1294" s="1868">
        <v>1.8703000000000001</v>
      </c>
      <c r="Z1294" s="1868">
        <v>1.8685599999999998</v>
      </c>
      <c r="AA1294" s="1868">
        <v>1.8221700000000001</v>
      </c>
      <c r="AB1294" s="1868">
        <v>1.8737099999999998</v>
      </c>
      <c r="AC1294" s="1868">
        <v>1.8841400000000001</v>
      </c>
      <c r="AD1294" s="1868">
        <v>1.81456</v>
      </c>
      <c r="AE1294" s="1868">
        <v>1.8393900000000001</v>
      </c>
      <c r="AF1294" s="1868">
        <v>1.5241200000000001</v>
      </c>
      <c r="AG1294" s="1868">
        <v>1.95478</v>
      </c>
      <c r="AH1294" s="1868">
        <v>1.9415</v>
      </c>
      <c r="AI1294" s="1868">
        <v>1.7528900000000001</v>
      </c>
      <c r="AJ1294" s="1868">
        <v>1.7303900000000001</v>
      </c>
      <c r="AK1294" s="1868">
        <v>1.60355</v>
      </c>
      <c r="AL1294" s="1868">
        <v>1.61659</v>
      </c>
      <c r="AM1294" s="1868">
        <v>1.6567599999999998</v>
      </c>
      <c r="AN1294" s="1868">
        <v>1.72882</v>
      </c>
      <c r="AO1294" s="1868">
        <v>1.8929200000000002</v>
      </c>
      <c r="AP1294" s="1868">
        <v>1.8234999999999999</v>
      </c>
      <c r="AQ1294" s="1868">
        <v>1.9695</v>
      </c>
      <c r="AR1294" s="1868">
        <v>1.7448099999999998</v>
      </c>
      <c r="AS1294" s="1868">
        <v>1.82795</v>
      </c>
      <c r="AT1294" s="1868">
        <v>2.0392399999999999</v>
      </c>
      <c r="AU1294" s="1868">
        <v>1.8522599999999998</v>
      </c>
      <c r="AV1294" s="1868">
        <v>2.0341499999999999</v>
      </c>
      <c r="AW1294" s="1868">
        <v>1.9614200000000002</v>
      </c>
      <c r="AX1294" s="1868">
        <v>1.9286700000000001</v>
      </c>
      <c r="AY1294" s="1868">
        <v>2.0874700000000002</v>
      </c>
      <c r="AZ1294" s="1868">
        <v>2.2398599999999997</v>
      </c>
      <c r="BA1294" s="1868">
        <v>2.1765500000000002</v>
      </c>
    </row>
    <row r="1295" spans="1:53">
      <c r="A1295" s="1865" t="str">
        <f t="shared" si="20"/>
        <v>Western AsiaOlives</v>
      </c>
      <c r="B1295" s="1866" t="s">
        <v>1425</v>
      </c>
      <c r="C1295" s="1866" t="s">
        <v>1387</v>
      </c>
      <c r="D1295" s="1868">
        <v>1.70167</v>
      </c>
      <c r="E1295" s="1868">
        <v>0.79581000000000002</v>
      </c>
      <c r="F1295" s="1868">
        <v>1.3662299999999998</v>
      </c>
      <c r="G1295" s="1868">
        <v>1.5045200000000001</v>
      </c>
      <c r="H1295" s="1868">
        <v>0.89007999999999998</v>
      </c>
      <c r="I1295" s="1868">
        <v>1.53851</v>
      </c>
      <c r="J1295" s="1868">
        <v>1.1881600000000001</v>
      </c>
      <c r="K1295" s="1868">
        <v>1.55226</v>
      </c>
      <c r="L1295" s="1868">
        <v>0.83274999999999999</v>
      </c>
      <c r="M1295" s="1868">
        <v>1.30698</v>
      </c>
      <c r="N1295" s="1868">
        <v>0.82711000000000001</v>
      </c>
      <c r="O1295" s="1868">
        <v>1.87212</v>
      </c>
      <c r="P1295" s="1868">
        <v>0.62634999999999996</v>
      </c>
      <c r="Q1295" s="1868">
        <v>1.66412</v>
      </c>
      <c r="R1295" s="1868">
        <v>1.06165</v>
      </c>
      <c r="S1295" s="1868">
        <v>1.84076</v>
      </c>
      <c r="T1295" s="1868">
        <v>0.80189999999999995</v>
      </c>
      <c r="U1295" s="1868">
        <v>1.9867099999999998</v>
      </c>
      <c r="V1295" s="1868">
        <v>0.83307000000000009</v>
      </c>
      <c r="W1295" s="1868">
        <v>2.3668999999999998</v>
      </c>
      <c r="X1295" s="1868">
        <v>0.80213000000000001</v>
      </c>
      <c r="Y1295" s="1868">
        <v>2.3268599999999999</v>
      </c>
      <c r="Z1295" s="1868">
        <v>0.75144</v>
      </c>
      <c r="AA1295" s="1868">
        <v>1.44615</v>
      </c>
      <c r="AB1295" s="1868">
        <v>1.01004</v>
      </c>
      <c r="AC1295" s="1868">
        <v>1.71648</v>
      </c>
      <c r="AD1295" s="1868">
        <v>1.0005600000000001</v>
      </c>
      <c r="AE1295" s="1868">
        <v>1.8190200000000001</v>
      </c>
      <c r="AF1295" s="1868">
        <v>0.73939999999999995</v>
      </c>
      <c r="AG1295" s="1868">
        <v>1.69859</v>
      </c>
      <c r="AH1295" s="1868">
        <v>0.93287000000000009</v>
      </c>
      <c r="AI1295" s="1868">
        <v>1.44424</v>
      </c>
      <c r="AJ1295" s="1868">
        <v>0.95492999999999995</v>
      </c>
      <c r="AK1295" s="1868">
        <v>1.9938200000000001</v>
      </c>
      <c r="AL1295" s="1868">
        <v>1.0229900000000001</v>
      </c>
      <c r="AM1295" s="1868">
        <v>2.25915</v>
      </c>
      <c r="AN1295" s="1868">
        <v>0.96732999999999991</v>
      </c>
      <c r="AO1295" s="1868">
        <v>2.18927</v>
      </c>
      <c r="AP1295" s="1868">
        <v>1.0186200000000001</v>
      </c>
      <c r="AQ1295" s="1868">
        <v>2.3702999999999999</v>
      </c>
      <c r="AR1295" s="1868">
        <v>1.0827899999999999</v>
      </c>
      <c r="AS1295" s="1868">
        <v>2.4141599999999999</v>
      </c>
      <c r="AT1295" s="1868">
        <v>1.29393</v>
      </c>
      <c r="AU1295" s="1868">
        <v>2.2084299999999999</v>
      </c>
      <c r="AV1295" s="1868">
        <v>1.5168700000000002</v>
      </c>
      <c r="AW1295" s="1868">
        <v>2.3245800000000001</v>
      </c>
      <c r="AX1295" s="1868">
        <v>1.2399500000000001</v>
      </c>
      <c r="AY1295" s="1868">
        <v>1.6829799999999999</v>
      </c>
      <c r="AZ1295" s="1868">
        <v>1.5802700000000001</v>
      </c>
      <c r="BA1295" s="1868">
        <v>1.63235</v>
      </c>
    </row>
    <row r="1296" spans="1:53">
      <c r="A1296" s="1865" t="str">
        <f t="shared" si="20"/>
        <v>Western AsiaOnions, dry</v>
      </c>
      <c r="B1296" s="1866" t="s">
        <v>1425</v>
      </c>
      <c r="C1296" s="1866" t="s">
        <v>1388</v>
      </c>
      <c r="D1296" s="1868">
        <v>7.437689999999999</v>
      </c>
      <c r="E1296" s="1868">
        <v>8.4167500000000004</v>
      </c>
      <c r="F1296" s="1868">
        <v>8.4117999999999995</v>
      </c>
      <c r="G1296" s="1868">
        <v>8.3879199999999994</v>
      </c>
      <c r="H1296" s="1868">
        <v>8.3926499999999997</v>
      </c>
      <c r="I1296" s="1868">
        <v>8.0264100000000003</v>
      </c>
      <c r="J1296" s="1868">
        <v>8.6878100000000007</v>
      </c>
      <c r="K1296" s="1868">
        <v>8.766119999999999</v>
      </c>
      <c r="L1296" s="1868">
        <v>8.8572100000000002</v>
      </c>
      <c r="M1296" s="1868">
        <v>9.4273199999999999</v>
      </c>
      <c r="N1296" s="1868">
        <v>9.2019000000000002</v>
      </c>
      <c r="O1296" s="1868">
        <v>9.2809799999999996</v>
      </c>
      <c r="P1296" s="1868">
        <v>9.83873</v>
      </c>
      <c r="Q1296" s="1868">
        <v>10.85962</v>
      </c>
      <c r="R1296" s="1868">
        <v>11.170719999999999</v>
      </c>
      <c r="S1296" s="1868">
        <v>11.91508</v>
      </c>
      <c r="T1296" s="1868">
        <v>12.469139999999999</v>
      </c>
      <c r="U1296" s="1868">
        <v>13.08507</v>
      </c>
      <c r="V1296" s="1868">
        <v>14.886760000000001</v>
      </c>
      <c r="W1296" s="1868">
        <v>12.962</v>
      </c>
      <c r="X1296" s="1868">
        <v>13.884779999999999</v>
      </c>
      <c r="Y1296" s="1868">
        <v>13.97189</v>
      </c>
      <c r="Z1296" s="1868">
        <v>14.023400000000001</v>
      </c>
      <c r="AA1296" s="1868">
        <v>14.56354</v>
      </c>
      <c r="AB1296" s="1868">
        <v>14.38463</v>
      </c>
      <c r="AC1296" s="1868">
        <v>16.672429999999999</v>
      </c>
      <c r="AD1296" s="1868">
        <v>16.317409999999999</v>
      </c>
      <c r="AE1296" s="1868">
        <v>16.647179999999999</v>
      </c>
      <c r="AF1296" s="1868">
        <v>15.95679</v>
      </c>
      <c r="AG1296" s="1868">
        <v>16.804179999999999</v>
      </c>
      <c r="AH1296" s="1868">
        <v>17.153570000000002</v>
      </c>
      <c r="AI1296" s="1868">
        <v>17.5778</v>
      </c>
      <c r="AJ1296" s="1868">
        <v>18.146139999999999</v>
      </c>
      <c r="AK1296" s="1868">
        <v>18.170089999999998</v>
      </c>
      <c r="AL1296" s="1868">
        <v>18.980779999999999</v>
      </c>
      <c r="AM1296" s="1868">
        <v>17.877470000000002</v>
      </c>
      <c r="AN1296" s="1868">
        <v>18.347809999999999</v>
      </c>
      <c r="AO1296" s="1868">
        <v>18.62406</v>
      </c>
      <c r="AP1296" s="1868">
        <v>19.83785</v>
      </c>
      <c r="AQ1296" s="1868">
        <v>20.093220000000002</v>
      </c>
      <c r="AR1296" s="1868">
        <v>19.084670000000003</v>
      </c>
      <c r="AS1296" s="1868">
        <v>20.011189999999999</v>
      </c>
      <c r="AT1296" s="1868">
        <v>18.33399</v>
      </c>
      <c r="AU1296" s="1868">
        <v>21.446010000000001</v>
      </c>
      <c r="AV1296" s="1868">
        <v>21.107679999999998</v>
      </c>
      <c r="AW1296" s="1868">
        <v>21.22982</v>
      </c>
      <c r="AX1296" s="1868">
        <v>21.817489999999999</v>
      </c>
      <c r="AY1296" s="1868">
        <v>21.42238</v>
      </c>
      <c r="AZ1296" s="1868">
        <v>22.6721</v>
      </c>
      <c r="BA1296" s="1868">
        <v>23.0365</v>
      </c>
    </row>
    <row r="1297" spans="1:53">
      <c r="A1297" s="1865" t="str">
        <f t="shared" si="20"/>
        <v>Western AsiaOranges</v>
      </c>
      <c r="B1297" s="1866" t="s">
        <v>1425</v>
      </c>
      <c r="C1297" s="1866" t="s">
        <v>1389</v>
      </c>
      <c r="D1297" s="1868">
        <v>15.78731</v>
      </c>
      <c r="E1297" s="1868">
        <v>16.8813</v>
      </c>
      <c r="F1297" s="1868">
        <v>16.582070000000002</v>
      </c>
      <c r="G1297" s="1868">
        <v>16.745370000000001</v>
      </c>
      <c r="H1297" s="1868">
        <v>17.586069999999999</v>
      </c>
      <c r="I1297" s="1868">
        <v>17.30076</v>
      </c>
      <c r="J1297" s="1868">
        <v>20.063420000000001</v>
      </c>
      <c r="K1297" s="1868">
        <v>23.362479999999998</v>
      </c>
      <c r="L1297" s="1868">
        <v>21.226400000000002</v>
      </c>
      <c r="M1297" s="1868">
        <v>23.083939999999998</v>
      </c>
      <c r="N1297" s="1868">
        <v>25.587489999999999</v>
      </c>
      <c r="O1297" s="1868">
        <v>27.544340000000002</v>
      </c>
      <c r="P1297" s="1868">
        <v>28.262809999999998</v>
      </c>
      <c r="Q1297" s="1868">
        <v>28.437270000000002</v>
      </c>
      <c r="R1297" s="1868">
        <v>27.900099999999998</v>
      </c>
      <c r="S1297" s="1868">
        <v>28.156470000000002</v>
      </c>
      <c r="T1297" s="1868">
        <v>29.5367</v>
      </c>
      <c r="U1297" s="1868">
        <v>30.065770000000001</v>
      </c>
      <c r="V1297" s="1868">
        <v>30.418050000000001</v>
      </c>
      <c r="W1297" s="1868">
        <v>29.173770000000001</v>
      </c>
      <c r="X1297" s="1868">
        <v>27.178450000000002</v>
      </c>
      <c r="Y1297" s="1868">
        <v>31.41732</v>
      </c>
      <c r="Z1297" s="1868">
        <v>29.810570000000002</v>
      </c>
      <c r="AA1297" s="1868">
        <v>31.117459999999998</v>
      </c>
      <c r="AB1297" s="1868">
        <v>18.66412</v>
      </c>
      <c r="AC1297" s="1868">
        <v>18.896899999999999</v>
      </c>
      <c r="AD1297" s="1868">
        <v>20.761559999999999</v>
      </c>
      <c r="AE1297" s="1868">
        <v>18.679729999999999</v>
      </c>
      <c r="AF1297" s="1868">
        <v>17.554270000000002</v>
      </c>
      <c r="AG1297" s="1868">
        <v>19.781690000000001</v>
      </c>
      <c r="AH1297" s="1868">
        <v>17.87988</v>
      </c>
      <c r="AI1297" s="1868">
        <v>15.210900000000001</v>
      </c>
      <c r="AJ1297" s="1868">
        <v>14.241339999999999</v>
      </c>
      <c r="AK1297" s="1868">
        <v>15.483629999999998</v>
      </c>
      <c r="AL1297" s="1868">
        <v>18.628689999999999</v>
      </c>
      <c r="AM1297" s="1868">
        <v>19.67212</v>
      </c>
      <c r="AN1297" s="1868">
        <v>17.343540000000001</v>
      </c>
      <c r="AO1297" s="1868">
        <v>20.780629999999999</v>
      </c>
      <c r="AP1297" s="1868">
        <v>20.757899999999999</v>
      </c>
      <c r="AQ1297" s="1868">
        <v>20.948550000000001</v>
      </c>
      <c r="AR1297" s="1868">
        <v>23.469720000000002</v>
      </c>
      <c r="AS1297" s="1868">
        <v>22.48076</v>
      </c>
      <c r="AT1297" s="1868">
        <v>20.681789999999999</v>
      </c>
      <c r="AU1297" s="1868">
        <v>21.17578</v>
      </c>
      <c r="AV1297" s="1868">
        <v>22.677289999999999</v>
      </c>
      <c r="AW1297" s="1868">
        <v>23.613350000000001</v>
      </c>
      <c r="AX1297" s="1868">
        <v>22.75132</v>
      </c>
      <c r="AY1297" s="1868">
        <v>20.888200000000001</v>
      </c>
      <c r="AZ1297" s="1868">
        <v>22.642189999999999</v>
      </c>
      <c r="BA1297" s="1868">
        <v>21.691549999999999</v>
      </c>
    </row>
    <row r="1298" spans="1:53">
      <c r="A1298" s="1865" t="str">
        <f t="shared" si="20"/>
        <v>Western AsiaPeaches and nectarines</v>
      </c>
      <c r="B1298" s="1866" t="s">
        <v>1425</v>
      </c>
      <c r="C1298" s="1866" t="s">
        <v>1390</v>
      </c>
      <c r="D1298" s="1868">
        <v>8.71814</v>
      </c>
      <c r="E1298" s="1868">
        <v>6.7642300000000004</v>
      </c>
      <c r="F1298" s="1868">
        <v>5.9323600000000001</v>
      </c>
      <c r="G1298" s="1868">
        <v>10.173110000000001</v>
      </c>
      <c r="H1298" s="1868">
        <v>6.7663399999999996</v>
      </c>
      <c r="I1298" s="1868">
        <v>6.3074300000000001</v>
      </c>
      <c r="J1298" s="1868">
        <v>9.7399300000000011</v>
      </c>
      <c r="K1298" s="1868">
        <v>10.11842</v>
      </c>
      <c r="L1298" s="1868">
        <v>6.8758800000000004</v>
      </c>
      <c r="M1298" s="1868">
        <v>9.8955800000000007</v>
      </c>
      <c r="N1298" s="1868">
        <v>8.06968</v>
      </c>
      <c r="O1298" s="1868">
        <v>11.87843</v>
      </c>
      <c r="P1298" s="1868">
        <v>10.81024</v>
      </c>
      <c r="Q1298" s="1868">
        <v>11.67549</v>
      </c>
      <c r="R1298" s="1868">
        <v>14.56964</v>
      </c>
      <c r="S1298" s="1868">
        <v>14.003379999999998</v>
      </c>
      <c r="T1298" s="1868">
        <v>13.14166</v>
      </c>
      <c r="U1298" s="1868">
        <v>15.932029999999999</v>
      </c>
      <c r="V1298" s="1868">
        <v>14.78064</v>
      </c>
      <c r="W1298" s="1868">
        <v>15.183179999999998</v>
      </c>
      <c r="X1298" s="1868">
        <v>16.714310000000001</v>
      </c>
      <c r="Y1298" s="1868">
        <v>16.110009999999999</v>
      </c>
      <c r="Z1298" s="1868">
        <v>15.837129999999998</v>
      </c>
      <c r="AA1298" s="1868">
        <v>13.662460000000001</v>
      </c>
      <c r="AB1298" s="1868">
        <v>11.29932</v>
      </c>
      <c r="AC1298" s="1868">
        <v>13.763489999999999</v>
      </c>
      <c r="AD1298" s="1868">
        <v>11.50432</v>
      </c>
      <c r="AE1298" s="1868">
        <v>14.101779999999998</v>
      </c>
      <c r="AF1298" s="1868">
        <v>13.384679999999999</v>
      </c>
      <c r="AG1298" s="1868">
        <v>13.96265</v>
      </c>
      <c r="AH1298" s="1868">
        <v>13.373200000000001</v>
      </c>
      <c r="AI1298" s="1868">
        <v>12.254489999999999</v>
      </c>
      <c r="AJ1298" s="1868">
        <v>12.764049999999999</v>
      </c>
      <c r="AK1298" s="1868">
        <v>12.052899999999999</v>
      </c>
      <c r="AL1298" s="1868">
        <v>11.052660000000001</v>
      </c>
      <c r="AM1298" s="1868">
        <v>11.755750000000001</v>
      </c>
      <c r="AN1298" s="1868">
        <v>11.66953</v>
      </c>
      <c r="AO1298" s="1868">
        <v>13.11687</v>
      </c>
      <c r="AP1298" s="1868">
        <v>12.666910000000001</v>
      </c>
      <c r="AQ1298" s="1868">
        <v>12.79186</v>
      </c>
      <c r="AR1298" s="1868">
        <v>12.415460000000001</v>
      </c>
      <c r="AS1298" s="1868">
        <v>12.20617</v>
      </c>
      <c r="AT1298" s="1868">
        <v>12.282689999999999</v>
      </c>
      <c r="AU1298" s="1868">
        <v>10.612500000000001</v>
      </c>
      <c r="AV1298" s="1868">
        <v>13.02773</v>
      </c>
      <c r="AW1298" s="1868">
        <v>14.20844</v>
      </c>
      <c r="AX1298" s="1868">
        <v>13.704429999999999</v>
      </c>
      <c r="AY1298" s="1868">
        <v>14.521429999999999</v>
      </c>
      <c r="AZ1298" s="1868">
        <v>14.53009</v>
      </c>
      <c r="BA1298" s="1868">
        <v>12.541939999999999</v>
      </c>
    </row>
    <row r="1299" spans="1:53">
      <c r="A1299" s="1865" t="str">
        <f t="shared" si="20"/>
        <v>Western AsiaPeas, dry</v>
      </c>
      <c r="B1299" s="1866" t="s">
        <v>1425</v>
      </c>
      <c r="C1299" s="1866" t="s">
        <v>1391</v>
      </c>
      <c r="D1299" s="1868">
        <v>0.94718999999999998</v>
      </c>
      <c r="E1299" s="1868">
        <v>0.86282999999999987</v>
      </c>
      <c r="F1299" s="1868">
        <v>0.88137999999999994</v>
      </c>
      <c r="G1299" s="1868">
        <v>0.93292000000000008</v>
      </c>
      <c r="H1299" s="1868">
        <v>1.24918</v>
      </c>
      <c r="I1299" s="1868">
        <v>1.09253</v>
      </c>
      <c r="J1299" s="1868">
        <v>1.1856599999999999</v>
      </c>
      <c r="K1299" s="1868">
        <v>1.1281299999999999</v>
      </c>
      <c r="L1299" s="1868">
        <v>1.09619</v>
      </c>
      <c r="M1299" s="1868">
        <v>1.0450600000000001</v>
      </c>
      <c r="N1299" s="1868">
        <v>1.3439000000000001</v>
      </c>
      <c r="O1299" s="1868">
        <v>1.5544899999999999</v>
      </c>
      <c r="P1299" s="1868">
        <v>1.49177</v>
      </c>
      <c r="Q1299" s="1868">
        <v>1.48807</v>
      </c>
      <c r="R1299" s="1868">
        <v>1.2788999999999999</v>
      </c>
      <c r="S1299" s="1868">
        <v>1.31576</v>
      </c>
      <c r="T1299" s="1868">
        <v>1.2581</v>
      </c>
      <c r="U1299" s="1868">
        <v>1.3535999999999999</v>
      </c>
      <c r="V1299" s="1868">
        <v>1.3545399999999999</v>
      </c>
      <c r="W1299" s="1868">
        <v>1.69113</v>
      </c>
      <c r="X1299" s="1868">
        <v>1.71245</v>
      </c>
      <c r="Y1299" s="1868">
        <v>1.3981700000000001</v>
      </c>
      <c r="Z1299" s="1868">
        <v>1.3016700000000001</v>
      </c>
      <c r="AA1299" s="1868">
        <v>1.5086200000000001</v>
      </c>
      <c r="AB1299" s="1868">
        <v>1.4057600000000001</v>
      </c>
      <c r="AC1299" s="1868">
        <v>1.55115</v>
      </c>
      <c r="AD1299" s="1868">
        <v>1.7767299999999999</v>
      </c>
      <c r="AE1299" s="1868">
        <v>1.6506000000000001</v>
      </c>
      <c r="AF1299" s="1868">
        <v>1.81978</v>
      </c>
      <c r="AG1299" s="1868">
        <v>1.8173400000000002</v>
      </c>
      <c r="AH1299" s="1868">
        <v>1.7895799999999999</v>
      </c>
      <c r="AI1299" s="1868">
        <v>1.9466000000000001</v>
      </c>
      <c r="AJ1299" s="1868">
        <v>1.9270499999999999</v>
      </c>
      <c r="AK1299" s="1868">
        <v>1.96943</v>
      </c>
      <c r="AL1299" s="1868">
        <v>1.8512500000000001</v>
      </c>
      <c r="AM1299" s="1868">
        <v>1.9166000000000001</v>
      </c>
      <c r="AN1299" s="1868">
        <v>1.70052</v>
      </c>
      <c r="AO1299" s="1868">
        <v>1.7845</v>
      </c>
      <c r="AP1299" s="1868">
        <v>1.8596999999999999</v>
      </c>
      <c r="AQ1299" s="1868">
        <v>2.0072099999999997</v>
      </c>
      <c r="AR1299" s="1868">
        <v>1.9336200000000001</v>
      </c>
      <c r="AS1299" s="1868">
        <v>2.0480900000000002</v>
      </c>
      <c r="AT1299" s="1868">
        <v>2.1896599999999999</v>
      </c>
      <c r="AU1299" s="1868">
        <v>1.9938400000000001</v>
      </c>
      <c r="AV1299" s="1868">
        <v>1.9933099999999999</v>
      </c>
      <c r="AW1299" s="1868">
        <v>2.1713400000000003</v>
      </c>
      <c r="AX1299" s="1868">
        <v>2.0251200000000003</v>
      </c>
      <c r="AY1299" s="1868">
        <v>1.8893</v>
      </c>
      <c r="AZ1299" s="1868">
        <v>1.90018</v>
      </c>
      <c r="BA1299" s="1868">
        <v>1.7685200000000001</v>
      </c>
    </row>
    <row r="1300" spans="1:53">
      <c r="A1300" s="1865" t="str">
        <f t="shared" si="20"/>
        <v>Western AsiaPeas, green</v>
      </c>
      <c r="B1300" s="1866" t="s">
        <v>1425</v>
      </c>
      <c r="C1300" s="1866" t="s">
        <v>1392</v>
      </c>
      <c r="D1300" s="1868">
        <v>4.56548</v>
      </c>
      <c r="E1300" s="1868">
        <v>4.4436999999999998</v>
      </c>
      <c r="F1300" s="1868">
        <v>4.5954600000000001</v>
      </c>
      <c r="G1300" s="1868">
        <v>4.6370300000000002</v>
      </c>
      <c r="H1300" s="1868">
        <v>4.5350000000000001</v>
      </c>
      <c r="I1300" s="1868">
        <v>4.6535099999999998</v>
      </c>
      <c r="J1300" s="1868">
        <v>4.5418599999999998</v>
      </c>
      <c r="K1300" s="1868">
        <v>4.6472899999999999</v>
      </c>
      <c r="L1300" s="1868">
        <v>4.6894200000000001</v>
      </c>
      <c r="M1300" s="1868">
        <v>4.9189400000000001</v>
      </c>
      <c r="N1300" s="1868">
        <v>4.9857100000000001</v>
      </c>
      <c r="O1300" s="1868">
        <v>5.1617499999999996</v>
      </c>
      <c r="P1300" s="1868">
        <v>5.3406599999999997</v>
      </c>
      <c r="Q1300" s="1868">
        <v>5.0150699999999997</v>
      </c>
      <c r="R1300" s="1868">
        <v>4.9986300000000004</v>
      </c>
      <c r="S1300" s="1868">
        <v>4.3391699999999993</v>
      </c>
      <c r="T1300" s="1868">
        <v>4.4011100000000001</v>
      </c>
      <c r="U1300" s="1868">
        <v>4.1964399999999999</v>
      </c>
      <c r="V1300" s="1868">
        <v>5.05586</v>
      </c>
      <c r="W1300" s="1868">
        <v>5.8123100000000001</v>
      </c>
      <c r="X1300" s="1868">
        <v>4.1315200000000001</v>
      </c>
      <c r="Y1300" s="1868">
        <v>6.1144099999999995</v>
      </c>
      <c r="Z1300" s="1868">
        <v>6.0300500000000001</v>
      </c>
      <c r="AA1300" s="1868">
        <v>5.6940900000000001</v>
      </c>
      <c r="AB1300" s="1868">
        <v>5.5844500000000004</v>
      </c>
      <c r="AC1300" s="1868">
        <v>5.6515500000000003</v>
      </c>
      <c r="AD1300" s="1868">
        <v>5.8867000000000003</v>
      </c>
      <c r="AE1300" s="1868">
        <v>5.6364700000000001</v>
      </c>
      <c r="AF1300" s="1868">
        <v>5.0789099999999996</v>
      </c>
      <c r="AG1300" s="1868">
        <v>5.3151699999999993</v>
      </c>
      <c r="AH1300" s="1868">
        <v>5.3405800000000001</v>
      </c>
      <c r="AI1300" s="1868">
        <v>5.4183599999999998</v>
      </c>
      <c r="AJ1300" s="1868">
        <v>5.9819699999999996</v>
      </c>
      <c r="AK1300" s="1868">
        <v>5.8293300000000006</v>
      </c>
      <c r="AL1300" s="1868">
        <v>5.8153199999999998</v>
      </c>
      <c r="AM1300" s="1868">
        <v>5.6384699999999999</v>
      </c>
      <c r="AN1300" s="1868">
        <v>5.2396900000000004</v>
      </c>
      <c r="AO1300" s="1868">
        <v>5.4722999999999997</v>
      </c>
      <c r="AP1300" s="1868">
        <v>5.06996</v>
      </c>
      <c r="AQ1300" s="1868">
        <v>5.47248</v>
      </c>
      <c r="AR1300" s="1868">
        <v>6.0009499999999996</v>
      </c>
      <c r="AS1300" s="1868">
        <v>6.1695099999999998</v>
      </c>
      <c r="AT1300" s="1868">
        <v>5.8307900000000004</v>
      </c>
      <c r="AU1300" s="1868">
        <v>5.7259500000000001</v>
      </c>
      <c r="AV1300" s="1868">
        <v>6.6623999999999999</v>
      </c>
      <c r="AW1300" s="1868">
        <v>6.6865100000000002</v>
      </c>
      <c r="AX1300" s="1868">
        <v>6.6958100000000007</v>
      </c>
      <c r="AY1300" s="1868">
        <v>6.4548199999999998</v>
      </c>
      <c r="AZ1300" s="1868">
        <v>6.5028699999999997</v>
      </c>
      <c r="BA1300" s="1868">
        <v>6.1331499999999997</v>
      </c>
    </row>
    <row r="1301" spans="1:53">
      <c r="A1301" s="1865" t="str">
        <f t="shared" si="20"/>
        <v>Western AsiaPineapples</v>
      </c>
      <c r="B1301" s="1866" t="s">
        <v>1425</v>
      </c>
      <c r="C1301" s="1866" t="s">
        <v>1351</v>
      </c>
      <c r="AG1301" s="1868">
        <v>13.63636</v>
      </c>
      <c r="AH1301" s="1868">
        <v>11.18868</v>
      </c>
      <c r="AI1301" s="1868">
        <v>10.79439</v>
      </c>
      <c r="AJ1301" s="1868">
        <v>9.8141600000000011</v>
      </c>
      <c r="AK1301" s="1868">
        <v>8.6756799999999998</v>
      </c>
      <c r="AM1301" s="1868">
        <v>13.2</v>
      </c>
      <c r="AN1301" s="1868">
        <v>12.857139999999999</v>
      </c>
      <c r="AO1301" s="1868">
        <v>13.333329999999998</v>
      </c>
      <c r="AP1301" s="1868">
        <v>14</v>
      </c>
      <c r="AQ1301" s="1868">
        <v>13.333329999999998</v>
      </c>
      <c r="AR1301" s="1868">
        <v>12.875</v>
      </c>
      <c r="AS1301" s="1868">
        <v>13.52941</v>
      </c>
      <c r="AT1301" s="1868">
        <v>13.855420000000001</v>
      </c>
      <c r="AU1301" s="1868">
        <v>11.5625</v>
      </c>
      <c r="AV1301" s="1868">
        <v>12.65333</v>
      </c>
      <c r="AW1301" s="1868">
        <v>12.788730000000001</v>
      </c>
      <c r="AX1301" s="1868">
        <v>11.04</v>
      </c>
      <c r="AY1301" s="1868">
        <v>11.633330000000001</v>
      </c>
      <c r="AZ1301" s="1868">
        <v>10.9</v>
      </c>
      <c r="BA1301" s="1868">
        <v>11.8</v>
      </c>
    </row>
    <row r="1302" spans="1:53">
      <c r="A1302" s="1865" t="str">
        <f t="shared" si="20"/>
        <v>Western AsiaPotatoes</v>
      </c>
      <c r="B1302" s="1866" t="s">
        <v>1425</v>
      </c>
      <c r="C1302" s="1866" t="s">
        <v>1394</v>
      </c>
      <c r="D1302" s="1868">
        <v>9.7735699999999994</v>
      </c>
      <c r="E1302" s="1868">
        <v>11.132210000000001</v>
      </c>
      <c r="F1302" s="1868">
        <v>11.32855</v>
      </c>
      <c r="G1302" s="1868">
        <v>11.8949</v>
      </c>
      <c r="H1302" s="1868">
        <v>11.9297</v>
      </c>
      <c r="I1302" s="1868">
        <v>11.987860000000001</v>
      </c>
      <c r="J1302" s="1868">
        <v>12.06814</v>
      </c>
      <c r="K1302" s="1868">
        <v>12.449869999999999</v>
      </c>
      <c r="L1302" s="1868">
        <v>12.577439999999999</v>
      </c>
      <c r="M1302" s="1868">
        <v>12.89678</v>
      </c>
      <c r="N1302" s="1868">
        <v>12.991669999999999</v>
      </c>
      <c r="O1302" s="1868">
        <v>13.30659</v>
      </c>
      <c r="P1302" s="1868">
        <v>12.92948</v>
      </c>
      <c r="Q1302" s="1868">
        <v>12.77014</v>
      </c>
      <c r="R1302" s="1868">
        <v>14.200670000000001</v>
      </c>
      <c r="S1302" s="1868">
        <v>15.486829999999999</v>
      </c>
      <c r="T1302" s="1868">
        <v>15.785720000000001</v>
      </c>
      <c r="U1302" s="1868">
        <v>15.620150000000001</v>
      </c>
      <c r="V1302" s="1868">
        <v>17.327460000000002</v>
      </c>
      <c r="W1302" s="1868">
        <v>16.90314</v>
      </c>
      <c r="X1302" s="1868">
        <v>16.899999999999999</v>
      </c>
      <c r="Y1302" s="1868">
        <v>17.00178</v>
      </c>
      <c r="Z1302" s="1868">
        <v>17.055900000000001</v>
      </c>
      <c r="AA1302" s="1868">
        <v>17.687249999999999</v>
      </c>
      <c r="AB1302" s="1868">
        <v>19.886649999999999</v>
      </c>
      <c r="AC1302" s="1868">
        <v>20.69398</v>
      </c>
      <c r="AD1302" s="1868">
        <v>21.2331</v>
      </c>
      <c r="AE1302" s="1868">
        <v>20.87368</v>
      </c>
      <c r="AF1302" s="1868">
        <v>20.841100000000001</v>
      </c>
      <c r="AG1302" s="1868">
        <v>21.408989999999999</v>
      </c>
      <c r="AH1302" s="1868">
        <v>21.525069999999999</v>
      </c>
      <c r="AI1302" s="1868">
        <v>19.665620000000001</v>
      </c>
      <c r="AJ1302" s="1868">
        <v>20.335319999999999</v>
      </c>
      <c r="AK1302" s="1868">
        <v>19.715679999999999</v>
      </c>
      <c r="AL1302" s="1868">
        <v>20.771170000000001</v>
      </c>
      <c r="AM1302" s="1868">
        <v>20.666120000000003</v>
      </c>
      <c r="AN1302" s="1868">
        <v>19.3156</v>
      </c>
      <c r="AO1302" s="1868">
        <v>20.54232</v>
      </c>
      <c r="AP1302" s="1868">
        <v>21.762550000000001</v>
      </c>
      <c r="AQ1302" s="1868">
        <v>19.763310000000001</v>
      </c>
      <c r="AR1302" s="1868">
        <v>19.980370000000001</v>
      </c>
      <c r="AS1302" s="1868">
        <v>20.68919</v>
      </c>
      <c r="AT1302" s="1868">
        <v>21.051660000000002</v>
      </c>
      <c r="AU1302" s="1868">
        <v>21.448270000000001</v>
      </c>
      <c r="AV1302" s="1868">
        <v>20.988910000000001</v>
      </c>
      <c r="AW1302" s="1868">
        <v>21.594809999999999</v>
      </c>
      <c r="AX1302" s="1868">
        <v>22.20608</v>
      </c>
      <c r="AY1302" s="1868">
        <v>21.362179999999999</v>
      </c>
      <c r="AZ1302" s="1868">
        <v>23.020859999999999</v>
      </c>
      <c r="BA1302" s="1868">
        <v>23.068349999999999</v>
      </c>
    </row>
    <row r="1303" spans="1:53">
      <c r="A1303" s="1865" t="str">
        <f t="shared" si="20"/>
        <v>Western AsiaPulses, nes</v>
      </c>
      <c r="B1303" s="1866" t="s">
        <v>1425</v>
      </c>
      <c r="C1303" s="1866" t="s">
        <v>1395</v>
      </c>
      <c r="D1303" s="1868">
        <v>0.96837000000000006</v>
      </c>
      <c r="E1303" s="1868">
        <v>1.00207</v>
      </c>
      <c r="F1303" s="1868">
        <v>1.02939</v>
      </c>
      <c r="G1303" s="1868">
        <v>0.99934000000000001</v>
      </c>
      <c r="H1303" s="1868">
        <v>1.0556700000000001</v>
      </c>
      <c r="I1303" s="1868">
        <v>1.01451</v>
      </c>
      <c r="J1303" s="1868">
        <v>1.0204500000000001</v>
      </c>
      <c r="K1303" s="1868">
        <v>0.99665000000000004</v>
      </c>
      <c r="L1303" s="1868">
        <v>1.01023</v>
      </c>
      <c r="M1303" s="1868">
        <v>0.80191000000000001</v>
      </c>
      <c r="N1303" s="1868">
        <v>0.95617000000000008</v>
      </c>
      <c r="O1303" s="1868">
        <v>1.0368999999999999</v>
      </c>
      <c r="P1303" s="1868">
        <v>0.95507999999999993</v>
      </c>
      <c r="Q1303" s="1868">
        <v>0.99603999999999993</v>
      </c>
      <c r="R1303" s="1868">
        <v>1.0400200000000002</v>
      </c>
      <c r="S1303" s="1868">
        <v>1.05694</v>
      </c>
      <c r="T1303" s="1868">
        <v>1.17455</v>
      </c>
      <c r="U1303" s="1868">
        <v>1.0392999999999999</v>
      </c>
      <c r="V1303" s="1868">
        <v>1.0767200000000001</v>
      </c>
      <c r="W1303" s="1868">
        <v>1.0909200000000001</v>
      </c>
      <c r="X1303" s="1868">
        <v>1.1107499999999999</v>
      </c>
      <c r="Y1303" s="1868">
        <v>1.13273</v>
      </c>
      <c r="Z1303" s="1868">
        <v>0.68010999999999999</v>
      </c>
      <c r="AA1303" s="1868">
        <v>1.4641899999999999</v>
      </c>
      <c r="AB1303" s="1868">
        <v>1.3108200000000001</v>
      </c>
      <c r="AC1303" s="1868">
        <v>1.55904</v>
      </c>
      <c r="AD1303" s="1868">
        <v>1.51166</v>
      </c>
      <c r="AE1303" s="1868">
        <v>1.26326</v>
      </c>
      <c r="AF1303" s="1868">
        <v>1.25349</v>
      </c>
      <c r="AG1303" s="1868">
        <v>1.3318399999999999</v>
      </c>
      <c r="AH1303" s="1868">
        <v>1.35741</v>
      </c>
      <c r="AI1303" s="1868">
        <v>1.3743299999999998</v>
      </c>
      <c r="AJ1303" s="1868">
        <v>1.3896700000000002</v>
      </c>
      <c r="AK1303" s="1868">
        <v>1.4027399999999999</v>
      </c>
      <c r="AL1303" s="1868">
        <v>1.3052900000000001</v>
      </c>
      <c r="AM1303" s="1868">
        <v>1.34877</v>
      </c>
      <c r="AN1303" s="1868">
        <v>1.3950200000000001</v>
      </c>
      <c r="AO1303" s="1868">
        <v>1.4107799999999999</v>
      </c>
      <c r="AP1303" s="1868">
        <v>1.39805</v>
      </c>
      <c r="AQ1303" s="1868">
        <v>1.3969200000000002</v>
      </c>
      <c r="AR1303" s="1868">
        <v>1.33531</v>
      </c>
      <c r="AS1303" s="1868">
        <v>1.3290799999999998</v>
      </c>
      <c r="AT1303" s="1868">
        <v>1.5980799999999999</v>
      </c>
      <c r="AU1303" s="1868">
        <v>1.3587400000000001</v>
      </c>
      <c r="AV1303" s="1868">
        <v>1.09154</v>
      </c>
      <c r="AW1303" s="1868">
        <v>1.2689700000000002</v>
      </c>
      <c r="AX1303" s="1868">
        <v>1.2627600000000001</v>
      </c>
      <c r="AY1303" s="1868">
        <v>1.36181</v>
      </c>
      <c r="AZ1303" s="1868">
        <v>1.3002100000000001</v>
      </c>
      <c r="BA1303" s="1868">
        <v>1.7824200000000001</v>
      </c>
    </row>
    <row r="1304" spans="1:53">
      <c r="A1304" s="1865" t="str">
        <f t="shared" si="20"/>
        <v>Western AsiaRice, paddy</v>
      </c>
      <c r="B1304" s="1866" t="s">
        <v>1425</v>
      </c>
      <c r="C1304" s="1866" t="s">
        <v>1396</v>
      </c>
      <c r="D1304" s="1868">
        <v>3.5804300000000002</v>
      </c>
      <c r="E1304" s="1868">
        <v>3.2017500000000001</v>
      </c>
      <c r="F1304" s="1868">
        <v>3.26552</v>
      </c>
      <c r="G1304" s="1868">
        <v>3.4916300000000002</v>
      </c>
      <c r="H1304" s="1868">
        <v>3.4048699999999998</v>
      </c>
      <c r="I1304" s="1868">
        <v>3.3143099999999999</v>
      </c>
      <c r="J1304" s="1868">
        <v>3.3597199999999998</v>
      </c>
      <c r="K1304" s="1868">
        <v>3.5862199999999995</v>
      </c>
      <c r="L1304" s="1868">
        <v>3.24925</v>
      </c>
      <c r="M1304" s="1868">
        <v>3.1621000000000001</v>
      </c>
      <c r="N1304" s="1868">
        <v>3.42821</v>
      </c>
      <c r="O1304" s="1868">
        <v>3.24905</v>
      </c>
      <c r="P1304" s="1868">
        <v>3.4108499999999999</v>
      </c>
      <c r="Q1304" s="1868">
        <v>3.5709400000000002</v>
      </c>
      <c r="R1304" s="1868">
        <v>3.6791900000000002</v>
      </c>
      <c r="S1304" s="1868">
        <v>4.0031300000000005</v>
      </c>
      <c r="T1304" s="1868">
        <v>3.8994400000000002</v>
      </c>
      <c r="U1304" s="1868">
        <v>3.9157999999999999</v>
      </c>
      <c r="V1304" s="1868">
        <v>3.9802599999999999</v>
      </c>
      <c r="W1304" s="1868">
        <v>3.7699099999999999</v>
      </c>
      <c r="X1304" s="1868">
        <v>3.86815</v>
      </c>
      <c r="Y1304" s="1868">
        <v>3.8038500000000002</v>
      </c>
      <c r="Z1304" s="1868">
        <v>3.5788800000000003</v>
      </c>
      <c r="AA1304" s="1868">
        <v>3.7704400000000002</v>
      </c>
      <c r="AB1304" s="1868">
        <v>3.7302499999999998</v>
      </c>
      <c r="AC1304" s="1868">
        <v>3.9564699999999995</v>
      </c>
      <c r="AD1304" s="1868">
        <v>3.8286500000000001</v>
      </c>
      <c r="AE1304" s="1868">
        <v>3.9736300000000004</v>
      </c>
      <c r="AF1304" s="1868">
        <v>4.04915</v>
      </c>
      <c r="AG1304" s="1868">
        <v>3.6547000000000001</v>
      </c>
      <c r="AH1304" s="1868">
        <v>3.0807599999999997</v>
      </c>
      <c r="AI1304" s="1868">
        <v>2.8471199999999999</v>
      </c>
      <c r="AJ1304" s="1868">
        <v>2.7732999999999999</v>
      </c>
      <c r="AK1304" s="1868">
        <v>2.8563499999999999</v>
      </c>
      <c r="AL1304" s="1868">
        <v>2.2869099999999998</v>
      </c>
      <c r="AM1304" s="1868">
        <v>3.1513</v>
      </c>
      <c r="AN1304" s="1868">
        <v>2.9682599999999999</v>
      </c>
      <c r="AO1304" s="1868">
        <v>3.28925</v>
      </c>
      <c r="AP1304" s="1868">
        <v>2.6984900000000001</v>
      </c>
      <c r="AQ1304" s="1868">
        <v>2.6611400000000001</v>
      </c>
      <c r="AR1304" s="1868">
        <v>3.1111299999999997</v>
      </c>
      <c r="AS1304" s="1868">
        <v>3.8308800000000005</v>
      </c>
      <c r="AT1304" s="1868">
        <v>4.8826099999999997</v>
      </c>
      <c r="AU1304" s="1868">
        <v>4.6722900000000003</v>
      </c>
      <c r="AV1304" s="1868">
        <v>4.7207499999999998</v>
      </c>
      <c r="AW1304" s="1868">
        <v>4.7073</v>
      </c>
      <c r="AX1304" s="1868">
        <v>4.7674900000000004</v>
      </c>
      <c r="AY1304" s="1868">
        <v>5.4166499999999997</v>
      </c>
      <c r="AZ1304" s="1868">
        <v>6.0581300000000002</v>
      </c>
      <c r="BA1304" s="1868">
        <v>6.8633699999999997</v>
      </c>
    </row>
    <row r="1305" spans="1:53">
      <c r="A1305" s="1865" t="str">
        <f t="shared" si="20"/>
        <v>Western AsiaRoots and Tubers, nes</v>
      </c>
      <c r="B1305" s="1866" t="s">
        <v>1425</v>
      </c>
      <c r="C1305" s="1866" t="s">
        <v>1356</v>
      </c>
      <c r="D1305" s="1868">
        <v>15.393939999999999</v>
      </c>
      <c r="E1305" s="1868">
        <v>14.3</v>
      </c>
      <c r="F1305" s="1868">
        <v>13.510639999999999</v>
      </c>
      <c r="G1305" s="1868">
        <v>13.510639999999999</v>
      </c>
      <c r="H1305" s="1868">
        <v>13.510639999999999</v>
      </c>
      <c r="I1305" s="1868">
        <v>13.510639999999999</v>
      </c>
      <c r="J1305" s="1868">
        <v>12.7</v>
      </c>
      <c r="K1305" s="1868">
        <v>11.63636</v>
      </c>
      <c r="L1305" s="1868">
        <v>9.4814799999999995</v>
      </c>
      <c r="M1305" s="1868">
        <v>9.5833300000000001</v>
      </c>
      <c r="N1305" s="1868">
        <v>9.5</v>
      </c>
      <c r="O1305" s="1868">
        <v>9.3333300000000001</v>
      </c>
      <c r="P1305" s="1868">
        <v>6</v>
      </c>
      <c r="AM1305" s="1868">
        <v>22.54795</v>
      </c>
      <c r="AN1305" s="1868">
        <v>22.570510000000002</v>
      </c>
      <c r="AO1305" s="1868">
        <v>23.738320000000002</v>
      </c>
      <c r="AP1305" s="1868">
        <v>18.20149</v>
      </c>
      <c r="AQ1305" s="1868">
        <v>21.5625</v>
      </c>
      <c r="AR1305" s="1868">
        <v>21.295649999999998</v>
      </c>
      <c r="AS1305" s="1868">
        <v>21.64546</v>
      </c>
      <c r="AT1305" s="1868">
        <v>22.87255</v>
      </c>
      <c r="AU1305" s="1868">
        <v>24.47458</v>
      </c>
      <c r="AV1305" s="1868">
        <v>21.890910000000002</v>
      </c>
      <c r="AW1305" s="1868">
        <v>18.841809999999999</v>
      </c>
      <c r="AX1305" s="1868">
        <v>18.3871</v>
      </c>
      <c r="AY1305" s="1868">
        <v>19.01754</v>
      </c>
      <c r="AZ1305" s="1868">
        <v>20.90991</v>
      </c>
      <c r="BA1305" s="1868">
        <v>20.83333</v>
      </c>
    </row>
    <row r="1306" spans="1:53">
      <c r="A1306" s="1865" t="str">
        <f t="shared" si="20"/>
        <v>Western AsiaRye</v>
      </c>
      <c r="B1306" s="1866" t="s">
        <v>1425</v>
      </c>
      <c r="C1306" s="1866" t="s">
        <v>1353</v>
      </c>
      <c r="D1306" s="1868">
        <v>0.87422999999999995</v>
      </c>
      <c r="E1306" s="1868">
        <v>1.0298499999999999</v>
      </c>
      <c r="F1306" s="1868">
        <v>1.2987</v>
      </c>
      <c r="G1306" s="1868">
        <v>1.05</v>
      </c>
      <c r="H1306" s="1868">
        <v>1.0616399999999999</v>
      </c>
      <c r="I1306" s="1868">
        <v>1.1612</v>
      </c>
      <c r="J1306" s="1868">
        <v>1.2244899999999999</v>
      </c>
      <c r="K1306" s="1868">
        <v>1.18841</v>
      </c>
      <c r="L1306" s="1868">
        <v>1.1979500000000001</v>
      </c>
      <c r="M1306" s="1868">
        <v>0.96922999999999992</v>
      </c>
      <c r="N1306" s="1868">
        <v>1.3664100000000001</v>
      </c>
      <c r="O1306" s="1868">
        <v>1.208</v>
      </c>
      <c r="P1306" s="1868">
        <v>1.1311500000000001</v>
      </c>
      <c r="Q1306" s="1868">
        <v>0.93332999999999988</v>
      </c>
      <c r="R1306" s="1868">
        <v>1.3274299999999999</v>
      </c>
      <c r="S1306" s="1868">
        <v>1.3988700000000001</v>
      </c>
      <c r="T1306" s="1868">
        <v>1.3269200000000001</v>
      </c>
      <c r="U1306" s="1868">
        <v>1.32196</v>
      </c>
      <c r="V1306" s="1868">
        <v>1.31915</v>
      </c>
      <c r="W1306" s="1868">
        <v>1.1986299999999999</v>
      </c>
      <c r="X1306" s="1868">
        <v>1.2926799999999998</v>
      </c>
      <c r="Y1306" s="1868">
        <v>1.3759999999999999</v>
      </c>
      <c r="Z1306" s="1868">
        <v>1.38182</v>
      </c>
      <c r="AA1306" s="1868">
        <v>1.4402299999999999</v>
      </c>
      <c r="AB1306" s="1868">
        <v>1.5503400000000001</v>
      </c>
      <c r="AC1306" s="1868">
        <v>1.5852200000000001</v>
      </c>
      <c r="AD1306" s="1868">
        <v>1.5812999999999999</v>
      </c>
      <c r="AE1306" s="1868">
        <v>1.5671200000000001</v>
      </c>
      <c r="AF1306" s="1868">
        <v>1.06111</v>
      </c>
      <c r="AG1306" s="1868">
        <v>1.5205200000000001</v>
      </c>
      <c r="AH1306" s="1868">
        <v>1.6495799999999998</v>
      </c>
      <c r="AI1306" s="1868">
        <v>1.51911</v>
      </c>
      <c r="AJ1306" s="1868">
        <v>1.58239</v>
      </c>
      <c r="AK1306" s="1868">
        <v>1.3433999999999999</v>
      </c>
      <c r="AL1306" s="1868">
        <v>1.6225499999999999</v>
      </c>
      <c r="AM1306" s="1868">
        <v>1.63839</v>
      </c>
      <c r="AN1306" s="1868">
        <v>1.5862100000000001</v>
      </c>
      <c r="AO1306" s="1868">
        <v>1.73597</v>
      </c>
      <c r="AP1306" s="1868">
        <v>1.6638400000000002</v>
      </c>
      <c r="AQ1306" s="1868">
        <v>1.75095</v>
      </c>
      <c r="AR1306" s="1868">
        <v>1.56497</v>
      </c>
      <c r="AS1306" s="1868">
        <v>1.69983</v>
      </c>
      <c r="AT1306" s="1868">
        <v>1.71282</v>
      </c>
      <c r="AU1306" s="1868">
        <v>1.88487</v>
      </c>
      <c r="AV1306" s="1868">
        <v>2.0762800000000001</v>
      </c>
      <c r="AW1306" s="1868">
        <v>2.0638700000000001</v>
      </c>
      <c r="AX1306" s="1868">
        <v>1.82823</v>
      </c>
      <c r="AY1306" s="1868">
        <v>1.9874799999999999</v>
      </c>
      <c r="AZ1306" s="1868">
        <v>2.4791699999999999</v>
      </c>
      <c r="BA1306" s="1868">
        <v>2.5939099999999997</v>
      </c>
    </row>
    <row r="1307" spans="1:53">
      <c r="A1307" s="1865" t="str">
        <f t="shared" si="20"/>
        <v>Western AsiaSeed cotton</v>
      </c>
      <c r="B1307" s="1866" t="s">
        <v>1425</v>
      </c>
      <c r="C1307" s="1866" t="s">
        <v>1397</v>
      </c>
      <c r="D1307" s="1868">
        <v>1.0049299999999999</v>
      </c>
      <c r="E1307" s="1868">
        <v>1.10697</v>
      </c>
      <c r="F1307" s="1868">
        <v>1.1781600000000001</v>
      </c>
      <c r="G1307" s="1868">
        <v>1.35737</v>
      </c>
      <c r="H1307" s="1868">
        <v>1.36222</v>
      </c>
      <c r="I1307" s="1868">
        <v>1.4174</v>
      </c>
      <c r="J1307" s="1868">
        <v>1.4284299999999999</v>
      </c>
      <c r="K1307" s="1868">
        <v>1.5532299999999999</v>
      </c>
      <c r="L1307" s="1868">
        <v>1.5405200000000001</v>
      </c>
      <c r="M1307" s="1868">
        <v>1.8333700000000002</v>
      </c>
      <c r="N1307" s="1868">
        <v>1.8775999999999999</v>
      </c>
      <c r="O1307" s="1868">
        <v>1.84222</v>
      </c>
      <c r="P1307" s="1868">
        <v>1.9535099999999999</v>
      </c>
      <c r="Q1307" s="1868">
        <v>1.8792</v>
      </c>
      <c r="R1307" s="1868">
        <v>1.9172900000000002</v>
      </c>
      <c r="S1307" s="1868">
        <v>2.1469299999999998</v>
      </c>
      <c r="T1307" s="1868">
        <v>1.9873099999999999</v>
      </c>
      <c r="U1307" s="1868">
        <v>2.0089000000000001</v>
      </c>
      <c r="V1307" s="1868">
        <v>2.10494</v>
      </c>
      <c r="W1307" s="1868">
        <v>2.0621999999999998</v>
      </c>
      <c r="X1307" s="1868">
        <v>2.1470500000000001</v>
      </c>
      <c r="Y1307" s="1868">
        <v>2.32321</v>
      </c>
      <c r="Z1307" s="1868">
        <v>2.4778599999999997</v>
      </c>
      <c r="AA1307" s="1868">
        <v>2.1487099999999999</v>
      </c>
      <c r="AB1307" s="1868">
        <v>2.31629</v>
      </c>
      <c r="AC1307" s="1868">
        <v>2.4408599999999998</v>
      </c>
      <c r="AD1307" s="1868">
        <v>2.4424799999999998</v>
      </c>
      <c r="AE1307" s="1868">
        <v>2.4001299999999999</v>
      </c>
      <c r="AF1307" s="1868">
        <v>2.30505</v>
      </c>
      <c r="AG1307" s="1868">
        <v>2.6920199999999999</v>
      </c>
      <c r="AH1307" s="1868">
        <v>2.67835</v>
      </c>
      <c r="AI1307" s="1868">
        <v>2.3773299999999997</v>
      </c>
      <c r="AJ1307" s="1868">
        <v>2.4912999999999998</v>
      </c>
      <c r="AK1307" s="1868">
        <v>2.4808300000000001</v>
      </c>
      <c r="AL1307" s="1868">
        <v>2.6577299999999999</v>
      </c>
      <c r="AM1307" s="1868">
        <v>2.67605</v>
      </c>
      <c r="AN1307" s="1868">
        <v>2.75237</v>
      </c>
      <c r="AO1307" s="1868">
        <v>2.7720199999999999</v>
      </c>
      <c r="AP1307" s="1868">
        <v>2.79766</v>
      </c>
      <c r="AQ1307" s="1868">
        <v>3.26755</v>
      </c>
      <c r="AR1307" s="1868">
        <v>3.2504900000000001</v>
      </c>
      <c r="AS1307" s="1868">
        <v>3.3418199999999998</v>
      </c>
      <c r="AT1307" s="1868">
        <v>3.4591500000000002</v>
      </c>
      <c r="AU1307" s="1868">
        <v>3.7316699999999998</v>
      </c>
      <c r="AV1307" s="1868">
        <v>3.7319800000000001</v>
      </c>
      <c r="AW1307" s="1868">
        <v>3.6208</v>
      </c>
      <c r="AX1307" s="1868">
        <v>3.7780099999999996</v>
      </c>
      <c r="AY1307" s="1868">
        <v>3.5021800000000001</v>
      </c>
      <c r="AZ1307" s="1868">
        <v>3.8619300000000001</v>
      </c>
      <c r="BA1307" s="1868">
        <v>2.7876400000000001</v>
      </c>
    </row>
    <row r="1308" spans="1:53">
      <c r="A1308" s="1865" t="str">
        <f t="shared" si="20"/>
        <v>Western AsiaSesame seed</v>
      </c>
      <c r="B1308" s="1866" t="s">
        <v>1425</v>
      </c>
      <c r="C1308" s="1866" t="s">
        <v>1345</v>
      </c>
      <c r="D1308" s="1868">
        <v>0.54821999999999993</v>
      </c>
      <c r="E1308" s="1868">
        <v>0.57703000000000004</v>
      </c>
      <c r="F1308" s="1868">
        <v>0.5605</v>
      </c>
      <c r="G1308" s="1868">
        <v>0.59619999999999995</v>
      </c>
      <c r="H1308" s="1868">
        <v>0.59375</v>
      </c>
      <c r="I1308" s="1868">
        <v>0.63001000000000007</v>
      </c>
      <c r="J1308" s="1868">
        <v>0.68601999999999996</v>
      </c>
      <c r="K1308" s="1868">
        <v>0.64412999999999998</v>
      </c>
      <c r="L1308" s="1868">
        <v>0.63268000000000002</v>
      </c>
      <c r="M1308" s="1868">
        <v>0.61558999999999997</v>
      </c>
      <c r="N1308" s="1868">
        <v>0.65713999999999995</v>
      </c>
      <c r="O1308" s="1868">
        <v>0.47521999999999998</v>
      </c>
      <c r="P1308" s="1868">
        <v>0.50451999999999997</v>
      </c>
      <c r="Q1308" s="1868">
        <v>0.53044999999999998</v>
      </c>
      <c r="R1308" s="1868">
        <v>0.56337999999999999</v>
      </c>
      <c r="S1308" s="1868">
        <v>0.53715000000000002</v>
      </c>
      <c r="T1308" s="1868">
        <v>0.59963</v>
      </c>
      <c r="U1308" s="1868">
        <v>0.58667999999999998</v>
      </c>
      <c r="V1308" s="1868">
        <v>0.56966000000000006</v>
      </c>
      <c r="W1308" s="1868">
        <v>0.56015999999999999</v>
      </c>
      <c r="X1308" s="1868">
        <v>0.56179999999999997</v>
      </c>
      <c r="Y1308" s="1868">
        <v>0.59125000000000005</v>
      </c>
      <c r="Z1308" s="1868">
        <v>0.55771000000000004</v>
      </c>
      <c r="AA1308" s="1868">
        <v>0.45700000000000002</v>
      </c>
      <c r="AB1308" s="1868">
        <v>0.46043000000000001</v>
      </c>
      <c r="AC1308" s="1868">
        <v>0.46373999999999999</v>
      </c>
      <c r="AD1308" s="1868">
        <v>0.41926000000000002</v>
      </c>
      <c r="AE1308" s="1868">
        <v>0.49559999999999998</v>
      </c>
      <c r="AF1308" s="1868">
        <v>0.44373999999999997</v>
      </c>
      <c r="AG1308" s="1868">
        <v>0.49273999999999996</v>
      </c>
      <c r="AH1308" s="1868">
        <v>0.48013</v>
      </c>
      <c r="AI1308" s="1868">
        <v>0.47428999999999999</v>
      </c>
      <c r="AJ1308" s="1868">
        <v>0.46458999999999995</v>
      </c>
      <c r="AK1308" s="1868">
        <v>0.46876000000000001</v>
      </c>
      <c r="AL1308" s="1868">
        <v>0.49158999999999997</v>
      </c>
      <c r="AM1308" s="1868">
        <v>0.50998999999999994</v>
      </c>
      <c r="AN1308" s="1868">
        <v>0.48075000000000001</v>
      </c>
      <c r="AO1308" s="1868">
        <v>0.50876999999999994</v>
      </c>
      <c r="AP1308" s="1868">
        <v>0.57462000000000002</v>
      </c>
      <c r="AQ1308" s="1868">
        <v>0.55466000000000004</v>
      </c>
      <c r="AR1308" s="1868">
        <v>0.54259000000000002</v>
      </c>
      <c r="AS1308" s="1868">
        <v>0.64244000000000001</v>
      </c>
      <c r="AT1308" s="1868">
        <v>0.61096000000000006</v>
      </c>
      <c r="AU1308" s="1868">
        <v>0.75544999999999995</v>
      </c>
      <c r="AV1308" s="1868">
        <v>0.74563999999999997</v>
      </c>
      <c r="AW1308" s="1868">
        <v>0.80066999999999999</v>
      </c>
      <c r="AX1308" s="1868">
        <v>0.83297999999999994</v>
      </c>
      <c r="AY1308" s="1868">
        <v>0.94487999999999994</v>
      </c>
      <c r="AZ1308" s="1868">
        <v>0.93697999999999992</v>
      </c>
      <c r="BA1308" s="1868">
        <v>0.8672700000000001</v>
      </c>
    </row>
    <row r="1309" spans="1:53">
      <c r="A1309" s="1865" t="str">
        <f t="shared" si="20"/>
        <v>Western AsiaSorghum</v>
      </c>
      <c r="B1309" s="1866" t="s">
        <v>1425</v>
      </c>
      <c r="C1309" s="1866" t="s">
        <v>1399</v>
      </c>
      <c r="D1309" s="1868">
        <v>0.78705999999999998</v>
      </c>
      <c r="E1309" s="1868">
        <v>0.80132999999999999</v>
      </c>
      <c r="F1309" s="1868">
        <v>0.80054999999999998</v>
      </c>
      <c r="G1309" s="1868">
        <v>0.82558999999999994</v>
      </c>
      <c r="H1309" s="1868">
        <v>0.81174999999999997</v>
      </c>
      <c r="I1309" s="1868">
        <v>0.79137000000000002</v>
      </c>
      <c r="J1309" s="1868">
        <v>0.80752999999999997</v>
      </c>
      <c r="K1309" s="1868">
        <v>0.78748000000000007</v>
      </c>
      <c r="L1309" s="1868">
        <v>0.78196999999999994</v>
      </c>
      <c r="M1309" s="1868">
        <v>0.75316000000000005</v>
      </c>
      <c r="N1309" s="1868">
        <v>0.70887</v>
      </c>
      <c r="O1309" s="1868">
        <v>0.71466000000000007</v>
      </c>
      <c r="P1309" s="1868">
        <v>0.68293000000000004</v>
      </c>
      <c r="Q1309" s="1868">
        <v>0.63798999999999995</v>
      </c>
      <c r="R1309" s="1868">
        <v>0.83112000000000008</v>
      </c>
      <c r="S1309" s="1868">
        <v>0.69899999999999995</v>
      </c>
      <c r="T1309" s="1868">
        <v>0.72441999999999995</v>
      </c>
      <c r="U1309" s="1868">
        <v>0.78226000000000007</v>
      </c>
      <c r="V1309" s="1868">
        <v>0.79553000000000007</v>
      </c>
      <c r="W1309" s="1868">
        <v>0.74404999999999999</v>
      </c>
      <c r="X1309" s="1868">
        <v>0.96747000000000005</v>
      </c>
      <c r="Y1309" s="1868">
        <v>0.89012000000000002</v>
      </c>
      <c r="Z1309" s="1868">
        <v>0.49381999999999998</v>
      </c>
      <c r="AA1309" s="1868">
        <v>0.45816000000000001</v>
      </c>
      <c r="AB1309" s="1868">
        <v>0.49126000000000003</v>
      </c>
      <c r="AC1309" s="1868">
        <v>0.78961999999999999</v>
      </c>
      <c r="AD1309" s="1868">
        <v>0.89847999999999995</v>
      </c>
      <c r="AE1309" s="1868">
        <v>0.95694999999999997</v>
      </c>
      <c r="AF1309" s="1868">
        <v>1.00224</v>
      </c>
      <c r="AG1309" s="1868">
        <v>0.94733999999999996</v>
      </c>
      <c r="AH1309" s="1868">
        <v>0.72828999999999999</v>
      </c>
      <c r="AI1309" s="1868">
        <v>1.08392</v>
      </c>
      <c r="AJ1309" s="1868">
        <v>1.0795299999999999</v>
      </c>
      <c r="AK1309" s="1868">
        <v>1.0356799999999999</v>
      </c>
      <c r="AL1309" s="1868">
        <v>1.07456</v>
      </c>
      <c r="AM1309" s="1868">
        <v>0.95617000000000008</v>
      </c>
      <c r="AN1309" s="1868">
        <v>0.93740000000000001</v>
      </c>
      <c r="AO1309" s="1868">
        <v>1.0681700000000001</v>
      </c>
      <c r="AP1309" s="1868">
        <v>1.1769100000000001</v>
      </c>
      <c r="AQ1309" s="1868">
        <v>1.1630200000000002</v>
      </c>
      <c r="AR1309" s="1868">
        <v>1.1606399999999999</v>
      </c>
      <c r="AS1309" s="1868">
        <v>1.0996900000000001</v>
      </c>
      <c r="AT1309" s="1868">
        <v>1.1125399999999999</v>
      </c>
      <c r="AU1309" s="1868">
        <v>1.0572900000000001</v>
      </c>
      <c r="AV1309" s="1868">
        <v>0.91741000000000006</v>
      </c>
      <c r="AW1309" s="1868">
        <v>1.14429</v>
      </c>
      <c r="AX1309" s="1868">
        <v>1.1449799999999999</v>
      </c>
      <c r="AY1309" s="1868">
        <v>1.2004700000000001</v>
      </c>
      <c r="AZ1309" s="1868">
        <v>1.3029600000000001</v>
      </c>
      <c r="BA1309" s="1868">
        <v>1.4237</v>
      </c>
    </row>
    <row r="1310" spans="1:53">
      <c r="A1310" s="1865" t="str">
        <f t="shared" si="20"/>
        <v>Western AsiaSoybeans</v>
      </c>
      <c r="B1310" s="1866" t="s">
        <v>1425</v>
      </c>
      <c r="C1310" s="1866" t="s">
        <v>1359</v>
      </c>
      <c r="D1310" s="1868">
        <v>0.97826000000000002</v>
      </c>
      <c r="E1310" s="1868">
        <v>0.86957000000000007</v>
      </c>
      <c r="F1310" s="1868">
        <v>0.88095000000000001</v>
      </c>
      <c r="G1310" s="1868">
        <v>0.8333299999999999</v>
      </c>
      <c r="H1310" s="1868">
        <v>0.8333299999999999</v>
      </c>
      <c r="I1310" s="1868">
        <v>0.78332999999999997</v>
      </c>
      <c r="J1310" s="1868">
        <v>0.9166700000000001</v>
      </c>
      <c r="K1310" s="1868">
        <v>1.1333299999999999</v>
      </c>
      <c r="L1310" s="1868">
        <v>1.3480399999999999</v>
      </c>
      <c r="M1310" s="1868">
        <v>1.09091</v>
      </c>
      <c r="N1310" s="1868">
        <v>1.5714299999999999</v>
      </c>
      <c r="O1310" s="1868">
        <v>2.1333299999999999</v>
      </c>
      <c r="P1310" s="1868">
        <v>1.45957</v>
      </c>
      <c r="Q1310" s="1868">
        <v>2.4284500000000002</v>
      </c>
      <c r="R1310" s="1868">
        <v>1.14859</v>
      </c>
      <c r="S1310" s="1868">
        <v>1.3224799999999999</v>
      </c>
      <c r="T1310" s="1868">
        <v>1.0826100000000001</v>
      </c>
      <c r="U1310" s="1868">
        <v>1.22078</v>
      </c>
      <c r="V1310" s="1868">
        <v>1.14286</v>
      </c>
      <c r="W1310" s="1868">
        <v>0.97499999999999998</v>
      </c>
      <c r="X1310" s="1868">
        <v>0.92222000000000004</v>
      </c>
      <c r="Y1310" s="1868">
        <v>1.504</v>
      </c>
      <c r="Z1310" s="1868">
        <v>1.8851500000000001</v>
      </c>
      <c r="AA1310" s="1868">
        <v>2.1284000000000001</v>
      </c>
      <c r="AB1310" s="1868">
        <v>2.0661</v>
      </c>
      <c r="AC1310" s="1868">
        <v>2.2140499999999999</v>
      </c>
      <c r="AD1310" s="1868">
        <v>2.2260400000000002</v>
      </c>
      <c r="AE1310" s="1868">
        <v>2.1644700000000001</v>
      </c>
      <c r="AF1310" s="1868">
        <v>2.0111699999999999</v>
      </c>
      <c r="AG1310" s="1868">
        <v>2.08473</v>
      </c>
      <c r="AH1310" s="1868">
        <v>2.1327599999999998</v>
      </c>
      <c r="AI1310" s="1868">
        <v>1.9536900000000001</v>
      </c>
      <c r="AJ1310" s="1868">
        <v>2.11477</v>
      </c>
      <c r="AK1310" s="1868">
        <v>2.2332700000000001</v>
      </c>
      <c r="AL1310" s="1868">
        <v>2.1746400000000001</v>
      </c>
      <c r="AM1310" s="1868">
        <v>2.1594000000000002</v>
      </c>
      <c r="AN1310" s="1868">
        <v>1.9343999999999999</v>
      </c>
      <c r="AO1310" s="1868">
        <v>2.25915</v>
      </c>
      <c r="AP1310" s="1868">
        <v>2.3094099999999997</v>
      </c>
      <c r="AQ1310" s="1868">
        <v>2.6205099999999999</v>
      </c>
      <c r="AR1310" s="1868">
        <v>2.5986500000000001</v>
      </c>
      <c r="AS1310" s="1868">
        <v>2.7690099999999997</v>
      </c>
      <c r="AT1310" s="1868">
        <v>3.0388900000000003</v>
      </c>
      <c r="AU1310" s="1868">
        <v>3.1482900000000003</v>
      </c>
      <c r="AV1310" s="1868">
        <v>3.4980000000000002</v>
      </c>
      <c r="AW1310" s="1868">
        <v>3.6101300000000003</v>
      </c>
      <c r="AX1310" s="1868">
        <v>3.23617</v>
      </c>
      <c r="AY1310" s="1868">
        <v>3.3355999999999999</v>
      </c>
      <c r="AZ1310" s="1868">
        <v>3.4260699999999997</v>
      </c>
      <c r="BA1310" s="1868">
        <v>3.4870999999999999</v>
      </c>
    </row>
    <row r="1311" spans="1:53">
      <c r="A1311" s="1865" t="str">
        <f t="shared" si="20"/>
        <v>Western AsiaStrawberries</v>
      </c>
      <c r="B1311" s="1866" t="s">
        <v>1425</v>
      </c>
      <c r="C1311" s="1866" t="s">
        <v>1400</v>
      </c>
      <c r="D1311" s="1868">
        <v>4.8380999999999998</v>
      </c>
      <c r="E1311" s="1868">
        <v>4.8987300000000005</v>
      </c>
      <c r="F1311" s="1868">
        <v>4.8502999999999998</v>
      </c>
      <c r="G1311" s="1868">
        <v>4.9258199999999999</v>
      </c>
      <c r="H1311" s="1868">
        <v>5.0295899999999998</v>
      </c>
      <c r="I1311" s="1868">
        <v>5.1459800000000007</v>
      </c>
      <c r="J1311" s="1868">
        <v>5.2820400000000003</v>
      </c>
      <c r="K1311" s="1868">
        <v>4.7727900000000005</v>
      </c>
      <c r="L1311" s="1868">
        <v>5.3003300000000007</v>
      </c>
      <c r="M1311" s="1868">
        <v>5.72356</v>
      </c>
      <c r="N1311" s="1868">
        <v>6.5480499999999999</v>
      </c>
      <c r="O1311" s="1868">
        <v>6.23916</v>
      </c>
      <c r="P1311" s="1868">
        <v>5.88802</v>
      </c>
      <c r="Q1311" s="1868">
        <v>6.5152599999999996</v>
      </c>
      <c r="R1311" s="1868">
        <v>5.4548500000000004</v>
      </c>
      <c r="S1311" s="1868">
        <v>5.6225899999999998</v>
      </c>
      <c r="T1311" s="1868">
        <v>7.7773199999999996</v>
      </c>
      <c r="U1311" s="1868">
        <v>7.5548800000000007</v>
      </c>
      <c r="V1311" s="1868">
        <v>5.80837</v>
      </c>
      <c r="W1311" s="1868">
        <v>5.7486699999999997</v>
      </c>
      <c r="X1311" s="1868">
        <v>5.5731400000000004</v>
      </c>
      <c r="Y1311" s="1868">
        <v>6.9860100000000003</v>
      </c>
      <c r="Z1311" s="1868">
        <v>6.4095300000000002</v>
      </c>
      <c r="AA1311" s="1868">
        <v>6.2617599999999998</v>
      </c>
      <c r="AB1311" s="1868">
        <v>8.4360300000000006</v>
      </c>
      <c r="AC1311" s="1868">
        <v>8.9656199999999995</v>
      </c>
      <c r="AD1311" s="1868">
        <v>11.018469999999999</v>
      </c>
      <c r="AE1311" s="1868">
        <v>11.40497</v>
      </c>
      <c r="AF1311" s="1868">
        <v>11.868030000000001</v>
      </c>
      <c r="AG1311" s="1868">
        <v>11.94239</v>
      </c>
      <c r="AH1311" s="1868">
        <v>11.448600000000001</v>
      </c>
      <c r="AI1311" s="1868">
        <v>10.163410000000001</v>
      </c>
      <c r="AJ1311" s="1868">
        <v>11.05175</v>
      </c>
      <c r="AK1311" s="1868">
        <v>11.333449999999999</v>
      </c>
      <c r="AL1311" s="1868">
        <v>12.530950000000001</v>
      </c>
      <c r="AM1311" s="1868">
        <v>13.628410000000001</v>
      </c>
      <c r="AN1311" s="1868">
        <v>14.239979999999999</v>
      </c>
      <c r="AO1311" s="1868">
        <v>14.652429999999999</v>
      </c>
      <c r="AP1311" s="1868">
        <v>14.9627</v>
      </c>
      <c r="AQ1311" s="1868">
        <v>14.2363</v>
      </c>
      <c r="AR1311" s="1868">
        <v>12.92041</v>
      </c>
      <c r="AS1311" s="1868">
        <v>15.01891</v>
      </c>
      <c r="AT1311" s="1868">
        <v>14.709289999999999</v>
      </c>
      <c r="AU1311" s="1868">
        <v>16.25441</v>
      </c>
      <c r="AV1311" s="1868">
        <v>19.523199999999999</v>
      </c>
      <c r="AW1311" s="1868">
        <v>20.833490000000001</v>
      </c>
      <c r="AX1311" s="1868">
        <v>22.20833</v>
      </c>
      <c r="AY1311" s="1868">
        <v>23.21556</v>
      </c>
      <c r="AZ1311" s="1868">
        <v>23.995739999999998</v>
      </c>
      <c r="BA1311" s="1868">
        <v>24.92079</v>
      </c>
    </row>
    <row r="1312" spans="1:53">
      <c r="A1312" s="1865" t="str">
        <f t="shared" si="20"/>
        <v>Western AsiaSugar beet</v>
      </c>
      <c r="B1312" s="1866" t="s">
        <v>1425</v>
      </c>
      <c r="C1312" s="1866" t="s">
        <v>1358</v>
      </c>
      <c r="D1312" s="1868">
        <v>22.687829999999998</v>
      </c>
      <c r="E1312" s="1868">
        <v>22.57357</v>
      </c>
      <c r="F1312" s="1868">
        <v>25.273540000000001</v>
      </c>
      <c r="G1312" s="1868">
        <v>25.728590000000001</v>
      </c>
      <c r="H1312" s="1868">
        <v>22.477620000000002</v>
      </c>
      <c r="I1312" s="1868">
        <v>29.407140000000002</v>
      </c>
      <c r="J1312" s="1868">
        <v>35.001840000000001</v>
      </c>
      <c r="K1312" s="1868">
        <v>36.5732</v>
      </c>
      <c r="L1312" s="1868">
        <v>32.98771</v>
      </c>
      <c r="M1312" s="1868">
        <v>34.55706</v>
      </c>
      <c r="N1312" s="1868">
        <v>36.957050000000002</v>
      </c>
      <c r="O1312" s="1868">
        <v>39.065449999999998</v>
      </c>
      <c r="P1312" s="1868">
        <v>33.342469999999999</v>
      </c>
      <c r="Q1312" s="1868">
        <v>30.75658</v>
      </c>
      <c r="R1312" s="1868">
        <v>32.748690000000003</v>
      </c>
      <c r="S1312" s="1868">
        <v>37.53837</v>
      </c>
      <c r="T1312" s="1868">
        <v>35.874559999999995</v>
      </c>
      <c r="U1312" s="1868">
        <v>31.458859999999998</v>
      </c>
      <c r="V1312" s="1868">
        <v>31.777740000000001</v>
      </c>
      <c r="W1312" s="1868">
        <v>25.517900000000001</v>
      </c>
      <c r="X1312" s="1868">
        <v>31.046040000000001</v>
      </c>
      <c r="Y1312" s="1868">
        <v>33.944470000000003</v>
      </c>
      <c r="Z1312" s="1868">
        <v>35.82593</v>
      </c>
      <c r="AA1312" s="1868">
        <v>32.041090000000004</v>
      </c>
      <c r="AB1312" s="1868">
        <v>30.668779999999998</v>
      </c>
      <c r="AC1312" s="1868">
        <v>30.793159999999997</v>
      </c>
      <c r="AD1312" s="1868">
        <v>32.724649999999997</v>
      </c>
      <c r="AE1312" s="1868">
        <v>35.933820000000004</v>
      </c>
      <c r="AF1312" s="1868">
        <v>31.447840000000003</v>
      </c>
      <c r="AG1312" s="1868">
        <v>35.996929999999999</v>
      </c>
      <c r="AH1312" s="1868">
        <v>38.370750000000001</v>
      </c>
      <c r="AI1312" s="1868">
        <v>38.704509999999999</v>
      </c>
      <c r="AJ1312" s="1868">
        <v>37.022590000000001</v>
      </c>
      <c r="AK1312" s="1868">
        <v>32.235590000000002</v>
      </c>
      <c r="AL1312" s="1868">
        <v>36.381479999999996</v>
      </c>
      <c r="AM1312" s="1868">
        <v>34.54927</v>
      </c>
      <c r="AN1312" s="1868">
        <v>38.96705</v>
      </c>
      <c r="AO1312" s="1868">
        <v>43.943370000000002</v>
      </c>
      <c r="AP1312" s="1868">
        <v>40.624279999999999</v>
      </c>
      <c r="AQ1312" s="1868">
        <v>45.608449999999998</v>
      </c>
      <c r="AR1312" s="1868">
        <v>35.904829999999997</v>
      </c>
      <c r="AS1312" s="1868">
        <v>44.875040000000006</v>
      </c>
      <c r="AT1312" s="1868">
        <v>40.21058</v>
      </c>
      <c r="AU1312" s="1868">
        <v>42.802640000000004</v>
      </c>
      <c r="AV1312" s="1868">
        <v>44.735079999999996</v>
      </c>
      <c r="AW1312" s="1868">
        <v>43.871070000000003</v>
      </c>
      <c r="AX1312" s="1868">
        <v>41.488620000000004</v>
      </c>
      <c r="AY1312" s="1868">
        <v>46.712359999999997</v>
      </c>
      <c r="AZ1312" s="1868">
        <v>52.156620000000004</v>
      </c>
      <c r="BA1312" s="1868">
        <v>53.723419999999997</v>
      </c>
    </row>
    <row r="1313" spans="1:53">
      <c r="A1313" s="1865" t="str">
        <f t="shared" si="20"/>
        <v>Western AsiaSugar cane</v>
      </c>
      <c r="B1313" s="1866" t="s">
        <v>1425</v>
      </c>
      <c r="C1313" s="1866" t="s">
        <v>1401</v>
      </c>
      <c r="D1313" s="1868">
        <v>16.76923</v>
      </c>
      <c r="E1313" s="1868">
        <v>15.658920000000002</v>
      </c>
      <c r="F1313" s="1868">
        <v>19.395870000000002</v>
      </c>
      <c r="G1313" s="1868">
        <v>14.888539999999999</v>
      </c>
      <c r="H1313" s="1868">
        <v>12.601389999999999</v>
      </c>
      <c r="I1313" s="1868">
        <v>11.861700000000001</v>
      </c>
      <c r="J1313" s="1868">
        <v>11.35436</v>
      </c>
      <c r="K1313" s="1868">
        <v>11.10073</v>
      </c>
      <c r="L1313" s="1868">
        <v>10.9145</v>
      </c>
      <c r="M1313" s="1868">
        <v>51.447959999999995</v>
      </c>
      <c r="N1313" s="1868">
        <v>41.250549999999997</v>
      </c>
      <c r="O1313" s="1868">
        <v>27.384140000000002</v>
      </c>
      <c r="P1313" s="1868">
        <v>29.33897</v>
      </c>
      <c r="Q1313" s="1868">
        <v>33.951679999999996</v>
      </c>
      <c r="R1313" s="1868">
        <v>26.928629999999998</v>
      </c>
      <c r="S1313" s="1868">
        <v>42.032879999999999</v>
      </c>
      <c r="T1313" s="1868">
        <v>46.451129999999999</v>
      </c>
      <c r="U1313" s="1868">
        <v>46.824590000000001</v>
      </c>
      <c r="V1313" s="1868">
        <v>54.344609999999996</v>
      </c>
      <c r="W1313" s="1868">
        <v>45.630839999999999</v>
      </c>
      <c r="X1313" s="1868">
        <v>55.739269999999998</v>
      </c>
      <c r="Y1313" s="1868">
        <v>43.034009999999995</v>
      </c>
      <c r="Z1313" s="1868">
        <v>27.317550000000001</v>
      </c>
      <c r="AA1313" s="1868">
        <v>19.36957</v>
      </c>
      <c r="AB1313" s="1868">
        <v>29.114570000000001</v>
      </c>
      <c r="AC1313" s="1868">
        <v>29.694179999999999</v>
      </c>
      <c r="AD1313" s="1868">
        <v>33.562199999999997</v>
      </c>
      <c r="AE1313" s="1868">
        <v>21.80095</v>
      </c>
      <c r="AF1313" s="1868">
        <v>28.387709999999998</v>
      </c>
      <c r="AG1313" s="1868">
        <v>25.982050000000001</v>
      </c>
      <c r="AH1313" s="1868">
        <v>25.29064</v>
      </c>
      <c r="AI1313" s="1868">
        <v>28.223759999999999</v>
      </c>
      <c r="AJ1313" s="1868">
        <v>18.707599999999999</v>
      </c>
      <c r="AK1313" s="1868">
        <v>18.784110000000002</v>
      </c>
      <c r="AL1313" s="1868">
        <v>17.2117</v>
      </c>
      <c r="AM1313" s="1868">
        <v>15.79504</v>
      </c>
      <c r="AN1313" s="1868">
        <v>15.46538</v>
      </c>
      <c r="AO1313" s="1868">
        <v>13.4275</v>
      </c>
      <c r="AP1313" s="1868">
        <v>13.42637</v>
      </c>
      <c r="AQ1313" s="1868">
        <v>13.41675</v>
      </c>
      <c r="AR1313" s="1868">
        <v>11.81818</v>
      </c>
      <c r="AS1313" s="1868">
        <v>10.76923</v>
      </c>
      <c r="AT1313" s="1868">
        <v>18.375</v>
      </c>
      <c r="AU1313" s="1868">
        <v>24.084510000000002</v>
      </c>
      <c r="AV1313" s="1868">
        <v>26.19247</v>
      </c>
      <c r="AW1313" s="1868">
        <v>21.715479999999999</v>
      </c>
      <c r="AX1313" s="1868">
        <v>23.8</v>
      </c>
      <c r="AY1313" s="1868">
        <v>21.55556</v>
      </c>
      <c r="AZ1313" s="1868">
        <v>24.753329999999998</v>
      </c>
      <c r="BA1313" s="1868">
        <v>20.22222</v>
      </c>
    </row>
    <row r="1314" spans="1:53">
      <c r="A1314" s="1865" t="str">
        <f t="shared" si="20"/>
        <v>Western AsiaSunflower seed</v>
      </c>
      <c r="B1314" s="1866" t="s">
        <v>1425</v>
      </c>
      <c r="C1314" s="1866" t="s">
        <v>1402</v>
      </c>
      <c r="D1314" s="1868">
        <v>0.82394000000000001</v>
      </c>
      <c r="E1314" s="1868">
        <v>0.74158999999999997</v>
      </c>
      <c r="F1314" s="1868">
        <v>0.92117999999999989</v>
      </c>
      <c r="G1314" s="1868">
        <v>1.02339</v>
      </c>
      <c r="H1314" s="1868">
        <v>0.99257999999999991</v>
      </c>
      <c r="I1314" s="1868">
        <v>0.91667999999999994</v>
      </c>
      <c r="J1314" s="1868">
        <v>1.0610899999999999</v>
      </c>
      <c r="K1314" s="1868">
        <v>0.95508999999999999</v>
      </c>
      <c r="L1314" s="1868">
        <v>1.07744</v>
      </c>
      <c r="M1314" s="1868">
        <v>1.0323100000000001</v>
      </c>
      <c r="N1314" s="1868">
        <v>1.1638999999999999</v>
      </c>
      <c r="O1314" s="1868">
        <v>1.1257200000000001</v>
      </c>
      <c r="P1314" s="1868">
        <v>1.1473799999999998</v>
      </c>
      <c r="Q1314" s="1868">
        <v>0.98921000000000003</v>
      </c>
      <c r="R1314" s="1868">
        <v>1.1587499999999999</v>
      </c>
      <c r="S1314" s="1868">
        <v>1.2315799999999999</v>
      </c>
      <c r="T1314" s="1868">
        <v>1.20987</v>
      </c>
      <c r="U1314" s="1868">
        <v>1.1708399999999999</v>
      </c>
      <c r="V1314" s="1868">
        <v>1.3074600000000001</v>
      </c>
      <c r="W1314" s="1868">
        <v>1.2971900000000001</v>
      </c>
      <c r="X1314" s="1868">
        <v>1.1415200000000001</v>
      </c>
      <c r="Y1314" s="1868">
        <v>1.1329400000000001</v>
      </c>
      <c r="Z1314" s="1868">
        <v>1.2965100000000001</v>
      </c>
      <c r="AA1314" s="1868">
        <v>1.2481200000000001</v>
      </c>
      <c r="AB1314" s="1868">
        <v>1.2426700000000002</v>
      </c>
      <c r="AC1314" s="1868">
        <v>1.3506</v>
      </c>
      <c r="AD1314" s="1868">
        <v>1.4032500000000001</v>
      </c>
      <c r="AE1314" s="1868">
        <v>1.5020200000000001</v>
      </c>
      <c r="AF1314" s="1868">
        <v>1.59805</v>
      </c>
      <c r="AG1314" s="1868">
        <v>1.1929299999999998</v>
      </c>
      <c r="AH1314" s="1868">
        <v>1.4109200000000002</v>
      </c>
      <c r="AI1314" s="1868">
        <v>1.5046700000000002</v>
      </c>
      <c r="AJ1314" s="1868">
        <v>1.3595299999999999</v>
      </c>
      <c r="AK1314" s="1868">
        <v>1.2491000000000001</v>
      </c>
      <c r="AL1314" s="1868">
        <v>1.4595</v>
      </c>
      <c r="AM1314" s="1868">
        <v>1.3019700000000001</v>
      </c>
      <c r="AN1314" s="1868">
        <v>1.5573600000000001</v>
      </c>
      <c r="AO1314" s="1868">
        <v>1.3960900000000001</v>
      </c>
      <c r="AP1314" s="1868">
        <v>1.48431</v>
      </c>
      <c r="AQ1314" s="1868">
        <v>1.44459</v>
      </c>
      <c r="AR1314" s="1868">
        <v>1.25597</v>
      </c>
      <c r="AS1314" s="1868">
        <v>1.46841</v>
      </c>
      <c r="AT1314" s="1868">
        <v>1.4021299999999999</v>
      </c>
      <c r="AU1314" s="1868">
        <v>1.5652900000000001</v>
      </c>
      <c r="AV1314" s="1868">
        <v>1.6401400000000002</v>
      </c>
      <c r="AW1314" s="1868">
        <v>1.82623</v>
      </c>
      <c r="AX1314" s="1868">
        <v>1.51291</v>
      </c>
      <c r="AY1314" s="1868">
        <v>1.64838</v>
      </c>
      <c r="AZ1314" s="1868">
        <v>1.7678400000000001</v>
      </c>
      <c r="BA1314" s="1868">
        <v>1.9899</v>
      </c>
    </row>
    <row r="1315" spans="1:53">
      <c r="A1315" s="1865" t="str">
        <f t="shared" si="20"/>
        <v>Western AsiaSweet potatoes</v>
      </c>
      <c r="B1315" s="1866" t="s">
        <v>1425</v>
      </c>
      <c r="C1315" s="1866" t="s">
        <v>1403</v>
      </c>
      <c r="D1315" s="1868">
        <v>20</v>
      </c>
      <c r="E1315" s="1868">
        <v>29.090909999999997</v>
      </c>
      <c r="F1315" s="1868">
        <v>29.090909999999997</v>
      </c>
      <c r="G1315" s="1868">
        <v>30</v>
      </c>
      <c r="H1315" s="1868">
        <v>28.888890000000004</v>
      </c>
      <c r="I1315" s="1868">
        <v>28.888890000000004</v>
      </c>
      <c r="J1315" s="1868">
        <v>29.523809999999997</v>
      </c>
      <c r="K1315" s="1868">
        <v>27.692309999999999</v>
      </c>
      <c r="L1315" s="1868">
        <v>20</v>
      </c>
      <c r="M1315" s="1868">
        <v>18.076920000000001</v>
      </c>
      <c r="N1315" s="1868">
        <v>26.25</v>
      </c>
      <c r="O1315" s="1868">
        <v>30</v>
      </c>
      <c r="P1315" s="1868">
        <v>28.461540000000003</v>
      </c>
      <c r="Q1315" s="1868">
        <v>29.375</v>
      </c>
      <c r="R1315" s="1868">
        <v>30</v>
      </c>
      <c r="S1315" s="1868">
        <v>29.285709999999998</v>
      </c>
      <c r="T1315" s="1868">
        <v>29.285709999999998</v>
      </c>
      <c r="U1315" s="1868">
        <v>28.275859999999998</v>
      </c>
      <c r="V1315" s="1868">
        <v>28.275859999999998</v>
      </c>
      <c r="W1315" s="1868">
        <v>27.66667</v>
      </c>
      <c r="X1315" s="1868">
        <v>27.526320000000002</v>
      </c>
      <c r="Y1315" s="1868">
        <v>29.622640000000004</v>
      </c>
      <c r="Z1315" s="1868">
        <v>35.348840000000003</v>
      </c>
      <c r="AA1315" s="1868">
        <v>37.241379999999999</v>
      </c>
      <c r="AB1315" s="1868">
        <v>38.915659999999995</v>
      </c>
      <c r="AC1315" s="1868">
        <v>38.230090000000004</v>
      </c>
      <c r="AD1315" s="1868">
        <v>26.41667</v>
      </c>
      <c r="AE1315" s="1868">
        <v>30.672129999999999</v>
      </c>
      <c r="AF1315" s="1868">
        <v>30.097740000000002</v>
      </c>
      <c r="AG1315" s="1868">
        <v>29.860759999999999</v>
      </c>
      <c r="AH1315" s="1868">
        <v>26.790700000000001</v>
      </c>
      <c r="AI1315" s="1868">
        <v>29.20438</v>
      </c>
      <c r="AJ1315" s="1868">
        <v>30.763440000000003</v>
      </c>
      <c r="AK1315" s="1868">
        <v>31.908209999999997</v>
      </c>
      <c r="AL1315" s="1868">
        <v>31.307359999999999</v>
      </c>
      <c r="AM1315" s="1868">
        <v>33.074770000000001</v>
      </c>
      <c r="AN1315" s="1868">
        <v>31.876709999999999</v>
      </c>
      <c r="AO1315" s="1868">
        <v>29.965729999999997</v>
      </c>
      <c r="AP1315" s="1868">
        <v>30.935840000000002</v>
      </c>
      <c r="AQ1315" s="1868">
        <v>32.090769999999999</v>
      </c>
      <c r="AR1315" s="1868">
        <v>30.075670000000002</v>
      </c>
      <c r="AS1315" s="1868">
        <v>31.285709999999998</v>
      </c>
      <c r="AT1315" s="1868">
        <v>31.95168</v>
      </c>
      <c r="AU1315" s="1868">
        <v>32.207140000000003</v>
      </c>
      <c r="AV1315" s="1868">
        <v>32.226109999999998</v>
      </c>
      <c r="AW1315" s="1868">
        <v>32.061500000000002</v>
      </c>
      <c r="AX1315" s="1868">
        <v>32.728369999999998</v>
      </c>
      <c r="AY1315" s="1868">
        <v>33.285240000000002</v>
      </c>
      <c r="AZ1315" s="1868">
        <v>31.720179999999999</v>
      </c>
      <c r="BA1315" s="1868">
        <v>29.466090000000001</v>
      </c>
    </row>
    <row r="1316" spans="1:53">
      <c r="A1316" s="1865" t="str">
        <f t="shared" si="20"/>
        <v>Western AsiaTangerines, mandarins, clem.</v>
      </c>
      <c r="B1316" s="1866" t="s">
        <v>1425</v>
      </c>
      <c r="C1316" s="1866" t="s">
        <v>1404</v>
      </c>
      <c r="D1316" s="1868">
        <v>8.7172000000000001</v>
      </c>
      <c r="E1316" s="1868">
        <v>8.4972499999999993</v>
      </c>
      <c r="F1316" s="1868">
        <v>9.9336800000000007</v>
      </c>
      <c r="G1316" s="1868">
        <v>8.9544499999999996</v>
      </c>
      <c r="H1316" s="1868">
        <v>9.3191199999999998</v>
      </c>
      <c r="I1316" s="1868">
        <v>11.39504</v>
      </c>
      <c r="J1316" s="1868">
        <v>12.9125</v>
      </c>
      <c r="K1316" s="1868">
        <v>12.195679999999999</v>
      </c>
      <c r="L1316" s="1868">
        <v>12.45875</v>
      </c>
      <c r="M1316" s="1868">
        <v>12.503130000000001</v>
      </c>
      <c r="N1316" s="1868">
        <v>12.64963</v>
      </c>
      <c r="O1316" s="1868">
        <v>14.343470000000002</v>
      </c>
      <c r="P1316" s="1868">
        <v>13.132589999999999</v>
      </c>
      <c r="Q1316" s="1868">
        <v>14.629979999999998</v>
      </c>
      <c r="R1316" s="1868">
        <v>13.44805</v>
      </c>
      <c r="S1316" s="1868">
        <v>14.70049</v>
      </c>
      <c r="T1316" s="1868">
        <v>16.751570000000001</v>
      </c>
      <c r="U1316" s="1868">
        <v>17.877400000000002</v>
      </c>
      <c r="V1316" s="1868">
        <v>16.822759999999999</v>
      </c>
      <c r="W1316" s="1868">
        <v>17.847460000000002</v>
      </c>
      <c r="X1316" s="1868">
        <v>15.968910000000001</v>
      </c>
      <c r="Y1316" s="1868">
        <v>18.578529999999997</v>
      </c>
      <c r="Z1316" s="1868">
        <v>19.830100000000002</v>
      </c>
      <c r="AA1316" s="1868">
        <v>18.00628</v>
      </c>
      <c r="AB1316" s="1868">
        <v>16.242279999999997</v>
      </c>
      <c r="AC1316" s="1868">
        <v>17.417539999999999</v>
      </c>
      <c r="AD1316" s="1868">
        <v>16.6739</v>
      </c>
      <c r="AE1316" s="1868">
        <v>16.876160000000002</v>
      </c>
      <c r="AF1316" s="1868">
        <v>17.994620000000001</v>
      </c>
      <c r="AG1316" s="1868">
        <v>19.060359999999999</v>
      </c>
      <c r="AH1316" s="1868">
        <v>18.548909999999999</v>
      </c>
      <c r="AI1316" s="1868">
        <v>16.679879999999997</v>
      </c>
      <c r="AJ1316" s="1868">
        <v>13.14625</v>
      </c>
      <c r="AK1316" s="1868">
        <v>14.77718</v>
      </c>
      <c r="AL1316" s="1868">
        <v>15.021970000000001</v>
      </c>
      <c r="AM1316" s="1868">
        <v>13.904210000000001</v>
      </c>
      <c r="AN1316" s="1868">
        <v>13.65019</v>
      </c>
      <c r="AO1316" s="1868">
        <v>15.542629999999999</v>
      </c>
      <c r="AP1316" s="1868">
        <v>13.74521</v>
      </c>
      <c r="AQ1316" s="1868">
        <v>15.188839999999999</v>
      </c>
      <c r="AR1316" s="1868">
        <v>15.994820000000001</v>
      </c>
      <c r="AS1316" s="1868">
        <v>17.227429999999998</v>
      </c>
      <c r="AT1316" s="1868">
        <v>14.564689999999999</v>
      </c>
      <c r="AU1316" s="1868">
        <v>18.007570000000001</v>
      </c>
      <c r="AV1316" s="1868">
        <v>16.49399</v>
      </c>
      <c r="AW1316" s="1868">
        <v>20.288439999999998</v>
      </c>
      <c r="AX1316" s="1868">
        <v>17.05152</v>
      </c>
      <c r="AY1316" s="1868">
        <v>19.264610000000001</v>
      </c>
      <c r="AZ1316" s="1868">
        <v>18.308689999999999</v>
      </c>
      <c r="BA1316" s="1868">
        <v>20.577379999999998</v>
      </c>
    </row>
    <row r="1317" spans="1:53">
      <c r="A1317" s="1865" t="str">
        <f t="shared" si="20"/>
        <v>Western AsiaTea</v>
      </c>
      <c r="B1317" s="1866" t="s">
        <v>1425</v>
      </c>
      <c r="C1317" s="1866" t="s">
        <v>1405</v>
      </c>
      <c r="D1317" s="1868">
        <v>0.36391999999999997</v>
      </c>
      <c r="E1317" s="1868">
        <v>0.51780999999999999</v>
      </c>
      <c r="F1317" s="1868">
        <v>0.57572999999999996</v>
      </c>
      <c r="G1317" s="1868">
        <v>0.52738000000000007</v>
      </c>
      <c r="H1317" s="1868">
        <v>0.66349999999999998</v>
      </c>
      <c r="I1317" s="1868">
        <v>1.0589299999999999</v>
      </c>
      <c r="J1317" s="1868">
        <v>0.92817000000000005</v>
      </c>
      <c r="K1317" s="1868">
        <v>1.0550200000000001</v>
      </c>
      <c r="L1317" s="1868">
        <v>1.2586700000000002</v>
      </c>
      <c r="M1317" s="1868">
        <v>1.2868999999999999</v>
      </c>
      <c r="N1317" s="1868">
        <v>1.1846099999999999</v>
      </c>
      <c r="O1317" s="1868">
        <v>1.6155899999999999</v>
      </c>
      <c r="P1317" s="1868">
        <v>1.0670600000000001</v>
      </c>
      <c r="Q1317" s="1868">
        <v>1.0545799999999999</v>
      </c>
      <c r="R1317" s="1868">
        <v>1.1050799999999998</v>
      </c>
      <c r="S1317" s="1868">
        <v>1.14503</v>
      </c>
      <c r="T1317" s="1868">
        <v>1.4820899999999999</v>
      </c>
      <c r="U1317" s="1868">
        <v>1.6309899999999999</v>
      </c>
      <c r="V1317" s="1868">
        <v>1.9021099999999997</v>
      </c>
      <c r="W1317" s="1868">
        <v>1.7819599999999998</v>
      </c>
      <c r="X1317" s="1868">
        <v>0.80136000000000007</v>
      </c>
      <c r="Y1317" s="1868">
        <v>1.05487</v>
      </c>
      <c r="Z1317" s="1868">
        <v>1.5631200000000001</v>
      </c>
      <c r="AA1317" s="1868">
        <v>1.7666099999999998</v>
      </c>
      <c r="AB1317" s="1868">
        <v>2.04813</v>
      </c>
      <c r="AC1317" s="1868">
        <v>1.7767500000000001</v>
      </c>
      <c r="AD1317" s="1868">
        <v>1.7432900000000002</v>
      </c>
      <c r="AE1317" s="1868">
        <v>1.7749900000000001</v>
      </c>
      <c r="AF1317" s="1868">
        <v>1.52505</v>
      </c>
      <c r="AG1317" s="1868">
        <v>1.3552799999999998</v>
      </c>
      <c r="AH1317" s="1868">
        <v>1.5443200000000001</v>
      </c>
      <c r="AI1317" s="1868">
        <v>1.2805200000000001</v>
      </c>
      <c r="AJ1317" s="1868">
        <v>1.5146500000000001</v>
      </c>
      <c r="AK1317" s="1868">
        <v>1.4604600000000001</v>
      </c>
      <c r="AL1317" s="1868">
        <v>1.0981299999999998</v>
      </c>
      <c r="AM1317" s="1868">
        <v>1.1628100000000001</v>
      </c>
      <c r="AN1317" s="1868">
        <v>1.5112299999999999</v>
      </c>
      <c r="AO1317" s="1868">
        <v>2.03613</v>
      </c>
      <c r="AP1317" s="1868">
        <v>2.4706999999999999</v>
      </c>
      <c r="AQ1317" s="1868">
        <v>1.54372</v>
      </c>
      <c r="AR1317" s="1868">
        <v>1.6013700000000002</v>
      </c>
      <c r="AS1317" s="1868">
        <v>1.5386200000000001</v>
      </c>
      <c r="AT1317" s="1868">
        <v>1.71838</v>
      </c>
      <c r="AU1317" s="1868">
        <v>2.2206700000000001</v>
      </c>
      <c r="AV1317" s="1868">
        <v>2.35521</v>
      </c>
      <c r="AW1317" s="1868">
        <v>2.4767999999999999</v>
      </c>
      <c r="AX1317" s="1868">
        <v>2.52427</v>
      </c>
      <c r="AY1317" s="1868">
        <v>2.4512099999999997</v>
      </c>
      <c r="AZ1317" s="1868">
        <v>2.48346</v>
      </c>
      <c r="BA1317" s="1868">
        <v>2.9906799999999998</v>
      </c>
    </row>
    <row r="1318" spans="1:53">
      <c r="A1318" s="1865" t="str">
        <f t="shared" si="20"/>
        <v>Western AsiaTobacco, unmanufactured</v>
      </c>
      <c r="B1318" s="1866" t="s">
        <v>1425</v>
      </c>
      <c r="C1318" s="1866" t="s">
        <v>1347</v>
      </c>
      <c r="D1318" s="1868">
        <v>0.71997</v>
      </c>
      <c r="E1318" s="1868">
        <v>0.61438000000000004</v>
      </c>
      <c r="F1318" s="1868">
        <v>0.55035000000000001</v>
      </c>
      <c r="G1318" s="1868">
        <v>0.71528999999999998</v>
      </c>
      <c r="H1318" s="1868">
        <v>0.61096000000000006</v>
      </c>
      <c r="I1318" s="1868">
        <v>0.57851000000000008</v>
      </c>
      <c r="J1318" s="1868">
        <v>0.65022999999999997</v>
      </c>
      <c r="K1318" s="1868">
        <v>0.63111000000000006</v>
      </c>
      <c r="L1318" s="1868">
        <v>0.50488</v>
      </c>
      <c r="M1318" s="1868">
        <v>0.50423000000000007</v>
      </c>
      <c r="N1318" s="1868">
        <v>0.56891999999999998</v>
      </c>
      <c r="O1318" s="1868">
        <v>0.56057000000000001</v>
      </c>
      <c r="P1318" s="1868">
        <v>0.52049000000000001</v>
      </c>
      <c r="Q1318" s="1868">
        <v>0.89662999999999993</v>
      </c>
      <c r="R1318" s="1868">
        <v>0.80336000000000007</v>
      </c>
      <c r="S1318" s="1868">
        <v>1.00082</v>
      </c>
      <c r="T1318" s="1868">
        <v>0.87232999999999994</v>
      </c>
      <c r="U1318" s="1868">
        <v>0.95141000000000009</v>
      </c>
      <c r="V1318" s="1868">
        <v>0.92548999999999992</v>
      </c>
      <c r="W1318" s="1868">
        <v>1.01322</v>
      </c>
      <c r="X1318" s="1868">
        <v>0.94748999999999994</v>
      </c>
      <c r="Y1318" s="1868">
        <v>1.0010700000000001</v>
      </c>
      <c r="Z1318" s="1868">
        <v>1.0169700000000002</v>
      </c>
      <c r="AA1318" s="1868">
        <v>0.95948999999999995</v>
      </c>
      <c r="AB1318" s="1868">
        <v>0.99447999999999992</v>
      </c>
      <c r="AC1318" s="1868">
        <v>0.97711000000000003</v>
      </c>
      <c r="AD1318" s="1868">
        <v>0.93908999999999998</v>
      </c>
      <c r="AE1318" s="1868">
        <v>0.95611000000000002</v>
      </c>
      <c r="AF1318" s="1868">
        <v>0.95756000000000008</v>
      </c>
      <c r="AG1318" s="1868">
        <v>0.94418999999999997</v>
      </c>
      <c r="AH1318" s="1868">
        <v>0.88747999999999994</v>
      </c>
      <c r="AI1318" s="1868">
        <v>1.1419600000000001</v>
      </c>
      <c r="AJ1318" s="1868">
        <v>1.1047499999999999</v>
      </c>
      <c r="AK1318" s="1868">
        <v>0.91936000000000007</v>
      </c>
      <c r="AL1318" s="1868">
        <v>1.06654</v>
      </c>
      <c r="AM1318" s="1868">
        <v>1.0263100000000001</v>
      </c>
      <c r="AN1318" s="1868">
        <v>1.0567299999999999</v>
      </c>
      <c r="AO1318" s="1868">
        <v>0.99501000000000006</v>
      </c>
      <c r="AP1318" s="1868">
        <v>1.01519</v>
      </c>
      <c r="AQ1318" s="1868">
        <v>0.97404000000000002</v>
      </c>
      <c r="AR1318" s="1868">
        <v>0.92105999999999999</v>
      </c>
      <c r="AS1318" s="1868">
        <v>0.95550000000000002</v>
      </c>
      <c r="AT1318" s="1868">
        <v>0.78737999999999997</v>
      </c>
      <c r="AU1318" s="1868">
        <v>0.86607999999999996</v>
      </c>
      <c r="AV1318" s="1868">
        <v>0.90268999999999999</v>
      </c>
      <c r="AW1318" s="1868">
        <v>0.87197999999999998</v>
      </c>
      <c r="AX1318" s="1868">
        <v>0.75461999999999996</v>
      </c>
      <c r="AY1318" s="1868">
        <v>0.82752999999999988</v>
      </c>
      <c r="AZ1318" s="1868">
        <v>0.82312000000000007</v>
      </c>
      <c r="BA1318" s="1868">
        <v>1.00282</v>
      </c>
    </row>
    <row r="1319" spans="1:53">
      <c r="A1319" s="1865" t="str">
        <f t="shared" si="20"/>
        <v>Western AsiaTomatoes</v>
      </c>
      <c r="B1319" s="1866" t="s">
        <v>1425</v>
      </c>
      <c r="C1319" s="1866" t="s">
        <v>1406</v>
      </c>
      <c r="D1319" s="1868">
        <v>14.97785</v>
      </c>
      <c r="E1319" s="1868">
        <v>14.065899999999999</v>
      </c>
      <c r="F1319" s="1868">
        <v>14.398610000000001</v>
      </c>
      <c r="G1319" s="1868">
        <v>14.778020000000001</v>
      </c>
      <c r="H1319" s="1868">
        <v>14.985810000000001</v>
      </c>
      <c r="I1319" s="1868">
        <v>15.307270000000001</v>
      </c>
      <c r="J1319" s="1868">
        <v>14.996029999999999</v>
      </c>
      <c r="K1319" s="1868">
        <v>15.489660000000001</v>
      </c>
      <c r="L1319" s="1868">
        <v>16.252520000000001</v>
      </c>
      <c r="M1319" s="1868">
        <v>17.435229999999997</v>
      </c>
      <c r="N1319" s="1868">
        <v>17.543420000000001</v>
      </c>
      <c r="O1319" s="1868">
        <v>17.417950000000001</v>
      </c>
      <c r="P1319" s="1868">
        <v>16.61336</v>
      </c>
      <c r="Q1319" s="1868">
        <v>16.85641</v>
      </c>
      <c r="R1319" s="1868">
        <v>17.910499999999999</v>
      </c>
      <c r="S1319" s="1868">
        <v>19.672689999999999</v>
      </c>
      <c r="T1319" s="1868">
        <v>19.754739999999998</v>
      </c>
      <c r="U1319" s="1868">
        <v>22.845929999999999</v>
      </c>
      <c r="V1319" s="1868">
        <v>23.633229999999998</v>
      </c>
      <c r="W1319" s="1868">
        <v>23.79852</v>
      </c>
      <c r="X1319" s="1868">
        <v>24.409689999999998</v>
      </c>
      <c r="Y1319" s="1868">
        <v>25.404859999999999</v>
      </c>
      <c r="Z1319" s="1868">
        <v>25.42033</v>
      </c>
      <c r="AA1319" s="1868">
        <v>26.47082</v>
      </c>
      <c r="AB1319" s="1868">
        <v>26.93543</v>
      </c>
      <c r="AC1319" s="1868">
        <v>27.317059999999998</v>
      </c>
      <c r="AD1319" s="1868">
        <v>27.90307</v>
      </c>
      <c r="AE1319" s="1868">
        <v>29.030179999999998</v>
      </c>
      <c r="AF1319" s="1868">
        <v>29.003759999999996</v>
      </c>
      <c r="AG1319" s="1868">
        <v>29.725020000000001</v>
      </c>
      <c r="AH1319" s="1868">
        <v>30.440609999999996</v>
      </c>
      <c r="AI1319" s="1868">
        <v>30.340940000000003</v>
      </c>
      <c r="AJ1319" s="1868">
        <v>29.933690000000002</v>
      </c>
      <c r="AK1319" s="1868">
        <v>30.555900000000001</v>
      </c>
      <c r="AL1319" s="1868">
        <v>31.484020000000001</v>
      </c>
      <c r="AM1319" s="1868">
        <v>31.331809999999997</v>
      </c>
      <c r="AN1319" s="1868">
        <v>31.32358</v>
      </c>
      <c r="AO1319" s="1868">
        <v>32.621000000000002</v>
      </c>
      <c r="AP1319" s="1868">
        <v>33.575690000000002</v>
      </c>
      <c r="AQ1319" s="1868">
        <v>33.77214</v>
      </c>
      <c r="AR1319" s="1868">
        <v>31.633779999999998</v>
      </c>
      <c r="AS1319" s="1868">
        <v>31.748070000000002</v>
      </c>
      <c r="AT1319" s="1868">
        <v>34.257329999999996</v>
      </c>
      <c r="AU1319" s="1868">
        <v>33.257529999999996</v>
      </c>
      <c r="AV1319" s="1868">
        <v>33.423790000000004</v>
      </c>
      <c r="AW1319" s="1868">
        <v>36.985909999999997</v>
      </c>
      <c r="AX1319" s="1868">
        <v>38.00441</v>
      </c>
      <c r="AY1319" s="1868">
        <v>34.051409999999997</v>
      </c>
      <c r="AZ1319" s="1868">
        <v>33.045909999999999</v>
      </c>
      <c r="BA1319" s="1868">
        <v>32.940220000000004</v>
      </c>
    </row>
    <row r="1320" spans="1:53">
      <c r="A1320" s="1865" t="str">
        <f t="shared" si="20"/>
        <v>Western AsiaTriticale</v>
      </c>
      <c r="B1320" s="1866" t="s">
        <v>1425</v>
      </c>
      <c r="C1320" s="1866" t="s">
        <v>1361</v>
      </c>
      <c r="AW1320" s="1868">
        <v>3.2201900000000001</v>
      </c>
      <c r="AX1320" s="1868">
        <v>3.14527</v>
      </c>
      <c r="AY1320" s="1868">
        <v>3.4216699999999998</v>
      </c>
      <c r="AZ1320" s="1868">
        <v>3.4792199999999998</v>
      </c>
      <c r="BA1320" s="1868">
        <v>3.4745199999999996</v>
      </c>
    </row>
    <row r="1321" spans="1:53">
      <c r="A1321" s="1865" t="str">
        <f t="shared" si="20"/>
        <v>Western AsiaVegetables fresh nes</v>
      </c>
      <c r="B1321" s="1866" t="s">
        <v>1425</v>
      </c>
      <c r="C1321" s="1866" t="s">
        <v>1407</v>
      </c>
      <c r="D1321" s="1868">
        <v>7.8289200000000001</v>
      </c>
      <c r="E1321" s="1868">
        <v>8.0027399999999993</v>
      </c>
      <c r="F1321" s="1868">
        <v>8.5820699999999999</v>
      </c>
      <c r="G1321" s="1868">
        <v>8.3656199999999998</v>
      </c>
      <c r="H1321" s="1868">
        <v>8.2237299999999998</v>
      </c>
      <c r="I1321" s="1868">
        <v>8.4008399999999988</v>
      </c>
      <c r="J1321" s="1868">
        <v>8.3373000000000008</v>
      </c>
      <c r="K1321" s="1868">
        <v>8.281130000000001</v>
      </c>
      <c r="L1321" s="1868">
        <v>8.229989999999999</v>
      </c>
      <c r="M1321" s="1868">
        <v>8.2962799999999994</v>
      </c>
      <c r="N1321" s="1868">
        <v>9.4401899999999994</v>
      </c>
      <c r="O1321" s="1868">
        <v>9.0517099999999999</v>
      </c>
      <c r="P1321" s="1868">
        <v>9.352269999999999</v>
      </c>
      <c r="Q1321" s="1868">
        <v>10.411899999999999</v>
      </c>
      <c r="R1321" s="1868">
        <v>10.190519999999999</v>
      </c>
      <c r="S1321" s="1868">
        <v>10.346810000000001</v>
      </c>
      <c r="T1321" s="1868">
        <v>10.05076</v>
      </c>
      <c r="U1321" s="1868">
        <v>9.7779100000000003</v>
      </c>
      <c r="V1321" s="1868">
        <v>10.01122</v>
      </c>
      <c r="W1321" s="1868">
        <v>10.388389999999999</v>
      </c>
      <c r="X1321" s="1868">
        <v>11.110799999999999</v>
      </c>
      <c r="Y1321" s="1868">
        <v>10.0435</v>
      </c>
      <c r="Z1321" s="1868">
        <v>11.43074</v>
      </c>
      <c r="AA1321" s="1868">
        <v>12.98588</v>
      </c>
      <c r="AB1321" s="1868">
        <v>11.57118</v>
      </c>
      <c r="AC1321" s="1868">
        <v>12.74521</v>
      </c>
      <c r="AD1321" s="1868">
        <v>13.211460000000001</v>
      </c>
      <c r="AE1321" s="1868">
        <v>13.898239999999999</v>
      </c>
      <c r="AF1321" s="1868">
        <v>15.216950000000001</v>
      </c>
      <c r="AG1321" s="1868">
        <v>17.653479999999998</v>
      </c>
      <c r="AH1321" s="1868">
        <v>17.01397</v>
      </c>
      <c r="AI1321" s="1868">
        <v>15.14115</v>
      </c>
      <c r="AJ1321" s="1868">
        <v>15.816189999999999</v>
      </c>
      <c r="AK1321" s="1868">
        <v>15.48696</v>
      </c>
      <c r="AL1321" s="1868">
        <v>15.086720000000001</v>
      </c>
      <c r="AM1321" s="1868">
        <v>16.07461</v>
      </c>
      <c r="AN1321" s="1868">
        <v>15.65306</v>
      </c>
      <c r="AO1321" s="1868">
        <v>15.87265</v>
      </c>
      <c r="AP1321" s="1868">
        <v>15.355210000000001</v>
      </c>
      <c r="AQ1321" s="1868">
        <v>20.211410000000001</v>
      </c>
      <c r="AR1321" s="1868">
        <v>14.138450000000001</v>
      </c>
      <c r="AS1321" s="1868">
        <v>13.620870000000002</v>
      </c>
      <c r="AT1321" s="1868">
        <v>12.997999999999999</v>
      </c>
      <c r="AU1321" s="1868">
        <v>13.918920000000002</v>
      </c>
      <c r="AV1321" s="1868">
        <v>13.87025</v>
      </c>
      <c r="AW1321" s="1868">
        <v>14.37181</v>
      </c>
      <c r="AX1321" s="1868">
        <v>14.179920000000001</v>
      </c>
      <c r="AY1321" s="1868">
        <v>13.84707</v>
      </c>
      <c r="AZ1321" s="1868">
        <v>15.063979999999999</v>
      </c>
      <c r="BA1321" s="1868">
        <v>13.490500000000001</v>
      </c>
    </row>
    <row r="1322" spans="1:53">
      <c r="A1322" s="1865" t="str">
        <f t="shared" si="20"/>
        <v>Western AsiaVetches</v>
      </c>
      <c r="B1322" s="1866" t="s">
        <v>1425</v>
      </c>
      <c r="C1322" s="1866" t="s">
        <v>1408</v>
      </c>
      <c r="D1322" s="1868">
        <v>0.86576000000000009</v>
      </c>
      <c r="E1322" s="1868">
        <v>0.85009000000000001</v>
      </c>
      <c r="F1322" s="1868">
        <v>0.87222999999999995</v>
      </c>
      <c r="G1322" s="1868">
        <v>0.94722999999999991</v>
      </c>
      <c r="H1322" s="1868">
        <v>0.92757999999999996</v>
      </c>
      <c r="I1322" s="1868">
        <v>0.83643999999999996</v>
      </c>
      <c r="J1322" s="1868">
        <v>1.0097799999999999</v>
      </c>
      <c r="K1322" s="1868">
        <v>0.91146000000000005</v>
      </c>
      <c r="L1322" s="1868">
        <v>0.94691000000000003</v>
      </c>
      <c r="M1322" s="1868">
        <v>0.79810999999999999</v>
      </c>
      <c r="N1322" s="1868">
        <v>0.94143999999999994</v>
      </c>
      <c r="O1322" s="1868">
        <v>0.91269</v>
      </c>
      <c r="P1322" s="1868">
        <v>0.62602000000000002</v>
      </c>
      <c r="Q1322" s="1868">
        <v>0.79906999999999995</v>
      </c>
      <c r="R1322" s="1868">
        <v>0.81656000000000006</v>
      </c>
      <c r="S1322" s="1868">
        <v>0.86297000000000013</v>
      </c>
      <c r="T1322" s="1868">
        <v>0.81299999999999994</v>
      </c>
      <c r="U1322" s="1868">
        <v>0.73991000000000007</v>
      </c>
      <c r="V1322" s="1868">
        <v>0.74766999999999995</v>
      </c>
      <c r="W1322" s="1868">
        <v>0.81440000000000001</v>
      </c>
      <c r="X1322" s="1868">
        <v>0.82676000000000005</v>
      </c>
      <c r="Y1322" s="1868">
        <v>0.82167999999999997</v>
      </c>
      <c r="Z1322" s="1868">
        <v>0.80221999999999993</v>
      </c>
      <c r="AA1322" s="1868">
        <v>0.74334999999999996</v>
      </c>
      <c r="AB1322" s="1868">
        <v>0.77815000000000001</v>
      </c>
      <c r="AC1322" s="1868">
        <v>0.78561000000000003</v>
      </c>
      <c r="AD1322" s="1868">
        <v>0.77171999999999996</v>
      </c>
      <c r="AE1322" s="1868">
        <v>0.76841000000000004</v>
      </c>
      <c r="AF1322" s="1868">
        <v>0.67303000000000002</v>
      </c>
      <c r="AG1322" s="1868">
        <v>0.66081999999999996</v>
      </c>
      <c r="AH1322" s="1868">
        <v>0.68467</v>
      </c>
      <c r="AI1322" s="1868">
        <v>0.67321999999999993</v>
      </c>
      <c r="AJ1322" s="1868">
        <v>0.70933000000000002</v>
      </c>
      <c r="AK1322" s="1868">
        <v>0.628</v>
      </c>
      <c r="AL1322" s="1868">
        <v>0.62606000000000006</v>
      </c>
      <c r="AM1322" s="1868">
        <v>0.63244</v>
      </c>
      <c r="AN1322" s="1868">
        <v>0.65283000000000002</v>
      </c>
      <c r="AO1322" s="1868">
        <v>0.63778000000000001</v>
      </c>
      <c r="AP1322" s="1868">
        <v>0.56108999999999998</v>
      </c>
      <c r="AQ1322" s="1868">
        <v>0.60624999999999996</v>
      </c>
      <c r="AR1322" s="1868">
        <v>0.58311999999999997</v>
      </c>
      <c r="AS1322" s="1868">
        <v>0.60019999999999996</v>
      </c>
      <c r="AT1322" s="1868">
        <v>0.53837999999999997</v>
      </c>
      <c r="AU1322" s="1868">
        <v>1.16283</v>
      </c>
      <c r="AV1322" s="1868">
        <v>1.1576600000000001</v>
      </c>
      <c r="AW1322" s="1868">
        <v>1.2253499999999999</v>
      </c>
      <c r="AX1322" s="1868">
        <v>1.1694100000000001</v>
      </c>
      <c r="AY1322" s="1868">
        <v>0.89223999999999992</v>
      </c>
      <c r="AZ1322" s="1868">
        <v>1.21505</v>
      </c>
      <c r="BA1322" s="1868">
        <v>1.1675500000000001</v>
      </c>
    </row>
    <row r="1323" spans="1:53">
      <c r="A1323" s="1865" t="str">
        <f t="shared" si="20"/>
        <v>Western AsiaWheat</v>
      </c>
      <c r="B1323" s="1866" t="s">
        <v>1425</v>
      </c>
      <c r="C1323" s="1866" t="s">
        <v>1409</v>
      </c>
      <c r="D1323" s="1868">
        <v>0.84989999999999999</v>
      </c>
      <c r="E1323" s="1868">
        <v>1.01488</v>
      </c>
      <c r="F1323" s="1868">
        <v>1.1249200000000001</v>
      </c>
      <c r="G1323" s="1868">
        <v>0.96989999999999998</v>
      </c>
      <c r="H1323" s="1868">
        <v>1.01738</v>
      </c>
      <c r="I1323" s="1868">
        <v>1.07999</v>
      </c>
      <c r="J1323" s="1868">
        <v>1.13561</v>
      </c>
      <c r="K1323" s="1868">
        <v>1.0878000000000001</v>
      </c>
      <c r="L1323" s="1868">
        <v>1.15052</v>
      </c>
      <c r="M1323" s="1868">
        <v>1.0378799999999999</v>
      </c>
      <c r="N1323" s="1868">
        <v>1.3743100000000001</v>
      </c>
      <c r="O1323" s="1868">
        <v>1.39402</v>
      </c>
      <c r="P1323" s="1868">
        <v>1.0500200000000002</v>
      </c>
      <c r="Q1323" s="1868">
        <v>1.18546</v>
      </c>
      <c r="R1323" s="1868">
        <v>1.38869</v>
      </c>
      <c r="S1323" s="1868">
        <v>1.5741100000000001</v>
      </c>
      <c r="T1323" s="1868">
        <v>1.5733600000000001</v>
      </c>
      <c r="U1323" s="1868">
        <v>1.55027</v>
      </c>
      <c r="V1323" s="1868">
        <v>1.6276700000000002</v>
      </c>
      <c r="W1323" s="1868">
        <v>1.67475</v>
      </c>
      <c r="X1323" s="1868">
        <v>1.7012499999999999</v>
      </c>
      <c r="Y1323" s="1868">
        <v>1.7530700000000001</v>
      </c>
      <c r="Z1323" s="1868">
        <v>1.6448400000000001</v>
      </c>
      <c r="AA1323" s="1868">
        <v>1.8202200000000002</v>
      </c>
      <c r="AB1323" s="1868">
        <v>1.7454599999999998</v>
      </c>
      <c r="AC1323" s="1868">
        <v>1.9735799999999999</v>
      </c>
      <c r="AD1323" s="1868">
        <v>2.0034999999999998</v>
      </c>
      <c r="AE1323" s="1868">
        <v>2.1777900000000003</v>
      </c>
      <c r="AF1323" s="1868">
        <v>1.79</v>
      </c>
      <c r="AG1323" s="1868">
        <v>2.1119599999999998</v>
      </c>
      <c r="AH1323" s="1868">
        <v>2.0561500000000001</v>
      </c>
      <c r="AI1323" s="1868">
        <v>2.0459499999999999</v>
      </c>
      <c r="AJ1323" s="1868">
        <v>2.0911599999999999</v>
      </c>
      <c r="AK1323" s="1868">
        <v>1.8226599999999999</v>
      </c>
      <c r="AL1323" s="1868">
        <v>1.9280999999999999</v>
      </c>
      <c r="AM1323" s="1868">
        <v>1.9554099999999999</v>
      </c>
      <c r="AN1323" s="1868">
        <v>1.8805400000000001</v>
      </c>
      <c r="AO1323" s="1868">
        <v>2.1240999999999999</v>
      </c>
      <c r="AP1323" s="1868">
        <v>1.8436599999999999</v>
      </c>
      <c r="AQ1323" s="1868">
        <v>2.0656599999999998</v>
      </c>
      <c r="AR1323" s="1868">
        <v>2.1330499999999999</v>
      </c>
      <c r="AS1323" s="1868">
        <v>2.24119</v>
      </c>
      <c r="AT1323" s="1868">
        <v>2.1962900000000003</v>
      </c>
      <c r="AU1323" s="1868">
        <v>2.2888299999999999</v>
      </c>
      <c r="AV1323" s="1868">
        <v>2.1966600000000001</v>
      </c>
      <c r="AW1323" s="1868">
        <v>2.4003299999999999</v>
      </c>
      <c r="AX1323" s="1868">
        <v>2.2164299999999999</v>
      </c>
      <c r="AY1323" s="1868">
        <v>2.0652300000000001</v>
      </c>
      <c r="AZ1323" s="1868">
        <v>2.47546</v>
      </c>
      <c r="BA1323" s="1868">
        <v>2.3410799999999998</v>
      </c>
    </row>
    <row r="1324" spans="1:53">
      <c r="A1324" s="1865" t="str">
        <f t="shared" si="20"/>
        <v>Western AsiaCereals (Rice Milled Eqv</v>
      </c>
      <c r="B1324" s="1866" t="s">
        <v>1425</v>
      </c>
      <c r="C1324" s="1866" t="s">
        <v>1410</v>
      </c>
      <c r="D1324" s="1868">
        <v>0.90582999999999991</v>
      </c>
      <c r="E1324" s="1868">
        <v>1.0556700000000001</v>
      </c>
      <c r="F1324" s="1868">
        <v>1.1633100000000001</v>
      </c>
      <c r="G1324" s="1868">
        <v>1.01278</v>
      </c>
      <c r="H1324" s="1868">
        <v>1.05104</v>
      </c>
      <c r="I1324" s="1868">
        <v>1.1092799999999998</v>
      </c>
      <c r="J1324" s="1868">
        <v>1.1588100000000001</v>
      </c>
      <c r="K1324" s="1868">
        <v>1.1203799999999999</v>
      </c>
      <c r="L1324" s="1868">
        <v>1.1913</v>
      </c>
      <c r="M1324" s="1868">
        <v>1.03325</v>
      </c>
      <c r="N1324" s="1868">
        <v>1.3454200000000001</v>
      </c>
      <c r="O1324" s="1868">
        <v>1.3667499999999999</v>
      </c>
      <c r="P1324" s="1868">
        <v>1.03928</v>
      </c>
      <c r="Q1324" s="1868">
        <v>1.1739700000000002</v>
      </c>
      <c r="R1324" s="1868">
        <v>1.35419</v>
      </c>
      <c r="S1324" s="1868">
        <v>1.50492</v>
      </c>
      <c r="T1324" s="1868">
        <v>1.48038</v>
      </c>
      <c r="U1324" s="1868">
        <v>1.4980100000000001</v>
      </c>
      <c r="V1324" s="1868">
        <v>1.5220899999999999</v>
      </c>
      <c r="W1324" s="1868">
        <v>1.5989</v>
      </c>
      <c r="X1324" s="1868">
        <v>1.6279999999999999</v>
      </c>
      <c r="Y1324" s="1868">
        <v>1.6107799999999999</v>
      </c>
      <c r="Z1324" s="1868">
        <v>1.5243200000000001</v>
      </c>
      <c r="AA1324" s="1868">
        <v>1.6718599999999999</v>
      </c>
      <c r="AB1324" s="1868">
        <v>1.64568</v>
      </c>
      <c r="AC1324" s="1868">
        <v>1.82108</v>
      </c>
      <c r="AD1324" s="1868">
        <v>1.8430799999999998</v>
      </c>
      <c r="AE1324" s="1868">
        <v>2.0449799999999998</v>
      </c>
      <c r="AF1324" s="1868">
        <v>1.4761299999999999</v>
      </c>
      <c r="AG1324" s="1868">
        <v>1.8224200000000002</v>
      </c>
      <c r="AH1324" s="1868">
        <v>1.8615400000000002</v>
      </c>
      <c r="AI1324" s="1868">
        <v>1.8202499999999999</v>
      </c>
      <c r="AJ1324" s="1868">
        <v>1.90435</v>
      </c>
      <c r="AK1324" s="1868">
        <v>1.7665900000000001</v>
      </c>
      <c r="AL1324" s="1868">
        <v>1.8145200000000001</v>
      </c>
      <c r="AM1324" s="1868">
        <v>1.8736599999999999</v>
      </c>
      <c r="AN1324" s="1868">
        <v>1.8141700000000001</v>
      </c>
      <c r="AO1324" s="1868">
        <v>2.00021</v>
      </c>
      <c r="AP1324" s="1868">
        <v>1.7629299999999999</v>
      </c>
      <c r="AQ1324" s="1868">
        <v>1.9011499999999999</v>
      </c>
      <c r="AR1324" s="1868">
        <v>2.0068799999999998</v>
      </c>
      <c r="AS1324" s="1868">
        <v>2.09815</v>
      </c>
      <c r="AT1324" s="1868">
        <v>2.1352700000000002</v>
      </c>
      <c r="AU1324" s="1868">
        <v>2.1941299999999999</v>
      </c>
      <c r="AV1324" s="1868">
        <v>2.1890000000000001</v>
      </c>
      <c r="AW1324" s="1868">
        <v>2.3416399999999999</v>
      </c>
      <c r="AX1324" s="1868">
        <v>2.1135599999999997</v>
      </c>
      <c r="AY1324" s="1868">
        <v>1.98532</v>
      </c>
      <c r="AZ1324" s="1868">
        <v>2.4050700000000003</v>
      </c>
      <c r="BA1324" s="1868">
        <v>2.2687499999999998</v>
      </c>
    </row>
    <row r="1325" spans="1:53">
      <c r="A1325" s="1865" t="str">
        <f t="shared" si="20"/>
        <v>Western EuropeBarley</v>
      </c>
      <c r="B1325" s="1866" t="s">
        <v>306</v>
      </c>
      <c r="C1325" s="1866" t="s">
        <v>1363</v>
      </c>
      <c r="D1325" s="1868">
        <v>2.4649999999999999</v>
      </c>
      <c r="E1325" s="1868">
        <v>3.0198</v>
      </c>
      <c r="F1325" s="1868">
        <v>2.98658</v>
      </c>
      <c r="G1325" s="1868">
        <v>3.10724</v>
      </c>
      <c r="H1325" s="1868">
        <v>3.0190299999999999</v>
      </c>
      <c r="I1325" s="1868">
        <v>2.9107400000000001</v>
      </c>
      <c r="J1325" s="1868">
        <v>3.5549300000000001</v>
      </c>
      <c r="K1325" s="1868">
        <v>3.45295</v>
      </c>
      <c r="L1325" s="1868">
        <v>3.4233300000000004</v>
      </c>
      <c r="M1325" s="1868">
        <v>2.9598599999999999</v>
      </c>
      <c r="N1325" s="1868">
        <v>3.5391599999999999</v>
      </c>
      <c r="O1325" s="1868">
        <v>3.9106699999999996</v>
      </c>
      <c r="P1325" s="1868">
        <v>3.9467500000000002</v>
      </c>
      <c r="Q1325" s="1868">
        <v>3.9976300000000005</v>
      </c>
      <c r="R1325" s="1868">
        <v>3.64086</v>
      </c>
      <c r="S1325" s="1868">
        <v>3.4409199999999998</v>
      </c>
      <c r="T1325" s="1868">
        <v>3.7817699999999999</v>
      </c>
      <c r="U1325" s="1868">
        <v>4.1704300000000005</v>
      </c>
      <c r="V1325" s="1868">
        <v>3.9376199999999999</v>
      </c>
      <c r="W1325" s="1868">
        <v>4.3667099999999994</v>
      </c>
      <c r="X1325" s="1868">
        <v>3.9945800000000005</v>
      </c>
      <c r="Y1325" s="1868">
        <v>4.4016099999999998</v>
      </c>
      <c r="Z1325" s="1868">
        <v>4.2775800000000004</v>
      </c>
      <c r="AA1325" s="1868">
        <v>5.15916</v>
      </c>
      <c r="AB1325" s="1868">
        <v>5.00143</v>
      </c>
      <c r="AC1325" s="1868">
        <v>4.7816599999999996</v>
      </c>
      <c r="AD1325" s="1868">
        <v>4.8921700000000001</v>
      </c>
      <c r="AE1325" s="1868">
        <v>5.0856000000000003</v>
      </c>
      <c r="AF1325" s="1868">
        <v>5.3984300000000003</v>
      </c>
      <c r="AG1325" s="1868">
        <v>5.4720199999999997</v>
      </c>
      <c r="AH1325" s="1868">
        <v>5.8042199999999999</v>
      </c>
      <c r="AI1325" s="1868">
        <v>5.3789099999999994</v>
      </c>
      <c r="AJ1325" s="1868">
        <v>5.1944999999999997</v>
      </c>
      <c r="AK1325" s="1868">
        <v>5.3009399999999998</v>
      </c>
      <c r="AL1325" s="1868">
        <v>5.5579000000000001</v>
      </c>
      <c r="AM1325" s="1868">
        <v>5.7068400000000006</v>
      </c>
      <c r="AN1325" s="1868">
        <v>5.8937400000000002</v>
      </c>
      <c r="AO1325" s="1868">
        <v>5.9637000000000002</v>
      </c>
      <c r="AP1325" s="1868">
        <v>6.0345500000000003</v>
      </c>
      <c r="AQ1325" s="1868">
        <v>5.9408199999999995</v>
      </c>
      <c r="AR1325" s="1868">
        <v>6.02684</v>
      </c>
      <c r="AS1325" s="1868">
        <v>5.9850000000000003</v>
      </c>
      <c r="AT1325" s="1868">
        <v>5.2763999999999998</v>
      </c>
      <c r="AU1325" s="1868">
        <v>6.5915600000000003</v>
      </c>
      <c r="AV1325" s="1868">
        <v>6.10947</v>
      </c>
      <c r="AW1325" s="1868">
        <v>5.9904299999999999</v>
      </c>
      <c r="AX1325" s="1868">
        <v>5.4625199999999996</v>
      </c>
      <c r="AY1325" s="1868">
        <v>6.3497599999999998</v>
      </c>
      <c r="AZ1325" s="1868">
        <v>6.6177199999999994</v>
      </c>
      <c r="BA1325" s="1868">
        <v>5.9678300000000002</v>
      </c>
    </row>
    <row r="1326" spans="1:53">
      <c r="A1326" s="1865" t="str">
        <f t="shared" si="20"/>
        <v>Western EuropeBeans, dry</v>
      </c>
      <c r="B1326" s="1866" t="s">
        <v>306</v>
      </c>
      <c r="C1326" s="1866" t="s">
        <v>1364</v>
      </c>
      <c r="D1326" s="1868">
        <v>1.0223899999999999</v>
      </c>
      <c r="E1326" s="1868">
        <v>0.99603999999999993</v>
      </c>
      <c r="F1326" s="1868">
        <v>1.2136899999999999</v>
      </c>
      <c r="G1326" s="1868">
        <v>1.0855399999999999</v>
      </c>
      <c r="H1326" s="1868">
        <v>1.1936799999999999</v>
      </c>
      <c r="I1326" s="1868">
        <v>1.4660899999999999</v>
      </c>
      <c r="J1326" s="1868">
        <v>1.3177299999999998</v>
      </c>
      <c r="K1326" s="1868">
        <v>1.4592399999999999</v>
      </c>
      <c r="L1326" s="1868">
        <v>1.3222700000000001</v>
      </c>
      <c r="M1326" s="1868">
        <v>1.55155</v>
      </c>
      <c r="N1326" s="1868">
        <v>1.59497</v>
      </c>
      <c r="O1326" s="1868">
        <v>1.3451</v>
      </c>
      <c r="P1326" s="1868">
        <v>1.8734500000000001</v>
      </c>
      <c r="Q1326" s="1868">
        <v>1.6150200000000001</v>
      </c>
      <c r="R1326" s="1868">
        <v>1.54643</v>
      </c>
      <c r="S1326" s="1868">
        <v>1.0638299999999998</v>
      </c>
      <c r="T1326" s="1868">
        <v>1.9094400000000002</v>
      </c>
      <c r="U1326" s="1868">
        <v>1.9683599999999999</v>
      </c>
      <c r="V1326" s="1868">
        <v>2.0900599999999998</v>
      </c>
      <c r="W1326" s="1868">
        <v>1.7079299999999999</v>
      </c>
      <c r="X1326" s="1868">
        <v>2.0083599999999997</v>
      </c>
      <c r="Y1326" s="1868">
        <v>2.2323599999999999</v>
      </c>
      <c r="Z1326" s="1868">
        <v>2.1421000000000001</v>
      </c>
      <c r="AA1326" s="1868">
        <v>2.1307</v>
      </c>
      <c r="AB1326" s="1868">
        <v>2.4785300000000001</v>
      </c>
      <c r="AC1326" s="1868">
        <v>2.4978199999999999</v>
      </c>
      <c r="AD1326" s="1868">
        <v>2.16229</v>
      </c>
      <c r="AE1326" s="1868">
        <v>2.3734299999999999</v>
      </c>
      <c r="AF1326" s="1868">
        <v>2.22905</v>
      </c>
      <c r="AG1326" s="1868">
        <v>2.1170499999999999</v>
      </c>
      <c r="AH1326" s="1868">
        <v>2.0545499999999999</v>
      </c>
      <c r="AI1326" s="1868">
        <v>2.1838799999999998</v>
      </c>
      <c r="AJ1326" s="1868">
        <v>2.70641</v>
      </c>
      <c r="AK1326" s="1868">
        <v>2.1903299999999999</v>
      </c>
      <c r="AL1326" s="1868">
        <v>2.2120299999999999</v>
      </c>
      <c r="AM1326" s="1868">
        <v>2.3880400000000002</v>
      </c>
      <c r="AN1326" s="1868">
        <v>2.4673099999999999</v>
      </c>
      <c r="AO1326" s="1868">
        <v>2.3812900000000004</v>
      </c>
      <c r="AP1326" s="1868">
        <v>2.54454</v>
      </c>
      <c r="AQ1326" s="1868">
        <v>2.9968300000000001</v>
      </c>
      <c r="AR1326" s="1868">
        <v>3.0662700000000003</v>
      </c>
      <c r="AS1326" s="1868">
        <v>3.2443400000000002</v>
      </c>
      <c r="AT1326" s="1868">
        <v>3.09084</v>
      </c>
      <c r="AU1326" s="1868">
        <v>2.9853900000000002</v>
      </c>
      <c r="AV1326" s="1868">
        <v>3.0242400000000003</v>
      </c>
      <c r="AW1326" s="1868">
        <v>2.4579</v>
      </c>
      <c r="AX1326" s="1868">
        <v>2.7416200000000002</v>
      </c>
      <c r="AY1326" s="1868">
        <v>2.5700099999999999</v>
      </c>
      <c r="AZ1326" s="1868">
        <v>2.5806800000000001</v>
      </c>
      <c r="BA1326" s="1868">
        <v>2.5968499999999999</v>
      </c>
    </row>
    <row r="1327" spans="1:53">
      <c r="A1327" s="1865" t="str">
        <f t="shared" si="20"/>
        <v>Western EuropeBeans, green</v>
      </c>
      <c r="B1327" s="1866" t="s">
        <v>306</v>
      </c>
      <c r="C1327" s="1866" t="s">
        <v>1365</v>
      </c>
      <c r="D1327" s="1868">
        <v>9.4093600000000013</v>
      </c>
      <c r="E1327" s="1868">
        <v>8.8551899999999986</v>
      </c>
      <c r="F1327" s="1868">
        <v>10.02712</v>
      </c>
      <c r="G1327" s="1868">
        <v>9.8943999999999992</v>
      </c>
      <c r="H1327" s="1868">
        <v>9.1515699999999995</v>
      </c>
      <c r="I1327" s="1868">
        <v>10.220080000000001</v>
      </c>
      <c r="J1327" s="1868">
        <v>11.34735</v>
      </c>
      <c r="K1327" s="1868">
        <v>9.8027100000000011</v>
      </c>
      <c r="L1327" s="1868">
        <v>9.2866100000000014</v>
      </c>
      <c r="M1327" s="1868">
        <v>10.211539999999999</v>
      </c>
      <c r="N1327" s="1868">
        <v>9.5458100000000012</v>
      </c>
      <c r="O1327" s="1868">
        <v>8.6803799999999995</v>
      </c>
      <c r="P1327" s="1868">
        <v>8.2147800000000011</v>
      </c>
      <c r="Q1327" s="1868">
        <v>9.5471899999999987</v>
      </c>
      <c r="R1327" s="1868">
        <v>7.5387500000000003</v>
      </c>
      <c r="S1327" s="1868">
        <v>6.7355899999999993</v>
      </c>
      <c r="T1327" s="1868">
        <v>9.2207500000000007</v>
      </c>
      <c r="U1327" s="1868">
        <v>7.8964499999999997</v>
      </c>
      <c r="V1327" s="1868">
        <v>9.4379299999999997</v>
      </c>
      <c r="W1327" s="1868">
        <v>8.2633500000000009</v>
      </c>
      <c r="X1327" s="1868">
        <v>9.6151100000000014</v>
      </c>
      <c r="Y1327" s="1868">
        <v>9.6788899999999991</v>
      </c>
      <c r="Z1327" s="1868">
        <v>9.0680399999999999</v>
      </c>
      <c r="AA1327" s="1868">
        <v>8.6718899999999994</v>
      </c>
      <c r="AB1327" s="1868">
        <v>9.3706800000000001</v>
      </c>
      <c r="AC1327" s="1868">
        <v>8.8939399999999988</v>
      </c>
      <c r="AD1327" s="1868">
        <v>9.1374700000000004</v>
      </c>
      <c r="AE1327" s="1868">
        <v>9.3260100000000001</v>
      </c>
      <c r="AF1327" s="1868">
        <v>9.4364299999999997</v>
      </c>
      <c r="AG1327" s="1868">
        <v>7.8963600000000005</v>
      </c>
      <c r="AH1327" s="1868">
        <v>10.062469999999999</v>
      </c>
      <c r="AI1327" s="1868">
        <v>11.716089999999999</v>
      </c>
      <c r="AJ1327" s="1868">
        <v>14.063020000000002</v>
      </c>
      <c r="AK1327" s="1868">
        <v>12.034989999999999</v>
      </c>
      <c r="AL1327" s="1868">
        <v>10.9148</v>
      </c>
      <c r="AM1327" s="1868">
        <v>11.65873</v>
      </c>
      <c r="AN1327" s="1868">
        <v>11.71367</v>
      </c>
      <c r="AO1327" s="1868">
        <v>10.73789</v>
      </c>
      <c r="AP1327" s="1868">
        <v>12.261060000000001</v>
      </c>
      <c r="AQ1327" s="1868">
        <v>13.29589</v>
      </c>
      <c r="AR1327" s="1868">
        <v>13.829139999999999</v>
      </c>
      <c r="AS1327" s="1868">
        <v>14.471620000000001</v>
      </c>
      <c r="AT1327" s="1868">
        <v>10.565899999999999</v>
      </c>
      <c r="AU1327" s="1868">
        <v>11.25581</v>
      </c>
      <c r="AV1327" s="1868">
        <v>9.3074200000000005</v>
      </c>
      <c r="AW1327" s="1868">
        <v>9.1645800000000008</v>
      </c>
      <c r="AX1327" s="1868">
        <v>9.5278700000000001</v>
      </c>
      <c r="AY1327" s="1868">
        <v>10.624689999999999</v>
      </c>
      <c r="AZ1327" s="1868">
        <v>11.135619999999999</v>
      </c>
      <c r="BA1327" s="1868">
        <v>11.04532</v>
      </c>
    </row>
    <row r="1328" spans="1:53">
      <c r="A1328" s="1865" t="str">
        <f t="shared" si="20"/>
        <v>Western EuropeCarrots and turnips</v>
      </c>
      <c r="B1328" s="1866" t="s">
        <v>306</v>
      </c>
      <c r="C1328" s="1866" t="s">
        <v>1366</v>
      </c>
      <c r="D1328" s="1868">
        <v>25.731809999999999</v>
      </c>
      <c r="E1328" s="1868">
        <v>26.241959999999999</v>
      </c>
      <c r="F1328" s="1868">
        <v>28.199609999999996</v>
      </c>
      <c r="G1328" s="1868">
        <v>28.52835</v>
      </c>
      <c r="H1328" s="1868">
        <v>28.303009999999997</v>
      </c>
      <c r="I1328" s="1868">
        <v>30.620520000000003</v>
      </c>
      <c r="J1328" s="1868">
        <v>31.060600000000001</v>
      </c>
      <c r="K1328" s="1868">
        <v>30.427490000000002</v>
      </c>
      <c r="L1328" s="1868">
        <v>29.549590000000002</v>
      </c>
      <c r="M1328" s="1868">
        <v>27.99718</v>
      </c>
      <c r="N1328" s="1868">
        <v>30.306450000000002</v>
      </c>
      <c r="O1328" s="1868">
        <v>32.266390000000001</v>
      </c>
      <c r="P1328" s="1868">
        <v>29.994940000000003</v>
      </c>
      <c r="Q1328" s="1868">
        <v>28.737779999999997</v>
      </c>
      <c r="R1328" s="1868">
        <v>28.608359999999998</v>
      </c>
      <c r="S1328" s="1868">
        <v>24.896820000000002</v>
      </c>
      <c r="T1328" s="1868">
        <v>31.024209999999997</v>
      </c>
      <c r="U1328" s="1868">
        <v>31.39228</v>
      </c>
      <c r="V1328" s="1868">
        <v>31.033309999999997</v>
      </c>
      <c r="W1328" s="1868">
        <v>32.04524</v>
      </c>
      <c r="X1328" s="1868">
        <v>32.835190000000004</v>
      </c>
      <c r="Y1328" s="1868">
        <v>31.668229999999998</v>
      </c>
      <c r="Z1328" s="1868">
        <v>30.797259999999998</v>
      </c>
      <c r="AA1328" s="1868">
        <v>35.478859999999997</v>
      </c>
      <c r="AB1328" s="1868">
        <v>36.458640000000003</v>
      </c>
      <c r="AC1328" s="1868">
        <v>35.443049999999999</v>
      </c>
      <c r="AD1328" s="1868">
        <v>37.942820000000005</v>
      </c>
      <c r="AE1328" s="1868">
        <v>36.54645</v>
      </c>
      <c r="AF1328" s="1868">
        <v>35.119209999999995</v>
      </c>
      <c r="AG1328" s="1868">
        <v>36.914149999999999</v>
      </c>
      <c r="AH1328" s="1868">
        <v>39.311340000000001</v>
      </c>
      <c r="AI1328" s="1868">
        <v>40.721080000000001</v>
      </c>
      <c r="AJ1328" s="1868">
        <v>41.634859999999996</v>
      </c>
      <c r="AK1328" s="1868">
        <v>37.757429999999999</v>
      </c>
      <c r="AL1328" s="1868">
        <v>38.765059999999998</v>
      </c>
      <c r="AM1328" s="1868">
        <v>40.401790000000005</v>
      </c>
      <c r="AN1328" s="1868">
        <v>43.12133</v>
      </c>
      <c r="AO1328" s="1868">
        <v>40.673540000000003</v>
      </c>
      <c r="AP1328" s="1868">
        <v>45.414770000000004</v>
      </c>
      <c r="AQ1328" s="1868">
        <v>44.070440000000005</v>
      </c>
      <c r="AR1328" s="1868">
        <v>44.722099999999998</v>
      </c>
      <c r="AS1328" s="1868">
        <v>49.155970000000003</v>
      </c>
      <c r="AT1328" s="1868">
        <v>44.577129999999997</v>
      </c>
      <c r="AU1328" s="1868">
        <v>51.795209999999997</v>
      </c>
      <c r="AV1328" s="1868">
        <v>51.334389999999999</v>
      </c>
      <c r="AW1328" s="1868">
        <v>45.207039999999999</v>
      </c>
      <c r="AX1328" s="1868">
        <v>46.655809999999995</v>
      </c>
      <c r="AY1328" s="1868">
        <v>45.91619</v>
      </c>
      <c r="AZ1328" s="1868">
        <v>48.637039999999999</v>
      </c>
      <c r="BA1328" s="1868">
        <v>47.17944</v>
      </c>
    </row>
    <row r="1329" spans="1:53">
      <c r="A1329" s="1865" t="str">
        <f t="shared" si="20"/>
        <v>Western EuropeCauliflowers and broccoli</v>
      </c>
      <c r="B1329" s="1866" t="s">
        <v>306</v>
      </c>
      <c r="C1329" s="1866" t="s">
        <v>1369</v>
      </c>
      <c r="D1329" s="1868">
        <v>17.71021</v>
      </c>
      <c r="E1329" s="1868">
        <v>16.346900000000002</v>
      </c>
      <c r="F1329" s="1868">
        <v>13.4993</v>
      </c>
      <c r="G1329" s="1868">
        <v>13.6464</v>
      </c>
      <c r="H1329" s="1868">
        <v>14.785210000000001</v>
      </c>
      <c r="I1329" s="1868">
        <v>16.058160000000001</v>
      </c>
      <c r="J1329" s="1868">
        <v>16.129360000000002</v>
      </c>
      <c r="K1329" s="1868">
        <v>15.16755</v>
      </c>
      <c r="L1329" s="1868">
        <v>15.167120000000001</v>
      </c>
      <c r="M1329" s="1868">
        <v>14.974629999999999</v>
      </c>
      <c r="N1329" s="1868">
        <v>15.560360000000001</v>
      </c>
      <c r="O1329" s="1868">
        <v>15.92061</v>
      </c>
      <c r="P1329" s="1868">
        <v>15.523860000000001</v>
      </c>
      <c r="Q1329" s="1868">
        <v>16.149349999999998</v>
      </c>
      <c r="R1329" s="1868">
        <v>14.51111</v>
      </c>
      <c r="S1329" s="1868">
        <v>15.736279999999999</v>
      </c>
      <c r="T1329" s="1868">
        <v>14.51361</v>
      </c>
      <c r="U1329" s="1868">
        <v>15.959060000000001</v>
      </c>
      <c r="V1329" s="1868">
        <v>13.535020000000001</v>
      </c>
      <c r="W1329" s="1868">
        <v>14.662529999999999</v>
      </c>
      <c r="X1329" s="1868">
        <v>15.065660000000001</v>
      </c>
      <c r="Y1329" s="1868">
        <v>14.46199</v>
      </c>
      <c r="Z1329" s="1868">
        <v>14.835529999999999</v>
      </c>
      <c r="AA1329" s="1868">
        <v>11.99513</v>
      </c>
      <c r="AB1329" s="1868">
        <v>13.886649999999999</v>
      </c>
      <c r="AC1329" s="1868">
        <v>11.86787</v>
      </c>
      <c r="AD1329" s="1868">
        <v>12.783710000000001</v>
      </c>
      <c r="AE1329" s="1868">
        <v>15.3188</v>
      </c>
      <c r="AF1329" s="1868">
        <v>15.406720000000002</v>
      </c>
      <c r="AG1329" s="1868">
        <v>12.727130000000001</v>
      </c>
      <c r="AH1329" s="1868">
        <v>14.855220000000001</v>
      </c>
      <c r="AI1329" s="1868">
        <v>13.325089999999999</v>
      </c>
      <c r="AJ1329" s="1868">
        <v>14.975520000000001</v>
      </c>
      <c r="AK1329" s="1868">
        <v>14.364529999999998</v>
      </c>
      <c r="AL1329" s="1868">
        <v>14.966279999999999</v>
      </c>
      <c r="AM1329" s="1868">
        <v>15.120089999999999</v>
      </c>
      <c r="AN1329" s="1868">
        <v>15.89655</v>
      </c>
      <c r="AO1329" s="1868">
        <v>14.749370000000001</v>
      </c>
      <c r="AP1329" s="1868">
        <v>15.231229999999998</v>
      </c>
      <c r="AQ1329" s="1868">
        <v>15.28776</v>
      </c>
      <c r="AR1329" s="1868">
        <v>15.964460000000001</v>
      </c>
      <c r="AS1329" s="1868">
        <v>15.972049999999999</v>
      </c>
      <c r="AT1329" s="1868">
        <v>17.51585</v>
      </c>
      <c r="AU1329" s="1868">
        <v>17.31101</v>
      </c>
      <c r="AV1329" s="1868">
        <v>16.669239999999999</v>
      </c>
      <c r="AW1329" s="1868">
        <v>14.844429999999999</v>
      </c>
      <c r="AX1329" s="1868">
        <v>16.153849999999998</v>
      </c>
      <c r="AY1329" s="1868">
        <v>16.545370000000002</v>
      </c>
      <c r="AZ1329" s="1868">
        <v>17.138470000000002</v>
      </c>
      <c r="BA1329" s="1868">
        <v>16.71003</v>
      </c>
    </row>
    <row r="1330" spans="1:53">
      <c r="A1330" s="1865" t="str">
        <f t="shared" si="20"/>
        <v>Western EuropeCereals, nes</v>
      </c>
      <c r="B1330" s="1866" t="s">
        <v>306</v>
      </c>
      <c r="C1330" s="1866" t="s">
        <v>1370</v>
      </c>
      <c r="AS1330" s="1868">
        <v>6.25</v>
      </c>
      <c r="AT1330" s="1868">
        <v>10.713010000000001</v>
      </c>
      <c r="AU1330" s="1868">
        <v>12.61327</v>
      </c>
      <c r="AV1330" s="1868">
        <v>13.233120000000001</v>
      </c>
      <c r="AW1330" s="1868">
        <v>12.435889999999999</v>
      </c>
      <c r="AX1330" s="1868">
        <v>12.743780000000001</v>
      </c>
      <c r="AY1330" s="1868">
        <v>12.48237</v>
      </c>
      <c r="AZ1330" s="1868">
        <v>11.493539999999999</v>
      </c>
      <c r="BA1330" s="1868">
        <v>12.24831</v>
      </c>
    </row>
    <row r="1331" spans="1:53">
      <c r="A1331" s="1865" t="str">
        <f t="shared" si="20"/>
        <v>Western EuropeChestnuts</v>
      </c>
      <c r="B1331" s="1866" t="s">
        <v>306</v>
      </c>
      <c r="C1331" s="1866" t="s">
        <v>1371</v>
      </c>
      <c r="AB1331" s="1868">
        <v>0.89872999999999992</v>
      </c>
      <c r="AC1331" s="1868">
        <v>0.90123999999999993</v>
      </c>
      <c r="AD1331" s="1868">
        <v>1</v>
      </c>
      <c r="AE1331" s="1868">
        <v>1.1026899999999999</v>
      </c>
      <c r="AF1331" s="1868">
        <v>1.20339</v>
      </c>
      <c r="AG1331" s="1868">
        <v>1.09355</v>
      </c>
      <c r="AH1331" s="1868">
        <v>1.6146200000000002</v>
      </c>
      <c r="AI1331" s="1868">
        <v>2.0285700000000002</v>
      </c>
      <c r="AJ1331" s="1868">
        <v>1.8268500000000001</v>
      </c>
      <c r="AK1331" s="1868">
        <v>1.7231599999999998</v>
      </c>
      <c r="AL1331" s="1868">
        <v>1.53603</v>
      </c>
      <c r="AM1331" s="1868">
        <v>1.5701399999999999</v>
      </c>
      <c r="AN1331" s="1868">
        <v>2.24437</v>
      </c>
      <c r="AO1331" s="1868">
        <v>2.6216699999999999</v>
      </c>
      <c r="AP1331" s="1868">
        <v>2.6667400000000003</v>
      </c>
      <c r="AQ1331" s="1868">
        <v>2.20174</v>
      </c>
      <c r="AR1331" s="1868">
        <v>2.14283</v>
      </c>
      <c r="AS1331" s="1868">
        <v>1.58565</v>
      </c>
      <c r="AT1331" s="1868">
        <v>1.4204299999999999</v>
      </c>
      <c r="AU1331" s="1868">
        <v>1.73885</v>
      </c>
      <c r="AV1331" s="1868">
        <v>1.1447399999999999</v>
      </c>
      <c r="AW1331" s="1868">
        <v>1.42414</v>
      </c>
      <c r="AX1331" s="1868">
        <v>1.22584</v>
      </c>
      <c r="AY1331" s="1868">
        <v>0.93459999999999999</v>
      </c>
      <c r="AZ1331" s="1868">
        <v>1.24864</v>
      </c>
      <c r="BA1331" s="1868">
        <v>1.36042</v>
      </c>
    </row>
    <row r="1332" spans="1:53">
      <c r="A1332" s="1865" t="str">
        <f t="shared" si="20"/>
        <v>Western EuropeEggplants (aubergines)</v>
      </c>
      <c r="B1332" s="1866" t="s">
        <v>306</v>
      </c>
      <c r="C1332" s="1866" t="s">
        <v>1375</v>
      </c>
      <c r="D1332" s="1868">
        <v>22.944410000000001</v>
      </c>
      <c r="E1332" s="1868">
        <v>22.697510000000001</v>
      </c>
      <c r="F1332" s="1868">
        <v>20.38654</v>
      </c>
      <c r="G1332" s="1868">
        <v>24.408850000000001</v>
      </c>
      <c r="H1332" s="1868">
        <v>25.0412</v>
      </c>
      <c r="I1332" s="1868">
        <v>24.959229999999998</v>
      </c>
      <c r="J1332" s="1868">
        <v>25.214400000000001</v>
      </c>
      <c r="K1332" s="1868">
        <v>26.486490000000003</v>
      </c>
      <c r="L1332" s="1868">
        <v>26.400909999999996</v>
      </c>
      <c r="M1332" s="1868">
        <v>26.371340000000004</v>
      </c>
      <c r="N1332" s="1868">
        <v>26.381320000000002</v>
      </c>
      <c r="O1332" s="1868">
        <v>29.066670000000002</v>
      </c>
      <c r="P1332" s="1868">
        <v>30.158729999999998</v>
      </c>
      <c r="Q1332" s="1868">
        <v>28.970459999999999</v>
      </c>
      <c r="R1332" s="1868">
        <v>28.58802</v>
      </c>
      <c r="S1332" s="1868">
        <v>28.534270000000003</v>
      </c>
      <c r="T1332" s="1868">
        <v>25.227610000000002</v>
      </c>
      <c r="U1332" s="1868">
        <v>27.760370000000002</v>
      </c>
      <c r="V1332" s="1868">
        <v>28.982359999999996</v>
      </c>
      <c r="W1332" s="1868">
        <v>30.821759999999998</v>
      </c>
      <c r="X1332" s="1868">
        <v>30.086959999999998</v>
      </c>
      <c r="Y1332" s="1868">
        <v>31.982759999999999</v>
      </c>
      <c r="Z1332" s="1868">
        <v>34.163090000000004</v>
      </c>
      <c r="AA1332" s="1868">
        <v>35.129529999999995</v>
      </c>
      <c r="AB1332" s="1868">
        <v>39.909089999999999</v>
      </c>
      <c r="AC1332" s="1868">
        <v>40.363640000000004</v>
      </c>
      <c r="AD1332" s="1868">
        <v>45.4</v>
      </c>
      <c r="AE1332" s="1868">
        <v>48.333329999999997</v>
      </c>
      <c r="AF1332" s="1868">
        <v>51.443849999999998</v>
      </c>
      <c r="AG1332" s="1868">
        <v>52.192070000000001</v>
      </c>
      <c r="AH1332" s="1868">
        <v>48.826720000000002</v>
      </c>
      <c r="AI1332" s="1868">
        <v>56.670110000000001</v>
      </c>
      <c r="AJ1332" s="1868">
        <v>61.309519999999992</v>
      </c>
      <c r="AK1332" s="1868">
        <v>61.345380000000006</v>
      </c>
      <c r="AL1332" s="1868">
        <v>64.153450000000007</v>
      </c>
      <c r="AM1332" s="1868">
        <v>72.242710000000002</v>
      </c>
      <c r="AN1332" s="1868">
        <v>75.218509999999995</v>
      </c>
      <c r="AO1332" s="1868">
        <v>80.876490000000004</v>
      </c>
      <c r="AP1332" s="1868">
        <v>84.303110000000004</v>
      </c>
      <c r="AQ1332" s="1868">
        <v>78.058030000000002</v>
      </c>
      <c r="AR1332" s="1868">
        <v>91.362799999999993</v>
      </c>
      <c r="AS1332" s="1868">
        <v>92.100350000000006</v>
      </c>
      <c r="AT1332" s="1868">
        <v>91.25985</v>
      </c>
      <c r="AU1332" s="1868">
        <v>96.729169999999996</v>
      </c>
      <c r="AV1332" s="1868">
        <v>120.25278999999999</v>
      </c>
      <c r="AW1332" s="1868">
        <v>111.47528999999999</v>
      </c>
      <c r="AX1332" s="1868">
        <v>109.92481000000001</v>
      </c>
      <c r="AY1332" s="1868">
        <v>88.073610000000002</v>
      </c>
      <c r="AZ1332" s="1868">
        <v>94.54243000000001</v>
      </c>
      <c r="BA1332" s="1868">
        <v>95.327719999999999</v>
      </c>
    </row>
    <row r="1333" spans="1:53">
      <c r="A1333" s="1865" t="str">
        <f t="shared" si="20"/>
        <v>Western EuropeGrapefruit (inc. pomelos)</v>
      </c>
      <c r="B1333" s="1866" t="s">
        <v>306</v>
      </c>
      <c r="C1333" s="1866" t="s">
        <v>1377</v>
      </c>
      <c r="G1333" s="1868">
        <v>0.33333000000000002</v>
      </c>
      <c r="H1333" s="1868">
        <v>1.25</v>
      </c>
      <c r="I1333" s="1868">
        <v>1</v>
      </c>
      <c r="J1333" s="1868">
        <v>3</v>
      </c>
      <c r="K1333" s="1868">
        <v>3</v>
      </c>
      <c r="L1333" s="1868">
        <v>10</v>
      </c>
      <c r="M1333" s="1868">
        <v>8</v>
      </c>
      <c r="O1333" s="1868">
        <v>12</v>
      </c>
      <c r="P1333" s="1868">
        <v>12</v>
      </c>
      <c r="Q1333" s="1868">
        <v>12</v>
      </c>
      <c r="R1333" s="1868">
        <v>12</v>
      </c>
      <c r="S1333" s="1868">
        <v>16</v>
      </c>
      <c r="T1333" s="1868">
        <v>32</v>
      </c>
      <c r="U1333" s="1868">
        <v>27</v>
      </c>
      <c r="V1333" s="1868">
        <v>23</v>
      </c>
      <c r="W1333" s="1868">
        <v>32</v>
      </c>
      <c r="X1333" s="1868">
        <v>8.6666699999999999</v>
      </c>
      <c r="Y1333" s="1868">
        <v>10</v>
      </c>
      <c r="Z1333" s="1868">
        <v>8.3333300000000001</v>
      </c>
      <c r="AA1333" s="1868">
        <v>10</v>
      </c>
      <c r="AB1333" s="1868">
        <v>11.66667</v>
      </c>
      <c r="AC1333" s="1868">
        <v>18.823529999999998</v>
      </c>
      <c r="AD1333" s="1868">
        <v>18.588239999999999</v>
      </c>
      <c r="AE1333" s="1868">
        <v>18.285710000000002</v>
      </c>
      <c r="AF1333" s="1868">
        <v>7.3684199999999995</v>
      </c>
      <c r="AG1333" s="1868">
        <v>9.9047600000000013</v>
      </c>
      <c r="AH1333" s="1868">
        <v>11.914289999999999</v>
      </c>
      <c r="AI1333" s="1868">
        <v>10.98333</v>
      </c>
      <c r="AJ1333" s="1868">
        <v>5.1049600000000002</v>
      </c>
      <c r="AK1333" s="1868">
        <v>6.4593800000000003</v>
      </c>
      <c r="AL1333" s="1868">
        <v>7.5894199999999996</v>
      </c>
      <c r="AM1333" s="1868">
        <v>9.068010000000001</v>
      </c>
      <c r="AN1333" s="1868">
        <v>5.90632</v>
      </c>
      <c r="AO1333" s="1868">
        <v>11.226089999999999</v>
      </c>
      <c r="AP1333" s="1868">
        <v>11.93913</v>
      </c>
      <c r="AQ1333" s="1868">
        <v>11.93913</v>
      </c>
      <c r="AR1333" s="1868">
        <v>13.98099</v>
      </c>
      <c r="AS1333" s="1868">
        <v>13.98024</v>
      </c>
      <c r="AT1333" s="1868">
        <v>12.494120000000001</v>
      </c>
      <c r="AU1333" s="1868">
        <v>15.259570000000002</v>
      </c>
      <c r="AV1333" s="1868">
        <v>18.910640000000001</v>
      </c>
      <c r="AW1333" s="1868">
        <v>17.605929999999997</v>
      </c>
      <c r="AX1333" s="1868">
        <v>14.809320000000001</v>
      </c>
      <c r="AY1333" s="1868">
        <v>13.51099</v>
      </c>
      <c r="AZ1333" s="1868">
        <v>14.424239999999999</v>
      </c>
      <c r="BA1333" s="1868">
        <v>15.043239999999999</v>
      </c>
    </row>
    <row r="1334" spans="1:53">
      <c r="A1334" s="1865" t="str">
        <f t="shared" si="20"/>
        <v>Western EuropeGrapes</v>
      </c>
      <c r="B1334" s="1866" t="s">
        <v>306</v>
      </c>
      <c r="C1334" s="1866" t="s">
        <v>1378</v>
      </c>
      <c r="D1334" s="1868">
        <v>5.4085400000000003</v>
      </c>
      <c r="E1334" s="1868">
        <v>8.0428300000000004</v>
      </c>
      <c r="F1334" s="1868">
        <v>6.5233999999999996</v>
      </c>
      <c r="G1334" s="1868">
        <v>7.3065300000000004</v>
      </c>
      <c r="H1334" s="1868">
        <v>7.5839399999999992</v>
      </c>
      <c r="I1334" s="1868">
        <v>7.0184800000000003</v>
      </c>
      <c r="J1334" s="1868">
        <v>7.2327600000000007</v>
      </c>
      <c r="K1334" s="1868">
        <v>7.744860000000001</v>
      </c>
      <c r="L1334" s="1868">
        <v>6.6053399999999991</v>
      </c>
      <c r="M1334" s="1868">
        <v>9.9110199999999988</v>
      </c>
      <c r="N1334" s="1868">
        <v>8.1550499999999992</v>
      </c>
      <c r="O1334" s="1868">
        <v>7.7806399999999991</v>
      </c>
      <c r="P1334" s="1868">
        <v>10.66569</v>
      </c>
      <c r="Q1334" s="1868">
        <v>9.3813100000000009</v>
      </c>
      <c r="R1334" s="1868">
        <v>8.8010999999999999</v>
      </c>
      <c r="S1334" s="1868">
        <v>9.3753700000000002</v>
      </c>
      <c r="T1334" s="1868">
        <v>7.19597</v>
      </c>
      <c r="U1334" s="1868">
        <v>7.7458200000000001</v>
      </c>
      <c r="V1334" s="1868">
        <v>10.733410000000001</v>
      </c>
      <c r="W1334" s="1868">
        <v>9.0444100000000009</v>
      </c>
      <c r="X1334" s="1868">
        <v>8.09605</v>
      </c>
      <c r="Y1334" s="1868">
        <v>11.87613</v>
      </c>
      <c r="Z1334" s="1868">
        <v>10.27938</v>
      </c>
      <c r="AA1334" s="1868">
        <v>9.1702899999999996</v>
      </c>
      <c r="AB1334" s="1868">
        <v>8.5703700000000005</v>
      </c>
      <c r="AC1334" s="1868">
        <v>9.8315699999999993</v>
      </c>
      <c r="AD1334" s="1868">
        <v>9.5388999999999999</v>
      </c>
      <c r="AE1334" s="1868">
        <v>8.3168699999999998</v>
      </c>
      <c r="AF1334" s="1868">
        <v>9.40442</v>
      </c>
      <c r="AG1334" s="1868">
        <v>9.3953199999999999</v>
      </c>
      <c r="AH1334" s="1868">
        <v>6.9778500000000001</v>
      </c>
      <c r="AI1334" s="1868">
        <v>9.57559</v>
      </c>
      <c r="AJ1334" s="1868">
        <v>7.8564899999999991</v>
      </c>
      <c r="AK1334" s="1868">
        <v>8.3809100000000001</v>
      </c>
      <c r="AL1334" s="1868">
        <v>8.622910000000001</v>
      </c>
      <c r="AM1334" s="1868">
        <v>8.9568999999999992</v>
      </c>
      <c r="AN1334" s="1868">
        <v>8.3448600000000006</v>
      </c>
      <c r="AO1334" s="1868">
        <v>8.6583299999999994</v>
      </c>
      <c r="AP1334" s="1868">
        <v>9.9684100000000004</v>
      </c>
      <c r="AQ1334" s="1868">
        <v>9.3604599999999998</v>
      </c>
      <c r="AR1334" s="1868">
        <v>8.7460899999999988</v>
      </c>
      <c r="AS1334" s="1868">
        <v>8.5508000000000006</v>
      </c>
      <c r="AT1334" s="1868">
        <v>8.1456300000000006</v>
      </c>
      <c r="AU1334" s="1868">
        <v>9.1886399999999995</v>
      </c>
      <c r="AV1334" s="1868">
        <v>8.5526699999999991</v>
      </c>
      <c r="AW1334" s="1868">
        <v>8.1542700000000004</v>
      </c>
      <c r="AX1334" s="1868">
        <v>8.0874600000000001</v>
      </c>
      <c r="AY1334" s="1868">
        <v>8.1945499999999996</v>
      </c>
      <c r="AZ1334" s="1868">
        <v>8.2534700000000001</v>
      </c>
      <c r="BA1334" s="1868">
        <v>7.6818499999999998</v>
      </c>
    </row>
    <row r="1335" spans="1:53">
      <c r="A1335" s="1865" t="str">
        <f t="shared" si="20"/>
        <v>Western EuropeLeguminous vegetables, nes</v>
      </c>
      <c r="B1335" s="1866" t="s">
        <v>306</v>
      </c>
      <c r="C1335" s="1866" t="s">
        <v>1380</v>
      </c>
      <c r="D1335" s="1868">
        <v>12.53335</v>
      </c>
      <c r="E1335" s="1868">
        <v>12.690020000000001</v>
      </c>
      <c r="F1335" s="1868">
        <v>12.78566</v>
      </c>
      <c r="G1335" s="1868">
        <v>11.25665</v>
      </c>
      <c r="H1335" s="1868">
        <v>11.77749</v>
      </c>
      <c r="I1335" s="1868">
        <v>10.16751</v>
      </c>
      <c r="J1335" s="1868">
        <v>12.184510000000001</v>
      </c>
      <c r="K1335" s="1868">
        <v>12.46372</v>
      </c>
      <c r="L1335" s="1868">
        <v>12.025119999999999</v>
      </c>
      <c r="M1335" s="1868">
        <v>11.04246</v>
      </c>
      <c r="N1335" s="1868">
        <v>12.284050000000001</v>
      </c>
      <c r="O1335" s="1868">
        <v>12.35126</v>
      </c>
      <c r="P1335" s="1868">
        <v>11.56827</v>
      </c>
      <c r="Q1335" s="1868">
        <v>11.6792</v>
      </c>
      <c r="R1335" s="1868">
        <v>10.32305</v>
      </c>
      <c r="S1335" s="1868">
        <v>7.8472499999999998</v>
      </c>
      <c r="T1335" s="1868">
        <v>8.6785700000000006</v>
      </c>
      <c r="U1335" s="1868">
        <v>8.9724599999999999</v>
      </c>
      <c r="V1335" s="1868">
        <v>9.6078399999999995</v>
      </c>
      <c r="W1335" s="1868">
        <v>8.9253199999999993</v>
      </c>
      <c r="X1335" s="1868">
        <v>9.3933800000000005</v>
      </c>
      <c r="Y1335" s="1868">
        <v>9.4682899999999997</v>
      </c>
      <c r="Z1335" s="1868">
        <v>9.1595800000000001</v>
      </c>
      <c r="AA1335" s="1868">
        <v>9.8027300000000004</v>
      </c>
      <c r="AB1335" s="1868">
        <v>6.8086399999999996</v>
      </c>
      <c r="AC1335" s="1868">
        <v>6.8159700000000001</v>
      </c>
      <c r="AD1335" s="1868">
        <v>8.5416899999999991</v>
      </c>
      <c r="AE1335" s="1868">
        <v>6.7114199999999995</v>
      </c>
      <c r="AF1335" s="1868">
        <v>6.7487500000000002</v>
      </c>
      <c r="AG1335" s="1868">
        <v>7.5386300000000004</v>
      </c>
      <c r="AH1335" s="1868">
        <v>7.8788899999999993</v>
      </c>
      <c r="AI1335" s="1868">
        <v>8.2543699999999998</v>
      </c>
      <c r="AJ1335" s="1868">
        <v>10.29556</v>
      </c>
      <c r="AK1335" s="1868">
        <v>9.4439899999999994</v>
      </c>
      <c r="AL1335" s="1868">
        <v>9.6420999999999992</v>
      </c>
      <c r="AM1335" s="1868">
        <v>9.7757100000000001</v>
      </c>
      <c r="AN1335" s="1868">
        <v>10.37429</v>
      </c>
      <c r="AO1335" s="1868">
        <v>6.3754300000000006</v>
      </c>
      <c r="AP1335" s="1868">
        <v>5.5451499999999996</v>
      </c>
      <c r="AQ1335" s="1868">
        <v>5.6441400000000002</v>
      </c>
      <c r="AR1335" s="1868">
        <v>5.3040000000000003</v>
      </c>
      <c r="AS1335" s="1868">
        <v>5.9828000000000001</v>
      </c>
      <c r="AT1335" s="1868">
        <v>3.8010099999999998</v>
      </c>
      <c r="AU1335" s="1868">
        <v>4.7409800000000004</v>
      </c>
      <c r="AV1335" s="1868">
        <v>5.4998399999999998</v>
      </c>
      <c r="AW1335" s="1868">
        <v>4.9027199999999995</v>
      </c>
      <c r="AX1335" s="1868">
        <v>4.9775900000000002</v>
      </c>
      <c r="AY1335" s="1868">
        <v>5.0654599999999999</v>
      </c>
      <c r="AZ1335" s="1868">
        <v>4.9730699999999999</v>
      </c>
      <c r="BA1335" s="1868">
        <v>4.9406499999999998</v>
      </c>
    </row>
    <row r="1336" spans="1:53">
      <c r="A1336" s="1865" t="str">
        <f t="shared" si="20"/>
        <v>Western EuropeLinseed</v>
      </c>
      <c r="B1336" s="1866" t="s">
        <v>306</v>
      </c>
      <c r="C1336" s="1866" t="s">
        <v>1381</v>
      </c>
      <c r="D1336" s="1868">
        <v>0.72458</v>
      </c>
      <c r="E1336" s="1868">
        <v>0.75638000000000005</v>
      </c>
      <c r="F1336" s="1868">
        <v>0.67991999999999997</v>
      </c>
      <c r="G1336" s="1868">
        <v>0.71475</v>
      </c>
      <c r="H1336" s="1868">
        <v>0.58821999999999997</v>
      </c>
      <c r="I1336" s="1868">
        <v>0.65332999999999997</v>
      </c>
      <c r="J1336" s="1868">
        <v>0.64564999999999995</v>
      </c>
      <c r="K1336" s="1868">
        <v>0.61585000000000001</v>
      </c>
      <c r="L1336" s="1868">
        <v>0.71</v>
      </c>
      <c r="M1336" s="1868">
        <v>0.63386000000000009</v>
      </c>
      <c r="N1336" s="1868">
        <v>0.62363000000000002</v>
      </c>
      <c r="O1336" s="1868">
        <v>0.62841000000000002</v>
      </c>
      <c r="P1336" s="1868">
        <v>0.66473000000000004</v>
      </c>
      <c r="Q1336" s="1868">
        <v>0.70368999999999993</v>
      </c>
      <c r="R1336" s="1868">
        <v>0.83562999999999987</v>
      </c>
      <c r="S1336" s="1868">
        <v>0.61431999999999998</v>
      </c>
      <c r="T1336" s="1868">
        <v>0.78321000000000007</v>
      </c>
      <c r="U1336" s="1868">
        <v>0.72729999999999995</v>
      </c>
      <c r="V1336" s="1868">
        <v>0.74863000000000002</v>
      </c>
      <c r="W1336" s="1868">
        <v>0.67538999999999993</v>
      </c>
      <c r="X1336" s="1868">
        <v>0.57184999999999997</v>
      </c>
      <c r="Y1336" s="1868">
        <v>0.75024999999999997</v>
      </c>
      <c r="Z1336" s="1868">
        <v>0.64890999999999999</v>
      </c>
      <c r="AA1336" s="1868">
        <v>0.66203999999999996</v>
      </c>
      <c r="AB1336" s="1868">
        <v>0.74576999999999993</v>
      </c>
      <c r="AC1336" s="1868">
        <v>0.65718999999999994</v>
      </c>
      <c r="AD1336" s="1868">
        <v>0.71079999999999999</v>
      </c>
      <c r="AE1336" s="1868">
        <v>0.72685</v>
      </c>
      <c r="AF1336" s="1868">
        <v>0.60883999999999994</v>
      </c>
      <c r="AG1336" s="1868">
        <v>0.7046</v>
      </c>
      <c r="AH1336" s="1868">
        <v>0.85492000000000012</v>
      </c>
      <c r="AI1336" s="1868">
        <v>0.76563999999999999</v>
      </c>
      <c r="AJ1336" s="1868">
        <v>0.71103000000000005</v>
      </c>
      <c r="AK1336" s="1868">
        <v>0.79463000000000006</v>
      </c>
      <c r="AL1336" s="1868">
        <v>0.77563000000000004</v>
      </c>
      <c r="AM1336" s="1868">
        <v>0.82602000000000009</v>
      </c>
      <c r="AN1336" s="1868">
        <v>1.0549999999999999</v>
      </c>
      <c r="AO1336" s="1868">
        <v>1.3925799999999999</v>
      </c>
      <c r="AP1336" s="1868">
        <v>0.79496999999999995</v>
      </c>
      <c r="AQ1336" s="1868">
        <v>0.83109999999999995</v>
      </c>
      <c r="AR1336" s="1868">
        <v>0.62090000000000001</v>
      </c>
      <c r="AS1336" s="1868">
        <v>0.78848999999999991</v>
      </c>
      <c r="AT1336" s="1868">
        <v>0.76197000000000004</v>
      </c>
      <c r="AU1336" s="1868">
        <v>0.82013999999999998</v>
      </c>
      <c r="AV1336" s="1868">
        <v>0.86102000000000012</v>
      </c>
      <c r="AW1336" s="1868">
        <v>0.67505999999999999</v>
      </c>
      <c r="AX1336" s="1868">
        <v>0.53413999999999995</v>
      </c>
      <c r="AY1336" s="1868">
        <v>0.34759000000000001</v>
      </c>
      <c r="AZ1336" s="1868">
        <v>0.41678999999999994</v>
      </c>
      <c r="BA1336" s="1868">
        <v>0.54779999999999995</v>
      </c>
    </row>
    <row r="1337" spans="1:53">
      <c r="A1337" s="1865" t="str">
        <f t="shared" si="20"/>
        <v>Western EuropeMaize</v>
      </c>
      <c r="B1337" s="1866" t="s">
        <v>306</v>
      </c>
      <c r="C1337" s="1866" t="s">
        <v>1382</v>
      </c>
      <c r="D1337" s="1868">
        <v>2.60276</v>
      </c>
      <c r="E1337" s="1868">
        <v>2.2555999999999998</v>
      </c>
      <c r="F1337" s="1868">
        <v>4.0456799999999999</v>
      </c>
      <c r="G1337" s="1868">
        <v>2.4835199999999999</v>
      </c>
      <c r="H1337" s="1868">
        <v>3.95566</v>
      </c>
      <c r="I1337" s="1868">
        <v>4.5147599999999999</v>
      </c>
      <c r="J1337" s="1868">
        <v>4.1791599999999995</v>
      </c>
      <c r="K1337" s="1868">
        <v>5.2554999999999996</v>
      </c>
      <c r="L1337" s="1868">
        <v>4.9359699999999993</v>
      </c>
      <c r="M1337" s="1868">
        <v>5.0835699999999999</v>
      </c>
      <c r="N1337" s="1868">
        <v>5.4232899999999997</v>
      </c>
      <c r="O1337" s="1868">
        <v>4.4309500000000002</v>
      </c>
      <c r="P1337" s="1868">
        <v>5.6811999999999996</v>
      </c>
      <c r="Q1337" s="1868">
        <v>4.6671899999999997</v>
      </c>
      <c r="R1337" s="1868">
        <v>4.4398900000000001</v>
      </c>
      <c r="S1337" s="1868">
        <v>4.2723399999999998</v>
      </c>
      <c r="T1337" s="1868">
        <v>5.4308399999999999</v>
      </c>
      <c r="U1337" s="1868">
        <v>5.4070900000000002</v>
      </c>
      <c r="V1337" s="1868">
        <v>5.4563600000000001</v>
      </c>
      <c r="W1337" s="1868">
        <v>5.4736900000000004</v>
      </c>
      <c r="X1337" s="1868">
        <v>6.0312299999999999</v>
      </c>
      <c r="Y1337" s="1868">
        <v>6.5144500000000001</v>
      </c>
      <c r="Z1337" s="1868">
        <v>6.27759</v>
      </c>
      <c r="AA1337" s="1868">
        <v>6.1374900000000006</v>
      </c>
      <c r="AB1337" s="1868">
        <v>6.7471600000000009</v>
      </c>
      <c r="AC1337" s="1868">
        <v>6.4217699999999995</v>
      </c>
      <c r="AD1337" s="1868">
        <v>7.1640899999999998</v>
      </c>
      <c r="AE1337" s="1868">
        <v>7.4394899999999993</v>
      </c>
      <c r="AF1337" s="1868">
        <v>7.0240899999999993</v>
      </c>
      <c r="AG1337" s="1868">
        <v>6.3548900000000001</v>
      </c>
      <c r="AH1337" s="1868">
        <v>7.3348000000000004</v>
      </c>
      <c r="AI1337" s="1868">
        <v>7.7750100000000009</v>
      </c>
      <c r="AJ1337" s="1868">
        <v>8.1282399999999999</v>
      </c>
      <c r="AK1337" s="1868">
        <v>7.7064699999999995</v>
      </c>
      <c r="AL1337" s="1868">
        <v>7.7347299999999999</v>
      </c>
      <c r="AM1337" s="1868">
        <v>8.3150600000000008</v>
      </c>
      <c r="AN1337" s="1868">
        <v>9.0358000000000001</v>
      </c>
      <c r="AO1337" s="1868">
        <v>8.5276399999999999</v>
      </c>
      <c r="AP1337" s="1868">
        <v>9.005230000000001</v>
      </c>
      <c r="AQ1337" s="1868">
        <v>9.2131899999999991</v>
      </c>
      <c r="AR1337" s="1868">
        <v>8.6980399999999989</v>
      </c>
      <c r="AS1337" s="1868">
        <v>9.1776300000000006</v>
      </c>
      <c r="AT1337" s="1868">
        <v>7.4593699999999998</v>
      </c>
      <c r="AU1337" s="1868">
        <v>9.2424600000000012</v>
      </c>
      <c r="AV1337" s="1868">
        <v>8.7475699999999996</v>
      </c>
      <c r="AW1337" s="1868">
        <v>8.669319999999999</v>
      </c>
      <c r="AX1337" s="1868">
        <v>9.760530000000001</v>
      </c>
      <c r="AY1337" s="1868">
        <v>9.6356300000000008</v>
      </c>
      <c r="AZ1337" s="1868">
        <v>9.4564800000000009</v>
      </c>
      <c r="BA1337" s="1868">
        <v>9.2196300000000004</v>
      </c>
    </row>
    <row r="1338" spans="1:53">
      <c r="A1338" s="1865" t="str">
        <f t="shared" si="20"/>
        <v>Western EuropeMaize, green</v>
      </c>
      <c r="B1338" s="1866" t="s">
        <v>306</v>
      </c>
      <c r="C1338" s="1866" t="s">
        <v>1383</v>
      </c>
      <c r="AE1338" s="1868">
        <v>17.33333</v>
      </c>
      <c r="AF1338" s="1868">
        <v>16.875</v>
      </c>
      <c r="AG1338" s="1868">
        <v>17.058820000000001</v>
      </c>
      <c r="AH1338" s="1868">
        <v>15.430249999999999</v>
      </c>
      <c r="AI1338" s="1868">
        <v>14.989820000000002</v>
      </c>
      <c r="AJ1338" s="1868">
        <v>16.90936</v>
      </c>
      <c r="AK1338" s="1868">
        <v>16.641860000000001</v>
      </c>
      <c r="AL1338" s="1868">
        <v>18.23856</v>
      </c>
      <c r="AM1338" s="1868">
        <v>19.117429999999999</v>
      </c>
      <c r="AN1338" s="1868">
        <v>16.992279999999997</v>
      </c>
      <c r="AO1338" s="1868">
        <v>18.93347</v>
      </c>
      <c r="AP1338" s="1868">
        <v>17.38739</v>
      </c>
      <c r="AQ1338" s="1868">
        <v>18.381629999999998</v>
      </c>
      <c r="AR1338" s="1868">
        <v>17.899460000000001</v>
      </c>
      <c r="AS1338" s="1868">
        <v>16.745699999999999</v>
      </c>
      <c r="AT1338" s="1868">
        <v>15.95889</v>
      </c>
      <c r="AU1338" s="1868">
        <v>18.21979</v>
      </c>
      <c r="AV1338" s="1868">
        <v>18.844639999999998</v>
      </c>
      <c r="AW1338" s="1868">
        <v>18.419360000000001</v>
      </c>
      <c r="AX1338" s="1868">
        <v>19.156040000000001</v>
      </c>
      <c r="AY1338" s="1868">
        <v>18.660629999999998</v>
      </c>
      <c r="AZ1338" s="1868">
        <v>19.223189999999999</v>
      </c>
      <c r="BA1338" s="1868">
        <v>17.94744</v>
      </c>
    </row>
    <row r="1339" spans="1:53">
      <c r="A1339" s="1865" t="str">
        <f t="shared" si="20"/>
        <v>Western EuropeMillet</v>
      </c>
      <c r="B1339" s="1866" t="s">
        <v>306</v>
      </c>
      <c r="C1339" s="1866" t="s">
        <v>1385</v>
      </c>
      <c r="D1339" s="1868">
        <v>1.3466100000000001</v>
      </c>
      <c r="E1339" s="1868">
        <v>1.1835899999999999</v>
      </c>
      <c r="F1339" s="1868">
        <v>1.3491899999999999</v>
      </c>
      <c r="G1339" s="1868">
        <v>1.21862</v>
      </c>
      <c r="H1339" s="1868">
        <v>1.2859</v>
      </c>
      <c r="I1339" s="1868">
        <v>1.8099700000000001</v>
      </c>
      <c r="J1339" s="1868">
        <v>1.782</v>
      </c>
      <c r="K1339" s="1868">
        <v>2.13218</v>
      </c>
      <c r="L1339" s="1868">
        <v>2.1300500000000002</v>
      </c>
      <c r="M1339" s="1868">
        <v>2.04223</v>
      </c>
      <c r="N1339" s="1868">
        <v>2.1732</v>
      </c>
      <c r="O1339" s="1868">
        <v>2.3588200000000001</v>
      </c>
      <c r="P1339" s="1868">
        <v>2.58277</v>
      </c>
      <c r="Q1339" s="1868">
        <v>2.4976099999999999</v>
      </c>
      <c r="R1339" s="1868">
        <v>1.7222200000000001</v>
      </c>
      <c r="S1339" s="1868">
        <v>1.14286</v>
      </c>
      <c r="T1339" s="1868">
        <v>2.14615</v>
      </c>
      <c r="U1339" s="1868">
        <v>2.3692299999999999</v>
      </c>
      <c r="V1339" s="1868">
        <v>2.4615400000000003</v>
      </c>
      <c r="W1339" s="1868">
        <v>2.4518499999999999</v>
      </c>
      <c r="X1339" s="1868">
        <v>2.2857099999999999</v>
      </c>
      <c r="Y1339" s="1868">
        <v>3.5714300000000003</v>
      </c>
      <c r="Z1339" s="1868">
        <v>3.5294099999999999</v>
      </c>
      <c r="AM1339" s="1868">
        <v>1.3535600000000001</v>
      </c>
      <c r="AN1339" s="1868">
        <v>1.4841200000000001</v>
      </c>
      <c r="AO1339" s="1868">
        <v>1.4299899999999999</v>
      </c>
      <c r="AP1339" s="1868">
        <v>1.4908299999999999</v>
      </c>
      <c r="AQ1339" s="1868">
        <v>2.2478099999999999</v>
      </c>
      <c r="AR1339" s="1868">
        <v>2.9475199999999999</v>
      </c>
      <c r="AS1339" s="1868">
        <v>2.9678100000000001</v>
      </c>
      <c r="AT1339" s="1868">
        <v>3.2359499999999999</v>
      </c>
      <c r="AU1339" s="1868">
        <v>3.0499700000000001</v>
      </c>
      <c r="AV1339" s="1868">
        <v>3.1323400000000001</v>
      </c>
      <c r="AW1339" s="1868">
        <v>3.1358599999999996</v>
      </c>
      <c r="AX1339" s="1868">
        <v>2.6562600000000001</v>
      </c>
      <c r="AY1339" s="1868">
        <v>3.4357599999999997</v>
      </c>
      <c r="AZ1339" s="1868">
        <v>2.9814799999999999</v>
      </c>
      <c r="BA1339" s="1868">
        <v>2.7300599999999999</v>
      </c>
    </row>
    <row r="1340" spans="1:53">
      <c r="A1340" s="1865" t="str">
        <f t="shared" si="20"/>
        <v>Western EuropeOats</v>
      </c>
      <c r="B1340" s="1866" t="s">
        <v>306</v>
      </c>
      <c r="C1340" s="1866" t="s">
        <v>1349</v>
      </c>
      <c r="D1340" s="1868">
        <v>2.3260700000000001</v>
      </c>
      <c r="E1340" s="1868">
        <v>2.5566299999999997</v>
      </c>
      <c r="F1340" s="1868">
        <v>2.6831299999999998</v>
      </c>
      <c r="G1340" s="1868">
        <v>2.6754500000000001</v>
      </c>
      <c r="H1340" s="1868">
        <v>2.6452400000000003</v>
      </c>
      <c r="I1340" s="1868">
        <v>2.7077900000000001</v>
      </c>
      <c r="J1340" s="1868">
        <v>3.0902799999999999</v>
      </c>
      <c r="K1340" s="1868">
        <v>3.1591299999999998</v>
      </c>
      <c r="L1340" s="1868">
        <v>3.1356299999999999</v>
      </c>
      <c r="M1340" s="1868">
        <v>2.8283</v>
      </c>
      <c r="N1340" s="1868">
        <v>3.4114800000000005</v>
      </c>
      <c r="O1340" s="1868">
        <v>3.4481000000000002</v>
      </c>
      <c r="P1340" s="1868">
        <v>3.4959300000000004</v>
      </c>
      <c r="Q1340" s="1868">
        <v>3.7388199999999996</v>
      </c>
      <c r="R1340" s="1868">
        <v>3.4108900000000002</v>
      </c>
      <c r="S1340" s="1868">
        <v>2.6688400000000003</v>
      </c>
      <c r="T1340" s="1868">
        <v>3.22397</v>
      </c>
      <c r="U1340" s="1868">
        <v>3.9684499999999998</v>
      </c>
      <c r="V1340" s="1868">
        <v>3.7976099999999997</v>
      </c>
      <c r="W1340" s="1868">
        <v>3.7656900000000002</v>
      </c>
      <c r="X1340" s="1868">
        <v>3.7614699999999996</v>
      </c>
      <c r="Y1340" s="1868">
        <v>3.9860099999999998</v>
      </c>
      <c r="Z1340" s="1868">
        <v>3.3700900000000003</v>
      </c>
      <c r="AA1340" s="1868">
        <v>4.3609200000000001</v>
      </c>
      <c r="AB1340" s="1868">
        <v>4.4306999999999999</v>
      </c>
      <c r="AC1340" s="1868">
        <v>4.07376</v>
      </c>
      <c r="AD1340" s="1868">
        <v>4.2974500000000004</v>
      </c>
      <c r="AE1340" s="1868">
        <v>4.0625400000000003</v>
      </c>
      <c r="AF1340" s="1868">
        <v>3.6961800000000005</v>
      </c>
      <c r="AG1340" s="1868">
        <v>4.2433199999999998</v>
      </c>
      <c r="AH1340" s="1868">
        <v>4.5684300000000002</v>
      </c>
      <c r="AI1340" s="1868">
        <v>3.8198800000000004</v>
      </c>
      <c r="AJ1340" s="1868">
        <v>4.5547699999999995</v>
      </c>
      <c r="AK1340" s="1868">
        <v>4.1860800000000005</v>
      </c>
      <c r="AL1340" s="1868">
        <v>4.4148399999999999</v>
      </c>
      <c r="AM1340" s="1868">
        <v>4.9422300000000003</v>
      </c>
      <c r="AN1340" s="1868">
        <v>4.8295300000000001</v>
      </c>
      <c r="AO1340" s="1868">
        <v>4.5957699999999999</v>
      </c>
      <c r="AP1340" s="1868">
        <v>4.7885300000000006</v>
      </c>
      <c r="AQ1340" s="1868">
        <v>4.4936499999999997</v>
      </c>
      <c r="AR1340" s="1868">
        <v>4.6300099999999995</v>
      </c>
      <c r="AS1340" s="1868">
        <v>4.5834000000000001</v>
      </c>
      <c r="AT1340" s="1868">
        <v>4.40137</v>
      </c>
      <c r="AU1340" s="1868">
        <v>5.0340099999999994</v>
      </c>
      <c r="AV1340" s="1868">
        <v>4.56759</v>
      </c>
      <c r="AW1340" s="1868">
        <v>4.3939399999999997</v>
      </c>
      <c r="AX1340" s="1868">
        <v>3.9343800000000004</v>
      </c>
      <c r="AY1340" s="1868">
        <v>4.5134499999999997</v>
      </c>
      <c r="AZ1340" s="1868">
        <v>4.9614099999999999</v>
      </c>
      <c r="BA1340" s="1868">
        <v>4.3303199999999995</v>
      </c>
    </row>
    <row r="1341" spans="1:53">
      <c r="A1341" s="1865" t="str">
        <f t="shared" si="20"/>
        <v>Western EuropeOlives</v>
      </c>
      <c r="B1341" s="1866" t="s">
        <v>306</v>
      </c>
      <c r="C1341" s="1866" t="s">
        <v>1387</v>
      </c>
      <c r="D1341" s="1868">
        <v>4.4889999999999999E-2</v>
      </c>
      <c r="E1341" s="1868">
        <v>0.22336999999999999</v>
      </c>
      <c r="F1341" s="1868">
        <v>0.25480000000000003</v>
      </c>
      <c r="G1341" s="1868">
        <v>0.13277</v>
      </c>
      <c r="H1341" s="1868">
        <v>0.20399</v>
      </c>
      <c r="I1341" s="1868">
        <v>0.22674</v>
      </c>
      <c r="J1341" s="1868">
        <v>0.25729999999999997</v>
      </c>
      <c r="K1341" s="1868">
        <v>0.36049000000000003</v>
      </c>
      <c r="L1341" s="1868">
        <v>0.65054000000000001</v>
      </c>
      <c r="M1341" s="1868">
        <v>0.18010000000000001</v>
      </c>
      <c r="N1341" s="1868">
        <v>0.56078000000000006</v>
      </c>
      <c r="O1341" s="1868">
        <v>0.22349000000000002</v>
      </c>
      <c r="P1341" s="1868">
        <v>0.50036000000000003</v>
      </c>
      <c r="Q1341" s="1868">
        <v>0.39100999999999997</v>
      </c>
      <c r="R1341" s="1868">
        <v>0.52276999999999996</v>
      </c>
      <c r="S1341" s="1868">
        <v>0.54238999999999993</v>
      </c>
      <c r="T1341" s="1868">
        <v>0.34681999999999996</v>
      </c>
      <c r="U1341" s="1868">
        <v>0.49281000000000003</v>
      </c>
      <c r="V1341" s="1868">
        <v>0.5</v>
      </c>
      <c r="W1341" s="1868">
        <v>0.60399999999999998</v>
      </c>
      <c r="X1341" s="1868">
        <v>0.44558000000000003</v>
      </c>
      <c r="Y1341" s="1868">
        <v>0.69499999999999995</v>
      </c>
      <c r="Z1341" s="1868">
        <v>0.81579000000000002</v>
      </c>
      <c r="AA1341" s="1868">
        <v>0.74080000000000001</v>
      </c>
      <c r="AB1341" s="1868">
        <v>0.47717999999999999</v>
      </c>
      <c r="AC1341" s="1868">
        <v>0.46174999999999999</v>
      </c>
      <c r="AD1341" s="1868">
        <v>0.76490000000000002</v>
      </c>
      <c r="AE1341" s="1868">
        <v>0.46496999999999999</v>
      </c>
      <c r="AF1341" s="1868">
        <v>0.70513000000000003</v>
      </c>
      <c r="AG1341" s="1868">
        <v>0.54827000000000004</v>
      </c>
      <c r="AH1341" s="1868">
        <v>0.97502999999999995</v>
      </c>
      <c r="AI1341" s="1868">
        <v>0.89402999999999988</v>
      </c>
      <c r="AJ1341" s="1868">
        <v>0.80976000000000004</v>
      </c>
      <c r="AK1341" s="1868">
        <v>1.0860700000000001</v>
      </c>
      <c r="AL1341" s="1868">
        <v>0.84675</v>
      </c>
      <c r="AM1341" s="1868">
        <v>1.1513</v>
      </c>
      <c r="AN1341" s="1868">
        <v>1.0127299999999999</v>
      </c>
      <c r="AO1341" s="1868">
        <v>1.3266100000000001</v>
      </c>
      <c r="AP1341" s="1868">
        <v>1.24003</v>
      </c>
      <c r="AQ1341" s="1868">
        <v>1.1611100000000001</v>
      </c>
      <c r="AR1341" s="1868">
        <v>1.1352100000000001</v>
      </c>
      <c r="AS1341" s="1868">
        <v>1.2573399999999999</v>
      </c>
      <c r="AT1341" s="1868">
        <v>1.3964399999999999</v>
      </c>
      <c r="AU1341" s="1868">
        <v>1.17184</v>
      </c>
      <c r="AV1341" s="1868">
        <v>1.1920500000000001</v>
      </c>
      <c r="AW1341" s="1868">
        <v>0.97750999999999999</v>
      </c>
      <c r="AX1341" s="1868">
        <v>1.2023600000000001</v>
      </c>
      <c r="AY1341" s="1868">
        <v>1.7036799999999999</v>
      </c>
      <c r="AZ1341" s="1868">
        <v>1.64838</v>
      </c>
      <c r="BA1341" s="1868">
        <v>1.6943400000000002</v>
      </c>
    </row>
    <row r="1342" spans="1:53">
      <c r="A1342" s="1865" t="str">
        <f t="shared" si="20"/>
        <v>Western EuropeOnions, dry</v>
      </c>
      <c r="B1342" s="1866" t="s">
        <v>306</v>
      </c>
      <c r="C1342" s="1866" t="s">
        <v>1388</v>
      </c>
      <c r="D1342" s="1868">
        <v>23.335149999999999</v>
      </c>
      <c r="E1342" s="1868">
        <v>21.601310000000002</v>
      </c>
      <c r="F1342" s="1868">
        <v>20.367570000000001</v>
      </c>
      <c r="G1342" s="1868">
        <v>21.999919999999999</v>
      </c>
      <c r="H1342" s="1868">
        <v>21.193360000000002</v>
      </c>
      <c r="I1342" s="1868">
        <v>22.36816</v>
      </c>
      <c r="J1342" s="1868">
        <v>24.255370000000003</v>
      </c>
      <c r="K1342" s="1868">
        <v>23.72146</v>
      </c>
      <c r="L1342" s="1868">
        <v>24.710789999999999</v>
      </c>
      <c r="M1342" s="1868">
        <v>25.93019</v>
      </c>
      <c r="N1342" s="1868">
        <v>25.7547</v>
      </c>
      <c r="O1342" s="1868">
        <v>29.702629999999999</v>
      </c>
      <c r="P1342" s="1868">
        <v>27.75262</v>
      </c>
      <c r="Q1342" s="1868">
        <v>27.141909999999999</v>
      </c>
      <c r="R1342" s="1868">
        <v>25.444129999999998</v>
      </c>
      <c r="S1342" s="1868">
        <v>21.28436</v>
      </c>
      <c r="T1342" s="1868">
        <v>28.248179999999998</v>
      </c>
      <c r="U1342" s="1868">
        <v>29.818470000000001</v>
      </c>
      <c r="V1342" s="1868">
        <v>30.657830000000001</v>
      </c>
      <c r="W1342" s="1868">
        <v>28.540390000000002</v>
      </c>
      <c r="X1342" s="1868">
        <v>30.989279999999997</v>
      </c>
      <c r="Y1342" s="1868">
        <v>34.502459999999999</v>
      </c>
      <c r="Z1342" s="1868">
        <v>29.898040000000002</v>
      </c>
      <c r="AA1342" s="1868">
        <v>32.174379999999999</v>
      </c>
      <c r="AB1342" s="1868">
        <v>33.929120000000005</v>
      </c>
      <c r="AC1342" s="1868">
        <v>31.110879999999998</v>
      </c>
      <c r="AD1342" s="1868">
        <v>31.183629999999997</v>
      </c>
      <c r="AE1342" s="1868">
        <v>31.376329999999999</v>
      </c>
      <c r="AF1342" s="1868">
        <v>32.718270000000004</v>
      </c>
      <c r="AG1342" s="1868">
        <v>35.278929999999995</v>
      </c>
      <c r="AH1342" s="1868">
        <v>40.067970000000003</v>
      </c>
      <c r="AI1342" s="1868">
        <v>37.312709999999996</v>
      </c>
      <c r="AJ1342" s="1868">
        <v>41.074100000000001</v>
      </c>
      <c r="AK1342" s="1868">
        <v>38.189630000000001</v>
      </c>
      <c r="AL1342" s="1868">
        <v>38.802630000000001</v>
      </c>
      <c r="AM1342" s="1868">
        <v>45.947400000000002</v>
      </c>
      <c r="AN1342" s="1868">
        <v>45.768929999999997</v>
      </c>
      <c r="AO1342" s="1868">
        <v>48.854120000000002</v>
      </c>
      <c r="AP1342" s="1868">
        <v>47.663959999999996</v>
      </c>
      <c r="AQ1342" s="1868">
        <v>48.958210000000001</v>
      </c>
      <c r="AR1342" s="1868">
        <v>45.25676</v>
      </c>
      <c r="AS1342" s="1868">
        <v>47.832979999999999</v>
      </c>
      <c r="AT1342" s="1868">
        <v>35.540770000000002</v>
      </c>
      <c r="AU1342" s="1868">
        <v>46.002670000000002</v>
      </c>
      <c r="AV1342" s="1868">
        <v>45.68074</v>
      </c>
      <c r="AW1342" s="1868">
        <v>35.974540000000005</v>
      </c>
      <c r="AX1342" s="1868">
        <v>38.972520000000003</v>
      </c>
      <c r="AY1342" s="1868">
        <v>41.261879999999998</v>
      </c>
      <c r="AZ1342" s="1868">
        <v>43.082000000000001</v>
      </c>
      <c r="BA1342" s="1868">
        <v>40.185140000000004</v>
      </c>
    </row>
    <row r="1343" spans="1:53">
      <c r="A1343" s="1865" t="str">
        <f t="shared" si="20"/>
        <v>Western EuropeOranges</v>
      </c>
      <c r="B1343" s="1866" t="s">
        <v>306</v>
      </c>
      <c r="C1343" s="1866" t="s">
        <v>1389</v>
      </c>
      <c r="D1343" s="1868">
        <v>3.13253</v>
      </c>
      <c r="E1343" s="1868">
        <v>3.1262099999999999</v>
      </c>
      <c r="F1343" s="1868">
        <v>3.6699000000000002</v>
      </c>
      <c r="G1343" s="1868">
        <v>5.0843400000000001</v>
      </c>
      <c r="H1343" s="1868">
        <v>3.7089199999999996</v>
      </c>
      <c r="I1343" s="1868">
        <v>6.8211899999999996</v>
      </c>
      <c r="J1343" s="1868">
        <v>14.511629999999998</v>
      </c>
      <c r="K1343" s="1868">
        <v>7.1475399999999993</v>
      </c>
      <c r="L1343" s="1868">
        <v>8.8607600000000009</v>
      </c>
      <c r="M1343" s="1868">
        <v>8.5185200000000005</v>
      </c>
      <c r="N1343" s="1868">
        <v>7.4074100000000005</v>
      </c>
      <c r="O1343" s="1868">
        <v>8.3320000000000007</v>
      </c>
      <c r="P1343" s="1868">
        <v>8.3360000000000003</v>
      </c>
      <c r="Q1343" s="1868">
        <v>8.3360000000000003</v>
      </c>
      <c r="R1343" s="1868">
        <v>12.45238</v>
      </c>
      <c r="S1343" s="1868">
        <v>16.24286</v>
      </c>
      <c r="T1343" s="1868">
        <v>11.8</v>
      </c>
      <c r="U1343" s="1868">
        <v>10.178570000000001</v>
      </c>
      <c r="V1343" s="1868">
        <v>9.5714299999999994</v>
      </c>
      <c r="W1343" s="1868">
        <v>9.3333300000000001</v>
      </c>
      <c r="X1343" s="1868">
        <v>8.7941199999999995</v>
      </c>
      <c r="Y1343" s="1868">
        <v>7.5</v>
      </c>
      <c r="Z1343" s="1868">
        <v>8</v>
      </c>
      <c r="AA1343" s="1868">
        <v>9.1061499999999995</v>
      </c>
      <c r="AB1343" s="1868">
        <v>16.673200000000001</v>
      </c>
      <c r="AC1343" s="1868">
        <v>17.344160000000002</v>
      </c>
      <c r="AD1343" s="1868">
        <v>17.603899999999999</v>
      </c>
      <c r="AE1343" s="1868">
        <v>18.183540000000001</v>
      </c>
      <c r="AF1343" s="1868">
        <v>15.475</v>
      </c>
      <c r="AG1343" s="1868">
        <v>12.523810000000001</v>
      </c>
      <c r="AH1343" s="1868">
        <v>14.572410000000001</v>
      </c>
      <c r="AI1343" s="1868">
        <v>11.15972</v>
      </c>
      <c r="AJ1343" s="1868">
        <v>11.36806</v>
      </c>
      <c r="AK1343" s="1868">
        <v>17.06757</v>
      </c>
      <c r="AL1343" s="1868">
        <v>17.484850000000002</v>
      </c>
      <c r="AM1343" s="1868">
        <v>18.015149999999998</v>
      </c>
      <c r="AN1343" s="1868">
        <v>16.90278</v>
      </c>
      <c r="AO1343" s="1868">
        <v>15.98611</v>
      </c>
      <c r="AP1343" s="1868">
        <v>14.902779999999998</v>
      </c>
      <c r="AQ1343" s="1868">
        <v>16.176470000000002</v>
      </c>
      <c r="AR1343" s="1868">
        <v>16.235289999999999</v>
      </c>
      <c r="AS1343" s="1868">
        <v>15.4</v>
      </c>
      <c r="AT1343" s="1868">
        <v>13.577779999999999</v>
      </c>
      <c r="AU1343" s="1868">
        <v>14.37778</v>
      </c>
      <c r="AV1343" s="1868">
        <v>14.311110000000001</v>
      </c>
      <c r="AW1343" s="1868">
        <v>17.227270000000001</v>
      </c>
      <c r="AX1343" s="1868">
        <v>12.88889</v>
      </c>
      <c r="AY1343" s="1868">
        <v>13.63636</v>
      </c>
      <c r="AZ1343" s="1868">
        <v>15.11628</v>
      </c>
      <c r="BA1343" s="1868">
        <v>12</v>
      </c>
    </row>
    <row r="1344" spans="1:53">
      <c r="A1344" s="1865" t="str">
        <f t="shared" si="20"/>
        <v>Western EuropePeaches and nectarines</v>
      </c>
      <c r="B1344" s="1866" t="s">
        <v>306</v>
      </c>
      <c r="C1344" s="1866" t="s">
        <v>1390</v>
      </c>
      <c r="D1344" s="1868">
        <v>7.1299000000000001</v>
      </c>
      <c r="E1344" s="1868">
        <v>6.9779399999999994</v>
      </c>
      <c r="F1344" s="1868">
        <v>9.4211200000000002</v>
      </c>
      <c r="G1344" s="1868">
        <v>9.8561600000000009</v>
      </c>
      <c r="H1344" s="1868">
        <v>10.326779999999999</v>
      </c>
      <c r="I1344" s="1868">
        <v>7.0854999999999997</v>
      </c>
      <c r="J1344" s="1868">
        <v>10.888630000000001</v>
      </c>
      <c r="K1344" s="1868">
        <v>15.353870000000001</v>
      </c>
      <c r="L1344" s="1868">
        <v>12.34951</v>
      </c>
      <c r="M1344" s="1868">
        <v>12.445410000000001</v>
      </c>
      <c r="N1344" s="1868">
        <v>17.056170000000002</v>
      </c>
      <c r="O1344" s="1868">
        <v>14.882079999999998</v>
      </c>
      <c r="P1344" s="1868">
        <v>16.541820000000001</v>
      </c>
      <c r="Q1344" s="1868">
        <v>16.756699999999999</v>
      </c>
      <c r="R1344" s="1868">
        <v>4.1243699999999999</v>
      </c>
      <c r="S1344" s="1868">
        <v>18.032440000000001</v>
      </c>
      <c r="T1344" s="1868">
        <v>11.83314</v>
      </c>
      <c r="U1344" s="1868">
        <v>15.43876</v>
      </c>
      <c r="V1344" s="1868">
        <v>15.003870000000001</v>
      </c>
      <c r="W1344" s="1868">
        <v>15.80931</v>
      </c>
      <c r="X1344" s="1868">
        <v>15.240120000000001</v>
      </c>
      <c r="Y1344" s="1868">
        <v>14.255239999999999</v>
      </c>
      <c r="Z1344" s="1868">
        <v>15.79415</v>
      </c>
      <c r="AA1344" s="1868">
        <v>16.612300000000001</v>
      </c>
      <c r="AB1344" s="1868">
        <v>13.680129999999998</v>
      </c>
      <c r="AC1344" s="1868">
        <v>13.296370000000001</v>
      </c>
      <c r="AD1344" s="1868">
        <v>13.791449999999999</v>
      </c>
      <c r="AE1344" s="1868">
        <v>13.146800000000001</v>
      </c>
      <c r="AF1344" s="1868">
        <v>15.28365</v>
      </c>
      <c r="AG1344" s="1868">
        <v>15.1158</v>
      </c>
      <c r="AH1344" s="1868">
        <v>12.125589999999999</v>
      </c>
      <c r="AI1344" s="1868">
        <v>17.451220000000003</v>
      </c>
      <c r="AJ1344" s="1868">
        <v>13.561579999999999</v>
      </c>
      <c r="AK1344" s="1868">
        <v>17.3795</v>
      </c>
      <c r="AL1344" s="1868">
        <v>17.72606</v>
      </c>
      <c r="AM1344" s="1868">
        <v>17.075949999999999</v>
      </c>
      <c r="AN1344" s="1868">
        <v>17.345210000000002</v>
      </c>
      <c r="AO1344" s="1868">
        <v>14.218999999999999</v>
      </c>
      <c r="AP1344" s="1868">
        <v>20.065910000000002</v>
      </c>
      <c r="AQ1344" s="1868">
        <v>21.00675</v>
      </c>
      <c r="AR1344" s="1868">
        <v>20.848479999999999</v>
      </c>
      <c r="AS1344" s="1868">
        <v>22.91217</v>
      </c>
      <c r="AT1344" s="1868">
        <v>17.81559</v>
      </c>
      <c r="AU1344" s="1868">
        <v>21.099829999999997</v>
      </c>
      <c r="AV1344" s="1868">
        <v>22.491399999999999</v>
      </c>
      <c r="AW1344" s="1868">
        <v>23.935649999999999</v>
      </c>
      <c r="AX1344" s="1868">
        <v>23.62959</v>
      </c>
      <c r="AY1344" s="1868">
        <v>19.994489999999999</v>
      </c>
      <c r="AZ1344" s="1868">
        <v>24.008459999999999</v>
      </c>
      <c r="BA1344" s="1868">
        <v>23.419929999999997</v>
      </c>
    </row>
    <row r="1345" spans="1:53">
      <c r="A1345" s="1865" t="str">
        <f t="shared" si="20"/>
        <v>Western EuropePeas, dry</v>
      </c>
      <c r="B1345" s="1866" t="s">
        <v>306</v>
      </c>
      <c r="C1345" s="1866" t="s">
        <v>1391</v>
      </c>
      <c r="D1345" s="1868">
        <v>2.2566200000000003</v>
      </c>
      <c r="E1345" s="1868">
        <v>2.3595999999999999</v>
      </c>
      <c r="F1345" s="1868">
        <v>2.0513499999999998</v>
      </c>
      <c r="G1345" s="1868">
        <v>2.18296</v>
      </c>
      <c r="H1345" s="1868">
        <v>2.1343099999999997</v>
      </c>
      <c r="I1345" s="1868">
        <v>1.9202599999999999</v>
      </c>
      <c r="J1345" s="1868">
        <v>2.6182099999999999</v>
      </c>
      <c r="K1345" s="1868">
        <v>2.2496999999999998</v>
      </c>
      <c r="L1345" s="1868">
        <v>2.3166199999999999</v>
      </c>
      <c r="M1345" s="1868">
        <v>2.5658799999999999</v>
      </c>
      <c r="N1345" s="1868">
        <v>2.7130000000000001</v>
      </c>
      <c r="O1345" s="1868">
        <v>1.9700099999999998</v>
      </c>
      <c r="P1345" s="1868">
        <v>2.2340800000000001</v>
      </c>
      <c r="Q1345" s="1868">
        <v>2.8338999999999999</v>
      </c>
      <c r="R1345" s="1868">
        <v>2.9500199999999999</v>
      </c>
      <c r="S1345" s="1868">
        <v>1.86818</v>
      </c>
      <c r="T1345" s="1868">
        <v>2.7140499999999999</v>
      </c>
      <c r="U1345" s="1868">
        <v>2.9879899999999999</v>
      </c>
      <c r="V1345" s="1868">
        <v>3.5424800000000003</v>
      </c>
      <c r="W1345" s="1868">
        <v>3.6385800000000001</v>
      </c>
      <c r="X1345" s="1868">
        <v>3.5567900000000003</v>
      </c>
      <c r="Y1345" s="1868">
        <v>3.8839199999999998</v>
      </c>
      <c r="Z1345" s="1868">
        <v>3.9232800000000001</v>
      </c>
      <c r="AA1345" s="1868">
        <v>4.4570499999999997</v>
      </c>
      <c r="AB1345" s="1868">
        <v>4.57233</v>
      </c>
      <c r="AC1345" s="1868">
        <v>4.0126400000000002</v>
      </c>
      <c r="AD1345" s="1868">
        <v>3.93085</v>
      </c>
      <c r="AE1345" s="1868">
        <v>4.8198999999999996</v>
      </c>
      <c r="AF1345" s="1868">
        <v>4.3021699999999994</v>
      </c>
      <c r="AG1345" s="1868">
        <v>4.9377699999999995</v>
      </c>
      <c r="AH1345" s="1868">
        <v>4.7259599999999997</v>
      </c>
      <c r="AI1345" s="1868">
        <v>4.6201600000000003</v>
      </c>
      <c r="AJ1345" s="1868">
        <v>4.7599300000000007</v>
      </c>
      <c r="AK1345" s="1868">
        <v>4.8897900000000005</v>
      </c>
      <c r="AL1345" s="1868">
        <v>4.4870000000000001</v>
      </c>
      <c r="AM1345" s="1868">
        <v>4.5640900000000002</v>
      </c>
      <c r="AN1345" s="1868">
        <v>4.6549100000000001</v>
      </c>
      <c r="AO1345" s="1868">
        <v>4.9756300000000007</v>
      </c>
      <c r="AP1345" s="1868">
        <v>5.0363100000000003</v>
      </c>
      <c r="AQ1345" s="1868">
        <v>4.0865400000000003</v>
      </c>
      <c r="AR1345" s="1868">
        <v>3.76911</v>
      </c>
      <c r="AS1345" s="1868">
        <v>4.1051000000000002</v>
      </c>
      <c r="AT1345" s="1868">
        <v>3.8566400000000001</v>
      </c>
      <c r="AU1345" s="1868">
        <v>4.3666900000000002</v>
      </c>
      <c r="AV1345" s="1868">
        <v>3.8210900000000003</v>
      </c>
      <c r="AW1345" s="1868">
        <v>3.8027900000000003</v>
      </c>
      <c r="AX1345" s="1868">
        <v>3.18858</v>
      </c>
      <c r="AY1345" s="1868">
        <v>3.7451599999999998</v>
      </c>
      <c r="AZ1345" s="1868">
        <v>4.2213199999999995</v>
      </c>
      <c r="BA1345" s="1868">
        <v>4.0614300000000005</v>
      </c>
    </row>
    <row r="1346" spans="1:53">
      <c r="A1346" s="1865" t="str">
        <f t="shared" si="20"/>
        <v>Western EuropePeas, green</v>
      </c>
      <c r="B1346" s="1866" t="s">
        <v>306</v>
      </c>
      <c r="C1346" s="1866" t="s">
        <v>1392</v>
      </c>
      <c r="D1346" s="1868">
        <v>8.3194999999999997</v>
      </c>
      <c r="E1346" s="1868">
        <v>8.7552199999999996</v>
      </c>
      <c r="F1346" s="1868">
        <v>8.7220800000000001</v>
      </c>
      <c r="G1346" s="1868">
        <v>8.2242699999999989</v>
      </c>
      <c r="H1346" s="1868">
        <v>8.0488800000000005</v>
      </c>
      <c r="I1346" s="1868">
        <v>7.8501799999999999</v>
      </c>
      <c r="J1346" s="1868">
        <v>9.4928799999999995</v>
      </c>
      <c r="K1346" s="1868">
        <v>9.1194299999999995</v>
      </c>
      <c r="L1346" s="1868">
        <v>8.8335299999999997</v>
      </c>
      <c r="M1346" s="1868">
        <v>8.9605199999999989</v>
      </c>
      <c r="N1346" s="1868">
        <v>8.7670999999999992</v>
      </c>
      <c r="O1346" s="1868">
        <v>8.2885600000000004</v>
      </c>
      <c r="P1346" s="1868">
        <v>9.5164500000000007</v>
      </c>
      <c r="Q1346" s="1868">
        <v>10.443539999999999</v>
      </c>
      <c r="R1346" s="1868">
        <v>9.0559499999999993</v>
      </c>
      <c r="S1346" s="1868">
        <v>6.9415600000000008</v>
      </c>
      <c r="T1346" s="1868">
        <v>9.3584999999999994</v>
      </c>
      <c r="U1346" s="1868">
        <v>8.9680800000000005</v>
      </c>
      <c r="V1346" s="1868">
        <v>9.7363900000000001</v>
      </c>
      <c r="W1346" s="1868">
        <v>8.2144100000000009</v>
      </c>
      <c r="X1346" s="1868">
        <v>9.3274000000000008</v>
      </c>
      <c r="Y1346" s="1868">
        <v>10.300089999999999</v>
      </c>
      <c r="Z1346" s="1868">
        <v>9.5130800000000004</v>
      </c>
      <c r="AA1346" s="1868">
        <v>11.36055</v>
      </c>
      <c r="AB1346" s="1868">
        <v>10.83944</v>
      </c>
      <c r="AC1346" s="1868">
        <v>11.19101</v>
      </c>
      <c r="AD1346" s="1868">
        <v>11.04965</v>
      </c>
      <c r="AE1346" s="1868">
        <v>12.36495</v>
      </c>
      <c r="AF1346" s="1868">
        <v>11.640610000000001</v>
      </c>
      <c r="AG1346" s="1868">
        <v>13.321639999999999</v>
      </c>
      <c r="AH1346" s="1868">
        <v>13.729179999999999</v>
      </c>
      <c r="AI1346" s="1868">
        <v>14.790170000000002</v>
      </c>
      <c r="AJ1346" s="1868">
        <v>15.594799999999999</v>
      </c>
      <c r="AK1346" s="1868">
        <v>15.44674</v>
      </c>
      <c r="AL1346" s="1868">
        <v>14.94689</v>
      </c>
      <c r="AM1346" s="1868">
        <v>15.316970000000001</v>
      </c>
      <c r="AN1346" s="1868">
        <v>15.58615</v>
      </c>
      <c r="AO1346" s="1868">
        <v>15.39756</v>
      </c>
      <c r="AP1346" s="1868">
        <v>15.35094</v>
      </c>
      <c r="AQ1346" s="1868">
        <v>13.659700000000001</v>
      </c>
      <c r="AR1346" s="1868">
        <v>12.049630000000001</v>
      </c>
      <c r="AS1346" s="1868">
        <v>12.08873</v>
      </c>
      <c r="AT1346" s="1868">
        <v>11.057889999999999</v>
      </c>
      <c r="AU1346" s="1868">
        <v>11.005939999999999</v>
      </c>
      <c r="AV1346" s="1868">
        <v>9.7307600000000001</v>
      </c>
      <c r="AW1346" s="1868">
        <v>9.3460399999999986</v>
      </c>
      <c r="AX1346" s="1868">
        <v>8.9565000000000001</v>
      </c>
      <c r="AY1346" s="1868">
        <v>9.0342599999999997</v>
      </c>
      <c r="AZ1346" s="1868">
        <v>15.755520000000001</v>
      </c>
      <c r="BA1346" s="1868">
        <v>11.62496</v>
      </c>
    </row>
    <row r="1347" spans="1:53">
      <c r="A1347" s="1865" t="str">
        <f t="shared" si="20"/>
        <v>Western EuropePotatoes</v>
      </c>
      <c r="B1347" s="1866" t="s">
        <v>306</v>
      </c>
      <c r="C1347" s="1866" t="s">
        <v>1394</v>
      </c>
      <c r="D1347" s="1868">
        <v>18.319479999999999</v>
      </c>
      <c r="E1347" s="1868">
        <v>20.802389999999999</v>
      </c>
      <c r="F1347" s="1868">
        <v>22.238789999999998</v>
      </c>
      <c r="G1347" s="1868">
        <v>20.85689</v>
      </c>
      <c r="H1347" s="1868">
        <v>20.617339999999999</v>
      </c>
      <c r="I1347" s="1868">
        <v>22.373200000000001</v>
      </c>
      <c r="J1347" s="1868">
        <v>24.96</v>
      </c>
      <c r="K1347" s="1868">
        <v>24.527149999999999</v>
      </c>
      <c r="L1347" s="1868">
        <v>22.59394</v>
      </c>
      <c r="M1347" s="1868">
        <v>24.489380000000001</v>
      </c>
      <c r="N1347" s="1868">
        <v>23.50591</v>
      </c>
      <c r="O1347" s="1868">
        <v>25.21134</v>
      </c>
      <c r="P1347" s="1868">
        <v>24.275600000000001</v>
      </c>
      <c r="Q1347" s="1868">
        <v>27.105790000000002</v>
      </c>
      <c r="R1347" s="1868">
        <v>21.76559</v>
      </c>
      <c r="S1347" s="1868">
        <v>18.32263</v>
      </c>
      <c r="T1347" s="1868">
        <v>24.68346</v>
      </c>
      <c r="U1347" s="1868">
        <v>26.071760000000001</v>
      </c>
      <c r="V1347" s="1868">
        <v>27.6601</v>
      </c>
      <c r="W1347" s="1868">
        <v>25.138490000000001</v>
      </c>
      <c r="X1347" s="1868">
        <v>28.103300000000001</v>
      </c>
      <c r="Y1347" s="1868">
        <v>26.685009999999998</v>
      </c>
      <c r="Z1347" s="1868">
        <v>22.568070000000002</v>
      </c>
      <c r="AA1347" s="1868">
        <v>30.498950000000001</v>
      </c>
      <c r="AB1347" s="1868">
        <v>32.32987</v>
      </c>
      <c r="AC1347" s="1868">
        <v>30.040849999999999</v>
      </c>
      <c r="AD1347" s="1868">
        <v>32.917190000000005</v>
      </c>
      <c r="AE1347" s="1868">
        <v>33.270959999999995</v>
      </c>
      <c r="AF1347" s="1868">
        <v>29.624759999999998</v>
      </c>
      <c r="AG1347" s="1868">
        <v>29.666990000000002</v>
      </c>
      <c r="AH1347" s="1868">
        <v>33.348079999999996</v>
      </c>
      <c r="AI1347" s="1868">
        <v>34.94361</v>
      </c>
      <c r="AJ1347" s="1868">
        <v>40.461079999999995</v>
      </c>
      <c r="AK1347" s="1868">
        <v>35.278869999999998</v>
      </c>
      <c r="AL1347" s="1868">
        <v>34.8337</v>
      </c>
      <c r="AM1347" s="1868">
        <v>40.332809999999995</v>
      </c>
      <c r="AN1347" s="1868">
        <v>41.466670000000001</v>
      </c>
      <c r="AO1347" s="1868">
        <v>39.006009999999996</v>
      </c>
      <c r="AP1347" s="1868">
        <v>40.902029999999996</v>
      </c>
      <c r="AQ1347" s="1868">
        <v>43.36065</v>
      </c>
      <c r="AR1347" s="1868">
        <v>40.827680000000001</v>
      </c>
      <c r="AS1347" s="1868">
        <v>42.077909999999996</v>
      </c>
      <c r="AT1347" s="1868">
        <v>37.677040000000005</v>
      </c>
      <c r="AU1347" s="1868">
        <v>44.70682</v>
      </c>
      <c r="AV1347" s="1868">
        <v>42.133130000000001</v>
      </c>
      <c r="AW1347" s="1868">
        <v>38.083079999999995</v>
      </c>
      <c r="AX1347" s="1868">
        <v>43.38944</v>
      </c>
      <c r="AY1347" s="1868">
        <v>43.512949999999996</v>
      </c>
      <c r="AZ1347" s="1868">
        <v>43.792529999999999</v>
      </c>
      <c r="BA1347" s="1868">
        <v>40.687600000000003</v>
      </c>
    </row>
    <row r="1348" spans="1:53">
      <c r="A1348" s="1865" t="str">
        <f t="shared" ref="A1348:A1363" si="21">CONCATENATE(B1348,C1348)</f>
        <v>Western EuropePulses, nes</v>
      </c>
      <c r="B1348" s="1866" t="s">
        <v>306</v>
      </c>
      <c r="C1348" s="1866" t="s">
        <v>1395</v>
      </c>
      <c r="D1348" s="1868">
        <v>2.1079599999999998</v>
      </c>
      <c r="E1348" s="1868">
        <v>2.1819999999999999</v>
      </c>
      <c r="F1348" s="1868">
        <v>2.2117200000000001</v>
      </c>
      <c r="G1348" s="1868">
        <v>2.19</v>
      </c>
      <c r="H1348" s="1868">
        <v>2.3648400000000001</v>
      </c>
      <c r="I1348" s="1868">
        <v>2.4305500000000002</v>
      </c>
      <c r="J1348" s="1868">
        <v>2.6074099999999998</v>
      </c>
      <c r="K1348" s="1868">
        <v>2.5828799999999998</v>
      </c>
      <c r="L1348" s="1868">
        <v>2.5085000000000002</v>
      </c>
      <c r="M1348" s="1868">
        <v>2.6283099999999999</v>
      </c>
      <c r="N1348" s="1868">
        <v>2.55044</v>
      </c>
      <c r="O1348" s="1868">
        <v>2.4111599999999997</v>
      </c>
      <c r="P1348" s="1868">
        <v>2.4655400000000003</v>
      </c>
      <c r="Q1348" s="1868">
        <v>2.6255500000000001</v>
      </c>
      <c r="R1348" s="1868">
        <v>2.7038500000000001</v>
      </c>
      <c r="S1348" s="1868">
        <v>1.8636099999999998</v>
      </c>
      <c r="T1348" s="1868">
        <v>2.7450999999999999</v>
      </c>
      <c r="U1348" s="1868">
        <v>2.7173099999999999</v>
      </c>
      <c r="V1348" s="1868">
        <v>2.8798900000000001</v>
      </c>
      <c r="W1348" s="1868">
        <v>2.88028</v>
      </c>
      <c r="X1348" s="1868">
        <v>2.3937400000000002</v>
      </c>
      <c r="Y1348" s="1868">
        <v>2.5291000000000001</v>
      </c>
      <c r="Z1348" s="1868">
        <v>2.4567399999999999</v>
      </c>
      <c r="AA1348" s="1868">
        <v>2.6154799999999998</v>
      </c>
      <c r="AB1348" s="1868">
        <v>3.3956800000000005</v>
      </c>
      <c r="AC1348" s="1868">
        <v>3.0762099999999997</v>
      </c>
      <c r="AD1348" s="1868">
        <v>2.9174000000000002</v>
      </c>
      <c r="AE1348" s="1868">
        <v>3.4672499999999999</v>
      </c>
      <c r="AF1348" s="1868">
        <v>3.3965900000000002</v>
      </c>
      <c r="AG1348" s="1868">
        <v>3.3675900000000003</v>
      </c>
      <c r="AH1348" s="1868">
        <v>3.4885900000000003</v>
      </c>
      <c r="AI1348" s="1868">
        <v>3.5315300000000005</v>
      </c>
      <c r="AJ1348" s="1868">
        <v>3.8422499999999999</v>
      </c>
      <c r="AK1348" s="1868">
        <v>3.95459</v>
      </c>
      <c r="AL1348" s="1868">
        <v>3.9150400000000003</v>
      </c>
      <c r="AM1348" s="1868">
        <v>4.1727300000000005</v>
      </c>
      <c r="AN1348" s="1868">
        <v>4.1052599999999995</v>
      </c>
      <c r="AO1348" s="1868">
        <v>4.5620400000000005</v>
      </c>
      <c r="AP1348" s="1868">
        <v>4.80471</v>
      </c>
      <c r="AQ1348" s="1868">
        <v>4</v>
      </c>
      <c r="AR1348" s="1868">
        <v>3.5223499999999999</v>
      </c>
      <c r="AS1348" s="1868">
        <v>3.9965099999999998</v>
      </c>
      <c r="AT1348" s="1868">
        <v>2.4418000000000002</v>
      </c>
      <c r="AU1348" s="1868">
        <v>2.50854</v>
      </c>
      <c r="AV1348" s="1868">
        <v>2.3687499999999999</v>
      </c>
      <c r="AW1348" s="1868">
        <v>2.5706799999999999</v>
      </c>
      <c r="AX1348" s="1868">
        <v>2.31304</v>
      </c>
      <c r="AY1348" s="1868">
        <v>2.5830900000000003</v>
      </c>
      <c r="AZ1348" s="1868">
        <v>2.7545799999999998</v>
      </c>
      <c r="BA1348" s="1868">
        <v>2.8400300000000001</v>
      </c>
    </row>
    <row r="1349" spans="1:53">
      <c r="A1349" s="1865" t="str">
        <f t="shared" si="21"/>
        <v>Western EuropeRice, paddy</v>
      </c>
      <c r="B1349" s="1866" t="s">
        <v>306</v>
      </c>
      <c r="C1349" s="1866" t="s">
        <v>1396</v>
      </c>
      <c r="D1349" s="1868">
        <v>4.0512100000000002</v>
      </c>
      <c r="E1349" s="1868">
        <v>4.1874599999999997</v>
      </c>
      <c r="F1349" s="1868">
        <v>3.9752800000000001</v>
      </c>
      <c r="G1349" s="1868">
        <v>4.0610300000000006</v>
      </c>
      <c r="H1349" s="1868">
        <v>3.2934999999999999</v>
      </c>
      <c r="I1349" s="1868">
        <v>3.6561800000000004</v>
      </c>
      <c r="J1349" s="1868">
        <v>4.3026900000000001</v>
      </c>
      <c r="K1349" s="1868">
        <v>3.4634699999999996</v>
      </c>
      <c r="L1349" s="1868">
        <v>4.1631400000000003</v>
      </c>
      <c r="M1349" s="1868">
        <v>4.21767</v>
      </c>
      <c r="N1349" s="1868">
        <v>3.7876199999999995</v>
      </c>
      <c r="O1349" s="1868">
        <v>2.3156400000000001</v>
      </c>
      <c r="P1349" s="1868">
        <v>4.3603800000000001</v>
      </c>
      <c r="Q1349" s="1868">
        <v>3.39655</v>
      </c>
      <c r="R1349" s="1868">
        <v>4.15686</v>
      </c>
      <c r="S1349" s="1868">
        <v>3.89744</v>
      </c>
      <c r="T1349" s="1868">
        <v>2.1720700000000002</v>
      </c>
      <c r="U1349" s="1868">
        <v>3.2557499999999999</v>
      </c>
      <c r="V1349" s="1868">
        <v>4.3478300000000001</v>
      </c>
      <c r="W1349" s="1868">
        <v>3.8333300000000001</v>
      </c>
      <c r="X1349" s="1868">
        <v>3.7924500000000001</v>
      </c>
      <c r="Y1349" s="1868">
        <v>5.0185199999999996</v>
      </c>
      <c r="Z1349" s="1868">
        <v>5.4285699999999997</v>
      </c>
      <c r="AA1349" s="1868">
        <v>3.8695699999999995</v>
      </c>
      <c r="AB1349" s="1868">
        <v>5.4964300000000001</v>
      </c>
      <c r="AC1349" s="1868">
        <v>5.1299199999999994</v>
      </c>
      <c r="AD1349" s="1868">
        <v>4.9782500000000001</v>
      </c>
      <c r="AE1349" s="1868">
        <v>5.2243300000000001</v>
      </c>
      <c r="AF1349" s="1868">
        <v>6.0367899999999999</v>
      </c>
      <c r="AG1349" s="1868">
        <v>5.9460800000000003</v>
      </c>
      <c r="AH1349" s="1868">
        <v>5.3474199999999996</v>
      </c>
      <c r="AI1349" s="1868">
        <v>5.26891</v>
      </c>
      <c r="AJ1349" s="1868">
        <v>4.9688699999999999</v>
      </c>
      <c r="AK1349" s="1868">
        <v>4.5554699999999997</v>
      </c>
      <c r="AL1349" s="1868">
        <v>4.8571400000000002</v>
      </c>
      <c r="AM1349" s="1868">
        <v>5.2437399999999998</v>
      </c>
      <c r="AN1349" s="1868">
        <v>5.8926800000000004</v>
      </c>
      <c r="AO1349" s="1868">
        <v>5.8251900000000001</v>
      </c>
      <c r="AP1349" s="1868">
        <v>6.0914900000000003</v>
      </c>
      <c r="AQ1349" s="1868">
        <v>5.8358300000000005</v>
      </c>
      <c r="AR1349" s="1868">
        <v>5.3602699999999999</v>
      </c>
      <c r="AS1349" s="1868">
        <v>5.69102</v>
      </c>
      <c r="AT1349" s="1868">
        <v>5.6052</v>
      </c>
      <c r="AU1349" s="1868">
        <v>5.7098199999999997</v>
      </c>
      <c r="AV1349" s="1868">
        <v>5.7314300000000005</v>
      </c>
      <c r="AW1349" s="1868">
        <v>5.5331000000000001</v>
      </c>
      <c r="AX1349" s="1868">
        <v>5.0772900000000005</v>
      </c>
      <c r="AY1349" s="1868">
        <v>5.7598900000000004</v>
      </c>
      <c r="AZ1349" s="1868">
        <v>5.7086399999999999</v>
      </c>
      <c r="BA1349" s="1868">
        <v>4.9789900000000005</v>
      </c>
    </row>
    <row r="1350" spans="1:53">
      <c r="A1350" s="1865" t="str">
        <f t="shared" si="21"/>
        <v>Western EuropeRye</v>
      </c>
      <c r="B1350" s="1866" t="s">
        <v>306</v>
      </c>
      <c r="C1350" s="1866" t="s">
        <v>1353</v>
      </c>
      <c r="D1350" s="1868">
        <v>1.99725</v>
      </c>
      <c r="E1350" s="1868">
        <v>2.4018299999999999</v>
      </c>
      <c r="F1350" s="1868">
        <v>2.42815</v>
      </c>
      <c r="G1350" s="1868">
        <v>2.7154700000000003</v>
      </c>
      <c r="H1350" s="1868">
        <v>2.3642799999999999</v>
      </c>
      <c r="I1350" s="1868">
        <v>2.3877000000000002</v>
      </c>
      <c r="J1350" s="1868">
        <v>2.9143400000000002</v>
      </c>
      <c r="K1350" s="1868">
        <v>2.95099</v>
      </c>
      <c r="L1350" s="1868">
        <v>2.8121099999999997</v>
      </c>
      <c r="M1350" s="1868">
        <v>2.6684099999999997</v>
      </c>
      <c r="N1350" s="1868">
        <v>3.0906599999999997</v>
      </c>
      <c r="O1350" s="1868">
        <v>3.1573900000000004</v>
      </c>
      <c r="P1350" s="1868">
        <v>3.0909200000000001</v>
      </c>
      <c r="Q1350" s="1868">
        <v>3.3312699999999995</v>
      </c>
      <c r="R1350" s="1868">
        <v>3.0141100000000001</v>
      </c>
      <c r="S1350" s="1868">
        <v>2.8600099999999999</v>
      </c>
      <c r="T1350" s="1868">
        <v>3.1438799999999998</v>
      </c>
      <c r="U1350" s="1868">
        <v>3.3706900000000002</v>
      </c>
      <c r="V1350" s="1868">
        <v>3.14873</v>
      </c>
      <c r="W1350" s="1868">
        <v>3.2974900000000003</v>
      </c>
      <c r="X1350" s="1868">
        <v>3.09788</v>
      </c>
      <c r="Y1350" s="1868">
        <v>3.4997400000000001</v>
      </c>
      <c r="Z1350" s="1868">
        <v>3.21428</v>
      </c>
      <c r="AA1350" s="1868">
        <v>3.8334099999999998</v>
      </c>
      <c r="AB1350" s="1868">
        <v>3.8487300000000002</v>
      </c>
      <c r="AC1350" s="1868">
        <v>3.7329500000000002</v>
      </c>
      <c r="AD1350" s="1868">
        <v>3.6434199999999999</v>
      </c>
      <c r="AE1350" s="1868">
        <v>3.4850500000000002</v>
      </c>
      <c r="AF1350" s="1868">
        <v>3.8967400000000003</v>
      </c>
      <c r="AG1350" s="1868">
        <v>3.8140900000000002</v>
      </c>
      <c r="AH1350" s="1868">
        <v>4.5538699999999999</v>
      </c>
      <c r="AI1350" s="1868">
        <v>3.9596199999999997</v>
      </c>
      <c r="AJ1350" s="1868">
        <v>4.4500999999999999</v>
      </c>
      <c r="AK1350" s="1868">
        <v>4.6812899999999997</v>
      </c>
      <c r="AL1350" s="1868">
        <v>5.1071300000000006</v>
      </c>
      <c r="AM1350" s="1868">
        <v>5.0663499999999999</v>
      </c>
      <c r="AN1350" s="1868">
        <v>5.2637400000000003</v>
      </c>
      <c r="AO1350" s="1868">
        <v>5.0628800000000007</v>
      </c>
      <c r="AP1350" s="1868">
        <v>5.6003300000000005</v>
      </c>
      <c r="AQ1350" s="1868">
        <v>4.8427499999999997</v>
      </c>
      <c r="AR1350" s="1868">
        <v>5.9537199999999997</v>
      </c>
      <c r="AS1350" s="1868">
        <v>4.9530699999999994</v>
      </c>
      <c r="AT1350" s="1868">
        <v>4.2220399999999998</v>
      </c>
      <c r="AU1350" s="1868">
        <v>5.9797799999999999</v>
      </c>
      <c r="AV1350" s="1868">
        <v>4.9836199999999993</v>
      </c>
      <c r="AW1350" s="1868">
        <v>4.8281800000000006</v>
      </c>
      <c r="AX1350" s="1868">
        <v>4.0451300000000003</v>
      </c>
      <c r="AY1350" s="1868">
        <v>5.0100100000000003</v>
      </c>
      <c r="AZ1350" s="1868">
        <v>5.5737100000000002</v>
      </c>
      <c r="BA1350" s="1868">
        <v>4.5792000000000002</v>
      </c>
    </row>
    <row r="1351" spans="1:53">
      <c r="A1351" s="1865" t="str">
        <f t="shared" si="21"/>
        <v>Western EuropeSorghum</v>
      </c>
      <c r="B1351" s="1866" t="s">
        <v>306</v>
      </c>
      <c r="C1351" s="1866" t="s">
        <v>1399</v>
      </c>
      <c r="D1351" s="1868">
        <v>2.3737499999999998</v>
      </c>
      <c r="E1351" s="1868">
        <v>2.4795500000000001</v>
      </c>
      <c r="F1351" s="1868">
        <v>3.1535000000000002</v>
      </c>
      <c r="G1351" s="1868">
        <v>2.54671</v>
      </c>
      <c r="H1351" s="1868">
        <v>2.7863099999999998</v>
      </c>
      <c r="I1351" s="1868">
        <v>2.8397600000000001</v>
      </c>
      <c r="J1351" s="1868">
        <v>2.3665099999999999</v>
      </c>
      <c r="K1351" s="1868">
        <v>3.6777300000000004</v>
      </c>
      <c r="L1351" s="1868">
        <v>3.6886000000000001</v>
      </c>
      <c r="M1351" s="1868">
        <v>3.2957099999999997</v>
      </c>
      <c r="N1351" s="1868">
        <v>4.1289300000000004</v>
      </c>
      <c r="O1351" s="1868">
        <v>2.98753</v>
      </c>
      <c r="P1351" s="1868">
        <v>4.4712399999999999</v>
      </c>
      <c r="Q1351" s="1868">
        <v>4.19299</v>
      </c>
      <c r="R1351" s="1868">
        <v>3.6210300000000002</v>
      </c>
      <c r="S1351" s="1868">
        <v>3.2829300000000003</v>
      </c>
      <c r="T1351" s="1868">
        <v>3.30349</v>
      </c>
      <c r="U1351" s="1868">
        <v>4.2480900000000004</v>
      </c>
      <c r="V1351" s="1868">
        <v>4.0345699999999995</v>
      </c>
      <c r="W1351" s="1868">
        <v>4.5541999999999998</v>
      </c>
      <c r="X1351" s="1868">
        <v>4.8110900000000001</v>
      </c>
      <c r="Y1351" s="1868">
        <v>4.5598599999999996</v>
      </c>
      <c r="Z1351" s="1868">
        <v>4.5925900000000004</v>
      </c>
      <c r="AA1351" s="1868">
        <v>4.5172400000000001</v>
      </c>
      <c r="AB1351" s="1868">
        <v>4.6818200000000001</v>
      </c>
      <c r="AC1351" s="1868">
        <v>3.7391300000000003</v>
      </c>
      <c r="AD1351" s="1868">
        <v>5.8543400000000005</v>
      </c>
      <c r="AE1351" s="1868">
        <v>5.6667199999999998</v>
      </c>
      <c r="AF1351" s="1868">
        <v>4.2061099999999998</v>
      </c>
      <c r="AG1351" s="1868">
        <v>4.1296200000000001</v>
      </c>
      <c r="AH1351" s="1868">
        <v>5.4895399999999999</v>
      </c>
      <c r="AI1351" s="1868">
        <v>5.6015899999999998</v>
      </c>
      <c r="AJ1351" s="1868">
        <v>6.1096399999999997</v>
      </c>
      <c r="AK1351" s="1868">
        <v>5.5178199999999995</v>
      </c>
      <c r="AL1351" s="1868">
        <v>5.5739099999999997</v>
      </c>
      <c r="AM1351" s="1868">
        <v>6.24</v>
      </c>
      <c r="AN1351" s="1868">
        <v>6.6744199999999996</v>
      </c>
      <c r="AO1351" s="1868">
        <v>5.5814699999999995</v>
      </c>
      <c r="AP1351" s="1868">
        <v>6.2031000000000001</v>
      </c>
      <c r="AQ1351" s="1868">
        <v>6.2250199999999998</v>
      </c>
      <c r="AR1351" s="1868">
        <v>5.8775199999999996</v>
      </c>
      <c r="AS1351" s="1868">
        <v>6.4431099999999999</v>
      </c>
      <c r="AT1351" s="1868">
        <v>3.76999</v>
      </c>
      <c r="AU1351" s="1868">
        <v>5.3483800000000006</v>
      </c>
      <c r="AV1351" s="1868">
        <v>5.1494900000000001</v>
      </c>
      <c r="AW1351" s="1868">
        <v>5.5127300000000004</v>
      </c>
      <c r="AX1351" s="1868">
        <v>5.8655200000000001</v>
      </c>
      <c r="AY1351" s="1868">
        <v>6.2159000000000004</v>
      </c>
      <c r="AZ1351" s="1868">
        <v>5.3932500000000001</v>
      </c>
      <c r="BA1351" s="1868">
        <v>5.5086399999999998</v>
      </c>
    </row>
    <row r="1352" spans="1:53">
      <c r="A1352" s="1865" t="str">
        <f t="shared" si="21"/>
        <v>Western EuropeSoybeans</v>
      </c>
      <c r="B1352" s="1866" t="s">
        <v>306</v>
      </c>
      <c r="C1352" s="1866" t="s">
        <v>1359</v>
      </c>
      <c r="P1352" s="1868">
        <v>2.2585199999999999</v>
      </c>
      <c r="Q1352" s="1868">
        <v>1.25116</v>
      </c>
      <c r="R1352" s="1868">
        <v>1.9699</v>
      </c>
      <c r="S1352" s="1868">
        <v>1.6368400000000001</v>
      </c>
      <c r="T1352" s="1868">
        <v>1.9066700000000001</v>
      </c>
      <c r="U1352" s="1868">
        <v>1.4937499999999999</v>
      </c>
      <c r="V1352" s="1868">
        <v>1.3969499999999999</v>
      </c>
      <c r="W1352" s="1868">
        <v>2.1176499999999998</v>
      </c>
      <c r="X1352" s="1868">
        <v>2.15909</v>
      </c>
      <c r="Y1352" s="1868">
        <v>2.11225</v>
      </c>
      <c r="Z1352" s="1868">
        <v>2.2000000000000002</v>
      </c>
      <c r="AA1352" s="1868">
        <v>2.0678700000000001</v>
      </c>
      <c r="AB1352" s="1868">
        <v>2.05091</v>
      </c>
      <c r="AC1352" s="1868">
        <v>2.0425499999999999</v>
      </c>
      <c r="AD1352" s="1868">
        <v>2.5975299999999999</v>
      </c>
      <c r="AE1352" s="1868">
        <v>2.4354200000000001</v>
      </c>
      <c r="AF1352" s="1868">
        <v>2.2784299999999997</v>
      </c>
      <c r="AG1352" s="1868">
        <v>2.0811199999999999</v>
      </c>
      <c r="AH1352" s="1868">
        <v>2.4409400000000003</v>
      </c>
      <c r="AI1352" s="1868">
        <v>1.77468</v>
      </c>
      <c r="AJ1352" s="1868">
        <v>2.3818999999999999</v>
      </c>
      <c r="AK1352" s="1868">
        <v>2.4969900000000003</v>
      </c>
      <c r="AL1352" s="1868">
        <v>2.5390299999999999</v>
      </c>
      <c r="AM1352" s="1868">
        <v>2.5777799999999997</v>
      </c>
      <c r="AN1352" s="1868">
        <v>2.66947</v>
      </c>
      <c r="AO1352" s="1868">
        <v>2.5369000000000002</v>
      </c>
      <c r="AP1352" s="1868">
        <v>2.6840000000000002</v>
      </c>
      <c r="AQ1352" s="1868">
        <v>2.5207599999999997</v>
      </c>
      <c r="AR1352" s="1868">
        <v>2.5006200000000001</v>
      </c>
      <c r="AS1352" s="1868">
        <v>2.7479900000000002</v>
      </c>
      <c r="AT1352" s="1868">
        <v>1.9668400000000001</v>
      </c>
      <c r="AU1352" s="1868">
        <v>2.5207000000000002</v>
      </c>
      <c r="AV1352" s="1868">
        <v>2.5780599999999998</v>
      </c>
      <c r="AW1352" s="1868">
        <v>2.6502500000000002</v>
      </c>
      <c r="AX1352" s="1868">
        <v>2.5420099999999999</v>
      </c>
      <c r="AY1352" s="1868">
        <v>2.8705799999999999</v>
      </c>
      <c r="AZ1352" s="1868">
        <v>2.5946599999999997</v>
      </c>
      <c r="BA1352" s="1868">
        <v>2.7283599999999999</v>
      </c>
    </row>
    <row r="1353" spans="1:53">
      <c r="A1353" s="1865" t="str">
        <f t="shared" si="21"/>
        <v>Western EuropeStrawberries</v>
      </c>
      <c r="B1353" s="1866" t="s">
        <v>306</v>
      </c>
      <c r="C1353" s="1866" t="s">
        <v>1400</v>
      </c>
      <c r="D1353" s="1868">
        <v>43.718409999999999</v>
      </c>
      <c r="E1353" s="1868">
        <v>41.442570000000003</v>
      </c>
      <c r="F1353" s="1868">
        <v>41.363079999999997</v>
      </c>
      <c r="G1353" s="1868">
        <v>51.673029999999997</v>
      </c>
      <c r="H1353" s="1868">
        <v>52.128820000000005</v>
      </c>
      <c r="I1353" s="1868">
        <v>52.856469999999995</v>
      </c>
      <c r="J1353" s="1868">
        <v>54.241919999999993</v>
      </c>
      <c r="K1353" s="1868">
        <v>52.185029999999998</v>
      </c>
      <c r="L1353" s="1868">
        <v>58.682499999999997</v>
      </c>
      <c r="M1353" s="1868">
        <v>19.25131</v>
      </c>
      <c r="N1353" s="1868">
        <v>18.57273</v>
      </c>
      <c r="O1353" s="1868">
        <v>19.179029999999997</v>
      </c>
      <c r="P1353" s="1868">
        <v>17.864940000000001</v>
      </c>
      <c r="Q1353" s="1868">
        <v>18.853850000000001</v>
      </c>
      <c r="R1353" s="1868">
        <v>17.656029999999998</v>
      </c>
      <c r="S1353" s="1868">
        <v>16.280079999999998</v>
      </c>
      <c r="T1353" s="1868">
        <v>17.282339999999998</v>
      </c>
      <c r="U1353" s="1868">
        <v>18.942309999999999</v>
      </c>
      <c r="V1353" s="1868">
        <v>18.326750000000001</v>
      </c>
      <c r="W1353" s="1868">
        <v>18.992620000000002</v>
      </c>
      <c r="X1353" s="1868">
        <v>18.49736</v>
      </c>
      <c r="Y1353" s="1868">
        <v>19.659549999999999</v>
      </c>
      <c r="Z1353" s="1868">
        <v>20.528939999999999</v>
      </c>
      <c r="AA1353" s="1868">
        <v>22.182370000000002</v>
      </c>
      <c r="AB1353" s="1868">
        <v>10.865500000000001</v>
      </c>
      <c r="AC1353" s="1868">
        <v>10.977880000000001</v>
      </c>
      <c r="AD1353" s="1868">
        <v>11.31812</v>
      </c>
      <c r="AE1353" s="1868">
        <v>12.10482</v>
      </c>
      <c r="AF1353" s="1868">
        <v>11.944180000000001</v>
      </c>
      <c r="AG1353" s="1868">
        <v>13.127750000000001</v>
      </c>
      <c r="AH1353" s="1868">
        <v>13.12946</v>
      </c>
      <c r="AI1353" s="1868">
        <v>13.21964</v>
      </c>
      <c r="AJ1353" s="1868">
        <v>13.62144</v>
      </c>
      <c r="AK1353" s="1868">
        <v>13.14514</v>
      </c>
      <c r="AL1353" s="1868">
        <v>13.798310000000001</v>
      </c>
      <c r="AM1353" s="1868">
        <v>13.57978</v>
      </c>
      <c r="AN1353" s="1868">
        <v>13.3514</v>
      </c>
      <c r="AO1353" s="1868">
        <v>14.34591</v>
      </c>
      <c r="AP1353" s="1868">
        <v>14.179729999999999</v>
      </c>
      <c r="AQ1353" s="1868">
        <v>13.994760000000001</v>
      </c>
      <c r="AR1353" s="1868">
        <v>14.04604</v>
      </c>
      <c r="AS1353" s="1868">
        <v>13.870779999999998</v>
      </c>
      <c r="AT1353" s="1868">
        <v>13.052910000000001</v>
      </c>
      <c r="AU1353" s="1868">
        <v>14.070820000000001</v>
      </c>
      <c r="AV1353" s="1868">
        <v>14.199299999999999</v>
      </c>
      <c r="AW1353" s="1868">
        <v>14.78105</v>
      </c>
      <c r="AX1353" s="1868">
        <v>14.919089999999999</v>
      </c>
      <c r="AY1353" s="1868">
        <v>14.518370000000001</v>
      </c>
      <c r="AZ1353" s="1868">
        <v>15.031989999999999</v>
      </c>
      <c r="BA1353" s="1868">
        <v>14.385820000000001</v>
      </c>
    </row>
    <row r="1354" spans="1:53">
      <c r="A1354" s="1865" t="str">
        <f t="shared" si="21"/>
        <v>Western EuropeSugar beet</v>
      </c>
      <c r="B1354" s="1866" t="s">
        <v>306</v>
      </c>
      <c r="C1354" s="1866" t="s">
        <v>1358</v>
      </c>
      <c r="D1354" s="1868">
        <v>34.851469999999999</v>
      </c>
      <c r="E1354" s="1868">
        <v>30.758320000000001</v>
      </c>
      <c r="F1354" s="1868">
        <v>37.077159999999999</v>
      </c>
      <c r="G1354" s="1868">
        <v>38.459470000000003</v>
      </c>
      <c r="H1354" s="1868">
        <v>37.138649999999998</v>
      </c>
      <c r="I1354" s="1868">
        <v>40.839919999999999</v>
      </c>
      <c r="J1354" s="1868">
        <v>43.091770000000004</v>
      </c>
      <c r="K1354" s="1868">
        <v>44.26</v>
      </c>
      <c r="L1354" s="1868">
        <v>42.204729999999998</v>
      </c>
      <c r="M1354" s="1868">
        <v>42.312740000000005</v>
      </c>
      <c r="N1354" s="1868">
        <v>43.904620000000001</v>
      </c>
      <c r="O1354" s="1868">
        <v>42.001800000000003</v>
      </c>
      <c r="P1354" s="1868">
        <v>43.496809999999996</v>
      </c>
      <c r="Q1354" s="1868">
        <v>41.014389999999999</v>
      </c>
      <c r="R1354" s="1868">
        <v>39.72045</v>
      </c>
      <c r="S1354" s="1868">
        <v>38.146159999999995</v>
      </c>
      <c r="T1354" s="1868">
        <v>45.197990000000004</v>
      </c>
      <c r="U1354" s="1868">
        <v>43.056179999999998</v>
      </c>
      <c r="V1354" s="1868">
        <v>44.258499999999998</v>
      </c>
      <c r="W1354" s="1868">
        <v>46.537309999999998</v>
      </c>
      <c r="X1354" s="1868">
        <v>52.277450000000002</v>
      </c>
      <c r="Y1354" s="1868">
        <v>52.902680000000004</v>
      </c>
      <c r="Z1354" s="1868">
        <v>44.417380000000001</v>
      </c>
      <c r="AA1354" s="1868">
        <v>49.429229999999997</v>
      </c>
      <c r="AB1354" s="1868">
        <v>51.746130000000001</v>
      </c>
      <c r="AC1354" s="1868">
        <v>51.727829999999997</v>
      </c>
      <c r="AD1354" s="1868">
        <v>51.955040000000004</v>
      </c>
      <c r="AE1354" s="1868">
        <v>52.370379999999997</v>
      </c>
      <c r="AF1354" s="1868">
        <v>55.222869999999993</v>
      </c>
      <c r="AG1354" s="1868">
        <v>58.523049999999998</v>
      </c>
      <c r="AH1354" s="1868">
        <v>55.319219999999994</v>
      </c>
      <c r="AI1354" s="1868">
        <v>59.760599999999997</v>
      </c>
      <c r="AJ1354" s="1868">
        <v>62.977569999999993</v>
      </c>
      <c r="AK1354" s="1868">
        <v>56.34646</v>
      </c>
      <c r="AL1354" s="1868">
        <v>57.712469999999996</v>
      </c>
      <c r="AM1354" s="1868">
        <v>58.783680000000004</v>
      </c>
      <c r="AN1354" s="1868">
        <v>62.163880000000006</v>
      </c>
      <c r="AO1354" s="1868">
        <v>59.575169999999993</v>
      </c>
      <c r="AP1354" s="1868">
        <v>65.175229999999999</v>
      </c>
      <c r="AQ1354" s="1868">
        <v>67.483869999999996</v>
      </c>
      <c r="AR1354" s="1868">
        <v>58.555509999999998</v>
      </c>
      <c r="AS1354" s="1868">
        <v>66.480890000000002</v>
      </c>
      <c r="AT1354" s="1868">
        <v>63.143990000000002</v>
      </c>
      <c r="AU1354" s="1868">
        <v>69.66386</v>
      </c>
      <c r="AV1354" s="1868">
        <v>70.151049999999998</v>
      </c>
      <c r="AW1354" s="1868">
        <v>68.000330000000005</v>
      </c>
      <c r="AX1354" s="1868">
        <v>72.124359999999996</v>
      </c>
      <c r="AY1354" s="1868">
        <v>73.999759999999995</v>
      </c>
      <c r="AZ1354" s="1868">
        <v>80.277799999999999</v>
      </c>
      <c r="BA1354" s="1868">
        <v>74.161369999999991</v>
      </c>
    </row>
    <row r="1355" spans="1:53">
      <c r="A1355" s="1865" t="str">
        <f t="shared" si="21"/>
        <v>Western EuropeSunflower seed</v>
      </c>
      <c r="B1355" s="1866" t="s">
        <v>306</v>
      </c>
      <c r="C1355" s="1866" t="s">
        <v>1402</v>
      </c>
      <c r="D1355" s="1868">
        <v>1.7224999999999999</v>
      </c>
      <c r="E1355" s="1868">
        <v>1.61599</v>
      </c>
      <c r="F1355" s="1868">
        <v>1.3527899999999999</v>
      </c>
      <c r="G1355" s="1868">
        <v>1.4423700000000002</v>
      </c>
      <c r="H1355" s="1868">
        <v>1.53501</v>
      </c>
      <c r="I1355" s="1868">
        <v>1.7768299999999999</v>
      </c>
      <c r="J1355" s="1868">
        <v>1.59179</v>
      </c>
      <c r="K1355" s="1868">
        <v>1.8562299999999998</v>
      </c>
      <c r="L1355" s="1868">
        <v>1.7936000000000001</v>
      </c>
      <c r="M1355" s="1868">
        <v>1.78037</v>
      </c>
      <c r="N1355" s="1868">
        <v>1.75857</v>
      </c>
      <c r="O1355" s="1868">
        <v>1.53332</v>
      </c>
      <c r="P1355" s="1868">
        <v>2.0456099999999999</v>
      </c>
      <c r="Q1355" s="1868">
        <v>1.66303</v>
      </c>
      <c r="R1355" s="1868">
        <v>1.49596</v>
      </c>
      <c r="S1355" s="1868">
        <v>1.2730399999999999</v>
      </c>
      <c r="T1355" s="1868">
        <v>1.81745</v>
      </c>
      <c r="U1355" s="1868">
        <v>2.1170100000000001</v>
      </c>
      <c r="V1355" s="1868">
        <v>2.1515</v>
      </c>
      <c r="W1355" s="1868">
        <v>2.3841600000000001</v>
      </c>
      <c r="X1355" s="1868">
        <v>2.5175200000000002</v>
      </c>
      <c r="Y1355" s="1868">
        <v>2.2210400000000003</v>
      </c>
      <c r="Z1355" s="1868">
        <v>1.93275</v>
      </c>
      <c r="AA1355" s="1868">
        <v>1.9400999999999999</v>
      </c>
      <c r="AB1355" s="1868">
        <v>2.3706099999999997</v>
      </c>
      <c r="AC1355" s="1868">
        <v>2.08473</v>
      </c>
      <c r="AD1355" s="1868">
        <v>2.5447799999999998</v>
      </c>
      <c r="AE1355" s="1868">
        <v>2.48149</v>
      </c>
      <c r="AF1355" s="1868">
        <v>2.3652199999999999</v>
      </c>
      <c r="AG1355" s="1868">
        <v>2.1458400000000002</v>
      </c>
      <c r="AH1355" s="1868">
        <v>2.4685299999999999</v>
      </c>
      <c r="AI1355" s="1868">
        <v>2.1850000000000001</v>
      </c>
      <c r="AJ1355" s="1868">
        <v>2.16371</v>
      </c>
      <c r="AK1355" s="1868">
        <v>2.0260799999999999</v>
      </c>
      <c r="AL1355" s="1868">
        <v>2.0688800000000001</v>
      </c>
      <c r="AM1355" s="1868">
        <v>2.24715</v>
      </c>
      <c r="AN1355" s="1868">
        <v>2.28586</v>
      </c>
      <c r="AO1355" s="1868">
        <v>2.2156199999999999</v>
      </c>
      <c r="AP1355" s="1868">
        <v>2.3525800000000001</v>
      </c>
      <c r="AQ1355" s="1868">
        <v>2.5166200000000001</v>
      </c>
      <c r="AR1355" s="1868">
        <v>2.24553</v>
      </c>
      <c r="AS1355" s="1868">
        <v>2.42814</v>
      </c>
      <c r="AT1355" s="1868">
        <v>2.1859599999999997</v>
      </c>
      <c r="AU1355" s="1868">
        <v>2.3750400000000003</v>
      </c>
      <c r="AV1355" s="1868">
        <v>2.36191</v>
      </c>
      <c r="AW1355" s="1868">
        <v>2.2315</v>
      </c>
      <c r="AX1355" s="1868">
        <v>2.5170300000000001</v>
      </c>
      <c r="AY1355" s="1868">
        <v>2.5355400000000001</v>
      </c>
      <c r="AZ1355" s="1868">
        <v>2.3906700000000001</v>
      </c>
      <c r="BA1355" s="1868">
        <v>2.34714</v>
      </c>
    </row>
    <row r="1356" spans="1:53">
      <c r="A1356" s="1865" t="str">
        <f t="shared" si="21"/>
        <v>Western EuropeTangerines, mandarins, clem.</v>
      </c>
      <c r="B1356" s="1866" t="s">
        <v>306</v>
      </c>
      <c r="C1356" s="1866" t="s">
        <v>1404</v>
      </c>
      <c r="D1356" s="1868">
        <v>4.1818200000000001</v>
      </c>
      <c r="E1356" s="1868">
        <v>2.875</v>
      </c>
      <c r="F1356" s="1868">
        <v>3.4375</v>
      </c>
      <c r="G1356" s="1868">
        <v>2.03125</v>
      </c>
      <c r="H1356" s="1868">
        <v>0.96286000000000005</v>
      </c>
      <c r="I1356" s="1868">
        <v>2.14147</v>
      </c>
      <c r="J1356" s="1868">
        <v>4.0917399999999997</v>
      </c>
      <c r="K1356" s="1868">
        <v>8.3852100000000007</v>
      </c>
      <c r="L1356" s="1868">
        <v>9.645389999999999</v>
      </c>
      <c r="M1356" s="1868">
        <v>9.3466699999999996</v>
      </c>
      <c r="N1356" s="1868">
        <v>9.75</v>
      </c>
      <c r="O1356" s="1868">
        <v>6.1337400000000004</v>
      </c>
      <c r="P1356" s="1868">
        <v>6.5012499999999998</v>
      </c>
      <c r="Q1356" s="1868">
        <v>7.27982</v>
      </c>
      <c r="R1356" s="1868">
        <v>8.0066000000000006</v>
      </c>
      <c r="S1356" s="1868">
        <v>11.457139999999999</v>
      </c>
      <c r="T1356" s="1868">
        <v>9.5987899999999993</v>
      </c>
      <c r="U1356" s="1868">
        <v>10.58935</v>
      </c>
      <c r="V1356" s="1868">
        <v>15.181820000000002</v>
      </c>
      <c r="W1356" s="1868">
        <v>9.8095199999999991</v>
      </c>
      <c r="X1356" s="1868">
        <v>12.82363</v>
      </c>
      <c r="Y1356" s="1868">
        <v>13.576920000000001</v>
      </c>
      <c r="Z1356" s="1868">
        <v>10.76923</v>
      </c>
      <c r="AA1356" s="1868">
        <v>12.188260000000001</v>
      </c>
      <c r="AB1356" s="1868">
        <v>19.086379999999998</v>
      </c>
      <c r="AC1356" s="1868">
        <v>18.78079</v>
      </c>
      <c r="AD1356" s="1868">
        <v>19.162329999999997</v>
      </c>
      <c r="AE1356" s="1868">
        <v>19.14649</v>
      </c>
      <c r="AF1356" s="1868">
        <v>18</v>
      </c>
      <c r="AG1356" s="1868">
        <v>11.809469999999999</v>
      </c>
      <c r="AH1356" s="1868">
        <v>17.40887</v>
      </c>
      <c r="AI1356" s="1868">
        <v>10.6119</v>
      </c>
      <c r="AJ1356" s="1868">
        <v>14.184610000000001</v>
      </c>
      <c r="AK1356" s="1868">
        <v>11.30707</v>
      </c>
      <c r="AL1356" s="1868">
        <v>12.58948</v>
      </c>
      <c r="AM1356" s="1868">
        <v>9.41648</v>
      </c>
      <c r="AN1356" s="1868">
        <v>10.37923</v>
      </c>
      <c r="AO1356" s="1868">
        <v>9.7107100000000006</v>
      </c>
      <c r="AP1356" s="1868">
        <v>10.53289</v>
      </c>
      <c r="AQ1356" s="1868">
        <v>12.11224</v>
      </c>
      <c r="AR1356" s="1868">
        <v>11.293200000000001</v>
      </c>
      <c r="AS1356" s="1868">
        <v>13.706170000000002</v>
      </c>
      <c r="AT1356" s="1868">
        <v>11.269360000000001</v>
      </c>
      <c r="AU1356" s="1868">
        <v>15.730739999999999</v>
      </c>
      <c r="AV1356" s="1868">
        <v>12.53562</v>
      </c>
      <c r="AW1356" s="1868">
        <v>16.95269</v>
      </c>
      <c r="AX1356" s="1868">
        <v>10.93206</v>
      </c>
      <c r="AY1356" s="1868">
        <v>14.21955</v>
      </c>
      <c r="AZ1356" s="1868">
        <v>16.143550000000001</v>
      </c>
      <c r="BA1356" s="1868">
        <v>12.57625</v>
      </c>
    </row>
    <row r="1357" spans="1:53">
      <c r="A1357" s="1865" t="str">
        <f t="shared" si="21"/>
        <v>Western EuropeTobacco, unmanufactured</v>
      </c>
      <c r="B1357" s="1866" t="s">
        <v>306</v>
      </c>
      <c r="C1357" s="1866" t="s">
        <v>1347</v>
      </c>
      <c r="D1357" s="1868">
        <v>1.63723</v>
      </c>
      <c r="E1357" s="1868">
        <v>1.8490799999999998</v>
      </c>
      <c r="F1357" s="1868">
        <v>1.9124900000000002</v>
      </c>
      <c r="G1357" s="1868">
        <v>2.1180300000000001</v>
      </c>
      <c r="H1357" s="1868">
        <v>2.17279</v>
      </c>
      <c r="I1357" s="1868">
        <v>2.2101000000000002</v>
      </c>
      <c r="J1357" s="1868">
        <v>2.2947299999999999</v>
      </c>
      <c r="K1357" s="1868">
        <v>2.38897</v>
      </c>
      <c r="L1357" s="1868">
        <v>2.2289699999999999</v>
      </c>
      <c r="M1357" s="1868">
        <v>2.3436499999999998</v>
      </c>
      <c r="N1357" s="1868">
        <v>2.1722299999999999</v>
      </c>
      <c r="O1357" s="1868">
        <v>2.3929800000000001</v>
      </c>
      <c r="P1357" s="1868">
        <v>2.4628900000000002</v>
      </c>
      <c r="Q1357" s="1868">
        <v>2.37385</v>
      </c>
      <c r="R1357" s="1868">
        <v>2.3998900000000001</v>
      </c>
      <c r="S1357" s="1868">
        <v>2.6926099999999997</v>
      </c>
      <c r="T1357" s="1868">
        <v>2.0693700000000002</v>
      </c>
      <c r="U1357" s="1868">
        <v>2.4316400000000002</v>
      </c>
      <c r="V1357" s="1868">
        <v>2.4928900000000001</v>
      </c>
      <c r="W1357" s="1868">
        <v>2.2594799999999999</v>
      </c>
      <c r="X1357" s="1868">
        <v>2.3881399999999999</v>
      </c>
      <c r="Y1357" s="1868">
        <v>2.5694300000000001</v>
      </c>
      <c r="Z1357" s="1868">
        <v>2.3533599999999999</v>
      </c>
      <c r="AA1357" s="1868">
        <v>2.3450199999999999</v>
      </c>
      <c r="AB1357" s="1868">
        <v>2.3638699999999999</v>
      </c>
      <c r="AC1357" s="1868">
        <v>2.4101400000000002</v>
      </c>
      <c r="AD1357" s="1868">
        <v>2.3242700000000003</v>
      </c>
      <c r="AE1357" s="1868">
        <v>2.25251</v>
      </c>
      <c r="AF1357" s="1868">
        <v>2.2666300000000001</v>
      </c>
      <c r="AG1357" s="1868">
        <v>2.3298400000000004</v>
      </c>
      <c r="AH1357" s="1868">
        <v>2.3837200000000003</v>
      </c>
      <c r="AI1357" s="1868">
        <v>1.92767</v>
      </c>
      <c r="AJ1357" s="1868">
        <v>2.07043</v>
      </c>
      <c r="AK1357" s="1868">
        <v>2.42733</v>
      </c>
      <c r="AL1357" s="1868">
        <v>2.4999700000000002</v>
      </c>
      <c r="AM1357" s="1868">
        <v>2.7784299999999997</v>
      </c>
      <c r="AN1357" s="1868">
        <v>2.6145200000000002</v>
      </c>
      <c r="AO1357" s="1868">
        <v>2.7433200000000002</v>
      </c>
      <c r="AP1357" s="1868">
        <v>2.6483099999999999</v>
      </c>
      <c r="AQ1357" s="1868">
        <v>2.5813299999999999</v>
      </c>
      <c r="AR1357" s="1868">
        <v>2.5938099999999999</v>
      </c>
      <c r="AS1357" s="1868">
        <v>2.6008499999999999</v>
      </c>
      <c r="AT1357" s="1868">
        <v>2.7454000000000001</v>
      </c>
      <c r="AU1357" s="1868">
        <v>2.7509099999999997</v>
      </c>
      <c r="AV1357" s="1868">
        <v>2.6118700000000001</v>
      </c>
      <c r="AW1357" s="1868">
        <v>2.5061599999999999</v>
      </c>
      <c r="AX1357" s="1868">
        <v>2.2928000000000002</v>
      </c>
      <c r="AY1357" s="1868">
        <v>2.6007599999999997</v>
      </c>
      <c r="AZ1357" s="1868">
        <v>2.6080799999999997</v>
      </c>
      <c r="BA1357" s="1868">
        <v>2.5362900000000002</v>
      </c>
    </row>
    <row r="1358" spans="1:53">
      <c r="A1358" s="1865" t="str">
        <f t="shared" si="21"/>
        <v>Western EuropeTomatoes</v>
      </c>
      <c r="B1358" s="1866" t="s">
        <v>306</v>
      </c>
      <c r="C1358" s="1866" t="s">
        <v>1406</v>
      </c>
      <c r="D1358" s="1868">
        <v>33.240600000000001</v>
      </c>
      <c r="E1358" s="1868">
        <v>33.722790000000003</v>
      </c>
      <c r="F1358" s="1868">
        <v>29.18562</v>
      </c>
      <c r="G1358" s="1868">
        <v>36.462940000000003</v>
      </c>
      <c r="H1358" s="1868">
        <v>38.067479999999996</v>
      </c>
      <c r="I1358" s="1868">
        <v>36.996690000000001</v>
      </c>
      <c r="J1358" s="1868">
        <v>38.873860000000001</v>
      </c>
      <c r="K1358" s="1868">
        <v>39.335560000000001</v>
      </c>
      <c r="L1358" s="1868">
        <v>42.383580000000002</v>
      </c>
      <c r="M1358" s="1868">
        <v>44.325240000000001</v>
      </c>
      <c r="N1358" s="1868">
        <v>48.297440000000002</v>
      </c>
      <c r="O1358" s="1868">
        <v>44.389609999999998</v>
      </c>
      <c r="P1358" s="1868">
        <v>50.41516</v>
      </c>
      <c r="Q1358" s="1868">
        <v>50.448230000000002</v>
      </c>
      <c r="R1358" s="1868">
        <v>51.43309</v>
      </c>
      <c r="S1358" s="1868">
        <v>52.079300000000003</v>
      </c>
      <c r="T1358" s="1868">
        <v>52.148040000000002</v>
      </c>
      <c r="U1358" s="1868">
        <v>55.524919999999995</v>
      </c>
      <c r="V1358" s="1868">
        <v>54.858609999999999</v>
      </c>
      <c r="W1358" s="1868">
        <v>59.033769999999997</v>
      </c>
      <c r="X1358" s="1868">
        <v>59.872130000000006</v>
      </c>
      <c r="Y1358" s="1868">
        <v>65.351150000000004</v>
      </c>
      <c r="Z1358" s="1868">
        <v>66.586100000000002</v>
      </c>
      <c r="AA1358" s="1868">
        <v>69.055260000000004</v>
      </c>
      <c r="AB1358" s="1868">
        <v>76.648519999999991</v>
      </c>
      <c r="AC1358" s="1868">
        <v>78.662909999999997</v>
      </c>
      <c r="AD1358" s="1868">
        <v>84.171999999999997</v>
      </c>
      <c r="AE1358" s="1868">
        <v>91.316760000000002</v>
      </c>
      <c r="AF1358" s="1868">
        <v>98.214320000000001</v>
      </c>
      <c r="AG1358" s="1868">
        <v>107.17589</v>
      </c>
      <c r="AH1358" s="1868">
        <v>114.10508</v>
      </c>
      <c r="AI1358" s="1868">
        <v>122.6618</v>
      </c>
      <c r="AJ1358" s="1868">
        <v>125.05356</v>
      </c>
      <c r="AK1358" s="1868">
        <v>127.22143999999999</v>
      </c>
      <c r="AL1358" s="1868">
        <v>144.09700000000001</v>
      </c>
      <c r="AM1358" s="1868">
        <v>137.06058999999999</v>
      </c>
      <c r="AN1358" s="1868">
        <v>139.57341</v>
      </c>
      <c r="AO1358" s="1868">
        <v>149.55553999999998</v>
      </c>
      <c r="AP1358" s="1868">
        <v>149.66675000000001</v>
      </c>
      <c r="AQ1358" s="1868">
        <v>167.28637000000001</v>
      </c>
      <c r="AR1358" s="1868">
        <v>175.18892</v>
      </c>
      <c r="AS1358" s="1868">
        <v>185.39306000000002</v>
      </c>
      <c r="AT1358" s="1868">
        <v>207.35366999999999</v>
      </c>
      <c r="AU1358" s="1868">
        <v>218.73421000000002</v>
      </c>
      <c r="AV1358" s="1868">
        <v>236.26458</v>
      </c>
      <c r="AW1358" s="1868">
        <v>240.07325</v>
      </c>
      <c r="AX1358" s="1868">
        <v>243.72579999999999</v>
      </c>
      <c r="AY1358" s="1868">
        <v>215.18272999999999</v>
      </c>
      <c r="AZ1358" s="1868">
        <v>201.75928000000002</v>
      </c>
      <c r="BA1358" s="1868">
        <v>204.57124999999999</v>
      </c>
    </row>
    <row r="1359" spans="1:53">
      <c r="A1359" s="1865" t="str">
        <f t="shared" si="21"/>
        <v>Western EuropeTriticale</v>
      </c>
      <c r="B1359" s="1866" t="s">
        <v>306</v>
      </c>
      <c r="C1359" s="1866" t="s">
        <v>1361</v>
      </c>
      <c r="AA1359" s="1868">
        <v>4.54054</v>
      </c>
      <c r="AB1359" s="1868">
        <v>4.52515</v>
      </c>
      <c r="AC1359" s="1868">
        <v>3.4200900000000001</v>
      </c>
      <c r="AD1359" s="1868">
        <v>4.0748100000000003</v>
      </c>
      <c r="AE1359" s="1868">
        <v>4.2937799999999999</v>
      </c>
      <c r="AF1359" s="1868">
        <v>4.63645</v>
      </c>
      <c r="AG1359" s="1868">
        <v>4.6648800000000001</v>
      </c>
      <c r="AH1359" s="1868">
        <v>5.0240900000000002</v>
      </c>
      <c r="AI1359" s="1868">
        <v>4.9666300000000003</v>
      </c>
      <c r="AJ1359" s="1868">
        <v>5.0309800000000005</v>
      </c>
      <c r="AK1359" s="1868">
        <v>5.0804</v>
      </c>
      <c r="AL1359" s="1868">
        <v>5.2598699999999994</v>
      </c>
      <c r="AM1359" s="1868">
        <v>5.5860000000000003</v>
      </c>
      <c r="AN1359" s="1868">
        <v>5.5905699999999996</v>
      </c>
      <c r="AO1359" s="1868">
        <v>5.73794</v>
      </c>
      <c r="AP1359" s="1868">
        <v>5.7066099999999995</v>
      </c>
      <c r="AQ1359" s="1868">
        <v>5.4657499999999999</v>
      </c>
      <c r="AR1359" s="1868">
        <v>5.7971900000000005</v>
      </c>
      <c r="AS1359" s="1868">
        <v>5.4748599999999996</v>
      </c>
      <c r="AT1359" s="1868">
        <v>4.7615699999999999</v>
      </c>
      <c r="AU1359" s="1868">
        <v>6.09267</v>
      </c>
      <c r="AV1359" s="1868">
        <v>5.4996800000000006</v>
      </c>
      <c r="AW1359" s="1868">
        <v>5.3428399999999998</v>
      </c>
      <c r="AX1359" s="1868">
        <v>5.0183400000000002</v>
      </c>
      <c r="AY1359" s="1868">
        <v>5.66289</v>
      </c>
      <c r="AZ1359" s="1868">
        <v>5.9413199999999993</v>
      </c>
      <c r="BA1359" s="1868">
        <v>5.3907499999999997</v>
      </c>
    </row>
    <row r="1360" spans="1:53">
      <c r="A1360" s="1865" t="str">
        <f t="shared" si="21"/>
        <v>Western EuropeVegetables fresh nes</v>
      </c>
      <c r="B1360" s="1866" t="s">
        <v>306</v>
      </c>
      <c r="C1360" s="1866" t="s">
        <v>1407</v>
      </c>
      <c r="D1360" s="1868">
        <v>12.16175</v>
      </c>
      <c r="E1360" s="1868">
        <v>11.60079</v>
      </c>
      <c r="F1360" s="1868">
        <v>11.521850000000001</v>
      </c>
      <c r="G1360" s="1868">
        <v>11.871700000000001</v>
      </c>
      <c r="H1360" s="1868">
        <v>12.04139</v>
      </c>
      <c r="I1360" s="1868">
        <v>12.60308</v>
      </c>
      <c r="J1360" s="1868">
        <v>12.93121</v>
      </c>
      <c r="K1360" s="1868">
        <v>12.66813</v>
      </c>
      <c r="L1360" s="1868">
        <v>12.52115</v>
      </c>
      <c r="M1360" s="1868">
        <v>12.76018</v>
      </c>
      <c r="N1360" s="1868">
        <v>12.849969999999999</v>
      </c>
      <c r="O1360" s="1868">
        <v>12.628789999999999</v>
      </c>
      <c r="P1360" s="1868">
        <v>13.223100000000001</v>
      </c>
      <c r="Q1360" s="1868">
        <v>13.406370000000001</v>
      </c>
      <c r="R1360" s="1868">
        <v>12.47518</v>
      </c>
      <c r="S1360" s="1868">
        <v>13.176629999999999</v>
      </c>
      <c r="T1360" s="1868">
        <v>13.17831</v>
      </c>
      <c r="U1360" s="1868">
        <v>13.59915</v>
      </c>
      <c r="V1360" s="1868">
        <v>14.51624</v>
      </c>
      <c r="W1360" s="1868">
        <v>13.6266</v>
      </c>
      <c r="X1360" s="1868">
        <v>16.159670000000002</v>
      </c>
      <c r="Y1360" s="1868">
        <v>15.428750000000001</v>
      </c>
      <c r="Z1360" s="1868">
        <v>15.381489999999999</v>
      </c>
      <c r="AA1360" s="1868">
        <v>16.460529999999999</v>
      </c>
      <c r="AB1360" s="1868">
        <v>17.014470000000003</v>
      </c>
      <c r="AC1360" s="1868">
        <v>20.399660000000001</v>
      </c>
      <c r="AD1360" s="1868">
        <v>16.516870000000001</v>
      </c>
      <c r="AE1360" s="1868">
        <v>17.84104</v>
      </c>
      <c r="AF1360" s="1868">
        <v>17.419970000000003</v>
      </c>
      <c r="AG1360" s="1868">
        <v>17.069120000000002</v>
      </c>
      <c r="AH1360" s="1868">
        <v>16.436800000000002</v>
      </c>
      <c r="AI1360" s="1868">
        <v>15.641389999999999</v>
      </c>
      <c r="AJ1360" s="1868">
        <v>16.574850000000001</v>
      </c>
      <c r="AK1360" s="1868">
        <v>23.634920000000001</v>
      </c>
      <c r="AL1360" s="1868">
        <v>22.261610000000001</v>
      </c>
      <c r="AM1360" s="1868">
        <v>22.852870000000003</v>
      </c>
      <c r="AN1360" s="1868">
        <v>21.126799999999999</v>
      </c>
      <c r="AO1360" s="1868">
        <v>20.637599999999999</v>
      </c>
      <c r="AP1360" s="1868">
        <v>20.092979999999997</v>
      </c>
      <c r="AQ1360" s="1868">
        <v>32.340060000000001</v>
      </c>
      <c r="AR1360" s="1868">
        <v>34.153750000000002</v>
      </c>
      <c r="AS1360" s="1868">
        <v>31.514150000000001</v>
      </c>
      <c r="AT1360" s="1868">
        <v>27.569590000000002</v>
      </c>
      <c r="AU1360" s="1868">
        <v>27.950679999999998</v>
      </c>
      <c r="AV1360" s="1868">
        <v>27.741979999999998</v>
      </c>
      <c r="AW1360" s="1868">
        <v>28.747909999999997</v>
      </c>
      <c r="AX1360" s="1868">
        <v>22.091839999999998</v>
      </c>
      <c r="AY1360" s="1868">
        <v>25.091049999999999</v>
      </c>
      <c r="AZ1360" s="1868">
        <v>25.027290000000001</v>
      </c>
      <c r="BA1360" s="1868">
        <v>25.96172</v>
      </c>
    </row>
    <row r="1361" spans="1:53">
      <c r="A1361" s="1865" t="str">
        <f t="shared" si="21"/>
        <v>Western EuropeVetches</v>
      </c>
      <c r="B1361" s="1866" t="s">
        <v>306</v>
      </c>
      <c r="C1361" s="1866" t="s">
        <v>1408</v>
      </c>
      <c r="D1361" s="1868">
        <v>0.86503999999999992</v>
      </c>
      <c r="E1361" s="1868">
        <v>0.97173999999999994</v>
      </c>
      <c r="F1361" s="1868">
        <v>0.76883999999999997</v>
      </c>
      <c r="G1361" s="1868">
        <v>0.83552000000000004</v>
      </c>
      <c r="H1361" s="1868">
        <v>1.1948299999999998</v>
      </c>
      <c r="I1361" s="1868">
        <v>1.03457</v>
      </c>
      <c r="J1361" s="1868">
        <v>1.15818</v>
      </c>
      <c r="K1361" s="1868">
        <v>1.0998600000000001</v>
      </c>
      <c r="L1361" s="1868">
        <v>0.89134999999999998</v>
      </c>
      <c r="M1361" s="1868">
        <v>1.02542</v>
      </c>
      <c r="N1361" s="1868">
        <v>1.0523400000000001</v>
      </c>
      <c r="O1361" s="1868">
        <v>0.85550999999999999</v>
      </c>
      <c r="P1361" s="1868">
        <v>0.80266999999999999</v>
      </c>
      <c r="Q1361" s="1868">
        <v>1.14798</v>
      </c>
      <c r="R1361" s="1868">
        <v>0.95489999999999997</v>
      </c>
      <c r="S1361" s="1868">
        <v>0.73388999999999993</v>
      </c>
      <c r="T1361" s="1868">
        <v>1.01915</v>
      </c>
      <c r="U1361" s="1868">
        <v>1.0117700000000001</v>
      </c>
      <c r="V1361" s="1868">
        <v>1.2439</v>
      </c>
      <c r="W1361" s="1868">
        <v>0.89023999999999992</v>
      </c>
      <c r="X1361" s="1868">
        <v>1.0357100000000001</v>
      </c>
      <c r="Y1361" s="1868">
        <v>1.13805</v>
      </c>
      <c r="Z1361" s="1868">
        <v>0.98787999999999998</v>
      </c>
      <c r="AA1361" s="1868">
        <v>1.1026499999999999</v>
      </c>
      <c r="AB1361" s="1868">
        <v>1.1642999999999999</v>
      </c>
      <c r="AC1361" s="1868">
        <v>1.1211599999999999</v>
      </c>
      <c r="AD1361" s="1868">
        <v>1.10379</v>
      </c>
      <c r="AE1361" s="1868">
        <v>1.0398700000000001</v>
      </c>
      <c r="AF1361" s="1868">
        <v>0.94586000000000003</v>
      </c>
      <c r="AG1361" s="1868">
        <v>1.09589</v>
      </c>
      <c r="AH1361" s="1868">
        <v>0.96667000000000003</v>
      </c>
      <c r="AI1361" s="1868">
        <v>0.95</v>
      </c>
      <c r="AJ1361" s="1868">
        <v>0.9</v>
      </c>
      <c r="AK1361" s="1868">
        <v>0.75</v>
      </c>
      <c r="AT1361" s="1868">
        <v>1.9983099999999998</v>
      </c>
      <c r="AU1361" s="1868">
        <v>1.9986999999999999</v>
      </c>
      <c r="AV1361" s="1868">
        <v>2</v>
      </c>
      <c r="AW1361" s="1868">
        <v>2.0010400000000002</v>
      </c>
      <c r="AX1361" s="1868">
        <v>2</v>
      </c>
      <c r="AY1361" s="1868">
        <v>2</v>
      </c>
      <c r="AZ1361" s="1868">
        <v>1.9993700000000001</v>
      </c>
      <c r="BA1361" s="1868">
        <v>2.0625</v>
      </c>
    </row>
    <row r="1362" spans="1:53">
      <c r="A1362" s="1865" t="str">
        <f t="shared" si="21"/>
        <v>Western EuropeWheat</v>
      </c>
      <c r="B1362" s="1866" t="s">
        <v>306</v>
      </c>
      <c r="C1362" s="1866" t="s">
        <v>1409</v>
      </c>
      <c r="D1362" s="1868">
        <v>2.6076200000000003</v>
      </c>
      <c r="E1362" s="1868">
        <v>3.2088099999999997</v>
      </c>
      <c r="F1362" s="1868">
        <v>2.94232</v>
      </c>
      <c r="G1362" s="1868">
        <v>3.3001800000000001</v>
      </c>
      <c r="H1362" s="1868">
        <v>3.2711799999999998</v>
      </c>
      <c r="I1362" s="1868">
        <v>2.97119</v>
      </c>
      <c r="J1362" s="1868">
        <v>3.7863099999999998</v>
      </c>
      <c r="K1362" s="1868">
        <v>3.8488199999999999</v>
      </c>
      <c r="L1362" s="1868">
        <v>3.6864400000000002</v>
      </c>
      <c r="M1362" s="1868">
        <v>3.5395699999999999</v>
      </c>
      <c r="N1362" s="1868">
        <v>4.0718399999999999</v>
      </c>
      <c r="O1362" s="1868">
        <v>4.3226000000000004</v>
      </c>
      <c r="P1362" s="1868">
        <v>4.4356400000000002</v>
      </c>
      <c r="Q1362" s="1868">
        <v>4.6244100000000001</v>
      </c>
      <c r="R1362" s="1868">
        <v>4.0227900000000005</v>
      </c>
      <c r="S1362" s="1868">
        <v>3.8999000000000001</v>
      </c>
      <c r="T1362" s="1868">
        <v>4.2588999999999997</v>
      </c>
      <c r="U1362" s="1868">
        <v>4.9776999999999996</v>
      </c>
      <c r="V1362" s="1868">
        <v>4.7525699999999995</v>
      </c>
      <c r="W1362" s="1868">
        <v>5.0137099999999997</v>
      </c>
      <c r="X1362" s="1868">
        <v>4.9593800000000003</v>
      </c>
      <c r="Y1362" s="1868">
        <v>5.2486100000000002</v>
      </c>
      <c r="Z1362" s="1868">
        <v>5.16371</v>
      </c>
      <c r="AA1362" s="1868">
        <v>6.2741699999999998</v>
      </c>
      <c r="AB1362" s="1868">
        <v>5.9164000000000003</v>
      </c>
      <c r="AC1362" s="1868">
        <v>5.66249</v>
      </c>
      <c r="AD1362" s="1868">
        <v>5.5984400000000001</v>
      </c>
      <c r="AE1362" s="1868">
        <v>6.1686199999999998</v>
      </c>
      <c r="AF1362" s="1868">
        <v>6.1283400000000006</v>
      </c>
      <c r="AG1362" s="1868">
        <v>6.3687399999999998</v>
      </c>
      <c r="AH1362" s="1868">
        <v>6.6600800000000007</v>
      </c>
      <c r="AI1362" s="1868">
        <v>6.2617500000000001</v>
      </c>
      <c r="AJ1362" s="1868">
        <v>6.4858699999999994</v>
      </c>
      <c r="AK1362" s="1868">
        <v>6.6791399999999994</v>
      </c>
      <c r="AL1362" s="1868">
        <v>6.6298300000000001</v>
      </c>
      <c r="AM1362" s="1868">
        <v>7.1915899999999997</v>
      </c>
      <c r="AN1362" s="1868">
        <v>6.8313499999999996</v>
      </c>
      <c r="AO1362" s="1868">
        <v>7.4041800000000002</v>
      </c>
      <c r="AP1362" s="1868">
        <v>7.2909800000000002</v>
      </c>
      <c r="AQ1362" s="1868">
        <v>7.110710000000001</v>
      </c>
      <c r="AR1362" s="1868">
        <v>7.0477699999999999</v>
      </c>
      <c r="AS1362" s="1868">
        <v>7.1901199999999994</v>
      </c>
      <c r="AT1362" s="1868">
        <v>6.3542699999999996</v>
      </c>
      <c r="AU1362" s="1868">
        <v>7.76675</v>
      </c>
      <c r="AV1362" s="1868">
        <v>7.1313000000000004</v>
      </c>
      <c r="AW1362" s="1868">
        <v>6.8896300000000004</v>
      </c>
      <c r="AX1362" s="1868">
        <v>6.4874099999999997</v>
      </c>
      <c r="AY1362" s="1868">
        <v>7.4444999999999997</v>
      </c>
      <c r="AZ1362" s="1868">
        <v>7.54908</v>
      </c>
      <c r="BA1362" s="1868">
        <v>7.125560000000001</v>
      </c>
    </row>
    <row r="1363" spans="1:53">
      <c r="A1363" s="1865" t="str">
        <f t="shared" si="21"/>
        <v>Western EuropeCereals (Rice Milled Eqv</v>
      </c>
      <c r="B1363" s="1866" t="s">
        <v>306</v>
      </c>
      <c r="C1363" s="1866" t="s">
        <v>1410</v>
      </c>
      <c r="D1363" s="1868">
        <v>2.4234</v>
      </c>
      <c r="E1363" s="1868">
        <v>2.8751799999999998</v>
      </c>
      <c r="F1363" s="1868">
        <v>2.8810099999999998</v>
      </c>
      <c r="G1363" s="1868">
        <v>3.0133099999999997</v>
      </c>
      <c r="H1363" s="1868">
        <v>3.0054599999999998</v>
      </c>
      <c r="I1363" s="1868">
        <v>2.9154800000000001</v>
      </c>
      <c r="J1363" s="1868">
        <v>3.5060099999999998</v>
      </c>
      <c r="K1363" s="1868">
        <v>3.5975800000000002</v>
      </c>
      <c r="L1363" s="1868">
        <v>3.5137900000000002</v>
      </c>
      <c r="M1363" s="1868">
        <v>3.29671</v>
      </c>
      <c r="N1363" s="1868">
        <v>3.8494900000000003</v>
      </c>
      <c r="O1363" s="1868">
        <v>3.9697400000000003</v>
      </c>
      <c r="P1363" s="1868">
        <v>4.1757599999999995</v>
      </c>
      <c r="Q1363" s="1868">
        <v>4.2057400000000005</v>
      </c>
      <c r="R1363" s="1868">
        <v>3.7806000000000002</v>
      </c>
      <c r="S1363" s="1868">
        <v>3.5434900000000003</v>
      </c>
      <c r="T1363" s="1868">
        <v>3.9955400000000001</v>
      </c>
      <c r="U1363" s="1868">
        <v>4.5001699999999998</v>
      </c>
      <c r="V1363" s="1868">
        <v>4.3332199999999998</v>
      </c>
      <c r="W1363" s="1868">
        <v>4.5919800000000004</v>
      </c>
      <c r="X1363" s="1868">
        <v>4.4933699999999996</v>
      </c>
      <c r="Y1363" s="1868">
        <v>4.8532599999999997</v>
      </c>
      <c r="Z1363" s="1868">
        <v>4.7159599999999999</v>
      </c>
      <c r="AA1363" s="1868">
        <v>5.5783199999999997</v>
      </c>
      <c r="AB1363" s="1868">
        <v>5.4580299999999999</v>
      </c>
      <c r="AC1363" s="1868">
        <v>5.2242300000000004</v>
      </c>
      <c r="AD1363" s="1868">
        <v>5.3399700000000001</v>
      </c>
      <c r="AE1363" s="1868">
        <v>5.6976199999999997</v>
      </c>
      <c r="AF1363" s="1868">
        <v>5.7241999999999997</v>
      </c>
      <c r="AG1363" s="1868">
        <v>5.7919400000000003</v>
      </c>
      <c r="AH1363" s="1868">
        <v>6.2699199999999999</v>
      </c>
      <c r="AI1363" s="1868">
        <v>5.9910199999999998</v>
      </c>
      <c r="AJ1363" s="1868">
        <v>6.1524599999999996</v>
      </c>
      <c r="AK1363" s="1868">
        <v>6.20512</v>
      </c>
      <c r="AL1363" s="1868">
        <v>6.28749</v>
      </c>
      <c r="AM1363" s="1868">
        <v>6.7161800000000005</v>
      </c>
      <c r="AN1363" s="1868">
        <v>6.6890199999999993</v>
      </c>
      <c r="AO1363" s="1868">
        <v>6.8909699999999994</v>
      </c>
      <c r="AP1363" s="1868">
        <v>6.9808000000000003</v>
      </c>
      <c r="AQ1363" s="1868">
        <v>6.8517100000000006</v>
      </c>
      <c r="AR1363" s="1868">
        <v>6.8444600000000007</v>
      </c>
      <c r="AS1363" s="1868">
        <v>6.9188700000000001</v>
      </c>
      <c r="AT1363" s="1868">
        <v>6.01241</v>
      </c>
      <c r="AU1363" s="1868">
        <v>7.4661100000000005</v>
      </c>
      <c r="AV1363" s="1868">
        <v>6.8862800000000002</v>
      </c>
      <c r="AW1363" s="1868">
        <v>6.6793300000000002</v>
      </c>
      <c r="AX1363" s="1868">
        <v>6.4184599999999996</v>
      </c>
      <c r="AY1363" s="1868">
        <v>7.2351300000000007</v>
      </c>
      <c r="AZ1363" s="1868">
        <v>7.3460700000000001</v>
      </c>
      <c r="BA1363" s="1868">
        <v>6.8975899999999992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D63"/>
  <sheetViews>
    <sheetView workbookViewId="0">
      <selection activeCell="G54" sqref="G54"/>
    </sheetView>
  </sheetViews>
  <sheetFormatPr baseColWidth="10" defaultColWidth="11.5546875" defaultRowHeight="13.2"/>
  <cols>
    <col min="1" max="16384" width="11.5546875" style="1866"/>
  </cols>
  <sheetData>
    <row r="1" spans="1:4">
      <c r="A1" s="2826" t="s">
        <v>335</v>
      </c>
      <c r="B1" s="2827"/>
      <c r="C1" s="1869" t="s">
        <v>1333</v>
      </c>
    </row>
    <row r="2" spans="1:4">
      <c r="A2" s="2827" t="str">
        <f>IF(Nlang=1,'Name translation'!A165,VLOOKUP('Name translation'!A165,'Name translation'!$A$1:$H$350,Nlang+1,))</f>
        <v>?</v>
      </c>
      <c r="B2" s="2827" t="str">
        <f>'Name translation'!A165</f>
        <v>?</v>
      </c>
      <c r="C2" s="2825" t="str">
        <f>IF(Nlang=1,'Name translation'!A195,VLOOKUP('Name translation'!A195,'Name translation'!$A$1:$H$350,Nlang+1,))</f>
        <v>?</v>
      </c>
      <c r="D2" s="1866" t="str">
        <f>'Name translation'!A195</f>
        <v>?</v>
      </c>
    </row>
    <row r="3" spans="1:4">
      <c r="A3" s="2827" t="str">
        <f>IF(Nlang=1,'Name translation'!A166,VLOOKUP('Name translation'!A166,'Name translation'!$A$1:$H$350,Nlang+1,))</f>
        <v>Africa</v>
      </c>
      <c r="B3" s="2827" t="str">
        <f>'Name translation'!A166</f>
        <v>Africa</v>
      </c>
      <c r="C3" s="2825" t="str">
        <f>IF(Nlang=1,'Name translation'!A196,VLOOKUP('Name translation'!A196,'Name translation'!$A$1:$H$350,Nlang+1,))</f>
        <v>Bananas</v>
      </c>
      <c r="D3" s="1971" t="str">
        <f>'Name translation'!A196</f>
        <v>Bananas</v>
      </c>
    </row>
    <row r="4" spans="1:4">
      <c r="A4" s="2827" t="str">
        <f>IF(Nlang=1,'Name translation'!A167,VLOOKUP('Name translation'!A167,'Name translation'!$A$1:$H$350,Nlang+1,))</f>
        <v>Americas</v>
      </c>
      <c r="B4" s="2827" t="str">
        <f>'Name translation'!A167</f>
        <v>Americas</v>
      </c>
      <c r="C4" s="2825" t="str">
        <f>IF(Nlang=1,'Name translation'!A197,VLOOKUP('Name translation'!A197,'Name translation'!$A$1:$H$350,Nlang+1,))</f>
        <v>Barley</v>
      </c>
      <c r="D4" s="1971" t="str">
        <f>'Name translation'!A197</f>
        <v>Barley</v>
      </c>
    </row>
    <row r="5" spans="1:4">
      <c r="A5" s="2827" t="str">
        <f>IF(Nlang=1,'Name translation'!A168,VLOOKUP('Name translation'!A168,'Name translation'!$A$1:$H$350,Nlang+1,))</f>
        <v>Asia</v>
      </c>
      <c r="B5" s="2827" t="str">
        <f>'Name translation'!A168</f>
        <v>Asia</v>
      </c>
      <c r="C5" s="2825" t="str">
        <f>IF(Nlang=1,'Name translation'!A198,VLOOKUP('Name translation'!A198,'Name translation'!$A$1:$H$350,Nlang+1,))</f>
        <v>Beans, dry</v>
      </c>
      <c r="D5" s="1971" t="str">
        <f>'Name translation'!A198</f>
        <v>Beans, dry</v>
      </c>
    </row>
    <row r="6" spans="1:4">
      <c r="A6" s="2827" t="str">
        <f>IF(Nlang=1,'Name translation'!A169,VLOOKUP('Name translation'!A169,'Name translation'!$A$1:$H$350,Nlang+1,))</f>
        <v>Australia &amp; New Zealand</v>
      </c>
      <c r="B6" s="2827" t="str">
        <f>'Name translation'!A169</f>
        <v>Australia &amp; New Zealand</v>
      </c>
      <c r="C6" s="2825" t="str">
        <f>IF(Nlang=1,'Name translation'!A199,VLOOKUP('Name translation'!A199,'Name translation'!$A$1:$H$350,Nlang+1,))</f>
        <v>Beans, green</v>
      </c>
      <c r="D6" s="1971" t="str">
        <f>'Name translation'!A199</f>
        <v>Beans, green</v>
      </c>
    </row>
    <row r="7" spans="1:4">
      <c r="A7" s="2827" t="str">
        <f>IF(Nlang=1,'Name translation'!A170,VLOOKUP('Name translation'!A170,'Name translation'!$A$1:$H$350,Nlang+1,))</f>
        <v>Caribbean</v>
      </c>
      <c r="B7" s="2827" t="str">
        <f>'Name translation'!A170</f>
        <v>Caribbean</v>
      </c>
      <c r="C7" s="2825" t="str">
        <f>IF(Nlang=1,'Name translation'!A200,VLOOKUP('Name translation'!A200,'Name translation'!$A$1:$H$350,Nlang+1,))</f>
        <v>Carrots and turnips</v>
      </c>
      <c r="D7" s="1971" t="str">
        <f>'Name translation'!A200</f>
        <v>Carrots and turnips</v>
      </c>
    </row>
    <row r="8" spans="1:4">
      <c r="A8" s="2827" t="str">
        <f>IF(Nlang=1,'Name translation'!A171,VLOOKUP('Name translation'!A171,'Name translation'!$A$1:$H$350,Nlang+1,))</f>
        <v>Central America</v>
      </c>
      <c r="B8" s="2827" t="str">
        <f>'Name translation'!A171</f>
        <v>Central America</v>
      </c>
      <c r="C8" s="2825" t="str">
        <f>IF(Nlang=1,'Name translation'!A201,VLOOKUP('Name translation'!A201,'Name translation'!$A$1:$H$350,Nlang+1,))</f>
        <v>Cashew nuts, with shell</v>
      </c>
      <c r="D8" s="1971" t="str">
        <f>'Name translation'!A201</f>
        <v>Cashew nuts, with shell</v>
      </c>
    </row>
    <row r="9" spans="1:4">
      <c r="A9" s="2827" t="str">
        <f>IF(Nlang=1,'Name translation'!A172,VLOOKUP('Name translation'!A172,'Name translation'!$A$1:$H$350,Nlang+1,))</f>
        <v>Central Asia</v>
      </c>
      <c r="B9" s="2827" t="str">
        <f>'Name translation'!A172</f>
        <v>Central Asia</v>
      </c>
      <c r="C9" s="2825" t="str">
        <f>IF(Nlang=1,'Name translation'!A202,VLOOKUP('Name translation'!A202,'Name translation'!$A$1:$H$350,Nlang+1,))</f>
        <v>Cassava</v>
      </c>
      <c r="D9" s="1971" t="str">
        <f>'Name translation'!A202</f>
        <v>Cassava</v>
      </c>
    </row>
    <row r="10" spans="1:4">
      <c r="A10" s="2827" t="str">
        <f>IF(Nlang=1,'Name translation'!A173,VLOOKUP('Name translation'!A173,'Name translation'!$A$1:$H$350,Nlang+1,))</f>
        <v>Eastern Africa</v>
      </c>
      <c r="B10" s="2827" t="str">
        <f>'Name translation'!A173</f>
        <v>Eastern Africa</v>
      </c>
      <c r="C10" s="2825" t="str">
        <f>IF(Nlang=1,'Name translation'!A203,VLOOKUP('Name translation'!A203,'Name translation'!$A$1:$H$350,Nlang+1,))</f>
        <v>Cauliflowers and broccoli</v>
      </c>
      <c r="D10" s="1971" t="str">
        <f>'Name translation'!A203</f>
        <v>Cauliflowers and broccoli</v>
      </c>
    </row>
    <row r="11" spans="1:4">
      <c r="A11" s="2827" t="str">
        <f>IF(Nlang=1,'Name translation'!A174,VLOOKUP('Name translation'!A174,'Name translation'!$A$1:$H$350,Nlang+1,))</f>
        <v>Eastern Asia</v>
      </c>
      <c r="B11" s="2827" t="str">
        <f>'Name translation'!A174</f>
        <v>Eastern Asia</v>
      </c>
      <c r="C11" s="2825" t="str">
        <f>IF(Nlang=1,'Name translation'!A204,VLOOKUP('Name translation'!A204,'Name translation'!$A$1:$H$350,Nlang+1,))</f>
        <v>Cereals (Rice Milled Eqv)</v>
      </c>
      <c r="D11" s="1971" t="str">
        <f>'Name translation'!A204</f>
        <v>Cereals (Rice Milled Eqv)</v>
      </c>
    </row>
    <row r="12" spans="1:4">
      <c r="A12" s="2827" t="str">
        <f>IF(Nlang=1,'Name translation'!A175,VLOOKUP('Name translation'!A175,'Name translation'!$A$1:$H$350,Nlang+1,))</f>
        <v>Eastern Europe</v>
      </c>
      <c r="B12" s="2827" t="str">
        <f>'Name translation'!A175</f>
        <v>Eastern Europe</v>
      </c>
      <c r="C12" s="2825" t="str">
        <f>IF(Nlang=1,'Name translation'!A205,VLOOKUP('Name translation'!A205,'Name translation'!$A$1:$H$350,Nlang+1,))</f>
        <v>Cereals, nes</v>
      </c>
      <c r="D12" s="1971" t="str">
        <f>'Name translation'!A205</f>
        <v>Cereals, nes</v>
      </c>
    </row>
    <row r="13" spans="1:4">
      <c r="A13" s="2827" t="str">
        <f>IF(Nlang=1,'Name translation'!A176,VLOOKUP('Name translation'!A176,'Name translation'!$A$1:$H$350,Nlang+1,))</f>
        <v>Europe</v>
      </c>
      <c r="B13" s="2827" t="str">
        <f>'Name translation'!A176</f>
        <v>Europe</v>
      </c>
      <c r="C13" s="2825" t="str">
        <f>IF(Nlang=1,'Name translation'!A206,VLOOKUP('Name translation'!A206,'Name translation'!$A$1:$H$350,Nlang+1,))</f>
        <v>Chestnuts</v>
      </c>
      <c r="D13" s="1971" t="str">
        <f>'Name translation'!A206</f>
        <v>Chestnuts</v>
      </c>
    </row>
    <row r="14" spans="1:4">
      <c r="A14" s="2827" t="str">
        <f>IF(Nlang=1,'Name translation'!A177,VLOOKUP('Name translation'!A177,'Name translation'!$A$1:$H$350,Nlang+1,))</f>
        <v>European Union</v>
      </c>
      <c r="B14" s="2827" t="str">
        <f>'Name translation'!A177</f>
        <v>European Union</v>
      </c>
      <c r="C14" s="2825" t="str">
        <f>IF(Nlang=1,'Name translation'!A207,VLOOKUP('Name translation'!A207,'Name translation'!$A$1:$H$350,Nlang+1,))</f>
        <v>Citrus fruit, nes</v>
      </c>
      <c r="D14" s="1971" t="str">
        <f>'Name translation'!A207</f>
        <v>Citrus fruit, nes</v>
      </c>
    </row>
    <row r="15" spans="1:4">
      <c r="A15" s="2827" t="str">
        <f>IF(Nlang=1,'Name translation'!A178,VLOOKUP('Name translation'!A178,'Name translation'!$A$1:$H$350,Nlang+1,))</f>
        <v>Melanesia</v>
      </c>
      <c r="B15" s="2827" t="str">
        <f>'Name translation'!A178</f>
        <v>Melanesia</v>
      </c>
      <c r="C15" s="2825" t="str">
        <f>IF(Nlang=1,'Name translation'!A208,VLOOKUP('Name translation'!A208,'Name translation'!$A$1:$H$350,Nlang+1,))</f>
        <v>Coffee, green</v>
      </c>
      <c r="D15" s="1971" t="str">
        <f>'Name translation'!A208</f>
        <v>Coffee, green</v>
      </c>
    </row>
    <row r="16" spans="1:4">
      <c r="A16" s="2827" t="str">
        <f>IF(Nlang=1,'Name translation'!A179,VLOOKUP('Name translation'!A179,'Name translation'!$A$1:$H$350,Nlang+1,))</f>
        <v>Micronesia</v>
      </c>
      <c r="B16" s="2827" t="str">
        <f>'Name translation'!A179</f>
        <v>Micronesia</v>
      </c>
      <c r="C16" s="2825" t="str">
        <f>IF(Nlang=1,'Name translation'!A209,VLOOKUP('Name translation'!A209,'Name translation'!$A$1:$H$350,Nlang+1,))</f>
        <v>Cow peas, dry</v>
      </c>
      <c r="D16" s="1971" t="str">
        <f>'Name translation'!A209</f>
        <v>Cow peas, dry</v>
      </c>
    </row>
    <row r="17" spans="1:4">
      <c r="A17" s="2827" t="str">
        <f>IF(Nlang=1,'Name translation'!A180,VLOOKUP('Name translation'!A180,'Name translation'!$A$1:$H$350,Nlang+1,))</f>
        <v>Middle Africa</v>
      </c>
      <c r="B17" s="2827" t="str">
        <f>'Name translation'!A180</f>
        <v>Middle Africa</v>
      </c>
      <c r="C17" s="2825" t="str">
        <f>IF(Nlang=1,'Name translation'!A210,VLOOKUP('Name translation'!A210,'Name translation'!$A$1:$H$350,Nlang+1,))</f>
        <v>Dates</v>
      </c>
      <c r="D17" s="1971" t="str">
        <f>'Name translation'!A210</f>
        <v>Dates</v>
      </c>
    </row>
    <row r="18" spans="1:4">
      <c r="A18" s="2827" t="str">
        <f>IF(Nlang=1,'Name translation'!A181,VLOOKUP('Name translation'!A181,'Name translation'!$A$1:$H$350,Nlang+1,))</f>
        <v>Northern Africa</v>
      </c>
      <c r="B18" s="2827" t="str">
        <f>'Name translation'!A181</f>
        <v>Northern Africa</v>
      </c>
      <c r="C18" s="2825" t="str">
        <f>IF(Nlang=1,'Name translation'!A211,VLOOKUP('Name translation'!A211,'Name translation'!$A$1:$H$350,Nlang+1,))</f>
        <v>Eggplants (aubergines)</v>
      </c>
      <c r="D18" s="1971" t="str">
        <f>'Name translation'!A211</f>
        <v>Eggplants (aubergines)</v>
      </c>
    </row>
    <row r="19" spans="1:4">
      <c r="A19" s="2827" t="str">
        <f>IF(Nlang=1,'Name translation'!A182,VLOOKUP('Name translation'!A182,'Name translation'!$A$1:$H$350,Nlang+1,))</f>
        <v>Northern America</v>
      </c>
      <c r="B19" s="2827" t="str">
        <f>'Name translation'!A182</f>
        <v>Northern America</v>
      </c>
      <c r="C19" s="2825" t="str">
        <f>IF(Nlang=1,'Name translation'!A212,VLOOKUP('Name translation'!A212,'Name translation'!$A$1:$H$350,Nlang+1,))</f>
        <v>Fibre Crops Nes</v>
      </c>
      <c r="D19" s="1971" t="str">
        <f>'Name translation'!A212</f>
        <v>Fibre Crops Nes</v>
      </c>
    </row>
    <row r="20" spans="1:4">
      <c r="A20" s="2827" t="str">
        <f>IF(Nlang=1,'Name translation'!A183,VLOOKUP('Name translation'!A183,'Name translation'!$A$1:$H$350,Nlang+1,))</f>
        <v>Northern Europe</v>
      </c>
      <c r="B20" s="2827" t="str">
        <f>'Name translation'!A183</f>
        <v>Northern Europe</v>
      </c>
      <c r="C20" s="2825" t="str">
        <f>IF(Nlang=1,'Name translation'!A213,VLOOKUP('Name translation'!A213,'Name translation'!$A$1:$H$350,Nlang+1,))</f>
        <v>Grapefruit (inc. pomelos)</v>
      </c>
      <c r="D20" s="1971" t="str">
        <f>'Name translation'!A213</f>
        <v>Grapefruit (inc. pomelos)</v>
      </c>
    </row>
    <row r="21" spans="1:4">
      <c r="A21" s="2827" t="str">
        <f>IF(Nlang=1,'Name translation'!A184,VLOOKUP('Name translation'!A184,'Name translation'!$A$1:$H$350,Nlang+1,))</f>
        <v>Oceania</v>
      </c>
      <c r="B21" s="2827" t="str">
        <f>'Name translation'!A184</f>
        <v>Oceania</v>
      </c>
      <c r="C21" s="2825" t="str">
        <f>IF(Nlang=1,'Name translation'!A214,VLOOKUP('Name translation'!A214,'Name translation'!$A$1:$H$350,Nlang+1,))</f>
        <v>Grapes</v>
      </c>
      <c r="D21" s="1971" t="str">
        <f>'Name translation'!A214</f>
        <v>Grapes</v>
      </c>
    </row>
    <row r="22" spans="1:4">
      <c r="A22" s="2827" t="str">
        <f>IF(Nlang=1,'Name translation'!A185,VLOOKUP('Name translation'!A185,'Name translation'!$A$1:$H$350,Nlang+1,))</f>
        <v>Polynesia</v>
      </c>
      <c r="B22" s="2827" t="str">
        <f>'Name translation'!A185</f>
        <v>Polynesia</v>
      </c>
      <c r="C22" s="2825" t="str">
        <f>IF(Nlang=1,'Name translation'!A215,VLOOKUP('Name translation'!A215,'Name translation'!$A$1:$H$350,Nlang+1,))</f>
        <v>Groundnuts, with shell</v>
      </c>
      <c r="D22" s="1971" t="str">
        <f>'Name translation'!A215</f>
        <v>Groundnuts, with shell</v>
      </c>
    </row>
    <row r="23" spans="1:4">
      <c r="A23" s="2827" t="str">
        <f>IF(Nlang=1,'Name translation'!A186,VLOOKUP('Name translation'!A186,'Name translation'!$A$1:$H$350,Nlang+1,))</f>
        <v>South America</v>
      </c>
      <c r="B23" s="2827" t="str">
        <f>'Name translation'!A186</f>
        <v>South America</v>
      </c>
      <c r="C23" s="2825" t="str">
        <f>IF(Nlang=1,'Name translation'!A216,VLOOKUP('Name translation'!A216,'Name translation'!$A$1:$H$350,Nlang+1,))</f>
        <v>Leguminous vegetables, nes</v>
      </c>
      <c r="D23" s="1971" t="str">
        <f>'Name translation'!A216</f>
        <v>Leguminous vegetables, nes</v>
      </c>
    </row>
    <row r="24" spans="1:4">
      <c r="A24" s="2827" t="str">
        <f>IF(Nlang=1,'Name translation'!A187,VLOOKUP('Name translation'!A187,'Name translation'!$A$1:$H$350,Nlang+1,))</f>
        <v>South-Eastern Asia</v>
      </c>
      <c r="B24" s="2827" t="str">
        <f>'Name translation'!A187</f>
        <v>South-Eastern Asia</v>
      </c>
      <c r="C24" s="2825" t="str">
        <f>IF(Nlang=1,'Name translation'!A217,VLOOKUP('Name translation'!A217,'Name translation'!$A$1:$H$350,Nlang+1,))</f>
        <v>Linseed</v>
      </c>
      <c r="D24" s="1971" t="str">
        <f>'Name translation'!A217</f>
        <v>Linseed</v>
      </c>
    </row>
    <row r="25" spans="1:4">
      <c r="A25" s="2827" t="str">
        <f>IF(Nlang=1,'Name translation'!A188,VLOOKUP('Name translation'!A188,'Name translation'!$A$1:$H$350,Nlang+1,))</f>
        <v>Southern Africa</v>
      </c>
      <c r="B25" s="2827" t="str">
        <f>'Name translation'!A188</f>
        <v>Southern Africa</v>
      </c>
      <c r="C25" s="2825" t="str">
        <f>IF(Nlang=1,'Name translation'!A218,VLOOKUP('Name translation'!A218,'Name translation'!$A$1:$H$350,Nlang+1,))</f>
        <v>Maize</v>
      </c>
      <c r="D25" s="1971" t="str">
        <f>'Name translation'!A218</f>
        <v>Maize</v>
      </c>
    </row>
    <row r="26" spans="1:4">
      <c r="A26" s="2827" t="str">
        <f>IF(Nlang=1,'Name translation'!A189,VLOOKUP('Name translation'!A189,'Name translation'!$A$1:$H$350,Nlang+1,))</f>
        <v>Southern Asia</v>
      </c>
      <c r="B26" s="2827" t="str">
        <f>'Name translation'!A189</f>
        <v>Southern Asia</v>
      </c>
      <c r="C26" s="2825" t="str">
        <f>IF(Nlang=1,'Name translation'!A219,VLOOKUP('Name translation'!A219,'Name translation'!$A$1:$H$350,Nlang+1,))</f>
        <v>Maize, green</v>
      </c>
      <c r="D26" s="1971" t="str">
        <f>'Name translation'!A219</f>
        <v>Maize, green</v>
      </c>
    </row>
    <row r="27" spans="1:4">
      <c r="A27" s="2827" t="str">
        <f>IF(Nlang=1,'Name translation'!A190,VLOOKUP('Name translation'!A190,'Name translation'!$A$1:$H$350,Nlang+1,))</f>
        <v>Southern Europe</v>
      </c>
      <c r="B27" s="2827" t="str">
        <f>'Name translation'!A190</f>
        <v>Southern Europe</v>
      </c>
      <c r="C27" s="2825" t="str">
        <f>IF(Nlang=1,'Name translation'!A220,VLOOKUP('Name translation'!A220,'Name translation'!$A$1:$H$350,Nlang+1,))</f>
        <v>Mangoes, mangosteens, guavas</v>
      </c>
      <c r="D27" s="1971" t="str">
        <f>'Name translation'!A220</f>
        <v>Mangoes, mangosteens, guavas</v>
      </c>
    </row>
    <row r="28" spans="1:4">
      <c r="A28" s="2827" t="str">
        <f>IF(Nlang=1,'Name translation'!A191,VLOOKUP('Name translation'!A191,'Name translation'!$A$1:$H$350,Nlang+1,))</f>
        <v>Western Africa</v>
      </c>
      <c r="B28" s="2827" t="str">
        <f>'Name translation'!A191</f>
        <v>Western Africa</v>
      </c>
      <c r="C28" s="2825" t="str">
        <f>IF(Nlang=1,'Name translation'!A221,VLOOKUP('Name translation'!A221,'Name translation'!$A$1:$H$350,Nlang+1,))</f>
        <v>Maté</v>
      </c>
      <c r="D28" s="1971" t="str">
        <f>'Name translation'!A221</f>
        <v>Maté</v>
      </c>
    </row>
    <row r="29" spans="1:4">
      <c r="A29" s="2827" t="str">
        <f>IF(Nlang=1,'Name translation'!A192,VLOOKUP('Name translation'!A192,'Name translation'!$A$1:$H$350,Nlang+1,))</f>
        <v>Western Asia</v>
      </c>
      <c r="B29" s="2827" t="str">
        <f>'Name translation'!A192</f>
        <v>Western Asia</v>
      </c>
      <c r="C29" s="2825" t="str">
        <f>IF(Nlang=1,'Name translation'!A222,VLOOKUP('Name translation'!A222,'Name translation'!$A$1:$H$350,Nlang+1,))</f>
        <v>Millet</v>
      </c>
      <c r="D29" s="1971" t="str">
        <f>'Name translation'!A222</f>
        <v>Millet</v>
      </c>
    </row>
    <row r="30" spans="1:4">
      <c r="A30" s="2827" t="str">
        <f>IF(Nlang=1,'Name translation'!A193,VLOOKUP('Name translation'!A193,'Name translation'!$A$1:$H$350,Nlang+1,))</f>
        <v>Western Europe</v>
      </c>
      <c r="B30" s="2827" t="str">
        <f>'Name translation'!A193</f>
        <v>Western Europe</v>
      </c>
      <c r="C30" s="2825" t="str">
        <f>IF(Nlang=1,'Name translation'!A223,VLOOKUP('Name translation'!A223,'Name translation'!$A$1:$H$350,Nlang+1,))</f>
        <v>Oats</v>
      </c>
      <c r="D30" s="1971" t="str">
        <f>'Name translation'!A223</f>
        <v>Oats</v>
      </c>
    </row>
    <row r="31" spans="1:4">
      <c r="A31" s="2827" t="str">
        <f>IF(Nlang=1,'Name translation'!A194,VLOOKUP('Name translation'!A194,'Name translation'!$A$1:$H$350,Nlang+1,))</f>
        <v>World</v>
      </c>
      <c r="B31" s="2827" t="str">
        <f>'Name translation'!A194</f>
        <v>World</v>
      </c>
      <c r="C31" s="2825" t="str">
        <f>IF(Nlang=1,'Name translation'!A224,VLOOKUP('Name translation'!A224,'Name translation'!$A$1:$H$350,Nlang+1,))</f>
        <v>Oil palm fruit</v>
      </c>
      <c r="D31" s="1971" t="str">
        <f>'Name translation'!A224</f>
        <v>Oil palm fruit</v>
      </c>
    </row>
    <row r="32" spans="1:4">
      <c r="C32" s="2825" t="str">
        <f>IF(Nlang=1,'Name translation'!A225,VLOOKUP('Name translation'!A225,'Name translation'!$A$1:$H$350,Nlang+1,))</f>
        <v>Olives</v>
      </c>
      <c r="D32" s="1971" t="str">
        <f>'Name translation'!A225</f>
        <v>Olives</v>
      </c>
    </row>
    <row r="33" spans="3:4">
      <c r="C33" s="2825" t="str">
        <f>IF(Nlang=1,'Name translation'!A226,VLOOKUP('Name translation'!A226,'Name translation'!$A$1:$H$350,Nlang+1,))</f>
        <v>Onions, dry</v>
      </c>
      <c r="D33" s="1971" t="str">
        <f>'Name translation'!A226</f>
        <v>Onions, dry</v>
      </c>
    </row>
    <row r="34" spans="3:4">
      <c r="C34" s="2825" t="str">
        <f>IF(Nlang=1,'Name translation'!A227,VLOOKUP('Name translation'!A227,'Name translation'!$A$1:$H$350,Nlang+1,))</f>
        <v>Oranges</v>
      </c>
      <c r="D34" s="1971" t="str">
        <f>'Name translation'!A227</f>
        <v>Oranges</v>
      </c>
    </row>
    <row r="35" spans="3:4">
      <c r="C35" s="2825" t="str">
        <f>IF(Nlang=1,'Name translation'!A228,VLOOKUP('Name translation'!A228,'Name translation'!$A$1:$H$350,Nlang+1,))</f>
        <v>Peaches and nectarines</v>
      </c>
      <c r="D35" s="1971" t="str">
        <f>'Name translation'!A228</f>
        <v>Peaches and nectarines</v>
      </c>
    </row>
    <row r="36" spans="3:4">
      <c r="C36" s="2825" t="str">
        <f>IF(Nlang=1,'Name translation'!A229,VLOOKUP('Name translation'!A229,'Name translation'!$A$1:$H$350,Nlang+1,))</f>
        <v>Peas, dry</v>
      </c>
      <c r="D36" s="1971" t="str">
        <f>'Name translation'!A229</f>
        <v>Peas, dry</v>
      </c>
    </row>
    <row r="37" spans="3:4">
      <c r="C37" s="2825" t="str">
        <f>IF(Nlang=1,'Name translation'!A230,VLOOKUP('Name translation'!A230,'Name translation'!$A$1:$H$350,Nlang+1,))</f>
        <v>Peas, green</v>
      </c>
      <c r="D37" s="1971" t="str">
        <f>'Name translation'!A230</f>
        <v>Peas, green</v>
      </c>
    </row>
    <row r="38" spans="3:4">
      <c r="C38" s="2825" t="str">
        <f>IF(Nlang=1,'Name translation'!A231,VLOOKUP('Name translation'!A231,'Name translation'!$A$1:$H$350,Nlang+1,))</f>
        <v>Pineapples</v>
      </c>
      <c r="D38" s="1971" t="str">
        <f>'Name translation'!A231</f>
        <v>Pineapples</v>
      </c>
    </row>
    <row r="39" spans="3:4">
      <c r="C39" s="2825" t="str">
        <f>IF(Nlang=1,'Name translation'!A232,VLOOKUP('Name translation'!A232,'Name translation'!$A$1:$H$350,Nlang+1,))</f>
        <v>Plantains</v>
      </c>
      <c r="D39" s="1971" t="str">
        <f>'Name translation'!A232</f>
        <v>Plantains</v>
      </c>
    </row>
    <row r="40" spans="3:4">
      <c r="C40" s="2825" t="str">
        <f>IF(Nlang=1,'Name translation'!A233,VLOOKUP('Name translation'!A233,'Name translation'!$A$1:$H$350,Nlang+1,))</f>
        <v>Potatoes</v>
      </c>
      <c r="D40" s="1971" t="str">
        <f>'Name translation'!A233</f>
        <v>Potatoes</v>
      </c>
    </row>
    <row r="41" spans="3:4">
      <c r="C41" s="2825" t="str">
        <f>IF(Nlang=1,'Name translation'!A234,VLOOKUP('Name translation'!A234,'Name translation'!$A$1:$H$350,Nlang+1,))</f>
        <v>Pulses, nes</v>
      </c>
      <c r="D41" s="1971" t="str">
        <f>'Name translation'!A234</f>
        <v>Pulses, nes</v>
      </c>
    </row>
    <row r="42" spans="3:4">
      <c r="C42" s="2825" t="str">
        <f>IF(Nlang=1,'Name translation'!A235,VLOOKUP('Name translation'!A235,'Name translation'!$A$1:$H$350,Nlang+1,))</f>
        <v>Quinoa</v>
      </c>
      <c r="D42" s="1971" t="str">
        <f>'Name translation'!A235</f>
        <v>Quinoa</v>
      </c>
    </row>
    <row r="43" spans="3:4">
      <c r="C43" s="2825" t="str">
        <f>IF(Nlang=1,'Name translation'!A236,VLOOKUP('Name translation'!A236,'Name translation'!$A$1:$H$350,Nlang+1,))</f>
        <v>Rice, paddy</v>
      </c>
      <c r="D43" s="1971" t="str">
        <f>'Name translation'!A236</f>
        <v>Rice, paddy</v>
      </c>
    </row>
    <row r="44" spans="3:4">
      <c r="C44" s="2825" t="str">
        <f>IF(Nlang=1,'Name translation'!A237,VLOOKUP('Name translation'!A237,'Name translation'!$A$1:$H$350,Nlang+1,))</f>
        <v>Roots and Tubers, nes</v>
      </c>
      <c r="D44" s="1971" t="str">
        <f>'Name translation'!A237</f>
        <v>Roots and Tubers, nes</v>
      </c>
    </row>
    <row r="45" spans="3:4">
      <c r="C45" s="2825" t="str">
        <f>IF(Nlang=1,'Name translation'!A238,VLOOKUP('Name translation'!A238,'Name translation'!$A$1:$H$350,Nlang+1,))</f>
        <v>Rye</v>
      </c>
      <c r="D45" s="1971" t="str">
        <f>'Name translation'!A238</f>
        <v>Rye</v>
      </c>
    </row>
    <row r="46" spans="3:4">
      <c r="C46" s="2825" t="str">
        <f>IF(Nlang=1,'Name translation'!A239,VLOOKUP('Name translation'!A239,'Name translation'!$A$1:$H$350,Nlang+1,))</f>
        <v>Seed cotton</v>
      </c>
      <c r="D46" s="1971" t="str">
        <f>'Name translation'!A239</f>
        <v>Seed cotton</v>
      </c>
    </row>
    <row r="47" spans="3:4">
      <c r="C47" s="2825" t="str">
        <f>IF(Nlang=1,'Name translation'!A240,VLOOKUP('Name translation'!A240,'Name translation'!$A$1:$H$350,Nlang+1,))</f>
        <v>Sesame seed</v>
      </c>
      <c r="D47" s="1971" t="str">
        <f>'Name translation'!A240</f>
        <v>Sesame seed</v>
      </c>
    </row>
    <row r="48" spans="3:4">
      <c r="C48" s="2825" t="str">
        <f>IF(Nlang=1,'Name translation'!A241,VLOOKUP('Name translation'!A241,'Name translation'!$A$1:$H$350,Nlang+1,))</f>
        <v>Sisal</v>
      </c>
      <c r="D48" s="1971" t="str">
        <f>'Name translation'!A241</f>
        <v>Sisal</v>
      </c>
    </row>
    <row r="49" spans="3:4">
      <c r="C49" s="2825" t="str">
        <f>IF(Nlang=1,'Name translation'!A242,VLOOKUP('Name translation'!A242,'Name translation'!$A$1:$H$350,Nlang+1,))</f>
        <v>Sorghum</v>
      </c>
      <c r="D49" s="1971" t="str">
        <f>'Name translation'!A242</f>
        <v>Sorghum</v>
      </c>
    </row>
    <row r="50" spans="3:4">
      <c r="C50" s="2825" t="str">
        <f>IF(Nlang=1,'Name translation'!A243,VLOOKUP('Name translation'!A243,'Name translation'!$A$1:$H$350,Nlang+1,))</f>
        <v>Soybeans</v>
      </c>
      <c r="D50" s="1971" t="str">
        <f>'Name translation'!A243</f>
        <v>Soybeans</v>
      </c>
    </row>
    <row r="51" spans="3:4">
      <c r="C51" s="2825" t="str">
        <f>IF(Nlang=1,'Name translation'!A244,VLOOKUP('Name translation'!A244,'Name translation'!$A$1:$H$350,Nlang+1,))</f>
        <v>Strawberries</v>
      </c>
      <c r="D51" s="1971" t="str">
        <f>'Name translation'!A244</f>
        <v>Strawberries</v>
      </c>
    </row>
    <row r="52" spans="3:4">
      <c r="C52" s="2825" t="str">
        <f>IF(Nlang=1,'Name translation'!A245,VLOOKUP('Name translation'!A245,'Name translation'!$A$1:$H$350,Nlang+1,))</f>
        <v>Sugar beet</v>
      </c>
      <c r="D52" s="1971" t="str">
        <f>'Name translation'!A245</f>
        <v>Sugar beet</v>
      </c>
    </row>
    <row r="53" spans="3:4">
      <c r="C53" s="2825" t="str">
        <f>IF(Nlang=1,'Name translation'!A246,VLOOKUP('Name translation'!A246,'Name translation'!$A$1:$H$350,Nlang+1,))</f>
        <v>Sugar cane</v>
      </c>
      <c r="D53" s="1971" t="str">
        <f>'Name translation'!A246</f>
        <v>Sugar cane</v>
      </c>
    </row>
    <row r="54" spans="3:4">
      <c r="C54" s="2825" t="str">
        <f>IF(Nlang=1,'Name translation'!A247,VLOOKUP('Name translation'!A247,'Name translation'!$A$1:$H$350,Nlang+1,))</f>
        <v>Sunflower seed</v>
      </c>
      <c r="D54" s="1971" t="str">
        <f>'Name translation'!A247</f>
        <v>Sunflower seed</v>
      </c>
    </row>
    <row r="55" spans="3:4">
      <c r="C55" s="2825" t="str">
        <f>IF(Nlang=1,'Name translation'!A248,VLOOKUP('Name translation'!A248,'Name translation'!$A$1:$H$350,Nlang+1,))</f>
        <v>Sweet potatoes</v>
      </c>
      <c r="D55" s="1971" t="str">
        <f>'Name translation'!A248</f>
        <v>Sweet potatoes</v>
      </c>
    </row>
    <row r="56" spans="3:4">
      <c r="C56" s="2825" t="str">
        <f>IF(Nlang=1,'Name translation'!A249,VLOOKUP('Name translation'!A249,'Name translation'!$A$1:$H$350,Nlang+1,))</f>
        <v>Tangerines, mandarins, clem.</v>
      </c>
      <c r="D56" s="1971" t="str">
        <f>'Name translation'!A249</f>
        <v>Tangerines, mandarins, clem.</v>
      </c>
    </row>
    <row r="57" spans="3:4">
      <c r="C57" s="2825" t="str">
        <f>IF(Nlang=1,'Name translation'!A250,VLOOKUP('Name translation'!A250,'Name translation'!$A$1:$H$350,Nlang+1,))</f>
        <v>Tea</v>
      </c>
      <c r="D57" s="1971" t="str">
        <f>'Name translation'!A250</f>
        <v>Tea</v>
      </c>
    </row>
    <row r="58" spans="3:4">
      <c r="C58" s="2825" t="str">
        <f>IF(Nlang=1,'Name translation'!A251,VLOOKUP('Name translation'!A251,'Name translation'!$A$1:$H$350,Nlang+1,))</f>
        <v>Tobacco, unmanufactured</v>
      </c>
      <c r="D58" s="1971" t="str">
        <f>'Name translation'!A251</f>
        <v>Tobacco, unmanufactured</v>
      </c>
    </row>
    <row r="59" spans="3:4">
      <c r="C59" s="2825" t="str">
        <f>IF(Nlang=1,'Name translation'!A252,VLOOKUP('Name translation'!A252,'Name translation'!$A$1:$H$350,Nlang+1,))</f>
        <v>Tomatoes</v>
      </c>
      <c r="D59" s="1971" t="str">
        <f>'Name translation'!A252</f>
        <v>Tomatoes</v>
      </c>
    </row>
    <row r="60" spans="3:4">
      <c r="C60" s="2825" t="str">
        <f>IF(Nlang=1,'Name translation'!A253,VLOOKUP('Name translation'!A253,'Name translation'!$A$1:$H$350,Nlang+1,))</f>
        <v>Triticale</v>
      </c>
      <c r="D60" s="1971" t="str">
        <f>'Name translation'!A253</f>
        <v>Triticale</v>
      </c>
    </row>
    <row r="61" spans="3:4">
      <c r="C61" s="2825" t="str">
        <f>IF(Nlang=1,'Name translation'!A254,VLOOKUP('Name translation'!A254,'Name translation'!$A$1:$H$350,Nlang+1,))</f>
        <v>Vegetables fresh nes</v>
      </c>
      <c r="D61" s="1971" t="str">
        <f>'Name translation'!A254</f>
        <v>Vegetables fresh nes</v>
      </c>
    </row>
    <row r="62" spans="3:4">
      <c r="C62" s="2825" t="str">
        <f>IF(Nlang=1,'Name translation'!A255,VLOOKUP('Name translation'!A255,'Name translation'!$A$1:$H$350,Nlang+1,))</f>
        <v>Vetches</v>
      </c>
      <c r="D62" s="1971" t="str">
        <f>'Name translation'!A255</f>
        <v>Vetches</v>
      </c>
    </row>
    <row r="63" spans="3:4">
      <c r="C63" s="2825" t="str">
        <f>IF(Nlang=1,'Name translation'!A256,VLOOKUP('Name translation'!A256,'Name translation'!$A$1:$H$350,Nlang+1,))</f>
        <v>Wheat</v>
      </c>
      <c r="D63" s="1971" t="str">
        <f>'Name translation'!A256</f>
        <v>Wheat</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2"/>
  </sheetPr>
  <dimension ref="A1:I137"/>
  <sheetViews>
    <sheetView topLeftCell="A58" zoomScaleNormal="100" workbookViewId="0">
      <selection activeCell="F86" sqref="F86"/>
    </sheetView>
  </sheetViews>
  <sheetFormatPr baseColWidth="10" defaultColWidth="11.44140625" defaultRowHeight="13.2"/>
  <cols>
    <col min="1" max="1" width="32.88671875" customWidth="1"/>
    <col min="2" max="2" width="13.44140625" customWidth="1"/>
    <col min="3" max="3" width="21.88671875" bestFit="1" customWidth="1"/>
    <col min="6" max="6" width="10.5546875" customWidth="1"/>
  </cols>
  <sheetData>
    <row r="1" spans="1:9" s="1670" customFormat="1" ht="22.95" customHeight="1"/>
    <row r="2" spans="1:9" s="1670" customFormat="1" ht="22.95" customHeight="1"/>
    <row r="3" spans="1:9" s="1670" customFormat="1" ht="22.95" customHeight="1"/>
    <row r="4" spans="1:9" s="1670" customFormat="1" ht="22.95" customHeight="1"/>
    <row r="5" spans="1:9" s="1670" customFormat="1" ht="22.95" customHeight="1" thickBot="1">
      <c r="A5" s="1677" t="s">
        <v>572</v>
      </c>
    </row>
    <row r="6" spans="1:9">
      <c r="A6" s="963" t="s">
        <v>4</v>
      </c>
      <c r="C6" t="s">
        <v>1734</v>
      </c>
      <c r="D6" t="s">
        <v>1735</v>
      </c>
    </row>
    <row r="7" spans="1:9">
      <c r="A7" s="166" t="s">
        <v>302</v>
      </c>
      <c r="C7" t="str">
        <f>translations!B1</f>
        <v>English</v>
      </c>
      <c r="D7">
        <v>1</v>
      </c>
      <c r="I7" s="2640" t="s">
        <v>1647</v>
      </c>
    </row>
    <row r="8" spans="1:9">
      <c r="A8" s="166" t="s">
        <v>303</v>
      </c>
      <c r="C8" t="str">
        <f>translations!C1</f>
        <v>Français</v>
      </c>
      <c r="D8">
        <v>2</v>
      </c>
      <c r="I8" s="2640" t="s">
        <v>1648</v>
      </c>
    </row>
    <row r="9" spans="1:9">
      <c r="A9" s="166" t="s">
        <v>301</v>
      </c>
      <c r="C9" s="2078" t="str">
        <f>translations!D1</f>
        <v>Español</v>
      </c>
      <c r="D9">
        <v>3</v>
      </c>
      <c r="I9" s="2641" t="s">
        <v>1649</v>
      </c>
    </row>
    <row r="10" spans="1:9">
      <c r="A10" s="166" t="s">
        <v>304</v>
      </c>
      <c r="C10" s="2078" t="str">
        <f>translations!E1</f>
        <v>中文</v>
      </c>
      <c r="D10">
        <v>4</v>
      </c>
      <c r="I10" s="2641" t="str">
        <f>translations!E1</f>
        <v>中文</v>
      </c>
    </row>
    <row r="11" spans="1:9">
      <c r="A11" s="166" t="s">
        <v>305</v>
      </c>
      <c r="C11" s="2078" t="str">
        <f>translations!F1</f>
        <v>Русский</v>
      </c>
      <c r="D11">
        <v>5</v>
      </c>
      <c r="I11" s="2641" t="str">
        <f>translations!F1</f>
        <v>Русский</v>
      </c>
    </row>
    <row r="12" spans="1:9">
      <c r="A12" s="166" t="s">
        <v>306</v>
      </c>
      <c r="C12" s="2078" t="str">
        <f>translations!G1</f>
        <v>عربي</v>
      </c>
      <c r="D12">
        <v>6</v>
      </c>
      <c r="I12" s="2641" t="str">
        <f>C12</f>
        <v>عربي</v>
      </c>
    </row>
    <row r="13" spans="1:9">
      <c r="A13" s="166" t="s">
        <v>307</v>
      </c>
      <c r="C13" s="2078" t="str">
        <f>translations!H1</f>
        <v>Deutsch</v>
      </c>
      <c r="D13">
        <v>7</v>
      </c>
      <c r="I13" s="2644" t="s">
        <v>2551</v>
      </c>
    </row>
    <row r="14" spans="1:9">
      <c r="A14" s="166" t="s">
        <v>308</v>
      </c>
    </row>
    <row r="15" spans="1:9">
      <c r="A15" s="166" t="s">
        <v>309</v>
      </c>
      <c r="C15" t="s">
        <v>1736</v>
      </c>
      <c r="D15">
        <f>VLOOKUP(select,C6:D13,2,)</f>
        <v>1</v>
      </c>
    </row>
    <row r="16" spans="1:9">
      <c r="A16" s="166" t="s">
        <v>310</v>
      </c>
    </row>
    <row r="17" spans="1:7" ht="13.8" thickBot="1">
      <c r="A17" s="167" t="s">
        <v>311</v>
      </c>
    </row>
    <row r="18" spans="1:7" ht="13.8" thickBot="1">
      <c r="A18" s="993"/>
    </row>
    <row r="19" spans="1:7">
      <c r="A19" s="994" t="s">
        <v>8</v>
      </c>
      <c r="C19" s="2809" t="s">
        <v>298</v>
      </c>
      <c r="D19" s="2810"/>
      <c r="F19" s="2809" t="s">
        <v>2292</v>
      </c>
      <c r="G19" s="2810"/>
    </row>
    <row r="20" spans="1:7">
      <c r="A20" s="995" t="s">
        <v>4</v>
      </c>
      <c r="C20" s="2811" t="str">
        <f>A20</f>
        <v>Please select</v>
      </c>
      <c r="D20" s="2812"/>
      <c r="F20" s="2811" t="str">
        <f>C20</f>
        <v>Please select</v>
      </c>
      <c r="G20" s="2812"/>
    </row>
    <row r="21" spans="1:7">
      <c r="A21" s="996" t="s">
        <v>471</v>
      </c>
      <c r="C21" s="2811" t="s">
        <v>396</v>
      </c>
      <c r="D21" s="2812"/>
      <c r="F21" s="2811" t="s">
        <v>289</v>
      </c>
      <c r="G21" s="2812"/>
    </row>
    <row r="22" spans="1:7">
      <c r="A22" s="996" t="s">
        <v>472</v>
      </c>
      <c r="C22" s="2811" t="s">
        <v>290</v>
      </c>
      <c r="D22" s="2812"/>
      <c r="F22" s="2811" t="s">
        <v>291</v>
      </c>
      <c r="G22" s="2812"/>
    </row>
    <row r="23" spans="1:7" ht="13.8" thickBot="1">
      <c r="A23" s="996" t="s">
        <v>473</v>
      </c>
      <c r="C23" s="2811" t="s">
        <v>292</v>
      </c>
      <c r="D23" s="2812"/>
      <c r="F23" s="2813" t="s">
        <v>293</v>
      </c>
      <c r="G23" s="2814"/>
    </row>
    <row r="24" spans="1:7">
      <c r="A24" s="996" t="s">
        <v>474</v>
      </c>
      <c r="C24" s="2811" t="s">
        <v>294</v>
      </c>
      <c r="D24" s="2812"/>
    </row>
    <row r="25" spans="1:7" ht="13.8" thickBot="1">
      <c r="A25" s="996" t="s">
        <v>519</v>
      </c>
      <c r="C25" s="2813" t="s">
        <v>295</v>
      </c>
      <c r="D25" s="2814"/>
    </row>
    <row r="26" spans="1:7">
      <c r="A26" s="996" t="s">
        <v>520</v>
      </c>
    </row>
    <row r="27" spans="1:7" ht="13.8" thickBot="1">
      <c r="A27" s="997" t="s">
        <v>273</v>
      </c>
    </row>
    <row r="28" spans="1:7" ht="13.8" thickBot="1">
      <c r="A28" s="993"/>
    </row>
    <row r="29" spans="1:7">
      <c r="A29" s="24" t="s">
        <v>330</v>
      </c>
    </row>
    <row r="30" spans="1:7">
      <c r="A30" s="22" t="s">
        <v>6</v>
      </c>
    </row>
    <row r="31" spans="1:7">
      <c r="A31" s="22" t="s">
        <v>328</v>
      </c>
    </row>
    <row r="32" spans="1:7" ht="13.8" thickBot="1">
      <c r="A32" s="23" t="s">
        <v>329</v>
      </c>
    </row>
    <row r="33" spans="1:6" ht="13.8" thickBot="1"/>
    <row r="34" spans="1:6">
      <c r="A34" s="24" t="s">
        <v>391</v>
      </c>
      <c r="E34" s="209" t="s">
        <v>558</v>
      </c>
      <c r="F34" s="208"/>
    </row>
    <row r="35" spans="1:6">
      <c r="A35" s="22" t="s">
        <v>357</v>
      </c>
      <c r="D35" t="s">
        <v>1526</v>
      </c>
      <c r="E35" s="126" t="s">
        <v>357</v>
      </c>
      <c r="F35" s="31">
        <v>1</v>
      </c>
    </row>
    <row r="36" spans="1:6">
      <c r="A36" s="22" t="s">
        <v>356</v>
      </c>
      <c r="D36" t="s">
        <v>1527</v>
      </c>
      <c r="E36" s="126" t="s">
        <v>361</v>
      </c>
      <c r="F36" s="31">
        <v>0.78</v>
      </c>
    </row>
    <row r="37" spans="1:6" ht="13.8" thickBot="1">
      <c r="A37" s="23" t="s">
        <v>361</v>
      </c>
      <c r="D37" t="s">
        <v>1525</v>
      </c>
      <c r="E37" s="122" t="s">
        <v>356</v>
      </c>
      <c r="F37" s="125">
        <v>0.5</v>
      </c>
    </row>
    <row r="38" spans="1:6" ht="13.8" thickBot="1"/>
    <row r="39" spans="1:6">
      <c r="A39" s="2" t="s">
        <v>390</v>
      </c>
      <c r="B39" s="3"/>
      <c r="C39" s="3"/>
      <c r="D39" s="4"/>
    </row>
    <row r="40" spans="1:6">
      <c r="A40" s="7"/>
      <c r="B40" s="10" t="s">
        <v>1644</v>
      </c>
      <c r="C40" s="2630" t="s">
        <v>1645</v>
      </c>
      <c r="D40" s="2631" t="s">
        <v>1646</v>
      </c>
    </row>
    <row r="41" spans="1:6">
      <c r="A41" s="7" t="s">
        <v>336</v>
      </c>
      <c r="B41" s="10">
        <v>1</v>
      </c>
      <c r="C41" s="10">
        <v>1</v>
      </c>
      <c r="D41" s="168">
        <v>1</v>
      </c>
    </row>
    <row r="42" spans="1:6">
      <c r="A42" s="7" t="s">
        <v>337</v>
      </c>
      <c r="B42" s="10">
        <v>21</v>
      </c>
      <c r="C42" s="10">
        <v>25</v>
      </c>
      <c r="D42" s="168">
        <v>34</v>
      </c>
    </row>
    <row r="43" spans="1:6" ht="13.8" thickBot="1">
      <c r="A43" s="8" t="s">
        <v>338</v>
      </c>
      <c r="B43" s="169">
        <v>310</v>
      </c>
      <c r="C43" s="169">
        <v>298</v>
      </c>
      <c r="D43" s="170">
        <v>298</v>
      </c>
    </row>
    <row r="45" spans="1:6">
      <c r="A45" s="118" t="s">
        <v>571</v>
      </c>
      <c r="C45" s="1021" t="s">
        <v>19</v>
      </c>
    </row>
    <row r="46" spans="1:6">
      <c r="A46" s="171" t="s">
        <v>355</v>
      </c>
      <c r="C46" s="1019" t="s">
        <v>5</v>
      </c>
    </row>
    <row r="47" spans="1:6">
      <c r="A47" s="172" t="s">
        <v>359</v>
      </c>
      <c r="C47" s="1019" t="s">
        <v>20</v>
      </c>
    </row>
    <row r="48" spans="1:6" ht="13.8" thickBot="1">
      <c r="C48" s="1020" t="s">
        <v>21</v>
      </c>
    </row>
    <row r="49" spans="1:4" ht="13.8" thickBot="1">
      <c r="A49" s="998" t="s">
        <v>9</v>
      </c>
    </row>
    <row r="50" spans="1:4">
      <c r="A50" s="999" t="s">
        <v>1517</v>
      </c>
      <c r="C50" s="1273" t="s">
        <v>165</v>
      </c>
      <c r="D50" s="1274" t="s">
        <v>96</v>
      </c>
    </row>
    <row r="51" spans="1:4">
      <c r="A51" s="1000" t="s">
        <v>1301</v>
      </c>
      <c r="C51" s="1275" t="s">
        <v>214</v>
      </c>
      <c r="D51" s="1276">
        <v>0</v>
      </c>
    </row>
    <row r="52" spans="1:4">
      <c r="A52" s="1000" t="s">
        <v>1302</v>
      </c>
      <c r="C52" s="1275" t="s">
        <v>577</v>
      </c>
      <c r="D52" s="2375">
        <f>IF('5. Degradation'!R124="",'5. Degradation'!Q124,'5. Degradation'!R124)</f>
        <v>0</v>
      </c>
    </row>
    <row r="53" spans="1:4">
      <c r="A53" s="1000" t="s">
        <v>1303</v>
      </c>
      <c r="C53" s="1275" t="s">
        <v>171</v>
      </c>
      <c r="D53" s="2375">
        <f>IF('5. Degradation'!R125="",'5. Degradation'!Q125,'5. Degradation'!R125)</f>
        <v>10</v>
      </c>
    </row>
    <row r="54" spans="1:4">
      <c r="A54" s="1000" t="s">
        <v>1304</v>
      </c>
      <c r="C54" s="1275" t="s">
        <v>566</v>
      </c>
      <c r="D54" s="2375">
        <f>IF('5. Degradation'!R126="",'5. Degradation'!Q126,'5. Degradation'!R126)</f>
        <v>20</v>
      </c>
    </row>
    <row r="55" spans="1:4">
      <c r="A55" s="1000" t="s">
        <v>1305</v>
      </c>
      <c r="C55" s="1275" t="s">
        <v>166</v>
      </c>
      <c r="D55" s="2375">
        <f>IF('5. Degradation'!R127="",'5. Degradation'!Q127,'5. Degradation'!R127)</f>
        <v>40</v>
      </c>
    </row>
    <row r="56" spans="1:4">
      <c r="A56" s="1000" t="s">
        <v>1306</v>
      </c>
      <c r="C56" s="1275" t="s">
        <v>167</v>
      </c>
      <c r="D56" s="2375">
        <f>IF('5. Degradation'!R128="",'5. Degradation'!Q128,'5. Degradation'!R128)</f>
        <v>60</v>
      </c>
    </row>
    <row r="57" spans="1:4">
      <c r="A57" s="1000" t="s">
        <v>1307</v>
      </c>
      <c r="C57" s="1277" t="s">
        <v>168</v>
      </c>
      <c r="D57" s="2375">
        <f>IF('5. Degradation'!R129="",'5. Degradation'!Q129,'5. Degradation'!R129)</f>
        <v>80</v>
      </c>
    </row>
    <row r="58" spans="1:4">
      <c r="A58" s="1000" t="s">
        <v>1308</v>
      </c>
    </row>
    <row r="60" spans="1:4">
      <c r="A60" s="173" t="s">
        <v>570</v>
      </c>
      <c r="B60" s="174"/>
      <c r="D60" s="1932" t="s">
        <v>1632</v>
      </c>
    </row>
    <row r="61" spans="1:4">
      <c r="A61" s="1001" t="s">
        <v>13</v>
      </c>
      <c r="B61" s="95"/>
      <c r="D61" s="1932" t="s">
        <v>1633</v>
      </c>
    </row>
    <row r="62" spans="1:4">
      <c r="A62" s="175" t="s">
        <v>676</v>
      </c>
      <c r="B62" s="95"/>
      <c r="D62" s="1932" t="s">
        <v>1634</v>
      </c>
    </row>
    <row r="63" spans="1:4">
      <c r="A63" s="175" t="s">
        <v>673</v>
      </c>
      <c r="B63" s="95"/>
      <c r="D63" s="1932" t="s">
        <v>1635</v>
      </c>
    </row>
    <row r="64" spans="1:4">
      <c r="A64" s="2606" t="s">
        <v>1637</v>
      </c>
      <c r="B64" s="95"/>
      <c r="D64" s="1932" t="s">
        <v>1636</v>
      </c>
    </row>
    <row r="65" spans="1:2">
      <c r="A65" s="175" t="s">
        <v>675</v>
      </c>
      <c r="B65" s="95"/>
    </row>
    <row r="66" spans="1:2">
      <c r="A66" s="175" t="s">
        <v>334</v>
      </c>
      <c r="B66" s="95"/>
    </row>
    <row r="67" spans="1:2">
      <c r="A67" s="175" t="s">
        <v>1207</v>
      </c>
      <c r="B67" s="95"/>
    </row>
    <row r="68" spans="1:2">
      <c r="A68" s="175" t="str">
        <f>A136</f>
        <v>Other (nominal)</v>
      </c>
      <c r="B68" s="95"/>
    </row>
    <row r="69" spans="1:2">
      <c r="A69" s="175" t="str">
        <f>A137</f>
        <v>Other (degraded)</v>
      </c>
      <c r="B69" s="95"/>
    </row>
    <row r="70" spans="1:2" ht="13.8" thickBot="1"/>
    <row r="71" spans="1:2" ht="13.8" thickBot="1">
      <c r="A71" s="1002" t="s">
        <v>14</v>
      </c>
    </row>
    <row r="72" spans="1:2">
      <c r="A72" s="1003" t="s">
        <v>1517</v>
      </c>
    </row>
    <row r="73" spans="1:2">
      <c r="A73" s="1004" t="s">
        <v>1301</v>
      </c>
    </row>
    <row r="74" spans="1:2">
      <c r="A74" s="1004" t="s">
        <v>1302</v>
      </c>
    </row>
    <row r="75" spans="1:2">
      <c r="A75" s="1004" t="s">
        <v>1303</v>
      </c>
    </row>
    <row r="76" spans="1:2">
      <c r="A76" s="1004" t="s">
        <v>1304</v>
      </c>
    </row>
    <row r="77" spans="1:2">
      <c r="A77" s="1004" t="s">
        <v>1305</v>
      </c>
    </row>
    <row r="78" spans="1:2">
      <c r="A78" s="1004" t="s">
        <v>1306</v>
      </c>
    </row>
    <row r="79" spans="1:2">
      <c r="A79" s="1004" t="s">
        <v>1307</v>
      </c>
    </row>
    <row r="80" spans="1:2">
      <c r="A80" s="1004" t="s">
        <v>1308</v>
      </c>
    </row>
    <row r="82" spans="1:1">
      <c r="A82" s="332" t="s">
        <v>1000</v>
      </c>
    </row>
    <row r="83" spans="1:1">
      <c r="A83" s="332" t="s">
        <v>15</v>
      </c>
    </row>
    <row r="84" spans="1:1">
      <c r="A84" s="332" t="s">
        <v>676</v>
      </c>
    </row>
    <row r="85" spans="1:1">
      <c r="A85" s="94" t="s">
        <v>1001</v>
      </c>
    </row>
    <row r="86" spans="1:1">
      <c r="A86" s="94" t="s">
        <v>1003</v>
      </c>
    </row>
    <row r="87" spans="1:1">
      <c r="A87" s="94" t="s">
        <v>1004</v>
      </c>
    </row>
    <row r="88" spans="1:1">
      <c r="A88" s="337" t="s">
        <v>1637</v>
      </c>
    </row>
    <row r="89" spans="1:1">
      <c r="A89" s="94" t="s">
        <v>674</v>
      </c>
    </row>
    <row r="90" spans="1:1">
      <c r="A90" s="94" t="s">
        <v>334</v>
      </c>
    </row>
    <row r="91" spans="1:1">
      <c r="A91" s="94" t="s">
        <v>998</v>
      </c>
    </row>
    <row r="94" spans="1:1">
      <c r="A94" s="163" t="s">
        <v>573</v>
      </c>
    </row>
    <row r="95" spans="1:1">
      <c r="A95" s="176" t="s">
        <v>564</v>
      </c>
    </row>
    <row r="96" spans="1:1">
      <c r="A96" s="164" t="s">
        <v>567</v>
      </c>
    </row>
    <row r="97" spans="1:1">
      <c r="A97" s="165" t="s">
        <v>569</v>
      </c>
    </row>
    <row r="99" spans="1:1">
      <c r="A99" s="176" t="s">
        <v>574</v>
      </c>
    </row>
    <row r="100" spans="1:1">
      <c r="A100" s="164" t="s">
        <v>577</v>
      </c>
    </row>
    <row r="101" spans="1:1">
      <c r="A101" s="164" t="s">
        <v>566</v>
      </c>
    </row>
    <row r="102" spans="1:1">
      <c r="A102" s="164" t="s">
        <v>576</v>
      </c>
    </row>
    <row r="103" spans="1:1">
      <c r="A103" s="164" t="s">
        <v>594</v>
      </c>
    </row>
    <row r="104" spans="1:1">
      <c r="A104" s="165" t="s">
        <v>595</v>
      </c>
    </row>
    <row r="106" spans="1:1">
      <c r="A106" s="163" t="s">
        <v>575</v>
      </c>
    </row>
    <row r="107" spans="1:1">
      <c r="A107" s="164" t="s">
        <v>565</v>
      </c>
    </row>
    <row r="108" spans="1:1">
      <c r="A108" s="165" t="s">
        <v>568</v>
      </c>
    </row>
    <row r="110" spans="1:1">
      <c r="A110" s="163" t="s">
        <v>1052</v>
      </c>
    </row>
    <row r="111" spans="1:1">
      <c r="A111" s="164" t="s">
        <v>578</v>
      </c>
    </row>
    <row r="112" spans="1:1">
      <c r="A112" s="164" t="s">
        <v>334</v>
      </c>
    </row>
    <row r="113" spans="1:1">
      <c r="A113" s="164" t="s">
        <v>579</v>
      </c>
    </row>
    <row r="114" spans="1:1">
      <c r="A114" s="165" t="s">
        <v>580</v>
      </c>
    </row>
    <row r="116" spans="1:1">
      <c r="A116" s="427" t="s">
        <v>1205</v>
      </c>
    </row>
    <row r="117" spans="1:1">
      <c r="A117" s="425" t="s">
        <v>16</v>
      </c>
    </row>
    <row r="118" spans="1:1">
      <c r="A118" s="425" t="s">
        <v>676</v>
      </c>
    </row>
    <row r="119" spans="1:1">
      <c r="A119" s="425" t="s">
        <v>1001</v>
      </c>
    </row>
    <row r="120" spans="1:1">
      <c r="A120" s="425" t="s">
        <v>1003</v>
      </c>
    </row>
    <row r="121" spans="1:1">
      <c r="A121" s="425" t="s">
        <v>1004</v>
      </c>
    </row>
    <row r="122" spans="1:1">
      <c r="A122" s="425" t="s">
        <v>1637</v>
      </c>
    </row>
    <row r="123" spans="1:1">
      <c r="A123" s="425" t="s">
        <v>674</v>
      </c>
    </row>
    <row r="124" spans="1:1">
      <c r="A124" s="425" t="s">
        <v>334</v>
      </c>
    </row>
    <row r="125" spans="1:1">
      <c r="A125" s="425" t="s">
        <v>998</v>
      </c>
    </row>
    <row r="126" spans="1:1">
      <c r="A126" s="426" t="s">
        <v>1107</v>
      </c>
    </row>
    <row r="128" spans="1:1">
      <c r="A128" s="1012" t="s">
        <v>17</v>
      </c>
    </row>
    <row r="129" spans="1:1">
      <c r="A129" s="1010" t="s">
        <v>18</v>
      </c>
    </row>
    <row r="130" spans="1:1">
      <c r="A130" s="1010" t="s">
        <v>676</v>
      </c>
    </row>
    <row r="131" spans="1:1">
      <c r="A131" s="1010" t="s">
        <v>673</v>
      </c>
    </row>
    <row r="132" spans="1:1">
      <c r="A132" s="425" t="s">
        <v>1637</v>
      </c>
    </row>
    <row r="133" spans="1:1">
      <c r="A133" s="1010" t="s">
        <v>675</v>
      </c>
    </row>
    <row r="134" spans="1:1">
      <c r="A134" s="1010" t="s">
        <v>334</v>
      </c>
    </row>
    <row r="135" spans="1:1">
      <c r="A135" s="1010" t="s">
        <v>1207</v>
      </c>
    </row>
    <row r="136" spans="1:1">
      <c r="A136" s="1010" t="s">
        <v>132</v>
      </c>
    </row>
    <row r="137" spans="1:1">
      <c r="A137" s="1011" t="s">
        <v>133</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2"/>
    <pageSetUpPr fitToPage="1"/>
  </sheetPr>
  <dimension ref="A1:X876"/>
  <sheetViews>
    <sheetView zoomScaleNormal="100" workbookViewId="0">
      <pane xSplit="1" ySplit="5" topLeftCell="B521" activePane="bottomRight" state="frozen"/>
      <selection activeCell="F55" sqref="F55"/>
      <selection pane="topRight" activeCell="F55" sqref="F55"/>
      <selection pane="bottomLeft" activeCell="F55" sqref="F55"/>
      <selection pane="bottomRight" activeCell="G529" sqref="G529"/>
    </sheetView>
  </sheetViews>
  <sheetFormatPr baseColWidth="10" defaultColWidth="12.33203125" defaultRowHeight="13.2"/>
  <cols>
    <col min="1" max="1" width="41.33203125" customWidth="1"/>
    <col min="2" max="2" width="18.5546875" style="58" customWidth="1"/>
    <col min="3" max="4" width="12.33203125" style="58" customWidth="1"/>
    <col min="5" max="6" width="12.33203125" customWidth="1"/>
    <col min="7" max="7" width="12.33203125" style="58" customWidth="1"/>
    <col min="8" max="8" width="12.33203125" customWidth="1"/>
    <col min="9" max="9" width="12.33203125" style="107" customWidth="1"/>
  </cols>
  <sheetData>
    <row r="1" spans="1:14" s="1670" customFormat="1" ht="22.95" customHeight="1">
      <c r="B1" s="1671"/>
      <c r="C1" s="1671"/>
      <c r="D1" s="1671"/>
      <c r="G1" s="1671"/>
      <c r="I1" s="1674"/>
    </row>
    <row r="2" spans="1:14" s="1670" customFormat="1" ht="22.95" customHeight="1">
      <c r="B2" s="1671"/>
      <c r="C2" s="1671"/>
      <c r="D2" s="1671"/>
      <c r="G2" s="1671"/>
      <c r="I2" s="1674"/>
    </row>
    <row r="3" spans="1:14" s="1670" customFormat="1" ht="22.95" customHeight="1">
      <c r="B3" s="1671"/>
      <c r="C3" s="1671"/>
      <c r="D3" s="1671"/>
      <c r="G3" s="1671"/>
      <c r="I3" s="1674"/>
    </row>
    <row r="4" spans="1:14" s="1670" customFormat="1" ht="22.95" customHeight="1">
      <c r="B4" s="1671"/>
      <c r="C4" s="1671"/>
      <c r="D4" s="1671"/>
      <c r="G4" s="1671"/>
      <c r="I4" s="1674"/>
    </row>
    <row r="5" spans="1:14" s="1670" customFormat="1" ht="22.95" customHeight="1">
      <c r="A5" s="1675" t="s">
        <v>394</v>
      </c>
      <c r="B5" s="1676"/>
      <c r="C5" s="1676"/>
      <c r="D5" s="1671"/>
      <c r="G5" s="1671"/>
      <c r="I5" s="1674"/>
    </row>
    <row r="6" spans="1:14" s="66" customFormat="1" ht="12.75" customHeight="1">
      <c r="A6" s="16" t="s">
        <v>395</v>
      </c>
      <c r="B6" s="64"/>
      <c r="C6" s="64"/>
      <c r="D6" s="65"/>
      <c r="G6" s="65"/>
      <c r="I6" s="85"/>
    </row>
    <row r="7" spans="1:14" s="17" customFormat="1" ht="12.75" customHeight="1">
      <c r="A7" s="67" t="s">
        <v>298</v>
      </c>
      <c r="B7" s="64" t="s">
        <v>294</v>
      </c>
      <c r="C7" s="64" t="s">
        <v>292</v>
      </c>
      <c r="D7" s="64" t="s">
        <v>290</v>
      </c>
      <c r="E7" s="68" t="s">
        <v>396</v>
      </c>
      <c r="F7" s="68" t="s">
        <v>295</v>
      </c>
      <c r="G7" s="982" t="str">
        <f>'Name translation'!A2</f>
        <v>Please select</v>
      </c>
      <c r="H7" s="978"/>
      <c r="I7" s="992"/>
      <c r="J7" s="68"/>
    </row>
    <row r="8" spans="1:14" s="87" customFormat="1" ht="12.75" customHeight="1">
      <c r="A8" s="95" t="s">
        <v>397</v>
      </c>
      <c r="B8" s="96" t="s">
        <v>398</v>
      </c>
      <c r="C8" s="96" t="s">
        <v>399</v>
      </c>
      <c r="D8" s="96" t="s">
        <v>400</v>
      </c>
      <c r="E8" s="96" t="s">
        <v>401</v>
      </c>
      <c r="F8" s="96" t="s">
        <v>402</v>
      </c>
      <c r="G8" s="982" t="s">
        <v>1686</v>
      </c>
      <c r="H8" s="12"/>
      <c r="I8" s="106"/>
    </row>
    <row r="9" spans="1:14" s="87" customFormat="1" ht="12.75" customHeight="1">
      <c r="A9" s="95" t="s">
        <v>403</v>
      </c>
      <c r="B9" s="96" t="s">
        <v>404</v>
      </c>
      <c r="C9" s="96" t="s">
        <v>405</v>
      </c>
      <c r="D9" s="96" t="s">
        <v>406</v>
      </c>
      <c r="E9" s="96" t="s">
        <v>407</v>
      </c>
      <c r="F9" s="96" t="str">
        <f>""</f>
        <v/>
      </c>
      <c r="G9" s="982" t="str">
        <f>G8</f>
        <v>Please specify the climate</v>
      </c>
      <c r="H9" s="12"/>
      <c r="I9" s="106"/>
    </row>
    <row r="10" spans="1:14" s="87" customFormat="1" ht="12.75" customHeight="1">
      <c r="A10" s="95" t="s">
        <v>408</v>
      </c>
      <c r="B10" s="96" t="s">
        <v>409</v>
      </c>
      <c r="C10" s="96" t="s">
        <v>410</v>
      </c>
      <c r="D10" s="96" t="s">
        <v>411</v>
      </c>
      <c r="E10" s="96" t="s">
        <v>412</v>
      </c>
      <c r="F10" s="96" t="str">
        <f>""</f>
        <v/>
      </c>
      <c r="G10" s="982" t="str">
        <f>G9</f>
        <v>Please specify the climate</v>
      </c>
      <c r="H10" s="12"/>
      <c r="I10" s="106"/>
    </row>
    <row r="11" spans="1:14" s="87" customFormat="1" ht="12.75" customHeight="1">
      <c r="A11" s="95" t="s">
        <v>413</v>
      </c>
      <c r="B11" s="96" t="s">
        <v>414</v>
      </c>
      <c r="C11" s="96" t="s">
        <v>415</v>
      </c>
      <c r="D11" s="96" t="str">
        <f>""</f>
        <v/>
      </c>
      <c r="E11" s="96" t="str">
        <f>""</f>
        <v/>
      </c>
      <c r="F11" s="96" t="str">
        <f>""</f>
        <v/>
      </c>
      <c r="G11" s="982" t="str">
        <f>G10</f>
        <v>Please specify the climate</v>
      </c>
      <c r="H11" s="12"/>
      <c r="I11" s="106"/>
    </row>
    <row r="12" spans="1:14" s="16" customFormat="1" ht="12.75" customHeight="1">
      <c r="A12" s="14" t="s">
        <v>483</v>
      </c>
      <c r="B12" s="98"/>
      <c r="D12" s="331" t="s">
        <v>490</v>
      </c>
      <c r="E12" s="98"/>
      <c r="F12" s="98"/>
      <c r="G12" s="75"/>
      <c r="I12" s="85" t="s">
        <v>498</v>
      </c>
    </row>
    <row r="13" spans="1:14" s="68" customFormat="1" ht="12.75" customHeight="1">
      <c r="A13" s="120" t="s">
        <v>484</v>
      </c>
      <c r="B13" s="83"/>
      <c r="D13" s="83" t="s">
        <v>491</v>
      </c>
      <c r="E13" s="83"/>
      <c r="F13" s="83"/>
      <c r="G13" s="64"/>
      <c r="N13" s="16"/>
    </row>
    <row r="14" spans="1:14" s="68" customFormat="1" ht="12.75" customHeight="1">
      <c r="A14" s="120" t="s">
        <v>485</v>
      </c>
      <c r="B14" s="83" t="s">
        <v>398</v>
      </c>
      <c r="C14" s="83" t="s">
        <v>399</v>
      </c>
      <c r="D14" s="83" t="s">
        <v>400</v>
      </c>
      <c r="E14" s="83" t="s">
        <v>401</v>
      </c>
      <c r="F14" s="83" t="s">
        <v>402</v>
      </c>
      <c r="G14" s="978" t="str">
        <f>G8</f>
        <v>Please specify the climate</v>
      </c>
      <c r="H14" s="83" t="s">
        <v>494</v>
      </c>
      <c r="I14" s="83" t="s">
        <v>398</v>
      </c>
      <c r="J14" s="83" t="s">
        <v>399</v>
      </c>
      <c r="K14" s="83" t="s">
        <v>400</v>
      </c>
      <c r="L14" s="83" t="s">
        <v>401</v>
      </c>
      <c r="M14" s="83" t="s">
        <v>402</v>
      </c>
      <c r="N14" s="978" t="str">
        <f>G14</f>
        <v>Please specify the climate</v>
      </c>
    </row>
    <row r="15" spans="1:14" s="966" customFormat="1" ht="12.75" customHeight="1">
      <c r="A15" s="964" t="str">
        <f>List!A6</f>
        <v>Please select</v>
      </c>
      <c r="B15" s="965"/>
      <c r="C15" s="965"/>
      <c r="D15" s="965"/>
      <c r="E15" s="965"/>
      <c r="F15" s="965"/>
      <c r="H15" s="965" t="str">
        <f>A15</f>
        <v>Please select</v>
      </c>
      <c r="I15" s="965"/>
      <c r="J15" s="965"/>
      <c r="K15" s="965"/>
      <c r="L15" s="965"/>
      <c r="M15" s="965"/>
    </row>
    <row r="16" spans="1:14" s="87" customFormat="1" ht="12.75" customHeight="1">
      <c r="A16" s="95" t="s">
        <v>302</v>
      </c>
      <c r="B16" s="100">
        <v>310</v>
      </c>
      <c r="C16" s="96">
        <v>220</v>
      </c>
      <c r="D16" s="99">
        <v>180</v>
      </c>
      <c r="E16" s="96">
        <v>50</v>
      </c>
      <c r="F16" s="100">
        <v>115</v>
      </c>
      <c r="H16" s="980" t="s">
        <v>302</v>
      </c>
      <c r="I16" s="87">
        <v>150</v>
      </c>
      <c r="J16" s="104">
        <v>140</v>
      </c>
      <c r="K16" s="87">
        <v>160</v>
      </c>
      <c r="L16" s="87">
        <v>40</v>
      </c>
      <c r="M16" s="87">
        <v>90</v>
      </c>
    </row>
    <row r="17" spans="1:14" s="87" customFormat="1" ht="12.75" customHeight="1">
      <c r="A17" s="95" t="s">
        <v>303</v>
      </c>
      <c r="B17" s="100">
        <v>280</v>
      </c>
      <c r="C17" s="100">
        <v>180</v>
      </c>
      <c r="D17" s="99">
        <v>180</v>
      </c>
      <c r="E17" s="100">
        <v>50</v>
      </c>
      <c r="F17" s="100">
        <v>135</v>
      </c>
      <c r="H17" s="980" t="s">
        <v>303</v>
      </c>
      <c r="I17" s="87">
        <v>150</v>
      </c>
      <c r="J17" s="104">
        <v>140</v>
      </c>
      <c r="K17" s="87">
        <v>160</v>
      </c>
      <c r="L17" s="87">
        <v>40</v>
      </c>
      <c r="M17" s="87">
        <v>90</v>
      </c>
    </row>
    <row r="18" spans="1:14" s="87" customFormat="1" ht="12.75" customHeight="1">
      <c r="A18" s="95" t="s">
        <v>301</v>
      </c>
      <c r="B18" s="100">
        <v>280</v>
      </c>
      <c r="C18" s="100">
        <v>180</v>
      </c>
      <c r="D18" s="99">
        <v>180</v>
      </c>
      <c r="E18" s="96">
        <v>50</v>
      </c>
      <c r="F18" s="100">
        <v>135</v>
      </c>
      <c r="H18" s="980" t="s">
        <v>301</v>
      </c>
      <c r="I18" s="87">
        <v>150</v>
      </c>
      <c r="J18" s="104">
        <v>140</v>
      </c>
      <c r="K18" s="87">
        <v>160</v>
      </c>
      <c r="L18" s="87">
        <v>40</v>
      </c>
      <c r="M18" s="87">
        <v>90</v>
      </c>
    </row>
    <row r="19" spans="1:14" s="87" customFormat="1" ht="12.75" customHeight="1">
      <c r="A19" s="95" t="s">
        <v>304</v>
      </c>
      <c r="B19" s="100">
        <v>350</v>
      </c>
      <c r="C19" s="100">
        <v>290</v>
      </c>
      <c r="D19" s="99">
        <v>180</v>
      </c>
      <c r="E19" s="96">
        <v>50</v>
      </c>
      <c r="F19" s="100">
        <v>205</v>
      </c>
      <c r="H19" s="980" t="s">
        <v>304</v>
      </c>
      <c r="I19" s="87">
        <v>150</v>
      </c>
      <c r="J19" s="104">
        <v>140</v>
      </c>
      <c r="K19" s="87">
        <v>160</v>
      </c>
      <c r="L19" s="87">
        <v>40</v>
      </c>
      <c r="M19" s="87">
        <v>90</v>
      </c>
    </row>
    <row r="20" spans="1:14" s="87" customFormat="1" ht="12.75" customHeight="1">
      <c r="A20" s="95" t="s">
        <v>305</v>
      </c>
      <c r="B20" s="96">
        <v>300</v>
      </c>
      <c r="C20" s="96">
        <v>220</v>
      </c>
      <c r="D20" s="99">
        <v>180</v>
      </c>
      <c r="E20" s="96">
        <v>50</v>
      </c>
      <c r="F20" s="96">
        <v>140</v>
      </c>
      <c r="H20" s="980" t="s">
        <v>305</v>
      </c>
      <c r="I20" s="87">
        <v>150</v>
      </c>
      <c r="J20" s="104">
        <v>140</v>
      </c>
      <c r="K20" s="87">
        <v>160</v>
      </c>
      <c r="L20" s="87">
        <v>40</v>
      </c>
      <c r="M20" s="87">
        <v>90</v>
      </c>
    </row>
    <row r="21" spans="1:14" s="87" customFormat="1" ht="12.75" customHeight="1">
      <c r="A21" s="95" t="s">
        <v>306</v>
      </c>
      <c r="B21" s="96">
        <v>300</v>
      </c>
      <c r="C21" s="96">
        <v>220</v>
      </c>
      <c r="D21" s="100">
        <v>120</v>
      </c>
      <c r="E21" s="100">
        <v>50</v>
      </c>
      <c r="F21" s="96">
        <v>140</v>
      </c>
      <c r="H21" s="980" t="s">
        <v>306</v>
      </c>
      <c r="I21" s="87">
        <v>150</v>
      </c>
      <c r="J21" s="104">
        <v>140</v>
      </c>
      <c r="K21" s="87">
        <v>160</v>
      </c>
      <c r="L21" s="87">
        <v>40</v>
      </c>
      <c r="M21" s="87">
        <v>90</v>
      </c>
    </row>
    <row r="22" spans="1:14" s="87" customFormat="1" ht="12.75" customHeight="1">
      <c r="A22" s="95" t="s">
        <v>307</v>
      </c>
      <c r="B22" s="96">
        <v>300</v>
      </c>
      <c r="C22" s="96">
        <v>220</v>
      </c>
      <c r="D22" s="100">
        <v>120</v>
      </c>
      <c r="E22" s="100">
        <v>50</v>
      </c>
      <c r="F22" s="96">
        <v>140</v>
      </c>
      <c r="H22" s="980" t="s">
        <v>307</v>
      </c>
      <c r="I22" s="87">
        <v>150</v>
      </c>
      <c r="J22" s="104">
        <v>140</v>
      </c>
      <c r="K22" s="87">
        <v>160</v>
      </c>
      <c r="L22" s="87">
        <v>40</v>
      </c>
      <c r="M22" s="87">
        <v>90</v>
      </c>
    </row>
    <row r="23" spans="1:14" s="87" customFormat="1" ht="12.75" customHeight="1">
      <c r="A23" s="95" t="s">
        <v>308</v>
      </c>
      <c r="B23" s="96">
        <v>300</v>
      </c>
      <c r="C23" s="96">
        <v>220</v>
      </c>
      <c r="D23" s="100">
        <v>360</v>
      </c>
      <c r="E23" s="96">
        <v>50</v>
      </c>
      <c r="F23" s="96">
        <v>140</v>
      </c>
      <c r="H23" s="980" t="s">
        <v>308</v>
      </c>
      <c r="I23" s="87">
        <v>150</v>
      </c>
      <c r="J23" s="104">
        <v>140</v>
      </c>
      <c r="K23" s="87">
        <v>160</v>
      </c>
      <c r="L23" s="87">
        <v>40</v>
      </c>
      <c r="M23" s="87">
        <v>90</v>
      </c>
    </row>
    <row r="24" spans="1:14" s="87" customFormat="1" ht="12.75" customHeight="1">
      <c r="A24" s="95" t="s">
        <v>309</v>
      </c>
      <c r="B24" s="100">
        <v>300</v>
      </c>
      <c r="C24" s="100">
        <v>220</v>
      </c>
      <c r="D24" s="100">
        <v>660</v>
      </c>
      <c r="E24" s="100">
        <v>50</v>
      </c>
      <c r="F24" s="100">
        <v>145</v>
      </c>
      <c r="H24" s="980" t="s">
        <v>309</v>
      </c>
      <c r="I24" s="87">
        <v>150</v>
      </c>
      <c r="J24" s="104">
        <v>140</v>
      </c>
      <c r="K24" s="87">
        <v>160</v>
      </c>
      <c r="L24" s="87">
        <v>40</v>
      </c>
      <c r="M24" s="87">
        <v>90</v>
      </c>
    </row>
    <row r="25" spans="1:14" s="87" customFormat="1" ht="12.75" customHeight="1">
      <c r="A25" s="95" t="s">
        <v>310</v>
      </c>
      <c r="B25" s="100">
        <v>300</v>
      </c>
      <c r="C25" s="100">
        <v>220</v>
      </c>
      <c r="D25" s="100">
        <v>180</v>
      </c>
      <c r="E25" s="96">
        <v>50</v>
      </c>
      <c r="F25" s="100">
        <v>145</v>
      </c>
      <c r="H25" s="980" t="s">
        <v>310</v>
      </c>
      <c r="I25" s="87">
        <v>150</v>
      </c>
      <c r="J25" s="104">
        <v>140</v>
      </c>
      <c r="K25" s="87">
        <v>160</v>
      </c>
      <c r="L25" s="87">
        <v>40</v>
      </c>
      <c r="M25" s="87">
        <v>90</v>
      </c>
    </row>
    <row r="26" spans="1:14" s="87" customFormat="1" ht="12.75" customHeight="1">
      <c r="A26" s="95" t="s">
        <v>311</v>
      </c>
      <c r="B26" s="100">
        <v>300</v>
      </c>
      <c r="C26" s="100">
        <v>220</v>
      </c>
      <c r="D26" s="100">
        <v>180</v>
      </c>
      <c r="E26" s="96">
        <v>50</v>
      </c>
      <c r="F26" s="100">
        <v>145</v>
      </c>
      <c r="H26" s="980" t="s">
        <v>311</v>
      </c>
      <c r="I26" s="87">
        <v>150</v>
      </c>
      <c r="J26" s="104">
        <v>140</v>
      </c>
      <c r="K26" s="87">
        <v>160</v>
      </c>
      <c r="L26" s="87">
        <v>40</v>
      </c>
      <c r="M26" s="87">
        <v>90</v>
      </c>
    </row>
    <row r="27" spans="1:14" s="16" customFormat="1" ht="12.75" customHeight="1">
      <c r="A27" s="14" t="s">
        <v>483</v>
      </c>
      <c r="B27" s="98"/>
      <c r="C27" s="98" t="s">
        <v>490</v>
      </c>
      <c r="D27" s="98"/>
      <c r="E27" s="98"/>
      <c r="F27" s="98"/>
      <c r="G27" s="75"/>
      <c r="I27" s="85" t="s">
        <v>498</v>
      </c>
    </row>
    <row r="28" spans="1:14" s="68" customFormat="1" ht="12.75" customHeight="1">
      <c r="A28" s="120" t="s">
        <v>484</v>
      </c>
      <c r="B28" s="83"/>
      <c r="C28" s="83" t="s">
        <v>491</v>
      </c>
      <c r="D28" s="83"/>
      <c r="E28" s="83"/>
      <c r="F28" s="83"/>
      <c r="G28" s="64"/>
    </row>
    <row r="29" spans="1:14" s="68" customFormat="1" ht="12.75" customHeight="1">
      <c r="A29" s="120" t="s">
        <v>486</v>
      </c>
      <c r="B29" s="83" t="s">
        <v>404</v>
      </c>
      <c r="C29" s="83" t="s">
        <v>405</v>
      </c>
      <c r="D29" s="83" t="s">
        <v>406</v>
      </c>
      <c r="E29" s="83" t="s">
        <v>407</v>
      </c>
      <c r="F29" s="83" t="str">
        <f>""</f>
        <v/>
      </c>
      <c r="G29" s="983" t="str">
        <f>G8</f>
        <v>Please specify the climate</v>
      </c>
      <c r="H29" s="64" t="s">
        <v>495</v>
      </c>
      <c r="I29" s="83" t="s">
        <v>404</v>
      </c>
      <c r="J29" s="83" t="s">
        <v>405</v>
      </c>
      <c r="K29" s="83" t="s">
        <v>406</v>
      </c>
      <c r="L29" s="83" t="s">
        <v>407</v>
      </c>
      <c r="M29" s="83" t="str">
        <f>""</f>
        <v/>
      </c>
      <c r="N29" s="978" t="str">
        <f>G8</f>
        <v>Please specify the climate</v>
      </c>
    </row>
    <row r="30" spans="1:14" s="966" customFormat="1" ht="12.75" customHeight="1">
      <c r="A30" s="964" t="str">
        <f>List!A6</f>
        <v>Please select</v>
      </c>
      <c r="B30" s="965"/>
      <c r="C30" s="965"/>
      <c r="D30" s="965"/>
      <c r="E30" s="965"/>
      <c r="F30" s="965"/>
      <c r="G30" s="965"/>
      <c r="H30" s="73" t="str">
        <f>A30</f>
        <v>Please select</v>
      </c>
      <c r="I30" s="965"/>
      <c r="J30" s="965"/>
      <c r="K30" s="965"/>
      <c r="L30" s="965"/>
      <c r="M30" s="965"/>
    </row>
    <row r="31" spans="1:14" s="87" customFormat="1" ht="12.75" customHeight="1">
      <c r="A31" s="95" t="s">
        <v>302</v>
      </c>
      <c r="B31" s="100">
        <v>260</v>
      </c>
      <c r="C31" s="100">
        <v>140</v>
      </c>
      <c r="D31" s="99">
        <v>120</v>
      </c>
      <c r="E31" s="96">
        <v>15</v>
      </c>
      <c r="F31" s="96"/>
      <c r="G31" s="96"/>
      <c r="H31" s="305" t="s">
        <v>302</v>
      </c>
      <c r="I31" s="87">
        <v>120</v>
      </c>
      <c r="J31" s="104">
        <v>60</v>
      </c>
      <c r="K31" s="87">
        <v>100</v>
      </c>
      <c r="L31" s="87">
        <v>15</v>
      </c>
    </row>
    <row r="32" spans="1:14" s="87" customFormat="1" ht="12.75" customHeight="1">
      <c r="A32" s="95" t="s">
        <v>303</v>
      </c>
      <c r="B32" s="100">
        <v>180</v>
      </c>
      <c r="C32" s="100">
        <v>130</v>
      </c>
      <c r="D32" s="99">
        <v>120</v>
      </c>
      <c r="E32" s="100">
        <v>15</v>
      </c>
      <c r="F32" s="96"/>
      <c r="G32" s="96"/>
      <c r="H32" s="305" t="s">
        <v>303</v>
      </c>
      <c r="I32" s="87">
        <v>120</v>
      </c>
      <c r="J32" s="104">
        <v>60</v>
      </c>
      <c r="K32" s="87">
        <v>100</v>
      </c>
      <c r="L32" s="87">
        <v>15</v>
      </c>
    </row>
    <row r="33" spans="1:14" s="87" customFormat="1" ht="12.75" customHeight="1">
      <c r="A33" s="95" t="s">
        <v>301</v>
      </c>
      <c r="B33" s="100">
        <v>180</v>
      </c>
      <c r="C33" s="100">
        <v>130</v>
      </c>
      <c r="D33" s="99">
        <v>120</v>
      </c>
      <c r="E33" s="96">
        <v>15</v>
      </c>
      <c r="F33" s="96"/>
      <c r="G33" s="96"/>
      <c r="H33" s="305" t="s">
        <v>301</v>
      </c>
      <c r="I33" s="87">
        <v>120</v>
      </c>
      <c r="J33" s="104">
        <v>60</v>
      </c>
      <c r="K33" s="87">
        <v>100</v>
      </c>
      <c r="L33" s="87">
        <v>15</v>
      </c>
    </row>
    <row r="34" spans="1:14" s="87" customFormat="1" ht="12.75" customHeight="1">
      <c r="A34" s="95" t="s">
        <v>304</v>
      </c>
      <c r="B34" s="100">
        <v>290</v>
      </c>
      <c r="C34" s="100">
        <v>160</v>
      </c>
      <c r="D34" s="99">
        <v>120</v>
      </c>
      <c r="E34" s="96">
        <v>15</v>
      </c>
      <c r="F34" s="96"/>
      <c r="G34" s="96"/>
      <c r="H34" s="305" t="s">
        <v>304</v>
      </c>
      <c r="I34" s="87">
        <v>120</v>
      </c>
      <c r="J34" s="104">
        <v>60</v>
      </c>
      <c r="K34" s="87">
        <v>100</v>
      </c>
      <c r="L34" s="87">
        <v>15</v>
      </c>
    </row>
    <row r="35" spans="1:14" s="87" customFormat="1" ht="12.75" customHeight="1">
      <c r="A35" s="95" t="s">
        <v>305</v>
      </c>
      <c r="B35" s="96">
        <v>180</v>
      </c>
      <c r="C35" s="96">
        <v>130</v>
      </c>
      <c r="D35" s="99">
        <v>120</v>
      </c>
      <c r="E35" s="96">
        <v>15</v>
      </c>
      <c r="F35" s="96"/>
      <c r="G35" s="96"/>
      <c r="H35" s="305" t="s">
        <v>305</v>
      </c>
      <c r="I35" s="87">
        <v>120</v>
      </c>
      <c r="J35" s="104">
        <v>60</v>
      </c>
      <c r="K35" s="87">
        <v>100</v>
      </c>
      <c r="L35" s="87">
        <v>15</v>
      </c>
    </row>
    <row r="36" spans="1:14" s="87" customFormat="1" ht="12.75" customHeight="1">
      <c r="A36" s="95" t="s">
        <v>306</v>
      </c>
      <c r="B36" s="96">
        <v>180</v>
      </c>
      <c r="C36" s="96">
        <v>130</v>
      </c>
      <c r="D36" s="100">
        <v>120</v>
      </c>
      <c r="E36" s="100">
        <v>15</v>
      </c>
      <c r="F36" s="96"/>
      <c r="G36" s="96"/>
      <c r="H36" s="305" t="s">
        <v>306</v>
      </c>
      <c r="I36" s="87">
        <v>120</v>
      </c>
      <c r="J36" s="104">
        <v>60</v>
      </c>
      <c r="K36" s="87">
        <v>100</v>
      </c>
      <c r="L36" s="87">
        <v>15</v>
      </c>
    </row>
    <row r="37" spans="1:14" s="87" customFormat="1" ht="12.75" customHeight="1">
      <c r="A37" s="95" t="s">
        <v>307</v>
      </c>
      <c r="B37" s="96">
        <v>180</v>
      </c>
      <c r="C37" s="96">
        <v>130</v>
      </c>
      <c r="D37" s="100">
        <v>120</v>
      </c>
      <c r="E37" s="100">
        <v>15</v>
      </c>
      <c r="F37" s="96"/>
      <c r="G37" s="96"/>
      <c r="H37" s="305" t="s">
        <v>307</v>
      </c>
      <c r="I37" s="87">
        <v>120</v>
      </c>
      <c r="J37" s="104">
        <v>60</v>
      </c>
      <c r="K37" s="87">
        <v>100</v>
      </c>
      <c r="L37" s="87">
        <v>15</v>
      </c>
    </row>
    <row r="38" spans="1:14" s="87" customFormat="1" ht="12.75" customHeight="1">
      <c r="A38" s="95" t="s">
        <v>308</v>
      </c>
      <c r="B38" s="96">
        <v>180</v>
      </c>
      <c r="C38" s="96">
        <v>130</v>
      </c>
      <c r="D38" s="99">
        <v>120</v>
      </c>
      <c r="E38" s="96">
        <v>15</v>
      </c>
      <c r="F38" s="96"/>
      <c r="G38" s="96"/>
      <c r="H38" s="305" t="s">
        <v>308</v>
      </c>
      <c r="I38" s="87">
        <v>120</v>
      </c>
      <c r="J38" s="104">
        <v>60</v>
      </c>
      <c r="K38" s="87">
        <v>100</v>
      </c>
      <c r="L38" s="87">
        <v>15</v>
      </c>
    </row>
    <row r="39" spans="1:14" s="87" customFormat="1" ht="12.75" customHeight="1">
      <c r="A39" s="95" t="s">
        <v>309</v>
      </c>
      <c r="B39" s="100">
        <v>220</v>
      </c>
      <c r="C39" s="100">
        <v>210</v>
      </c>
      <c r="D39" s="100">
        <v>130</v>
      </c>
      <c r="E39" s="100">
        <v>15</v>
      </c>
      <c r="F39" s="96"/>
      <c r="G39" s="96"/>
      <c r="H39" s="305" t="s">
        <v>309</v>
      </c>
      <c r="I39" s="87">
        <v>120</v>
      </c>
      <c r="J39" s="104">
        <v>60</v>
      </c>
      <c r="K39" s="87">
        <v>100</v>
      </c>
      <c r="L39" s="87">
        <v>15</v>
      </c>
    </row>
    <row r="40" spans="1:14" s="87" customFormat="1" ht="12.75" customHeight="1">
      <c r="A40" s="95" t="s">
        <v>310</v>
      </c>
      <c r="B40" s="100">
        <v>220</v>
      </c>
      <c r="C40" s="100">
        <v>210</v>
      </c>
      <c r="D40" s="100">
        <v>130</v>
      </c>
      <c r="E40" s="96">
        <v>15</v>
      </c>
      <c r="F40" s="96"/>
      <c r="G40" s="96"/>
      <c r="H40" s="305" t="s">
        <v>310</v>
      </c>
      <c r="I40" s="87">
        <v>120</v>
      </c>
      <c r="J40" s="104">
        <v>60</v>
      </c>
      <c r="K40" s="87">
        <v>100</v>
      </c>
      <c r="L40" s="87">
        <v>15</v>
      </c>
    </row>
    <row r="41" spans="1:14" s="87" customFormat="1" ht="12.75" customHeight="1">
      <c r="A41" s="95" t="s">
        <v>311</v>
      </c>
      <c r="B41" s="100">
        <v>220</v>
      </c>
      <c r="C41" s="100">
        <v>210</v>
      </c>
      <c r="D41" s="100">
        <v>130</v>
      </c>
      <c r="E41" s="96">
        <v>15</v>
      </c>
      <c r="F41" s="96"/>
      <c r="G41" s="96"/>
      <c r="H41" s="305" t="s">
        <v>311</v>
      </c>
      <c r="I41" s="87">
        <v>120</v>
      </c>
      <c r="J41" s="104">
        <v>60</v>
      </c>
      <c r="K41" s="87">
        <v>100</v>
      </c>
      <c r="L41" s="87">
        <v>15</v>
      </c>
    </row>
    <row r="42" spans="1:14" s="16" customFormat="1" ht="12.75" customHeight="1">
      <c r="A42" s="14" t="s">
        <v>483</v>
      </c>
      <c r="B42" s="98"/>
      <c r="C42" s="98" t="s">
        <v>490</v>
      </c>
      <c r="D42" s="98"/>
      <c r="E42" s="98"/>
      <c r="F42" s="98"/>
      <c r="G42" s="75"/>
      <c r="I42" s="85" t="s">
        <v>498</v>
      </c>
    </row>
    <row r="43" spans="1:14" s="68" customFormat="1" ht="12.75" customHeight="1">
      <c r="A43" s="120" t="s">
        <v>484</v>
      </c>
      <c r="B43" s="83"/>
      <c r="C43" s="83" t="s">
        <v>491</v>
      </c>
      <c r="D43" s="83"/>
      <c r="E43" s="83"/>
      <c r="F43" s="83"/>
      <c r="G43" s="64"/>
    </row>
    <row r="44" spans="1:14" s="68" customFormat="1" ht="12.75" customHeight="1">
      <c r="A44" s="120" t="s">
        <v>487</v>
      </c>
      <c r="B44" s="83" t="s">
        <v>409</v>
      </c>
      <c r="C44" s="83" t="s">
        <v>410</v>
      </c>
      <c r="D44" s="83" t="s">
        <v>411</v>
      </c>
      <c r="E44" s="83" t="s">
        <v>412</v>
      </c>
      <c r="F44" s="83" t="str">
        <f>""</f>
        <v/>
      </c>
      <c r="G44" s="983" t="str">
        <f>G29</f>
        <v>Please specify the climate</v>
      </c>
      <c r="H44" s="64" t="s">
        <v>496</v>
      </c>
      <c r="I44" s="83" t="s">
        <v>409</v>
      </c>
      <c r="J44" s="83" t="s">
        <v>410</v>
      </c>
      <c r="K44" s="83" t="s">
        <v>411</v>
      </c>
      <c r="L44" s="83" t="s">
        <v>412</v>
      </c>
      <c r="M44" s="83" t="str">
        <f>""</f>
        <v/>
      </c>
      <c r="N44" s="978" t="str">
        <f>N29</f>
        <v>Please specify the climate</v>
      </c>
    </row>
    <row r="45" spans="1:14" s="966" customFormat="1" ht="12.75" customHeight="1">
      <c r="A45" s="964" t="str">
        <f>List!A6</f>
        <v>Please select</v>
      </c>
      <c r="B45" s="965"/>
      <c r="C45" s="965"/>
      <c r="D45" s="965"/>
      <c r="E45" s="965"/>
      <c r="F45" s="965"/>
      <c r="G45" s="965"/>
      <c r="H45" s="73" t="str">
        <f>A45</f>
        <v>Please select</v>
      </c>
      <c r="I45" s="965"/>
      <c r="J45" s="965"/>
      <c r="K45" s="965"/>
      <c r="L45" s="965"/>
      <c r="M45" s="965"/>
    </row>
    <row r="46" spans="1:14" s="87" customFormat="1" ht="12.75" customHeight="1">
      <c r="A46" s="95" t="s">
        <v>302</v>
      </c>
      <c r="B46" s="100">
        <v>120</v>
      </c>
      <c r="C46" s="100">
        <v>70</v>
      </c>
      <c r="D46" s="99">
        <v>100</v>
      </c>
      <c r="E46" s="96">
        <v>30</v>
      </c>
      <c r="F46" s="96"/>
      <c r="G46" s="96"/>
      <c r="H46" s="305" t="s">
        <v>302</v>
      </c>
      <c r="I46" s="87">
        <v>60</v>
      </c>
      <c r="J46" s="104">
        <v>30</v>
      </c>
      <c r="K46" s="87">
        <v>100</v>
      </c>
      <c r="L46" s="87">
        <v>30</v>
      </c>
    </row>
    <row r="47" spans="1:14" s="87" customFormat="1" ht="12.75" customHeight="1">
      <c r="A47" s="95" t="s">
        <v>303</v>
      </c>
      <c r="B47" s="100">
        <v>130</v>
      </c>
      <c r="C47" s="100">
        <v>60</v>
      </c>
      <c r="D47" s="100">
        <v>130</v>
      </c>
      <c r="E47" s="100">
        <v>50</v>
      </c>
      <c r="F47" s="96"/>
      <c r="G47" s="96"/>
      <c r="H47" s="305" t="s">
        <v>303</v>
      </c>
      <c r="I47" s="87">
        <v>60</v>
      </c>
      <c r="J47" s="104">
        <v>30</v>
      </c>
      <c r="K47" s="87">
        <v>100</v>
      </c>
      <c r="L47" s="87">
        <v>30</v>
      </c>
    </row>
    <row r="48" spans="1:14" s="87" customFormat="1" ht="12.75" customHeight="1">
      <c r="A48" s="95" t="s">
        <v>301</v>
      </c>
      <c r="B48" s="100">
        <v>130</v>
      </c>
      <c r="C48" s="100">
        <v>60</v>
      </c>
      <c r="D48" s="100">
        <v>130</v>
      </c>
      <c r="E48" s="100">
        <v>50</v>
      </c>
      <c r="F48" s="96"/>
      <c r="G48" s="96"/>
      <c r="H48" s="305" t="s">
        <v>301</v>
      </c>
      <c r="I48" s="87">
        <v>60</v>
      </c>
      <c r="J48" s="104">
        <v>30</v>
      </c>
      <c r="K48" s="87">
        <v>100</v>
      </c>
      <c r="L48" s="87">
        <v>30</v>
      </c>
    </row>
    <row r="49" spans="1:14" s="87" customFormat="1" ht="12.75" customHeight="1">
      <c r="A49" s="95" t="s">
        <v>304</v>
      </c>
      <c r="B49" s="100">
        <v>160</v>
      </c>
      <c r="C49" s="100">
        <v>70</v>
      </c>
      <c r="D49" s="100">
        <v>130</v>
      </c>
      <c r="E49" s="100">
        <v>50</v>
      </c>
      <c r="F49" s="96"/>
      <c r="G49" s="96"/>
      <c r="H49" s="305" t="s">
        <v>304</v>
      </c>
      <c r="I49" s="87">
        <v>60</v>
      </c>
      <c r="J49" s="104">
        <v>30</v>
      </c>
      <c r="K49" s="87">
        <v>100</v>
      </c>
      <c r="L49" s="87">
        <v>30</v>
      </c>
    </row>
    <row r="50" spans="1:14" s="87" customFormat="1" ht="12.75" customHeight="1">
      <c r="A50" s="95" t="s">
        <v>305</v>
      </c>
      <c r="B50" s="96">
        <v>130</v>
      </c>
      <c r="C50" s="96">
        <v>70</v>
      </c>
      <c r="D50" s="99">
        <v>100</v>
      </c>
      <c r="E50" s="96">
        <v>30</v>
      </c>
      <c r="F50" s="96"/>
      <c r="G50" s="96"/>
      <c r="H50" s="305" t="s">
        <v>305</v>
      </c>
      <c r="I50" s="87">
        <v>60</v>
      </c>
      <c r="J50" s="104">
        <v>30</v>
      </c>
      <c r="K50" s="87">
        <v>100</v>
      </c>
      <c r="L50" s="87">
        <v>30</v>
      </c>
    </row>
    <row r="51" spans="1:14" s="87" customFormat="1" ht="12.75" customHeight="1">
      <c r="A51" s="95" t="s">
        <v>306</v>
      </c>
      <c r="B51" s="96">
        <v>130</v>
      </c>
      <c r="C51" s="96">
        <v>70</v>
      </c>
      <c r="D51" s="100">
        <v>130</v>
      </c>
      <c r="E51" s="100">
        <v>50</v>
      </c>
      <c r="F51" s="96"/>
      <c r="G51" s="96"/>
      <c r="H51" s="305" t="s">
        <v>306</v>
      </c>
      <c r="I51" s="87">
        <v>60</v>
      </c>
      <c r="J51" s="104">
        <v>30</v>
      </c>
      <c r="K51" s="87">
        <v>100</v>
      </c>
      <c r="L51" s="87">
        <v>30</v>
      </c>
    </row>
    <row r="52" spans="1:14" s="87" customFormat="1" ht="12.75" customHeight="1">
      <c r="A52" s="95" t="s">
        <v>307</v>
      </c>
      <c r="B52" s="96">
        <v>130</v>
      </c>
      <c r="C52" s="96">
        <v>70</v>
      </c>
      <c r="D52" s="100">
        <v>130</v>
      </c>
      <c r="E52" s="100">
        <v>50</v>
      </c>
      <c r="F52" s="96"/>
      <c r="G52" s="96"/>
      <c r="H52" s="305" t="s">
        <v>307</v>
      </c>
      <c r="I52" s="87">
        <v>60</v>
      </c>
      <c r="J52" s="104">
        <v>30</v>
      </c>
      <c r="K52" s="87">
        <v>100</v>
      </c>
      <c r="L52" s="87">
        <v>30</v>
      </c>
    </row>
    <row r="53" spans="1:14" s="87" customFormat="1" ht="12.75" customHeight="1">
      <c r="A53" s="95" t="s">
        <v>308</v>
      </c>
      <c r="B53" s="96">
        <v>130</v>
      </c>
      <c r="C53" s="96">
        <v>70</v>
      </c>
      <c r="D53" s="99">
        <v>100</v>
      </c>
      <c r="E53" s="96">
        <v>30</v>
      </c>
      <c r="F53" s="96"/>
      <c r="G53" s="96"/>
      <c r="H53" s="305" t="s">
        <v>308</v>
      </c>
      <c r="I53" s="87">
        <v>60</v>
      </c>
      <c r="J53" s="104">
        <v>30</v>
      </c>
      <c r="K53" s="87">
        <v>100</v>
      </c>
      <c r="L53" s="87">
        <v>30</v>
      </c>
    </row>
    <row r="54" spans="1:14" s="87" customFormat="1" ht="12.75" customHeight="1">
      <c r="A54" s="95" t="s">
        <v>309</v>
      </c>
      <c r="B54" s="100">
        <v>210</v>
      </c>
      <c r="C54" s="100">
        <v>80</v>
      </c>
      <c r="D54" s="100">
        <v>130</v>
      </c>
      <c r="E54" s="100">
        <v>50</v>
      </c>
      <c r="F54" s="96"/>
      <c r="G54" s="96"/>
      <c r="H54" s="305" t="s">
        <v>309</v>
      </c>
      <c r="I54" s="87">
        <v>60</v>
      </c>
      <c r="J54" s="104">
        <v>30</v>
      </c>
      <c r="K54" s="87">
        <v>100</v>
      </c>
      <c r="L54" s="87">
        <v>30</v>
      </c>
    </row>
    <row r="55" spans="1:14" s="87" customFormat="1" ht="12.75" customHeight="1">
      <c r="A55" s="95" t="s">
        <v>310</v>
      </c>
      <c r="B55" s="100">
        <v>210</v>
      </c>
      <c r="C55" s="100">
        <v>80</v>
      </c>
      <c r="D55" s="100">
        <v>130</v>
      </c>
      <c r="E55" s="96">
        <v>30</v>
      </c>
      <c r="F55" s="96"/>
      <c r="G55" s="96"/>
      <c r="H55" s="305" t="s">
        <v>310</v>
      </c>
      <c r="I55" s="87">
        <v>60</v>
      </c>
      <c r="J55" s="104">
        <v>30</v>
      </c>
      <c r="K55" s="87">
        <v>100</v>
      </c>
      <c r="L55" s="87">
        <v>30</v>
      </c>
    </row>
    <row r="56" spans="1:14" s="87" customFormat="1" ht="12.75" customHeight="1">
      <c r="A56" s="95" t="s">
        <v>311</v>
      </c>
      <c r="B56" s="100">
        <v>210</v>
      </c>
      <c r="C56" s="100">
        <v>80</v>
      </c>
      <c r="D56" s="100">
        <v>130</v>
      </c>
      <c r="E56" s="96">
        <v>30</v>
      </c>
      <c r="F56" s="96"/>
      <c r="G56" s="96"/>
      <c r="H56" s="305" t="s">
        <v>311</v>
      </c>
      <c r="I56" s="87">
        <v>60</v>
      </c>
      <c r="J56" s="104">
        <v>30</v>
      </c>
      <c r="K56" s="87">
        <v>100</v>
      </c>
      <c r="L56" s="87">
        <v>30</v>
      </c>
    </row>
    <row r="57" spans="1:14" s="16" customFormat="1" ht="12.75" customHeight="1">
      <c r="A57" s="14" t="s">
        <v>483</v>
      </c>
      <c r="B57" s="98"/>
      <c r="C57" s="98" t="s">
        <v>490</v>
      </c>
      <c r="D57" s="98"/>
      <c r="E57" s="98"/>
      <c r="F57" s="98"/>
      <c r="G57" s="75"/>
      <c r="I57" s="85" t="s">
        <v>498</v>
      </c>
    </row>
    <row r="58" spans="1:14" s="68" customFormat="1" ht="12.75" customHeight="1">
      <c r="A58" s="120" t="s">
        <v>484</v>
      </c>
      <c r="B58" s="83"/>
      <c r="C58" s="83" t="s">
        <v>491</v>
      </c>
      <c r="D58" s="83"/>
      <c r="E58" s="83"/>
      <c r="F58" s="83"/>
      <c r="G58" s="64"/>
    </row>
    <row r="59" spans="1:14" s="68" customFormat="1" ht="12.75" customHeight="1">
      <c r="A59" s="120" t="s">
        <v>488</v>
      </c>
      <c r="B59" s="83" t="s">
        <v>414</v>
      </c>
      <c r="C59" s="83" t="s">
        <v>415</v>
      </c>
      <c r="D59" s="83"/>
      <c r="E59" s="83" t="str">
        <f>""</f>
        <v/>
      </c>
      <c r="F59" s="83" t="str">
        <f>""</f>
        <v/>
      </c>
      <c r="G59" s="983" t="str">
        <f>G44</f>
        <v>Please specify the climate</v>
      </c>
      <c r="H59" s="64" t="s">
        <v>497</v>
      </c>
      <c r="I59" s="83" t="s">
        <v>414</v>
      </c>
      <c r="J59" s="83" t="s">
        <v>415</v>
      </c>
      <c r="K59" s="83"/>
      <c r="L59" s="83" t="str">
        <f>""</f>
        <v/>
      </c>
      <c r="M59" s="83" t="str">
        <f>""</f>
        <v/>
      </c>
      <c r="N59" s="978" t="str">
        <f>N44</f>
        <v>Please specify the climate</v>
      </c>
    </row>
    <row r="60" spans="1:14" s="966" customFormat="1" ht="12.75" customHeight="1">
      <c r="A60" s="964" t="str">
        <f>List!A6</f>
        <v>Please select</v>
      </c>
      <c r="B60" s="965"/>
      <c r="C60" s="965"/>
      <c r="D60" s="965"/>
      <c r="E60" s="965"/>
      <c r="F60" s="965"/>
      <c r="G60" s="965"/>
      <c r="H60" s="73" t="str">
        <f>A60</f>
        <v>Please select</v>
      </c>
      <c r="I60" s="965"/>
      <c r="J60" s="965"/>
      <c r="K60" s="965"/>
      <c r="L60" s="965"/>
      <c r="M60" s="965"/>
    </row>
    <row r="61" spans="1:14" s="87" customFormat="1" ht="12.75" customHeight="1">
      <c r="A61" s="95" t="s">
        <v>302</v>
      </c>
      <c r="B61" s="100">
        <v>70</v>
      </c>
      <c r="C61" s="100">
        <v>50</v>
      </c>
      <c r="D61" s="99"/>
      <c r="E61" s="96"/>
      <c r="F61" s="96"/>
      <c r="G61" s="96"/>
      <c r="H61" s="305" t="s">
        <v>302</v>
      </c>
      <c r="I61" s="87">
        <v>30</v>
      </c>
      <c r="J61" s="104">
        <v>90</v>
      </c>
    </row>
    <row r="62" spans="1:14" s="87" customFormat="1" ht="12.75" customHeight="1">
      <c r="A62" s="95" t="s">
        <v>303</v>
      </c>
      <c r="B62" s="100">
        <v>60</v>
      </c>
      <c r="C62" s="100">
        <v>135</v>
      </c>
      <c r="D62" s="99"/>
      <c r="E62" s="96"/>
      <c r="F62" s="96"/>
      <c r="G62" s="96"/>
      <c r="H62" s="305" t="s">
        <v>303</v>
      </c>
      <c r="I62" s="87">
        <v>30</v>
      </c>
      <c r="J62" s="104">
        <v>90</v>
      </c>
    </row>
    <row r="63" spans="1:14" s="87" customFormat="1" ht="12.75" customHeight="1">
      <c r="A63" s="95" t="s">
        <v>301</v>
      </c>
      <c r="B63" s="100">
        <v>60</v>
      </c>
      <c r="C63" s="100">
        <v>135</v>
      </c>
      <c r="D63" s="99"/>
      <c r="E63" s="96"/>
      <c r="F63" s="96"/>
      <c r="G63" s="96"/>
      <c r="H63" s="305" t="s">
        <v>301</v>
      </c>
      <c r="I63" s="87">
        <v>30</v>
      </c>
      <c r="J63" s="104">
        <v>90</v>
      </c>
    </row>
    <row r="64" spans="1:14" s="87" customFormat="1" ht="12.75" customHeight="1">
      <c r="A64" s="95" t="s">
        <v>304</v>
      </c>
      <c r="B64" s="100">
        <v>70</v>
      </c>
      <c r="C64" s="100">
        <v>205</v>
      </c>
      <c r="D64" s="99"/>
      <c r="E64" s="96"/>
      <c r="F64" s="96"/>
      <c r="G64" s="96"/>
      <c r="H64" s="305" t="s">
        <v>304</v>
      </c>
      <c r="I64" s="87">
        <v>30</v>
      </c>
      <c r="J64" s="104">
        <v>90</v>
      </c>
    </row>
    <row r="65" spans="1:10" s="87" customFormat="1" ht="12.75" customHeight="1">
      <c r="A65" s="95" t="s">
        <v>305</v>
      </c>
      <c r="B65" s="96">
        <v>70</v>
      </c>
      <c r="C65" s="96">
        <v>140</v>
      </c>
      <c r="D65" s="99"/>
      <c r="E65" s="96"/>
      <c r="F65" s="96"/>
      <c r="G65" s="96"/>
      <c r="H65" s="305" t="s">
        <v>305</v>
      </c>
      <c r="I65" s="87">
        <v>30</v>
      </c>
      <c r="J65" s="104">
        <v>90</v>
      </c>
    </row>
    <row r="66" spans="1:10" s="87" customFormat="1" ht="12.75" customHeight="1">
      <c r="A66" s="95" t="s">
        <v>306</v>
      </c>
      <c r="B66" s="96">
        <v>70</v>
      </c>
      <c r="C66" s="96">
        <v>140</v>
      </c>
      <c r="D66" s="99"/>
      <c r="E66" s="96"/>
      <c r="F66" s="96"/>
      <c r="G66" s="96"/>
      <c r="H66" s="305" t="s">
        <v>306</v>
      </c>
      <c r="I66" s="87">
        <v>30</v>
      </c>
      <c r="J66" s="104">
        <v>90</v>
      </c>
    </row>
    <row r="67" spans="1:10" s="87" customFormat="1" ht="12.75" customHeight="1">
      <c r="A67" s="95" t="s">
        <v>307</v>
      </c>
      <c r="B67" s="96">
        <v>70</v>
      </c>
      <c r="C67" s="96">
        <v>140</v>
      </c>
      <c r="D67" s="99"/>
      <c r="E67" s="96"/>
      <c r="F67" s="96"/>
      <c r="G67" s="96"/>
      <c r="H67" s="305" t="s">
        <v>307</v>
      </c>
      <c r="I67" s="87">
        <v>30</v>
      </c>
      <c r="J67" s="104">
        <v>90</v>
      </c>
    </row>
    <row r="68" spans="1:10" s="87" customFormat="1" ht="12.75" customHeight="1">
      <c r="A68" s="95" t="s">
        <v>308</v>
      </c>
      <c r="B68" s="96">
        <v>70</v>
      </c>
      <c r="C68" s="96">
        <v>140</v>
      </c>
      <c r="D68" s="99"/>
      <c r="E68" s="96"/>
      <c r="F68" s="96"/>
      <c r="G68" s="96"/>
      <c r="H68" s="305" t="s">
        <v>308</v>
      </c>
      <c r="I68" s="87">
        <v>30</v>
      </c>
      <c r="J68" s="104">
        <v>90</v>
      </c>
    </row>
    <row r="69" spans="1:10" s="87" customFormat="1" ht="12.75" customHeight="1">
      <c r="A69" s="95" t="s">
        <v>309</v>
      </c>
      <c r="B69" s="100">
        <v>80</v>
      </c>
      <c r="C69" s="100">
        <v>145</v>
      </c>
      <c r="D69" s="99"/>
      <c r="E69" s="96"/>
      <c r="F69" s="96"/>
      <c r="G69" s="96"/>
      <c r="H69" s="305" t="s">
        <v>309</v>
      </c>
      <c r="I69" s="87">
        <v>30</v>
      </c>
      <c r="J69" s="104">
        <v>90</v>
      </c>
    </row>
    <row r="70" spans="1:10" s="87" customFormat="1" ht="12.75" customHeight="1">
      <c r="A70" s="95" t="s">
        <v>310</v>
      </c>
      <c r="B70" s="100">
        <v>80</v>
      </c>
      <c r="C70" s="100">
        <v>145</v>
      </c>
      <c r="D70" s="96"/>
      <c r="E70" s="96"/>
      <c r="F70" s="96"/>
      <c r="G70" s="96"/>
      <c r="H70" s="305" t="s">
        <v>310</v>
      </c>
      <c r="I70" s="87">
        <v>30</v>
      </c>
      <c r="J70" s="104">
        <v>90</v>
      </c>
    </row>
    <row r="71" spans="1:10" s="87" customFormat="1" ht="12.75" customHeight="1">
      <c r="A71" s="95" t="s">
        <v>311</v>
      </c>
      <c r="B71" s="100">
        <v>80</v>
      </c>
      <c r="C71" s="100">
        <v>145</v>
      </c>
      <c r="D71" s="96"/>
      <c r="E71" s="96"/>
      <c r="F71" s="96"/>
      <c r="G71" s="96"/>
      <c r="H71" s="305" t="s">
        <v>311</v>
      </c>
      <c r="I71" s="87">
        <v>30</v>
      </c>
      <c r="J71" s="104">
        <v>90</v>
      </c>
    </row>
    <row r="72" spans="1:10" s="17" customFormat="1" ht="12.75" customHeight="1">
      <c r="A72" s="13" t="s">
        <v>511</v>
      </c>
      <c r="B72" s="97"/>
      <c r="C72" s="97"/>
      <c r="D72" s="97"/>
      <c r="E72" s="97"/>
      <c r="F72" s="97"/>
      <c r="G72" s="65"/>
      <c r="I72" s="85"/>
    </row>
    <row r="73" spans="1:10" s="68" customFormat="1" ht="12.75" customHeight="1">
      <c r="A73" s="120" t="s">
        <v>493</v>
      </c>
      <c r="B73" s="83"/>
      <c r="C73" s="83" t="s">
        <v>513</v>
      </c>
      <c r="D73" s="83"/>
      <c r="E73" s="83"/>
      <c r="F73" s="83"/>
      <c r="G73" s="64"/>
    </row>
    <row r="74" spans="1:10" s="68" customFormat="1" ht="12.75" customHeight="1">
      <c r="A74" s="120" t="s">
        <v>298</v>
      </c>
      <c r="B74" s="83" t="s">
        <v>508</v>
      </c>
      <c r="C74" s="83" t="s">
        <v>512</v>
      </c>
      <c r="D74" s="83"/>
      <c r="E74" s="83"/>
      <c r="F74" s="83"/>
      <c r="G74" s="64"/>
    </row>
    <row r="75" spans="1:10" s="87" customFormat="1" ht="12.75" customHeight="1">
      <c r="A75" s="95" t="s">
        <v>323</v>
      </c>
      <c r="B75" s="416">
        <v>28</v>
      </c>
      <c r="C75" s="96"/>
      <c r="D75" s="96"/>
      <c r="E75" s="96"/>
      <c r="F75" s="96"/>
      <c r="G75" s="132"/>
      <c r="I75" s="104"/>
    </row>
    <row r="76" spans="1:10" s="87" customFormat="1" ht="12.75" customHeight="1">
      <c r="A76" s="95" t="s">
        <v>322</v>
      </c>
      <c r="B76" s="416">
        <v>47</v>
      </c>
      <c r="C76" s="96"/>
      <c r="D76" s="96"/>
      <c r="E76" s="96"/>
      <c r="F76" s="96"/>
      <c r="G76" s="132"/>
      <c r="I76" s="104"/>
    </row>
    <row r="77" spans="1:10" s="87" customFormat="1" ht="12.75" customHeight="1">
      <c r="A77" s="95" t="s">
        <v>320</v>
      </c>
      <c r="B77" s="416">
        <v>28</v>
      </c>
      <c r="C77" s="96"/>
      <c r="D77" s="96"/>
      <c r="E77" s="96"/>
      <c r="F77" s="96"/>
      <c r="G77" s="132"/>
      <c r="I77" s="104"/>
    </row>
    <row r="78" spans="1:10" s="87" customFormat="1" ht="12.75" customHeight="1">
      <c r="A78" s="95" t="s">
        <v>321</v>
      </c>
      <c r="B78" s="416">
        <v>21</v>
      </c>
      <c r="C78" s="96"/>
      <c r="D78" s="96"/>
      <c r="E78" s="96"/>
      <c r="F78" s="96"/>
      <c r="G78" s="132"/>
      <c r="I78" s="104"/>
    </row>
    <row r="79" spans="1:10" s="87" customFormat="1" ht="12.75" customHeight="1">
      <c r="A79" s="95" t="s">
        <v>319</v>
      </c>
      <c r="B79" s="416">
        <v>24.3</v>
      </c>
      <c r="C79" s="96"/>
      <c r="D79" s="96"/>
      <c r="E79" s="96"/>
      <c r="F79" s="96"/>
      <c r="G79" s="132"/>
      <c r="I79" s="104"/>
    </row>
    <row r="80" spans="1:10" s="87" customFormat="1" ht="12.75" customHeight="1">
      <c r="A80" s="95" t="s">
        <v>475</v>
      </c>
      <c r="B80" s="416">
        <v>17.5</v>
      </c>
      <c r="C80" s="96"/>
      <c r="D80" s="96"/>
      <c r="E80" s="96"/>
      <c r="F80" s="96"/>
      <c r="G80" s="132"/>
      <c r="I80" s="104"/>
    </row>
    <row r="81" spans="1:9" s="87" customFormat="1" ht="12.75" customHeight="1">
      <c r="A81" s="95" t="s">
        <v>516</v>
      </c>
      <c r="B81" s="416">
        <f>B83</f>
        <v>3.65</v>
      </c>
      <c r="C81" s="96"/>
      <c r="D81" s="96"/>
      <c r="E81" s="96"/>
      <c r="F81" s="96"/>
      <c r="G81" s="132"/>
      <c r="I81" s="104"/>
    </row>
    <row r="82" spans="1:9" s="87" customFormat="1" ht="12.75" customHeight="1">
      <c r="A82" s="95" t="s">
        <v>515</v>
      </c>
      <c r="B82" s="416">
        <f>B81</f>
        <v>3.65</v>
      </c>
      <c r="C82" s="96"/>
      <c r="D82" s="96"/>
      <c r="E82" s="96"/>
      <c r="F82" s="96"/>
      <c r="G82" s="132"/>
      <c r="I82" s="104"/>
    </row>
    <row r="83" spans="1:9" s="87" customFormat="1" ht="12.75" customHeight="1">
      <c r="A83" s="95" t="s">
        <v>318</v>
      </c>
      <c r="B83" s="416">
        <f>7.3/2</f>
        <v>3.65</v>
      </c>
      <c r="C83" s="96"/>
      <c r="D83" s="96"/>
      <c r="E83" s="96"/>
      <c r="F83" s="96"/>
      <c r="G83" s="132"/>
      <c r="I83" s="104"/>
    </row>
    <row r="84" spans="1:9" s="87" customFormat="1" ht="12.75" customHeight="1">
      <c r="A84" s="95" t="s">
        <v>316</v>
      </c>
      <c r="B84" s="416">
        <f>B83</f>
        <v>3.65</v>
      </c>
      <c r="C84" s="96"/>
      <c r="D84" s="96"/>
      <c r="E84" s="96"/>
      <c r="F84" s="96"/>
      <c r="G84" s="132"/>
      <c r="I84" s="104"/>
    </row>
    <row r="85" spans="1:9" s="87" customFormat="1" ht="12.75" customHeight="1">
      <c r="A85" s="95" t="s">
        <v>315</v>
      </c>
      <c r="B85" s="416">
        <f>B84</f>
        <v>3.65</v>
      </c>
      <c r="C85" s="96"/>
      <c r="D85" s="96"/>
      <c r="E85" s="96"/>
      <c r="F85" s="96"/>
      <c r="G85" s="132"/>
      <c r="I85" s="104"/>
    </row>
    <row r="86" spans="1:9" s="17" customFormat="1" ht="12.75" customHeight="1">
      <c r="A86" s="14" t="s">
        <v>536</v>
      </c>
      <c r="B86" s="97"/>
      <c r="C86" s="97"/>
      <c r="D86" s="97"/>
      <c r="E86" s="97"/>
      <c r="F86" s="97"/>
      <c r="G86" s="65"/>
      <c r="I86" s="85"/>
    </row>
    <row r="87" spans="1:9" s="17" customFormat="1" ht="12.75" customHeight="1">
      <c r="A87" s="13"/>
      <c r="B87" s="97"/>
      <c r="C87" s="97" t="s">
        <v>530</v>
      </c>
      <c r="D87" s="97"/>
      <c r="E87" s="97"/>
      <c r="F87" s="97"/>
      <c r="G87" s="65"/>
      <c r="I87" s="85"/>
    </row>
    <row r="88" spans="1:9" s="17" customFormat="1" ht="12.75" customHeight="1">
      <c r="A88" s="13"/>
      <c r="B88" s="97" t="s">
        <v>525</v>
      </c>
      <c r="C88" s="97" t="s">
        <v>527</v>
      </c>
      <c r="D88" s="17" t="s">
        <v>528</v>
      </c>
      <c r="E88" s="97" t="s">
        <v>529</v>
      </c>
      <c r="F88" s="97" t="s">
        <v>526</v>
      </c>
      <c r="G88" s="65"/>
      <c r="I88" s="85"/>
    </row>
    <row r="89" spans="1:9" s="87" customFormat="1" ht="12.75" customHeight="1">
      <c r="A89" s="96" t="s">
        <v>398</v>
      </c>
      <c r="B89" s="96">
        <v>0.37</v>
      </c>
      <c r="C89" s="96">
        <f>B89</f>
        <v>0.37</v>
      </c>
      <c r="D89" s="96">
        <f>C89</f>
        <v>0.37</v>
      </c>
      <c r="E89" s="96">
        <f>D89</f>
        <v>0.37</v>
      </c>
      <c r="F89" s="96">
        <f>E89</f>
        <v>0.37</v>
      </c>
      <c r="G89" s="132"/>
      <c r="I89" s="104"/>
    </row>
    <row r="90" spans="1:9" s="87" customFormat="1" ht="12.75" customHeight="1">
      <c r="A90" s="96" t="s">
        <v>404</v>
      </c>
      <c r="B90" s="96">
        <v>0.2</v>
      </c>
      <c r="C90" s="96">
        <f>B90</f>
        <v>0.2</v>
      </c>
      <c r="D90" s="96">
        <f>C90</f>
        <v>0.2</v>
      </c>
      <c r="E90" s="96">
        <f>D90</f>
        <v>0.2</v>
      </c>
      <c r="F90" s="96">
        <v>0.24</v>
      </c>
      <c r="G90" s="132"/>
      <c r="I90" s="104"/>
    </row>
    <row r="91" spans="1:9" s="87" customFormat="1" ht="12.75" customHeight="1">
      <c r="A91" s="96" t="s">
        <v>409</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414</v>
      </c>
      <c r="B92" s="96">
        <v>0.4</v>
      </c>
      <c r="C92" s="96">
        <f>B92</f>
        <v>0.4</v>
      </c>
      <c r="D92" s="96">
        <f t="shared" si="0"/>
        <v>0.4</v>
      </c>
      <c r="E92" s="96">
        <f t="shared" si="0"/>
        <v>0.4</v>
      </c>
      <c r="F92" s="96">
        <f t="shared" si="0"/>
        <v>0.4</v>
      </c>
      <c r="G92" s="132"/>
      <c r="I92" s="104"/>
    </row>
    <row r="93" spans="1:9" s="87" customFormat="1" ht="12.75" customHeight="1">
      <c r="A93" s="95" t="s">
        <v>402</v>
      </c>
      <c r="B93" s="96">
        <v>0.27</v>
      </c>
      <c r="C93" s="96">
        <f>B93</f>
        <v>0.27</v>
      </c>
      <c r="D93" s="96">
        <f t="shared" ref="D93:F97" si="1">C93</f>
        <v>0.27</v>
      </c>
      <c r="E93" s="96">
        <f t="shared" si="1"/>
        <v>0.27</v>
      </c>
      <c r="F93" s="96">
        <f t="shared" si="1"/>
        <v>0.27</v>
      </c>
      <c r="G93" s="132"/>
      <c r="I93" s="104"/>
    </row>
    <row r="94" spans="1:9" s="87" customFormat="1" ht="12.75" customHeight="1">
      <c r="A94" s="96" t="s">
        <v>399</v>
      </c>
      <c r="B94" s="96">
        <v>0.2</v>
      </c>
      <c r="C94" s="96">
        <f>B94</f>
        <v>0.2</v>
      </c>
      <c r="D94" s="96">
        <f t="shared" si="1"/>
        <v>0.2</v>
      </c>
      <c r="E94" s="96">
        <f t="shared" si="1"/>
        <v>0.2</v>
      </c>
      <c r="F94" s="96">
        <v>0.24</v>
      </c>
      <c r="G94" s="132"/>
      <c r="I94" s="104"/>
    </row>
    <row r="95" spans="1:9" s="87" customFormat="1" ht="12.75" customHeight="1">
      <c r="A95" s="96" t="s">
        <v>405</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410</v>
      </c>
      <c r="B96" s="96">
        <v>0.32</v>
      </c>
      <c r="C96" s="96">
        <f>B96</f>
        <v>0.32</v>
      </c>
      <c r="D96" s="96">
        <f>C96</f>
        <v>0.32</v>
      </c>
      <c r="E96" s="96">
        <f t="shared" si="1"/>
        <v>0.32</v>
      </c>
      <c r="F96" s="96">
        <f>E96</f>
        <v>0.32</v>
      </c>
      <c r="G96" s="132"/>
      <c r="I96" s="104"/>
    </row>
    <row r="97" spans="1:9" s="87" customFormat="1" ht="12.75" customHeight="1">
      <c r="A97" s="96" t="s">
        <v>415</v>
      </c>
      <c r="B97" s="96">
        <f>B93</f>
        <v>0.27</v>
      </c>
      <c r="C97" s="96">
        <f>B97</f>
        <v>0.27</v>
      </c>
      <c r="D97" s="96">
        <f>C97</f>
        <v>0.27</v>
      </c>
      <c r="E97" s="96">
        <f t="shared" si="1"/>
        <v>0.27</v>
      </c>
      <c r="F97" s="96">
        <f>E97</f>
        <v>0.27</v>
      </c>
      <c r="G97" s="132"/>
      <c r="I97" s="104"/>
    </row>
    <row r="98" spans="1:9" s="87" customFormat="1" ht="12.75" customHeight="1">
      <c r="A98" s="96" t="s">
        <v>400</v>
      </c>
      <c r="B98" s="96">
        <v>0.44</v>
      </c>
      <c r="C98" s="96">
        <v>0.44</v>
      </c>
      <c r="D98" s="96">
        <v>0.44</v>
      </c>
      <c r="E98" s="96">
        <v>0.25</v>
      </c>
      <c r="F98" s="96">
        <v>0.22</v>
      </c>
      <c r="G98" s="132"/>
      <c r="I98" s="104"/>
    </row>
    <row r="99" spans="1:9" s="87" customFormat="1" ht="12.75" customHeight="1">
      <c r="A99" s="96" t="s">
        <v>406</v>
      </c>
      <c r="B99" s="96">
        <f>B98</f>
        <v>0.44</v>
      </c>
      <c r="C99" s="96">
        <f t="shared" ref="C99:F100" si="2">C98</f>
        <v>0.44</v>
      </c>
      <c r="D99" s="96">
        <f t="shared" si="2"/>
        <v>0.44</v>
      </c>
      <c r="E99" s="96">
        <f t="shared" si="2"/>
        <v>0.25</v>
      </c>
      <c r="F99" s="96">
        <f t="shared" si="2"/>
        <v>0.22</v>
      </c>
      <c r="G99" s="132"/>
      <c r="I99" s="104"/>
    </row>
    <row r="100" spans="1:9" s="87" customFormat="1" ht="12.75" customHeight="1">
      <c r="A100" s="96" t="s">
        <v>411</v>
      </c>
      <c r="B100" s="96">
        <f>B99</f>
        <v>0.44</v>
      </c>
      <c r="C100" s="96">
        <f t="shared" si="2"/>
        <v>0.44</v>
      </c>
      <c r="D100" s="96">
        <f t="shared" si="2"/>
        <v>0.44</v>
      </c>
      <c r="E100" s="96">
        <f t="shared" si="2"/>
        <v>0.25</v>
      </c>
      <c r="F100" s="96">
        <f t="shared" si="2"/>
        <v>0.22</v>
      </c>
      <c r="G100" s="132"/>
      <c r="I100" s="104"/>
    </row>
    <row r="101" spans="1:9" s="87" customFormat="1" ht="12.75" customHeight="1">
      <c r="A101" s="96" t="s">
        <v>401</v>
      </c>
      <c r="B101" s="96">
        <v>0.39</v>
      </c>
      <c r="C101" s="96">
        <v>0.39</v>
      </c>
      <c r="D101" s="96">
        <v>0.39</v>
      </c>
      <c r="E101" s="96">
        <v>0.39</v>
      </c>
      <c r="F101" s="96">
        <v>0.24</v>
      </c>
      <c r="G101" s="132"/>
      <c r="I101" s="104"/>
    </row>
    <row r="102" spans="1:9" s="87" customFormat="1" ht="12.75" customHeight="1">
      <c r="A102" s="96" t="s">
        <v>407</v>
      </c>
      <c r="B102" s="96">
        <f>B101</f>
        <v>0.39</v>
      </c>
      <c r="C102" s="96">
        <f>C101</f>
        <v>0.39</v>
      </c>
      <c r="D102" s="96">
        <f>D101</f>
        <v>0.39</v>
      </c>
      <c r="E102" s="96">
        <f>E101</f>
        <v>0.39</v>
      </c>
      <c r="F102" s="96">
        <f>F101</f>
        <v>0.24</v>
      </c>
      <c r="G102" s="132"/>
      <c r="I102" s="104"/>
    </row>
    <row r="103" spans="1:9" s="87" customFormat="1" ht="12.75" customHeight="1">
      <c r="A103" s="96" t="s">
        <v>412</v>
      </c>
      <c r="B103" s="96">
        <f>B101</f>
        <v>0.39</v>
      </c>
      <c r="C103" s="96">
        <f>C101</f>
        <v>0.39</v>
      </c>
      <c r="D103" s="96">
        <f>D101</f>
        <v>0.39</v>
      </c>
      <c r="E103" s="96">
        <f>E101</f>
        <v>0.39</v>
      </c>
      <c r="F103" s="96">
        <f>F101</f>
        <v>0.24</v>
      </c>
      <c r="G103" s="132"/>
      <c r="I103" s="104"/>
    </row>
    <row r="104" spans="1:9" s="17" customFormat="1" ht="12.75" customHeight="1">
      <c r="A104" s="13" t="s">
        <v>541</v>
      </c>
      <c r="B104" s="97"/>
      <c r="C104" s="97"/>
      <c r="D104" s="97"/>
      <c r="E104" s="97"/>
      <c r="F104" s="97"/>
      <c r="G104" s="65"/>
      <c r="I104" s="85"/>
    </row>
    <row r="105" spans="1:9" s="17" customFormat="1" ht="12.75" customHeight="1">
      <c r="A105" s="13"/>
      <c r="B105" s="97" t="s">
        <v>542</v>
      </c>
      <c r="D105" s="97"/>
      <c r="E105" s="97"/>
      <c r="F105" s="97"/>
      <c r="G105" s="65"/>
      <c r="I105" s="85"/>
    </row>
    <row r="106" spans="1:9" s="17" customFormat="1" ht="12.75" customHeight="1">
      <c r="A106" s="13"/>
      <c r="B106" s="65" t="s">
        <v>543</v>
      </c>
      <c r="C106" s="65" t="s">
        <v>336</v>
      </c>
      <c r="D106" s="30" t="s">
        <v>337</v>
      </c>
      <c r="E106" s="65" t="s">
        <v>338</v>
      </c>
      <c r="F106" s="97" t="s">
        <v>996</v>
      </c>
      <c r="G106" s="65"/>
      <c r="I106" s="85"/>
    </row>
    <row r="107" spans="1:9" s="12" customFormat="1" ht="12.75" customHeight="1">
      <c r="A107" s="984" t="str">
        <f>G8</f>
        <v>Please specify the climate</v>
      </c>
      <c r="B107" s="979"/>
      <c r="C107" s="979"/>
      <c r="D107" s="86"/>
      <c r="E107" s="979"/>
      <c r="F107" s="981"/>
      <c r="G107" s="979"/>
      <c r="I107" s="106"/>
    </row>
    <row r="108" spans="1:9" s="87" customFormat="1" ht="12.75" customHeight="1">
      <c r="A108" s="96" t="s">
        <v>398</v>
      </c>
      <c r="B108" s="132">
        <v>0.32</v>
      </c>
      <c r="C108" s="132">
        <v>1580</v>
      </c>
      <c r="D108" s="132">
        <v>6.8</v>
      </c>
      <c r="E108" s="132">
        <v>0.2</v>
      </c>
      <c r="F108" s="96"/>
      <c r="G108" s="132"/>
      <c r="I108" s="104"/>
    </row>
    <row r="109" spans="1:9" s="87" customFormat="1" ht="12.75" customHeight="1">
      <c r="A109" s="96" t="s">
        <v>404</v>
      </c>
      <c r="B109" s="132">
        <v>0.36</v>
      </c>
      <c r="C109" s="132">
        <v>1580</v>
      </c>
      <c r="D109" s="132">
        <v>6.8</v>
      </c>
      <c r="E109" s="132">
        <v>0.2</v>
      </c>
      <c r="F109" s="96"/>
      <c r="G109" s="132"/>
      <c r="I109" s="104"/>
    </row>
    <row r="110" spans="1:9" s="87" customFormat="1" ht="12.75" customHeight="1">
      <c r="A110" s="96" t="s">
        <v>409</v>
      </c>
      <c r="B110" s="132">
        <v>0.36</v>
      </c>
      <c r="C110" s="132">
        <v>1580</v>
      </c>
      <c r="D110" s="132">
        <v>6.8</v>
      </c>
      <c r="E110" s="132">
        <v>0.2</v>
      </c>
      <c r="F110" s="96"/>
      <c r="G110" s="132"/>
      <c r="I110" s="104"/>
    </row>
    <row r="111" spans="1:9" s="87" customFormat="1" ht="12.75" customHeight="1">
      <c r="A111" s="96" t="s">
        <v>414</v>
      </c>
      <c r="B111" s="132">
        <v>0.72</v>
      </c>
      <c r="C111" s="132">
        <v>1580</v>
      </c>
      <c r="D111" s="132">
        <v>6.8</v>
      </c>
      <c r="E111" s="132">
        <v>0.2</v>
      </c>
      <c r="F111" s="96"/>
      <c r="G111" s="132"/>
      <c r="I111" s="104"/>
    </row>
    <row r="112" spans="1:9" s="87" customFormat="1" ht="12.75" customHeight="1">
      <c r="A112" s="95" t="s">
        <v>402</v>
      </c>
      <c r="B112" s="132">
        <v>0.36</v>
      </c>
      <c r="C112" s="132">
        <v>1580</v>
      </c>
      <c r="D112" s="132">
        <v>6.8</v>
      </c>
      <c r="E112" s="132">
        <v>0.2</v>
      </c>
      <c r="F112" s="96"/>
      <c r="G112" s="132"/>
      <c r="I112" s="104"/>
    </row>
    <row r="113" spans="1:9" s="87" customFormat="1" ht="12.75" customHeight="1">
      <c r="A113" s="96" t="s">
        <v>399</v>
      </c>
      <c r="B113" s="132">
        <v>0.36</v>
      </c>
      <c r="C113" s="132">
        <v>1569</v>
      </c>
      <c r="D113" s="132">
        <v>4.7</v>
      </c>
      <c r="E113" s="132">
        <v>0.26</v>
      </c>
      <c r="F113" s="96"/>
      <c r="G113" s="132"/>
      <c r="I113" s="104"/>
    </row>
    <row r="114" spans="1:9" s="87" customFormat="1" ht="12.75" customHeight="1">
      <c r="A114" s="96" t="s">
        <v>405</v>
      </c>
      <c r="B114" s="132">
        <v>0.36</v>
      </c>
      <c r="C114" s="132">
        <v>1569</v>
      </c>
      <c r="D114" s="132">
        <v>4.7</v>
      </c>
      <c r="E114" s="132">
        <v>0.26</v>
      </c>
      <c r="F114" s="96"/>
      <c r="G114" s="132"/>
      <c r="I114" s="104"/>
    </row>
    <row r="115" spans="1:9" s="87" customFormat="1" ht="12.75" customHeight="1">
      <c r="A115" s="96" t="s">
        <v>410</v>
      </c>
      <c r="B115" s="132">
        <v>0.74</v>
      </c>
      <c r="C115" s="132">
        <v>1569</v>
      </c>
      <c r="D115" s="132">
        <v>4.7</v>
      </c>
      <c r="E115" s="132">
        <v>0.26</v>
      </c>
      <c r="F115" s="96"/>
      <c r="G115" s="132"/>
      <c r="I115" s="104"/>
    </row>
    <row r="116" spans="1:9" s="87" customFormat="1" ht="12.75" customHeight="1">
      <c r="A116" s="96" t="s">
        <v>415</v>
      </c>
      <c r="B116" s="132">
        <v>0.36</v>
      </c>
      <c r="C116" s="132">
        <v>1569</v>
      </c>
      <c r="D116" s="132">
        <v>4.7</v>
      </c>
      <c r="E116" s="132">
        <v>0.26</v>
      </c>
      <c r="F116" s="96"/>
      <c r="G116" s="132"/>
      <c r="I116" s="104"/>
    </row>
    <row r="117" spans="1:9" s="87" customFormat="1" ht="12.75" customHeight="1">
      <c r="A117" s="96" t="s">
        <v>400</v>
      </c>
      <c r="B117" s="132">
        <v>0.45</v>
      </c>
      <c r="C117" s="132">
        <v>1569</v>
      </c>
      <c r="D117" s="132">
        <v>4.7</v>
      </c>
      <c r="E117" s="132">
        <v>0.26</v>
      </c>
      <c r="F117" s="96"/>
      <c r="G117" s="132"/>
      <c r="I117" s="104"/>
    </row>
    <row r="118" spans="1:9" s="87" customFormat="1" ht="12.75" customHeight="1">
      <c r="A118" s="96" t="s">
        <v>406</v>
      </c>
      <c r="B118" s="132">
        <v>0.45</v>
      </c>
      <c r="C118" s="132">
        <v>1569</v>
      </c>
      <c r="D118" s="132">
        <v>4.7</v>
      </c>
      <c r="E118" s="132">
        <v>0.26</v>
      </c>
      <c r="F118" s="96"/>
      <c r="G118" s="132"/>
      <c r="I118" s="104"/>
    </row>
    <row r="119" spans="1:9" s="87" customFormat="1" ht="12.75" customHeight="1">
      <c r="A119" s="96" t="s">
        <v>411</v>
      </c>
      <c r="B119" s="132">
        <v>0.45</v>
      </c>
      <c r="C119" s="132">
        <v>1569</v>
      </c>
      <c r="D119" s="132">
        <v>4.7</v>
      </c>
      <c r="E119" s="132">
        <v>0.26</v>
      </c>
      <c r="F119" s="96"/>
      <c r="G119" s="132"/>
      <c r="I119" s="104"/>
    </row>
    <row r="120" spans="1:9" s="87" customFormat="1" ht="12.75" customHeight="1">
      <c r="A120" s="96" t="s">
        <v>401</v>
      </c>
      <c r="B120" s="132">
        <v>0.34</v>
      </c>
      <c r="C120" s="132">
        <v>1569</v>
      </c>
      <c r="D120" s="132">
        <v>4.7</v>
      </c>
      <c r="E120" s="132">
        <v>0.26</v>
      </c>
      <c r="F120" s="96"/>
      <c r="G120" s="132"/>
      <c r="I120" s="104"/>
    </row>
    <row r="121" spans="1:9" s="87" customFormat="1" ht="12.75" customHeight="1">
      <c r="A121" s="96" t="s">
        <v>407</v>
      </c>
      <c r="B121" s="132">
        <v>0.34</v>
      </c>
      <c r="C121" s="132">
        <v>1569</v>
      </c>
      <c r="D121" s="132">
        <v>4.7</v>
      </c>
      <c r="E121" s="132">
        <v>0.26</v>
      </c>
      <c r="F121" s="96"/>
      <c r="G121" s="132"/>
      <c r="I121" s="104"/>
    </row>
    <row r="122" spans="1:9" s="87" customFormat="1" ht="12.75" customHeight="1">
      <c r="A122" s="96" t="s">
        <v>412</v>
      </c>
      <c r="B122" s="132">
        <v>0.34</v>
      </c>
      <c r="C122" s="132">
        <v>1569</v>
      </c>
      <c r="D122" s="132">
        <v>4.7</v>
      </c>
      <c r="E122" s="132">
        <v>0.26</v>
      </c>
      <c r="F122" s="96"/>
      <c r="G122" s="132"/>
      <c r="I122" s="104"/>
    </row>
    <row r="123" spans="1:9" s="17" customFormat="1" ht="12.75" customHeight="1">
      <c r="A123" s="97" t="s">
        <v>586</v>
      </c>
      <c r="B123" s="65"/>
      <c r="C123" s="65"/>
      <c r="D123" s="65"/>
      <c r="E123" s="65"/>
      <c r="F123" s="97"/>
      <c r="G123" s="65"/>
      <c r="I123" s="85"/>
    </row>
    <row r="124" spans="1:9" s="17" customFormat="1" ht="12.75" customHeight="1">
      <c r="A124" s="97" t="s">
        <v>583</v>
      </c>
      <c r="B124" s="65" t="s">
        <v>1176</v>
      </c>
      <c r="C124" s="65"/>
      <c r="D124" s="65"/>
      <c r="E124" s="65"/>
      <c r="F124" s="97" t="s">
        <v>705</v>
      </c>
      <c r="G124" s="65"/>
      <c r="I124" s="85"/>
    </row>
    <row r="125" spans="1:9" s="64" customFormat="1">
      <c r="A125" s="64" t="s">
        <v>470</v>
      </c>
      <c r="B125" s="133" t="s">
        <v>676</v>
      </c>
      <c r="C125" s="17" t="s">
        <v>673</v>
      </c>
      <c r="D125" s="17" t="str">
        <f>List!A88</f>
        <v>Flooded Rice</v>
      </c>
      <c r="E125" s="17" t="s">
        <v>674</v>
      </c>
      <c r="F125" s="17" t="s">
        <v>334</v>
      </c>
      <c r="G125" s="17" t="s">
        <v>1207</v>
      </c>
      <c r="H125" s="64" t="s">
        <v>132</v>
      </c>
      <c r="I125" s="64" t="s">
        <v>133</v>
      </c>
    </row>
    <row r="126" spans="1:9" s="977" customFormat="1">
      <c r="A126" s="977" t="str">
        <f>G7</f>
        <v>Please select</v>
      </c>
      <c r="B126" s="985"/>
      <c r="C126" s="12"/>
      <c r="D126" s="12"/>
      <c r="E126" s="12"/>
      <c r="F126" s="12"/>
      <c r="G126" s="12"/>
    </row>
    <row r="127" spans="1:9" s="101" customFormat="1">
      <c r="A127" s="99" t="s">
        <v>323</v>
      </c>
      <c r="B127" s="179">
        <v>5</v>
      </c>
      <c r="C127" s="179">
        <v>2.1</v>
      </c>
      <c r="D127" s="179">
        <v>5</v>
      </c>
      <c r="E127" s="179">
        <v>5</v>
      </c>
      <c r="F127" s="179">
        <f>8.5*0.47</f>
        <v>3.9949999999999997</v>
      </c>
      <c r="G127" s="179">
        <v>1</v>
      </c>
      <c r="H127" s="101">
        <v>0</v>
      </c>
      <c r="I127" s="101">
        <v>0</v>
      </c>
    </row>
    <row r="128" spans="1:9" s="101" customFormat="1">
      <c r="A128" s="99" t="s">
        <v>322</v>
      </c>
      <c r="B128" s="179">
        <v>5</v>
      </c>
      <c r="C128" s="179">
        <v>2.1</v>
      </c>
      <c r="D128" s="179">
        <v>5</v>
      </c>
      <c r="E128" s="179">
        <v>5</v>
      </c>
      <c r="F128" s="179">
        <f>F127</f>
        <v>3.9949999999999997</v>
      </c>
      <c r="G128" s="179">
        <v>1</v>
      </c>
      <c r="H128" s="101">
        <v>0</v>
      </c>
      <c r="I128" s="101">
        <v>0</v>
      </c>
    </row>
    <row r="129" spans="1:20" s="101" customFormat="1">
      <c r="A129" s="180" t="s">
        <v>320</v>
      </c>
      <c r="B129" s="179">
        <v>5</v>
      </c>
      <c r="C129" s="179">
        <v>2.1</v>
      </c>
      <c r="D129" s="179">
        <v>5</v>
      </c>
      <c r="E129" s="179">
        <v>5</v>
      </c>
      <c r="F129" s="179">
        <f>6.5*0.47</f>
        <v>3.0549999999999997</v>
      </c>
      <c r="G129" s="179">
        <v>1</v>
      </c>
      <c r="H129" s="101">
        <v>0</v>
      </c>
      <c r="I129" s="101">
        <v>0</v>
      </c>
    </row>
    <row r="130" spans="1:20" s="101" customFormat="1">
      <c r="A130" s="180" t="s">
        <v>321</v>
      </c>
      <c r="B130" s="179">
        <v>5</v>
      </c>
      <c r="C130" s="179">
        <v>2.1</v>
      </c>
      <c r="D130" s="179">
        <v>5</v>
      </c>
      <c r="E130" s="179">
        <v>5</v>
      </c>
      <c r="F130" s="179">
        <f>13.6*0.47</f>
        <v>6.3919999999999995</v>
      </c>
      <c r="G130" s="179">
        <v>1</v>
      </c>
      <c r="H130" s="101">
        <v>0</v>
      </c>
      <c r="I130" s="101">
        <v>0</v>
      </c>
    </row>
    <row r="131" spans="1:20" s="101" customFormat="1">
      <c r="A131" s="180" t="s">
        <v>319</v>
      </c>
      <c r="B131" s="179">
        <v>5</v>
      </c>
      <c r="C131" s="179">
        <v>2.1</v>
      </c>
      <c r="D131" s="179">
        <v>5</v>
      </c>
      <c r="E131" s="179">
        <v>5</v>
      </c>
      <c r="F131" s="179">
        <f>6.1*0.47</f>
        <v>2.8669999999999995</v>
      </c>
      <c r="G131" s="179">
        <v>1</v>
      </c>
      <c r="H131" s="101">
        <v>0</v>
      </c>
      <c r="I131" s="101">
        <v>0</v>
      </c>
    </row>
    <row r="132" spans="1:20" s="101" customFormat="1">
      <c r="A132" s="180" t="s">
        <v>475</v>
      </c>
      <c r="B132" s="179">
        <v>5</v>
      </c>
      <c r="C132" s="179">
        <v>2.1</v>
      </c>
      <c r="D132" s="179">
        <v>5</v>
      </c>
      <c r="E132" s="179">
        <v>5</v>
      </c>
      <c r="F132" s="179">
        <f>13.5*0.47</f>
        <v>6.3449999999999998</v>
      </c>
      <c r="G132" s="179">
        <v>1</v>
      </c>
      <c r="H132" s="101">
        <v>0</v>
      </c>
      <c r="I132" s="101">
        <v>0</v>
      </c>
    </row>
    <row r="133" spans="1:20" s="101" customFormat="1">
      <c r="A133" s="180" t="s">
        <v>515</v>
      </c>
      <c r="B133" s="179">
        <v>5</v>
      </c>
      <c r="C133" s="179">
        <v>1.8</v>
      </c>
      <c r="D133" s="179">
        <v>5</v>
      </c>
      <c r="E133" s="179">
        <v>5</v>
      </c>
      <c r="F133" s="179">
        <f>8.7*0.47</f>
        <v>4.0889999999999995</v>
      </c>
      <c r="G133" s="179">
        <v>1</v>
      </c>
      <c r="H133" s="101">
        <v>0</v>
      </c>
      <c r="I133" s="101">
        <v>0</v>
      </c>
    </row>
    <row r="134" spans="1:20" s="101" customFormat="1">
      <c r="A134" s="180" t="s">
        <v>516</v>
      </c>
      <c r="B134" s="179">
        <v>5</v>
      </c>
      <c r="C134" s="179">
        <v>1.8</v>
      </c>
      <c r="D134" s="179">
        <v>5</v>
      </c>
      <c r="E134" s="179">
        <v>5</v>
      </c>
      <c r="F134" s="179">
        <f>8.7*0.47</f>
        <v>4.0889999999999995</v>
      </c>
      <c r="G134" s="179">
        <v>1</v>
      </c>
      <c r="H134" s="101">
        <v>0</v>
      </c>
      <c r="I134" s="101">
        <v>0</v>
      </c>
    </row>
    <row r="135" spans="1:20" s="101" customFormat="1">
      <c r="A135" s="180" t="s">
        <v>318</v>
      </c>
      <c r="B135" s="179">
        <v>5</v>
      </c>
      <c r="C135" s="179">
        <v>1.8</v>
      </c>
      <c r="D135" s="179">
        <v>5</v>
      </c>
      <c r="E135" s="179">
        <v>5</v>
      </c>
      <c r="F135" s="179">
        <f>8.7*0.47</f>
        <v>4.0889999999999995</v>
      </c>
      <c r="G135" s="179">
        <v>1</v>
      </c>
      <c r="H135" s="101">
        <v>0</v>
      </c>
      <c r="I135" s="101">
        <v>0</v>
      </c>
    </row>
    <row r="136" spans="1:20" s="101" customFormat="1">
      <c r="A136" s="180" t="s">
        <v>316</v>
      </c>
      <c r="B136" s="179">
        <v>5</v>
      </c>
      <c r="C136" s="179">
        <v>2.6</v>
      </c>
      <c r="D136" s="179">
        <v>5</v>
      </c>
      <c r="E136" s="179">
        <v>5</v>
      </c>
      <c r="F136" s="179">
        <f>16.1*0.47</f>
        <v>7.5670000000000002</v>
      </c>
      <c r="G136" s="179">
        <v>1</v>
      </c>
      <c r="H136" s="101">
        <v>0</v>
      </c>
      <c r="I136" s="101">
        <v>0</v>
      </c>
    </row>
    <row r="137" spans="1:20" s="101" customFormat="1">
      <c r="A137" s="180" t="s">
        <v>315</v>
      </c>
      <c r="B137" s="179">
        <v>5</v>
      </c>
      <c r="C137" s="179">
        <v>10</v>
      </c>
      <c r="D137" s="179">
        <v>5</v>
      </c>
      <c r="E137" s="179">
        <v>5</v>
      </c>
      <c r="F137" s="179">
        <f>F136</f>
        <v>7.5670000000000002</v>
      </c>
      <c r="G137" s="179">
        <v>1</v>
      </c>
      <c r="H137" s="101">
        <v>0</v>
      </c>
      <c r="I137" s="101">
        <v>0</v>
      </c>
    </row>
    <row r="138" spans="1:20" s="17" customFormat="1" ht="12.75" customHeight="1">
      <c r="A138" s="97" t="s">
        <v>587</v>
      </c>
      <c r="B138" s="65"/>
      <c r="C138" s="65"/>
      <c r="D138" s="65"/>
      <c r="E138" s="65"/>
      <c r="F138" s="97"/>
      <c r="G138" s="65"/>
      <c r="I138" s="85"/>
    </row>
    <row r="139" spans="1:20" s="17" customFormat="1" ht="12.75" customHeight="1">
      <c r="A139" s="97" t="s">
        <v>583</v>
      </c>
      <c r="B139" s="184" t="s">
        <v>589</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470</v>
      </c>
      <c r="B140" s="127" t="s">
        <v>588</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323</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322</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320</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321</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319</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475</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515</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516</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318</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316</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315</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467</v>
      </c>
      <c r="B152" s="84"/>
      <c r="C152" s="84"/>
      <c r="D152" s="84"/>
      <c r="G152" s="84"/>
    </row>
    <row r="153" spans="1:18" s="68" customFormat="1">
      <c r="A153" s="68" t="s">
        <v>547</v>
      </c>
      <c r="B153" s="68" t="s">
        <v>546</v>
      </c>
      <c r="C153" s="64"/>
      <c r="D153" s="64"/>
      <c r="G153" s="64"/>
      <c r="H153" s="119" t="s">
        <v>523</v>
      </c>
      <c r="I153" s="103"/>
    </row>
    <row r="154" spans="1:18" s="68" customFormat="1">
      <c r="C154" s="64"/>
      <c r="D154" s="64"/>
      <c r="G154" s="64"/>
      <c r="I154" s="103"/>
    </row>
    <row r="155" spans="1:18" s="17" customFormat="1">
      <c r="A155" s="64" t="s">
        <v>470</v>
      </c>
      <c r="B155" s="30" t="s">
        <v>676</v>
      </c>
      <c r="C155" s="17" t="s">
        <v>673</v>
      </c>
      <c r="D155" s="17" t="s">
        <v>1637</v>
      </c>
      <c r="E155" s="17" t="s">
        <v>674</v>
      </c>
      <c r="F155" s="17" t="s">
        <v>334</v>
      </c>
      <c r="G155" s="17" t="s">
        <v>1207</v>
      </c>
      <c r="H155" s="64" t="s">
        <v>132</v>
      </c>
      <c r="I155" s="64" t="s">
        <v>133</v>
      </c>
    </row>
    <row r="156" spans="1:18" s="12" customFormat="1">
      <c r="A156" s="977" t="str">
        <f>A126</f>
        <v>Please select</v>
      </c>
      <c r="B156" s="86"/>
      <c r="H156" s="86"/>
    </row>
    <row r="157" spans="1:18" s="101" customFormat="1">
      <c r="A157" s="99" t="s">
        <v>323</v>
      </c>
      <c r="B157" s="179">
        <f>0.8</f>
        <v>0.8</v>
      </c>
      <c r="C157" s="179">
        <v>1</v>
      </c>
      <c r="D157" s="179">
        <v>1.1000000000000001</v>
      </c>
      <c r="E157" s="179">
        <v>0.93</v>
      </c>
      <c r="F157" s="179">
        <v>1</v>
      </c>
      <c r="G157" s="179">
        <f>0.5*B157</f>
        <v>0.4</v>
      </c>
      <c r="H157" s="179">
        <v>1</v>
      </c>
      <c r="I157" s="179">
        <f>G157</f>
        <v>0.4</v>
      </c>
      <c r="J157" s="179"/>
    </row>
    <row r="158" spans="1:18" s="101" customFormat="1">
      <c r="A158" s="99" t="s">
        <v>322</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320</v>
      </c>
      <c r="B159" s="179">
        <v>0.8</v>
      </c>
      <c r="C159" s="179">
        <v>1</v>
      </c>
      <c r="D159" s="179">
        <v>1.1000000000000001</v>
      </c>
      <c r="E159" s="179">
        <v>0.93</v>
      </c>
      <c r="F159" s="179">
        <v>1</v>
      </c>
      <c r="G159" s="179">
        <f t="shared" si="3"/>
        <v>0.4</v>
      </c>
      <c r="H159" s="179">
        <v>1</v>
      </c>
      <c r="I159" s="179">
        <f t="shared" si="4"/>
        <v>0.4</v>
      </c>
    </row>
    <row r="160" spans="1:18" s="101" customFormat="1">
      <c r="A160" s="180" t="s">
        <v>321</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319</v>
      </c>
      <c r="B161" s="179">
        <v>0.8</v>
      </c>
      <c r="C161" s="179">
        <v>1</v>
      </c>
      <c r="D161" s="179">
        <v>1.1000000000000001</v>
      </c>
      <c r="E161" s="179">
        <v>0.93</v>
      </c>
      <c r="F161" s="179">
        <v>1</v>
      </c>
      <c r="G161" s="179">
        <f t="shared" si="3"/>
        <v>0.4</v>
      </c>
      <c r="H161" s="179">
        <v>1</v>
      </c>
      <c r="I161" s="179">
        <f t="shared" si="4"/>
        <v>0.4</v>
      </c>
    </row>
    <row r="162" spans="1:14" s="101" customFormat="1">
      <c r="A162" s="180" t="s">
        <v>475</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515</v>
      </c>
      <c r="B163" s="179">
        <v>0.64</v>
      </c>
      <c r="C163" s="179">
        <v>1</v>
      </c>
      <c r="D163" s="179">
        <v>1.1000000000000001</v>
      </c>
      <c r="E163" s="179">
        <v>0.88</v>
      </c>
      <c r="F163" s="179">
        <v>1</v>
      </c>
      <c r="G163" s="179">
        <f t="shared" si="3"/>
        <v>0.32</v>
      </c>
      <c r="H163" s="179">
        <v>1</v>
      </c>
      <c r="I163" s="179">
        <f t="shared" si="4"/>
        <v>0.32</v>
      </c>
    </row>
    <row r="164" spans="1:14" s="101" customFormat="1">
      <c r="A164" s="180" t="s">
        <v>516</v>
      </c>
      <c r="B164" s="179">
        <v>0.64</v>
      </c>
      <c r="C164" s="179">
        <v>1</v>
      </c>
      <c r="D164" s="179">
        <v>1.1000000000000001</v>
      </c>
      <c r="E164" s="179">
        <v>0.88</v>
      </c>
      <c r="F164" s="179">
        <v>1</v>
      </c>
      <c r="G164" s="179">
        <f t="shared" si="3"/>
        <v>0.32</v>
      </c>
      <c r="H164" s="179">
        <v>1</v>
      </c>
      <c r="I164" s="179">
        <f t="shared" si="4"/>
        <v>0.32</v>
      </c>
    </row>
    <row r="165" spans="1:14" s="101" customFormat="1">
      <c r="A165" s="180" t="s">
        <v>318</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316</v>
      </c>
      <c r="B166" s="179">
        <v>0.48</v>
      </c>
      <c r="C166" s="179">
        <v>1</v>
      </c>
      <c r="D166" s="179">
        <v>1.1000000000000001</v>
      </c>
      <c r="E166" s="179">
        <v>0.82</v>
      </c>
      <c r="F166" s="179">
        <v>1</v>
      </c>
      <c r="G166" s="179">
        <f t="shared" si="3"/>
        <v>0.24</v>
      </c>
      <c r="H166" s="179">
        <v>1</v>
      </c>
      <c r="I166" s="179">
        <f t="shared" si="4"/>
        <v>0.24</v>
      </c>
    </row>
    <row r="167" spans="1:14" s="101" customFormat="1">
      <c r="A167" s="180" t="s">
        <v>315</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1024</v>
      </c>
      <c r="B168" s="98"/>
      <c r="D168" s="331"/>
      <c r="E168" s="98"/>
      <c r="F168" s="98"/>
      <c r="G168" s="75"/>
      <c r="H168" s="14" t="s">
        <v>988</v>
      </c>
    </row>
    <row r="169" spans="1:14" s="68" customFormat="1" ht="12.75" customHeight="1">
      <c r="A169" s="120" t="s">
        <v>484</v>
      </c>
      <c r="B169" s="331" t="s">
        <v>989</v>
      </c>
      <c r="D169" s="83" t="s">
        <v>491</v>
      </c>
      <c r="E169" s="83"/>
      <c r="F169" s="83"/>
      <c r="G169" s="64"/>
      <c r="H169" s="85" t="s">
        <v>498</v>
      </c>
    </row>
    <row r="170" spans="1:14" s="68" customFormat="1" ht="12.75" customHeight="1">
      <c r="A170" s="120" t="s">
        <v>485</v>
      </c>
      <c r="B170" s="83" t="s">
        <v>398</v>
      </c>
      <c r="C170" s="83" t="s">
        <v>399</v>
      </c>
      <c r="D170" s="83" t="s">
        <v>400</v>
      </c>
      <c r="E170" s="83" t="s">
        <v>401</v>
      </c>
      <c r="F170" s="83" t="s">
        <v>402</v>
      </c>
      <c r="G170" s="990" t="str">
        <f>G8</f>
        <v>Please specify the climate</v>
      </c>
      <c r="H170" s="64" t="s">
        <v>494</v>
      </c>
      <c r="I170" s="83" t="s">
        <v>398</v>
      </c>
      <c r="J170" s="83" t="s">
        <v>399</v>
      </c>
      <c r="K170" s="83" t="s">
        <v>400</v>
      </c>
      <c r="L170" s="83" t="s">
        <v>401</v>
      </c>
      <c r="M170" s="83" t="s">
        <v>402</v>
      </c>
      <c r="N170" s="987" t="str">
        <f>G170</f>
        <v>Please specify the climate</v>
      </c>
    </row>
    <row r="171" spans="1:14" s="969" customFormat="1" ht="12.75" customHeight="1">
      <c r="A171" s="967" t="str">
        <f>List!A6</f>
        <v>Please select</v>
      </c>
      <c r="B171" s="968"/>
      <c r="C171" s="968"/>
      <c r="D171" s="968"/>
      <c r="E171" s="968"/>
      <c r="F171" s="968"/>
      <c r="G171" s="968"/>
      <c r="H171" s="61" t="str">
        <f>A171</f>
        <v>Please select</v>
      </c>
      <c r="I171" s="968"/>
      <c r="J171" s="968"/>
      <c r="K171" s="968"/>
      <c r="L171" s="968"/>
      <c r="M171" s="968"/>
    </row>
    <row r="172" spans="1:14" s="94" customFormat="1" ht="12.75" customHeight="1">
      <c r="A172" s="332" t="s">
        <v>302</v>
      </c>
      <c r="B172" s="333">
        <v>10</v>
      </c>
      <c r="C172" s="334">
        <v>5</v>
      </c>
      <c r="D172" s="335">
        <v>4.4000000000000004</v>
      </c>
      <c r="E172" s="334">
        <v>1</v>
      </c>
      <c r="F172" s="333">
        <v>3.5</v>
      </c>
      <c r="G172" s="333"/>
      <c r="H172" s="336" t="s">
        <v>302</v>
      </c>
      <c r="I172" s="94">
        <v>15</v>
      </c>
      <c r="J172" s="337">
        <v>10</v>
      </c>
      <c r="K172" s="94">
        <v>4.4000000000000004</v>
      </c>
      <c r="L172" s="94">
        <v>1</v>
      </c>
      <c r="M172" s="94">
        <v>5</v>
      </c>
    </row>
    <row r="173" spans="1:14" s="94" customFormat="1" ht="12.75" customHeight="1">
      <c r="A173" s="332" t="s">
        <v>303</v>
      </c>
      <c r="B173" s="333">
        <v>7</v>
      </c>
      <c r="C173" s="333">
        <v>9</v>
      </c>
      <c r="D173" s="335">
        <v>4.4000000000000004</v>
      </c>
      <c r="E173" s="333">
        <v>1.1000000000000001</v>
      </c>
      <c r="F173" s="333">
        <v>3</v>
      </c>
      <c r="G173" s="333"/>
      <c r="H173" s="336" t="s">
        <v>303</v>
      </c>
      <c r="I173" s="94">
        <v>15</v>
      </c>
      <c r="J173" s="337">
        <v>10</v>
      </c>
      <c r="K173" s="94">
        <v>4.4000000000000004</v>
      </c>
      <c r="L173" s="94">
        <v>1</v>
      </c>
      <c r="M173" s="94">
        <v>5</v>
      </c>
    </row>
    <row r="174" spans="1:14" s="94" customFormat="1" ht="12.75" customHeight="1">
      <c r="A174" s="332" t="s">
        <v>301</v>
      </c>
      <c r="B174" s="333">
        <v>7</v>
      </c>
      <c r="C174" s="333">
        <v>9</v>
      </c>
      <c r="D174" s="335">
        <v>4.4000000000000004</v>
      </c>
      <c r="E174" s="333">
        <v>1.1000000000000001</v>
      </c>
      <c r="F174" s="333">
        <v>3</v>
      </c>
      <c r="G174" s="333"/>
      <c r="H174" s="336" t="s">
        <v>301</v>
      </c>
      <c r="I174" s="94">
        <v>15</v>
      </c>
      <c r="J174" s="337">
        <v>10</v>
      </c>
      <c r="K174" s="94">
        <v>4.4000000000000004</v>
      </c>
      <c r="L174" s="94">
        <v>1</v>
      </c>
      <c r="M174" s="94">
        <v>5</v>
      </c>
    </row>
    <row r="175" spans="1:14" s="94" customFormat="1" ht="12.75" customHeight="1">
      <c r="A175" s="332" t="s">
        <v>304</v>
      </c>
      <c r="B175" s="333">
        <v>13</v>
      </c>
      <c r="C175" s="333">
        <v>11</v>
      </c>
      <c r="D175" s="335">
        <v>4.4000000000000004</v>
      </c>
      <c r="E175" s="333">
        <v>1.1000000000000001</v>
      </c>
      <c r="F175" s="333">
        <v>7.5</v>
      </c>
      <c r="G175" s="333"/>
      <c r="H175" s="336" t="s">
        <v>304</v>
      </c>
      <c r="I175" s="94">
        <v>15</v>
      </c>
      <c r="J175" s="337">
        <v>10</v>
      </c>
      <c r="K175" s="94">
        <v>4.4000000000000004</v>
      </c>
      <c r="L175" s="94">
        <v>1</v>
      </c>
      <c r="M175" s="94">
        <v>5</v>
      </c>
    </row>
    <row r="176" spans="1:14" s="94" customFormat="1" ht="12.75" customHeight="1">
      <c r="A176" s="332" t="s">
        <v>305</v>
      </c>
      <c r="B176" s="334">
        <v>7</v>
      </c>
      <c r="C176" s="334">
        <v>5</v>
      </c>
      <c r="D176" s="335">
        <v>4.4000000000000004</v>
      </c>
      <c r="E176" s="334">
        <v>1</v>
      </c>
      <c r="F176" s="334">
        <v>1</v>
      </c>
      <c r="G176" s="334"/>
      <c r="H176" s="336" t="s">
        <v>305</v>
      </c>
      <c r="I176" s="94">
        <v>15</v>
      </c>
      <c r="J176" s="337">
        <v>10</v>
      </c>
      <c r="K176" s="94">
        <v>4.4000000000000004</v>
      </c>
      <c r="L176" s="94">
        <v>1</v>
      </c>
      <c r="M176" s="94">
        <v>5</v>
      </c>
    </row>
    <row r="177" spans="1:14" s="94" customFormat="1" ht="12.75" customHeight="1">
      <c r="A177" s="332" t="s">
        <v>306</v>
      </c>
      <c r="B177" s="334">
        <v>7</v>
      </c>
      <c r="C177" s="334">
        <v>5</v>
      </c>
      <c r="D177" s="333">
        <v>2.2999999999999998</v>
      </c>
      <c r="E177" s="333">
        <v>1.1000000000000001</v>
      </c>
      <c r="F177" s="334">
        <v>1</v>
      </c>
      <c r="G177" s="334"/>
      <c r="H177" s="336" t="s">
        <v>306</v>
      </c>
      <c r="I177" s="94">
        <v>15</v>
      </c>
      <c r="J177" s="337">
        <v>10</v>
      </c>
      <c r="K177" s="94">
        <v>4.4000000000000004</v>
      </c>
      <c r="L177" s="94">
        <v>1</v>
      </c>
      <c r="M177" s="94">
        <v>5</v>
      </c>
    </row>
    <row r="178" spans="1:14" s="94" customFormat="1" ht="12.75" customHeight="1">
      <c r="A178" s="332" t="s">
        <v>307</v>
      </c>
      <c r="B178" s="334">
        <v>7</v>
      </c>
      <c r="C178" s="334">
        <v>5</v>
      </c>
      <c r="D178" s="333">
        <v>2.2999999999999998</v>
      </c>
      <c r="E178" s="333">
        <v>1.1000000000000001</v>
      </c>
      <c r="F178" s="334">
        <v>1</v>
      </c>
      <c r="G178" s="334"/>
      <c r="H178" s="336" t="s">
        <v>307</v>
      </c>
      <c r="I178" s="94">
        <v>15</v>
      </c>
      <c r="J178" s="337">
        <v>10</v>
      </c>
      <c r="K178" s="94">
        <v>4.4000000000000004</v>
      </c>
      <c r="L178" s="94">
        <v>1</v>
      </c>
      <c r="M178" s="94">
        <v>5</v>
      </c>
    </row>
    <row r="179" spans="1:14" s="94" customFormat="1" ht="12.75" customHeight="1">
      <c r="A179" s="332" t="s">
        <v>308</v>
      </c>
      <c r="B179" s="334">
        <v>7</v>
      </c>
      <c r="C179" s="334">
        <v>5</v>
      </c>
      <c r="D179" s="333">
        <v>3.5</v>
      </c>
      <c r="E179" s="334">
        <v>1</v>
      </c>
      <c r="F179" s="334">
        <v>1</v>
      </c>
      <c r="G179" s="334"/>
      <c r="H179" s="336" t="s">
        <v>308</v>
      </c>
      <c r="I179" s="94">
        <v>15</v>
      </c>
      <c r="J179" s="337">
        <v>10</v>
      </c>
      <c r="K179" s="94">
        <v>4.4000000000000004</v>
      </c>
      <c r="L179" s="94">
        <v>1</v>
      </c>
      <c r="M179" s="94">
        <v>5</v>
      </c>
    </row>
    <row r="180" spans="1:14" s="94" customFormat="1" ht="12.75" customHeight="1">
      <c r="A180" s="332" t="s">
        <v>309</v>
      </c>
      <c r="B180" s="333">
        <f>18.9/2</f>
        <v>9.4499999999999993</v>
      </c>
      <c r="C180" s="333">
        <v>7</v>
      </c>
      <c r="D180" s="333">
        <v>15</v>
      </c>
      <c r="E180" s="333">
        <v>1.1000000000000001</v>
      </c>
      <c r="F180" s="333">
        <v>3.4</v>
      </c>
      <c r="G180" s="333"/>
      <c r="H180" s="336" t="s">
        <v>309</v>
      </c>
      <c r="I180" s="94">
        <v>15</v>
      </c>
      <c r="J180" s="337">
        <v>10</v>
      </c>
      <c r="K180" s="94">
        <v>4.4000000000000004</v>
      </c>
      <c r="L180" s="94">
        <v>1</v>
      </c>
      <c r="M180" s="94">
        <v>5</v>
      </c>
    </row>
    <row r="181" spans="1:14" s="94" customFormat="1" ht="12.75" customHeight="1">
      <c r="A181" s="332" t="s">
        <v>310</v>
      </c>
      <c r="B181" s="333">
        <v>11</v>
      </c>
      <c r="C181" s="333">
        <v>7</v>
      </c>
      <c r="D181" s="333">
        <f>11.3/2</f>
        <v>5.65</v>
      </c>
      <c r="E181" s="334">
        <v>1</v>
      </c>
      <c r="F181" s="333">
        <v>3.4</v>
      </c>
      <c r="G181" s="333"/>
      <c r="H181" s="336" t="s">
        <v>310</v>
      </c>
      <c r="I181" s="94">
        <v>15</v>
      </c>
      <c r="J181" s="337">
        <v>10</v>
      </c>
      <c r="K181" s="94">
        <v>4.4000000000000004</v>
      </c>
      <c r="L181" s="94">
        <v>1</v>
      </c>
      <c r="M181" s="94">
        <v>5</v>
      </c>
    </row>
    <row r="182" spans="1:14" s="94" customFormat="1" ht="12.75" customHeight="1">
      <c r="A182" s="332" t="s">
        <v>311</v>
      </c>
      <c r="B182" s="333">
        <v>11</v>
      </c>
      <c r="C182" s="333">
        <v>7</v>
      </c>
      <c r="D182" s="338">
        <v>4.4000000000000004</v>
      </c>
      <c r="E182" s="334">
        <v>1</v>
      </c>
      <c r="F182" s="333">
        <v>3.4</v>
      </c>
      <c r="G182" s="333"/>
      <c r="H182" s="336" t="s">
        <v>311</v>
      </c>
      <c r="I182" s="94">
        <v>15</v>
      </c>
      <c r="J182" s="337">
        <v>10</v>
      </c>
      <c r="K182" s="94">
        <v>4.4000000000000004</v>
      </c>
      <c r="L182" s="94">
        <v>1</v>
      </c>
      <c r="M182" s="94">
        <v>5</v>
      </c>
    </row>
    <row r="183" spans="1:14" s="16" customFormat="1" ht="12.75" customHeight="1">
      <c r="A183" s="14" t="s">
        <v>1024</v>
      </c>
      <c r="B183" s="98"/>
      <c r="D183" s="331"/>
      <c r="E183" s="98"/>
      <c r="F183" s="98"/>
      <c r="G183" s="75"/>
      <c r="H183" s="14" t="s">
        <v>988</v>
      </c>
    </row>
    <row r="184" spans="1:14" s="68" customFormat="1" ht="12.75" customHeight="1">
      <c r="A184" s="120" t="s">
        <v>484</v>
      </c>
      <c r="B184" s="331" t="s">
        <v>989</v>
      </c>
      <c r="D184" s="83" t="s">
        <v>491</v>
      </c>
      <c r="E184" s="83"/>
      <c r="F184" s="83"/>
      <c r="G184" s="64"/>
      <c r="H184" s="85" t="s">
        <v>498</v>
      </c>
    </row>
    <row r="185" spans="1:14" s="68" customFormat="1" ht="12.75" customHeight="1">
      <c r="A185" s="120" t="s">
        <v>486</v>
      </c>
      <c r="B185" s="83" t="s">
        <v>404</v>
      </c>
      <c r="C185" s="83" t="s">
        <v>405</v>
      </c>
      <c r="D185" s="83" t="s">
        <v>406</v>
      </c>
      <c r="E185" s="83" t="s">
        <v>407</v>
      </c>
      <c r="F185" s="83" t="str">
        <f>""</f>
        <v/>
      </c>
      <c r="G185" s="990" t="str">
        <f>G170</f>
        <v>Please specify the climate</v>
      </c>
      <c r="H185" s="64" t="s">
        <v>495</v>
      </c>
      <c r="I185" s="83" t="s">
        <v>404</v>
      </c>
      <c r="J185" s="83" t="s">
        <v>405</v>
      </c>
      <c r="K185" s="83" t="s">
        <v>406</v>
      </c>
      <c r="L185" s="83" t="s">
        <v>407</v>
      </c>
      <c r="M185" s="83" t="str">
        <f>""</f>
        <v/>
      </c>
      <c r="N185" s="987" t="str">
        <f>N170</f>
        <v>Please specify the climate</v>
      </c>
    </row>
    <row r="186" spans="1:14" s="969" customFormat="1" ht="12.75" customHeight="1">
      <c r="A186" s="967" t="str">
        <f>List!A6</f>
        <v>Please select</v>
      </c>
      <c r="B186" s="968"/>
      <c r="C186" s="968"/>
      <c r="D186" s="968"/>
      <c r="E186" s="968"/>
      <c r="F186" s="968"/>
      <c r="G186" s="968"/>
      <c r="H186" s="61" t="str">
        <f>A186</f>
        <v>Please select</v>
      </c>
      <c r="I186" s="968"/>
      <c r="J186" s="968"/>
      <c r="K186" s="968"/>
      <c r="L186" s="968"/>
      <c r="M186" s="968"/>
    </row>
    <row r="187" spans="1:14" s="94" customFormat="1" ht="12.75" customHeight="1">
      <c r="A187" s="332" t="s">
        <v>302</v>
      </c>
      <c r="B187" s="333">
        <v>5</v>
      </c>
      <c r="C187" s="333">
        <v>2.4</v>
      </c>
      <c r="D187" s="335">
        <v>4</v>
      </c>
      <c r="E187" s="334">
        <v>0.4</v>
      </c>
      <c r="F187" s="334"/>
      <c r="G187" s="334"/>
      <c r="H187" s="336" t="s">
        <v>302</v>
      </c>
      <c r="I187" s="94">
        <v>10</v>
      </c>
      <c r="J187" s="337">
        <v>8</v>
      </c>
      <c r="K187" s="94">
        <v>4</v>
      </c>
      <c r="L187" s="94">
        <v>0.4</v>
      </c>
    </row>
    <row r="188" spans="1:14" s="94" customFormat="1" ht="12.75" customHeight="1">
      <c r="A188" s="332" t="s">
        <v>303</v>
      </c>
      <c r="B188" s="333">
        <v>9</v>
      </c>
      <c r="C188" s="333">
        <v>6</v>
      </c>
      <c r="D188" s="333">
        <v>4</v>
      </c>
      <c r="E188" s="333">
        <v>0.4</v>
      </c>
      <c r="F188" s="334"/>
      <c r="G188" s="334"/>
      <c r="H188" s="336" t="s">
        <v>303</v>
      </c>
      <c r="I188" s="94">
        <v>10</v>
      </c>
      <c r="J188" s="337">
        <v>8</v>
      </c>
      <c r="K188" s="94">
        <v>4</v>
      </c>
      <c r="L188" s="94">
        <v>0.4</v>
      </c>
    </row>
    <row r="189" spans="1:14" s="94" customFormat="1" ht="12.75" customHeight="1">
      <c r="A189" s="332" t="s">
        <v>301</v>
      </c>
      <c r="B189" s="333">
        <v>9</v>
      </c>
      <c r="C189" s="333">
        <v>6</v>
      </c>
      <c r="D189" s="333">
        <v>4</v>
      </c>
      <c r="E189" s="333">
        <v>0.4</v>
      </c>
      <c r="F189" s="334"/>
      <c r="G189" s="334"/>
      <c r="H189" s="336" t="s">
        <v>301</v>
      </c>
      <c r="I189" s="94">
        <v>10</v>
      </c>
      <c r="J189" s="337">
        <v>8</v>
      </c>
      <c r="K189" s="94">
        <v>4</v>
      </c>
      <c r="L189" s="94">
        <v>0.4</v>
      </c>
    </row>
    <row r="190" spans="1:14" s="94" customFormat="1" ht="12.75" customHeight="1">
      <c r="A190" s="332" t="s">
        <v>304</v>
      </c>
      <c r="B190" s="333">
        <v>11</v>
      </c>
      <c r="C190" s="333">
        <v>7</v>
      </c>
      <c r="D190" s="333">
        <v>4</v>
      </c>
      <c r="E190" s="333">
        <v>0.4</v>
      </c>
      <c r="F190" s="334"/>
      <c r="G190" s="334"/>
      <c r="H190" s="336" t="s">
        <v>304</v>
      </c>
      <c r="I190" s="94">
        <v>10</v>
      </c>
      <c r="J190" s="337">
        <v>8</v>
      </c>
      <c r="K190" s="94">
        <v>4</v>
      </c>
      <c r="L190" s="94">
        <v>0.4</v>
      </c>
    </row>
    <row r="191" spans="1:14" s="94" customFormat="1" ht="12.75" customHeight="1">
      <c r="A191" s="332" t="s">
        <v>305</v>
      </c>
      <c r="B191" s="334">
        <v>5</v>
      </c>
      <c r="C191" s="334">
        <v>2.4</v>
      </c>
      <c r="D191" s="335">
        <v>4</v>
      </c>
      <c r="E191" s="334">
        <v>0.4</v>
      </c>
      <c r="F191" s="334"/>
      <c r="G191" s="334"/>
      <c r="H191" s="336" t="s">
        <v>305</v>
      </c>
      <c r="I191" s="94">
        <v>10</v>
      </c>
      <c r="J191" s="337">
        <v>8</v>
      </c>
      <c r="K191" s="94">
        <v>4</v>
      </c>
      <c r="L191" s="94">
        <v>0.4</v>
      </c>
    </row>
    <row r="192" spans="1:14" s="94" customFormat="1" ht="12.75" customHeight="1">
      <c r="A192" s="332" t="s">
        <v>306</v>
      </c>
      <c r="B192" s="334">
        <v>5</v>
      </c>
      <c r="C192" s="334">
        <v>2.4</v>
      </c>
      <c r="D192" s="333">
        <v>4</v>
      </c>
      <c r="E192" s="333">
        <v>0.4</v>
      </c>
      <c r="F192" s="334"/>
      <c r="G192" s="334"/>
      <c r="H192" s="336" t="s">
        <v>306</v>
      </c>
      <c r="I192" s="94">
        <v>10</v>
      </c>
      <c r="J192" s="337">
        <v>8</v>
      </c>
      <c r="K192" s="94">
        <v>4</v>
      </c>
      <c r="L192" s="94">
        <v>0.4</v>
      </c>
    </row>
    <row r="193" spans="1:14" s="94" customFormat="1" ht="12.75" customHeight="1">
      <c r="A193" s="332" t="s">
        <v>307</v>
      </c>
      <c r="B193" s="334">
        <v>5</v>
      </c>
      <c r="C193" s="334">
        <v>2.4</v>
      </c>
      <c r="D193" s="333">
        <v>4</v>
      </c>
      <c r="E193" s="333">
        <v>0.4</v>
      </c>
      <c r="F193" s="334"/>
      <c r="G193" s="334"/>
      <c r="H193" s="336" t="s">
        <v>307</v>
      </c>
      <c r="I193" s="94">
        <v>10</v>
      </c>
      <c r="J193" s="337">
        <v>8</v>
      </c>
      <c r="K193" s="94">
        <v>4</v>
      </c>
      <c r="L193" s="94">
        <v>0.4</v>
      </c>
    </row>
    <row r="194" spans="1:14" s="94" customFormat="1" ht="12.75" customHeight="1">
      <c r="A194" s="332" t="s">
        <v>308</v>
      </c>
      <c r="B194" s="334">
        <v>5</v>
      </c>
      <c r="C194" s="334">
        <v>2.4</v>
      </c>
      <c r="D194" s="335">
        <v>4</v>
      </c>
      <c r="E194" s="334">
        <v>0.4</v>
      </c>
      <c r="F194" s="334"/>
      <c r="G194" s="334"/>
      <c r="H194" s="336" t="s">
        <v>308</v>
      </c>
      <c r="I194" s="94">
        <v>10</v>
      </c>
      <c r="J194" s="337">
        <v>8</v>
      </c>
      <c r="K194" s="94">
        <v>4</v>
      </c>
      <c r="L194" s="94">
        <v>0.4</v>
      </c>
    </row>
    <row r="195" spans="1:14" s="94" customFormat="1" ht="12.75" customHeight="1">
      <c r="A195" s="332" t="s">
        <v>309</v>
      </c>
      <c r="B195" s="333">
        <v>7</v>
      </c>
      <c r="C195" s="333">
        <v>4</v>
      </c>
      <c r="D195" s="333">
        <v>4</v>
      </c>
      <c r="E195" s="333">
        <v>0.4</v>
      </c>
      <c r="F195" s="334"/>
      <c r="G195" s="334"/>
      <c r="H195" s="336" t="s">
        <v>309</v>
      </c>
      <c r="I195" s="94">
        <v>10</v>
      </c>
      <c r="J195" s="337">
        <v>8</v>
      </c>
      <c r="K195" s="94">
        <v>4</v>
      </c>
      <c r="L195" s="94">
        <v>0.4</v>
      </c>
    </row>
    <row r="196" spans="1:14" s="94" customFormat="1" ht="12.75" customHeight="1">
      <c r="A196" s="332" t="s">
        <v>310</v>
      </c>
      <c r="B196" s="333">
        <v>7</v>
      </c>
      <c r="C196" s="333">
        <v>4</v>
      </c>
      <c r="D196" s="338">
        <v>4</v>
      </c>
      <c r="E196" s="334">
        <v>0.4</v>
      </c>
      <c r="F196" s="334"/>
      <c r="G196" s="334"/>
      <c r="H196" s="336" t="s">
        <v>310</v>
      </c>
      <c r="I196" s="94">
        <v>10</v>
      </c>
      <c r="J196" s="337">
        <v>8</v>
      </c>
      <c r="K196" s="94">
        <v>4</v>
      </c>
      <c r="L196" s="94">
        <v>0.4</v>
      </c>
    </row>
    <row r="197" spans="1:14" s="94" customFormat="1" ht="12.75" customHeight="1">
      <c r="A197" s="332" t="s">
        <v>311</v>
      </c>
      <c r="B197" s="333">
        <v>7</v>
      </c>
      <c r="C197" s="333">
        <v>4</v>
      </c>
      <c r="D197" s="338">
        <v>4</v>
      </c>
      <c r="E197" s="334">
        <v>0.4</v>
      </c>
      <c r="F197" s="334"/>
      <c r="G197" s="334"/>
      <c r="H197" s="336" t="s">
        <v>311</v>
      </c>
      <c r="I197" s="94">
        <v>10</v>
      </c>
      <c r="J197" s="337">
        <v>8</v>
      </c>
      <c r="K197" s="94">
        <v>4</v>
      </c>
      <c r="L197" s="94">
        <v>0.4</v>
      </c>
    </row>
    <row r="198" spans="1:14" s="16" customFormat="1" ht="12.75" customHeight="1">
      <c r="A198" s="14" t="s">
        <v>1024</v>
      </c>
      <c r="B198" s="98"/>
      <c r="D198" s="331"/>
      <c r="E198" s="98"/>
      <c r="F198" s="98"/>
      <c r="G198" s="75"/>
      <c r="H198" s="14" t="s">
        <v>988</v>
      </c>
    </row>
    <row r="199" spans="1:14" s="68" customFormat="1" ht="12.75" customHeight="1">
      <c r="A199" s="120" t="s">
        <v>484</v>
      </c>
      <c r="B199" s="331" t="s">
        <v>989</v>
      </c>
      <c r="D199" s="83" t="s">
        <v>491</v>
      </c>
      <c r="E199" s="83"/>
      <c r="F199" s="83"/>
      <c r="G199" s="64"/>
      <c r="H199" s="85" t="s">
        <v>498</v>
      </c>
    </row>
    <row r="200" spans="1:14" s="68" customFormat="1" ht="12.75" customHeight="1">
      <c r="A200" s="120" t="s">
        <v>487</v>
      </c>
      <c r="B200" s="83" t="s">
        <v>409</v>
      </c>
      <c r="C200" s="83" t="s">
        <v>410</v>
      </c>
      <c r="D200" s="83" t="s">
        <v>411</v>
      </c>
      <c r="E200" s="83" t="s">
        <v>412</v>
      </c>
      <c r="F200" s="83" t="str">
        <f>""</f>
        <v/>
      </c>
      <c r="G200" s="990" t="str">
        <f>G185</f>
        <v>Please specify the climate</v>
      </c>
      <c r="H200" s="64" t="s">
        <v>496</v>
      </c>
      <c r="I200" s="83" t="s">
        <v>409</v>
      </c>
      <c r="J200" s="83" t="s">
        <v>410</v>
      </c>
      <c r="K200" s="83" t="s">
        <v>411</v>
      </c>
      <c r="L200" s="83" t="s">
        <v>412</v>
      </c>
      <c r="M200" s="83" t="str">
        <f>""</f>
        <v/>
      </c>
      <c r="N200" s="987" t="str">
        <f>N185</f>
        <v>Please specify the climate</v>
      </c>
    </row>
    <row r="201" spans="1:14" s="969" customFormat="1" ht="12.75" customHeight="1">
      <c r="A201" s="967" t="str">
        <f>List!A6</f>
        <v>Please select</v>
      </c>
      <c r="B201" s="968"/>
      <c r="C201" s="968"/>
      <c r="D201" s="968"/>
      <c r="E201" s="968"/>
      <c r="F201" s="968"/>
      <c r="G201" s="968"/>
      <c r="H201" s="61" t="str">
        <f>A201</f>
        <v>Please select</v>
      </c>
      <c r="I201" s="968"/>
      <c r="J201" s="968"/>
      <c r="K201" s="968"/>
      <c r="L201" s="968"/>
      <c r="M201" s="968"/>
    </row>
    <row r="202" spans="1:14" s="94" customFormat="1" ht="12.75" customHeight="1">
      <c r="A202" s="332" t="s">
        <v>302</v>
      </c>
      <c r="B202" s="333">
        <v>2.4</v>
      </c>
      <c r="C202" s="333">
        <v>1.2</v>
      </c>
      <c r="D202" s="335">
        <v>3</v>
      </c>
      <c r="E202" s="334">
        <v>1</v>
      </c>
      <c r="F202" s="334"/>
      <c r="G202" s="334"/>
      <c r="H202" s="336" t="s">
        <v>302</v>
      </c>
      <c r="I202" s="94">
        <v>8</v>
      </c>
      <c r="J202" s="337">
        <v>5</v>
      </c>
      <c r="K202" s="94">
        <v>3</v>
      </c>
      <c r="L202" s="94">
        <v>1</v>
      </c>
    </row>
    <row r="203" spans="1:14" s="94" customFormat="1" ht="12.75" customHeight="1">
      <c r="A203" s="332" t="s">
        <v>303</v>
      </c>
      <c r="B203" s="333">
        <v>6</v>
      </c>
      <c r="C203" s="333">
        <v>5</v>
      </c>
      <c r="D203" s="333">
        <v>3</v>
      </c>
      <c r="E203" s="333">
        <v>1.05</v>
      </c>
      <c r="F203" s="334"/>
      <c r="G203" s="334"/>
      <c r="H203" s="336" t="s">
        <v>303</v>
      </c>
      <c r="I203" s="94">
        <v>8</v>
      </c>
      <c r="J203" s="337">
        <v>5</v>
      </c>
      <c r="K203" s="94">
        <v>3</v>
      </c>
      <c r="L203" s="94">
        <v>1</v>
      </c>
    </row>
    <row r="204" spans="1:14" s="94" customFormat="1" ht="12.75" customHeight="1">
      <c r="A204" s="332" t="s">
        <v>301</v>
      </c>
      <c r="B204" s="333">
        <v>6</v>
      </c>
      <c r="C204" s="333">
        <v>5</v>
      </c>
      <c r="D204" s="333">
        <v>3</v>
      </c>
      <c r="E204" s="333">
        <v>1.05</v>
      </c>
      <c r="F204" s="334"/>
      <c r="G204" s="334"/>
      <c r="H204" s="336" t="s">
        <v>301</v>
      </c>
      <c r="I204" s="94">
        <v>8</v>
      </c>
      <c r="J204" s="337">
        <v>5</v>
      </c>
      <c r="K204" s="94">
        <v>3</v>
      </c>
      <c r="L204" s="94">
        <v>1</v>
      </c>
    </row>
    <row r="205" spans="1:14" s="94" customFormat="1" ht="12.75" customHeight="1">
      <c r="A205" s="332" t="s">
        <v>304</v>
      </c>
      <c r="B205" s="333">
        <v>7</v>
      </c>
      <c r="C205" s="333">
        <v>2</v>
      </c>
      <c r="D205" s="333">
        <v>3</v>
      </c>
      <c r="E205" s="333">
        <v>1.05</v>
      </c>
      <c r="F205" s="334"/>
      <c r="G205" s="334"/>
      <c r="H205" s="336" t="s">
        <v>304</v>
      </c>
      <c r="I205" s="94">
        <v>8</v>
      </c>
      <c r="J205" s="337">
        <v>5</v>
      </c>
      <c r="K205" s="94">
        <v>3</v>
      </c>
      <c r="L205" s="94">
        <v>1</v>
      </c>
    </row>
    <row r="206" spans="1:14" s="94" customFormat="1" ht="12.75" customHeight="1">
      <c r="A206" s="332" t="s">
        <v>305</v>
      </c>
      <c r="B206" s="334">
        <v>2.4</v>
      </c>
      <c r="C206" s="334">
        <v>1</v>
      </c>
      <c r="D206" s="335">
        <v>3</v>
      </c>
      <c r="E206" s="334">
        <v>1</v>
      </c>
      <c r="F206" s="334"/>
      <c r="G206" s="334"/>
      <c r="H206" s="336" t="s">
        <v>305</v>
      </c>
      <c r="I206" s="94">
        <v>8</v>
      </c>
      <c r="J206" s="337">
        <v>5</v>
      </c>
      <c r="K206" s="94">
        <v>3</v>
      </c>
      <c r="L206" s="94">
        <v>1</v>
      </c>
    </row>
    <row r="207" spans="1:14" s="94" customFormat="1" ht="12.75" customHeight="1">
      <c r="A207" s="332" t="s">
        <v>306</v>
      </c>
      <c r="B207" s="334">
        <v>2.4</v>
      </c>
      <c r="C207" s="334">
        <v>1</v>
      </c>
      <c r="D207" s="333">
        <v>3</v>
      </c>
      <c r="E207" s="333">
        <v>1.05</v>
      </c>
      <c r="F207" s="334"/>
      <c r="G207" s="334"/>
      <c r="H207" s="336" t="s">
        <v>306</v>
      </c>
      <c r="I207" s="94">
        <v>8</v>
      </c>
      <c r="J207" s="337">
        <v>5</v>
      </c>
      <c r="K207" s="94">
        <v>3</v>
      </c>
      <c r="L207" s="94">
        <v>1</v>
      </c>
    </row>
    <row r="208" spans="1:14" s="94" customFormat="1" ht="12.75" customHeight="1">
      <c r="A208" s="332" t="s">
        <v>307</v>
      </c>
      <c r="B208" s="334">
        <v>2.4</v>
      </c>
      <c r="C208" s="334">
        <v>1</v>
      </c>
      <c r="D208" s="333">
        <v>3</v>
      </c>
      <c r="E208" s="333">
        <v>1.05</v>
      </c>
      <c r="F208" s="334"/>
      <c r="G208" s="334"/>
      <c r="H208" s="336" t="s">
        <v>307</v>
      </c>
      <c r="I208" s="94">
        <v>8</v>
      </c>
      <c r="J208" s="337">
        <v>5</v>
      </c>
      <c r="K208" s="94">
        <v>3</v>
      </c>
      <c r="L208" s="94">
        <v>1</v>
      </c>
    </row>
    <row r="209" spans="1:14" s="94" customFormat="1" ht="12.75" customHeight="1">
      <c r="A209" s="332" t="s">
        <v>308</v>
      </c>
      <c r="B209" s="334">
        <v>2.4</v>
      </c>
      <c r="C209" s="334">
        <v>1</v>
      </c>
      <c r="D209" s="335">
        <v>3</v>
      </c>
      <c r="E209" s="334">
        <v>1</v>
      </c>
      <c r="F209" s="334"/>
      <c r="G209" s="334"/>
      <c r="H209" s="336" t="s">
        <v>308</v>
      </c>
      <c r="I209" s="94">
        <v>8</v>
      </c>
      <c r="J209" s="337">
        <v>5</v>
      </c>
      <c r="K209" s="94">
        <v>3</v>
      </c>
      <c r="L209" s="94">
        <v>1</v>
      </c>
    </row>
    <row r="210" spans="1:14" s="94" customFormat="1" ht="12.75" customHeight="1">
      <c r="A210" s="332" t="s">
        <v>309</v>
      </c>
      <c r="B210" s="333">
        <v>4</v>
      </c>
      <c r="C210" s="333">
        <v>4</v>
      </c>
      <c r="D210" s="333">
        <v>3</v>
      </c>
      <c r="E210" s="333">
        <v>1.05</v>
      </c>
      <c r="F210" s="334"/>
      <c r="G210" s="334"/>
      <c r="H210" s="336" t="s">
        <v>309</v>
      </c>
      <c r="I210" s="94">
        <v>8</v>
      </c>
      <c r="J210" s="337">
        <v>5</v>
      </c>
      <c r="K210" s="94">
        <v>3</v>
      </c>
      <c r="L210" s="94">
        <v>1</v>
      </c>
    </row>
    <row r="211" spans="1:14" s="94" customFormat="1" ht="12.75" customHeight="1">
      <c r="A211" s="332" t="s">
        <v>310</v>
      </c>
      <c r="B211" s="333">
        <v>4</v>
      </c>
      <c r="C211" s="333">
        <v>4</v>
      </c>
      <c r="D211" s="338">
        <v>3</v>
      </c>
      <c r="E211" s="334">
        <v>1</v>
      </c>
      <c r="F211" s="334"/>
      <c r="G211" s="334"/>
      <c r="H211" s="336" t="s">
        <v>310</v>
      </c>
      <c r="I211" s="94">
        <v>8</v>
      </c>
      <c r="J211" s="337">
        <v>5</v>
      </c>
      <c r="K211" s="94">
        <v>3</v>
      </c>
      <c r="L211" s="94">
        <v>1</v>
      </c>
    </row>
    <row r="212" spans="1:14" s="94" customFormat="1" ht="12.75" customHeight="1">
      <c r="A212" s="332" t="s">
        <v>311</v>
      </c>
      <c r="B212" s="333">
        <v>4</v>
      </c>
      <c r="C212" s="333">
        <v>4</v>
      </c>
      <c r="D212" s="338">
        <v>3</v>
      </c>
      <c r="E212" s="334">
        <v>1</v>
      </c>
      <c r="F212" s="334"/>
      <c r="G212" s="334"/>
      <c r="H212" s="336" t="s">
        <v>311</v>
      </c>
      <c r="I212" s="94">
        <v>8</v>
      </c>
      <c r="J212" s="337">
        <v>5</v>
      </c>
      <c r="K212" s="94">
        <v>3</v>
      </c>
      <c r="L212" s="94">
        <v>1</v>
      </c>
    </row>
    <row r="213" spans="1:14" s="16" customFormat="1" ht="12.75" customHeight="1">
      <c r="A213" s="14" t="s">
        <v>1024</v>
      </c>
      <c r="B213" s="98"/>
      <c r="D213" s="331"/>
      <c r="E213" s="98"/>
      <c r="F213" s="98"/>
      <c r="G213" s="98"/>
      <c r="H213" s="75"/>
      <c r="I213" s="14" t="s">
        <v>988</v>
      </c>
    </row>
    <row r="214" spans="1:14" s="68" customFormat="1" ht="12.75" customHeight="1">
      <c r="A214" s="120" t="s">
        <v>484</v>
      </c>
      <c r="B214" s="331" t="s">
        <v>989</v>
      </c>
      <c r="D214" s="83" t="s">
        <v>491</v>
      </c>
      <c r="E214" s="83"/>
      <c r="F214" s="83"/>
      <c r="G214" s="83"/>
      <c r="H214" s="64"/>
      <c r="I214" s="85" t="s">
        <v>498</v>
      </c>
    </row>
    <row r="215" spans="1:14" s="68" customFormat="1" ht="12.75" customHeight="1">
      <c r="A215" s="120" t="s">
        <v>488</v>
      </c>
      <c r="B215" s="83" t="s">
        <v>414</v>
      </c>
      <c r="C215" s="83" t="s">
        <v>415</v>
      </c>
      <c r="D215" s="83"/>
      <c r="E215" s="83" t="str">
        <f>""</f>
        <v/>
      </c>
      <c r="F215" s="83" t="str">
        <f>""</f>
        <v/>
      </c>
      <c r="G215" s="990" t="str">
        <f>G200</f>
        <v>Please specify the climate</v>
      </c>
      <c r="H215" s="64" t="s">
        <v>497</v>
      </c>
      <c r="I215" s="83" t="s">
        <v>414</v>
      </c>
      <c r="J215" s="83" t="s">
        <v>415</v>
      </c>
      <c r="K215" s="83"/>
      <c r="L215" s="83" t="str">
        <f>""</f>
        <v/>
      </c>
      <c r="M215" s="83" t="str">
        <f>""</f>
        <v/>
      </c>
      <c r="N215" s="987" t="str">
        <f>N200</f>
        <v>Please specify the climate</v>
      </c>
    </row>
    <row r="216" spans="1:14" s="969" customFormat="1" ht="12.75" customHeight="1">
      <c r="A216" s="967" t="str">
        <f>List!A6</f>
        <v>Please select</v>
      </c>
      <c r="B216" s="968"/>
      <c r="C216" s="968"/>
      <c r="D216" s="968"/>
      <c r="E216" s="968"/>
      <c r="F216" s="968"/>
      <c r="G216" s="968"/>
      <c r="H216" s="61" t="str">
        <f>A216</f>
        <v>Please select</v>
      </c>
      <c r="I216" s="968"/>
      <c r="J216" s="968"/>
      <c r="K216" s="968"/>
      <c r="L216" s="968"/>
      <c r="M216" s="968"/>
    </row>
    <row r="217" spans="1:14" s="94" customFormat="1" ht="12.75" customHeight="1">
      <c r="A217" s="332" t="s">
        <v>302</v>
      </c>
      <c r="B217" s="333">
        <v>0.45</v>
      </c>
      <c r="C217" s="333">
        <v>3.5</v>
      </c>
      <c r="D217" s="335"/>
      <c r="E217" s="334"/>
      <c r="F217" s="334"/>
      <c r="G217" s="334"/>
      <c r="H217" s="336" t="s">
        <v>302</v>
      </c>
      <c r="I217" s="94">
        <v>5</v>
      </c>
      <c r="J217" s="337">
        <v>5</v>
      </c>
    </row>
    <row r="218" spans="1:14" s="94" customFormat="1" ht="12.75" customHeight="1">
      <c r="A218" s="332" t="s">
        <v>303</v>
      </c>
      <c r="B218" s="333">
        <v>5</v>
      </c>
      <c r="C218" s="333">
        <v>3</v>
      </c>
      <c r="D218" s="335"/>
      <c r="E218" s="334"/>
      <c r="F218" s="334"/>
      <c r="G218" s="334"/>
      <c r="H218" s="336" t="s">
        <v>303</v>
      </c>
      <c r="I218" s="94">
        <v>5</v>
      </c>
      <c r="J218" s="337">
        <v>5</v>
      </c>
    </row>
    <row r="219" spans="1:14" s="94" customFormat="1" ht="12.75" customHeight="1">
      <c r="A219" s="332" t="s">
        <v>301</v>
      </c>
      <c r="B219" s="333">
        <v>5</v>
      </c>
      <c r="C219" s="333">
        <v>3</v>
      </c>
      <c r="D219" s="335"/>
      <c r="E219" s="334"/>
      <c r="F219" s="334"/>
      <c r="G219" s="334"/>
      <c r="H219" s="336" t="s">
        <v>301</v>
      </c>
      <c r="I219" s="94">
        <v>5</v>
      </c>
      <c r="J219" s="337">
        <v>5</v>
      </c>
    </row>
    <row r="220" spans="1:14" s="94" customFormat="1" ht="12.75" customHeight="1">
      <c r="A220" s="332" t="s">
        <v>304</v>
      </c>
      <c r="B220" s="333">
        <v>2</v>
      </c>
      <c r="C220" s="333">
        <v>7.5</v>
      </c>
      <c r="D220" s="335"/>
      <c r="E220" s="334"/>
      <c r="F220" s="334"/>
      <c r="G220" s="334"/>
      <c r="H220" s="336" t="s">
        <v>304</v>
      </c>
      <c r="I220" s="94">
        <v>5</v>
      </c>
      <c r="J220" s="337">
        <v>5</v>
      </c>
    </row>
    <row r="221" spans="1:14" s="94" customFormat="1" ht="12.75" customHeight="1">
      <c r="A221" s="332" t="s">
        <v>305</v>
      </c>
      <c r="B221" s="334">
        <v>1</v>
      </c>
      <c r="C221" s="334">
        <v>1</v>
      </c>
      <c r="D221" s="335"/>
      <c r="E221" s="334"/>
      <c r="F221" s="334"/>
      <c r="G221" s="334"/>
      <c r="H221" s="336" t="s">
        <v>305</v>
      </c>
      <c r="I221" s="94">
        <v>5</v>
      </c>
      <c r="J221" s="337">
        <v>5</v>
      </c>
    </row>
    <row r="222" spans="1:14" s="94" customFormat="1" ht="12.75" customHeight="1">
      <c r="A222" s="332" t="s">
        <v>306</v>
      </c>
      <c r="B222" s="334">
        <v>1</v>
      </c>
      <c r="C222" s="334">
        <v>1</v>
      </c>
      <c r="D222" s="335"/>
      <c r="E222" s="334"/>
      <c r="F222" s="334"/>
      <c r="G222" s="334"/>
      <c r="H222" s="336" t="s">
        <v>306</v>
      </c>
      <c r="I222" s="94">
        <v>5</v>
      </c>
      <c r="J222" s="337">
        <v>5</v>
      </c>
    </row>
    <row r="223" spans="1:14" s="94" customFormat="1" ht="12.75" customHeight="1">
      <c r="A223" s="332" t="s">
        <v>307</v>
      </c>
      <c r="B223" s="334">
        <v>1</v>
      </c>
      <c r="C223" s="334">
        <v>1</v>
      </c>
      <c r="D223" s="335"/>
      <c r="E223" s="334"/>
      <c r="F223" s="334"/>
      <c r="G223" s="334"/>
      <c r="H223" s="336" t="s">
        <v>307</v>
      </c>
      <c r="I223" s="94">
        <v>5</v>
      </c>
      <c r="J223" s="337">
        <v>5</v>
      </c>
    </row>
    <row r="224" spans="1:14" s="94" customFormat="1" ht="12.75" customHeight="1">
      <c r="A224" s="332" t="s">
        <v>308</v>
      </c>
      <c r="B224" s="334">
        <v>1</v>
      </c>
      <c r="C224" s="334">
        <v>1</v>
      </c>
      <c r="D224" s="335"/>
      <c r="E224" s="334"/>
      <c r="F224" s="334"/>
      <c r="G224" s="334"/>
      <c r="H224" s="336" t="s">
        <v>308</v>
      </c>
      <c r="I224" s="94">
        <v>5</v>
      </c>
      <c r="J224" s="337">
        <v>5</v>
      </c>
    </row>
    <row r="225" spans="1:14" s="94" customFormat="1" ht="12.75" customHeight="1">
      <c r="A225" s="332" t="s">
        <v>309</v>
      </c>
      <c r="B225" s="333">
        <v>4</v>
      </c>
      <c r="C225" s="333">
        <v>3.4</v>
      </c>
      <c r="D225" s="335"/>
      <c r="E225" s="334"/>
      <c r="F225" s="334"/>
      <c r="G225" s="334"/>
      <c r="H225" s="336" t="s">
        <v>309</v>
      </c>
      <c r="I225" s="94">
        <v>5</v>
      </c>
      <c r="J225" s="337">
        <v>5</v>
      </c>
    </row>
    <row r="226" spans="1:14" s="94" customFormat="1" ht="12.75" customHeight="1">
      <c r="A226" s="332" t="s">
        <v>310</v>
      </c>
      <c r="B226" s="333">
        <v>4</v>
      </c>
      <c r="C226" s="333">
        <v>3.4</v>
      </c>
      <c r="D226" s="334"/>
      <c r="E226" s="334"/>
      <c r="F226" s="334"/>
      <c r="G226" s="334"/>
      <c r="H226" s="336" t="s">
        <v>310</v>
      </c>
      <c r="I226" s="94">
        <v>5</v>
      </c>
      <c r="J226" s="337">
        <v>5</v>
      </c>
    </row>
    <row r="227" spans="1:14" s="94" customFormat="1" ht="12.75" customHeight="1">
      <c r="A227" s="332" t="s">
        <v>311</v>
      </c>
      <c r="B227" s="333">
        <v>4</v>
      </c>
      <c r="C227" s="333">
        <v>3.4</v>
      </c>
      <c r="D227" s="334"/>
      <c r="E227" s="334"/>
      <c r="F227" s="334"/>
      <c r="G227" s="334"/>
      <c r="H227" s="336" t="s">
        <v>311</v>
      </c>
      <c r="I227" s="94">
        <v>5</v>
      </c>
      <c r="J227" s="337">
        <v>5</v>
      </c>
    </row>
    <row r="228" spans="1:14" s="16" customFormat="1" ht="12.75" customHeight="1">
      <c r="A228" s="14" t="s">
        <v>1025</v>
      </c>
      <c r="B228" s="98"/>
      <c r="D228" s="331"/>
      <c r="E228" s="98"/>
      <c r="F228" s="98"/>
      <c r="G228" s="98"/>
      <c r="H228" s="75"/>
      <c r="I228" s="14" t="s">
        <v>988</v>
      </c>
    </row>
    <row r="229" spans="1:14" s="68" customFormat="1" ht="12.75" customHeight="1">
      <c r="A229" s="120" t="s">
        <v>484</v>
      </c>
      <c r="B229" s="331" t="s">
        <v>989</v>
      </c>
      <c r="D229" s="83" t="s">
        <v>491</v>
      </c>
      <c r="E229" s="83"/>
      <c r="F229" s="83"/>
      <c r="G229" s="83"/>
      <c r="H229" s="64"/>
      <c r="I229" s="85" t="s">
        <v>498</v>
      </c>
    </row>
    <row r="230" spans="1:14" s="68" customFormat="1" ht="12.75" customHeight="1">
      <c r="A230" s="120" t="s">
        <v>485</v>
      </c>
      <c r="B230" s="83" t="s">
        <v>398</v>
      </c>
      <c r="C230" s="83" t="s">
        <v>399</v>
      </c>
      <c r="D230" s="83" t="s">
        <v>400</v>
      </c>
      <c r="E230" s="83" t="s">
        <v>401</v>
      </c>
      <c r="F230" s="83" t="s">
        <v>402</v>
      </c>
      <c r="G230" s="990" t="str">
        <f>G215</f>
        <v>Please specify the climate</v>
      </c>
      <c r="H230" s="64" t="s">
        <v>494</v>
      </c>
      <c r="I230" s="83" t="s">
        <v>398</v>
      </c>
      <c r="J230" s="83" t="s">
        <v>399</v>
      </c>
      <c r="K230" s="83" t="s">
        <v>400</v>
      </c>
      <c r="L230" s="83" t="s">
        <v>401</v>
      </c>
      <c r="M230" s="83" t="s">
        <v>402</v>
      </c>
      <c r="N230" s="987" t="str">
        <f>N215</f>
        <v>Please specify the climate</v>
      </c>
    </row>
    <row r="231" spans="1:14" s="969" customFormat="1" ht="12.75" customHeight="1">
      <c r="A231" s="967" t="str">
        <f>List!A6</f>
        <v>Please select</v>
      </c>
      <c r="B231" s="968"/>
      <c r="C231" s="968"/>
      <c r="D231" s="968"/>
      <c r="E231" s="968"/>
      <c r="F231" s="968"/>
      <c r="G231" s="968"/>
      <c r="H231" s="61" t="str">
        <f>A231</f>
        <v>Please select</v>
      </c>
      <c r="I231" s="968"/>
      <c r="J231" s="968"/>
      <c r="K231" s="968"/>
      <c r="L231" s="968"/>
      <c r="M231" s="968"/>
    </row>
    <row r="232" spans="1:14" s="94" customFormat="1" ht="12.75" customHeight="1">
      <c r="A232" s="332" t="s">
        <v>302</v>
      </c>
      <c r="B232" s="333">
        <v>3.1</v>
      </c>
      <c r="C232" s="338">
        <v>5</v>
      </c>
      <c r="D232" s="335">
        <v>4.4000000000000004</v>
      </c>
      <c r="E232" s="334">
        <v>1</v>
      </c>
      <c r="F232" s="333">
        <v>1.25</v>
      </c>
      <c r="G232" s="333"/>
      <c r="H232" s="336" t="s">
        <v>302</v>
      </c>
      <c r="I232" s="94">
        <v>15</v>
      </c>
      <c r="J232" s="337">
        <v>10</v>
      </c>
      <c r="K232" s="94">
        <v>4.4000000000000004</v>
      </c>
      <c r="L232" s="94">
        <v>1</v>
      </c>
      <c r="M232" s="94">
        <v>5</v>
      </c>
    </row>
    <row r="233" spans="1:14" s="94" customFormat="1" ht="12.75" customHeight="1">
      <c r="A233" s="332" t="s">
        <v>303</v>
      </c>
      <c r="B233" s="333">
        <v>2.2000000000000002</v>
      </c>
      <c r="C233" s="333">
        <v>2</v>
      </c>
      <c r="D233" s="335">
        <v>4.4000000000000004</v>
      </c>
      <c r="E233" s="333">
        <v>1.1000000000000001</v>
      </c>
      <c r="F233" s="333">
        <v>0.75</v>
      </c>
      <c r="G233" s="333"/>
      <c r="H233" s="336" t="s">
        <v>303</v>
      </c>
      <c r="I233" s="94">
        <v>15</v>
      </c>
      <c r="J233" s="337">
        <v>10</v>
      </c>
      <c r="K233" s="94">
        <v>4.4000000000000004</v>
      </c>
      <c r="L233" s="94">
        <v>1</v>
      </c>
      <c r="M233" s="94">
        <v>5</v>
      </c>
    </row>
    <row r="234" spans="1:14" s="94" customFormat="1" ht="12.75" customHeight="1">
      <c r="A234" s="332" t="s">
        <v>301</v>
      </c>
      <c r="B234" s="333">
        <v>2.2000000000000002</v>
      </c>
      <c r="C234" s="333">
        <v>2</v>
      </c>
      <c r="D234" s="335">
        <v>4.4000000000000004</v>
      </c>
      <c r="E234" s="333">
        <v>1.1000000000000001</v>
      </c>
      <c r="F234" s="333">
        <v>0.75</v>
      </c>
      <c r="G234" s="333"/>
      <c r="H234" s="336" t="s">
        <v>301</v>
      </c>
      <c r="I234" s="94">
        <v>15</v>
      </c>
      <c r="J234" s="337">
        <v>10</v>
      </c>
      <c r="K234" s="94">
        <v>4.4000000000000004</v>
      </c>
      <c r="L234" s="94">
        <v>1</v>
      </c>
      <c r="M234" s="94">
        <v>5</v>
      </c>
    </row>
    <row r="235" spans="1:14" s="94" customFormat="1" ht="12.75" customHeight="1">
      <c r="A235" s="332" t="s">
        <v>304</v>
      </c>
      <c r="B235" s="333">
        <v>3.4</v>
      </c>
      <c r="C235" s="333">
        <v>3</v>
      </c>
      <c r="D235" s="335">
        <v>4.4000000000000004</v>
      </c>
      <c r="E235" s="333">
        <v>1.1000000000000001</v>
      </c>
      <c r="F235" s="333">
        <v>2</v>
      </c>
      <c r="G235" s="333"/>
      <c r="H235" s="336" t="s">
        <v>304</v>
      </c>
      <c r="I235" s="94">
        <v>15</v>
      </c>
      <c r="J235" s="337">
        <v>10</v>
      </c>
      <c r="K235" s="94">
        <v>4.4000000000000004</v>
      </c>
      <c r="L235" s="94">
        <v>1</v>
      </c>
      <c r="M235" s="94">
        <v>5</v>
      </c>
    </row>
    <row r="236" spans="1:14" s="94" customFormat="1" ht="12.75" customHeight="1">
      <c r="A236" s="332" t="s">
        <v>305</v>
      </c>
      <c r="B236" s="334">
        <v>7</v>
      </c>
      <c r="C236" s="334">
        <v>5</v>
      </c>
      <c r="D236" s="335">
        <v>4.4000000000000004</v>
      </c>
      <c r="E236" s="334">
        <v>1</v>
      </c>
      <c r="F236" s="334">
        <v>1</v>
      </c>
      <c r="G236" s="334"/>
      <c r="H236" s="336" t="s">
        <v>305</v>
      </c>
      <c r="I236" s="94">
        <v>15</v>
      </c>
      <c r="J236" s="337">
        <v>10</v>
      </c>
      <c r="K236" s="94">
        <v>4.4000000000000004</v>
      </c>
      <c r="L236" s="94">
        <v>1</v>
      </c>
      <c r="M236" s="94">
        <v>5</v>
      </c>
    </row>
    <row r="237" spans="1:14" s="94" customFormat="1" ht="12.75" customHeight="1">
      <c r="A237" s="332" t="s">
        <v>306</v>
      </c>
      <c r="B237" s="334">
        <v>7</v>
      </c>
      <c r="C237" s="334">
        <v>5</v>
      </c>
      <c r="D237" s="333">
        <v>2.2999999999999998</v>
      </c>
      <c r="E237" s="333">
        <v>1.1000000000000001</v>
      </c>
      <c r="F237" s="334">
        <v>1</v>
      </c>
      <c r="G237" s="334"/>
      <c r="H237" s="336" t="s">
        <v>306</v>
      </c>
      <c r="I237" s="94">
        <v>15</v>
      </c>
      <c r="J237" s="337">
        <v>10</v>
      </c>
      <c r="K237" s="94">
        <v>4.4000000000000004</v>
      </c>
      <c r="L237" s="94">
        <v>1</v>
      </c>
      <c r="M237" s="94">
        <v>5</v>
      </c>
    </row>
    <row r="238" spans="1:14" s="94" customFormat="1" ht="12.75" customHeight="1">
      <c r="A238" s="332" t="s">
        <v>307</v>
      </c>
      <c r="B238" s="334">
        <v>7</v>
      </c>
      <c r="C238" s="334">
        <v>5</v>
      </c>
      <c r="D238" s="333">
        <v>2.2999999999999998</v>
      </c>
      <c r="E238" s="333">
        <v>1.1000000000000001</v>
      </c>
      <c r="F238" s="334">
        <v>1</v>
      </c>
      <c r="G238" s="334"/>
      <c r="H238" s="336" t="s">
        <v>307</v>
      </c>
      <c r="I238" s="94">
        <v>15</v>
      </c>
      <c r="J238" s="337">
        <v>10</v>
      </c>
      <c r="K238" s="94">
        <v>4.4000000000000004</v>
      </c>
      <c r="L238" s="94">
        <v>1</v>
      </c>
      <c r="M238" s="94">
        <v>5</v>
      </c>
    </row>
    <row r="239" spans="1:14" s="94" customFormat="1" ht="12.75" customHeight="1">
      <c r="A239" s="332" t="s">
        <v>308</v>
      </c>
      <c r="B239" s="334">
        <v>7</v>
      </c>
      <c r="C239" s="334">
        <v>5</v>
      </c>
      <c r="D239" s="333">
        <v>3.5</v>
      </c>
      <c r="E239" s="334">
        <v>1</v>
      </c>
      <c r="F239" s="334">
        <v>1</v>
      </c>
      <c r="G239" s="334"/>
      <c r="H239" s="336" t="s">
        <v>308</v>
      </c>
      <c r="I239" s="94">
        <v>15</v>
      </c>
      <c r="J239" s="337">
        <v>10</v>
      </c>
      <c r="K239" s="94">
        <v>4.4000000000000004</v>
      </c>
      <c r="L239" s="94">
        <v>1</v>
      </c>
      <c r="M239" s="94">
        <v>5</v>
      </c>
    </row>
    <row r="240" spans="1:14" s="94" customFormat="1" ht="12.75" customHeight="1">
      <c r="A240" s="332" t="s">
        <v>309</v>
      </c>
      <c r="B240" s="333">
        <f>18.9/2</f>
        <v>9.4499999999999993</v>
      </c>
      <c r="C240" s="333">
        <v>2</v>
      </c>
      <c r="D240" s="333">
        <v>15</v>
      </c>
      <c r="E240" s="333">
        <v>1.1000000000000001</v>
      </c>
      <c r="F240" s="333">
        <v>0.9</v>
      </c>
      <c r="G240" s="333"/>
      <c r="H240" s="336" t="s">
        <v>309</v>
      </c>
      <c r="I240" s="94">
        <v>15</v>
      </c>
      <c r="J240" s="337">
        <v>10</v>
      </c>
      <c r="K240" s="94">
        <v>4.4000000000000004</v>
      </c>
      <c r="L240" s="94">
        <v>1</v>
      </c>
      <c r="M240" s="94">
        <v>5</v>
      </c>
    </row>
    <row r="241" spans="1:14" s="94" customFormat="1" ht="12.75" customHeight="1">
      <c r="A241" s="332" t="s">
        <v>310</v>
      </c>
      <c r="B241" s="333">
        <v>3.1</v>
      </c>
      <c r="C241" s="333">
        <v>2</v>
      </c>
      <c r="D241" s="333">
        <f>11.3/2</f>
        <v>5.65</v>
      </c>
      <c r="E241" s="334">
        <v>1</v>
      </c>
      <c r="F241" s="333">
        <v>0.9</v>
      </c>
      <c r="G241" s="333"/>
      <c r="H241" s="336" t="s">
        <v>310</v>
      </c>
      <c r="I241" s="94">
        <v>15</v>
      </c>
      <c r="J241" s="337">
        <v>10</v>
      </c>
      <c r="K241" s="94">
        <v>4.4000000000000004</v>
      </c>
      <c r="L241" s="94">
        <v>1</v>
      </c>
      <c r="M241" s="94">
        <v>5</v>
      </c>
    </row>
    <row r="242" spans="1:14" s="94" customFormat="1" ht="12.75" customHeight="1">
      <c r="A242" s="332" t="s">
        <v>311</v>
      </c>
      <c r="B242" s="333">
        <v>3.1</v>
      </c>
      <c r="C242" s="333">
        <v>2</v>
      </c>
      <c r="D242" s="338">
        <v>4.4000000000000004</v>
      </c>
      <c r="E242" s="334">
        <v>1</v>
      </c>
      <c r="F242" s="333">
        <v>0.9</v>
      </c>
      <c r="G242" s="333"/>
      <c r="H242" s="336" t="s">
        <v>311</v>
      </c>
      <c r="I242" s="94">
        <v>15</v>
      </c>
      <c r="J242" s="337">
        <v>10</v>
      </c>
      <c r="K242" s="94">
        <v>4.4000000000000004</v>
      </c>
      <c r="L242" s="94">
        <v>1</v>
      </c>
      <c r="M242" s="94">
        <v>5</v>
      </c>
    </row>
    <row r="243" spans="1:14" s="16" customFormat="1" ht="12.75" customHeight="1">
      <c r="A243" s="14" t="s">
        <v>1025</v>
      </c>
      <c r="B243" s="98"/>
      <c r="D243" s="331"/>
      <c r="E243" s="98"/>
      <c r="F243" s="98"/>
      <c r="G243" s="98"/>
      <c r="H243" s="75"/>
      <c r="I243" s="14" t="s">
        <v>988</v>
      </c>
    </row>
    <row r="244" spans="1:14" s="68" customFormat="1" ht="12.75" customHeight="1">
      <c r="A244" s="120" t="s">
        <v>484</v>
      </c>
      <c r="B244" s="331" t="s">
        <v>989</v>
      </c>
      <c r="D244" s="83" t="s">
        <v>491</v>
      </c>
      <c r="E244" s="83"/>
      <c r="F244" s="83"/>
      <c r="G244" s="83"/>
      <c r="H244" s="64"/>
      <c r="I244" s="85" t="s">
        <v>498</v>
      </c>
    </row>
    <row r="245" spans="1:14" s="68" customFormat="1" ht="12.75" customHeight="1">
      <c r="A245" s="120" t="s">
        <v>486</v>
      </c>
      <c r="B245" s="83" t="s">
        <v>404</v>
      </c>
      <c r="C245" s="83" t="s">
        <v>405</v>
      </c>
      <c r="D245" s="83" t="s">
        <v>406</v>
      </c>
      <c r="E245" s="83" t="s">
        <v>407</v>
      </c>
      <c r="F245" s="83" t="str">
        <f>""</f>
        <v/>
      </c>
      <c r="G245" s="990" t="str">
        <f>G230</f>
        <v>Please specify the climate</v>
      </c>
      <c r="H245" s="64" t="s">
        <v>495</v>
      </c>
      <c r="I245" s="83" t="s">
        <v>404</v>
      </c>
      <c r="J245" s="83" t="s">
        <v>405</v>
      </c>
      <c r="K245" s="83" t="s">
        <v>406</v>
      </c>
      <c r="L245" s="83" t="s">
        <v>407</v>
      </c>
      <c r="M245" s="83" t="str">
        <f>""</f>
        <v/>
      </c>
      <c r="N245" s="987" t="str">
        <f>N230</f>
        <v>Please specify the climate</v>
      </c>
    </row>
    <row r="246" spans="1:14" s="969" customFormat="1" ht="12.75" customHeight="1">
      <c r="A246" s="967" t="str">
        <f>List!A6</f>
        <v>Please select</v>
      </c>
      <c r="B246" s="968"/>
      <c r="C246" s="968"/>
      <c r="D246" s="968"/>
      <c r="E246" s="968"/>
      <c r="F246" s="968"/>
      <c r="G246" s="968"/>
      <c r="H246" s="61" t="str">
        <f>A246</f>
        <v>Please select</v>
      </c>
      <c r="I246" s="968"/>
      <c r="J246" s="968"/>
      <c r="K246" s="968"/>
      <c r="L246" s="968"/>
      <c r="M246" s="968"/>
    </row>
    <row r="247" spans="1:14" s="94" customFormat="1" ht="12.75" customHeight="1">
      <c r="A247" s="332" t="s">
        <v>302</v>
      </c>
      <c r="B247" s="333">
        <v>1.3</v>
      </c>
      <c r="C247" s="333">
        <v>1.8</v>
      </c>
      <c r="D247" s="335">
        <v>4</v>
      </c>
      <c r="E247" s="334">
        <v>0.4</v>
      </c>
      <c r="F247" s="334"/>
      <c r="G247" s="334"/>
      <c r="H247" s="336" t="s">
        <v>302</v>
      </c>
      <c r="I247" s="94">
        <v>10</v>
      </c>
      <c r="J247" s="337">
        <v>8</v>
      </c>
      <c r="K247" s="94">
        <v>4</v>
      </c>
      <c r="L247" s="94">
        <v>0.4</v>
      </c>
    </row>
    <row r="248" spans="1:14" s="94" customFormat="1" ht="12.75" customHeight="1">
      <c r="A248" s="332" t="s">
        <v>303</v>
      </c>
      <c r="B248" s="333">
        <v>2</v>
      </c>
      <c r="C248" s="333">
        <v>1.5</v>
      </c>
      <c r="D248" s="333">
        <v>4</v>
      </c>
      <c r="E248" s="333">
        <v>0.4</v>
      </c>
      <c r="F248" s="334"/>
      <c r="G248" s="334"/>
      <c r="H248" s="336" t="s">
        <v>303</v>
      </c>
      <c r="I248" s="94">
        <v>10</v>
      </c>
      <c r="J248" s="337">
        <v>8</v>
      </c>
      <c r="K248" s="94">
        <v>4</v>
      </c>
      <c r="L248" s="94">
        <v>0.4</v>
      </c>
    </row>
    <row r="249" spans="1:14" s="94" customFormat="1" ht="12.75" customHeight="1">
      <c r="A249" s="332" t="s">
        <v>301</v>
      </c>
      <c r="B249" s="333">
        <v>2</v>
      </c>
      <c r="C249" s="333">
        <v>1.5</v>
      </c>
      <c r="D249" s="333">
        <v>4</v>
      </c>
      <c r="E249" s="333">
        <v>0.4</v>
      </c>
      <c r="F249" s="334"/>
      <c r="G249" s="334"/>
      <c r="H249" s="336" t="s">
        <v>301</v>
      </c>
      <c r="I249" s="94">
        <v>10</v>
      </c>
      <c r="J249" s="337">
        <v>8</v>
      </c>
      <c r="K249" s="94">
        <v>4</v>
      </c>
      <c r="L249" s="94">
        <v>0.4</v>
      </c>
    </row>
    <row r="250" spans="1:14" s="94" customFormat="1" ht="12.75" customHeight="1">
      <c r="A250" s="332" t="s">
        <v>304</v>
      </c>
      <c r="B250" s="333">
        <v>3</v>
      </c>
      <c r="C250" s="333">
        <v>2</v>
      </c>
      <c r="D250" s="333">
        <v>4</v>
      </c>
      <c r="E250" s="333">
        <v>0.4</v>
      </c>
      <c r="F250" s="334"/>
      <c r="G250" s="334"/>
      <c r="H250" s="336" t="s">
        <v>304</v>
      </c>
      <c r="I250" s="94">
        <v>10</v>
      </c>
      <c r="J250" s="337">
        <v>8</v>
      </c>
      <c r="K250" s="94">
        <v>4</v>
      </c>
      <c r="L250" s="94">
        <v>0.4</v>
      </c>
    </row>
    <row r="251" spans="1:14" s="94" customFormat="1" ht="12.75" customHeight="1">
      <c r="A251" s="332" t="s">
        <v>305</v>
      </c>
      <c r="B251" s="334">
        <v>5</v>
      </c>
      <c r="C251" s="334">
        <v>2.4</v>
      </c>
      <c r="D251" s="335">
        <v>4</v>
      </c>
      <c r="E251" s="334">
        <v>0.4</v>
      </c>
      <c r="F251" s="334"/>
      <c r="G251" s="334"/>
      <c r="H251" s="336" t="s">
        <v>305</v>
      </c>
      <c r="I251" s="94">
        <v>10</v>
      </c>
      <c r="J251" s="337">
        <v>8</v>
      </c>
      <c r="K251" s="94">
        <v>4</v>
      </c>
      <c r="L251" s="94">
        <v>0.4</v>
      </c>
    </row>
    <row r="252" spans="1:14" s="94" customFormat="1" ht="12.75" customHeight="1">
      <c r="A252" s="332" t="s">
        <v>306</v>
      </c>
      <c r="B252" s="334">
        <v>5</v>
      </c>
      <c r="C252" s="334">
        <v>2.4</v>
      </c>
      <c r="D252" s="333">
        <v>4</v>
      </c>
      <c r="E252" s="333">
        <v>0.4</v>
      </c>
      <c r="F252" s="334"/>
      <c r="G252" s="334"/>
      <c r="H252" s="336" t="s">
        <v>306</v>
      </c>
      <c r="I252" s="94">
        <v>10</v>
      </c>
      <c r="J252" s="337">
        <v>8</v>
      </c>
      <c r="K252" s="94">
        <v>4</v>
      </c>
      <c r="L252" s="94">
        <v>0.4</v>
      </c>
    </row>
    <row r="253" spans="1:14" s="94" customFormat="1" ht="12.75" customHeight="1">
      <c r="A253" s="332" t="s">
        <v>307</v>
      </c>
      <c r="B253" s="334">
        <v>5</v>
      </c>
      <c r="C253" s="334">
        <v>2.4</v>
      </c>
      <c r="D253" s="333">
        <v>4</v>
      </c>
      <c r="E253" s="333">
        <v>0.4</v>
      </c>
      <c r="F253" s="334"/>
      <c r="G253" s="334"/>
      <c r="H253" s="336" t="s">
        <v>307</v>
      </c>
      <c r="I253" s="94">
        <v>10</v>
      </c>
      <c r="J253" s="337">
        <v>8</v>
      </c>
      <c r="K253" s="94">
        <v>4</v>
      </c>
      <c r="L253" s="94">
        <v>0.4</v>
      </c>
    </row>
    <row r="254" spans="1:14" s="94" customFormat="1" ht="12.75" customHeight="1">
      <c r="A254" s="332" t="s">
        <v>308</v>
      </c>
      <c r="B254" s="334">
        <v>5</v>
      </c>
      <c r="C254" s="334">
        <v>2.4</v>
      </c>
      <c r="D254" s="335">
        <v>4</v>
      </c>
      <c r="E254" s="334">
        <v>0.4</v>
      </c>
      <c r="F254" s="334"/>
      <c r="G254" s="334"/>
      <c r="H254" s="336" t="s">
        <v>308</v>
      </c>
      <c r="I254" s="94">
        <v>10</v>
      </c>
      <c r="J254" s="337">
        <v>8</v>
      </c>
      <c r="K254" s="94">
        <v>4</v>
      </c>
      <c r="L254" s="94">
        <v>0.4</v>
      </c>
    </row>
    <row r="255" spans="1:14" s="94" customFormat="1" ht="12.75" customHeight="1">
      <c r="A255" s="332" t="s">
        <v>309</v>
      </c>
      <c r="B255" s="333">
        <v>2</v>
      </c>
      <c r="C255" s="333">
        <v>1</v>
      </c>
      <c r="D255" s="333">
        <v>4</v>
      </c>
      <c r="E255" s="333">
        <v>0.4</v>
      </c>
      <c r="F255" s="334"/>
      <c r="G255" s="334"/>
      <c r="H255" s="336" t="s">
        <v>309</v>
      </c>
      <c r="I255" s="94">
        <v>10</v>
      </c>
      <c r="J255" s="337">
        <v>8</v>
      </c>
      <c r="K255" s="94">
        <v>4</v>
      </c>
      <c r="L255" s="94">
        <v>0.4</v>
      </c>
    </row>
    <row r="256" spans="1:14" s="94" customFormat="1" ht="12.75" customHeight="1">
      <c r="A256" s="332" t="s">
        <v>310</v>
      </c>
      <c r="B256" s="333">
        <v>2</v>
      </c>
      <c r="C256" s="333">
        <v>1</v>
      </c>
      <c r="D256" s="338">
        <v>4</v>
      </c>
      <c r="E256" s="334">
        <v>0.4</v>
      </c>
      <c r="F256" s="334"/>
      <c r="G256" s="334"/>
      <c r="H256" s="336" t="s">
        <v>310</v>
      </c>
      <c r="I256" s="94">
        <v>10</v>
      </c>
      <c r="J256" s="337">
        <v>8</v>
      </c>
      <c r="K256" s="94">
        <v>4</v>
      </c>
      <c r="L256" s="94">
        <v>0.4</v>
      </c>
    </row>
    <row r="257" spans="1:14" s="94" customFormat="1" ht="12.75" customHeight="1">
      <c r="A257" s="332" t="s">
        <v>311</v>
      </c>
      <c r="B257" s="333">
        <v>2</v>
      </c>
      <c r="C257" s="333">
        <v>1</v>
      </c>
      <c r="D257" s="338">
        <v>4</v>
      </c>
      <c r="E257" s="334">
        <v>0.4</v>
      </c>
      <c r="F257" s="334"/>
      <c r="G257" s="334"/>
      <c r="H257" s="336" t="s">
        <v>311</v>
      </c>
      <c r="I257" s="94">
        <v>10</v>
      </c>
      <c r="J257" s="337">
        <v>8</v>
      </c>
      <c r="K257" s="94">
        <v>4</v>
      </c>
      <c r="L257" s="94">
        <v>0.4</v>
      </c>
    </row>
    <row r="258" spans="1:14" s="16" customFormat="1" ht="12.75" customHeight="1">
      <c r="A258" s="14" t="s">
        <v>1025</v>
      </c>
      <c r="B258" s="98"/>
      <c r="D258" s="331"/>
      <c r="E258" s="98"/>
      <c r="F258" s="98"/>
      <c r="G258" s="98"/>
      <c r="H258" s="75"/>
      <c r="I258" s="14" t="s">
        <v>988</v>
      </c>
    </row>
    <row r="259" spans="1:14" s="68" customFormat="1" ht="12.75" customHeight="1">
      <c r="A259" s="120" t="s">
        <v>484</v>
      </c>
      <c r="B259" s="331" t="s">
        <v>989</v>
      </c>
      <c r="D259" s="83" t="s">
        <v>491</v>
      </c>
      <c r="E259" s="83"/>
      <c r="F259" s="83"/>
      <c r="G259" s="83"/>
      <c r="H259" s="64"/>
      <c r="I259" s="85" t="s">
        <v>498</v>
      </c>
    </row>
    <row r="260" spans="1:14" s="68" customFormat="1" ht="12.75" customHeight="1">
      <c r="A260" s="120" t="s">
        <v>487</v>
      </c>
      <c r="B260" s="83" t="s">
        <v>409</v>
      </c>
      <c r="C260" s="83" t="s">
        <v>410</v>
      </c>
      <c r="D260" s="83" t="s">
        <v>411</v>
      </c>
      <c r="E260" s="83" t="s">
        <v>412</v>
      </c>
      <c r="F260" s="83" t="str">
        <f>""</f>
        <v/>
      </c>
      <c r="G260" s="990" t="str">
        <f>G245</f>
        <v>Please specify the climate</v>
      </c>
      <c r="H260" s="64" t="s">
        <v>496</v>
      </c>
      <c r="I260" s="83" t="s">
        <v>409</v>
      </c>
      <c r="J260" s="83" t="s">
        <v>410</v>
      </c>
      <c r="K260" s="83" t="s">
        <v>411</v>
      </c>
      <c r="L260" s="83" t="s">
        <v>412</v>
      </c>
      <c r="M260" s="83" t="str">
        <f>""</f>
        <v/>
      </c>
      <c r="N260" s="987" t="str">
        <f>N245</f>
        <v>Please specify the climate</v>
      </c>
    </row>
    <row r="261" spans="1:14" s="969" customFormat="1" ht="12.75" customHeight="1">
      <c r="A261" s="967" t="str">
        <f>List!A6</f>
        <v>Please select</v>
      </c>
      <c r="B261" s="968"/>
      <c r="C261" s="968"/>
      <c r="D261" s="968"/>
      <c r="E261" s="968"/>
      <c r="F261" s="968"/>
      <c r="G261" s="968"/>
      <c r="H261" s="61" t="str">
        <f>A261</f>
        <v>Please select</v>
      </c>
      <c r="I261" s="968"/>
      <c r="J261" s="968"/>
      <c r="K261" s="968"/>
      <c r="L261" s="968"/>
      <c r="M261" s="968"/>
    </row>
    <row r="262" spans="1:14" s="94" customFormat="1" ht="12.75" customHeight="1">
      <c r="A262" s="332" t="s">
        <v>302</v>
      </c>
      <c r="B262" s="333">
        <v>1.8</v>
      </c>
      <c r="C262" s="333">
        <v>0.9</v>
      </c>
      <c r="D262" s="335">
        <v>3</v>
      </c>
      <c r="E262" s="334">
        <v>1</v>
      </c>
      <c r="F262" s="334"/>
      <c r="G262" s="334"/>
      <c r="H262" s="336" t="s">
        <v>302</v>
      </c>
      <c r="I262" s="94">
        <v>8</v>
      </c>
      <c r="J262" s="337">
        <v>5</v>
      </c>
      <c r="K262" s="94">
        <v>3</v>
      </c>
      <c r="L262" s="94">
        <v>1</v>
      </c>
    </row>
    <row r="263" spans="1:14" s="94" customFormat="1" ht="12.75" customHeight="1">
      <c r="A263" s="332" t="s">
        <v>303</v>
      </c>
      <c r="B263" s="333">
        <v>1.5</v>
      </c>
      <c r="C263" s="333">
        <v>1.3</v>
      </c>
      <c r="D263" s="333">
        <v>3</v>
      </c>
      <c r="E263" s="333">
        <v>1.3</v>
      </c>
      <c r="F263" s="334"/>
      <c r="G263" s="334"/>
      <c r="H263" s="336" t="s">
        <v>303</v>
      </c>
      <c r="I263" s="94">
        <v>8</v>
      </c>
      <c r="J263" s="337">
        <v>5</v>
      </c>
      <c r="K263" s="94">
        <v>3</v>
      </c>
      <c r="L263" s="94">
        <v>1</v>
      </c>
    </row>
    <row r="264" spans="1:14" s="94" customFormat="1" ht="12.75" customHeight="1">
      <c r="A264" s="332" t="s">
        <v>301</v>
      </c>
      <c r="B264" s="333">
        <v>1.5</v>
      </c>
      <c r="C264" s="333">
        <v>1.3</v>
      </c>
      <c r="D264" s="333">
        <v>3</v>
      </c>
      <c r="E264" s="333">
        <v>1.3</v>
      </c>
      <c r="F264" s="334"/>
      <c r="G264" s="334"/>
      <c r="H264" s="336" t="s">
        <v>301</v>
      </c>
      <c r="I264" s="94">
        <v>8</v>
      </c>
      <c r="J264" s="337">
        <v>5</v>
      </c>
      <c r="K264" s="94">
        <v>3</v>
      </c>
      <c r="L264" s="94">
        <v>1</v>
      </c>
    </row>
    <row r="265" spans="1:14" s="94" customFormat="1" ht="12.75" customHeight="1">
      <c r="A265" s="332" t="s">
        <v>304</v>
      </c>
      <c r="B265" s="333">
        <v>2</v>
      </c>
      <c r="C265" s="333">
        <v>1</v>
      </c>
      <c r="D265" s="333">
        <v>3</v>
      </c>
      <c r="E265" s="333">
        <v>1.3</v>
      </c>
      <c r="F265" s="334"/>
      <c r="G265" s="334"/>
      <c r="H265" s="336" t="s">
        <v>304</v>
      </c>
      <c r="I265" s="94">
        <v>8</v>
      </c>
      <c r="J265" s="337">
        <v>5</v>
      </c>
      <c r="K265" s="94">
        <v>3</v>
      </c>
      <c r="L265" s="94">
        <v>1</v>
      </c>
    </row>
    <row r="266" spans="1:14" s="94" customFormat="1" ht="12.75" customHeight="1">
      <c r="A266" s="332" t="s">
        <v>305</v>
      </c>
      <c r="B266" s="334">
        <v>2.4</v>
      </c>
      <c r="C266" s="334">
        <v>1</v>
      </c>
      <c r="D266" s="335">
        <v>3</v>
      </c>
      <c r="E266" s="334">
        <v>1</v>
      </c>
      <c r="F266" s="334"/>
      <c r="G266" s="334"/>
      <c r="H266" s="336" t="s">
        <v>305</v>
      </c>
      <c r="I266" s="94">
        <v>8</v>
      </c>
      <c r="J266" s="337">
        <v>5</v>
      </c>
      <c r="K266" s="94">
        <v>3</v>
      </c>
      <c r="L266" s="94">
        <v>1</v>
      </c>
    </row>
    <row r="267" spans="1:14" s="94" customFormat="1" ht="12.75" customHeight="1">
      <c r="A267" s="332" t="s">
        <v>306</v>
      </c>
      <c r="B267" s="334">
        <v>2.4</v>
      </c>
      <c r="C267" s="334">
        <v>1</v>
      </c>
      <c r="D267" s="333">
        <v>3</v>
      </c>
      <c r="E267" s="333">
        <v>1.3</v>
      </c>
      <c r="F267" s="334"/>
      <c r="G267" s="334"/>
      <c r="H267" s="336" t="s">
        <v>306</v>
      </c>
      <c r="I267" s="94">
        <v>8</v>
      </c>
      <c r="J267" s="337">
        <v>5</v>
      </c>
      <c r="K267" s="94">
        <v>3</v>
      </c>
      <c r="L267" s="94">
        <v>1</v>
      </c>
    </row>
    <row r="268" spans="1:14" s="94" customFormat="1" ht="12.75" customHeight="1">
      <c r="A268" s="332" t="s">
        <v>307</v>
      </c>
      <c r="B268" s="334">
        <v>2.4</v>
      </c>
      <c r="C268" s="334">
        <v>1</v>
      </c>
      <c r="D268" s="333">
        <v>3</v>
      </c>
      <c r="E268" s="333">
        <v>1.3</v>
      </c>
      <c r="F268" s="334"/>
      <c r="G268" s="334"/>
      <c r="H268" s="336" t="s">
        <v>307</v>
      </c>
      <c r="I268" s="94">
        <v>8</v>
      </c>
      <c r="J268" s="337">
        <v>5</v>
      </c>
      <c r="K268" s="94">
        <v>3</v>
      </c>
      <c r="L268" s="94">
        <v>1</v>
      </c>
    </row>
    <row r="269" spans="1:14" s="94" customFormat="1" ht="12.75" customHeight="1">
      <c r="A269" s="332" t="s">
        <v>308</v>
      </c>
      <c r="B269" s="334">
        <v>2.4</v>
      </c>
      <c r="C269" s="334">
        <v>1</v>
      </c>
      <c r="D269" s="335">
        <v>3</v>
      </c>
      <c r="E269" s="334">
        <v>1</v>
      </c>
      <c r="F269" s="334"/>
      <c r="G269" s="334"/>
      <c r="H269" s="336" t="s">
        <v>308</v>
      </c>
      <c r="I269" s="94">
        <v>8</v>
      </c>
      <c r="J269" s="337">
        <v>5</v>
      </c>
      <c r="K269" s="94">
        <v>3</v>
      </c>
      <c r="L269" s="94">
        <v>1</v>
      </c>
    </row>
    <row r="270" spans="1:14" s="94" customFormat="1" ht="12.75" customHeight="1">
      <c r="A270" s="332" t="s">
        <v>309</v>
      </c>
      <c r="B270" s="333">
        <v>1</v>
      </c>
      <c r="C270" s="333">
        <v>1</v>
      </c>
      <c r="D270" s="333">
        <v>3</v>
      </c>
      <c r="E270" s="333">
        <v>1.3</v>
      </c>
      <c r="F270" s="334"/>
      <c r="G270" s="334"/>
      <c r="H270" s="336" t="s">
        <v>309</v>
      </c>
      <c r="I270" s="94">
        <v>8</v>
      </c>
      <c r="J270" s="337">
        <v>5</v>
      </c>
      <c r="K270" s="94">
        <v>3</v>
      </c>
      <c r="L270" s="94">
        <v>1</v>
      </c>
    </row>
    <row r="271" spans="1:14" s="94" customFormat="1" ht="12.75" customHeight="1">
      <c r="A271" s="332" t="s">
        <v>310</v>
      </c>
      <c r="B271" s="333">
        <v>1</v>
      </c>
      <c r="C271" s="333">
        <v>1</v>
      </c>
      <c r="D271" s="338">
        <v>3</v>
      </c>
      <c r="E271" s="334">
        <v>1</v>
      </c>
      <c r="F271" s="334"/>
      <c r="G271" s="334"/>
      <c r="H271" s="336" t="s">
        <v>310</v>
      </c>
      <c r="I271" s="94">
        <v>8</v>
      </c>
      <c r="J271" s="337">
        <v>5</v>
      </c>
      <c r="K271" s="94">
        <v>3</v>
      </c>
      <c r="L271" s="94">
        <v>1</v>
      </c>
    </row>
    <row r="272" spans="1:14" s="94" customFormat="1" ht="12.75" customHeight="1">
      <c r="A272" s="332" t="s">
        <v>311</v>
      </c>
      <c r="B272" s="333">
        <v>1</v>
      </c>
      <c r="C272" s="333">
        <v>1</v>
      </c>
      <c r="D272" s="338">
        <v>3</v>
      </c>
      <c r="E272" s="334">
        <v>1</v>
      </c>
      <c r="F272" s="334"/>
      <c r="G272" s="334"/>
      <c r="H272" s="336" t="s">
        <v>311</v>
      </c>
      <c r="I272" s="94">
        <v>8</v>
      </c>
      <c r="J272" s="337">
        <v>5</v>
      </c>
      <c r="K272" s="94">
        <v>3</v>
      </c>
      <c r="L272" s="94">
        <v>1</v>
      </c>
    </row>
    <row r="273" spans="1:14" s="16" customFormat="1" ht="12.75" customHeight="1">
      <c r="A273" s="14" t="s">
        <v>1025</v>
      </c>
      <c r="B273" s="98"/>
      <c r="D273" s="331"/>
      <c r="E273" s="98"/>
      <c r="F273" s="98"/>
      <c r="G273" s="98"/>
      <c r="H273" s="75"/>
      <c r="I273" s="14" t="s">
        <v>988</v>
      </c>
    </row>
    <row r="274" spans="1:14" s="68" customFormat="1" ht="12.75" customHeight="1">
      <c r="A274" s="120" t="s">
        <v>484</v>
      </c>
      <c r="B274" s="331" t="s">
        <v>989</v>
      </c>
      <c r="D274" s="83" t="s">
        <v>491</v>
      </c>
      <c r="E274" s="83"/>
      <c r="F274" s="83"/>
      <c r="G274" s="83"/>
      <c r="H274" s="64"/>
      <c r="I274" s="85" t="s">
        <v>498</v>
      </c>
    </row>
    <row r="275" spans="1:14" s="68" customFormat="1" ht="12.75" customHeight="1">
      <c r="A275" s="120" t="s">
        <v>488</v>
      </c>
      <c r="B275" s="83" t="s">
        <v>414</v>
      </c>
      <c r="C275" s="83" t="s">
        <v>415</v>
      </c>
      <c r="D275" s="83"/>
      <c r="E275" s="83" t="str">
        <f>""</f>
        <v/>
      </c>
      <c r="F275" s="83" t="str">
        <f>""</f>
        <v/>
      </c>
      <c r="G275" s="990" t="str">
        <f>G260</f>
        <v>Please specify the climate</v>
      </c>
      <c r="H275" s="64" t="s">
        <v>497</v>
      </c>
      <c r="I275" s="83" t="s">
        <v>414</v>
      </c>
      <c r="J275" s="83" t="s">
        <v>415</v>
      </c>
      <c r="K275" s="83"/>
      <c r="L275" s="83" t="str">
        <f>""</f>
        <v/>
      </c>
      <c r="M275" s="83" t="str">
        <f>""</f>
        <v/>
      </c>
      <c r="N275" s="987" t="str">
        <f>N260</f>
        <v>Please specify the climate</v>
      </c>
    </row>
    <row r="276" spans="1:14" s="969" customFormat="1" ht="12.75" customHeight="1">
      <c r="A276" s="967" t="str">
        <f>List!A6</f>
        <v>Please select</v>
      </c>
      <c r="B276" s="968"/>
      <c r="C276" s="968"/>
      <c r="D276" s="968"/>
      <c r="E276" s="968"/>
      <c r="F276" s="968"/>
      <c r="G276" s="968"/>
      <c r="H276" s="61" t="str">
        <f>A276</f>
        <v>Please select</v>
      </c>
      <c r="I276" s="968"/>
      <c r="J276" s="968"/>
      <c r="K276" s="968"/>
      <c r="L276" s="968"/>
      <c r="M276" s="968"/>
    </row>
    <row r="277" spans="1:14" s="94" customFormat="1" ht="12.75" customHeight="1">
      <c r="A277" s="332" t="s">
        <v>302</v>
      </c>
      <c r="B277" s="333">
        <v>0.9</v>
      </c>
      <c r="C277" s="333">
        <v>1.25</v>
      </c>
      <c r="D277" s="335"/>
      <c r="E277" s="334"/>
      <c r="F277" s="334"/>
      <c r="G277" s="334"/>
      <c r="H277" s="336" t="s">
        <v>302</v>
      </c>
      <c r="I277" s="94">
        <v>5</v>
      </c>
      <c r="J277" s="337">
        <v>5</v>
      </c>
    </row>
    <row r="278" spans="1:14" s="94" customFormat="1" ht="12.75" customHeight="1">
      <c r="A278" s="332" t="s">
        <v>303</v>
      </c>
      <c r="B278" s="333">
        <v>1.3</v>
      </c>
      <c r="C278" s="333">
        <v>0.75</v>
      </c>
      <c r="D278" s="335"/>
      <c r="E278" s="334"/>
      <c r="F278" s="334"/>
      <c r="G278" s="334"/>
      <c r="H278" s="336" t="s">
        <v>303</v>
      </c>
      <c r="I278" s="94">
        <v>5</v>
      </c>
      <c r="J278" s="337">
        <v>5</v>
      </c>
    </row>
    <row r="279" spans="1:14" s="94" customFormat="1" ht="12.75" customHeight="1">
      <c r="A279" s="332" t="s">
        <v>301</v>
      </c>
      <c r="B279" s="333">
        <v>1.3</v>
      </c>
      <c r="C279" s="333">
        <v>0.75</v>
      </c>
      <c r="D279" s="335"/>
      <c r="E279" s="334"/>
      <c r="F279" s="334"/>
      <c r="G279" s="334"/>
      <c r="H279" s="336" t="s">
        <v>301</v>
      </c>
      <c r="I279" s="94">
        <v>5</v>
      </c>
      <c r="J279" s="337">
        <v>5</v>
      </c>
    </row>
    <row r="280" spans="1:14" s="94" customFormat="1" ht="12.75" customHeight="1">
      <c r="A280" s="332" t="s">
        <v>304</v>
      </c>
      <c r="B280" s="333">
        <v>1</v>
      </c>
      <c r="C280" s="333">
        <v>2</v>
      </c>
      <c r="D280" s="335"/>
      <c r="E280" s="334"/>
      <c r="F280" s="334"/>
      <c r="G280" s="334"/>
      <c r="H280" s="336" t="s">
        <v>304</v>
      </c>
      <c r="I280" s="94">
        <v>5</v>
      </c>
      <c r="J280" s="337">
        <v>5</v>
      </c>
    </row>
    <row r="281" spans="1:14" s="94" customFormat="1" ht="12.75" customHeight="1">
      <c r="A281" s="332" t="s">
        <v>305</v>
      </c>
      <c r="B281" s="334">
        <v>1</v>
      </c>
      <c r="C281" s="334">
        <v>1</v>
      </c>
      <c r="D281" s="335"/>
      <c r="E281" s="334"/>
      <c r="F281" s="334"/>
      <c r="G281" s="334"/>
      <c r="H281" s="336" t="s">
        <v>305</v>
      </c>
      <c r="I281" s="94">
        <v>5</v>
      </c>
      <c r="J281" s="337">
        <v>5</v>
      </c>
    </row>
    <row r="282" spans="1:14" s="94" customFormat="1" ht="12.75" customHeight="1">
      <c r="A282" s="332" t="s">
        <v>306</v>
      </c>
      <c r="B282" s="334">
        <v>1</v>
      </c>
      <c r="C282" s="334">
        <v>1</v>
      </c>
      <c r="D282" s="335"/>
      <c r="E282" s="334"/>
      <c r="F282" s="334"/>
      <c r="G282" s="334"/>
      <c r="H282" s="336" t="s">
        <v>306</v>
      </c>
      <c r="I282" s="94">
        <v>5</v>
      </c>
      <c r="J282" s="337">
        <v>5</v>
      </c>
    </row>
    <row r="283" spans="1:14" s="94" customFormat="1" ht="12.75" customHeight="1">
      <c r="A283" s="332" t="s">
        <v>307</v>
      </c>
      <c r="B283" s="334">
        <v>1</v>
      </c>
      <c r="C283" s="334">
        <v>1</v>
      </c>
      <c r="D283" s="335"/>
      <c r="E283" s="334"/>
      <c r="F283" s="334"/>
      <c r="G283" s="334"/>
      <c r="H283" s="336" t="s">
        <v>307</v>
      </c>
      <c r="I283" s="94">
        <v>5</v>
      </c>
      <c r="J283" s="337">
        <v>5</v>
      </c>
    </row>
    <row r="284" spans="1:14" s="94" customFormat="1" ht="12.75" customHeight="1">
      <c r="A284" s="332" t="s">
        <v>308</v>
      </c>
      <c r="B284" s="334">
        <v>1</v>
      </c>
      <c r="C284" s="334">
        <v>1</v>
      </c>
      <c r="D284" s="335"/>
      <c r="E284" s="334"/>
      <c r="F284" s="334"/>
      <c r="G284" s="334"/>
      <c r="H284" s="336" t="s">
        <v>308</v>
      </c>
      <c r="I284" s="94">
        <v>5</v>
      </c>
      <c r="J284" s="337">
        <v>5</v>
      </c>
    </row>
    <row r="285" spans="1:14" s="94" customFormat="1" ht="12.75" customHeight="1">
      <c r="A285" s="332" t="s">
        <v>309</v>
      </c>
      <c r="B285" s="333">
        <v>1</v>
      </c>
      <c r="C285" s="333">
        <v>0.9</v>
      </c>
      <c r="D285" s="335"/>
      <c r="E285" s="334"/>
      <c r="F285" s="334"/>
      <c r="G285" s="334"/>
      <c r="H285" s="336" t="s">
        <v>309</v>
      </c>
      <c r="I285" s="94">
        <v>5</v>
      </c>
      <c r="J285" s="337">
        <v>5</v>
      </c>
    </row>
    <row r="286" spans="1:14" s="94" customFormat="1" ht="12.75" customHeight="1">
      <c r="A286" s="332" t="s">
        <v>310</v>
      </c>
      <c r="B286" s="333">
        <v>1</v>
      </c>
      <c r="C286" s="333">
        <v>0.9</v>
      </c>
      <c r="D286" s="334"/>
      <c r="E286" s="334"/>
      <c r="F286" s="334"/>
      <c r="G286" s="334"/>
      <c r="H286" s="336" t="s">
        <v>310</v>
      </c>
      <c r="I286" s="94">
        <v>5</v>
      </c>
      <c r="J286" s="337">
        <v>5</v>
      </c>
    </row>
    <row r="287" spans="1:14" s="94" customFormat="1" ht="12.75" customHeight="1">
      <c r="A287" s="332" t="s">
        <v>311</v>
      </c>
      <c r="B287" s="333">
        <v>1</v>
      </c>
      <c r="C287" s="333">
        <v>0.9</v>
      </c>
      <c r="D287" s="334"/>
      <c r="E287" s="334"/>
      <c r="F287" s="334"/>
      <c r="G287" s="334"/>
      <c r="H287" s="336" t="s">
        <v>311</v>
      </c>
      <c r="I287" s="94">
        <v>5</v>
      </c>
      <c r="J287" s="337">
        <v>5</v>
      </c>
    </row>
    <row r="288" spans="1:14" s="17" customFormat="1" ht="12.75" customHeight="1">
      <c r="A288" s="97" t="s">
        <v>997</v>
      </c>
      <c r="B288" s="65"/>
      <c r="C288" s="65"/>
      <c r="D288" s="65"/>
      <c r="E288" s="65"/>
      <c r="F288" s="97"/>
      <c r="G288" s="65"/>
      <c r="H288" s="17" t="s">
        <v>1002</v>
      </c>
      <c r="I288" s="85"/>
      <c r="K288" s="17" t="s">
        <v>1029</v>
      </c>
    </row>
    <row r="289" spans="1:10" s="17" customFormat="1" ht="12.75" customHeight="1">
      <c r="A289" s="97" t="s">
        <v>583</v>
      </c>
      <c r="B289" s="65" t="s">
        <v>999</v>
      </c>
      <c r="C289" s="65"/>
      <c r="D289" s="65"/>
      <c r="E289" s="65"/>
      <c r="F289" s="97" t="s">
        <v>705</v>
      </c>
      <c r="G289" s="65"/>
      <c r="H289" s="64" t="s">
        <v>6125</v>
      </c>
      <c r="I289" s="85" t="s">
        <v>1005</v>
      </c>
    </row>
    <row r="290" spans="1:10" s="64" customFormat="1">
      <c r="A290" s="64" t="s">
        <v>470</v>
      </c>
      <c r="B290" s="133" t="s">
        <v>676</v>
      </c>
      <c r="C290" s="17" t="s">
        <v>1001</v>
      </c>
      <c r="D290" s="17" t="s">
        <v>1003</v>
      </c>
      <c r="E290" s="17" t="s">
        <v>1004</v>
      </c>
      <c r="F290" s="17" t="str">
        <f>List!A122</f>
        <v>Flooded Rice</v>
      </c>
      <c r="G290" s="17" t="s">
        <v>674</v>
      </c>
      <c r="H290" s="17" t="s">
        <v>334</v>
      </c>
      <c r="I290" s="17" t="s">
        <v>1107</v>
      </c>
      <c r="J290" s="84" t="s">
        <v>998</v>
      </c>
    </row>
    <row r="291" spans="1:10" s="977" customFormat="1">
      <c r="A291" s="988" t="str">
        <f>A276</f>
        <v>Please select</v>
      </c>
      <c r="B291" s="985"/>
      <c r="C291" s="12"/>
      <c r="D291" s="12"/>
      <c r="E291" s="12"/>
      <c r="F291" s="12"/>
      <c r="G291" s="12"/>
      <c r="H291" s="12"/>
      <c r="I291" s="12"/>
      <c r="J291" s="986"/>
    </row>
    <row r="292" spans="1:10" s="340" customFormat="1">
      <c r="A292" s="335" t="s">
        <v>323</v>
      </c>
      <c r="B292" s="339">
        <v>5</v>
      </c>
      <c r="C292" s="339">
        <f t="shared" ref="C292:C297" si="5">3*2.1</f>
        <v>6.3000000000000007</v>
      </c>
      <c r="D292" s="340">
        <f>8*C292/3</f>
        <v>16.8</v>
      </c>
      <c r="E292" s="340">
        <f>D292</f>
        <v>16.8</v>
      </c>
      <c r="F292" s="339">
        <v>5</v>
      </c>
      <c r="G292" s="339">
        <v>5</v>
      </c>
      <c r="H292" s="339">
        <f>8.5*0.47</f>
        <v>3.9949999999999997</v>
      </c>
      <c r="I292" s="339">
        <v>0</v>
      </c>
      <c r="J292" s="340">
        <v>1</v>
      </c>
    </row>
    <row r="293" spans="1:10" s="340" customFormat="1">
      <c r="A293" s="335" t="s">
        <v>322</v>
      </c>
      <c r="B293" s="339">
        <v>5</v>
      </c>
      <c r="C293" s="339">
        <f t="shared" si="5"/>
        <v>6.3000000000000007</v>
      </c>
      <c r="D293" s="340">
        <f t="shared" ref="D293:D301" si="6">8*C293/3</f>
        <v>16.8</v>
      </c>
      <c r="E293" s="340">
        <f>D293</f>
        <v>16.8</v>
      </c>
      <c r="F293" s="339">
        <v>5</v>
      </c>
      <c r="G293" s="339">
        <v>5</v>
      </c>
      <c r="H293" s="339">
        <f>H292</f>
        <v>3.9949999999999997</v>
      </c>
      <c r="I293" s="339">
        <v>0</v>
      </c>
      <c r="J293" s="340">
        <v>1</v>
      </c>
    </row>
    <row r="294" spans="1:10" s="340" customFormat="1">
      <c r="A294" s="341" t="s">
        <v>320</v>
      </c>
      <c r="B294" s="339">
        <v>5</v>
      </c>
      <c r="C294" s="339">
        <f t="shared" si="5"/>
        <v>6.3000000000000007</v>
      </c>
      <c r="D294" s="340">
        <f t="shared" si="6"/>
        <v>16.8</v>
      </c>
      <c r="E294" s="340">
        <f>15*C294/3</f>
        <v>31.500000000000004</v>
      </c>
      <c r="F294" s="339">
        <v>5</v>
      </c>
      <c r="G294" s="339">
        <v>5</v>
      </c>
      <c r="H294" s="339">
        <f>6.5*0.47</f>
        <v>3.0549999999999997</v>
      </c>
      <c r="I294" s="339">
        <v>0</v>
      </c>
      <c r="J294" s="340">
        <v>1</v>
      </c>
    </row>
    <row r="295" spans="1:10" s="340" customFormat="1">
      <c r="A295" s="341" t="s">
        <v>321</v>
      </c>
      <c r="B295" s="339">
        <v>5</v>
      </c>
      <c r="C295" s="339">
        <f t="shared" si="5"/>
        <v>6.3000000000000007</v>
      </c>
      <c r="D295" s="340">
        <f t="shared" si="6"/>
        <v>16.8</v>
      </c>
      <c r="E295" s="340">
        <f>15*C295/3</f>
        <v>31.500000000000004</v>
      </c>
      <c r="F295" s="339">
        <v>5</v>
      </c>
      <c r="G295" s="339">
        <v>5</v>
      </c>
      <c r="H295" s="339">
        <f>13.6*0.47</f>
        <v>6.3919999999999995</v>
      </c>
      <c r="I295" s="339">
        <v>0</v>
      </c>
      <c r="J295" s="340">
        <v>1</v>
      </c>
    </row>
    <row r="296" spans="1:10" s="340" customFormat="1">
      <c r="A296" s="341" t="s">
        <v>319</v>
      </c>
      <c r="B296" s="339">
        <v>5</v>
      </c>
      <c r="C296" s="339">
        <f t="shared" si="5"/>
        <v>6.3000000000000007</v>
      </c>
      <c r="D296" s="340">
        <f t="shared" si="6"/>
        <v>16.8</v>
      </c>
      <c r="E296" s="340">
        <f>15*C296/3</f>
        <v>31.500000000000004</v>
      </c>
      <c r="F296" s="339">
        <v>5</v>
      </c>
      <c r="G296" s="339">
        <v>5</v>
      </c>
      <c r="H296" s="339">
        <f>6.1*0.47</f>
        <v>2.8669999999999995</v>
      </c>
      <c r="I296" s="339">
        <v>0</v>
      </c>
      <c r="J296" s="340">
        <v>1</v>
      </c>
    </row>
    <row r="297" spans="1:10" s="340" customFormat="1">
      <c r="A297" s="341" t="s">
        <v>475</v>
      </c>
      <c r="B297" s="339">
        <v>5</v>
      </c>
      <c r="C297" s="339">
        <f t="shared" si="5"/>
        <v>6.3000000000000007</v>
      </c>
      <c r="D297" s="340">
        <f t="shared" si="6"/>
        <v>16.8</v>
      </c>
      <c r="E297" s="340">
        <f>15*C297/3</f>
        <v>31.500000000000004</v>
      </c>
      <c r="F297" s="339">
        <v>5</v>
      </c>
      <c r="G297" s="339">
        <v>5</v>
      </c>
      <c r="H297" s="339">
        <f>13.5*0.47</f>
        <v>6.3449999999999998</v>
      </c>
      <c r="I297" s="339">
        <v>0</v>
      </c>
      <c r="J297" s="340">
        <v>1</v>
      </c>
    </row>
    <row r="298" spans="1:10" s="340" customFormat="1">
      <c r="A298" s="341" t="s">
        <v>515</v>
      </c>
      <c r="B298" s="339">
        <v>5</v>
      </c>
      <c r="C298" s="339">
        <f>3*1.8</f>
        <v>5.4</v>
      </c>
      <c r="D298" s="340">
        <v>9</v>
      </c>
      <c r="E298" s="340">
        <v>9</v>
      </c>
      <c r="F298" s="339">
        <v>5</v>
      </c>
      <c r="G298" s="339">
        <v>5</v>
      </c>
      <c r="H298" s="339">
        <f>8.7*0.47</f>
        <v>4.0889999999999995</v>
      </c>
      <c r="I298" s="339">
        <v>0</v>
      </c>
      <c r="J298" s="340">
        <v>1</v>
      </c>
    </row>
    <row r="299" spans="1:10" s="340" customFormat="1">
      <c r="A299" s="341" t="s">
        <v>516</v>
      </c>
      <c r="B299" s="339">
        <v>5</v>
      </c>
      <c r="C299" s="339">
        <v>5.4</v>
      </c>
      <c r="D299" s="340">
        <v>9</v>
      </c>
      <c r="E299" s="340">
        <v>9</v>
      </c>
      <c r="F299" s="339">
        <v>5</v>
      </c>
      <c r="G299" s="339">
        <v>5</v>
      </c>
      <c r="H299" s="339">
        <f>8.7*0.47</f>
        <v>4.0889999999999995</v>
      </c>
      <c r="I299" s="339">
        <v>0</v>
      </c>
      <c r="J299" s="340">
        <v>1</v>
      </c>
    </row>
    <row r="300" spans="1:10" s="340" customFormat="1">
      <c r="A300" s="341" t="s">
        <v>318</v>
      </c>
      <c r="B300" s="339">
        <v>5</v>
      </c>
      <c r="C300" s="339">
        <v>5.4</v>
      </c>
      <c r="D300" s="340">
        <v>9</v>
      </c>
      <c r="E300" s="340">
        <v>9</v>
      </c>
      <c r="F300" s="339">
        <v>5</v>
      </c>
      <c r="G300" s="339">
        <v>5</v>
      </c>
      <c r="H300" s="339">
        <f>8.7*0.47</f>
        <v>4.0889999999999995</v>
      </c>
      <c r="I300" s="339">
        <v>0</v>
      </c>
      <c r="J300" s="340">
        <v>1</v>
      </c>
    </row>
    <row r="301" spans="1:10" s="340" customFormat="1">
      <c r="A301" s="341" t="s">
        <v>316</v>
      </c>
      <c r="B301" s="339">
        <v>5</v>
      </c>
      <c r="C301" s="339">
        <v>7.8</v>
      </c>
      <c r="D301" s="340">
        <f t="shared" si="6"/>
        <v>20.8</v>
      </c>
      <c r="E301" s="340">
        <v>21</v>
      </c>
      <c r="F301" s="339">
        <v>5</v>
      </c>
      <c r="G301" s="339">
        <v>5</v>
      </c>
      <c r="H301" s="339">
        <f>16.1*0.47</f>
        <v>7.5670000000000002</v>
      </c>
      <c r="I301" s="339">
        <v>0</v>
      </c>
      <c r="J301" s="340">
        <v>1</v>
      </c>
    </row>
    <row r="302" spans="1:10" s="340" customFormat="1">
      <c r="A302" s="341" t="s">
        <v>315</v>
      </c>
      <c r="B302" s="339">
        <v>5</v>
      </c>
      <c r="C302" s="339">
        <v>25</v>
      </c>
      <c r="D302" s="340">
        <v>50</v>
      </c>
      <c r="E302" s="340">
        <f>D302</f>
        <v>50</v>
      </c>
      <c r="F302" s="339">
        <v>5</v>
      </c>
      <c r="G302" s="339">
        <v>5</v>
      </c>
      <c r="H302" s="339">
        <f>H301</f>
        <v>7.5670000000000002</v>
      </c>
      <c r="I302" s="339">
        <v>0</v>
      </c>
      <c r="J302" s="340">
        <v>1</v>
      </c>
    </row>
    <row r="303" spans="1:10" s="85" customFormat="1">
      <c r="A303" s="16" t="s">
        <v>467</v>
      </c>
      <c r="B303" s="84"/>
      <c r="C303" s="84"/>
      <c r="D303" s="84"/>
      <c r="G303" s="84"/>
    </row>
    <row r="304" spans="1:10" s="68" customFormat="1">
      <c r="A304" s="68" t="s">
        <v>547</v>
      </c>
      <c r="B304" s="68" t="s">
        <v>546</v>
      </c>
      <c r="C304" s="64"/>
      <c r="D304" s="64"/>
      <c r="G304" s="64"/>
      <c r="H304" s="119" t="s">
        <v>523</v>
      </c>
      <c r="I304" s="103"/>
    </row>
    <row r="305" spans="1:10" s="68" customFormat="1">
      <c r="C305" s="64"/>
      <c r="D305" s="64"/>
      <c r="G305" s="64"/>
      <c r="I305" s="85" t="s">
        <v>1006</v>
      </c>
    </row>
    <row r="306" spans="1:10" s="17" customFormat="1">
      <c r="A306" s="64" t="s">
        <v>470</v>
      </c>
      <c r="B306" s="30" t="s">
        <v>676</v>
      </c>
      <c r="C306" s="17" t="s">
        <v>1001</v>
      </c>
      <c r="D306" s="17" t="s">
        <v>1003</v>
      </c>
      <c r="E306" s="17" t="s">
        <v>1004</v>
      </c>
      <c r="F306" s="17" t="str">
        <f>F290</f>
        <v>Flooded Rice</v>
      </c>
      <c r="G306" s="17" t="s">
        <v>674</v>
      </c>
      <c r="H306" s="17" t="s">
        <v>334</v>
      </c>
      <c r="I306" s="17" t="s">
        <v>1107</v>
      </c>
      <c r="J306" s="84" t="s">
        <v>998</v>
      </c>
    </row>
    <row r="307" spans="1:10" s="12" customFormat="1">
      <c r="A307" s="977" t="str">
        <f>A291</f>
        <v>Please select</v>
      </c>
      <c r="B307" s="86"/>
      <c r="J307" s="986"/>
    </row>
    <row r="308" spans="1:10" s="340" customFormat="1">
      <c r="A308" s="335" t="s">
        <v>323</v>
      </c>
      <c r="B308" s="339">
        <f>0.8</f>
        <v>0.8</v>
      </c>
      <c r="C308" s="339">
        <v>1</v>
      </c>
      <c r="D308" s="339">
        <v>1</v>
      </c>
      <c r="E308" s="339">
        <v>1</v>
      </c>
      <c r="F308" s="339">
        <v>1.1000000000000001</v>
      </c>
      <c r="G308" s="339">
        <v>0.93</v>
      </c>
      <c r="H308" s="339">
        <v>1</v>
      </c>
      <c r="I308" s="339">
        <v>1</v>
      </c>
      <c r="J308" s="340">
        <v>0.33</v>
      </c>
    </row>
    <row r="309" spans="1:10" s="340" customFormat="1">
      <c r="A309" s="335" t="s">
        <v>322</v>
      </c>
      <c r="B309" s="339">
        <v>0.69</v>
      </c>
      <c r="C309" s="339">
        <v>1</v>
      </c>
      <c r="D309" s="339">
        <v>1</v>
      </c>
      <c r="E309" s="339">
        <v>1</v>
      </c>
      <c r="F309" s="339">
        <v>1.1000000000000001</v>
      </c>
      <c r="G309" s="339">
        <v>0.82</v>
      </c>
      <c r="H309" s="339">
        <v>1</v>
      </c>
      <c r="I309" s="339">
        <v>1</v>
      </c>
      <c r="J309" s="340">
        <v>0.33</v>
      </c>
    </row>
    <row r="310" spans="1:10" s="340" customFormat="1">
      <c r="A310" s="341" t="s">
        <v>320</v>
      </c>
      <c r="B310" s="339">
        <v>0.8</v>
      </c>
      <c r="C310" s="339">
        <v>1</v>
      </c>
      <c r="D310" s="339">
        <v>1</v>
      </c>
      <c r="E310" s="339">
        <v>1</v>
      </c>
      <c r="F310" s="339">
        <v>1.1000000000000001</v>
      </c>
      <c r="G310" s="339">
        <v>0.93</v>
      </c>
      <c r="H310" s="339">
        <v>1</v>
      </c>
      <c r="I310" s="339">
        <v>1</v>
      </c>
      <c r="J310" s="340">
        <v>0.33</v>
      </c>
    </row>
    <row r="311" spans="1:10" s="340" customFormat="1">
      <c r="A311" s="341" t="s">
        <v>321</v>
      </c>
      <c r="B311" s="339">
        <v>0.69</v>
      </c>
      <c r="C311" s="339">
        <v>1</v>
      </c>
      <c r="D311" s="339">
        <v>1</v>
      </c>
      <c r="E311" s="339">
        <v>1</v>
      </c>
      <c r="F311" s="339">
        <v>1.1000000000000001</v>
      </c>
      <c r="G311" s="339">
        <v>0.82</v>
      </c>
      <c r="H311" s="339">
        <v>1</v>
      </c>
      <c r="I311" s="339">
        <v>1</v>
      </c>
      <c r="J311" s="340">
        <v>0.33</v>
      </c>
    </row>
    <row r="312" spans="1:10" s="340" customFormat="1">
      <c r="A312" s="341" t="s">
        <v>319</v>
      </c>
      <c r="B312" s="339">
        <v>0.8</v>
      </c>
      <c r="C312" s="339">
        <v>1</v>
      </c>
      <c r="D312" s="339">
        <v>1</v>
      </c>
      <c r="E312" s="339">
        <v>1</v>
      </c>
      <c r="F312" s="339">
        <v>1.1000000000000001</v>
      </c>
      <c r="G312" s="339">
        <v>0.93</v>
      </c>
      <c r="H312" s="339">
        <v>1</v>
      </c>
      <c r="I312" s="339">
        <v>1</v>
      </c>
      <c r="J312" s="340">
        <v>0.33</v>
      </c>
    </row>
    <row r="313" spans="1:10" s="340" customFormat="1">
      <c r="A313" s="341" t="s">
        <v>475</v>
      </c>
      <c r="B313" s="339">
        <v>0.69</v>
      </c>
      <c r="C313" s="339">
        <v>1</v>
      </c>
      <c r="D313" s="339">
        <v>1</v>
      </c>
      <c r="E313" s="339">
        <v>1</v>
      </c>
      <c r="F313" s="339">
        <v>1.1000000000000001</v>
      </c>
      <c r="G313" s="339">
        <v>0.82</v>
      </c>
      <c r="H313" s="339">
        <v>1</v>
      </c>
      <c r="I313" s="339">
        <v>1</v>
      </c>
      <c r="J313" s="340">
        <v>0.33</v>
      </c>
    </row>
    <row r="314" spans="1:10" s="340" customFormat="1">
      <c r="A314" s="341" t="s">
        <v>515</v>
      </c>
      <c r="B314" s="339">
        <v>0.64</v>
      </c>
      <c r="C314" s="339">
        <v>1</v>
      </c>
      <c r="D314" s="339">
        <v>1</v>
      </c>
      <c r="E314" s="339">
        <v>1</v>
      </c>
      <c r="F314" s="339">
        <v>1.1000000000000001</v>
      </c>
      <c r="G314" s="339">
        <v>0.88</v>
      </c>
      <c r="H314" s="339">
        <v>1</v>
      </c>
      <c r="I314" s="339">
        <v>1</v>
      </c>
      <c r="J314" s="340">
        <v>0.33</v>
      </c>
    </row>
    <row r="315" spans="1:10" s="340" customFormat="1">
      <c r="A315" s="341" t="s">
        <v>516</v>
      </c>
      <c r="B315" s="339">
        <v>0.64</v>
      </c>
      <c r="C315" s="339">
        <v>1</v>
      </c>
      <c r="D315" s="339">
        <v>1</v>
      </c>
      <c r="E315" s="339">
        <v>1</v>
      </c>
      <c r="F315" s="339">
        <v>1.1000000000000001</v>
      </c>
      <c r="G315" s="339">
        <v>0.88</v>
      </c>
      <c r="H315" s="339">
        <v>1</v>
      </c>
      <c r="I315" s="339">
        <v>1</v>
      </c>
      <c r="J315" s="340">
        <v>0.33</v>
      </c>
    </row>
    <row r="316" spans="1:10" s="340" customFormat="1">
      <c r="A316" s="341" t="s">
        <v>318</v>
      </c>
      <c r="B316" s="339">
        <v>0.57999999999999996</v>
      </c>
      <c r="C316" s="339">
        <v>1</v>
      </c>
      <c r="D316" s="339">
        <v>1</v>
      </c>
      <c r="E316" s="339">
        <v>1</v>
      </c>
      <c r="F316" s="339">
        <v>1.1000000000000001</v>
      </c>
      <c r="G316" s="339">
        <v>0.93</v>
      </c>
      <c r="H316" s="339">
        <v>1</v>
      </c>
      <c r="I316" s="339">
        <v>1</v>
      </c>
      <c r="J316" s="340">
        <v>0.33</v>
      </c>
    </row>
    <row r="317" spans="1:10" s="340" customFormat="1">
      <c r="A317" s="341" t="s">
        <v>316</v>
      </c>
      <c r="B317" s="339">
        <v>0.48</v>
      </c>
      <c r="C317" s="339">
        <v>1</v>
      </c>
      <c r="D317" s="339">
        <v>1</v>
      </c>
      <c r="E317" s="339">
        <v>1</v>
      </c>
      <c r="F317" s="339">
        <v>1.1000000000000001</v>
      </c>
      <c r="G317" s="339">
        <v>0.82</v>
      </c>
      <c r="H317" s="339">
        <v>1</v>
      </c>
      <c r="I317" s="339">
        <v>1</v>
      </c>
      <c r="J317" s="340">
        <v>0.33</v>
      </c>
    </row>
    <row r="318" spans="1:10" s="340" customFormat="1">
      <c r="A318" s="341" t="s">
        <v>315</v>
      </c>
      <c r="B318" s="339">
        <v>0.48</v>
      </c>
      <c r="C318" s="339">
        <v>1</v>
      </c>
      <c r="D318" s="339">
        <v>1</v>
      </c>
      <c r="E318" s="339">
        <v>1</v>
      </c>
      <c r="F318" s="339">
        <v>1.1000000000000001</v>
      </c>
      <c r="G318" s="339">
        <v>0.82</v>
      </c>
      <c r="H318" s="339">
        <v>1</v>
      </c>
      <c r="I318" s="339">
        <v>1</v>
      </c>
      <c r="J318" s="340">
        <v>0.33</v>
      </c>
    </row>
    <row r="319" spans="1:10" s="17" customFormat="1" ht="12.75" customHeight="1">
      <c r="A319" s="13" t="s">
        <v>1009</v>
      </c>
      <c r="B319" s="97"/>
      <c r="C319" s="97"/>
      <c r="D319" s="97"/>
      <c r="E319" s="97"/>
      <c r="F319" s="97"/>
      <c r="G319" s="65"/>
      <c r="I319" s="85"/>
    </row>
    <row r="320" spans="1:10" s="17" customFormat="1" ht="12.75" customHeight="1">
      <c r="A320" s="13"/>
      <c r="B320" s="97" t="s">
        <v>542</v>
      </c>
      <c r="D320" s="97"/>
      <c r="E320" s="97" t="s">
        <v>1010</v>
      </c>
      <c r="F320" s="97"/>
      <c r="G320" s="65"/>
      <c r="H320" s="64" t="s">
        <v>584</v>
      </c>
      <c r="I320" s="85"/>
    </row>
    <row r="321" spans="1:9" s="17" customFormat="1" ht="12.75" customHeight="1">
      <c r="A321" s="13"/>
      <c r="B321" s="65" t="s">
        <v>543</v>
      </c>
      <c r="C321" s="65" t="s">
        <v>336</v>
      </c>
      <c r="D321" s="30" t="s">
        <v>337</v>
      </c>
      <c r="E321" s="65" t="s">
        <v>338</v>
      </c>
      <c r="F321" s="97" t="s">
        <v>996</v>
      </c>
      <c r="G321" s="65"/>
      <c r="I321" s="85"/>
    </row>
    <row r="322" spans="1:9" s="94" customFormat="1" ht="12.75" customHeight="1">
      <c r="A322" s="334" t="s">
        <v>676</v>
      </c>
      <c r="B322" s="347">
        <v>0.4</v>
      </c>
      <c r="C322" s="347">
        <v>1515</v>
      </c>
      <c r="D322" s="347">
        <v>2.7</v>
      </c>
      <c r="E322" s="347">
        <v>0.7</v>
      </c>
      <c r="F322" s="334"/>
      <c r="G322" s="334" t="s">
        <v>1011</v>
      </c>
      <c r="I322" s="337"/>
    </row>
    <row r="323" spans="1:9" s="94" customFormat="1" ht="12.75" customHeight="1">
      <c r="A323" s="334" t="s">
        <v>1001</v>
      </c>
      <c r="B323" s="347">
        <v>0.8</v>
      </c>
      <c r="C323" s="347">
        <v>1613</v>
      </c>
      <c r="D323" s="347">
        <v>2.2999999999999998</v>
      </c>
      <c r="E323" s="347">
        <v>0.21</v>
      </c>
      <c r="F323" s="334"/>
      <c r="G323" s="347"/>
      <c r="I323" s="337"/>
    </row>
    <row r="324" spans="1:9" s="94" customFormat="1" ht="12.75" customHeight="1">
      <c r="A324" s="334" t="s">
        <v>1003</v>
      </c>
      <c r="B324" s="347">
        <v>0.8</v>
      </c>
      <c r="C324" s="347">
        <v>1613</v>
      </c>
      <c r="D324" s="347">
        <v>2.2999999999999998</v>
      </c>
      <c r="E324" s="347">
        <v>0.21</v>
      </c>
      <c r="F324" s="334"/>
      <c r="G324" s="347"/>
      <c r="I324" s="337"/>
    </row>
    <row r="325" spans="1:9" s="94" customFormat="1" ht="12.75" customHeight="1">
      <c r="A325" s="334" t="s">
        <v>1004</v>
      </c>
      <c r="B325" s="347">
        <v>0.8</v>
      </c>
      <c r="C325" s="347">
        <v>1613</v>
      </c>
      <c r="D325" s="347">
        <v>2.2999999999999998</v>
      </c>
      <c r="E325" s="347">
        <v>0.21</v>
      </c>
      <c r="F325" s="334"/>
      <c r="G325" s="347"/>
      <c r="I325" s="337"/>
    </row>
    <row r="326" spans="1:9" s="94" customFormat="1" ht="12.75" customHeight="1">
      <c r="A326" s="332" t="str">
        <f>F306</f>
        <v>Flooded Rice</v>
      </c>
      <c r="B326" s="347">
        <v>0.4</v>
      </c>
      <c r="C326" s="347">
        <v>1515</v>
      </c>
      <c r="D326" s="347">
        <v>2.7</v>
      </c>
      <c r="E326" s="347">
        <v>0.7</v>
      </c>
      <c r="F326" s="334"/>
      <c r="G326" s="334" t="s">
        <v>1011</v>
      </c>
      <c r="I326" s="337"/>
    </row>
    <row r="327" spans="1:9" s="94" customFormat="1" ht="12.75" customHeight="1">
      <c r="A327" s="334" t="s">
        <v>674</v>
      </c>
      <c r="B327" s="347">
        <v>0.8</v>
      </c>
      <c r="C327" s="347">
        <v>1515</v>
      </c>
      <c r="D327" s="347">
        <v>2.7</v>
      </c>
      <c r="E327" s="347">
        <v>0.7</v>
      </c>
      <c r="F327" s="334"/>
      <c r="G327" s="347"/>
      <c r="I327" s="337"/>
    </row>
    <row r="328" spans="1:9" s="94" customFormat="1" ht="12.75" customHeight="1">
      <c r="A328" s="334" t="s">
        <v>334</v>
      </c>
      <c r="B328" s="347">
        <v>0.8</v>
      </c>
      <c r="C328" s="347">
        <v>1613</v>
      </c>
      <c r="D328" s="347">
        <v>2.2999999999999998</v>
      </c>
      <c r="E328" s="347">
        <v>0.21</v>
      </c>
      <c r="F328" s="334"/>
      <c r="G328" s="347"/>
      <c r="I328" s="337"/>
    </row>
    <row r="329" spans="1:9" s="94" customFormat="1" ht="12.75" customHeight="1">
      <c r="A329" s="334" t="s">
        <v>998</v>
      </c>
      <c r="B329" s="347">
        <v>0.8</v>
      </c>
      <c r="C329" s="347">
        <v>1613</v>
      </c>
      <c r="D329" s="347">
        <v>2.2999999999999998</v>
      </c>
      <c r="E329" s="347">
        <v>0.21</v>
      </c>
      <c r="F329" s="334"/>
      <c r="G329" s="347"/>
      <c r="I329" s="337"/>
    </row>
    <row r="330" spans="1:9" s="94" customFormat="1" ht="12.75" customHeight="1">
      <c r="A330" s="334" t="s">
        <v>1107</v>
      </c>
      <c r="B330" s="347">
        <v>0</v>
      </c>
      <c r="C330" s="347"/>
      <c r="D330" s="347">
        <v>0</v>
      </c>
      <c r="E330" s="347">
        <v>0</v>
      </c>
      <c r="F330" s="334"/>
      <c r="G330" s="347"/>
      <c r="I330" s="337"/>
    </row>
    <row r="331" spans="1:9" s="94" customFormat="1" ht="12.75" customHeight="1">
      <c r="A331" s="1034" t="str">
        <f>List!A117</f>
        <v>Select Initial Land Use</v>
      </c>
      <c r="B331" s="347"/>
      <c r="C331" s="347"/>
      <c r="D331" s="347"/>
      <c r="E331" s="347"/>
      <c r="F331" s="334"/>
      <c r="G331" s="347"/>
      <c r="I331" s="337"/>
    </row>
    <row r="332" spans="1:9" s="17" customFormat="1" ht="12.75" customHeight="1">
      <c r="A332" s="16" t="s">
        <v>416</v>
      </c>
      <c r="B332" s="69" t="s">
        <v>417</v>
      </c>
      <c r="C332" s="30"/>
      <c r="D332" s="30"/>
      <c r="G332" s="30"/>
      <c r="I332" s="85"/>
    </row>
    <row r="333" spans="1:9" s="17" customFormat="1" ht="12.75" customHeight="1">
      <c r="A333" s="68" t="s">
        <v>418</v>
      </c>
      <c r="B333" s="64"/>
      <c r="C333" s="64"/>
      <c r="D333" s="30"/>
      <c r="E333" s="68" t="s">
        <v>419</v>
      </c>
      <c r="G333" s="30"/>
      <c r="I333" s="85"/>
    </row>
    <row r="334" spans="1:9" s="17" customFormat="1">
      <c r="A334" s="68" t="s">
        <v>420</v>
      </c>
      <c r="B334" s="64"/>
      <c r="C334" s="64"/>
      <c r="D334" s="30"/>
      <c r="E334" s="68" t="s">
        <v>421</v>
      </c>
      <c r="G334" s="30"/>
      <c r="I334" s="85"/>
    </row>
    <row r="335" spans="1:9" s="70" customFormat="1">
      <c r="A335" s="70" t="s">
        <v>364</v>
      </c>
      <c r="B335" s="71">
        <v>8</v>
      </c>
      <c r="C335" s="72"/>
      <c r="D335" s="73"/>
      <c r="G335" s="71"/>
      <c r="I335" s="105"/>
    </row>
    <row r="336" spans="1:9" s="70" customFormat="1">
      <c r="A336" s="70" t="s">
        <v>4</v>
      </c>
      <c r="B336" s="74">
        <v>0</v>
      </c>
      <c r="C336" s="72"/>
      <c r="D336" s="73"/>
      <c r="G336" s="71"/>
      <c r="I336" s="105"/>
    </row>
    <row r="337" spans="1:10" s="70" customFormat="1">
      <c r="A337" s="70" t="s">
        <v>422</v>
      </c>
      <c r="B337" s="74">
        <v>5</v>
      </c>
      <c r="C337" s="72"/>
      <c r="D337" s="73"/>
      <c r="G337" s="71"/>
      <c r="I337" s="105"/>
    </row>
    <row r="338" spans="1:10" s="70" customFormat="1">
      <c r="A338" s="70" t="s">
        <v>423</v>
      </c>
      <c r="B338" s="71">
        <v>46</v>
      </c>
      <c r="C338" s="72"/>
      <c r="D338" s="73"/>
      <c r="G338" s="71"/>
      <c r="I338" s="105"/>
    </row>
    <row r="339" spans="1:10" s="70" customFormat="1">
      <c r="A339" s="70" t="s">
        <v>424</v>
      </c>
      <c r="B339" s="71">
        <v>18</v>
      </c>
      <c r="C339" s="72"/>
      <c r="D339" s="73"/>
      <c r="G339" s="71"/>
      <c r="I339" s="105"/>
    </row>
    <row r="340" spans="1:10" s="70" customFormat="1">
      <c r="A340" s="70" t="s">
        <v>365</v>
      </c>
      <c r="B340" s="71">
        <v>10</v>
      </c>
      <c r="C340" s="72"/>
      <c r="D340" s="73"/>
      <c r="G340" s="71"/>
      <c r="I340" s="105"/>
    </row>
    <row r="341" spans="1:10" s="70" customFormat="1">
      <c r="A341" s="70" t="s">
        <v>1179</v>
      </c>
      <c r="B341" s="1984">
        <v>0.08</v>
      </c>
      <c r="C341" s="1985" t="s">
        <v>1458</v>
      </c>
      <c r="D341" s="1981"/>
      <c r="E341" s="1982"/>
      <c r="F341" s="1982"/>
      <c r="G341" s="1983"/>
      <c r="H341" s="1982"/>
      <c r="I341" s="1980"/>
      <c r="J341" s="1931"/>
    </row>
    <row r="342" spans="1:10" s="70" customFormat="1">
      <c r="A342" s="70" t="s">
        <v>425</v>
      </c>
      <c r="B342" s="71">
        <v>20</v>
      </c>
      <c r="C342" s="72"/>
      <c r="D342" s="73"/>
      <c r="G342" s="71"/>
      <c r="I342" s="105"/>
    </row>
    <row r="343" spans="1:10" s="70" customFormat="1">
      <c r="A343" s="70" t="s">
        <v>426</v>
      </c>
      <c r="B343" s="71">
        <v>8</v>
      </c>
      <c r="C343" s="72"/>
      <c r="D343" s="73"/>
      <c r="G343" s="71"/>
      <c r="I343" s="105"/>
    </row>
    <row r="344" spans="1:10" s="17" customFormat="1" ht="12.75" customHeight="1">
      <c r="A344" s="16" t="s">
        <v>416</v>
      </c>
      <c r="B344" s="69" t="s">
        <v>427</v>
      </c>
      <c r="C344" s="30"/>
      <c r="D344" s="30"/>
      <c r="G344" s="30"/>
      <c r="I344" s="85"/>
    </row>
    <row r="345" spans="1:10" s="17" customFormat="1" ht="12.75" customHeight="1">
      <c r="A345" s="68" t="s">
        <v>418</v>
      </c>
      <c r="B345" s="64"/>
      <c r="C345" s="64"/>
      <c r="D345" s="30"/>
      <c r="E345" s="68" t="s">
        <v>419</v>
      </c>
      <c r="G345" s="30"/>
      <c r="I345" s="85"/>
    </row>
    <row r="346" spans="1:10" s="17" customFormat="1">
      <c r="A346" s="68" t="s">
        <v>420</v>
      </c>
      <c r="B346" s="64"/>
      <c r="C346" s="64"/>
      <c r="D346" s="30"/>
      <c r="E346" s="68" t="s">
        <v>421</v>
      </c>
      <c r="G346" s="30"/>
      <c r="I346" s="85"/>
    </row>
    <row r="347" spans="1:10" s="356" customFormat="1">
      <c r="A347" s="356" t="s">
        <v>364</v>
      </c>
      <c r="B347" s="357">
        <v>5</v>
      </c>
      <c r="C347" s="358"/>
      <c r="D347" s="359"/>
      <c r="G347" s="357"/>
      <c r="I347" s="360"/>
    </row>
    <row r="348" spans="1:10" s="356" customFormat="1">
      <c r="A348" s="356" t="str">
        <f>A336</f>
        <v>Please select</v>
      </c>
      <c r="B348" s="357">
        <f>B336</f>
        <v>0</v>
      </c>
      <c r="C348" s="358"/>
      <c r="D348" s="359"/>
      <c r="G348" s="357"/>
      <c r="I348" s="360"/>
    </row>
    <row r="349" spans="1:10" s="361" customFormat="1">
      <c r="A349" s="361" t="s">
        <v>422</v>
      </c>
      <c r="B349" s="357">
        <v>5</v>
      </c>
      <c r="C349" s="358"/>
      <c r="D349" s="359"/>
      <c r="G349" s="362"/>
      <c r="I349" s="360"/>
    </row>
    <row r="350" spans="1:10" s="361" customFormat="1">
      <c r="A350" s="361" t="s">
        <v>423</v>
      </c>
      <c r="B350" s="362">
        <v>46</v>
      </c>
      <c r="C350" s="358"/>
      <c r="D350" s="359"/>
      <c r="G350" s="362"/>
      <c r="I350" s="360"/>
    </row>
    <row r="351" spans="1:10" s="361" customFormat="1">
      <c r="A351" s="361" t="s">
        <v>424</v>
      </c>
      <c r="B351" s="362">
        <v>18</v>
      </c>
      <c r="C351" s="358"/>
      <c r="D351" s="359"/>
      <c r="G351" s="362"/>
      <c r="I351" s="360"/>
    </row>
    <row r="352" spans="1:10" s="361" customFormat="1">
      <c r="A352" s="361" t="s">
        <v>365</v>
      </c>
      <c r="B352" s="362">
        <v>10</v>
      </c>
      <c r="C352" s="358"/>
      <c r="D352" s="359"/>
      <c r="G352" s="362"/>
      <c r="I352" s="360"/>
    </row>
    <row r="353" spans="1:10" s="361" customFormat="1">
      <c r="A353" s="361" t="s">
        <v>1179</v>
      </c>
      <c r="B353" s="1984">
        <v>1.3799999999999999E-4</v>
      </c>
      <c r="C353" s="1985" t="s">
        <v>1457</v>
      </c>
      <c r="D353" s="1981"/>
      <c r="E353" s="1982"/>
      <c r="F353" s="1982"/>
      <c r="G353" s="1983"/>
      <c r="H353" s="1982"/>
      <c r="I353" s="1980"/>
      <c r="J353" s="1931"/>
    </row>
    <row r="354" spans="1:10" s="361" customFormat="1">
      <c r="A354" s="361" t="s">
        <v>425</v>
      </c>
      <c r="B354" s="362">
        <v>20</v>
      </c>
      <c r="C354" s="358"/>
      <c r="D354" s="359"/>
      <c r="G354" s="362"/>
      <c r="I354" s="360"/>
    </row>
    <row r="355" spans="1:10" s="361" customFormat="1">
      <c r="A355" s="361" t="s">
        <v>426</v>
      </c>
      <c r="B355" s="362">
        <v>8</v>
      </c>
      <c r="C355" s="358"/>
      <c r="D355" s="359"/>
      <c r="G355" s="362"/>
      <c r="I355" s="360"/>
    </row>
    <row r="356" spans="1:10" s="17" customFormat="1" ht="12.75" customHeight="1">
      <c r="A356" s="16" t="s">
        <v>428</v>
      </c>
      <c r="B356" s="30"/>
      <c r="C356" s="30"/>
      <c r="D356" s="30"/>
      <c r="G356" s="30"/>
      <c r="I356" s="85"/>
    </row>
    <row r="357" spans="1:10" s="17" customFormat="1" ht="12.75" customHeight="1">
      <c r="A357" s="68" t="s">
        <v>418</v>
      </c>
      <c r="B357" s="64"/>
      <c r="C357" s="64"/>
      <c r="D357" s="30"/>
      <c r="E357" s="68" t="s">
        <v>429</v>
      </c>
      <c r="G357" s="30"/>
      <c r="I357" s="85"/>
    </row>
    <row r="358" spans="1:10" s="17" customFormat="1">
      <c r="A358" s="68" t="s">
        <v>420</v>
      </c>
      <c r="B358" s="64"/>
      <c r="D358" s="30"/>
      <c r="E358" s="68" t="s">
        <v>421</v>
      </c>
      <c r="G358" s="30"/>
      <c r="I358" s="85"/>
    </row>
    <row r="359" spans="1:10" s="17" customFormat="1">
      <c r="A359" s="68"/>
      <c r="B359" s="64" t="s">
        <v>430</v>
      </c>
      <c r="C359" s="64" t="s">
        <v>393</v>
      </c>
      <c r="D359" s="64" t="s">
        <v>431</v>
      </c>
      <c r="G359" s="30"/>
      <c r="I359" s="85"/>
    </row>
    <row r="360" spans="1:10" s="63" customFormat="1">
      <c r="A360" s="969" t="str">
        <f>List!A6</f>
        <v>Please select</v>
      </c>
      <c r="B360" s="61"/>
      <c r="C360" s="61"/>
      <c r="D360" s="61"/>
      <c r="G360" s="62"/>
      <c r="I360" s="102"/>
    </row>
    <row r="361" spans="1:10" s="361" customFormat="1">
      <c r="A361" s="361" t="s">
        <v>309</v>
      </c>
      <c r="B361" s="362">
        <v>121</v>
      </c>
      <c r="C361" s="362">
        <v>53</v>
      </c>
      <c r="E361" s="358"/>
      <c r="F361" s="359"/>
      <c r="G361" s="362"/>
      <c r="I361" s="360"/>
    </row>
    <row r="362" spans="1:10" s="361" customFormat="1">
      <c r="A362" s="361" t="s">
        <v>306</v>
      </c>
      <c r="B362" s="362">
        <v>109</v>
      </c>
      <c r="C362" s="362">
        <v>57</v>
      </c>
      <c r="E362" s="358"/>
      <c r="F362" s="359"/>
      <c r="G362" s="362"/>
      <c r="I362" s="360"/>
    </row>
    <row r="363" spans="1:10" s="361" customFormat="1">
      <c r="A363" s="361" t="s">
        <v>307</v>
      </c>
      <c r="B363" s="362">
        <v>89</v>
      </c>
      <c r="C363" s="362">
        <v>58</v>
      </c>
      <c r="E363" s="358"/>
      <c r="F363" s="359"/>
      <c r="G363" s="362"/>
      <c r="I363" s="360"/>
    </row>
    <row r="364" spans="1:10" s="361" customFormat="1">
      <c r="A364" s="361" t="s">
        <v>308</v>
      </c>
      <c r="B364" s="362">
        <v>81</v>
      </c>
      <c r="C364" s="362">
        <v>60</v>
      </c>
      <c r="E364" s="358"/>
      <c r="F364" s="359"/>
      <c r="G364" s="362"/>
      <c r="I364" s="360"/>
    </row>
    <row r="365" spans="1:10" s="361" customFormat="1">
      <c r="A365" s="361" t="s">
        <v>310</v>
      </c>
      <c r="B365" s="362">
        <v>63</v>
      </c>
      <c r="C365" s="362">
        <v>56</v>
      </c>
      <c r="D365" s="361" t="s">
        <v>432</v>
      </c>
      <c r="E365" s="358"/>
      <c r="F365" s="359"/>
      <c r="G365" s="362"/>
      <c r="I365" s="360"/>
    </row>
    <row r="366" spans="1:10" s="361" customFormat="1">
      <c r="A366" s="361" t="s">
        <v>311</v>
      </c>
      <c r="B366" s="362">
        <v>63</v>
      </c>
      <c r="C366" s="362">
        <v>56</v>
      </c>
      <c r="D366" s="361" t="s">
        <v>432</v>
      </c>
      <c r="E366" s="358"/>
      <c r="F366" s="359"/>
      <c r="G366" s="362"/>
      <c r="I366" s="360"/>
    </row>
    <row r="367" spans="1:10" s="361" customFormat="1">
      <c r="A367" s="361" t="s">
        <v>303</v>
      </c>
      <c r="B367" s="362">
        <v>61</v>
      </c>
      <c r="C367" s="362">
        <v>47</v>
      </c>
      <c r="D367" s="361" t="s">
        <v>433</v>
      </c>
      <c r="E367" s="358"/>
      <c r="F367" s="359"/>
      <c r="G367" s="362"/>
      <c r="I367" s="360"/>
    </row>
    <row r="368" spans="1:10" s="361" customFormat="1">
      <c r="A368" s="361" t="s">
        <v>304</v>
      </c>
      <c r="B368" s="362">
        <v>61</v>
      </c>
      <c r="C368" s="362">
        <v>47</v>
      </c>
      <c r="D368" s="361" t="s">
        <v>433</v>
      </c>
      <c r="E368" s="358"/>
      <c r="F368" s="359"/>
      <c r="G368" s="362"/>
      <c r="I368" s="360"/>
    </row>
    <row r="369" spans="1:20" s="361" customFormat="1">
      <c r="A369" s="361" t="s">
        <v>302</v>
      </c>
      <c r="B369" s="362">
        <v>40</v>
      </c>
      <c r="C369" s="362">
        <v>31</v>
      </c>
      <c r="E369" s="358"/>
      <c r="F369" s="359"/>
      <c r="G369" s="362"/>
      <c r="I369" s="360"/>
    </row>
    <row r="370" spans="1:20" s="361" customFormat="1">
      <c r="A370" s="361" t="s">
        <v>305</v>
      </c>
      <c r="B370" s="362">
        <v>40</v>
      </c>
      <c r="C370" s="362">
        <v>31</v>
      </c>
      <c r="E370" s="358"/>
      <c r="F370" s="359"/>
      <c r="G370" s="362"/>
      <c r="I370" s="360"/>
    </row>
    <row r="371" spans="1:20" s="361" customFormat="1">
      <c r="A371" s="361" t="s">
        <v>434</v>
      </c>
      <c r="B371" s="362">
        <v>51</v>
      </c>
      <c r="C371" s="362">
        <v>27</v>
      </c>
      <c r="D371" s="361" t="s">
        <v>435</v>
      </c>
      <c r="E371" s="358"/>
      <c r="F371" s="359"/>
      <c r="G371" s="362"/>
      <c r="I371" s="360"/>
    </row>
    <row r="372" spans="1:20" s="16" customFormat="1">
      <c r="A372" s="16" t="s">
        <v>436</v>
      </c>
      <c r="B372" s="75"/>
      <c r="C372" s="75"/>
      <c r="E372" s="76"/>
      <c r="F372" s="77"/>
      <c r="G372" s="75"/>
      <c r="I372" s="85"/>
    </row>
    <row r="373" spans="1:20" s="68" customFormat="1">
      <c r="A373" s="68" t="s">
        <v>437</v>
      </c>
      <c r="B373" s="64"/>
      <c r="C373" s="64"/>
      <c r="E373" s="78" t="s">
        <v>438</v>
      </c>
      <c r="F373" s="64"/>
      <c r="G373" s="64"/>
      <c r="I373" s="103"/>
    </row>
    <row r="374" spans="1:20" s="68" customFormat="1">
      <c r="A374" s="68" t="s">
        <v>439</v>
      </c>
      <c r="B374" s="64"/>
      <c r="C374" s="64"/>
      <c r="E374" s="78" t="s">
        <v>440</v>
      </c>
      <c r="F374" s="64"/>
      <c r="G374" s="64"/>
      <c r="I374" s="103"/>
    </row>
    <row r="375" spans="1:20" s="17" customFormat="1">
      <c r="A375" s="17" t="s">
        <v>335</v>
      </c>
      <c r="B375" s="30" t="s">
        <v>441</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442</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3" customFormat="1">
      <c r="A377" s="363" t="s">
        <v>309</v>
      </c>
      <c r="B377" s="364">
        <v>48</v>
      </c>
      <c r="C377" s="364">
        <v>50</v>
      </c>
      <c r="D377" s="364">
        <v>53</v>
      </c>
      <c r="E377" s="364">
        <v>55</v>
      </c>
      <c r="F377" s="364">
        <v>58</v>
      </c>
      <c r="G377" s="364">
        <v>63</v>
      </c>
      <c r="H377" s="364">
        <v>65</v>
      </c>
      <c r="I377" s="365">
        <v>68</v>
      </c>
      <c r="J377" s="364">
        <v>71</v>
      </c>
      <c r="K377" s="364">
        <v>74</v>
      </c>
      <c r="L377" s="364">
        <v>78</v>
      </c>
      <c r="M377" s="364">
        <v>81</v>
      </c>
      <c r="N377" s="364">
        <v>85</v>
      </c>
      <c r="O377" s="364">
        <v>89</v>
      </c>
      <c r="P377" s="364">
        <v>93</v>
      </c>
      <c r="Q377" s="364">
        <v>98</v>
      </c>
      <c r="R377" s="364">
        <v>105</v>
      </c>
      <c r="S377" s="364">
        <v>110</v>
      </c>
      <c r="T377" s="364">
        <v>112</v>
      </c>
    </row>
    <row r="378" spans="1:20" s="363" customFormat="1">
      <c r="A378" s="363" t="s">
        <v>306</v>
      </c>
      <c r="B378" s="364">
        <v>21</v>
      </c>
      <c r="C378" s="364">
        <v>23</v>
      </c>
      <c r="D378" s="364">
        <v>25</v>
      </c>
      <c r="E378" s="364">
        <v>27</v>
      </c>
      <c r="F378" s="364">
        <v>29</v>
      </c>
      <c r="G378" s="364">
        <v>34</v>
      </c>
      <c r="H378" s="364">
        <v>37</v>
      </c>
      <c r="I378" s="365">
        <v>40</v>
      </c>
      <c r="J378" s="364">
        <v>43</v>
      </c>
      <c r="K378" s="364">
        <v>47</v>
      </c>
      <c r="L378" s="364">
        <v>51</v>
      </c>
      <c r="M378" s="364">
        <v>55</v>
      </c>
      <c r="N378" s="364">
        <v>59</v>
      </c>
      <c r="O378" s="364">
        <v>64</v>
      </c>
      <c r="P378" s="364">
        <v>70</v>
      </c>
      <c r="Q378" s="364">
        <v>75</v>
      </c>
      <c r="R378" s="364">
        <v>83</v>
      </c>
      <c r="S378" s="364">
        <v>90</v>
      </c>
      <c r="T378" s="364">
        <v>92</v>
      </c>
    </row>
    <row r="379" spans="1:20" s="363" customFormat="1">
      <c r="A379" s="363" t="s">
        <v>307</v>
      </c>
      <c r="B379" s="364">
        <v>11</v>
      </c>
      <c r="C379" s="364">
        <v>12</v>
      </c>
      <c r="D379" s="364">
        <v>13</v>
      </c>
      <c r="E379" s="364">
        <v>14</v>
      </c>
      <c r="F379" s="364">
        <v>15</v>
      </c>
      <c r="G379" s="364">
        <v>20</v>
      </c>
      <c r="H379" s="364">
        <v>21</v>
      </c>
      <c r="I379" s="365">
        <v>22</v>
      </c>
      <c r="J379" s="364">
        <v>23</v>
      </c>
      <c r="K379" s="364">
        <v>25</v>
      </c>
      <c r="L379" s="364">
        <v>27</v>
      </c>
      <c r="M379" s="364">
        <v>28</v>
      </c>
      <c r="N379" s="364">
        <v>30</v>
      </c>
      <c r="O379" s="364">
        <v>33</v>
      </c>
      <c r="P379" s="364">
        <v>35</v>
      </c>
      <c r="Q379" s="364">
        <v>37</v>
      </c>
      <c r="R379" s="364">
        <v>42</v>
      </c>
      <c r="S379" s="364">
        <v>45</v>
      </c>
      <c r="T379" s="364">
        <v>46</v>
      </c>
    </row>
    <row r="380" spans="1:20" s="363" customFormat="1">
      <c r="A380" s="363" t="s">
        <v>308</v>
      </c>
      <c r="B380" s="364">
        <v>23</v>
      </c>
      <c r="C380" s="364">
        <v>24</v>
      </c>
      <c r="D380" s="364">
        <v>25</v>
      </c>
      <c r="E380" s="364">
        <v>26</v>
      </c>
      <c r="F380" s="364">
        <v>26</v>
      </c>
      <c r="G380" s="364">
        <v>27</v>
      </c>
      <c r="H380" s="364">
        <v>28</v>
      </c>
      <c r="I380" s="365">
        <v>28</v>
      </c>
      <c r="J380" s="364">
        <v>28</v>
      </c>
      <c r="K380" s="364">
        <v>29</v>
      </c>
      <c r="L380" s="364">
        <v>29</v>
      </c>
      <c r="M380" s="364">
        <v>29</v>
      </c>
      <c r="N380" s="364">
        <v>29</v>
      </c>
      <c r="O380" s="364">
        <v>29</v>
      </c>
      <c r="P380" s="364">
        <v>30</v>
      </c>
      <c r="Q380" s="364">
        <v>30</v>
      </c>
      <c r="R380" s="364">
        <v>31</v>
      </c>
      <c r="S380" s="364">
        <v>31</v>
      </c>
      <c r="T380" s="364">
        <v>31</v>
      </c>
    </row>
    <row r="381" spans="1:20" s="363" customFormat="1">
      <c r="A381" s="363" t="s">
        <v>311</v>
      </c>
      <c r="B381" s="364">
        <v>1</v>
      </c>
      <c r="C381" s="364">
        <v>1</v>
      </c>
      <c r="D381" s="364">
        <v>1</v>
      </c>
      <c r="E381" s="364">
        <v>1</v>
      </c>
      <c r="F381" s="364">
        <v>1</v>
      </c>
      <c r="G381" s="364">
        <v>1</v>
      </c>
      <c r="H381" s="364">
        <v>1</v>
      </c>
      <c r="I381" s="365">
        <v>1</v>
      </c>
      <c r="J381" s="364">
        <v>1</v>
      </c>
      <c r="K381" s="364">
        <v>1</v>
      </c>
      <c r="L381" s="364">
        <v>1</v>
      </c>
      <c r="M381" s="364">
        <v>1</v>
      </c>
      <c r="N381" s="364">
        <v>1</v>
      </c>
      <c r="O381" s="364">
        <v>1</v>
      </c>
      <c r="P381" s="364">
        <v>1</v>
      </c>
      <c r="Q381" s="364">
        <v>1</v>
      </c>
      <c r="R381" s="364">
        <v>2</v>
      </c>
      <c r="S381" s="364">
        <v>2</v>
      </c>
      <c r="T381" s="364">
        <v>2</v>
      </c>
    </row>
    <row r="382" spans="1:20" s="363" customFormat="1">
      <c r="A382" s="363" t="s">
        <v>310</v>
      </c>
      <c r="B382" s="364">
        <v>1</v>
      </c>
      <c r="C382" s="364">
        <v>1</v>
      </c>
      <c r="D382" s="364">
        <v>1</v>
      </c>
      <c r="E382" s="364">
        <v>1</v>
      </c>
      <c r="F382" s="364">
        <v>1</v>
      </c>
      <c r="G382" s="364">
        <v>1</v>
      </c>
      <c r="H382" s="364">
        <v>1</v>
      </c>
      <c r="I382" s="365">
        <v>1</v>
      </c>
      <c r="J382" s="364">
        <v>1</v>
      </c>
      <c r="K382" s="364">
        <v>1</v>
      </c>
      <c r="L382" s="364">
        <v>1</v>
      </c>
      <c r="M382" s="364">
        <v>1</v>
      </c>
      <c r="N382" s="364">
        <v>1</v>
      </c>
      <c r="O382" s="364">
        <v>1</v>
      </c>
      <c r="P382" s="364">
        <v>1</v>
      </c>
      <c r="Q382" s="364">
        <v>1</v>
      </c>
      <c r="R382" s="364">
        <v>2</v>
      </c>
      <c r="S382" s="364">
        <v>2</v>
      </c>
      <c r="T382" s="364">
        <v>2</v>
      </c>
    </row>
    <row r="383" spans="1:20" s="363" customFormat="1">
      <c r="A383" s="363" t="s">
        <v>302</v>
      </c>
      <c r="B383" s="364">
        <v>1</v>
      </c>
      <c r="C383" s="364">
        <v>1</v>
      </c>
      <c r="D383" s="364">
        <v>1</v>
      </c>
      <c r="E383" s="364">
        <v>1</v>
      </c>
      <c r="F383" s="364">
        <v>1</v>
      </c>
      <c r="G383" s="364">
        <v>1</v>
      </c>
      <c r="H383" s="364">
        <v>1</v>
      </c>
      <c r="I383" s="365">
        <v>1</v>
      </c>
      <c r="J383" s="364">
        <v>1</v>
      </c>
      <c r="K383" s="364">
        <v>1</v>
      </c>
      <c r="L383" s="364">
        <v>1</v>
      </c>
      <c r="M383" s="364">
        <v>1</v>
      </c>
      <c r="N383" s="364">
        <v>1</v>
      </c>
      <c r="O383" s="364">
        <v>1</v>
      </c>
      <c r="P383" s="364">
        <v>1</v>
      </c>
      <c r="Q383" s="364">
        <v>1</v>
      </c>
      <c r="R383" s="364">
        <v>1</v>
      </c>
      <c r="S383" s="364">
        <v>1</v>
      </c>
      <c r="T383" s="364">
        <v>1</v>
      </c>
    </row>
    <row r="384" spans="1:20" s="363" customFormat="1">
      <c r="A384" s="363" t="s">
        <v>305</v>
      </c>
      <c r="B384" s="364">
        <v>2</v>
      </c>
      <c r="C384" s="364">
        <v>2</v>
      </c>
      <c r="D384" s="364">
        <v>2</v>
      </c>
      <c r="E384" s="364">
        <v>2</v>
      </c>
      <c r="F384" s="364">
        <v>2</v>
      </c>
      <c r="G384" s="364">
        <v>2</v>
      </c>
      <c r="H384" s="364">
        <v>2</v>
      </c>
      <c r="I384" s="365">
        <v>2</v>
      </c>
      <c r="J384" s="364">
        <v>2</v>
      </c>
      <c r="K384" s="364">
        <v>2</v>
      </c>
      <c r="L384" s="364">
        <v>2</v>
      </c>
      <c r="M384" s="364">
        <v>2</v>
      </c>
      <c r="N384" s="364">
        <v>2</v>
      </c>
      <c r="O384" s="364">
        <v>2</v>
      </c>
      <c r="P384" s="364">
        <v>2</v>
      </c>
      <c r="Q384" s="364">
        <v>2</v>
      </c>
      <c r="R384" s="364">
        <v>2</v>
      </c>
      <c r="S384" s="364">
        <v>3</v>
      </c>
      <c r="T384" s="364">
        <v>3</v>
      </c>
    </row>
    <row r="385" spans="1:20" s="363" customFormat="1">
      <c r="A385" s="363" t="s">
        <v>303</v>
      </c>
      <c r="B385" s="364">
        <v>9</v>
      </c>
      <c r="C385" s="364">
        <v>10</v>
      </c>
      <c r="D385" s="364">
        <v>10</v>
      </c>
      <c r="E385" s="364">
        <v>11</v>
      </c>
      <c r="F385" s="364">
        <v>12</v>
      </c>
      <c r="G385" s="364">
        <v>13</v>
      </c>
      <c r="H385" s="364">
        <v>14</v>
      </c>
      <c r="I385" s="365">
        <v>15</v>
      </c>
      <c r="J385" s="364">
        <v>16</v>
      </c>
      <c r="K385" s="364">
        <v>17</v>
      </c>
      <c r="L385" s="364">
        <v>18</v>
      </c>
      <c r="M385" s="364">
        <v>20</v>
      </c>
      <c r="N385" s="364">
        <v>21</v>
      </c>
      <c r="O385" s="364">
        <v>23</v>
      </c>
      <c r="P385" s="364">
        <v>24</v>
      </c>
      <c r="Q385" s="364">
        <v>26</v>
      </c>
      <c r="R385" s="364">
        <v>28</v>
      </c>
      <c r="S385" s="364">
        <v>31</v>
      </c>
      <c r="T385" s="364">
        <v>31</v>
      </c>
    </row>
    <row r="386" spans="1:20" s="363" customFormat="1">
      <c r="A386" s="363" t="s">
        <v>304</v>
      </c>
      <c r="B386" s="364">
        <v>9</v>
      </c>
      <c r="C386" s="364">
        <v>10</v>
      </c>
      <c r="D386" s="364">
        <v>10</v>
      </c>
      <c r="E386" s="364">
        <v>11</v>
      </c>
      <c r="F386" s="364">
        <v>12</v>
      </c>
      <c r="G386" s="364">
        <v>13</v>
      </c>
      <c r="H386" s="364">
        <v>14</v>
      </c>
      <c r="I386" s="365">
        <v>15</v>
      </c>
      <c r="J386" s="364">
        <v>16</v>
      </c>
      <c r="K386" s="364">
        <v>17</v>
      </c>
      <c r="L386" s="364">
        <v>18</v>
      </c>
      <c r="M386" s="364">
        <v>20</v>
      </c>
      <c r="N386" s="364">
        <v>21</v>
      </c>
      <c r="O386" s="364">
        <v>23</v>
      </c>
      <c r="P386" s="364">
        <v>24</v>
      </c>
      <c r="Q386" s="364">
        <v>26</v>
      </c>
      <c r="R386" s="364">
        <v>28</v>
      </c>
      <c r="S386" s="364">
        <v>31</v>
      </c>
      <c r="T386" s="364">
        <v>31</v>
      </c>
    </row>
    <row r="387" spans="1:20" s="363" customFormat="1">
      <c r="A387" s="363" t="s">
        <v>434</v>
      </c>
      <c r="B387" s="364">
        <v>5</v>
      </c>
      <c r="C387" s="364">
        <v>5</v>
      </c>
      <c r="D387" s="364">
        <v>5</v>
      </c>
      <c r="E387" s="364">
        <v>5</v>
      </c>
      <c r="F387" s="364">
        <v>5</v>
      </c>
      <c r="G387" s="364">
        <v>5</v>
      </c>
      <c r="H387" s="364">
        <v>5</v>
      </c>
      <c r="I387" s="365">
        <v>5</v>
      </c>
      <c r="J387" s="364">
        <v>5</v>
      </c>
      <c r="K387" s="364">
        <v>5</v>
      </c>
      <c r="L387" s="364">
        <v>5</v>
      </c>
      <c r="M387" s="364">
        <v>5</v>
      </c>
      <c r="N387" s="364">
        <v>5</v>
      </c>
      <c r="O387" s="364">
        <v>5</v>
      </c>
      <c r="P387" s="364">
        <v>5</v>
      </c>
      <c r="Q387" s="364">
        <v>5</v>
      </c>
      <c r="R387" s="364">
        <v>5</v>
      </c>
      <c r="S387" s="364">
        <v>6</v>
      </c>
      <c r="T387" s="364">
        <v>6</v>
      </c>
    </row>
    <row r="388" spans="1:20" s="16" customFormat="1">
      <c r="A388" s="16" t="s">
        <v>443</v>
      </c>
      <c r="B388" s="75"/>
      <c r="C388" s="75"/>
      <c r="E388" s="76"/>
      <c r="F388" s="77"/>
      <c r="G388" s="75"/>
      <c r="I388" s="85"/>
    </row>
    <row r="389" spans="1:20" s="68" customFormat="1">
      <c r="A389" s="68" t="s">
        <v>437</v>
      </c>
      <c r="B389" s="64"/>
      <c r="C389" s="64"/>
      <c r="E389" s="78" t="s">
        <v>438</v>
      </c>
      <c r="F389" s="64"/>
      <c r="G389" s="64"/>
      <c r="I389" s="103"/>
    </row>
    <row r="390" spans="1:20" s="68" customFormat="1">
      <c r="A390" s="68" t="s">
        <v>439</v>
      </c>
      <c r="B390" s="64"/>
      <c r="C390" s="64"/>
      <c r="E390" s="78" t="s">
        <v>440</v>
      </c>
      <c r="F390" s="64"/>
      <c r="G390" s="64"/>
      <c r="I390" s="103"/>
    </row>
    <row r="391" spans="1:20" s="17" customFormat="1">
      <c r="A391" s="17" t="s">
        <v>335</v>
      </c>
      <c r="B391" s="30" t="s">
        <v>441</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442</v>
      </c>
    </row>
    <row r="392" spans="1:20" s="63" customFormat="1">
      <c r="A392" s="63" t="str">
        <f>List!A6</f>
        <v>Please select</v>
      </c>
      <c r="B392" s="62"/>
      <c r="C392" s="62"/>
      <c r="D392" s="62"/>
      <c r="E392" s="970"/>
      <c r="F392" s="62"/>
      <c r="G392" s="62"/>
      <c r="H392" s="970"/>
      <c r="I392" s="971"/>
      <c r="J392" s="62"/>
      <c r="K392" s="970"/>
      <c r="L392" s="62"/>
      <c r="M392" s="62"/>
      <c r="N392" s="970"/>
      <c r="O392" s="62"/>
      <c r="P392" s="62"/>
      <c r="Q392" s="970"/>
      <c r="R392" s="62"/>
      <c r="S392" s="62"/>
      <c r="T392" s="970"/>
    </row>
    <row r="393" spans="1:20" s="363" customFormat="1">
      <c r="A393" s="363" t="s">
        <v>309</v>
      </c>
      <c r="B393" s="364">
        <v>1</v>
      </c>
      <c r="C393" s="364">
        <v>1</v>
      </c>
      <c r="D393" s="364">
        <v>1</v>
      </c>
      <c r="E393" s="364">
        <v>1</v>
      </c>
      <c r="F393" s="364">
        <v>1</v>
      </c>
      <c r="G393" s="364">
        <v>2</v>
      </c>
      <c r="H393" s="364">
        <v>2</v>
      </c>
      <c r="I393" s="365">
        <v>2</v>
      </c>
      <c r="J393" s="364">
        <v>2</v>
      </c>
      <c r="K393" s="364">
        <v>2</v>
      </c>
      <c r="L393" s="364">
        <v>2</v>
      </c>
      <c r="M393" s="364">
        <v>2</v>
      </c>
      <c r="N393" s="364">
        <v>2</v>
      </c>
      <c r="O393" s="364">
        <v>2</v>
      </c>
      <c r="P393" s="364">
        <v>2</v>
      </c>
      <c r="Q393" s="364">
        <v>2</v>
      </c>
      <c r="R393" s="364">
        <v>2</v>
      </c>
      <c r="S393" s="364">
        <v>2</v>
      </c>
      <c r="T393" s="364">
        <v>2</v>
      </c>
    </row>
    <row r="394" spans="1:20" s="363" customFormat="1">
      <c r="A394" s="363" t="s">
        <v>306</v>
      </c>
      <c r="B394" s="364">
        <v>6</v>
      </c>
      <c r="C394" s="364">
        <v>7</v>
      </c>
      <c r="D394" s="364">
        <v>7</v>
      </c>
      <c r="E394" s="364">
        <v>8</v>
      </c>
      <c r="F394" s="364">
        <v>8</v>
      </c>
      <c r="G394" s="364">
        <v>10</v>
      </c>
      <c r="H394" s="364">
        <v>11</v>
      </c>
      <c r="I394" s="365">
        <v>12</v>
      </c>
      <c r="J394" s="364">
        <v>13</v>
      </c>
      <c r="K394" s="364">
        <v>14</v>
      </c>
      <c r="L394" s="364">
        <v>15</v>
      </c>
      <c r="M394" s="364">
        <v>16</v>
      </c>
      <c r="N394" s="364">
        <v>17</v>
      </c>
      <c r="O394" s="364">
        <v>18</v>
      </c>
      <c r="P394" s="364">
        <v>20</v>
      </c>
      <c r="Q394" s="364">
        <v>21</v>
      </c>
      <c r="R394" s="364">
        <v>24</v>
      </c>
      <c r="S394" s="364">
        <v>25</v>
      </c>
      <c r="T394" s="364">
        <v>26</v>
      </c>
    </row>
    <row r="395" spans="1:20" s="363" customFormat="1">
      <c r="A395" s="363" t="s">
        <v>307</v>
      </c>
      <c r="B395" s="364">
        <v>6</v>
      </c>
      <c r="C395" s="364">
        <v>6</v>
      </c>
      <c r="D395" s="364">
        <v>7</v>
      </c>
      <c r="E395" s="364">
        <v>7</v>
      </c>
      <c r="F395" s="364">
        <v>8</v>
      </c>
      <c r="G395" s="364">
        <v>9</v>
      </c>
      <c r="H395" s="364">
        <v>10</v>
      </c>
      <c r="I395" s="365">
        <v>11</v>
      </c>
      <c r="J395" s="364">
        <v>12</v>
      </c>
      <c r="K395" s="364">
        <v>13</v>
      </c>
      <c r="L395" s="364">
        <v>14</v>
      </c>
      <c r="M395" s="364">
        <v>15</v>
      </c>
      <c r="N395" s="364">
        <v>16</v>
      </c>
      <c r="O395" s="364">
        <v>17</v>
      </c>
      <c r="P395" s="364">
        <v>18</v>
      </c>
      <c r="Q395" s="364">
        <v>19</v>
      </c>
      <c r="R395" s="364">
        <v>21</v>
      </c>
      <c r="S395" s="364">
        <v>23</v>
      </c>
      <c r="T395" s="364">
        <v>23</v>
      </c>
    </row>
    <row r="396" spans="1:20" s="363" customFormat="1">
      <c r="A396" s="363" t="s">
        <v>308</v>
      </c>
      <c r="B396" s="364">
        <v>1</v>
      </c>
      <c r="C396" s="364">
        <v>1</v>
      </c>
      <c r="D396" s="364">
        <v>1</v>
      </c>
      <c r="E396" s="364">
        <v>1</v>
      </c>
      <c r="F396" s="364">
        <v>1</v>
      </c>
      <c r="G396" s="364">
        <v>2</v>
      </c>
      <c r="H396" s="364">
        <v>2</v>
      </c>
      <c r="I396" s="365">
        <v>2</v>
      </c>
      <c r="J396" s="364">
        <v>2</v>
      </c>
      <c r="K396" s="364">
        <v>2</v>
      </c>
      <c r="L396" s="364">
        <v>2</v>
      </c>
      <c r="M396" s="364">
        <v>2</v>
      </c>
      <c r="N396" s="364">
        <v>2</v>
      </c>
      <c r="O396" s="364">
        <v>2</v>
      </c>
      <c r="P396" s="364">
        <v>2</v>
      </c>
      <c r="Q396" s="364">
        <v>2</v>
      </c>
      <c r="R396" s="364">
        <v>2</v>
      </c>
      <c r="S396" s="364">
        <v>2</v>
      </c>
      <c r="T396" s="364">
        <v>2</v>
      </c>
    </row>
    <row r="397" spans="1:20" s="363" customFormat="1">
      <c r="A397" s="363" t="s">
        <v>311</v>
      </c>
      <c r="B397" s="364">
        <v>1</v>
      </c>
      <c r="C397" s="364">
        <v>1</v>
      </c>
      <c r="D397" s="364">
        <v>1</v>
      </c>
      <c r="E397" s="364">
        <v>1</v>
      </c>
      <c r="F397" s="364">
        <v>1</v>
      </c>
      <c r="G397" s="364">
        <v>1</v>
      </c>
      <c r="H397" s="364">
        <v>1</v>
      </c>
      <c r="I397" s="365">
        <v>1</v>
      </c>
      <c r="J397" s="364">
        <v>1</v>
      </c>
      <c r="K397" s="364">
        <v>1</v>
      </c>
      <c r="L397" s="364">
        <v>1</v>
      </c>
      <c r="M397" s="364">
        <v>1</v>
      </c>
      <c r="N397" s="364">
        <v>1</v>
      </c>
      <c r="O397" s="364">
        <v>1</v>
      </c>
      <c r="P397" s="364">
        <v>1</v>
      </c>
      <c r="Q397" s="364">
        <v>1</v>
      </c>
      <c r="R397" s="364">
        <v>1</v>
      </c>
      <c r="S397" s="364">
        <v>1</v>
      </c>
      <c r="T397" s="364">
        <v>1</v>
      </c>
    </row>
    <row r="398" spans="1:20" s="363" customFormat="1">
      <c r="A398" s="363" t="s">
        <v>310</v>
      </c>
      <c r="B398" s="364">
        <v>1</v>
      </c>
      <c r="C398" s="364">
        <v>1</v>
      </c>
      <c r="D398" s="364">
        <v>1</v>
      </c>
      <c r="E398" s="364">
        <v>1</v>
      </c>
      <c r="F398" s="364">
        <v>1</v>
      </c>
      <c r="G398" s="364">
        <v>1</v>
      </c>
      <c r="H398" s="364">
        <v>1</v>
      </c>
      <c r="I398" s="365">
        <v>1</v>
      </c>
      <c r="J398" s="364">
        <v>1</v>
      </c>
      <c r="K398" s="364">
        <v>1</v>
      </c>
      <c r="L398" s="364">
        <v>1</v>
      </c>
      <c r="M398" s="364">
        <v>1</v>
      </c>
      <c r="N398" s="364">
        <v>1</v>
      </c>
      <c r="O398" s="364">
        <v>1</v>
      </c>
      <c r="P398" s="364">
        <v>1</v>
      </c>
      <c r="Q398" s="364">
        <v>1</v>
      </c>
      <c r="R398" s="364">
        <v>1</v>
      </c>
      <c r="S398" s="364">
        <v>1</v>
      </c>
      <c r="T398" s="364">
        <v>1</v>
      </c>
    </row>
    <row r="399" spans="1:20" s="363" customFormat="1">
      <c r="A399" s="363" t="s">
        <v>302</v>
      </c>
      <c r="B399" s="364">
        <v>0</v>
      </c>
      <c r="C399" s="364">
        <v>0</v>
      </c>
      <c r="D399" s="364">
        <v>0</v>
      </c>
      <c r="E399" s="364">
        <v>0</v>
      </c>
      <c r="F399" s="364">
        <v>0</v>
      </c>
      <c r="G399" s="364">
        <v>1</v>
      </c>
      <c r="H399" s="364">
        <v>1</v>
      </c>
      <c r="I399" s="365">
        <v>1</v>
      </c>
      <c r="J399" s="364">
        <v>1</v>
      </c>
      <c r="K399" s="364">
        <v>1</v>
      </c>
      <c r="L399" s="364">
        <v>1</v>
      </c>
      <c r="M399" s="364">
        <v>1</v>
      </c>
      <c r="N399" s="364">
        <v>1</v>
      </c>
      <c r="O399" s="364">
        <v>1</v>
      </c>
      <c r="P399" s="364">
        <v>1</v>
      </c>
      <c r="Q399" s="364">
        <v>1</v>
      </c>
      <c r="R399" s="364">
        <v>1</v>
      </c>
      <c r="S399" s="364">
        <v>1</v>
      </c>
      <c r="T399" s="364">
        <v>1</v>
      </c>
    </row>
    <row r="400" spans="1:20" s="363" customFormat="1">
      <c r="A400" s="363" t="s">
        <v>305</v>
      </c>
      <c r="B400" s="364">
        <v>1</v>
      </c>
      <c r="C400" s="364">
        <v>1</v>
      </c>
      <c r="D400" s="364">
        <v>1</v>
      </c>
      <c r="E400" s="364">
        <v>1</v>
      </c>
      <c r="F400" s="364">
        <v>1</v>
      </c>
      <c r="G400" s="364">
        <v>1</v>
      </c>
      <c r="H400" s="364">
        <v>1</v>
      </c>
      <c r="I400" s="365">
        <v>1</v>
      </c>
      <c r="J400" s="364">
        <v>1</v>
      </c>
      <c r="K400" s="364">
        <v>1</v>
      </c>
      <c r="L400" s="364">
        <v>1</v>
      </c>
      <c r="M400" s="364">
        <v>1</v>
      </c>
      <c r="N400" s="364">
        <v>1</v>
      </c>
      <c r="O400" s="364">
        <v>1</v>
      </c>
      <c r="P400" s="364">
        <v>1</v>
      </c>
      <c r="Q400" s="364">
        <v>1</v>
      </c>
      <c r="R400" s="364">
        <v>1</v>
      </c>
      <c r="S400" s="364">
        <v>1</v>
      </c>
      <c r="T400" s="364">
        <v>1</v>
      </c>
    </row>
    <row r="401" spans="1:20" s="363" customFormat="1">
      <c r="A401" s="363" t="s">
        <v>303</v>
      </c>
      <c r="B401" s="364">
        <v>1</v>
      </c>
      <c r="C401" s="364">
        <v>1</v>
      </c>
      <c r="D401" s="364">
        <v>1</v>
      </c>
      <c r="E401" s="364">
        <v>1</v>
      </c>
      <c r="F401" s="364">
        <v>1</v>
      </c>
      <c r="G401" s="364">
        <v>1</v>
      </c>
      <c r="H401" s="364">
        <v>1</v>
      </c>
      <c r="I401" s="365">
        <v>1</v>
      </c>
      <c r="J401" s="364">
        <v>1</v>
      </c>
      <c r="K401" s="364">
        <v>1</v>
      </c>
      <c r="L401" s="364">
        <v>1</v>
      </c>
      <c r="M401" s="364">
        <v>1</v>
      </c>
      <c r="N401" s="364">
        <v>1</v>
      </c>
      <c r="O401" s="364">
        <v>1</v>
      </c>
      <c r="P401" s="364">
        <v>1</v>
      </c>
      <c r="Q401" s="364">
        <v>1</v>
      </c>
      <c r="R401" s="364">
        <v>1</v>
      </c>
      <c r="S401" s="364">
        <v>1</v>
      </c>
      <c r="T401" s="364">
        <v>1</v>
      </c>
    </row>
    <row r="402" spans="1:20" s="363" customFormat="1">
      <c r="A402" s="363" t="s">
        <v>304</v>
      </c>
      <c r="B402" s="364">
        <v>1</v>
      </c>
      <c r="C402" s="364">
        <v>1</v>
      </c>
      <c r="D402" s="364">
        <v>1</v>
      </c>
      <c r="E402" s="364">
        <v>1</v>
      </c>
      <c r="F402" s="364">
        <v>1</v>
      </c>
      <c r="G402" s="364">
        <v>1</v>
      </c>
      <c r="H402" s="364">
        <v>1</v>
      </c>
      <c r="I402" s="365">
        <v>1</v>
      </c>
      <c r="J402" s="364">
        <v>1</v>
      </c>
      <c r="K402" s="364">
        <v>1</v>
      </c>
      <c r="L402" s="364">
        <v>1</v>
      </c>
      <c r="M402" s="364">
        <v>1</v>
      </c>
      <c r="N402" s="364">
        <v>1</v>
      </c>
      <c r="O402" s="364">
        <v>1</v>
      </c>
      <c r="P402" s="364">
        <v>1</v>
      </c>
      <c r="Q402" s="364">
        <v>1</v>
      </c>
      <c r="R402" s="364">
        <v>1</v>
      </c>
      <c r="S402" s="364">
        <v>1</v>
      </c>
      <c r="T402" s="364">
        <v>1</v>
      </c>
    </row>
    <row r="403" spans="1:20" s="363" customFormat="1">
      <c r="A403" s="363" t="s">
        <v>434</v>
      </c>
      <c r="B403" s="364">
        <v>2</v>
      </c>
      <c r="C403" s="364">
        <v>2</v>
      </c>
      <c r="D403" s="364">
        <v>2</v>
      </c>
      <c r="E403" s="364">
        <v>2</v>
      </c>
      <c r="F403" s="364">
        <v>2</v>
      </c>
      <c r="G403" s="364">
        <v>2</v>
      </c>
      <c r="H403" s="364">
        <v>2</v>
      </c>
      <c r="I403" s="365">
        <v>2</v>
      </c>
      <c r="J403" s="364">
        <v>2</v>
      </c>
      <c r="K403" s="364">
        <v>2</v>
      </c>
      <c r="L403" s="364">
        <v>2</v>
      </c>
      <c r="M403" s="364">
        <v>2</v>
      </c>
      <c r="N403" s="364">
        <v>2</v>
      </c>
      <c r="O403" s="364">
        <v>2</v>
      </c>
      <c r="P403" s="364">
        <v>2</v>
      </c>
      <c r="Q403" s="364">
        <v>2</v>
      </c>
      <c r="R403" s="364">
        <v>2</v>
      </c>
      <c r="S403" s="364">
        <v>2</v>
      </c>
      <c r="T403" s="364">
        <v>2</v>
      </c>
    </row>
    <row r="404" spans="1:20" s="16" customFormat="1">
      <c r="A404" s="16" t="s">
        <v>444</v>
      </c>
      <c r="B404" s="75"/>
      <c r="C404" s="75"/>
      <c r="F404" s="77"/>
      <c r="G404" s="75"/>
      <c r="I404" s="85"/>
    </row>
    <row r="405" spans="1:20" s="68" customFormat="1">
      <c r="A405" s="68" t="s">
        <v>437</v>
      </c>
      <c r="B405" s="64"/>
      <c r="C405" s="64"/>
      <c r="E405" s="81" t="s">
        <v>445</v>
      </c>
      <c r="F405" s="82" t="s">
        <v>440</v>
      </c>
      <c r="G405" s="64"/>
      <c r="I405" s="103"/>
    </row>
    <row r="406" spans="1:20" s="68" customFormat="1">
      <c r="A406" s="68" t="s">
        <v>439</v>
      </c>
      <c r="B406" s="64"/>
      <c r="C406" s="64"/>
      <c r="E406" s="68" t="s">
        <v>447</v>
      </c>
      <c r="F406" s="64"/>
      <c r="G406" s="64"/>
      <c r="I406" s="103"/>
    </row>
    <row r="407" spans="1:20" s="17" customFormat="1">
      <c r="A407" s="17" t="s">
        <v>335</v>
      </c>
      <c r="B407" s="30" t="s">
        <v>441</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442</v>
      </c>
    </row>
    <row r="408" spans="1:20" s="63" customFormat="1">
      <c r="A408" s="63" t="str">
        <f>List!A6</f>
        <v>Please select</v>
      </c>
      <c r="B408" s="62"/>
      <c r="C408" s="62"/>
      <c r="D408" s="62"/>
      <c r="E408" s="970"/>
      <c r="F408" s="62"/>
      <c r="G408" s="62"/>
      <c r="H408" s="970"/>
      <c r="I408" s="971"/>
      <c r="J408" s="62"/>
      <c r="K408" s="970"/>
      <c r="L408" s="62"/>
      <c r="M408" s="62"/>
      <c r="N408" s="970"/>
      <c r="O408" s="62"/>
      <c r="P408" s="62"/>
      <c r="Q408" s="970"/>
      <c r="R408" s="62"/>
      <c r="S408" s="62"/>
      <c r="T408" s="970"/>
    </row>
    <row r="409" spans="1:20" s="363" customFormat="1">
      <c r="A409" s="363" t="s">
        <v>309</v>
      </c>
      <c r="B409" s="364">
        <f t="shared" ref="B409:T409" si="7">B393</f>
        <v>1</v>
      </c>
      <c r="C409" s="364">
        <f t="shared" si="7"/>
        <v>1</v>
      </c>
      <c r="D409" s="364">
        <f t="shared" si="7"/>
        <v>1</v>
      </c>
      <c r="E409" s="364">
        <f t="shared" si="7"/>
        <v>1</v>
      </c>
      <c r="F409" s="364">
        <f t="shared" si="7"/>
        <v>1</v>
      </c>
      <c r="G409" s="364">
        <f t="shared" si="7"/>
        <v>2</v>
      </c>
      <c r="H409" s="364">
        <f t="shared" si="7"/>
        <v>2</v>
      </c>
      <c r="I409" s="365">
        <f t="shared" si="7"/>
        <v>2</v>
      </c>
      <c r="J409" s="364">
        <f t="shared" si="7"/>
        <v>2</v>
      </c>
      <c r="K409" s="364">
        <f t="shared" si="7"/>
        <v>2</v>
      </c>
      <c r="L409" s="364">
        <f t="shared" si="7"/>
        <v>2</v>
      </c>
      <c r="M409" s="364">
        <f t="shared" si="7"/>
        <v>2</v>
      </c>
      <c r="N409" s="364">
        <f t="shared" si="7"/>
        <v>2</v>
      </c>
      <c r="O409" s="364">
        <f t="shared" si="7"/>
        <v>2</v>
      </c>
      <c r="P409" s="364">
        <f t="shared" si="7"/>
        <v>2</v>
      </c>
      <c r="Q409" s="364">
        <f t="shared" si="7"/>
        <v>2</v>
      </c>
      <c r="R409" s="364">
        <f t="shared" si="7"/>
        <v>2</v>
      </c>
      <c r="S409" s="364">
        <f t="shared" si="7"/>
        <v>2</v>
      </c>
      <c r="T409" s="364">
        <f t="shared" si="7"/>
        <v>2</v>
      </c>
    </row>
    <row r="410" spans="1:20" s="363" customFormat="1">
      <c r="A410" s="363" t="s">
        <v>306</v>
      </c>
      <c r="B410" s="366">
        <v>4</v>
      </c>
      <c r="C410" s="364">
        <v>4</v>
      </c>
      <c r="D410" s="364">
        <v>5</v>
      </c>
      <c r="E410" s="364">
        <v>5</v>
      </c>
      <c r="F410" s="364">
        <v>5</v>
      </c>
      <c r="G410" s="364">
        <v>6</v>
      </c>
      <c r="H410" s="364">
        <v>7</v>
      </c>
      <c r="I410" s="365">
        <v>8</v>
      </c>
      <c r="J410" s="364">
        <v>8</v>
      </c>
      <c r="K410" s="364">
        <v>9</v>
      </c>
      <c r="L410" s="364">
        <v>9</v>
      </c>
      <c r="M410" s="364">
        <v>10</v>
      </c>
      <c r="N410" s="364">
        <v>11</v>
      </c>
      <c r="O410" s="364">
        <v>12</v>
      </c>
      <c r="P410" s="364">
        <v>13</v>
      </c>
      <c r="Q410" s="364">
        <v>14</v>
      </c>
      <c r="R410" s="364">
        <v>15</v>
      </c>
      <c r="S410" s="364">
        <v>16</v>
      </c>
      <c r="T410" s="364">
        <v>17</v>
      </c>
    </row>
    <row r="411" spans="1:20" s="363" customFormat="1">
      <c r="A411" s="363" t="s">
        <v>307</v>
      </c>
      <c r="B411" s="364">
        <v>5</v>
      </c>
      <c r="C411" s="364">
        <v>5</v>
      </c>
      <c r="D411" s="364">
        <v>5</v>
      </c>
      <c r="E411" s="364">
        <v>6</v>
      </c>
      <c r="F411" s="364">
        <v>6</v>
      </c>
      <c r="G411" s="364">
        <v>7</v>
      </c>
      <c r="H411" s="364">
        <v>8</v>
      </c>
      <c r="I411" s="365">
        <v>8</v>
      </c>
      <c r="J411" s="364">
        <v>9</v>
      </c>
      <c r="K411" s="364">
        <v>10</v>
      </c>
      <c r="L411" s="364">
        <v>11</v>
      </c>
      <c r="M411" s="364">
        <v>11</v>
      </c>
      <c r="N411" s="364">
        <v>12</v>
      </c>
      <c r="O411" s="364">
        <v>13</v>
      </c>
      <c r="P411" s="364">
        <v>15</v>
      </c>
      <c r="Q411" s="364">
        <v>16</v>
      </c>
      <c r="R411" s="364">
        <v>17</v>
      </c>
      <c r="S411" s="364">
        <v>19</v>
      </c>
      <c r="T411" s="364">
        <v>19</v>
      </c>
    </row>
    <row r="412" spans="1:20" s="363" customFormat="1">
      <c r="A412" s="363" t="s">
        <v>308</v>
      </c>
      <c r="B412" s="364">
        <f t="shared" ref="B412:T412" si="8">B396</f>
        <v>1</v>
      </c>
      <c r="C412" s="364">
        <f t="shared" si="8"/>
        <v>1</v>
      </c>
      <c r="D412" s="364">
        <f t="shared" si="8"/>
        <v>1</v>
      </c>
      <c r="E412" s="364">
        <f t="shared" si="8"/>
        <v>1</v>
      </c>
      <c r="F412" s="364">
        <f t="shared" si="8"/>
        <v>1</v>
      </c>
      <c r="G412" s="364">
        <f t="shared" si="8"/>
        <v>2</v>
      </c>
      <c r="H412" s="364">
        <f t="shared" si="8"/>
        <v>2</v>
      </c>
      <c r="I412" s="365">
        <f t="shared" si="8"/>
        <v>2</v>
      </c>
      <c r="J412" s="364">
        <f t="shared" si="8"/>
        <v>2</v>
      </c>
      <c r="K412" s="364">
        <f t="shared" si="8"/>
        <v>2</v>
      </c>
      <c r="L412" s="364">
        <f t="shared" si="8"/>
        <v>2</v>
      </c>
      <c r="M412" s="364">
        <f t="shared" si="8"/>
        <v>2</v>
      </c>
      <c r="N412" s="364">
        <f t="shared" si="8"/>
        <v>2</v>
      </c>
      <c r="O412" s="364">
        <f t="shared" si="8"/>
        <v>2</v>
      </c>
      <c r="P412" s="364">
        <f t="shared" si="8"/>
        <v>2</v>
      </c>
      <c r="Q412" s="364">
        <f t="shared" si="8"/>
        <v>2</v>
      </c>
      <c r="R412" s="364">
        <f t="shared" si="8"/>
        <v>2</v>
      </c>
      <c r="S412" s="364">
        <f t="shared" si="8"/>
        <v>2</v>
      </c>
      <c r="T412" s="364">
        <f t="shared" si="8"/>
        <v>2</v>
      </c>
    </row>
    <row r="413" spans="1:20" s="363" customFormat="1">
      <c r="A413" s="363" t="s">
        <v>311</v>
      </c>
      <c r="B413" s="364">
        <v>1</v>
      </c>
      <c r="C413" s="364">
        <v>1</v>
      </c>
      <c r="D413" s="364">
        <v>1</v>
      </c>
      <c r="E413" s="364">
        <v>1</v>
      </c>
      <c r="F413" s="364">
        <v>1</v>
      </c>
      <c r="G413" s="364">
        <v>1</v>
      </c>
      <c r="H413" s="364">
        <v>1</v>
      </c>
      <c r="I413" s="365">
        <v>1</v>
      </c>
      <c r="J413" s="364">
        <v>1</v>
      </c>
      <c r="K413" s="364">
        <v>1</v>
      </c>
      <c r="L413" s="364">
        <v>1</v>
      </c>
      <c r="M413" s="364">
        <v>1</v>
      </c>
      <c r="N413" s="364">
        <v>1</v>
      </c>
      <c r="O413" s="364">
        <v>1</v>
      </c>
      <c r="P413" s="364">
        <v>1</v>
      </c>
      <c r="Q413" s="364">
        <v>1</v>
      </c>
      <c r="R413" s="364">
        <v>2</v>
      </c>
      <c r="S413" s="364">
        <v>2</v>
      </c>
      <c r="T413" s="364">
        <v>2</v>
      </c>
    </row>
    <row r="414" spans="1:20" s="363" customFormat="1">
      <c r="A414" s="363" t="s">
        <v>310</v>
      </c>
      <c r="B414" s="364">
        <v>1</v>
      </c>
      <c r="C414" s="364">
        <v>1</v>
      </c>
      <c r="D414" s="364">
        <v>1</v>
      </c>
      <c r="E414" s="364">
        <v>1</v>
      </c>
      <c r="F414" s="364">
        <v>1</v>
      </c>
      <c r="G414" s="364">
        <v>1</v>
      </c>
      <c r="H414" s="364">
        <v>1</v>
      </c>
      <c r="I414" s="365">
        <v>1</v>
      </c>
      <c r="J414" s="364">
        <v>1</v>
      </c>
      <c r="K414" s="364">
        <v>1</v>
      </c>
      <c r="L414" s="364">
        <v>1</v>
      </c>
      <c r="M414" s="364">
        <v>1</v>
      </c>
      <c r="N414" s="364">
        <v>1</v>
      </c>
      <c r="O414" s="364">
        <v>1</v>
      </c>
      <c r="P414" s="364">
        <v>1</v>
      </c>
      <c r="Q414" s="364">
        <v>1</v>
      </c>
      <c r="R414" s="364">
        <v>2</v>
      </c>
      <c r="S414" s="364">
        <v>2</v>
      </c>
      <c r="T414" s="364">
        <v>2</v>
      </c>
    </row>
    <row r="415" spans="1:20" s="363" customFormat="1">
      <c r="A415" s="363" t="s">
        <v>302</v>
      </c>
      <c r="B415" s="364">
        <f t="shared" ref="B415:T415" si="9">B399</f>
        <v>0</v>
      </c>
      <c r="C415" s="364">
        <f t="shared" si="9"/>
        <v>0</v>
      </c>
      <c r="D415" s="364">
        <f t="shared" si="9"/>
        <v>0</v>
      </c>
      <c r="E415" s="364">
        <f t="shared" si="9"/>
        <v>0</v>
      </c>
      <c r="F415" s="364">
        <f t="shared" si="9"/>
        <v>0</v>
      </c>
      <c r="G415" s="364">
        <f t="shared" si="9"/>
        <v>1</v>
      </c>
      <c r="H415" s="364">
        <f t="shared" si="9"/>
        <v>1</v>
      </c>
      <c r="I415" s="365">
        <f t="shared" si="9"/>
        <v>1</v>
      </c>
      <c r="J415" s="364">
        <f t="shared" si="9"/>
        <v>1</v>
      </c>
      <c r="K415" s="364">
        <f t="shared" si="9"/>
        <v>1</v>
      </c>
      <c r="L415" s="364">
        <f t="shared" si="9"/>
        <v>1</v>
      </c>
      <c r="M415" s="364">
        <f t="shared" si="9"/>
        <v>1</v>
      </c>
      <c r="N415" s="364">
        <f t="shared" si="9"/>
        <v>1</v>
      </c>
      <c r="O415" s="364">
        <f t="shared" si="9"/>
        <v>1</v>
      </c>
      <c r="P415" s="364">
        <f t="shared" si="9"/>
        <v>1</v>
      </c>
      <c r="Q415" s="364">
        <f t="shared" si="9"/>
        <v>1</v>
      </c>
      <c r="R415" s="364">
        <f t="shared" si="9"/>
        <v>1</v>
      </c>
      <c r="S415" s="364">
        <f t="shared" si="9"/>
        <v>1</v>
      </c>
      <c r="T415" s="364">
        <f t="shared" si="9"/>
        <v>1</v>
      </c>
    </row>
    <row r="416" spans="1:20" s="363" customFormat="1">
      <c r="A416" s="363" t="s">
        <v>305</v>
      </c>
      <c r="B416" s="364">
        <v>4</v>
      </c>
      <c r="C416" s="364">
        <v>4</v>
      </c>
      <c r="D416" s="364">
        <v>4</v>
      </c>
      <c r="E416" s="364">
        <v>4</v>
      </c>
      <c r="F416" s="364">
        <v>4</v>
      </c>
      <c r="G416" s="364">
        <v>5</v>
      </c>
      <c r="H416" s="364">
        <v>5</v>
      </c>
      <c r="I416" s="365">
        <v>5</v>
      </c>
      <c r="J416" s="364">
        <v>5</v>
      </c>
      <c r="K416" s="364">
        <v>5</v>
      </c>
      <c r="L416" s="364">
        <v>5</v>
      </c>
      <c r="M416" s="364">
        <v>5</v>
      </c>
      <c r="N416" s="364">
        <v>5</v>
      </c>
      <c r="O416" s="364">
        <v>5</v>
      </c>
      <c r="P416" s="364">
        <v>5</v>
      </c>
      <c r="Q416" s="364">
        <v>5</v>
      </c>
      <c r="R416" s="364">
        <v>5</v>
      </c>
      <c r="S416" s="364">
        <v>5</v>
      </c>
      <c r="T416" s="364">
        <v>5</v>
      </c>
    </row>
    <row r="417" spans="1:20" s="363" customFormat="1">
      <c r="A417" s="363" t="s">
        <v>303</v>
      </c>
      <c r="B417" s="364">
        <v>1</v>
      </c>
      <c r="C417" s="364">
        <v>1</v>
      </c>
      <c r="D417" s="364">
        <v>1</v>
      </c>
      <c r="E417" s="364">
        <v>1</v>
      </c>
      <c r="F417" s="364">
        <v>1</v>
      </c>
      <c r="G417" s="364">
        <v>2</v>
      </c>
      <c r="H417" s="364">
        <v>2</v>
      </c>
      <c r="I417" s="365">
        <v>2</v>
      </c>
      <c r="J417" s="364">
        <v>2</v>
      </c>
      <c r="K417" s="364">
        <v>2</v>
      </c>
      <c r="L417" s="364">
        <v>2</v>
      </c>
      <c r="M417" s="364">
        <v>2</v>
      </c>
      <c r="N417" s="364">
        <v>2</v>
      </c>
      <c r="O417" s="364">
        <v>2</v>
      </c>
      <c r="P417" s="364">
        <v>2</v>
      </c>
      <c r="Q417" s="364">
        <v>2</v>
      </c>
      <c r="R417" s="364">
        <v>2</v>
      </c>
      <c r="S417" s="364">
        <v>2</v>
      </c>
      <c r="T417" s="364">
        <v>2</v>
      </c>
    </row>
    <row r="418" spans="1:20" s="363" customFormat="1">
      <c r="A418" s="363" t="s">
        <v>304</v>
      </c>
      <c r="B418" s="364">
        <v>1</v>
      </c>
      <c r="C418" s="364">
        <v>1</v>
      </c>
      <c r="D418" s="364">
        <v>1</v>
      </c>
      <c r="E418" s="364">
        <v>1</v>
      </c>
      <c r="F418" s="364">
        <v>1</v>
      </c>
      <c r="G418" s="364">
        <v>2</v>
      </c>
      <c r="H418" s="364">
        <v>2</v>
      </c>
      <c r="I418" s="365">
        <v>2</v>
      </c>
      <c r="J418" s="364">
        <v>2</v>
      </c>
      <c r="K418" s="364">
        <v>2</v>
      </c>
      <c r="L418" s="364">
        <v>2</v>
      </c>
      <c r="M418" s="364">
        <v>2</v>
      </c>
      <c r="N418" s="364">
        <v>2</v>
      </c>
      <c r="O418" s="364">
        <v>2</v>
      </c>
      <c r="P418" s="364">
        <v>2</v>
      </c>
      <c r="Q418" s="364">
        <v>2</v>
      </c>
      <c r="R418" s="364">
        <v>2</v>
      </c>
      <c r="S418" s="364">
        <v>2</v>
      </c>
      <c r="T418" s="364">
        <v>2</v>
      </c>
    </row>
    <row r="419" spans="1:20" s="363" customFormat="1">
      <c r="A419" s="363" t="s">
        <v>434</v>
      </c>
      <c r="B419" s="364">
        <v>5</v>
      </c>
      <c r="C419" s="364">
        <v>5</v>
      </c>
      <c r="D419" s="364">
        <v>5</v>
      </c>
      <c r="E419" s="364">
        <v>5</v>
      </c>
      <c r="F419" s="364">
        <v>5</v>
      </c>
      <c r="G419" s="364">
        <v>5</v>
      </c>
      <c r="H419" s="364">
        <v>5</v>
      </c>
      <c r="I419" s="365">
        <v>5</v>
      </c>
      <c r="J419" s="364">
        <v>5</v>
      </c>
      <c r="K419" s="364">
        <v>5</v>
      </c>
      <c r="L419" s="364">
        <v>5</v>
      </c>
      <c r="M419" s="364">
        <v>5</v>
      </c>
      <c r="N419" s="364">
        <v>5</v>
      </c>
      <c r="O419" s="364">
        <v>5</v>
      </c>
      <c r="P419" s="364">
        <v>5</v>
      </c>
      <c r="Q419" s="364">
        <v>5</v>
      </c>
      <c r="R419" s="364">
        <v>5</v>
      </c>
      <c r="S419" s="364">
        <v>5</v>
      </c>
      <c r="T419" s="364">
        <v>5</v>
      </c>
    </row>
    <row r="420" spans="1:20" s="16" customFormat="1">
      <c r="A420" s="16" t="s">
        <v>448</v>
      </c>
      <c r="B420" s="75"/>
      <c r="C420" s="75"/>
      <c r="E420" s="76"/>
      <c r="F420" s="77"/>
      <c r="G420" s="75"/>
      <c r="I420" s="85"/>
    </row>
    <row r="421" spans="1:20" s="68" customFormat="1">
      <c r="A421" s="68" t="s">
        <v>437</v>
      </c>
      <c r="B421" s="64"/>
      <c r="C421" s="64"/>
      <c r="E421" s="78" t="s">
        <v>449</v>
      </c>
      <c r="F421" s="82" t="s">
        <v>440</v>
      </c>
      <c r="G421" s="64"/>
      <c r="I421" s="103"/>
    </row>
    <row r="422" spans="1:20" s="68" customFormat="1">
      <c r="A422" s="68" t="s">
        <v>439</v>
      </c>
      <c r="B422" s="64"/>
      <c r="C422" s="64"/>
      <c r="E422" s="78"/>
      <c r="F422" s="64"/>
      <c r="G422" s="64"/>
      <c r="I422" s="103"/>
    </row>
    <row r="423" spans="1:20" s="17" customFormat="1">
      <c r="A423" s="17" t="s">
        <v>335</v>
      </c>
      <c r="B423" s="30" t="s">
        <v>441</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442</v>
      </c>
    </row>
    <row r="424" spans="1:20" s="63" customFormat="1">
      <c r="A424" s="63" t="str">
        <f>List!A6</f>
        <v>Please select</v>
      </c>
      <c r="B424" s="62"/>
      <c r="C424" s="62"/>
      <c r="D424" s="62"/>
      <c r="E424" s="970"/>
      <c r="F424" s="62"/>
      <c r="G424" s="62"/>
      <c r="H424" s="970"/>
      <c r="I424" s="971"/>
      <c r="J424" s="62"/>
      <c r="K424" s="970"/>
      <c r="L424" s="62"/>
      <c r="M424" s="62"/>
      <c r="N424" s="970"/>
      <c r="O424" s="62"/>
      <c r="P424" s="62"/>
      <c r="Q424" s="970"/>
      <c r="R424" s="62"/>
      <c r="S424" s="62"/>
      <c r="T424" s="970"/>
    </row>
    <row r="425" spans="1:20" s="363" customFormat="1">
      <c r="A425" s="363" t="s">
        <v>309</v>
      </c>
      <c r="B425" s="364">
        <v>10</v>
      </c>
      <c r="C425" s="364">
        <v>11</v>
      </c>
      <c r="D425" s="364">
        <v>11</v>
      </c>
      <c r="E425" s="364">
        <v>12</v>
      </c>
      <c r="F425" s="364">
        <v>12</v>
      </c>
      <c r="G425" s="364">
        <v>13</v>
      </c>
      <c r="H425" s="364">
        <v>13</v>
      </c>
      <c r="I425" s="365">
        <v>14</v>
      </c>
      <c r="J425" s="364">
        <v>15</v>
      </c>
      <c r="K425" s="364">
        <v>15</v>
      </c>
      <c r="L425" s="364">
        <v>16</v>
      </c>
      <c r="M425" s="364">
        <v>17</v>
      </c>
      <c r="N425" s="364">
        <v>18</v>
      </c>
      <c r="O425" s="364">
        <v>18</v>
      </c>
      <c r="P425" s="364">
        <v>19</v>
      </c>
      <c r="Q425" s="364">
        <v>20</v>
      </c>
      <c r="R425" s="364">
        <v>22</v>
      </c>
      <c r="S425" s="364">
        <v>23</v>
      </c>
      <c r="T425" s="364">
        <v>23</v>
      </c>
    </row>
    <row r="426" spans="1:20" s="363" customFormat="1">
      <c r="A426" s="363" t="s">
        <v>306</v>
      </c>
      <c r="B426" s="366">
        <v>6</v>
      </c>
      <c r="C426" s="364">
        <v>6</v>
      </c>
      <c r="D426" s="364">
        <v>7</v>
      </c>
      <c r="E426" s="364">
        <v>7</v>
      </c>
      <c r="F426" s="364">
        <v>8</v>
      </c>
      <c r="G426" s="364">
        <v>9</v>
      </c>
      <c r="H426" s="364">
        <v>9</v>
      </c>
      <c r="I426" s="365">
        <v>10</v>
      </c>
      <c r="J426" s="364">
        <v>11</v>
      </c>
      <c r="K426" s="364">
        <v>11</v>
      </c>
      <c r="L426" s="364">
        <v>12</v>
      </c>
      <c r="M426" s="364">
        <v>13</v>
      </c>
      <c r="N426" s="364">
        <v>14</v>
      </c>
      <c r="O426" s="364">
        <v>15</v>
      </c>
      <c r="P426" s="364">
        <v>16</v>
      </c>
      <c r="Q426" s="364">
        <v>18</v>
      </c>
      <c r="R426" s="364">
        <v>19</v>
      </c>
      <c r="S426" s="364">
        <v>21</v>
      </c>
      <c r="T426" s="364">
        <v>21</v>
      </c>
    </row>
    <row r="427" spans="1:20" s="363" customFormat="1">
      <c r="A427" s="363" t="s">
        <v>307</v>
      </c>
      <c r="B427" s="364">
        <v>3</v>
      </c>
      <c r="C427" s="364">
        <v>3</v>
      </c>
      <c r="D427" s="364">
        <v>3</v>
      </c>
      <c r="E427" s="364">
        <v>3</v>
      </c>
      <c r="F427" s="364">
        <v>3</v>
      </c>
      <c r="G427" s="364">
        <v>4</v>
      </c>
      <c r="H427" s="364">
        <v>4</v>
      </c>
      <c r="I427" s="365">
        <v>4</v>
      </c>
      <c r="J427" s="364">
        <v>4</v>
      </c>
      <c r="K427" s="364">
        <v>5</v>
      </c>
      <c r="L427" s="364">
        <v>5</v>
      </c>
      <c r="M427" s="364">
        <v>5</v>
      </c>
      <c r="N427" s="364">
        <v>6</v>
      </c>
      <c r="O427" s="364">
        <v>6</v>
      </c>
      <c r="P427" s="364">
        <v>6</v>
      </c>
      <c r="Q427" s="364">
        <v>7</v>
      </c>
      <c r="R427" s="364">
        <v>10</v>
      </c>
      <c r="S427" s="364">
        <v>10</v>
      </c>
      <c r="T427" s="364">
        <v>10</v>
      </c>
    </row>
    <row r="428" spans="1:20" s="363" customFormat="1">
      <c r="A428" s="363" t="s">
        <v>308</v>
      </c>
      <c r="B428" s="364">
        <v>11</v>
      </c>
      <c r="C428" s="364">
        <v>11</v>
      </c>
      <c r="D428" s="364">
        <v>12</v>
      </c>
      <c r="E428" s="364">
        <v>12</v>
      </c>
      <c r="F428" s="364">
        <v>12</v>
      </c>
      <c r="G428" s="364">
        <v>13</v>
      </c>
      <c r="H428" s="364">
        <v>13</v>
      </c>
      <c r="I428" s="365">
        <v>13</v>
      </c>
      <c r="J428" s="364">
        <v>13</v>
      </c>
      <c r="K428" s="364">
        <v>13</v>
      </c>
      <c r="L428" s="364">
        <v>13</v>
      </c>
      <c r="M428" s="364">
        <v>13</v>
      </c>
      <c r="N428" s="364">
        <v>13</v>
      </c>
      <c r="O428" s="364">
        <v>13</v>
      </c>
      <c r="P428" s="364">
        <v>13</v>
      </c>
      <c r="Q428" s="364">
        <v>13</v>
      </c>
      <c r="R428" s="364">
        <v>13</v>
      </c>
      <c r="S428" s="364">
        <v>13</v>
      </c>
      <c r="T428" s="364">
        <v>13</v>
      </c>
    </row>
    <row r="429" spans="1:20" s="363" customFormat="1">
      <c r="A429" s="363" t="s">
        <v>311</v>
      </c>
      <c r="B429" s="364">
        <v>1</v>
      </c>
      <c r="C429" s="364">
        <v>1</v>
      </c>
      <c r="D429" s="364">
        <v>1</v>
      </c>
      <c r="E429" s="364">
        <v>1</v>
      </c>
      <c r="F429" s="364">
        <v>1</v>
      </c>
      <c r="G429" s="364">
        <v>1</v>
      </c>
      <c r="H429" s="364">
        <v>1</v>
      </c>
      <c r="I429" s="365">
        <v>1</v>
      </c>
      <c r="J429" s="364">
        <v>1</v>
      </c>
      <c r="K429" s="364">
        <v>1</v>
      </c>
      <c r="L429" s="364">
        <v>1</v>
      </c>
      <c r="M429" s="364">
        <v>1</v>
      </c>
      <c r="N429" s="364">
        <v>1</v>
      </c>
      <c r="O429" s="364">
        <v>1</v>
      </c>
      <c r="P429" s="364">
        <v>1</v>
      </c>
      <c r="Q429" s="364">
        <v>1</v>
      </c>
      <c r="R429" s="364">
        <v>2</v>
      </c>
      <c r="S429" s="364">
        <v>2</v>
      </c>
      <c r="T429" s="364">
        <v>2</v>
      </c>
    </row>
    <row r="430" spans="1:20" s="363" customFormat="1">
      <c r="A430" s="363" t="s">
        <v>310</v>
      </c>
      <c r="B430" s="364">
        <v>1</v>
      </c>
      <c r="C430" s="364">
        <v>1</v>
      </c>
      <c r="D430" s="364">
        <v>1</v>
      </c>
      <c r="E430" s="364">
        <v>1</v>
      </c>
      <c r="F430" s="364">
        <v>1</v>
      </c>
      <c r="G430" s="364">
        <v>1</v>
      </c>
      <c r="H430" s="364">
        <v>1</v>
      </c>
      <c r="I430" s="365">
        <v>1</v>
      </c>
      <c r="J430" s="364">
        <v>1</v>
      </c>
      <c r="K430" s="364">
        <v>1</v>
      </c>
      <c r="L430" s="364">
        <v>1</v>
      </c>
      <c r="M430" s="364">
        <v>1</v>
      </c>
      <c r="N430" s="364">
        <v>1</v>
      </c>
      <c r="O430" s="364">
        <v>1</v>
      </c>
      <c r="P430" s="364">
        <v>1</v>
      </c>
      <c r="Q430" s="364">
        <v>1</v>
      </c>
      <c r="R430" s="364">
        <v>2</v>
      </c>
      <c r="S430" s="364">
        <v>2</v>
      </c>
      <c r="T430" s="364">
        <v>2</v>
      </c>
    </row>
    <row r="431" spans="1:20" s="363" customFormat="1">
      <c r="A431" s="363" t="s">
        <v>302</v>
      </c>
      <c r="B431" s="364">
        <v>0</v>
      </c>
      <c r="C431" s="364">
        <v>0</v>
      </c>
      <c r="D431" s="364">
        <v>0</v>
      </c>
      <c r="E431" s="364">
        <v>1</v>
      </c>
      <c r="F431" s="364">
        <v>1</v>
      </c>
      <c r="G431" s="364">
        <v>1</v>
      </c>
      <c r="H431" s="364">
        <v>1</v>
      </c>
      <c r="I431" s="365">
        <v>1</v>
      </c>
      <c r="J431" s="364">
        <v>1</v>
      </c>
      <c r="K431" s="364">
        <v>1</v>
      </c>
      <c r="L431" s="364">
        <v>1</v>
      </c>
      <c r="M431" s="364">
        <v>1</v>
      </c>
      <c r="N431" s="364">
        <v>1</v>
      </c>
      <c r="O431" s="364">
        <v>1</v>
      </c>
      <c r="P431" s="364">
        <v>1</v>
      </c>
      <c r="Q431" s="364">
        <v>1</v>
      </c>
      <c r="R431" s="364">
        <v>1</v>
      </c>
      <c r="S431" s="364">
        <v>1</v>
      </c>
      <c r="T431" s="364">
        <v>2</v>
      </c>
    </row>
    <row r="432" spans="1:20" s="363" customFormat="1">
      <c r="A432" s="363" t="s">
        <v>305</v>
      </c>
      <c r="B432" s="364">
        <v>1</v>
      </c>
      <c r="C432" s="364">
        <v>1</v>
      </c>
      <c r="D432" s="364">
        <v>1</v>
      </c>
      <c r="E432" s="364">
        <v>2</v>
      </c>
      <c r="F432" s="364">
        <v>2</v>
      </c>
      <c r="G432" s="364">
        <v>2</v>
      </c>
      <c r="H432" s="364">
        <v>2</v>
      </c>
      <c r="I432" s="365">
        <v>2</v>
      </c>
      <c r="J432" s="364">
        <v>3</v>
      </c>
      <c r="K432" s="364">
        <v>3</v>
      </c>
      <c r="L432" s="364">
        <v>3</v>
      </c>
      <c r="M432" s="364">
        <v>3</v>
      </c>
      <c r="N432" s="364">
        <v>4</v>
      </c>
      <c r="O432" s="364">
        <v>4</v>
      </c>
      <c r="P432" s="364">
        <v>4</v>
      </c>
      <c r="Q432" s="364">
        <v>5</v>
      </c>
      <c r="R432" s="364">
        <v>5</v>
      </c>
      <c r="S432" s="364">
        <v>5</v>
      </c>
      <c r="T432" s="364">
        <v>6</v>
      </c>
    </row>
    <row r="433" spans="1:20" s="363" customFormat="1">
      <c r="A433" s="363" t="s">
        <v>303</v>
      </c>
      <c r="B433" s="364">
        <v>2</v>
      </c>
      <c r="C433" s="364">
        <v>2</v>
      </c>
      <c r="D433" s="364">
        <v>2</v>
      </c>
      <c r="E433" s="364">
        <v>2</v>
      </c>
      <c r="F433" s="364">
        <v>2</v>
      </c>
      <c r="G433" s="364">
        <v>3</v>
      </c>
      <c r="H433" s="364">
        <v>3</v>
      </c>
      <c r="I433" s="365">
        <v>3</v>
      </c>
      <c r="J433" s="364">
        <v>3</v>
      </c>
      <c r="K433" s="364">
        <v>4</v>
      </c>
      <c r="L433" s="364">
        <v>4</v>
      </c>
      <c r="M433" s="364">
        <v>4</v>
      </c>
      <c r="N433" s="364">
        <v>5</v>
      </c>
      <c r="O433" s="364">
        <v>5</v>
      </c>
      <c r="P433" s="364">
        <v>5</v>
      </c>
      <c r="Q433" s="364">
        <v>6</v>
      </c>
      <c r="R433" s="364">
        <v>6</v>
      </c>
      <c r="S433" s="364">
        <v>7</v>
      </c>
      <c r="T433" s="364">
        <v>7</v>
      </c>
    </row>
    <row r="434" spans="1:20" s="363" customFormat="1">
      <c r="A434" s="363" t="s">
        <v>304</v>
      </c>
      <c r="B434" s="364">
        <v>2</v>
      </c>
      <c r="C434" s="364">
        <v>2</v>
      </c>
      <c r="D434" s="364">
        <v>2</v>
      </c>
      <c r="E434" s="364">
        <v>2</v>
      </c>
      <c r="F434" s="364">
        <v>2</v>
      </c>
      <c r="G434" s="364">
        <v>3</v>
      </c>
      <c r="H434" s="364">
        <v>3</v>
      </c>
      <c r="I434" s="365">
        <v>3</v>
      </c>
      <c r="J434" s="364">
        <v>3</v>
      </c>
      <c r="K434" s="364">
        <v>4</v>
      </c>
      <c r="L434" s="364">
        <v>4</v>
      </c>
      <c r="M434" s="364">
        <v>4</v>
      </c>
      <c r="N434" s="364">
        <v>5</v>
      </c>
      <c r="O434" s="364">
        <v>5</v>
      </c>
      <c r="P434" s="364">
        <v>5</v>
      </c>
      <c r="Q434" s="364">
        <v>6</v>
      </c>
      <c r="R434" s="364">
        <v>6</v>
      </c>
      <c r="S434" s="364">
        <v>7</v>
      </c>
      <c r="T434" s="364">
        <v>7</v>
      </c>
    </row>
    <row r="435" spans="1:20" s="363" customFormat="1">
      <c r="A435" s="363" t="s">
        <v>434</v>
      </c>
      <c r="B435" s="364">
        <v>2</v>
      </c>
      <c r="C435" s="364">
        <v>2</v>
      </c>
      <c r="D435" s="364">
        <v>3</v>
      </c>
      <c r="E435" s="364">
        <v>3</v>
      </c>
      <c r="F435" s="364">
        <v>3</v>
      </c>
      <c r="G435" s="364">
        <v>3</v>
      </c>
      <c r="H435" s="364">
        <v>3</v>
      </c>
      <c r="I435" s="365">
        <v>3</v>
      </c>
      <c r="J435" s="364">
        <v>4</v>
      </c>
      <c r="K435" s="364">
        <v>4</v>
      </c>
      <c r="L435" s="364">
        <v>4</v>
      </c>
      <c r="M435" s="364">
        <v>4</v>
      </c>
      <c r="N435" s="364">
        <v>4</v>
      </c>
      <c r="O435" s="364">
        <v>5</v>
      </c>
      <c r="P435" s="364">
        <v>5</v>
      </c>
      <c r="Q435" s="364">
        <v>5</v>
      </c>
      <c r="R435" s="364">
        <v>6</v>
      </c>
      <c r="S435" s="364">
        <v>6</v>
      </c>
      <c r="T435" s="364">
        <v>6</v>
      </c>
    </row>
    <row r="436" spans="1:20" s="16" customFormat="1">
      <c r="A436" s="16" t="s">
        <v>450</v>
      </c>
      <c r="B436" s="75"/>
      <c r="C436" s="75"/>
      <c r="E436" s="76"/>
      <c r="F436" s="77"/>
      <c r="G436" s="75"/>
      <c r="I436" s="85"/>
    </row>
    <row r="437" spans="1:20" s="68" customFormat="1">
      <c r="A437" s="68" t="s">
        <v>437</v>
      </c>
      <c r="B437" s="64"/>
      <c r="C437" s="64"/>
      <c r="E437" s="78" t="s">
        <v>451</v>
      </c>
      <c r="F437" s="82" t="s">
        <v>440</v>
      </c>
      <c r="G437" s="64"/>
      <c r="I437" s="103"/>
    </row>
    <row r="438" spans="1:20" s="68" customFormat="1">
      <c r="A438" s="68" t="s">
        <v>439</v>
      </c>
      <c r="B438" s="64"/>
      <c r="C438" s="64"/>
      <c r="E438" s="78"/>
      <c r="F438" s="64"/>
      <c r="G438" s="64"/>
      <c r="I438" s="103"/>
    </row>
    <row r="439" spans="1:20" s="17" customFormat="1">
      <c r="A439" s="17" t="s">
        <v>335</v>
      </c>
      <c r="B439" s="30" t="s">
        <v>441</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442</v>
      </c>
    </row>
    <row r="440" spans="1:20" s="63" customFormat="1">
      <c r="A440" s="63" t="str">
        <f>List!A6</f>
        <v>Please select</v>
      </c>
      <c r="B440" s="62"/>
      <c r="C440" s="62"/>
      <c r="D440" s="62"/>
      <c r="E440" s="970"/>
      <c r="F440" s="62"/>
      <c r="G440" s="62"/>
      <c r="H440" s="970"/>
      <c r="I440" s="971"/>
      <c r="J440" s="62"/>
      <c r="K440" s="970"/>
      <c r="L440" s="62"/>
      <c r="M440" s="62"/>
      <c r="N440" s="970"/>
      <c r="O440" s="62"/>
      <c r="P440" s="62"/>
      <c r="Q440" s="970"/>
      <c r="R440" s="62"/>
      <c r="S440" s="62"/>
      <c r="T440" s="970"/>
    </row>
    <row r="441" spans="1:20" s="363" customFormat="1">
      <c r="A441" s="363" t="s">
        <v>309</v>
      </c>
      <c r="B441" s="364">
        <v>19</v>
      </c>
      <c r="C441" s="364">
        <v>20</v>
      </c>
      <c r="D441" s="364">
        <v>21</v>
      </c>
      <c r="E441" s="364">
        <v>22</v>
      </c>
      <c r="F441" s="364">
        <v>23</v>
      </c>
      <c r="G441" s="364">
        <v>24</v>
      </c>
      <c r="H441" s="364">
        <v>26</v>
      </c>
      <c r="I441" s="365">
        <v>27</v>
      </c>
      <c r="J441" s="364">
        <v>28</v>
      </c>
      <c r="K441" s="364">
        <v>29</v>
      </c>
      <c r="L441" s="364">
        <v>31</v>
      </c>
      <c r="M441" s="364">
        <v>32</v>
      </c>
      <c r="N441" s="364">
        <v>34</v>
      </c>
      <c r="O441" s="364">
        <v>35</v>
      </c>
      <c r="P441" s="364">
        <v>37</v>
      </c>
      <c r="Q441" s="364">
        <v>39</v>
      </c>
      <c r="R441" s="364">
        <v>41</v>
      </c>
      <c r="S441" s="364">
        <v>44</v>
      </c>
      <c r="T441" s="364">
        <v>45</v>
      </c>
    </row>
    <row r="442" spans="1:20" s="363" customFormat="1">
      <c r="A442" s="363" t="s">
        <v>306</v>
      </c>
      <c r="B442" s="366">
        <v>9</v>
      </c>
      <c r="C442" s="364">
        <v>10</v>
      </c>
      <c r="D442" s="364">
        <v>10</v>
      </c>
      <c r="E442" s="364">
        <v>11</v>
      </c>
      <c r="F442" s="364">
        <v>12</v>
      </c>
      <c r="G442" s="364">
        <v>13</v>
      </c>
      <c r="H442" s="364">
        <v>14</v>
      </c>
      <c r="I442" s="365">
        <v>15</v>
      </c>
      <c r="J442" s="364">
        <v>16</v>
      </c>
      <c r="K442" s="364">
        <v>17</v>
      </c>
      <c r="L442" s="364">
        <v>19</v>
      </c>
      <c r="M442" s="364">
        <v>20</v>
      </c>
      <c r="N442" s="364">
        <v>22</v>
      </c>
      <c r="O442" s="364">
        <v>23</v>
      </c>
      <c r="P442" s="364">
        <v>25</v>
      </c>
      <c r="Q442" s="364">
        <v>27</v>
      </c>
      <c r="R442" s="364">
        <v>29</v>
      </c>
      <c r="S442" s="364">
        <v>32</v>
      </c>
      <c r="T442" s="364">
        <v>33</v>
      </c>
    </row>
    <row r="443" spans="1:20" s="363" customFormat="1">
      <c r="A443" s="363" t="s">
        <v>307</v>
      </c>
      <c r="B443" s="364">
        <v>4</v>
      </c>
      <c r="C443" s="364">
        <v>5</v>
      </c>
      <c r="D443" s="364">
        <v>5</v>
      </c>
      <c r="E443" s="364">
        <v>5</v>
      </c>
      <c r="F443" s="364">
        <v>5</v>
      </c>
      <c r="G443" s="364">
        <v>6</v>
      </c>
      <c r="H443" s="364">
        <v>7</v>
      </c>
      <c r="I443" s="365">
        <v>7</v>
      </c>
      <c r="J443" s="364">
        <v>7</v>
      </c>
      <c r="K443" s="364">
        <v>8</v>
      </c>
      <c r="L443" s="364">
        <v>8</v>
      </c>
      <c r="M443" s="364">
        <v>9</v>
      </c>
      <c r="N443" s="364">
        <v>9</v>
      </c>
      <c r="O443" s="364">
        <v>10</v>
      </c>
      <c r="P443" s="364">
        <v>11</v>
      </c>
      <c r="Q443" s="364">
        <v>12</v>
      </c>
      <c r="R443" s="364">
        <v>16</v>
      </c>
      <c r="S443" s="364">
        <v>17</v>
      </c>
      <c r="T443" s="364">
        <v>17</v>
      </c>
    </row>
    <row r="444" spans="1:20" s="363" customFormat="1">
      <c r="A444" s="363" t="s">
        <v>308</v>
      </c>
      <c r="B444" s="364">
        <v>20</v>
      </c>
      <c r="C444" s="364">
        <v>20</v>
      </c>
      <c r="D444" s="364">
        <v>21</v>
      </c>
      <c r="E444" s="364">
        <v>21</v>
      </c>
      <c r="F444" s="364">
        <v>22</v>
      </c>
      <c r="G444" s="364">
        <v>22</v>
      </c>
      <c r="H444" s="364">
        <v>23</v>
      </c>
      <c r="I444" s="365">
        <v>23</v>
      </c>
      <c r="J444" s="364">
        <v>23</v>
      </c>
      <c r="K444" s="364">
        <v>23</v>
      </c>
      <c r="L444" s="364">
        <v>23</v>
      </c>
      <c r="M444" s="364">
        <v>24</v>
      </c>
      <c r="N444" s="364">
        <v>24</v>
      </c>
      <c r="O444" s="364">
        <v>24</v>
      </c>
      <c r="P444" s="364">
        <v>24</v>
      </c>
      <c r="Q444" s="364">
        <v>24</v>
      </c>
      <c r="R444" s="364">
        <v>24</v>
      </c>
      <c r="S444" s="364">
        <v>24</v>
      </c>
      <c r="T444" s="364">
        <v>24</v>
      </c>
    </row>
    <row r="445" spans="1:20" s="363" customFormat="1">
      <c r="A445" s="363" t="s">
        <v>311</v>
      </c>
      <c r="B445" s="364">
        <v>1</v>
      </c>
      <c r="C445" s="364">
        <v>1</v>
      </c>
      <c r="D445" s="364">
        <v>1</v>
      </c>
      <c r="E445" s="364">
        <v>1</v>
      </c>
      <c r="F445" s="364">
        <v>1</v>
      </c>
      <c r="G445" s="364">
        <v>1</v>
      </c>
      <c r="H445" s="364">
        <v>1</v>
      </c>
      <c r="I445" s="365">
        <v>1</v>
      </c>
      <c r="J445" s="364">
        <v>1</v>
      </c>
      <c r="K445" s="364">
        <v>1</v>
      </c>
      <c r="L445" s="364">
        <v>1</v>
      </c>
      <c r="M445" s="364">
        <v>1</v>
      </c>
      <c r="N445" s="364">
        <v>1</v>
      </c>
      <c r="O445" s="364">
        <v>1</v>
      </c>
      <c r="P445" s="364">
        <v>1</v>
      </c>
      <c r="Q445" s="364">
        <v>1</v>
      </c>
      <c r="R445" s="364">
        <v>2</v>
      </c>
      <c r="S445" s="364">
        <v>2</v>
      </c>
      <c r="T445" s="364">
        <v>2</v>
      </c>
    </row>
    <row r="446" spans="1:20" s="363" customFormat="1">
      <c r="A446" s="363" t="s">
        <v>310</v>
      </c>
      <c r="B446" s="364">
        <v>1</v>
      </c>
      <c r="C446" s="364">
        <v>1</v>
      </c>
      <c r="D446" s="364">
        <v>1</v>
      </c>
      <c r="E446" s="364">
        <v>1</v>
      </c>
      <c r="F446" s="364">
        <v>1</v>
      </c>
      <c r="G446" s="364">
        <v>1</v>
      </c>
      <c r="H446" s="364">
        <v>1</v>
      </c>
      <c r="I446" s="365">
        <v>1</v>
      </c>
      <c r="J446" s="364">
        <v>1</v>
      </c>
      <c r="K446" s="364">
        <v>1</v>
      </c>
      <c r="L446" s="364">
        <v>1</v>
      </c>
      <c r="M446" s="364">
        <v>1</v>
      </c>
      <c r="N446" s="364">
        <v>1</v>
      </c>
      <c r="O446" s="364">
        <v>1</v>
      </c>
      <c r="P446" s="364">
        <v>1</v>
      </c>
      <c r="Q446" s="364">
        <v>1</v>
      </c>
      <c r="R446" s="364">
        <v>2</v>
      </c>
      <c r="S446" s="364">
        <v>2</v>
      </c>
      <c r="T446" s="364">
        <v>2</v>
      </c>
    </row>
    <row r="447" spans="1:20" s="363" customFormat="1">
      <c r="A447" s="363" t="s">
        <v>302</v>
      </c>
      <c r="B447" s="364">
        <v>0</v>
      </c>
      <c r="C447" s="364">
        <v>0</v>
      </c>
      <c r="D447" s="364">
        <v>0</v>
      </c>
      <c r="E447" s="364">
        <v>1</v>
      </c>
      <c r="F447" s="364">
        <v>1</v>
      </c>
      <c r="G447" s="364">
        <v>1</v>
      </c>
      <c r="H447" s="364">
        <v>1</v>
      </c>
      <c r="I447" s="365">
        <v>1</v>
      </c>
      <c r="J447" s="364">
        <v>1</v>
      </c>
      <c r="K447" s="364">
        <v>1</v>
      </c>
      <c r="L447" s="364">
        <v>1</v>
      </c>
      <c r="M447" s="364">
        <v>1</v>
      </c>
      <c r="N447" s="364">
        <v>1</v>
      </c>
      <c r="O447" s="364">
        <v>1</v>
      </c>
      <c r="P447" s="364">
        <v>1</v>
      </c>
      <c r="Q447" s="364">
        <v>1</v>
      </c>
      <c r="R447" s="364">
        <v>1</v>
      </c>
      <c r="S447" s="364">
        <v>1</v>
      </c>
      <c r="T447" s="364">
        <v>2</v>
      </c>
    </row>
    <row r="448" spans="1:20" s="363" customFormat="1">
      <c r="A448" s="363" t="s">
        <v>305</v>
      </c>
      <c r="B448" s="364">
        <v>1</v>
      </c>
      <c r="C448" s="364">
        <v>1</v>
      </c>
      <c r="D448" s="364">
        <v>1</v>
      </c>
      <c r="E448" s="364">
        <v>2</v>
      </c>
      <c r="F448" s="364">
        <v>2</v>
      </c>
      <c r="G448" s="364">
        <v>2</v>
      </c>
      <c r="H448" s="364">
        <v>2</v>
      </c>
      <c r="I448" s="365">
        <v>2</v>
      </c>
      <c r="J448" s="364">
        <v>3</v>
      </c>
      <c r="K448" s="364">
        <v>3</v>
      </c>
      <c r="L448" s="364">
        <v>3</v>
      </c>
      <c r="M448" s="364">
        <v>3</v>
      </c>
      <c r="N448" s="364">
        <v>4</v>
      </c>
      <c r="O448" s="364">
        <v>4</v>
      </c>
      <c r="P448" s="364">
        <v>4</v>
      </c>
      <c r="Q448" s="364">
        <v>5</v>
      </c>
      <c r="R448" s="364">
        <v>5</v>
      </c>
      <c r="S448" s="364">
        <v>5</v>
      </c>
      <c r="T448" s="364">
        <v>6</v>
      </c>
    </row>
    <row r="449" spans="1:20" s="363" customFormat="1">
      <c r="A449" s="363" t="s">
        <v>303</v>
      </c>
      <c r="B449" s="364">
        <v>2</v>
      </c>
      <c r="C449" s="364">
        <v>2</v>
      </c>
      <c r="D449" s="364">
        <v>2</v>
      </c>
      <c r="E449" s="364">
        <v>2</v>
      </c>
      <c r="F449" s="364">
        <v>2</v>
      </c>
      <c r="G449" s="364">
        <v>3</v>
      </c>
      <c r="H449" s="364">
        <v>3</v>
      </c>
      <c r="I449" s="365">
        <v>3</v>
      </c>
      <c r="J449" s="364">
        <v>3</v>
      </c>
      <c r="K449" s="364">
        <v>4</v>
      </c>
      <c r="L449" s="364">
        <v>4</v>
      </c>
      <c r="M449" s="364">
        <v>4</v>
      </c>
      <c r="N449" s="364">
        <v>5</v>
      </c>
      <c r="O449" s="364">
        <v>5</v>
      </c>
      <c r="P449" s="364">
        <v>5</v>
      </c>
      <c r="Q449" s="364">
        <v>6</v>
      </c>
      <c r="R449" s="364">
        <v>6</v>
      </c>
      <c r="S449" s="364">
        <v>7</v>
      </c>
      <c r="T449" s="364">
        <v>7</v>
      </c>
    </row>
    <row r="450" spans="1:20" s="363" customFormat="1">
      <c r="A450" s="363" t="s">
        <v>304</v>
      </c>
      <c r="B450" s="364">
        <v>2</v>
      </c>
      <c r="C450" s="364">
        <v>2</v>
      </c>
      <c r="D450" s="364">
        <v>2</v>
      </c>
      <c r="E450" s="364">
        <v>2</v>
      </c>
      <c r="F450" s="364">
        <v>2</v>
      </c>
      <c r="G450" s="364">
        <v>3</v>
      </c>
      <c r="H450" s="364">
        <v>3</v>
      </c>
      <c r="I450" s="365">
        <v>3</v>
      </c>
      <c r="J450" s="364">
        <v>3</v>
      </c>
      <c r="K450" s="364">
        <v>4</v>
      </c>
      <c r="L450" s="364">
        <v>4</v>
      </c>
      <c r="M450" s="364">
        <v>4</v>
      </c>
      <c r="N450" s="364">
        <v>5</v>
      </c>
      <c r="O450" s="364">
        <v>5</v>
      </c>
      <c r="P450" s="364">
        <v>5</v>
      </c>
      <c r="Q450" s="364">
        <v>6</v>
      </c>
      <c r="R450" s="364">
        <v>6</v>
      </c>
      <c r="S450" s="364">
        <v>7</v>
      </c>
      <c r="T450" s="364">
        <v>7</v>
      </c>
    </row>
    <row r="451" spans="1:20" s="363" customFormat="1">
      <c r="A451" s="363" t="s">
        <v>434</v>
      </c>
      <c r="B451" s="364">
        <v>2</v>
      </c>
      <c r="C451" s="364">
        <v>2</v>
      </c>
      <c r="D451" s="364">
        <v>3</v>
      </c>
      <c r="E451" s="364">
        <v>3</v>
      </c>
      <c r="F451" s="364">
        <v>3</v>
      </c>
      <c r="G451" s="364">
        <v>3</v>
      </c>
      <c r="H451" s="364">
        <v>3</v>
      </c>
      <c r="I451" s="365">
        <v>3</v>
      </c>
      <c r="J451" s="364">
        <v>4</v>
      </c>
      <c r="K451" s="364">
        <v>4</v>
      </c>
      <c r="L451" s="364">
        <v>4</v>
      </c>
      <c r="M451" s="364">
        <v>4</v>
      </c>
      <c r="N451" s="364">
        <v>4</v>
      </c>
      <c r="O451" s="364">
        <v>5</v>
      </c>
      <c r="P451" s="364">
        <v>5</v>
      </c>
      <c r="Q451" s="364">
        <v>5</v>
      </c>
      <c r="R451" s="364">
        <v>6</v>
      </c>
      <c r="S451" s="364">
        <v>6</v>
      </c>
      <c r="T451" s="364">
        <v>6</v>
      </c>
    </row>
    <row r="452" spans="1:20" s="17" customFormat="1" ht="12.75" customHeight="1">
      <c r="A452" s="16" t="s">
        <v>452</v>
      </c>
      <c r="C452" s="30"/>
      <c r="E452" s="69" t="s">
        <v>417</v>
      </c>
      <c r="G452" s="30"/>
      <c r="I452" s="85"/>
    </row>
    <row r="453" spans="1:20" s="17" customFormat="1" ht="12.75" customHeight="1">
      <c r="A453" s="68" t="s">
        <v>418</v>
      </c>
      <c r="B453" s="64"/>
      <c r="C453" s="64"/>
      <c r="D453" s="30"/>
      <c r="E453" s="68" t="s">
        <v>453</v>
      </c>
      <c r="F453" s="82" t="s">
        <v>440</v>
      </c>
      <c r="G453" s="30"/>
      <c r="I453" s="85"/>
    </row>
    <row r="454" spans="1:20" s="17" customFormat="1">
      <c r="A454" s="68" t="s">
        <v>420</v>
      </c>
      <c r="B454" s="64" t="s">
        <v>454</v>
      </c>
      <c r="C454" s="68" t="s">
        <v>455</v>
      </c>
      <c r="D454" s="64" t="s">
        <v>456</v>
      </c>
      <c r="E454" s="83" t="s">
        <v>457</v>
      </c>
      <c r="G454" s="30"/>
      <c r="I454" s="85"/>
    </row>
    <row r="455" spans="1:20" s="356" customFormat="1">
      <c r="A455" s="356" t="s">
        <v>364</v>
      </c>
      <c r="B455" s="357">
        <v>0.19</v>
      </c>
      <c r="C455" s="356">
        <v>0.28000000000000003</v>
      </c>
      <c r="D455" s="357">
        <v>0.37</v>
      </c>
      <c r="E455" s="367"/>
      <c r="G455" s="357"/>
      <c r="I455" s="360"/>
    </row>
    <row r="456" spans="1:20" s="356" customFormat="1">
      <c r="A456" s="356" t="s">
        <v>4</v>
      </c>
      <c r="B456" s="357">
        <v>0</v>
      </c>
      <c r="C456" s="356">
        <v>0</v>
      </c>
      <c r="D456" s="357">
        <v>0</v>
      </c>
      <c r="E456" s="367"/>
      <c r="G456" s="357"/>
      <c r="I456" s="360"/>
    </row>
    <row r="457" spans="1:20" s="356" customFormat="1">
      <c r="A457" s="356" t="s">
        <v>422</v>
      </c>
      <c r="B457" s="357">
        <v>0.13</v>
      </c>
      <c r="C457" s="356">
        <v>0.2</v>
      </c>
      <c r="D457" s="357">
        <v>0.26</v>
      </c>
      <c r="E457" s="367"/>
      <c r="G457" s="357"/>
      <c r="I457" s="360"/>
    </row>
    <row r="458" spans="1:20" s="356" customFormat="1">
      <c r="A458" s="356" t="s">
        <v>423</v>
      </c>
      <c r="B458" s="357">
        <v>1.58</v>
      </c>
      <c r="C458" s="356">
        <v>2.37</v>
      </c>
      <c r="D458" s="357">
        <v>3.17</v>
      </c>
      <c r="E458" s="367"/>
      <c r="G458" s="357"/>
      <c r="I458" s="360"/>
    </row>
    <row r="459" spans="1:20" s="356" customFormat="1">
      <c r="A459" s="356" t="s">
        <v>424</v>
      </c>
      <c r="B459" s="357">
        <v>1.56</v>
      </c>
      <c r="C459" s="356">
        <v>2.34</v>
      </c>
      <c r="D459" s="357">
        <v>3.13</v>
      </c>
      <c r="E459" s="367"/>
      <c r="G459" s="357"/>
      <c r="I459" s="360"/>
    </row>
    <row r="460" spans="1:20" s="356" customFormat="1">
      <c r="A460" s="356" t="s">
        <v>365</v>
      </c>
      <c r="B460" s="357">
        <v>0.76</v>
      </c>
      <c r="C460" s="356">
        <v>1.1000000000000001</v>
      </c>
      <c r="D460" s="357">
        <v>1.52</v>
      </c>
      <c r="E460" s="367"/>
      <c r="G460" s="357"/>
      <c r="I460" s="360"/>
    </row>
    <row r="461" spans="1:20" s="356" customFormat="1">
      <c r="A461" s="356" t="s">
        <v>1179</v>
      </c>
      <c r="B461" s="357">
        <v>0.03</v>
      </c>
      <c r="C461" s="357">
        <v>0.03</v>
      </c>
      <c r="D461" s="357">
        <v>0.03</v>
      </c>
      <c r="E461" s="367" t="s">
        <v>1180</v>
      </c>
      <c r="G461" s="357"/>
      <c r="I461" s="360"/>
    </row>
    <row r="462" spans="1:20" s="356" customFormat="1">
      <c r="A462" s="356" t="s">
        <v>425</v>
      </c>
      <c r="B462" s="357">
        <v>0.22</v>
      </c>
      <c r="C462" s="356">
        <v>0.22</v>
      </c>
      <c r="D462" s="357">
        <v>0.22</v>
      </c>
      <c r="E462" s="367"/>
      <c r="G462" s="357"/>
      <c r="I462" s="360"/>
    </row>
    <row r="463" spans="1:20" s="356" customFormat="1">
      <c r="A463" s="356" t="s">
        <v>426</v>
      </c>
      <c r="B463" s="357"/>
      <c r="D463" s="357"/>
      <c r="E463" s="367"/>
      <c r="G463" s="357"/>
      <c r="I463" s="360"/>
    </row>
    <row r="464" spans="1:20" s="17" customFormat="1" ht="12.75" customHeight="1">
      <c r="A464" s="16" t="s">
        <v>452</v>
      </c>
      <c r="C464" s="30"/>
      <c r="E464" s="69" t="s">
        <v>427</v>
      </c>
      <c r="G464" s="30"/>
      <c r="I464" s="85"/>
    </row>
    <row r="465" spans="1:21" s="17" customFormat="1" ht="12.75" customHeight="1">
      <c r="A465" s="68" t="s">
        <v>418</v>
      </c>
      <c r="B465" s="64"/>
      <c r="C465" s="64"/>
      <c r="D465" s="30"/>
      <c r="E465" s="68" t="s">
        <v>453</v>
      </c>
      <c r="F465" s="82" t="s">
        <v>440</v>
      </c>
      <c r="G465" s="30"/>
      <c r="I465" s="85"/>
    </row>
    <row r="466" spans="1:21" s="17" customFormat="1">
      <c r="A466" s="68" t="s">
        <v>420</v>
      </c>
      <c r="B466" s="64" t="s">
        <v>454</v>
      </c>
      <c r="C466" s="68" t="s">
        <v>455</v>
      </c>
      <c r="D466" s="64" t="s">
        <v>456</v>
      </c>
      <c r="E466" s="83" t="s">
        <v>457</v>
      </c>
      <c r="G466" s="30"/>
      <c r="I466" s="85"/>
    </row>
    <row r="467" spans="1:21" s="356" customFormat="1">
      <c r="A467" s="356" t="s">
        <v>364</v>
      </c>
      <c r="B467" s="357">
        <v>0.1</v>
      </c>
      <c r="C467" s="356">
        <v>0.15</v>
      </c>
      <c r="D467" s="357">
        <v>0.2</v>
      </c>
      <c r="E467" s="367"/>
      <c r="G467" s="357"/>
      <c r="I467" s="360"/>
    </row>
    <row r="468" spans="1:21" s="356" customFormat="1">
      <c r="A468" s="356" t="s">
        <v>4</v>
      </c>
      <c r="B468" s="357">
        <v>0</v>
      </c>
      <c r="C468" s="356">
        <v>0</v>
      </c>
      <c r="D468" s="357">
        <v>0</v>
      </c>
      <c r="E468" s="367"/>
      <c r="G468" s="357"/>
      <c r="I468" s="360"/>
    </row>
    <row r="469" spans="1:21" s="356" customFormat="1">
      <c r="A469" s="356" t="s">
        <v>422</v>
      </c>
      <c r="B469" s="357">
        <v>0.11</v>
      </c>
      <c r="C469" s="356">
        <v>0.17</v>
      </c>
      <c r="D469" s="357">
        <v>0.22</v>
      </c>
      <c r="E469" s="367"/>
      <c r="G469" s="357"/>
      <c r="I469" s="360"/>
    </row>
    <row r="470" spans="1:21" s="356" customFormat="1">
      <c r="A470" s="356" t="s">
        <v>423</v>
      </c>
      <c r="B470" s="357">
        <v>1.28</v>
      </c>
      <c r="C470" s="356">
        <v>1.92</v>
      </c>
      <c r="D470" s="357">
        <v>2.56</v>
      </c>
      <c r="E470" s="367"/>
      <c r="G470" s="357"/>
      <c r="I470" s="360"/>
    </row>
    <row r="471" spans="1:21" s="356" customFormat="1">
      <c r="A471" s="356" t="s">
        <v>424</v>
      </c>
      <c r="B471" s="357">
        <v>1.0900000000000001</v>
      </c>
      <c r="C471" s="356">
        <v>1.64</v>
      </c>
      <c r="D471" s="357">
        <v>2.19</v>
      </c>
      <c r="E471" s="367"/>
      <c r="G471" s="357"/>
      <c r="I471" s="360"/>
    </row>
    <row r="472" spans="1:21" s="356" customFormat="1">
      <c r="A472" s="356" t="s">
        <v>365</v>
      </c>
      <c r="B472" s="357">
        <v>0.6</v>
      </c>
      <c r="C472" s="356">
        <v>0.9</v>
      </c>
      <c r="D472" s="357">
        <v>1.2</v>
      </c>
      <c r="E472" s="367"/>
      <c r="G472" s="357"/>
      <c r="I472" s="360"/>
    </row>
    <row r="473" spans="1:21" s="356" customFormat="1">
      <c r="A473" s="356" t="s">
        <v>1179</v>
      </c>
      <c r="B473" s="357">
        <v>0.01</v>
      </c>
      <c r="C473" s="356">
        <v>0.02</v>
      </c>
      <c r="D473" s="357">
        <v>0.01</v>
      </c>
      <c r="E473" s="367"/>
      <c r="G473" s="357"/>
      <c r="I473" s="360"/>
    </row>
    <row r="474" spans="1:21" s="356" customFormat="1">
      <c r="A474" s="356" t="s">
        <v>425</v>
      </c>
      <c r="B474" s="357">
        <v>0.22</v>
      </c>
      <c r="C474" s="356">
        <v>0.22</v>
      </c>
      <c r="D474" s="357">
        <v>0.22</v>
      </c>
      <c r="E474" s="367"/>
      <c r="G474" s="357"/>
      <c r="I474" s="360"/>
    </row>
    <row r="475" spans="1:21" s="356" customFormat="1">
      <c r="A475" s="356" t="s">
        <v>426</v>
      </c>
      <c r="B475" s="357"/>
      <c r="D475" s="357"/>
      <c r="E475" s="367"/>
      <c r="G475" s="357"/>
      <c r="I475" s="360"/>
    </row>
    <row r="476" spans="1:21" s="16" customFormat="1">
      <c r="A476" s="16" t="s">
        <v>458</v>
      </c>
      <c r="B476" s="75"/>
      <c r="C476" s="75"/>
      <c r="E476" s="76"/>
      <c r="F476" s="77"/>
      <c r="G476" s="75"/>
      <c r="I476" s="85"/>
    </row>
    <row r="477" spans="1:21" s="68" customFormat="1">
      <c r="B477" s="64"/>
      <c r="C477" s="64"/>
      <c r="E477" s="78" t="s">
        <v>459</v>
      </c>
      <c r="F477" s="82" t="s">
        <v>460</v>
      </c>
      <c r="G477" s="64"/>
      <c r="I477" s="103"/>
    </row>
    <row r="478" spans="1:21" s="68" customFormat="1">
      <c r="B478" s="64"/>
      <c r="C478" s="64"/>
      <c r="E478" s="78"/>
      <c r="F478" s="64"/>
      <c r="G478" s="64"/>
      <c r="I478" s="103"/>
    </row>
    <row r="479" spans="1:21" s="17" customFormat="1">
      <c r="A479" s="17" t="s">
        <v>335</v>
      </c>
      <c r="B479" s="30" t="s">
        <v>461</v>
      </c>
      <c r="C479" s="30" t="s">
        <v>462</v>
      </c>
      <c r="D479" s="30" t="s">
        <v>360</v>
      </c>
      <c r="E479" s="30" t="s">
        <v>362</v>
      </c>
      <c r="F479" s="79" t="s">
        <v>463</v>
      </c>
      <c r="H479" s="30"/>
      <c r="J479" s="85"/>
      <c r="N479" s="30"/>
      <c r="O479" s="79"/>
      <c r="P479" s="30"/>
      <c r="Q479" s="30"/>
      <c r="R479" s="79"/>
      <c r="S479" s="30"/>
      <c r="T479" s="30"/>
      <c r="U479" s="79"/>
    </row>
    <row r="480" spans="1:21" s="63" customFormat="1">
      <c r="A480" s="63" t="str">
        <f>List!A6</f>
        <v>Please select</v>
      </c>
      <c r="B480" s="62"/>
      <c r="C480" s="62"/>
      <c r="D480" s="62"/>
      <c r="E480" s="62"/>
      <c r="F480" s="970"/>
      <c r="H480" s="62"/>
      <c r="J480" s="102"/>
      <c r="N480" s="62"/>
      <c r="O480" s="970"/>
      <c r="P480" s="62"/>
      <c r="Q480" s="62"/>
      <c r="R480" s="970"/>
      <c r="S480" s="62"/>
      <c r="T480" s="62"/>
      <c r="U480" s="970"/>
    </row>
    <row r="481" spans="1:21" s="363" customFormat="1">
      <c r="A481" s="363" t="s">
        <v>309</v>
      </c>
      <c r="B481" s="368">
        <v>0.44</v>
      </c>
      <c r="C481" s="368">
        <v>0.31</v>
      </c>
      <c r="D481" s="368">
        <v>0.32</v>
      </c>
      <c r="E481" s="368">
        <v>0.5</v>
      </c>
      <c r="F481" s="368">
        <v>0.24</v>
      </c>
      <c r="G481" s="364"/>
      <c r="H481" s="364"/>
      <c r="I481" s="364"/>
      <c r="J481" s="365"/>
      <c r="K481" s="364"/>
      <c r="L481" s="364"/>
      <c r="M481" s="364"/>
      <c r="N481" s="364"/>
      <c r="O481" s="364"/>
      <c r="P481" s="364"/>
      <c r="Q481" s="364"/>
      <c r="R481" s="364"/>
      <c r="S481" s="364"/>
      <c r="T481" s="364"/>
      <c r="U481" s="364"/>
    </row>
    <row r="482" spans="1:21" s="363" customFormat="1">
      <c r="A482" s="363" t="s">
        <v>306</v>
      </c>
      <c r="B482" s="368">
        <v>0.48</v>
      </c>
      <c r="C482" s="368">
        <v>0.33</v>
      </c>
      <c r="D482" s="368">
        <v>0.32</v>
      </c>
      <c r="E482" s="368">
        <v>0.68</v>
      </c>
      <c r="F482" s="368">
        <v>0.42</v>
      </c>
      <c r="G482" s="364"/>
      <c r="H482" s="364"/>
      <c r="I482" s="364"/>
      <c r="J482" s="365"/>
      <c r="K482" s="364"/>
      <c r="L482" s="364"/>
      <c r="M482" s="364"/>
      <c r="N482" s="364"/>
      <c r="O482" s="364"/>
      <c r="P482" s="364"/>
      <c r="Q482" s="364"/>
      <c r="R482" s="364"/>
      <c r="S482" s="364"/>
      <c r="T482" s="364"/>
      <c r="U482" s="364"/>
    </row>
    <row r="483" spans="1:21" s="363" customFormat="1">
      <c r="A483" s="363" t="s">
        <v>307</v>
      </c>
      <c r="B483" s="368">
        <v>0.35</v>
      </c>
      <c r="C483" s="368">
        <v>0.35</v>
      </c>
      <c r="D483" s="368">
        <v>0.32</v>
      </c>
      <c r="E483" s="368">
        <v>0.74</v>
      </c>
      <c r="F483" s="368">
        <v>0.46</v>
      </c>
      <c r="G483" s="364"/>
      <c r="H483" s="364"/>
      <c r="I483" s="364"/>
      <c r="J483" s="365"/>
      <c r="K483" s="364"/>
      <c r="L483" s="364"/>
      <c r="M483" s="364"/>
      <c r="N483" s="364"/>
      <c r="O483" s="364"/>
      <c r="P483" s="364"/>
      <c r="Q483" s="364"/>
      <c r="R483" s="364"/>
      <c r="S483" s="364"/>
      <c r="T483" s="364"/>
      <c r="U483" s="364"/>
    </row>
    <row r="484" spans="1:21" s="363" customFormat="1">
      <c r="A484" s="363" t="s">
        <v>308</v>
      </c>
      <c r="B484" s="368">
        <v>0.44</v>
      </c>
      <c r="C484" s="368">
        <v>0.5</v>
      </c>
      <c r="D484" s="368">
        <v>0.32</v>
      </c>
      <c r="E484" s="368">
        <v>0.73</v>
      </c>
      <c r="F484" s="368">
        <v>0.46</v>
      </c>
      <c r="G484" s="364"/>
      <c r="H484" s="364"/>
      <c r="I484" s="364"/>
      <c r="J484" s="365"/>
      <c r="K484" s="364"/>
      <c r="L484" s="364"/>
      <c r="M484" s="364"/>
      <c r="N484" s="364"/>
      <c r="O484" s="364"/>
      <c r="P484" s="364"/>
      <c r="Q484" s="364"/>
      <c r="R484" s="364"/>
      <c r="S484" s="364"/>
      <c r="T484" s="364"/>
      <c r="U484" s="364"/>
    </row>
    <row r="485" spans="1:21" s="363" customFormat="1">
      <c r="A485" s="363" t="s">
        <v>311</v>
      </c>
      <c r="B485" s="368">
        <v>0.48</v>
      </c>
      <c r="C485" s="368">
        <v>0.36</v>
      </c>
      <c r="D485" s="368">
        <v>0.32</v>
      </c>
      <c r="E485" s="368">
        <v>1.64</v>
      </c>
      <c r="F485" s="368">
        <v>0.55000000000000004</v>
      </c>
      <c r="G485" s="364"/>
      <c r="H485" s="364"/>
      <c r="I485" s="364"/>
      <c r="J485" s="365"/>
      <c r="K485" s="364"/>
      <c r="L485" s="364"/>
      <c r="M485" s="364"/>
      <c r="N485" s="364"/>
      <c r="O485" s="364"/>
      <c r="P485" s="364"/>
      <c r="Q485" s="364"/>
      <c r="R485" s="364"/>
      <c r="S485" s="364"/>
      <c r="T485" s="364"/>
      <c r="U485" s="364"/>
    </row>
    <row r="486" spans="1:21" s="363" customFormat="1">
      <c r="A486" s="363" t="s">
        <v>310</v>
      </c>
      <c r="B486" s="368">
        <v>0.48</v>
      </c>
      <c r="C486" s="368">
        <v>0.36</v>
      </c>
      <c r="D486" s="368">
        <v>0.32</v>
      </c>
      <c r="E486" s="368">
        <v>1.64</v>
      </c>
      <c r="F486" s="368">
        <v>0.55000000000000004</v>
      </c>
      <c r="G486" s="364"/>
      <c r="H486" s="364"/>
      <c r="I486" s="364"/>
      <c r="J486" s="365"/>
      <c r="K486" s="364"/>
      <c r="L486" s="364"/>
      <c r="M486" s="364"/>
      <c r="N486" s="364"/>
      <c r="O486" s="364"/>
      <c r="P486" s="364"/>
      <c r="Q486" s="364"/>
      <c r="R486" s="364"/>
      <c r="S486" s="364"/>
      <c r="T486" s="364"/>
      <c r="U486" s="364"/>
    </row>
    <row r="487" spans="1:21" s="363" customFormat="1">
      <c r="A487" s="363" t="s">
        <v>302</v>
      </c>
      <c r="B487" s="368">
        <v>0.6</v>
      </c>
      <c r="C487" s="368">
        <v>0.63</v>
      </c>
      <c r="D487" s="368">
        <v>0.32</v>
      </c>
      <c r="E487" s="368">
        <v>1.64</v>
      </c>
      <c r="F487" s="368">
        <v>0.55000000000000004</v>
      </c>
      <c r="G487" s="364"/>
      <c r="H487" s="364"/>
      <c r="I487" s="364"/>
      <c r="J487" s="365"/>
      <c r="K487" s="364"/>
      <c r="L487" s="364"/>
      <c r="M487" s="364"/>
      <c r="N487" s="364"/>
      <c r="O487" s="364"/>
      <c r="P487" s="364"/>
      <c r="Q487" s="364"/>
      <c r="R487" s="364"/>
      <c r="S487" s="364"/>
      <c r="T487" s="364"/>
      <c r="U487" s="364"/>
    </row>
    <row r="488" spans="1:21" s="363" customFormat="1">
      <c r="A488" s="363" t="s">
        <v>305</v>
      </c>
      <c r="B488" s="368">
        <v>0.7</v>
      </c>
      <c r="C488" s="368">
        <v>0.79</v>
      </c>
      <c r="D488" s="368">
        <v>0.32</v>
      </c>
      <c r="E488" s="368">
        <v>1.64</v>
      </c>
      <c r="F488" s="368">
        <v>0.55000000000000004</v>
      </c>
      <c r="G488" s="364"/>
      <c r="H488" s="364"/>
      <c r="I488" s="364"/>
      <c r="J488" s="365"/>
      <c r="K488" s="364"/>
      <c r="L488" s="364"/>
      <c r="M488" s="364"/>
      <c r="N488" s="364"/>
      <c r="O488" s="364"/>
      <c r="P488" s="364"/>
      <c r="Q488" s="364"/>
      <c r="R488" s="364"/>
      <c r="S488" s="364"/>
      <c r="T488" s="364"/>
      <c r="U488" s="364"/>
    </row>
    <row r="489" spans="1:21" s="363" customFormat="1">
      <c r="A489" s="363" t="s">
        <v>303</v>
      </c>
      <c r="B489" s="368">
        <v>0.47</v>
      </c>
      <c r="C489" s="368">
        <v>0.34</v>
      </c>
      <c r="D489" s="368">
        <v>0.32</v>
      </c>
      <c r="E489" s="368">
        <v>0.5</v>
      </c>
      <c r="F489" s="368">
        <v>0.24</v>
      </c>
      <c r="G489" s="364"/>
      <c r="H489" s="364"/>
      <c r="I489" s="364"/>
      <c r="J489" s="365"/>
      <c r="K489" s="364"/>
      <c r="L489" s="364"/>
      <c r="M489" s="364"/>
      <c r="N489" s="364"/>
      <c r="O489" s="364"/>
      <c r="P489" s="364"/>
      <c r="Q489" s="364"/>
      <c r="R489" s="364"/>
      <c r="S489" s="364"/>
      <c r="T489" s="364"/>
      <c r="U489" s="364"/>
    </row>
    <row r="490" spans="1:21" s="363" customFormat="1">
      <c r="A490" s="363" t="s">
        <v>304</v>
      </c>
      <c r="B490" s="368">
        <v>0.47</v>
      </c>
      <c r="C490" s="368">
        <v>0.34</v>
      </c>
      <c r="D490" s="368">
        <v>0.32</v>
      </c>
      <c r="E490" s="368">
        <v>0.5</v>
      </c>
      <c r="F490" s="368">
        <v>0.24</v>
      </c>
      <c r="G490" s="364"/>
      <c r="H490" s="364"/>
      <c r="I490" s="364"/>
      <c r="J490" s="365"/>
      <c r="K490" s="364"/>
      <c r="L490" s="364"/>
      <c r="M490" s="364"/>
      <c r="N490" s="364"/>
      <c r="O490" s="364"/>
      <c r="P490" s="364"/>
      <c r="Q490" s="364"/>
      <c r="R490" s="364"/>
      <c r="S490" s="364"/>
      <c r="T490" s="364"/>
      <c r="U490" s="364"/>
    </row>
    <row r="491" spans="1:21" s="363" customFormat="1">
      <c r="A491" s="363" t="s">
        <v>434</v>
      </c>
      <c r="B491" s="368">
        <v>0.47</v>
      </c>
      <c r="C491" s="368">
        <v>0.34</v>
      </c>
      <c r="D491" s="368">
        <v>0.32</v>
      </c>
      <c r="E491" s="368">
        <v>0.5</v>
      </c>
      <c r="F491" s="368">
        <v>0.24</v>
      </c>
      <c r="G491" s="364"/>
      <c r="H491" s="364"/>
      <c r="I491" s="364"/>
      <c r="J491" s="365"/>
      <c r="K491" s="364"/>
      <c r="L491" s="364"/>
      <c r="M491" s="364"/>
      <c r="N491" s="364"/>
      <c r="O491" s="364"/>
      <c r="P491" s="364"/>
      <c r="Q491" s="364"/>
      <c r="R491" s="364"/>
      <c r="S491" s="364"/>
      <c r="T491" s="364"/>
      <c r="U491" s="364"/>
    </row>
    <row r="492" spans="1:21" s="16" customFormat="1">
      <c r="A492" s="16" t="s">
        <v>464</v>
      </c>
      <c r="B492" s="75"/>
      <c r="C492" s="75"/>
      <c r="E492" s="76"/>
      <c r="F492" s="77"/>
      <c r="G492" s="75"/>
      <c r="I492" s="85"/>
    </row>
    <row r="493" spans="1:21" s="68" customFormat="1">
      <c r="B493" s="64"/>
      <c r="C493" s="64"/>
      <c r="E493" s="78" t="s">
        <v>465</v>
      </c>
      <c r="F493" s="82" t="s">
        <v>466</v>
      </c>
      <c r="G493" s="64"/>
      <c r="I493" s="103"/>
    </row>
    <row r="494" spans="1:21" s="68" customFormat="1">
      <c r="B494" s="64"/>
      <c r="C494" s="64"/>
      <c r="E494" s="78"/>
      <c r="F494" s="64"/>
      <c r="G494" s="64"/>
      <c r="I494" s="103"/>
    </row>
    <row r="495" spans="1:21" s="17" customFormat="1">
      <c r="A495" s="17" t="s">
        <v>335</v>
      </c>
      <c r="B495" s="30" t="s">
        <v>461</v>
      </c>
      <c r="C495" s="30" t="s">
        <v>462</v>
      </c>
      <c r="D495" s="30" t="s">
        <v>360</v>
      </c>
      <c r="E495" s="30" t="s">
        <v>362</v>
      </c>
      <c r="F495" s="79" t="s">
        <v>463</v>
      </c>
      <c r="H495" s="30"/>
      <c r="J495" s="85"/>
      <c r="N495" s="30"/>
      <c r="O495" s="79"/>
      <c r="P495" s="30"/>
      <c r="Q495" s="30"/>
      <c r="R495" s="79"/>
      <c r="S495" s="30"/>
      <c r="T495" s="30"/>
      <c r="U495" s="79"/>
    </row>
    <row r="496" spans="1:21" s="63" customFormat="1">
      <c r="A496" s="63" t="str">
        <f>List!A6</f>
        <v>Please select</v>
      </c>
      <c r="B496" s="62"/>
      <c r="C496" s="62"/>
      <c r="D496" s="62"/>
      <c r="E496" s="62"/>
      <c r="F496" s="970"/>
      <c r="H496" s="62"/>
      <c r="J496" s="102"/>
      <c r="N496" s="62"/>
      <c r="O496" s="970"/>
      <c r="P496" s="62"/>
      <c r="Q496" s="62"/>
      <c r="R496" s="970"/>
      <c r="S496" s="62"/>
      <c r="T496" s="62"/>
      <c r="U496" s="970"/>
    </row>
    <row r="497" spans="1:21" s="363" customFormat="1">
      <c r="A497" s="363" t="s">
        <v>309</v>
      </c>
      <c r="B497" s="364">
        <v>604</v>
      </c>
      <c r="C497" s="364">
        <v>389</v>
      </c>
      <c r="D497" s="364">
        <v>380</v>
      </c>
      <c r="E497" s="364">
        <v>46</v>
      </c>
      <c r="F497" s="364">
        <v>198</v>
      </c>
      <c r="G497" s="364"/>
      <c r="H497" s="364"/>
      <c r="I497" s="364"/>
      <c r="J497" s="365"/>
      <c r="K497" s="364"/>
      <c r="L497" s="364"/>
      <c r="M497" s="364"/>
      <c r="N497" s="364"/>
      <c r="O497" s="364"/>
      <c r="P497" s="364"/>
      <c r="Q497" s="364"/>
      <c r="R497" s="364"/>
      <c r="S497" s="364"/>
      <c r="T497" s="364"/>
      <c r="U497" s="364"/>
    </row>
    <row r="498" spans="1:21" s="363" customFormat="1">
      <c r="A498" s="363" t="s">
        <v>306</v>
      </c>
      <c r="B498" s="364">
        <v>600</v>
      </c>
      <c r="C498" s="364">
        <v>420</v>
      </c>
      <c r="D498" s="364">
        <v>380</v>
      </c>
      <c r="E498" s="364">
        <v>50</v>
      </c>
      <c r="F498" s="364">
        <v>198</v>
      </c>
      <c r="G498" s="364"/>
      <c r="H498" s="364"/>
      <c r="I498" s="364"/>
      <c r="J498" s="365"/>
      <c r="K498" s="364"/>
      <c r="L498" s="364"/>
      <c r="M498" s="364"/>
      <c r="N498" s="364"/>
      <c r="O498" s="364"/>
      <c r="P498" s="364"/>
      <c r="Q498" s="364"/>
      <c r="R498" s="364"/>
      <c r="S498" s="364"/>
      <c r="T498" s="364"/>
      <c r="U498" s="364"/>
    </row>
    <row r="499" spans="1:21" s="363" customFormat="1">
      <c r="A499" s="363" t="s">
        <v>307</v>
      </c>
      <c r="B499" s="364">
        <v>550</v>
      </c>
      <c r="C499" s="364">
        <v>391</v>
      </c>
      <c r="D499" s="364">
        <v>380</v>
      </c>
      <c r="E499" s="364">
        <v>50</v>
      </c>
      <c r="F499" s="364">
        <v>180</v>
      </c>
      <c r="G499" s="364"/>
      <c r="H499" s="364"/>
      <c r="I499" s="364"/>
      <c r="J499" s="365"/>
      <c r="K499" s="364"/>
      <c r="L499" s="364"/>
      <c r="M499" s="364"/>
      <c r="N499" s="364"/>
      <c r="O499" s="364"/>
      <c r="P499" s="364"/>
      <c r="Q499" s="364"/>
      <c r="R499" s="364"/>
      <c r="S499" s="364"/>
      <c r="T499" s="364"/>
      <c r="U499" s="364"/>
    </row>
    <row r="500" spans="1:21" s="363" customFormat="1">
      <c r="A500" s="363" t="s">
        <v>308</v>
      </c>
      <c r="B500" s="364">
        <v>500</v>
      </c>
      <c r="C500" s="364">
        <v>330</v>
      </c>
      <c r="D500" s="364">
        <v>380</v>
      </c>
      <c r="E500" s="364">
        <v>45</v>
      </c>
      <c r="F500" s="364">
        <v>180</v>
      </c>
      <c r="G500" s="364"/>
      <c r="H500" s="364"/>
      <c r="I500" s="364"/>
      <c r="J500" s="365"/>
      <c r="K500" s="364"/>
      <c r="L500" s="364"/>
      <c r="M500" s="364"/>
      <c r="N500" s="364"/>
      <c r="O500" s="364"/>
      <c r="P500" s="364"/>
      <c r="Q500" s="364"/>
      <c r="R500" s="364"/>
      <c r="S500" s="364"/>
      <c r="T500" s="364"/>
      <c r="U500" s="364"/>
    </row>
    <row r="501" spans="1:21" s="363" customFormat="1">
      <c r="A501" s="363" t="s">
        <v>311</v>
      </c>
      <c r="B501" s="364">
        <v>400</v>
      </c>
      <c r="C501" s="364">
        <v>305</v>
      </c>
      <c r="D501" s="364">
        <v>380</v>
      </c>
      <c r="E501" s="364">
        <v>28</v>
      </c>
      <c r="F501" s="364">
        <v>28</v>
      </c>
      <c r="G501" s="364"/>
      <c r="H501" s="364"/>
      <c r="I501" s="364"/>
      <c r="J501" s="365"/>
      <c r="K501" s="364"/>
      <c r="L501" s="364"/>
      <c r="M501" s="364"/>
      <c r="N501" s="364"/>
      <c r="O501" s="364"/>
      <c r="P501" s="364"/>
      <c r="Q501" s="364"/>
      <c r="R501" s="364"/>
      <c r="S501" s="364"/>
      <c r="T501" s="364"/>
      <c r="U501" s="364"/>
    </row>
    <row r="502" spans="1:21" s="363" customFormat="1">
      <c r="A502" s="363" t="s">
        <v>310</v>
      </c>
      <c r="B502" s="364">
        <v>400</v>
      </c>
      <c r="C502" s="364">
        <v>305</v>
      </c>
      <c r="D502" s="364">
        <v>380</v>
      </c>
      <c r="E502" s="364">
        <v>28</v>
      </c>
      <c r="F502" s="364">
        <v>28</v>
      </c>
      <c r="G502" s="364"/>
      <c r="H502" s="364"/>
      <c r="I502" s="364"/>
      <c r="J502" s="365"/>
      <c r="K502" s="364"/>
      <c r="L502" s="364"/>
      <c r="M502" s="364"/>
      <c r="N502" s="364"/>
      <c r="O502" s="364"/>
      <c r="P502" s="364"/>
      <c r="Q502" s="364"/>
      <c r="R502" s="364"/>
      <c r="S502" s="364"/>
      <c r="T502" s="364"/>
      <c r="U502" s="364"/>
    </row>
    <row r="503" spans="1:21" s="363" customFormat="1">
      <c r="A503" s="363" t="s">
        <v>302</v>
      </c>
      <c r="B503" s="364">
        <v>275</v>
      </c>
      <c r="C503" s="364">
        <v>173</v>
      </c>
      <c r="D503" s="364">
        <v>380</v>
      </c>
      <c r="E503" s="364">
        <v>28</v>
      </c>
      <c r="F503" s="364">
        <v>28</v>
      </c>
      <c r="G503" s="364"/>
      <c r="H503" s="364"/>
      <c r="I503" s="364"/>
      <c r="J503" s="365"/>
      <c r="K503" s="364"/>
      <c r="L503" s="364"/>
      <c r="M503" s="364"/>
      <c r="N503" s="364"/>
      <c r="O503" s="364"/>
      <c r="P503" s="364"/>
      <c r="Q503" s="364"/>
      <c r="R503" s="364"/>
      <c r="S503" s="364"/>
      <c r="T503" s="364"/>
      <c r="U503" s="364"/>
    </row>
    <row r="504" spans="1:21" s="363" customFormat="1">
      <c r="A504" s="363" t="s">
        <v>305</v>
      </c>
      <c r="B504" s="364">
        <v>275</v>
      </c>
      <c r="C504" s="364">
        <v>173</v>
      </c>
      <c r="D504" s="364">
        <v>380</v>
      </c>
      <c r="E504" s="364">
        <v>28</v>
      </c>
      <c r="F504" s="364">
        <v>28</v>
      </c>
      <c r="G504" s="364"/>
      <c r="H504" s="364"/>
      <c r="I504" s="364"/>
      <c r="J504" s="365"/>
      <c r="K504" s="364"/>
      <c r="L504" s="364"/>
      <c r="M504" s="364"/>
      <c r="N504" s="364"/>
      <c r="O504" s="364"/>
      <c r="P504" s="364"/>
      <c r="Q504" s="364"/>
      <c r="R504" s="364"/>
      <c r="S504" s="364"/>
      <c r="T504" s="364"/>
      <c r="U504" s="364"/>
    </row>
    <row r="505" spans="1:21" s="363" customFormat="1">
      <c r="A505" s="363" t="s">
        <v>303</v>
      </c>
      <c r="B505" s="364">
        <v>350</v>
      </c>
      <c r="C505" s="364">
        <v>319</v>
      </c>
      <c r="D505" s="364">
        <v>380</v>
      </c>
      <c r="E505" s="364">
        <v>28</v>
      </c>
      <c r="F505" s="364">
        <v>28</v>
      </c>
      <c r="G505" s="364"/>
      <c r="H505" s="364"/>
      <c r="I505" s="364"/>
      <c r="J505" s="365"/>
      <c r="K505" s="364"/>
      <c r="L505" s="364"/>
      <c r="M505" s="364"/>
      <c r="N505" s="364"/>
      <c r="O505" s="364"/>
      <c r="P505" s="364"/>
      <c r="Q505" s="364"/>
      <c r="R505" s="364"/>
      <c r="S505" s="364"/>
      <c r="T505" s="364"/>
      <c r="U505" s="364"/>
    </row>
    <row r="506" spans="1:21" s="363" customFormat="1">
      <c r="A506" s="363" t="s">
        <v>304</v>
      </c>
      <c r="B506" s="364">
        <v>350</v>
      </c>
      <c r="C506" s="364">
        <v>319</v>
      </c>
      <c r="D506" s="364">
        <v>380</v>
      </c>
      <c r="E506" s="364">
        <v>28</v>
      </c>
      <c r="F506" s="364">
        <v>28</v>
      </c>
      <c r="G506" s="364"/>
      <c r="H506" s="364"/>
      <c r="I506" s="364"/>
      <c r="J506" s="365"/>
      <c r="K506" s="364"/>
      <c r="L506" s="364"/>
      <c r="M506" s="364"/>
      <c r="N506" s="364"/>
      <c r="O506" s="364"/>
      <c r="P506" s="364"/>
      <c r="Q506" s="364"/>
      <c r="R506" s="364"/>
      <c r="S506" s="364"/>
      <c r="T506" s="364"/>
      <c r="U506" s="364"/>
    </row>
    <row r="507" spans="1:21" s="363" customFormat="1">
      <c r="A507" s="363" t="s">
        <v>434</v>
      </c>
      <c r="B507" s="364">
        <v>275</v>
      </c>
      <c r="C507" s="364">
        <v>110</v>
      </c>
      <c r="D507" s="364">
        <v>295</v>
      </c>
      <c r="E507" s="364">
        <v>28</v>
      </c>
      <c r="F507" s="364">
        <v>28</v>
      </c>
      <c r="G507" s="364"/>
      <c r="H507" s="364"/>
      <c r="I507" s="364"/>
      <c r="J507" s="365"/>
      <c r="K507" s="364"/>
      <c r="L507" s="364"/>
      <c r="M507" s="364"/>
      <c r="N507" s="364"/>
      <c r="O507" s="364"/>
      <c r="P507" s="364"/>
      <c r="Q507" s="364"/>
      <c r="R507" s="364"/>
      <c r="S507" s="364"/>
      <c r="T507" s="364"/>
      <c r="U507" s="364"/>
    </row>
    <row r="508" spans="1:21" s="16" customFormat="1">
      <c r="A508" s="16" t="s">
        <v>458</v>
      </c>
      <c r="B508" s="75"/>
      <c r="C508" s="75"/>
      <c r="E508" s="76"/>
      <c r="F508" s="77"/>
      <c r="G508" s="75"/>
      <c r="I508" s="85"/>
    </row>
    <row r="509" spans="1:21" s="68" customFormat="1">
      <c r="B509" s="64"/>
      <c r="C509" s="64"/>
      <c r="E509" s="78" t="s">
        <v>459</v>
      </c>
      <c r="F509" s="82" t="s">
        <v>460</v>
      </c>
      <c r="G509" s="64"/>
      <c r="I509" s="103"/>
    </row>
    <row r="510" spans="1:21" s="68" customFormat="1">
      <c r="B510" s="64"/>
      <c r="C510" s="64"/>
      <c r="E510" s="78"/>
      <c r="F510" s="64"/>
      <c r="G510" s="64"/>
      <c r="I510" s="103"/>
    </row>
    <row r="511" spans="1:21" s="17" customFormat="1">
      <c r="A511" s="17" t="s">
        <v>335</v>
      </c>
      <c r="B511" s="30" t="s">
        <v>364</v>
      </c>
      <c r="C511" s="30" t="s">
        <v>422</v>
      </c>
      <c r="D511" s="79" t="s">
        <v>423</v>
      </c>
      <c r="E511" s="30" t="s">
        <v>424</v>
      </c>
      <c r="F511" s="30" t="s">
        <v>365</v>
      </c>
      <c r="G511" s="30" t="s">
        <v>1179</v>
      </c>
      <c r="H511" s="79" t="s">
        <v>425</v>
      </c>
      <c r="I511" s="30" t="s">
        <v>426</v>
      </c>
      <c r="J511" s="84"/>
      <c r="K511" s="30"/>
      <c r="L511" s="79"/>
      <c r="M511" s="30"/>
      <c r="N511" s="30"/>
      <c r="O511" s="79"/>
      <c r="P511" s="30"/>
      <c r="Q511" s="30"/>
      <c r="R511" s="79"/>
      <c r="S511" s="30"/>
      <c r="T511" s="30"/>
      <c r="U511" s="79"/>
    </row>
    <row r="512" spans="1:21" s="63" customFormat="1">
      <c r="A512" s="63" t="str">
        <f>List!A6</f>
        <v>Please select</v>
      </c>
      <c r="B512" s="62"/>
      <c r="C512" s="62"/>
      <c r="D512" s="970"/>
      <c r="E512" s="62"/>
      <c r="F512" s="62"/>
      <c r="G512" s="62"/>
      <c r="H512" s="970"/>
      <c r="I512" s="62"/>
      <c r="J512" s="971"/>
      <c r="K512" s="62"/>
      <c r="L512" s="970"/>
      <c r="M512" s="62"/>
      <c r="N512" s="62"/>
      <c r="O512" s="970"/>
      <c r="P512" s="62"/>
      <c r="Q512" s="62"/>
      <c r="R512" s="970"/>
      <c r="S512" s="62"/>
      <c r="T512" s="62"/>
      <c r="U512" s="970"/>
    </row>
    <row r="513" spans="1:21" s="363" customFormat="1">
      <c r="A513" s="363" t="s">
        <v>309</v>
      </c>
      <c r="B513" s="368">
        <v>0.42</v>
      </c>
      <c r="C513" s="368">
        <v>0.45</v>
      </c>
      <c r="D513" s="368">
        <v>0.38</v>
      </c>
      <c r="E513" s="368">
        <v>0.3</v>
      </c>
      <c r="F513" s="368">
        <v>0.3</v>
      </c>
      <c r="G513" s="368">
        <v>0.83</v>
      </c>
      <c r="H513" s="368"/>
      <c r="I513" s="368"/>
      <c r="J513" s="365"/>
      <c r="K513" s="364"/>
      <c r="L513" s="364"/>
      <c r="M513" s="364"/>
      <c r="N513" s="364"/>
      <c r="O513" s="364"/>
      <c r="P513" s="364"/>
      <c r="Q513" s="364"/>
      <c r="R513" s="364"/>
      <c r="S513" s="364"/>
      <c r="T513" s="364"/>
      <c r="U513" s="364"/>
    </row>
    <row r="514" spans="1:21" s="363" customFormat="1">
      <c r="A514" s="363" t="s">
        <v>306</v>
      </c>
      <c r="B514" s="369">
        <v>0.85</v>
      </c>
      <c r="C514" s="368">
        <v>1.28</v>
      </c>
      <c r="D514" s="368">
        <v>0.38</v>
      </c>
      <c r="E514" s="368">
        <v>0.26</v>
      </c>
      <c r="F514" s="368">
        <v>0.26</v>
      </c>
      <c r="G514" s="368">
        <v>0.83</v>
      </c>
      <c r="H514" s="368"/>
      <c r="I514" s="368"/>
      <c r="J514" s="365"/>
      <c r="K514" s="364"/>
      <c r="L514" s="364"/>
      <c r="M514" s="364"/>
      <c r="N514" s="364"/>
      <c r="O514" s="364"/>
      <c r="P514" s="364"/>
      <c r="Q514" s="364"/>
      <c r="R514" s="364"/>
      <c r="S514" s="364"/>
      <c r="T514" s="364"/>
      <c r="U514" s="364"/>
    </row>
    <row r="515" spans="1:21" s="363" customFormat="1">
      <c r="A515" s="363" t="s">
        <v>307</v>
      </c>
      <c r="B515" s="368">
        <v>0.9</v>
      </c>
      <c r="C515" s="368">
        <v>1.28</v>
      </c>
      <c r="D515" s="368">
        <v>0.38</v>
      </c>
      <c r="E515" s="368">
        <v>0.3</v>
      </c>
      <c r="F515" s="368">
        <v>0.3</v>
      </c>
      <c r="G515" s="368">
        <v>0.82</v>
      </c>
      <c r="H515" s="368"/>
      <c r="I515" s="368"/>
      <c r="J515" s="365"/>
      <c r="K515" s="364"/>
      <c r="L515" s="364"/>
      <c r="M515" s="364"/>
      <c r="N515" s="364"/>
      <c r="O515" s="364"/>
      <c r="P515" s="364"/>
      <c r="Q515" s="364"/>
      <c r="R515" s="364"/>
      <c r="S515" s="364"/>
      <c r="T515" s="364"/>
      <c r="U515" s="364"/>
    </row>
    <row r="516" spans="1:21" s="363" customFormat="1">
      <c r="A516" s="363" t="s">
        <v>308</v>
      </c>
      <c r="B516" s="368">
        <v>1.1299999999999999</v>
      </c>
      <c r="C516" s="368">
        <v>1.42</v>
      </c>
      <c r="D516" s="368">
        <v>0.38</v>
      </c>
      <c r="E516" s="368">
        <v>0.3</v>
      </c>
      <c r="F516" s="368">
        <v>0.3</v>
      </c>
      <c r="G516" s="368">
        <v>0.82</v>
      </c>
      <c r="H516" s="368"/>
      <c r="I516" s="368"/>
      <c r="J516" s="365"/>
      <c r="K516" s="364"/>
      <c r="L516" s="364"/>
      <c r="M516" s="364"/>
      <c r="N516" s="364"/>
      <c r="O516" s="364"/>
      <c r="P516" s="364"/>
      <c r="Q516" s="364"/>
      <c r="R516" s="364"/>
      <c r="S516" s="364"/>
      <c r="T516" s="364"/>
      <c r="U516" s="364"/>
    </row>
    <row r="517" spans="1:21" s="363" customFormat="1">
      <c r="A517" s="363" t="s">
        <v>311</v>
      </c>
      <c r="B517" s="368">
        <v>1.17</v>
      </c>
      <c r="C517" s="368">
        <v>1.37</v>
      </c>
      <c r="D517" s="368">
        <v>0.46</v>
      </c>
      <c r="E517" s="368">
        <v>0.46</v>
      </c>
      <c r="F517" s="368">
        <v>0.46</v>
      </c>
      <c r="G517" s="368">
        <v>0.82</v>
      </c>
      <c r="H517" s="368"/>
      <c r="I517" s="368"/>
      <c r="J517" s="365"/>
      <c r="K517" s="364"/>
      <c r="L517" s="364"/>
      <c r="M517" s="364"/>
      <c r="N517" s="364"/>
      <c r="O517" s="364"/>
      <c r="P517" s="364"/>
      <c r="Q517" s="364"/>
      <c r="R517" s="364"/>
      <c r="S517" s="364"/>
      <c r="T517" s="364"/>
      <c r="U517" s="364"/>
    </row>
    <row r="518" spans="1:21" s="363" customFormat="1">
      <c r="A518" s="363" t="s">
        <v>310</v>
      </c>
      <c r="B518" s="368">
        <v>1.17</v>
      </c>
      <c r="C518" s="368">
        <v>1.37</v>
      </c>
      <c r="D518" s="368">
        <v>0.46</v>
      </c>
      <c r="E518" s="368">
        <v>0.46</v>
      </c>
      <c r="F518" s="368">
        <v>0.46</v>
      </c>
      <c r="G518" s="368">
        <v>0.82</v>
      </c>
      <c r="H518" s="368"/>
      <c r="I518" s="368"/>
      <c r="J518" s="385"/>
      <c r="K518" s="364"/>
      <c r="L518" s="364"/>
      <c r="M518" s="364"/>
      <c r="N518" s="364"/>
      <c r="O518" s="364"/>
      <c r="P518" s="364"/>
      <c r="Q518" s="364"/>
      <c r="R518" s="364"/>
      <c r="S518" s="364"/>
      <c r="T518" s="364"/>
      <c r="U518" s="364"/>
    </row>
    <row r="519" spans="1:21" s="363" customFormat="1">
      <c r="A519" s="363" t="s">
        <v>302</v>
      </c>
      <c r="B519" s="368">
        <v>1.17</v>
      </c>
      <c r="C519" s="368">
        <v>1.37</v>
      </c>
      <c r="D519" s="368">
        <v>0.46</v>
      </c>
      <c r="E519" s="368">
        <v>0.46</v>
      </c>
      <c r="F519" s="368">
        <v>0.46</v>
      </c>
      <c r="G519" s="368">
        <v>0.82</v>
      </c>
      <c r="H519" s="368"/>
      <c r="I519" s="368"/>
      <c r="J519" s="365"/>
      <c r="K519" s="364"/>
      <c r="L519" s="364"/>
      <c r="M519" s="364"/>
      <c r="N519" s="364"/>
      <c r="O519" s="364"/>
      <c r="P519" s="364"/>
      <c r="Q519" s="364"/>
      <c r="R519" s="364"/>
      <c r="S519" s="364"/>
      <c r="T519" s="364"/>
      <c r="U519" s="364"/>
    </row>
    <row r="520" spans="1:21" s="363" customFormat="1">
      <c r="A520" s="363" t="s">
        <v>305</v>
      </c>
      <c r="B520" s="368">
        <v>1.17</v>
      </c>
      <c r="C520" s="368">
        <v>1.37</v>
      </c>
      <c r="D520" s="368">
        <v>0.46</v>
      </c>
      <c r="E520" s="368">
        <v>0.46</v>
      </c>
      <c r="F520" s="368">
        <v>0.46</v>
      </c>
      <c r="G520" s="368">
        <v>0.82</v>
      </c>
      <c r="H520" s="368"/>
      <c r="I520" s="368"/>
      <c r="J520" s="365"/>
      <c r="K520" s="364"/>
      <c r="L520" s="364"/>
      <c r="M520" s="364"/>
      <c r="N520" s="364"/>
      <c r="O520" s="364"/>
      <c r="P520" s="364"/>
      <c r="Q520" s="364"/>
      <c r="R520" s="364"/>
      <c r="S520" s="364"/>
      <c r="T520" s="364"/>
      <c r="U520" s="364"/>
    </row>
    <row r="521" spans="1:21" s="363" customFormat="1">
      <c r="A521" s="363" t="s">
        <v>303</v>
      </c>
      <c r="B521" s="368">
        <v>1.17</v>
      </c>
      <c r="C521" s="368">
        <v>1.37</v>
      </c>
      <c r="D521" s="368">
        <v>0.46</v>
      </c>
      <c r="E521" s="368">
        <v>0.46</v>
      </c>
      <c r="F521" s="368">
        <v>0.46</v>
      </c>
      <c r="G521" s="368">
        <v>0.82</v>
      </c>
      <c r="H521" s="368"/>
      <c r="I521" s="368"/>
      <c r="J521" s="365"/>
      <c r="K521" s="364"/>
      <c r="L521" s="364"/>
      <c r="M521" s="364"/>
      <c r="N521" s="364"/>
      <c r="O521" s="364"/>
      <c r="P521" s="364"/>
      <c r="Q521" s="364"/>
      <c r="R521" s="364"/>
      <c r="S521" s="364"/>
      <c r="T521" s="364"/>
      <c r="U521" s="364"/>
    </row>
    <row r="522" spans="1:21" s="363" customFormat="1">
      <c r="A522" s="363" t="s">
        <v>304</v>
      </c>
      <c r="B522" s="368">
        <v>1.17</v>
      </c>
      <c r="C522" s="368">
        <v>1.37</v>
      </c>
      <c r="D522" s="368">
        <v>0.46</v>
      </c>
      <c r="E522" s="368">
        <v>0.46</v>
      </c>
      <c r="F522" s="368">
        <v>0.46</v>
      </c>
      <c r="G522" s="368">
        <v>0.82</v>
      </c>
      <c r="H522" s="368"/>
      <c r="I522" s="368"/>
      <c r="J522" s="365"/>
      <c r="K522" s="364"/>
      <c r="L522" s="364"/>
      <c r="M522" s="364"/>
      <c r="N522" s="364"/>
      <c r="O522" s="364"/>
      <c r="P522" s="364"/>
      <c r="Q522" s="364"/>
      <c r="R522" s="364"/>
      <c r="S522" s="364"/>
      <c r="T522" s="364"/>
      <c r="U522" s="364"/>
    </row>
    <row r="523" spans="1:21" s="363" customFormat="1">
      <c r="A523" s="363" t="s">
        <v>434</v>
      </c>
      <c r="B523" s="368">
        <v>1.17</v>
      </c>
      <c r="C523" s="368">
        <v>1.37</v>
      </c>
      <c r="D523" s="368">
        <v>0.46</v>
      </c>
      <c r="E523" s="368">
        <v>0.46</v>
      </c>
      <c r="F523" s="368">
        <v>0.46</v>
      </c>
      <c r="G523" s="368">
        <v>0.82</v>
      </c>
      <c r="H523" s="368"/>
      <c r="I523" s="368"/>
      <c r="J523" s="365"/>
      <c r="K523" s="364"/>
      <c r="L523" s="364"/>
      <c r="M523" s="364"/>
      <c r="N523" s="364"/>
      <c r="O523" s="364"/>
      <c r="P523" s="364"/>
      <c r="Q523" s="364"/>
      <c r="R523" s="364"/>
      <c r="S523" s="364"/>
      <c r="T523" s="364"/>
      <c r="U523" s="364"/>
    </row>
    <row r="524" spans="1:21" s="16" customFormat="1">
      <c r="A524" s="16" t="s">
        <v>464</v>
      </c>
      <c r="B524" s="75"/>
      <c r="C524" s="75"/>
      <c r="E524" s="76"/>
      <c r="F524" s="77"/>
      <c r="G524" s="77"/>
      <c r="H524" s="75"/>
      <c r="J524" s="85"/>
    </row>
    <row r="525" spans="1:21" s="68" customFormat="1">
      <c r="B525" s="64"/>
      <c r="C525" s="64"/>
      <c r="E525" s="78" t="s">
        <v>465</v>
      </c>
      <c r="F525" s="82" t="s">
        <v>466</v>
      </c>
      <c r="G525" s="82"/>
      <c r="H525" s="83" t="s">
        <v>1181</v>
      </c>
      <c r="J525" s="103"/>
    </row>
    <row r="526" spans="1:21" s="68" customFormat="1">
      <c r="B526" s="64"/>
      <c r="C526" s="64"/>
      <c r="E526" s="78"/>
      <c r="F526" s="64"/>
      <c r="G526" s="64"/>
      <c r="H526" s="64"/>
      <c r="J526" s="103"/>
    </row>
    <row r="527" spans="1:21" s="17" customFormat="1">
      <c r="A527" s="17" t="s">
        <v>335</v>
      </c>
      <c r="B527" s="30" t="s">
        <v>364</v>
      </c>
      <c r="C527" s="30" t="s">
        <v>422</v>
      </c>
      <c r="D527" s="79" t="s">
        <v>423</v>
      </c>
      <c r="E527" s="30" t="s">
        <v>424</v>
      </c>
      <c r="F527" s="30" t="s">
        <v>365</v>
      </c>
      <c r="G527" s="30" t="s">
        <v>1179</v>
      </c>
      <c r="H527" s="79" t="s">
        <v>425</v>
      </c>
      <c r="I527" s="30" t="s">
        <v>426</v>
      </c>
      <c r="J527" s="85" t="s">
        <v>7</v>
      </c>
      <c r="N527" s="30"/>
      <c r="O527" s="79"/>
      <c r="P527" s="30"/>
      <c r="Q527" s="30"/>
      <c r="R527" s="79"/>
      <c r="S527" s="30"/>
      <c r="T527" s="30"/>
      <c r="U527" s="79"/>
    </row>
    <row r="528" spans="1:21" s="63" customFormat="1">
      <c r="A528" s="63" t="str">
        <f>List!A30</f>
        <v>Not specified</v>
      </c>
      <c r="B528" s="970">
        <f>AVERAGE(B529:B530)</f>
        <v>38.25</v>
      </c>
      <c r="C528" s="970">
        <f t="shared" ref="C528:G528" si="10">AVERAGE(C529:C530)</f>
        <v>34.25</v>
      </c>
      <c r="D528" s="970">
        <f t="shared" si="10"/>
        <v>217</v>
      </c>
      <c r="E528" s="970">
        <f t="shared" si="10"/>
        <v>307.5</v>
      </c>
      <c r="F528" s="970">
        <f t="shared" si="10"/>
        <v>130</v>
      </c>
      <c r="G528" s="970">
        <f t="shared" si="10"/>
        <v>1.4</v>
      </c>
      <c r="H528" s="970">
        <f>(H529+H530)/2</f>
        <v>0</v>
      </c>
      <c r="I528" s="970">
        <f>(I529+I530)/2</f>
        <v>0</v>
      </c>
      <c r="J528" s="102">
        <v>0</v>
      </c>
      <c r="N528" s="62"/>
      <c r="O528" s="970"/>
      <c r="P528" s="62"/>
      <c r="Q528" s="62"/>
      <c r="R528" s="970"/>
      <c r="S528" s="62"/>
      <c r="T528" s="62"/>
      <c r="U528" s="970"/>
    </row>
    <row r="529" spans="1:21" s="363" customFormat="1">
      <c r="A529" s="363" t="s">
        <v>328</v>
      </c>
      <c r="B529" s="364">
        <v>48.5</v>
      </c>
      <c r="C529" s="364">
        <v>38.5</v>
      </c>
      <c r="D529" s="364">
        <v>217</v>
      </c>
      <c r="E529" s="364">
        <v>377</v>
      </c>
      <c r="F529" s="364">
        <v>130</v>
      </c>
      <c r="G529" s="364">
        <v>1.8</v>
      </c>
      <c r="H529" s="368"/>
      <c r="I529" s="368"/>
      <c r="J529" s="365"/>
      <c r="K529" s="364"/>
      <c r="L529" s="364"/>
      <c r="M529" s="364"/>
      <c r="N529" s="364"/>
      <c r="O529" s="364"/>
      <c r="P529" s="364"/>
      <c r="Q529" s="364"/>
      <c r="R529" s="364"/>
      <c r="S529" s="364"/>
      <c r="T529" s="364"/>
      <c r="U529" s="364"/>
    </row>
    <row r="530" spans="1:21" s="363" customFormat="1">
      <c r="A530" s="363" t="s">
        <v>329</v>
      </c>
      <c r="B530" s="364">
        <v>28</v>
      </c>
      <c r="C530" s="364">
        <v>30</v>
      </c>
      <c r="D530" s="364">
        <v>217</v>
      </c>
      <c r="E530" s="364">
        <v>238</v>
      </c>
      <c r="F530" s="364">
        <v>130</v>
      </c>
      <c r="G530" s="364">
        <v>1</v>
      </c>
      <c r="H530" s="368"/>
      <c r="I530" s="368"/>
      <c r="J530" s="365"/>
      <c r="K530" s="364"/>
      <c r="L530" s="364"/>
      <c r="M530" s="364"/>
      <c r="N530" s="364"/>
      <c r="O530" s="364"/>
      <c r="P530" s="364"/>
      <c r="Q530" s="364"/>
      <c r="R530" s="364"/>
      <c r="S530" s="364"/>
      <c r="T530" s="364"/>
      <c r="U530" s="364"/>
    </row>
    <row r="531" spans="1:21" s="16" customFormat="1">
      <c r="A531" s="16" t="s">
        <v>1182</v>
      </c>
      <c r="B531" s="75"/>
      <c r="C531" s="75"/>
      <c r="E531" s="76"/>
      <c r="F531" s="77"/>
      <c r="G531" s="77" t="s">
        <v>1201</v>
      </c>
      <c r="H531" s="75"/>
      <c r="J531" s="85"/>
    </row>
    <row r="532" spans="1:21" s="68" customFormat="1">
      <c r="B532" s="64"/>
      <c r="C532" s="64"/>
      <c r="E532" s="78" t="s">
        <v>1183</v>
      </c>
      <c r="F532" s="82"/>
      <c r="G532" s="82"/>
      <c r="H532" s="64"/>
      <c r="J532" s="103"/>
    </row>
    <row r="533" spans="1:21" s="17" customFormat="1">
      <c r="A533" s="17" t="s">
        <v>951</v>
      </c>
      <c r="B533" s="30" t="s">
        <v>461</v>
      </c>
      <c r="C533" s="30" t="s">
        <v>462</v>
      </c>
      <c r="D533" s="30" t="s">
        <v>360</v>
      </c>
      <c r="E533" s="30" t="s">
        <v>362</v>
      </c>
      <c r="F533" s="79" t="s">
        <v>463</v>
      </c>
      <c r="G533" s="30" t="s">
        <v>364</v>
      </c>
      <c r="H533" s="30" t="s">
        <v>422</v>
      </c>
      <c r="I533" s="79" t="s">
        <v>423</v>
      </c>
      <c r="J533" s="30" t="s">
        <v>424</v>
      </c>
      <c r="K533" s="30" t="s">
        <v>365</v>
      </c>
      <c r="L533" s="30" t="s">
        <v>1179</v>
      </c>
      <c r="M533" s="79" t="s">
        <v>425</v>
      </c>
      <c r="N533" s="30" t="s">
        <v>426</v>
      </c>
      <c r="O533" s="79"/>
      <c r="P533" s="30"/>
      <c r="Q533" s="30"/>
      <c r="R533" s="79"/>
      <c r="S533" s="30"/>
      <c r="T533" s="30"/>
      <c r="U533" s="79"/>
    </row>
    <row r="534" spans="1:21" s="361" customFormat="1">
      <c r="A534" s="361" t="s">
        <v>1184</v>
      </c>
      <c r="B534" s="362">
        <v>0.01</v>
      </c>
      <c r="C534" s="362">
        <v>0.01</v>
      </c>
      <c r="D534" s="362">
        <v>0.01</v>
      </c>
      <c r="E534" s="362">
        <v>0.01</v>
      </c>
      <c r="F534" s="362">
        <v>0.01</v>
      </c>
      <c r="G534" s="362">
        <v>0.01</v>
      </c>
      <c r="H534" s="362">
        <v>0.01</v>
      </c>
      <c r="I534" s="362">
        <v>0.01</v>
      </c>
      <c r="J534" s="362">
        <v>0.01</v>
      </c>
      <c r="K534" s="362">
        <v>0.01</v>
      </c>
      <c r="L534" s="424">
        <v>1E-3</v>
      </c>
      <c r="M534" s="362">
        <v>0.01</v>
      </c>
      <c r="N534" s="362">
        <v>0.01</v>
      </c>
      <c r="O534" s="399"/>
      <c r="P534" s="362"/>
      <c r="Q534" s="362"/>
      <c r="R534" s="399"/>
      <c r="S534" s="362"/>
      <c r="T534" s="362"/>
      <c r="U534" s="399"/>
    </row>
    <row r="535" spans="1:21" s="361" customFormat="1">
      <c r="A535" s="361" t="s">
        <v>1185</v>
      </c>
      <c r="B535" s="362">
        <v>0.01</v>
      </c>
      <c r="C535" s="362">
        <v>0.01</v>
      </c>
      <c r="D535" s="362">
        <v>0.01</v>
      </c>
      <c r="E535" s="362">
        <v>0.01</v>
      </c>
      <c r="F535" s="362">
        <v>0.01</v>
      </c>
      <c r="G535" s="362">
        <v>0.01</v>
      </c>
      <c r="H535" s="362">
        <v>0.01</v>
      </c>
      <c r="I535" s="362">
        <v>0.01</v>
      </c>
      <c r="J535" s="362">
        <v>0.01</v>
      </c>
      <c r="K535" s="362">
        <v>0.01</v>
      </c>
      <c r="L535" s="424">
        <v>1E-3</v>
      </c>
      <c r="M535" s="362">
        <v>0.01</v>
      </c>
      <c r="N535" s="362">
        <v>0.01</v>
      </c>
      <c r="O535" s="399"/>
      <c r="P535" s="362"/>
      <c r="Q535" s="362"/>
      <c r="R535" s="399"/>
      <c r="S535" s="362"/>
      <c r="T535" s="362"/>
      <c r="U535" s="399"/>
    </row>
    <row r="536" spans="1:21" s="361" customFormat="1">
      <c r="A536" s="361" t="s">
        <v>1186</v>
      </c>
      <c r="B536" s="362">
        <v>5.0000000000000001E-3</v>
      </c>
      <c r="C536" s="362">
        <v>5.0000000000000001E-3</v>
      </c>
      <c r="D536" s="362">
        <v>5.0000000000000001E-3</v>
      </c>
      <c r="E536" s="362">
        <v>5.0000000000000001E-3</v>
      </c>
      <c r="F536" s="362">
        <v>5.0000000000000001E-3</v>
      </c>
      <c r="G536" s="362">
        <v>5.0000000000000001E-3</v>
      </c>
      <c r="H536" s="362">
        <v>5.0000000000000001E-3</v>
      </c>
      <c r="I536" s="362">
        <v>5.0000000000000001E-3</v>
      </c>
      <c r="J536" s="362">
        <v>5.0000000000000001E-3</v>
      </c>
      <c r="K536" s="362">
        <v>5.0000000000000001E-3</v>
      </c>
      <c r="L536" s="424">
        <v>1E-3</v>
      </c>
      <c r="M536" s="362">
        <v>5.0000000000000001E-3</v>
      </c>
      <c r="N536" s="362">
        <v>5.0000000000000001E-3</v>
      </c>
      <c r="O536" s="399"/>
      <c r="P536" s="362"/>
      <c r="Q536" s="362"/>
      <c r="R536" s="399"/>
      <c r="S536" s="362"/>
      <c r="T536" s="362"/>
      <c r="U536" s="399"/>
    </row>
    <row r="537" spans="1:21" s="361" customFormat="1">
      <c r="A537" s="361" t="s">
        <v>1187</v>
      </c>
      <c r="B537" s="362">
        <v>0.02</v>
      </c>
      <c r="C537" s="362">
        <v>0.02</v>
      </c>
      <c r="D537" s="362">
        <v>0.02</v>
      </c>
      <c r="E537" s="362">
        <v>0.02</v>
      </c>
      <c r="F537" s="362">
        <v>0.02</v>
      </c>
      <c r="G537" s="362">
        <v>0.02</v>
      </c>
      <c r="H537" s="362">
        <v>0.02</v>
      </c>
      <c r="I537" s="362">
        <v>0.02</v>
      </c>
      <c r="J537" s="362">
        <v>0.02</v>
      </c>
      <c r="K537" s="362">
        <v>0.02</v>
      </c>
      <c r="L537" s="424">
        <v>1E-3</v>
      </c>
      <c r="M537" s="362">
        <v>0.02</v>
      </c>
      <c r="N537" s="362">
        <v>0.02</v>
      </c>
      <c r="O537" s="399"/>
      <c r="P537" s="362"/>
      <c r="Q537" s="362"/>
      <c r="R537" s="399"/>
      <c r="S537" s="362"/>
      <c r="T537" s="362"/>
      <c r="U537" s="399"/>
    </row>
    <row r="538" spans="1:21" s="361" customFormat="1">
      <c r="A538" s="361" t="s">
        <v>1188</v>
      </c>
      <c r="B538" s="362">
        <v>5.0000000000000001E-3</v>
      </c>
      <c r="C538" s="362">
        <v>5.0000000000000001E-3</v>
      </c>
      <c r="D538" s="362">
        <v>5.0000000000000001E-3</v>
      </c>
      <c r="E538" s="362">
        <v>5.0000000000000001E-3</v>
      </c>
      <c r="F538" s="362">
        <v>5.0000000000000001E-3</v>
      </c>
      <c r="G538" s="362">
        <v>5.0000000000000001E-3</v>
      </c>
      <c r="H538" s="362">
        <v>5.0000000000000001E-3</v>
      </c>
      <c r="I538" s="362">
        <v>5.0000000000000001E-3</v>
      </c>
      <c r="J538" s="362">
        <v>5.0000000000000001E-3</v>
      </c>
      <c r="K538" s="362">
        <v>5.0000000000000001E-3</v>
      </c>
      <c r="L538" s="424">
        <v>1E-3</v>
      </c>
      <c r="M538" s="362">
        <v>5.0000000000000001E-3</v>
      </c>
      <c r="N538" s="362">
        <v>5.0000000000000001E-3</v>
      </c>
      <c r="O538" s="399"/>
      <c r="P538" s="362"/>
      <c r="Q538" s="362"/>
      <c r="R538" s="399"/>
      <c r="S538" s="362"/>
      <c r="T538" s="362"/>
      <c r="U538" s="399"/>
    </row>
    <row r="539" spans="1:21" s="361" customFormat="1">
      <c r="A539" s="361" t="s">
        <v>1189</v>
      </c>
      <c r="B539" s="362">
        <v>0</v>
      </c>
      <c r="C539" s="362">
        <v>0</v>
      </c>
      <c r="D539" s="362">
        <v>0</v>
      </c>
      <c r="E539" s="362">
        <v>0</v>
      </c>
      <c r="F539" s="362">
        <v>0</v>
      </c>
      <c r="G539" s="362">
        <v>0</v>
      </c>
      <c r="H539" s="362">
        <v>0</v>
      </c>
      <c r="I539" s="362">
        <v>0</v>
      </c>
      <c r="J539" s="362">
        <v>0</v>
      </c>
      <c r="K539" s="362">
        <v>0</v>
      </c>
      <c r="L539" s="424">
        <v>1E-3</v>
      </c>
      <c r="M539" s="362">
        <v>0</v>
      </c>
      <c r="N539" s="362">
        <v>0</v>
      </c>
      <c r="O539" s="399"/>
      <c r="P539" s="362"/>
      <c r="Q539" s="362"/>
      <c r="R539" s="399"/>
      <c r="S539" s="362"/>
      <c r="T539" s="362"/>
      <c r="U539" s="399"/>
    </row>
    <row r="540" spans="1:21" s="361" customFormat="1">
      <c r="A540" s="361" t="s">
        <v>1190</v>
      </c>
      <c r="B540" s="362">
        <v>2E-3</v>
      </c>
      <c r="C540" s="362">
        <v>2E-3</v>
      </c>
      <c r="D540" s="362">
        <v>2E-3</v>
      </c>
      <c r="E540" s="362">
        <v>2E-3</v>
      </c>
      <c r="F540" s="362">
        <v>2E-3</v>
      </c>
      <c r="G540" s="362">
        <v>2E-3</v>
      </c>
      <c r="H540" s="362">
        <v>2E-3</v>
      </c>
      <c r="I540" s="362">
        <v>2E-3</v>
      </c>
      <c r="J540" s="362">
        <v>2E-3</v>
      </c>
      <c r="K540" s="362">
        <v>2E-3</v>
      </c>
      <c r="L540" s="424">
        <v>1E-3</v>
      </c>
      <c r="M540" s="362">
        <v>2E-3</v>
      </c>
      <c r="N540" s="362">
        <v>2E-3</v>
      </c>
      <c r="O540" s="399"/>
      <c r="P540" s="362"/>
      <c r="Q540" s="362"/>
      <c r="R540" s="399"/>
      <c r="S540" s="362"/>
      <c r="T540" s="362"/>
      <c r="U540" s="399"/>
    </row>
    <row r="541" spans="1:21" s="361" customFormat="1">
      <c r="A541" s="361" t="s">
        <v>1191</v>
      </c>
      <c r="B541" s="362">
        <v>0</v>
      </c>
      <c r="C541" s="362">
        <v>0</v>
      </c>
      <c r="D541" s="362">
        <v>0</v>
      </c>
      <c r="E541" s="362">
        <v>0</v>
      </c>
      <c r="F541" s="362">
        <v>0</v>
      </c>
      <c r="G541" s="362">
        <v>0</v>
      </c>
      <c r="H541" s="362">
        <v>0</v>
      </c>
      <c r="I541" s="362">
        <v>0</v>
      </c>
      <c r="J541" s="362">
        <v>0</v>
      </c>
      <c r="K541" s="362">
        <v>0</v>
      </c>
      <c r="L541" s="424">
        <v>1E-3</v>
      </c>
      <c r="M541" s="362">
        <v>0</v>
      </c>
      <c r="N541" s="362">
        <v>0</v>
      </c>
      <c r="O541" s="399"/>
      <c r="P541" s="362"/>
      <c r="Q541" s="362"/>
      <c r="R541" s="399"/>
      <c r="S541" s="362"/>
      <c r="T541" s="362"/>
      <c r="U541" s="399"/>
    </row>
    <row r="542" spans="1:21" s="361" customFormat="1">
      <c r="A542" s="361" t="s">
        <v>1193</v>
      </c>
      <c r="B542" s="362">
        <v>0.01</v>
      </c>
      <c r="C542" s="362">
        <v>0.01</v>
      </c>
      <c r="D542" s="362">
        <v>0.01</v>
      </c>
      <c r="E542" s="362">
        <v>0.01</v>
      </c>
      <c r="F542" s="362">
        <v>0.01</v>
      </c>
      <c r="G542" s="362">
        <v>0.01</v>
      </c>
      <c r="H542" s="362">
        <v>0.01</v>
      </c>
      <c r="I542" s="362">
        <v>0.01</v>
      </c>
      <c r="J542" s="362">
        <v>0.01</v>
      </c>
      <c r="K542" s="362">
        <v>0.01</v>
      </c>
      <c r="L542" s="424">
        <v>1E-3</v>
      </c>
      <c r="M542" s="362">
        <v>0.01</v>
      </c>
      <c r="N542" s="362">
        <v>0.01</v>
      </c>
      <c r="O542" s="399"/>
      <c r="P542" s="362"/>
      <c r="Q542" s="362"/>
      <c r="R542" s="399"/>
      <c r="S542" s="362"/>
      <c r="T542" s="362"/>
      <c r="U542" s="399"/>
    </row>
    <row r="543" spans="1:21" s="361" customFormat="1">
      <c r="A543" s="361" t="s">
        <v>1194</v>
      </c>
      <c r="B543" s="362">
        <v>7.0000000000000007E-2</v>
      </c>
      <c r="C543" s="362">
        <v>7.0000000000000007E-2</v>
      </c>
      <c r="D543" s="362">
        <v>7.0000000000000007E-2</v>
      </c>
      <c r="E543" s="362">
        <v>7.0000000000000007E-2</v>
      </c>
      <c r="F543" s="362">
        <v>7.0000000000000007E-2</v>
      </c>
      <c r="G543" s="362">
        <v>7.0000000000000007E-2</v>
      </c>
      <c r="H543" s="362">
        <v>7.0000000000000007E-2</v>
      </c>
      <c r="I543" s="362">
        <v>7.0000000000000007E-2</v>
      </c>
      <c r="J543" s="362">
        <v>7.0000000000000007E-2</v>
      </c>
      <c r="K543" s="362">
        <v>7.0000000000000007E-2</v>
      </c>
      <c r="L543" s="424">
        <v>1E-3</v>
      </c>
      <c r="M543" s="362">
        <v>7.0000000000000007E-2</v>
      </c>
      <c r="N543" s="362">
        <v>7.0000000000000007E-2</v>
      </c>
      <c r="O543" s="399"/>
      <c r="P543" s="362"/>
      <c r="Q543" s="362"/>
      <c r="R543" s="399"/>
      <c r="S543" s="362"/>
      <c r="T543" s="362"/>
      <c r="U543" s="399"/>
    </row>
    <row r="544" spans="1:21" s="361" customFormat="1">
      <c r="A544" s="361" t="s">
        <v>1195</v>
      </c>
      <c r="B544" s="362">
        <v>6.0000000000000001E-3</v>
      </c>
      <c r="C544" s="362">
        <v>6.0000000000000001E-3</v>
      </c>
      <c r="D544" s="362">
        <v>6.0000000000000001E-3</v>
      </c>
      <c r="E544" s="362">
        <v>6.0000000000000001E-3</v>
      </c>
      <c r="F544" s="362">
        <v>6.0000000000000001E-3</v>
      </c>
      <c r="G544" s="362">
        <v>6.0000000000000001E-3</v>
      </c>
      <c r="H544" s="362">
        <v>6.0000000000000001E-3</v>
      </c>
      <c r="I544" s="362">
        <v>6.0000000000000001E-3</v>
      </c>
      <c r="J544" s="362">
        <v>6.0000000000000001E-3</v>
      </c>
      <c r="K544" s="362">
        <v>6.0000000000000001E-3</v>
      </c>
      <c r="L544" s="424">
        <v>1E-3</v>
      </c>
      <c r="M544" s="362">
        <v>6.0000000000000001E-3</v>
      </c>
      <c r="N544" s="362">
        <v>6.0000000000000001E-3</v>
      </c>
      <c r="O544" s="399"/>
      <c r="P544" s="362"/>
      <c r="Q544" s="362"/>
      <c r="R544" s="399"/>
      <c r="S544" s="362"/>
      <c r="T544" s="362"/>
      <c r="U544" s="399"/>
    </row>
    <row r="545" spans="1:24" s="361" customFormat="1">
      <c r="A545" s="361" t="s">
        <v>1196</v>
      </c>
      <c r="B545" s="362">
        <v>6.0000000000000001E-3</v>
      </c>
      <c r="C545" s="362">
        <v>6.0000000000000001E-3</v>
      </c>
      <c r="D545" s="362">
        <v>6.0000000000000001E-3</v>
      </c>
      <c r="E545" s="362">
        <v>6.0000000000000001E-3</v>
      </c>
      <c r="F545" s="362">
        <v>6.0000000000000001E-3</v>
      </c>
      <c r="G545" s="362">
        <v>6.0000000000000001E-3</v>
      </c>
      <c r="H545" s="362">
        <v>6.0000000000000001E-3</v>
      </c>
      <c r="I545" s="362">
        <v>6.0000000000000001E-3</v>
      </c>
      <c r="J545" s="362">
        <v>6.0000000000000001E-3</v>
      </c>
      <c r="K545" s="362">
        <v>6.0000000000000001E-3</v>
      </c>
      <c r="L545" s="424">
        <v>1E-3</v>
      </c>
      <c r="M545" s="362">
        <v>6.0000000000000001E-3</v>
      </c>
      <c r="N545" s="362">
        <v>6.0000000000000001E-3</v>
      </c>
      <c r="O545" s="399"/>
      <c r="P545" s="362"/>
      <c r="Q545" s="362"/>
      <c r="R545" s="399"/>
      <c r="S545" s="362"/>
      <c r="T545" s="362"/>
      <c r="U545" s="399"/>
    </row>
    <row r="546" spans="1:24" s="361" customFormat="1">
      <c r="A546" s="361" t="s">
        <v>1197</v>
      </c>
      <c r="B546" s="362">
        <v>0.1</v>
      </c>
      <c r="C546" s="362">
        <v>0.1</v>
      </c>
      <c r="D546" s="362">
        <v>0.1</v>
      </c>
      <c r="E546" s="362">
        <v>0.1</v>
      </c>
      <c r="F546" s="362">
        <v>0.1</v>
      </c>
      <c r="G546" s="362">
        <v>0.1</v>
      </c>
      <c r="H546" s="362">
        <v>0.1</v>
      </c>
      <c r="I546" s="362">
        <v>0.1</v>
      </c>
      <c r="J546" s="362">
        <v>0.1</v>
      </c>
      <c r="K546" s="362">
        <v>0.1</v>
      </c>
      <c r="L546" s="424">
        <v>1E-3</v>
      </c>
      <c r="M546" s="362">
        <v>0.1</v>
      </c>
      <c r="N546" s="362">
        <v>0.1</v>
      </c>
      <c r="O546" s="399"/>
      <c r="P546" s="362"/>
      <c r="Q546" s="362"/>
      <c r="R546" s="399"/>
      <c r="S546" s="362"/>
      <c r="T546" s="362"/>
      <c r="U546" s="399"/>
    </row>
    <row r="547" spans="1:24" s="363" customFormat="1">
      <c r="A547" s="363" t="s">
        <v>1198</v>
      </c>
      <c r="B547" s="364">
        <v>0.01</v>
      </c>
      <c r="C547" s="364">
        <v>0.01</v>
      </c>
      <c r="D547" s="364">
        <v>0.01</v>
      </c>
      <c r="E547" s="364">
        <v>0.01</v>
      </c>
      <c r="F547" s="364">
        <v>0.01</v>
      </c>
      <c r="G547" s="364">
        <v>0.01</v>
      </c>
      <c r="H547" s="364">
        <v>0.01</v>
      </c>
      <c r="I547" s="364">
        <v>0.01</v>
      </c>
      <c r="J547" s="364">
        <v>0.01</v>
      </c>
      <c r="K547" s="364">
        <v>0.01</v>
      </c>
      <c r="L547" s="424">
        <v>1E-3</v>
      </c>
      <c r="M547" s="364">
        <v>0.01</v>
      </c>
      <c r="N547" s="364">
        <v>0.01</v>
      </c>
      <c r="O547" s="364"/>
      <c r="P547" s="364"/>
      <c r="Q547" s="364"/>
      <c r="R547" s="364"/>
      <c r="S547" s="364"/>
      <c r="T547" s="364"/>
      <c r="U547" s="364"/>
    </row>
    <row r="548" spans="1:24" s="363" customFormat="1">
      <c r="A548" s="361" t="s">
        <v>1199</v>
      </c>
      <c r="B548" s="364">
        <v>0.01</v>
      </c>
      <c r="C548" s="364">
        <v>0.01</v>
      </c>
      <c r="D548" s="364">
        <v>0.01</v>
      </c>
      <c r="E548" s="364">
        <v>0.01</v>
      </c>
      <c r="F548" s="364">
        <v>0.01</v>
      </c>
      <c r="G548" s="364">
        <v>0.01</v>
      </c>
      <c r="H548" s="364">
        <v>0.01</v>
      </c>
      <c r="I548" s="364">
        <v>0.01</v>
      </c>
      <c r="J548" s="364">
        <v>0.01</v>
      </c>
      <c r="K548" s="364">
        <v>0.01</v>
      </c>
      <c r="L548" s="424">
        <v>1E-3</v>
      </c>
      <c r="M548" s="364">
        <v>0.01</v>
      </c>
      <c r="N548" s="364">
        <v>0.01</v>
      </c>
      <c r="O548" s="364"/>
      <c r="P548" s="364"/>
      <c r="Q548" s="364"/>
      <c r="R548" s="364"/>
      <c r="S548" s="364"/>
      <c r="T548" s="364"/>
      <c r="U548" s="364"/>
    </row>
    <row r="549" spans="1:24" s="361" customFormat="1">
      <c r="A549" s="361" t="s">
        <v>1200</v>
      </c>
      <c r="B549" s="364">
        <v>5.0000000000000001E-3</v>
      </c>
      <c r="C549" s="364">
        <v>5.0000000000000001E-3</v>
      </c>
      <c r="D549" s="364">
        <v>5.0000000000000001E-3</v>
      </c>
      <c r="E549" s="364">
        <v>5.0000000000000001E-3</v>
      </c>
      <c r="F549" s="364">
        <v>5.0000000000000001E-3</v>
      </c>
      <c r="G549" s="364">
        <v>5.0000000000000001E-3</v>
      </c>
      <c r="H549" s="364">
        <v>5.0000000000000001E-3</v>
      </c>
      <c r="I549" s="364">
        <v>5.0000000000000001E-3</v>
      </c>
      <c r="J549" s="364">
        <v>5.0000000000000001E-3</v>
      </c>
      <c r="K549" s="364">
        <v>5.0000000000000001E-3</v>
      </c>
      <c r="L549" s="424">
        <v>1E-3</v>
      </c>
      <c r="M549" s="364">
        <v>5.0000000000000001E-3</v>
      </c>
      <c r="N549" s="364">
        <v>5.0000000000000001E-3</v>
      </c>
    </row>
    <row r="550" spans="1:24" s="373" customFormat="1">
      <c r="A550" s="373" t="s">
        <v>1034</v>
      </c>
      <c r="B550" s="374"/>
      <c r="C550" s="374"/>
      <c r="D550" s="374"/>
      <c r="E550" s="374"/>
      <c r="F550" s="376" t="s">
        <v>1036</v>
      </c>
      <c r="G550" s="377"/>
      <c r="H550" s="377" t="s">
        <v>1037</v>
      </c>
      <c r="I550" s="376"/>
      <c r="J550" s="374"/>
      <c r="K550" s="376" t="s">
        <v>1038</v>
      </c>
      <c r="L550" s="374"/>
      <c r="M550" s="374"/>
      <c r="N550" s="374"/>
      <c r="O550" s="374"/>
      <c r="P550" s="374"/>
      <c r="Q550" s="374"/>
      <c r="R550" s="374"/>
      <c r="S550" s="374"/>
      <c r="T550" s="374"/>
    </row>
    <row r="551" spans="1:24" s="373" customFormat="1">
      <c r="A551" s="373" t="s">
        <v>1035</v>
      </c>
      <c r="B551" s="374"/>
      <c r="C551" s="374"/>
      <c r="D551" s="374"/>
      <c r="E551" s="374"/>
      <c r="F551" s="378" t="s">
        <v>1039</v>
      </c>
      <c r="I551" s="372"/>
      <c r="J551" s="376" t="s">
        <v>1040</v>
      </c>
      <c r="L551" s="376"/>
      <c r="M551" s="376"/>
      <c r="N551" s="374"/>
      <c r="O551" s="374"/>
      <c r="P551" s="374"/>
      <c r="Q551" s="374"/>
      <c r="R551" s="374"/>
      <c r="S551" s="374"/>
      <c r="T551" s="374"/>
    </row>
    <row r="552" spans="1:24" s="370" customFormat="1">
      <c r="B552" s="371" t="s">
        <v>354</v>
      </c>
      <c r="D552" s="371"/>
      <c r="E552" s="380"/>
      <c r="F552" s="371" t="s">
        <v>358</v>
      </c>
      <c r="I552" s="381"/>
      <c r="J552" s="371" t="s">
        <v>360</v>
      </c>
      <c r="M552" s="380"/>
      <c r="N552" s="371" t="s">
        <v>364</v>
      </c>
      <c r="P552" s="371"/>
      <c r="Q552" s="380"/>
      <c r="R552" s="371"/>
      <c r="S552" s="371"/>
      <c r="T552" s="371"/>
      <c r="U552" s="371"/>
      <c r="V552" s="371"/>
      <c r="W552" s="371"/>
      <c r="X552" s="371"/>
    </row>
    <row r="553" spans="1:24" s="370" customFormat="1">
      <c r="A553" s="17" t="s">
        <v>335</v>
      </c>
      <c r="B553" s="30" t="s">
        <v>1046</v>
      </c>
      <c r="C553" s="375" t="s">
        <v>1041</v>
      </c>
      <c r="D553" s="370" t="s">
        <v>1042</v>
      </c>
      <c r="E553" s="381" t="s">
        <v>1043</v>
      </c>
      <c r="F553" s="30" t="s">
        <v>1046</v>
      </c>
      <c r="G553" s="375" t="s">
        <v>1041</v>
      </c>
      <c r="H553" s="370" t="s">
        <v>1042</v>
      </c>
      <c r="I553" s="381" t="s">
        <v>1043</v>
      </c>
      <c r="J553" s="30" t="s">
        <v>1046</v>
      </c>
      <c r="K553" s="375" t="s">
        <v>1041</v>
      </c>
      <c r="L553" s="370" t="s">
        <v>1042</v>
      </c>
      <c r="M553" s="381" t="s">
        <v>1043</v>
      </c>
      <c r="N553" s="30" t="s">
        <v>1046</v>
      </c>
      <c r="O553" s="375" t="s">
        <v>1041</v>
      </c>
      <c r="P553" s="370" t="s">
        <v>1042</v>
      </c>
      <c r="Q553" s="381" t="s">
        <v>1043</v>
      </c>
      <c r="R553" s="371"/>
      <c r="S553" s="371"/>
      <c r="T553" s="371"/>
      <c r="U553" s="371"/>
      <c r="V553" s="371"/>
      <c r="W553" s="371"/>
      <c r="X553" s="371"/>
    </row>
    <row r="554" spans="1:24" s="973" customFormat="1">
      <c r="A554" s="63" t="str">
        <f>List!A6</f>
        <v>Please select</v>
      </c>
      <c r="B554" s="62"/>
      <c r="C554" s="972"/>
      <c r="E554" s="974"/>
      <c r="F554" s="62"/>
      <c r="G554" s="972"/>
      <c r="I554" s="974"/>
      <c r="J554" s="62"/>
      <c r="K554" s="972"/>
      <c r="M554" s="974"/>
      <c r="N554" s="62"/>
      <c r="O554" s="972"/>
      <c r="Q554" s="974"/>
      <c r="R554" s="975"/>
      <c r="S554" s="975"/>
      <c r="T554" s="975"/>
      <c r="U554" s="975"/>
      <c r="V554" s="975"/>
      <c r="W554" s="975"/>
      <c r="X554" s="975"/>
    </row>
    <row r="555" spans="1:24" s="363" customFormat="1">
      <c r="A555" s="363" t="s">
        <v>309</v>
      </c>
      <c r="B555" s="399">
        <v>0</v>
      </c>
      <c r="C555" s="368">
        <v>0.16</v>
      </c>
      <c r="D555" s="390">
        <v>0.11</v>
      </c>
      <c r="E555" s="391">
        <v>0.03</v>
      </c>
      <c r="F555" s="399">
        <v>0</v>
      </c>
      <c r="G555" s="368">
        <v>0.11</v>
      </c>
      <c r="H555" s="390">
        <v>0.09</v>
      </c>
      <c r="I555" s="391">
        <v>0.03</v>
      </c>
      <c r="J555" s="399">
        <v>0</v>
      </c>
      <c r="K555" s="379">
        <v>4.4999999999999998E-2</v>
      </c>
      <c r="L555" s="392">
        <v>7.0000000000000001E-3</v>
      </c>
      <c r="M555" s="388">
        <v>2.5000000000000001E-2</v>
      </c>
      <c r="N555" s="399">
        <v>0</v>
      </c>
      <c r="O555" s="368">
        <v>0.04</v>
      </c>
      <c r="P555" s="393">
        <v>4.0000000000000001E-3</v>
      </c>
      <c r="Q555" s="387">
        <v>3.0000000000000001E-3</v>
      </c>
      <c r="R555" s="364"/>
      <c r="S555" s="364"/>
      <c r="T555" s="364"/>
      <c r="U555" s="364"/>
      <c r="V555" s="364"/>
      <c r="W555" s="364"/>
      <c r="X555" s="364"/>
    </row>
    <row r="556" spans="1:24" s="363" customFormat="1">
      <c r="A556" s="363" t="s">
        <v>306</v>
      </c>
      <c r="B556" s="399">
        <v>0</v>
      </c>
      <c r="C556" s="368">
        <v>0.18</v>
      </c>
      <c r="D556" s="390">
        <v>0.08</v>
      </c>
      <c r="E556" s="391">
        <v>0.04</v>
      </c>
      <c r="F556" s="399">
        <v>0</v>
      </c>
      <c r="G556" s="368">
        <v>0.12</v>
      </c>
      <c r="H556" s="390">
        <v>0.04</v>
      </c>
      <c r="I556" s="391">
        <v>0.03</v>
      </c>
      <c r="J556" s="399">
        <v>0</v>
      </c>
      <c r="K556" s="379">
        <v>4.4999999999999998E-2</v>
      </c>
      <c r="L556" s="392">
        <v>7.0000000000000001E-3</v>
      </c>
      <c r="M556" s="388">
        <v>2.5000000000000001E-2</v>
      </c>
      <c r="N556" s="399">
        <v>0</v>
      </c>
      <c r="O556" s="368">
        <v>0.04</v>
      </c>
      <c r="P556" s="393">
        <v>4.0000000000000001E-3</v>
      </c>
      <c r="Q556" s="387">
        <v>3.0000000000000001E-3</v>
      </c>
      <c r="R556" s="364"/>
      <c r="S556" s="364"/>
      <c r="T556" s="364"/>
      <c r="U556" s="364"/>
      <c r="V556" s="364"/>
      <c r="W556" s="364"/>
      <c r="X556" s="364"/>
    </row>
    <row r="557" spans="1:24" s="363" customFormat="1">
      <c r="A557" s="363" t="s">
        <v>307</v>
      </c>
      <c r="B557" s="399">
        <v>0</v>
      </c>
      <c r="C557" s="368">
        <v>0.11</v>
      </c>
      <c r="D557" s="390">
        <v>0.04</v>
      </c>
      <c r="E557" s="391">
        <v>0.04</v>
      </c>
      <c r="F557" s="399">
        <v>0</v>
      </c>
      <c r="G557" s="368">
        <v>0.06</v>
      </c>
      <c r="H557" s="390">
        <v>0.04</v>
      </c>
      <c r="I557" s="391">
        <v>0.03</v>
      </c>
      <c r="J557" s="399">
        <v>0</v>
      </c>
      <c r="K557" s="379">
        <v>4.4999999999999998E-2</v>
      </c>
      <c r="L557" s="392">
        <v>7.0000000000000001E-3</v>
      </c>
      <c r="M557" s="388">
        <v>2.5000000000000001E-2</v>
      </c>
      <c r="N557" s="399">
        <v>0</v>
      </c>
      <c r="O557" s="368">
        <v>0.03</v>
      </c>
      <c r="P557" s="393">
        <v>4.0000000000000001E-3</v>
      </c>
      <c r="Q557" s="387">
        <v>3.0000000000000001E-3</v>
      </c>
      <c r="R557" s="364"/>
      <c r="S557" s="364"/>
      <c r="T557" s="364"/>
      <c r="U557" s="364"/>
      <c r="V557" s="364"/>
      <c r="W557" s="364"/>
      <c r="X557" s="364"/>
    </row>
    <row r="558" spans="1:24" s="363" customFormat="1">
      <c r="A558" s="363" t="s">
        <v>308</v>
      </c>
      <c r="B558" s="399">
        <v>0</v>
      </c>
      <c r="C558" s="368">
        <v>0.22</v>
      </c>
      <c r="D558" s="390">
        <v>0.08</v>
      </c>
      <c r="E558" s="391">
        <v>0.05</v>
      </c>
      <c r="F558" s="399">
        <v>0</v>
      </c>
      <c r="G558" s="368">
        <v>0.14000000000000001</v>
      </c>
      <c r="H558" s="390">
        <v>0.08</v>
      </c>
      <c r="I558" s="391">
        <v>0.03</v>
      </c>
      <c r="J558" s="399">
        <v>0</v>
      </c>
      <c r="K558" s="379">
        <v>4.4999999999999998E-2</v>
      </c>
      <c r="L558" s="392">
        <v>7.0000000000000001E-3</v>
      </c>
      <c r="M558" s="388">
        <v>2.5000000000000001E-2</v>
      </c>
      <c r="N558" s="399">
        <v>0</v>
      </c>
      <c r="O558" s="368">
        <v>0.06</v>
      </c>
      <c r="P558" s="393">
        <v>4.0000000000000001E-3</v>
      </c>
      <c r="Q558" s="387">
        <v>4.0000000000000001E-3</v>
      </c>
      <c r="R558" s="364"/>
      <c r="S558" s="364"/>
      <c r="T558" s="364"/>
      <c r="U558" s="364"/>
      <c r="V558" s="364"/>
      <c r="W558" s="364"/>
      <c r="X558" s="364"/>
    </row>
    <row r="559" spans="1:24" s="363" customFormat="1">
      <c r="A559" s="363" t="s">
        <v>311</v>
      </c>
      <c r="B559" s="399">
        <v>0</v>
      </c>
      <c r="C559" s="368">
        <v>0.06</v>
      </c>
      <c r="D559" s="390">
        <v>0.03</v>
      </c>
      <c r="E559" s="391">
        <v>0.02</v>
      </c>
      <c r="F559" s="399">
        <v>0</v>
      </c>
      <c r="G559" s="368">
        <v>0.03</v>
      </c>
      <c r="H559" s="390">
        <v>0.02</v>
      </c>
      <c r="I559" s="391">
        <v>0.03</v>
      </c>
      <c r="J559" s="399">
        <v>0</v>
      </c>
      <c r="K559" s="379">
        <v>4.4999999999999998E-2</v>
      </c>
      <c r="L559" s="392">
        <v>7.0000000000000001E-3</v>
      </c>
      <c r="M559" s="388">
        <v>2.5000000000000001E-2</v>
      </c>
      <c r="N559" s="399">
        <v>0</v>
      </c>
      <c r="O559" s="368">
        <v>0.02</v>
      </c>
      <c r="P559" s="393">
        <v>1E-3</v>
      </c>
      <c r="Q559" s="387">
        <v>2E-3</v>
      </c>
      <c r="R559" s="364"/>
      <c r="S559" s="364"/>
      <c r="T559" s="364"/>
      <c r="U559" s="364"/>
      <c r="V559" s="364"/>
      <c r="W559" s="364"/>
      <c r="X559" s="364"/>
    </row>
    <row r="560" spans="1:24" s="363" customFormat="1">
      <c r="A560" s="363" t="s">
        <v>310</v>
      </c>
      <c r="B560" s="399">
        <v>0</v>
      </c>
      <c r="C560" s="368">
        <v>0.03</v>
      </c>
      <c r="D560" s="390">
        <v>0.02</v>
      </c>
      <c r="E560" s="391">
        <v>0.01</v>
      </c>
      <c r="F560" s="399">
        <v>0</v>
      </c>
      <c r="G560" s="368">
        <v>0.02</v>
      </c>
      <c r="H560" s="390">
        <v>0.01</v>
      </c>
      <c r="I560" s="391">
        <v>0.02</v>
      </c>
      <c r="J560" s="399">
        <v>0</v>
      </c>
      <c r="K560" s="379">
        <v>4.4999999999999998E-2</v>
      </c>
      <c r="L560" s="392">
        <v>7.0000000000000001E-3</v>
      </c>
      <c r="M560" s="388">
        <v>2.5000000000000001E-2</v>
      </c>
      <c r="N560" s="399">
        <v>0</v>
      </c>
      <c r="O560" s="368">
        <v>0.02</v>
      </c>
      <c r="P560" s="393">
        <v>1E-3</v>
      </c>
      <c r="Q560" s="387">
        <v>2E-3</v>
      </c>
      <c r="R560" s="364"/>
      <c r="S560" s="364"/>
      <c r="T560" s="364"/>
      <c r="U560" s="364"/>
      <c r="V560" s="364"/>
      <c r="W560" s="364"/>
      <c r="X560" s="364"/>
    </row>
    <row r="561" spans="1:24" s="363" customFormat="1">
      <c r="A561" s="363" t="s">
        <v>302</v>
      </c>
      <c r="B561" s="399">
        <v>0</v>
      </c>
      <c r="C561" s="368">
        <v>0.01</v>
      </c>
      <c r="D561" s="394">
        <v>3.0000000000000001E-3</v>
      </c>
      <c r="E561" s="395">
        <v>4.0000000000000001E-3</v>
      </c>
      <c r="F561" s="399">
        <v>0</v>
      </c>
      <c r="G561" s="368">
        <v>0.01</v>
      </c>
      <c r="H561" s="394">
        <v>4.0000000000000001E-3</v>
      </c>
      <c r="I561" s="395">
        <v>6.0000000000000001E-3</v>
      </c>
      <c r="J561" s="399">
        <v>0</v>
      </c>
      <c r="K561" s="379">
        <v>4.4999999999999998E-2</v>
      </c>
      <c r="L561" s="392">
        <v>7.0000000000000001E-3</v>
      </c>
      <c r="M561" s="388">
        <v>2.5000000000000001E-2</v>
      </c>
      <c r="N561" s="399">
        <v>0</v>
      </c>
      <c r="O561" s="368">
        <v>0.01</v>
      </c>
      <c r="P561" s="393">
        <v>2.0000000000000001E-4</v>
      </c>
      <c r="Q561" s="387">
        <v>6.0000000000000001E-3</v>
      </c>
      <c r="R561" s="364"/>
      <c r="S561" s="364"/>
      <c r="T561" s="364"/>
      <c r="U561" s="364"/>
      <c r="V561" s="364"/>
      <c r="W561" s="364"/>
      <c r="X561" s="364"/>
    </row>
    <row r="562" spans="1:24" s="382" customFormat="1">
      <c r="A562" s="382" t="s">
        <v>305</v>
      </c>
      <c r="B562" s="399">
        <v>0</v>
      </c>
      <c r="C562" s="379">
        <v>0.01</v>
      </c>
      <c r="D562" s="392">
        <v>3.0000000000000001E-3</v>
      </c>
      <c r="E562" s="388">
        <v>4.0000000000000001E-3</v>
      </c>
      <c r="F562" s="399">
        <v>0</v>
      </c>
      <c r="G562" s="379">
        <v>0.01</v>
      </c>
      <c r="H562" s="392">
        <v>4.0000000000000001E-3</v>
      </c>
      <c r="I562" s="388">
        <v>6.0000000000000001E-3</v>
      </c>
      <c r="J562" s="399">
        <v>0</v>
      </c>
      <c r="K562" s="379">
        <v>4.4999999999999998E-2</v>
      </c>
      <c r="L562" s="392">
        <v>7.0000000000000001E-3</v>
      </c>
      <c r="M562" s="388">
        <v>2.5000000000000001E-2</v>
      </c>
      <c r="N562" s="399">
        <v>0</v>
      </c>
      <c r="O562" s="379">
        <v>0.01</v>
      </c>
      <c r="P562" s="396">
        <v>2.0000000000000001E-4</v>
      </c>
      <c r="Q562" s="388">
        <v>6.0000000000000001E-3</v>
      </c>
      <c r="R562" s="383"/>
      <c r="S562" s="383"/>
      <c r="T562" s="383"/>
      <c r="U562" s="383"/>
      <c r="V562" s="383"/>
      <c r="W562" s="383"/>
      <c r="X562" s="383"/>
    </row>
    <row r="563" spans="1:24" s="384" customFormat="1">
      <c r="A563" s="384" t="s">
        <v>303</v>
      </c>
      <c r="B563" s="399">
        <v>0</v>
      </c>
      <c r="C563" s="385">
        <f>0.22/3</f>
        <v>7.3333333333333334E-2</v>
      </c>
      <c r="D563" s="397">
        <f>0.05/3</f>
        <v>1.6666666666666666E-2</v>
      </c>
      <c r="E563" s="386">
        <f>0.05/3</f>
        <v>1.6666666666666666E-2</v>
      </c>
      <c r="F563" s="399">
        <v>0</v>
      </c>
      <c r="G563" s="385">
        <f>0.1/3</f>
        <v>3.3333333333333333E-2</v>
      </c>
      <c r="H563" s="385">
        <v>0.03</v>
      </c>
      <c r="I563" s="386">
        <f>0.1/3</f>
        <v>3.3333333333333333E-2</v>
      </c>
      <c r="J563" s="399">
        <v>0</v>
      </c>
      <c r="K563" s="385">
        <v>0.1</v>
      </c>
      <c r="L563" s="397">
        <f>0.068/6</f>
        <v>1.1333333333333334E-2</v>
      </c>
      <c r="M563" s="389">
        <f>0.021/6</f>
        <v>3.5000000000000001E-3</v>
      </c>
      <c r="N563" s="399">
        <v>0</v>
      </c>
      <c r="O563" s="385">
        <f>0.07/3</f>
        <v>2.3333333333333334E-2</v>
      </c>
      <c r="P563" s="393">
        <f>0.004/3</f>
        <v>1.3333333333333333E-3</v>
      </c>
      <c r="Q563" s="389">
        <f>0.01/3</f>
        <v>3.3333333333333335E-3</v>
      </c>
      <c r="R563" s="365"/>
      <c r="S563" s="365"/>
      <c r="T563" s="365"/>
      <c r="U563" s="365"/>
      <c r="V563" s="365"/>
      <c r="W563" s="365"/>
      <c r="X563" s="365"/>
    </row>
    <row r="564" spans="1:24" s="363" customFormat="1">
      <c r="A564" s="363" t="s">
        <v>304</v>
      </c>
      <c r="B564" s="399">
        <v>0</v>
      </c>
      <c r="C564" s="368">
        <v>0.06</v>
      </c>
      <c r="D564" s="390">
        <v>0.01</v>
      </c>
      <c r="E564" s="391">
        <v>0.01</v>
      </c>
      <c r="F564" s="399">
        <v>0</v>
      </c>
      <c r="G564" s="368">
        <v>0.03</v>
      </c>
      <c r="H564" s="390">
        <v>0.02</v>
      </c>
      <c r="I564" s="391">
        <v>0.02</v>
      </c>
      <c r="J564" s="399">
        <v>0</v>
      </c>
      <c r="K564" s="368">
        <v>4.4999999999999998E-2</v>
      </c>
      <c r="L564" s="394">
        <v>7.0000000000000001E-3</v>
      </c>
      <c r="M564" s="395">
        <v>2.5000000000000001E-2</v>
      </c>
      <c r="N564" s="399">
        <v>0</v>
      </c>
      <c r="O564" s="368">
        <v>0.02</v>
      </c>
      <c r="P564" s="393">
        <v>1E-3</v>
      </c>
      <c r="Q564" s="387">
        <v>1E-3</v>
      </c>
      <c r="R564" s="364"/>
      <c r="S564" s="364"/>
      <c r="T564" s="364"/>
      <c r="U564" s="364"/>
      <c r="V564" s="364"/>
      <c r="W564" s="364"/>
      <c r="X564" s="364"/>
    </row>
    <row r="565" spans="1:24" s="363" customFormat="1">
      <c r="A565" s="363" t="s">
        <v>434</v>
      </c>
      <c r="B565" s="399">
        <v>0</v>
      </c>
      <c r="C565" s="368">
        <v>0.04</v>
      </c>
      <c r="D565" s="390">
        <v>0.01</v>
      </c>
      <c r="E565" s="391">
        <v>0.01</v>
      </c>
      <c r="F565" s="399">
        <v>0</v>
      </c>
      <c r="G565" s="368">
        <v>0.03</v>
      </c>
      <c r="H565" s="390">
        <v>0.01</v>
      </c>
      <c r="I565" s="391">
        <v>0.01</v>
      </c>
      <c r="J565" s="399">
        <v>0</v>
      </c>
      <c r="K565" s="368">
        <v>0.03</v>
      </c>
      <c r="L565" s="394">
        <v>6.0000000000000001E-3</v>
      </c>
      <c r="M565" s="395">
        <v>1.4999999999999999E-2</v>
      </c>
      <c r="N565" s="399">
        <v>0</v>
      </c>
      <c r="O565" s="368">
        <v>0.02</v>
      </c>
      <c r="P565" s="393">
        <v>5.0000000000000001E-4</v>
      </c>
      <c r="Q565" s="387">
        <v>1E-3</v>
      </c>
      <c r="R565" s="364"/>
      <c r="S565" s="364"/>
      <c r="T565" s="364"/>
      <c r="U565" s="364"/>
      <c r="V565" s="364"/>
      <c r="W565" s="364"/>
      <c r="X565" s="364"/>
    </row>
    <row r="566" spans="1:24" s="85" customFormat="1">
      <c r="A566" s="16" t="s">
        <v>467</v>
      </c>
      <c r="B566" s="84"/>
      <c r="C566" s="84"/>
      <c r="D566" s="84"/>
      <c r="G566" s="84"/>
    </row>
    <row r="567" spans="1:24" s="68" customFormat="1">
      <c r="A567" s="68" t="s">
        <v>468</v>
      </c>
      <c r="B567" s="64"/>
      <c r="C567" s="64"/>
      <c r="D567" s="64"/>
      <c r="G567" s="64"/>
      <c r="H567" s="119" t="s">
        <v>523</v>
      </c>
      <c r="I567" s="103"/>
    </row>
    <row r="568" spans="1:24" s="68" customFormat="1">
      <c r="A568" s="68" t="s">
        <v>469</v>
      </c>
      <c r="B568" s="64"/>
      <c r="C568" s="64"/>
      <c r="D568" s="64"/>
      <c r="G568" s="64"/>
      <c r="I568" s="103"/>
    </row>
    <row r="569" spans="1:24" s="68" customFormat="1">
      <c r="A569" s="68" t="s">
        <v>470</v>
      </c>
      <c r="B569" s="68" t="str">
        <f>List!A20</f>
        <v>Please select</v>
      </c>
      <c r="C569" s="64" t="s">
        <v>471</v>
      </c>
      <c r="D569" s="64" t="s">
        <v>472</v>
      </c>
      <c r="E569" s="64" t="s">
        <v>473</v>
      </c>
      <c r="F569" s="68" t="s">
        <v>474</v>
      </c>
      <c r="G569" s="68" t="s">
        <v>519</v>
      </c>
      <c r="H569" s="64" t="s">
        <v>520</v>
      </c>
      <c r="I569" s="68" t="s">
        <v>518</v>
      </c>
      <c r="J569" s="103"/>
    </row>
    <row r="570" spans="1:24" s="987" customFormat="1">
      <c r="A570" s="987" t="str">
        <f>G7</f>
        <v>Please select</v>
      </c>
      <c r="C570" s="988"/>
      <c r="D570" s="988"/>
      <c r="E570" s="988"/>
      <c r="H570" s="988"/>
      <c r="J570" s="989"/>
    </row>
    <row r="571" spans="1:24" s="12" customFormat="1">
      <c r="A571" s="12" t="s">
        <v>323</v>
      </c>
      <c r="C571" s="86">
        <v>68</v>
      </c>
      <c r="D571" s="86"/>
      <c r="E571" s="86">
        <v>10</v>
      </c>
      <c r="F571" s="86">
        <v>117</v>
      </c>
      <c r="G571" s="86">
        <v>20</v>
      </c>
      <c r="H571" s="86">
        <v>146</v>
      </c>
      <c r="J571" s="106"/>
    </row>
    <row r="572" spans="1:24" s="12" customFormat="1">
      <c r="A572" s="12" t="s">
        <v>322</v>
      </c>
      <c r="C572" s="86">
        <f>C571</f>
        <v>68</v>
      </c>
      <c r="D572" s="86"/>
      <c r="E572" s="86">
        <f>E571</f>
        <v>10</v>
      </c>
      <c r="F572" s="86">
        <f>F571</f>
        <v>117</v>
      </c>
      <c r="G572" s="86">
        <f>G571</f>
        <v>20</v>
      </c>
      <c r="H572" s="86">
        <f>H571</f>
        <v>146</v>
      </c>
      <c r="J572" s="106"/>
    </row>
    <row r="573" spans="1:24" s="12" customFormat="1">
      <c r="A573" s="60" t="s">
        <v>320</v>
      </c>
      <c r="B573" s="984"/>
      <c r="C573" s="86">
        <v>50</v>
      </c>
      <c r="D573" s="86">
        <v>33</v>
      </c>
      <c r="E573" s="86">
        <v>34</v>
      </c>
      <c r="F573" s="86"/>
      <c r="G573" s="86">
        <v>20</v>
      </c>
      <c r="H573" s="86">
        <v>87</v>
      </c>
      <c r="J573" s="106"/>
    </row>
    <row r="574" spans="1:24" s="12" customFormat="1">
      <c r="A574" s="60" t="s">
        <v>321</v>
      </c>
      <c r="B574" s="984"/>
      <c r="C574" s="86">
        <v>95</v>
      </c>
      <c r="D574" s="86">
        <v>85</v>
      </c>
      <c r="E574" s="86">
        <v>71</v>
      </c>
      <c r="F574" s="86">
        <v>115</v>
      </c>
      <c r="G574" s="86">
        <v>130</v>
      </c>
      <c r="H574" s="86">
        <v>87</v>
      </c>
      <c r="J574" s="106"/>
    </row>
    <row r="575" spans="1:24" s="12" customFormat="1">
      <c r="A575" s="60" t="s">
        <v>319</v>
      </c>
      <c r="B575" s="984"/>
      <c r="C575" s="86">
        <v>38</v>
      </c>
      <c r="D575" s="86">
        <v>24</v>
      </c>
      <c r="E575" s="86">
        <v>19</v>
      </c>
      <c r="F575" s="86"/>
      <c r="G575" s="86">
        <v>70</v>
      </c>
      <c r="H575" s="86">
        <v>88</v>
      </c>
      <c r="J575" s="106"/>
    </row>
    <row r="576" spans="1:24" s="12" customFormat="1">
      <c r="A576" s="60" t="s">
        <v>475</v>
      </c>
      <c r="B576" s="984"/>
      <c r="C576" s="86">
        <v>88</v>
      </c>
      <c r="D576" s="86">
        <v>63</v>
      </c>
      <c r="E576" s="86">
        <v>34</v>
      </c>
      <c r="F576" s="86"/>
      <c r="G576" s="86">
        <v>80</v>
      </c>
      <c r="H576" s="86">
        <v>88</v>
      </c>
      <c r="J576" s="106"/>
    </row>
    <row r="577" spans="1:12" s="12" customFormat="1">
      <c r="A577" s="60" t="s">
        <v>515</v>
      </c>
      <c r="B577" s="984"/>
      <c r="C577" s="86">
        <f>C580</f>
        <v>65</v>
      </c>
      <c r="D577" s="86">
        <f>D580</f>
        <v>47</v>
      </c>
      <c r="E577" s="86">
        <f>E580</f>
        <v>39</v>
      </c>
      <c r="F577" s="86"/>
      <c r="G577" s="86">
        <f>G580</f>
        <v>70</v>
      </c>
      <c r="H577" s="86">
        <f>H580</f>
        <v>86</v>
      </c>
      <c r="J577" s="106"/>
    </row>
    <row r="578" spans="1:12" s="12" customFormat="1">
      <c r="A578" s="60" t="s">
        <v>516</v>
      </c>
      <c r="B578" s="984"/>
      <c r="C578" s="86">
        <f>C579</f>
        <v>38</v>
      </c>
      <c r="D578" s="86">
        <f>D579</f>
        <v>35</v>
      </c>
      <c r="E578" s="86">
        <f>E579</f>
        <v>31</v>
      </c>
      <c r="F578" s="86"/>
      <c r="G578" s="86">
        <f>G579</f>
        <v>50</v>
      </c>
      <c r="H578" s="86">
        <f>H579</f>
        <v>86</v>
      </c>
      <c r="J578" s="106"/>
    </row>
    <row r="579" spans="1:12" s="12" customFormat="1">
      <c r="A579" s="60" t="s">
        <v>318</v>
      </c>
      <c r="B579" s="984"/>
      <c r="C579" s="86">
        <v>38</v>
      </c>
      <c r="D579" s="86">
        <v>35</v>
      </c>
      <c r="E579" s="86">
        <v>31</v>
      </c>
      <c r="F579" s="86"/>
      <c r="G579" s="86">
        <v>50</v>
      </c>
      <c r="H579" s="86">
        <v>86</v>
      </c>
      <c r="J579" s="106"/>
    </row>
    <row r="580" spans="1:12" s="12" customFormat="1">
      <c r="A580" s="60" t="s">
        <v>316</v>
      </c>
      <c r="B580" s="984"/>
      <c r="C580" s="86">
        <v>65</v>
      </c>
      <c r="D580" s="86">
        <v>47</v>
      </c>
      <c r="E580" s="86">
        <v>39</v>
      </c>
      <c r="F580" s="86"/>
      <c r="G580" s="86">
        <v>70</v>
      </c>
      <c r="H580" s="86">
        <v>86</v>
      </c>
      <c r="J580" s="106"/>
    </row>
    <row r="581" spans="1:12" s="12" customFormat="1">
      <c r="A581" s="60" t="s">
        <v>315</v>
      </c>
      <c r="B581" s="984"/>
      <c r="C581" s="86">
        <v>44</v>
      </c>
      <c r="D581" s="86">
        <v>60</v>
      </c>
      <c r="E581" s="86">
        <v>66</v>
      </c>
      <c r="F581" s="86"/>
      <c r="G581" s="86">
        <v>130</v>
      </c>
      <c r="H581" s="86">
        <v>86</v>
      </c>
      <c r="J581" s="106"/>
    </row>
    <row r="582" spans="1:12" s="85" customFormat="1">
      <c r="A582" s="16" t="s">
        <v>467</v>
      </c>
      <c r="B582" s="84"/>
      <c r="C582" s="84"/>
      <c r="D582" s="84"/>
      <c r="G582" s="84"/>
    </row>
    <row r="583" spans="1:12" s="68" customFormat="1">
      <c r="A583" s="68" t="s">
        <v>544</v>
      </c>
      <c r="B583" s="68" t="s">
        <v>545</v>
      </c>
      <c r="C583" s="64"/>
      <c r="D583" s="64"/>
      <c r="G583" s="64"/>
      <c r="H583" s="119"/>
      <c r="I583" s="103"/>
    </row>
    <row r="584" spans="1:12" s="68" customFormat="1">
      <c r="B584" s="68" t="s">
        <v>333</v>
      </c>
      <c r="C584" s="64"/>
      <c r="D584" s="64"/>
      <c r="G584" s="64"/>
      <c r="I584" s="103"/>
    </row>
    <row r="585" spans="1:12" s="68" customFormat="1">
      <c r="A585" s="68" t="s">
        <v>470</v>
      </c>
      <c r="B585" s="68" t="s">
        <v>596</v>
      </c>
      <c r="C585" s="64" t="s">
        <v>564</v>
      </c>
      <c r="D585" s="64" t="s">
        <v>567</v>
      </c>
      <c r="E585" s="68" t="s">
        <v>569</v>
      </c>
      <c r="F585" s="68" t="s">
        <v>565</v>
      </c>
      <c r="G585" s="64" t="s">
        <v>568</v>
      </c>
      <c r="H585" s="68" t="s">
        <v>577</v>
      </c>
      <c r="I585" s="103" t="s">
        <v>566</v>
      </c>
      <c r="J585" s="68" t="s">
        <v>576</v>
      </c>
      <c r="K585" s="68" t="s">
        <v>594</v>
      </c>
      <c r="L585" s="68" t="s">
        <v>595</v>
      </c>
    </row>
    <row r="586" spans="1:12" s="188" customFormat="1">
      <c r="A586" s="188" t="s">
        <v>323</v>
      </c>
      <c r="B586" s="189">
        <v>0.8</v>
      </c>
      <c r="C586" s="189">
        <v>1</v>
      </c>
      <c r="D586" s="189">
        <v>1.02</v>
      </c>
      <c r="E586" s="189">
        <v>1.1000000000000001</v>
      </c>
      <c r="F586" s="189">
        <v>1</v>
      </c>
      <c r="G586" s="189">
        <v>0.9</v>
      </c>
      <c r="I586" s="190"/>
    </row>
    <row r="587" spans="1:12" s="188" customFormat="1">
      <c r="A587" s="188" t="s">
        <v>322</v>
      </c>
      <c r="B587" s="189">
        <v>0.69</v>
      </c>
      <c r="C587" s="189">
        <v>1</v>
      </c>
      <c r="D587" s="189">
        <v>1.08</v>
      </c>
      <c r="E587" s="189">
        <v>1.1499999999999999</v>
      </c>
      <c r="F587" s="189">
        <v>1</v>
      </c>
      <c r="G587" s="189">
        <v>0.9</v>
      </c>
      <c r="I587" s="190"/>
    </row>
    <row r="588" spans="1:12" s="188" customFormat="1">
      <c r="A588" s="191" t="s">
        <v>320</v>
      </c>
      <c r="B588" s="189">
        <v>0.8</v>
      </c>
      <c r="C588" s="189">
        <v>1</v>
      </c>
      <c r="D588" s="189">
        <v>1.02</v>
      </c>
      <c r="E588" s="189">
        <v>1.1000000000000001</v>
      </c>
      <c r="F588" s="189">
        <v>1</v>
      </c>
      <c r="G588" s="189">
        <v>0.9</v>
      </c>
      <c r="I588" s="190"/>
    </row>
    <row r="589" spans="1:12" s="188" customFormat="1">
      <c r="A589" s="191" t="s">
        <v>321</v>
      </c>
      <c r="B589" s="189">
        <v>0.69</v>
      </c>
      <c r="C589" s="189">
        <v>1</v>
      </c>
      <c r="D589" s="189">
        <v>1.08</v>
      </c>
      <c r="E589" s="189">
        <v>1.1499999999999999</v>
      </c>
      <c r="F589" s="189">
        <v>1</v>
      </c>
      <c r="G589" s="189">
        <v>0.9</v>
      </c>
      <c r="I589" s="190"/>
    </row>
    <row r="590" spans="1:12" s="188" customFormat="1">
      <c r="A590" s="191" t="s">
        <v>319</v>
      </c>
      <c r="B590" s="189">
        <v>0.8</v>
      </c>
      <c r="C590" s="189">
        <v>1</v>
      </c>
      <c r="D590" s="189">
        <v>1.02</v>
      </c>
      <c r="E590" s="189">
        <v>1.1000000000000001</v>
      </c>
      <c r="F590" s="189">
        <v>1</v>
      </c>
      <c r="G590" s="189">
        <v>0.9</v>
      </c>
      <c r="I590" s="190"/>
    </row>
    <row r="591" spans="1:12" s="188" customFormat="1">
      <c r="A591" s="191" t="s">
        <v>475</v>
      </c>
      <c r="B591" s="189">
        <v>0.69</v>
      </c>
      <c r="C591" s="189">
        <v>1</v>
      </c>
      <c r="D591" s="189">
        <v>1.08</v>
      </c>
      <c r="E591" s="189">
        <v>1.1499999999999999</v>
      </c>
      <c r="F591" s="189">
        <v>1</v>
      </c>
      <c r="G591" s="189">
        <v>0.9</v>
      </c>
      <c r="I591" s="190"/>
    </row>
    <row r="592" spans="1:12" s="188" customFormat="1">
      <c r="A592" s="191" t="s">
        <v>515</v>
      </c>
      <c r="B592" s="189">
        <v>0.64</v>
      </c>
      <c r="C592" s="189">
        <v>1</v>
      </c>
      <c r="D592" s="189">
        <v>1.0900000000000001</v>
      </c>
      <c r="E592" s="189">
        <v>1.1599999999999999</v>
      </c>
      <c r="F592" s="189">
        <v>1</v>
      </c>
      <c r="G592" s="189">
        <v>0.9</v>
      </c>
      <c r="I592" s="190"/>
    </row>
    <row r="593" spans="1:9" s="188" customFormat="1">
      <c r="A593" s="191" t="s">
        <v>516</v>
      </c>
      <c r="B593" s="189">
        <v>0.64</v>
      </c>
      <c r="C593" s="189">
        <v>1</v>
      </c>
      <c r="D593" s="189">
        <v>1.0900000000000001</v>
      </c>
      <c r="E593" s="189">
        <v>1.1599999999999999</v>
      </c>
      <c r="F593" s="189">
        <v>1</v>
      </c>
      <c r="G593" s="189">
        <v>0.9</v>
      </c>
      <c r="I593" s="190"/>
    </row>
    <row r="594" spans="1:9" s="188" customFormat="1">
      <c r="A594" s="191" t="s">
        <v>318</v>
      </c>
      <c r="B594" s="189">
        <v>0.57999999999999996</v>
      </c>
      <c r="C594" s="189">
        <v>1</v>
      </c>
      <c r="D594" s="189">
        <v>1.0900000000000001</v>
      </c>
      <c r="E594" s="189">
        <v>1.17</v>
      </c>
      <c r="F594" s="189">
        <v>1</v>
      </c>
      <c r="G594" s="189">
        <v>0.9</v>
      </c>
      <c r="I594" s="190"/>
    </row>
    <row r="595" spans="1:9" s="188" customFormat="1">
      <c r="A595" s="191" t="s">
        <v>316</v>
      </c>
      <c r="B595" s="189">
        <v>0.48</v>
      </c>
      <c r="C595" s="189">
        <v>1</v>
      </c>
      <c r="D595" s="189">
        <v>1.1499999999999999</v>
      </c>
      <c r="E595" s="189">
        <v>1.22</v>
      </c>
      <c r="F595" s="189">
        <v>1</v>
      </c>
      <c r="G595" s="189">
        <v>0.9</v>
      </c>
      <c r="I595" s="190"/>
    </row>
    <row r="596" spans="1:9" s="188" customFormat="1">
      <c r="A596" s="191" t="s">
        <v>315</v>
      </c>
      <c r="B596" s="189">
        <v>0.48</v>
      </c>
      <c r="C596" s="189">
        <v>1</v>
      </c>
      <c r="D596" s="189">
        <v>1.1499999999999999</v>
      </c>
      <c r="E596" s="189">
        <v>1.22</v>
      </c>
      <c r="F596" s="189">
        <v>1</v>
      </c>
      <c r="G596" s="189">
        <v>0.9</v>
      </c>
      <c r="I596" s="190"/>
    </row>
    <row r="597" spans="1:9" s="16" customFormat="1">
      <c r="A597" s="16" t="s">
        <v>597</v>
      </c>
      <c r="B597" s="3410" t="s">
        <v>1032</v>
      </c>
      <c r="C597" s="3410"/>
      <c r="D597" s="3410"/>
      <c r="E597" s="3410"/>
      <c r="F597" s="16" t="s">
        <v>601</v>
      </c>
      <c r="G597" s="75"/>
    </row>
    <row r="598" spans="1:9" s="16" customFormat="1">
      <c r="B598" s="75" t="s">
        <v>324</v>
      </c>
      <c r="C598" s="75" t="s">
        <v>325</v>
      </c>
      <c r="D598" s="75" t="s">
        <v>314</v>
      </c>
      <c r="E598" s="75" t="s">
        <v>317</v>
      </c>
      <c r="F598" s="991" t="s">
        <v>5</v>
      </c>
      <c r="G598" s="75"/>
    </row>
    <row r="599" spans="1:9" s="188" customFormat="1">
      <c r="A599" s="188" t="s">
        <v>598</v>
      </c>
      <c r="B599" s="189">
        <v>0.28999999999999998</v>
      </c>
      <c r="C599" s="189">
        <v>0.88</v>
      </c>
      <c r="D599" s="189">
        <v>0.28999999999999998</v>
      </c>
      <c r="E599" s="189">
        <v>0.88</v>
      </c>
      <c r="G599" s="189"/>
    </row>
    <row r="600" spans="1:9" s="188" customFormat="1">
      <c r="A600" s="188" t="s">
        <v>599</v>
      </c>
      <c r="B600" s="189">
        <v>0.26</v>
      </c>
      <c r="C600" s="189">
        <v>0.55000000000000004</v>
      </c>
      <c r="D600" s="189">
        <v>0.26</v>
      </c>
      <c r="E600" s="189">
        <v>0.55000000000000004</v>
      </c>
      <c r="G600" s="189"/>
    </row>
    <row r="601" spans="1:9" s="188" customFormat="1">
      <c r="A601" s="188" t="s">
        <v>600</v>
      </c>
      <c r="B601" s="189">
        <v>0.15</v>
      </c>
      <c r="C601" s="189">
        <v>0.51</v>
      </c>
      <c r="D601" s="189">
        <v>0.33</v>
      </c>
      <c r="E601" s="189">
        <v>0.7</v>
      </c>
      <c r="G601" s="189"/>
    </row>
    <row r="602" spans="1:9" s="188" customFormat="1">
      <c r="A602" s="188" t="s">
        <v>575</v>
      </c>
      <c r="B602" s="189">
        <v>1.1399999999999999</v>
      </c>
      <c r="C602" s="189">
        <v>1.1399999999999999</v>
      </c>
      <c r="D602" s="189">
        <v>1.1399999999999999</v>
      </c>
      <c r="E602" s="189">
        <v>1.1399999999999999</v>
      </c>
      <c r="G602" s="189"/>
    </row>
    <row r="603" spans="1:9" s="188" customFormat="1">
      <c r="A603" s="188" t="s">
        <v>602</v>
      </c>
      <c r="B603" s="189">
        <v>1.54</v>
      </c>
      <c r="C603" s="189">
        <v>2.79</v>
      </c>
      <c r="D603" s="189">
        <v>1.54</v>
      </c>
      <c r="E603" s="189">
        <v>2.79</v>
      </c>
      <c r="G603" s="189"/>
      <c r="I603" s="190"/>
    </row>
    <row r="604" spans="1:9" s="188" customFormat="1">
      <c r="A604" s="188" t="s">
        <v>1030</v>
      </c>
      <c r="B604" s="189">
        <v>0.15</v>
      </c>
      <c r="C604" s="189">
        <v>0.51</v>
      </c>
      <c r="D604" s="189">
        <v>0.33</v>
      </c>
      <c r="E604" s="189">
        <v>0.7</v>
      </c>
      <c r="G604" s="189"/>
      <c r="I604" s="190"/>
    </row>
    <row r="605" spans="1:9" s="17" customFormat="1">
      <c r="A605" s="17" t="s">
        <v>630</v>
      </c>
      <c r="B605" s="30"/>
      <c r="C605" s="30"/>
      <c r="D605" s="30"/>
      <c r="G605" s="30"/>
      <c r="I605" s="85"/>
    </row>
    <row r="606" spans="1:9" s="17" customFormat="1">
      <c r="A606" s="17" t="s">
        <v>641</v>
      </c>
      <c r="B606" s="30" t="s">
        <v>631</v>
      </c>
      <c r="C606" s="30"/>
      <c r="D606" s="30"/>
      <c r="G606" s="30"/>
      <c r="I606" s="85"/>
    </row>
    <row r="607" spans="1:9" s="17" customFormat="1">
      <c r="A607" s="17" t="s">
        <v>632</v>
      </c>
      <c r="B607" s="30" t="s">
        <v>636</v>
      </c>
      <c r="C607" s="30"/>
      <c r="D607" s="30"/>
      <c r="G607" s="30"/>
      <c r="I607" s="85"/>
    </row>
    <row r="608" spans="1:9" s="12" customFormat="1">
      <c r="A608" s="12" t="s">
        <v>76</v>
      </c>
      <c r="B608" s="86"/>
      <c r="C608" s="86"/>
      <c r="D608" s="86"/>
      <c r="G608" s="86"/>
      <c r="I608" s="106"/>
    </row>
    <row r="609" spans="1:9" s="188" customFormat="1">
      <c r="A609" s="188" t="s">
        <v>633</v>
      </c>
      <c r="B609" s="189">
        <v>1</v>
      </c>
      <c r="C609" s="189"/>
      <c r="D609" s="189"/>
      <c r="G609" s="189"/>
      <c r="I609" s="190"/>
    </row>
    <row r="610" spans="1:9" s="188" customFormat="1">
      <c r="A610" s="188" t="s">
        <v>634</v>
      </c>
      <c r="B610" s="189">
        <f>(0.6+0.52)/2</f>
        <v>0.56000000000000005</v>
      </c>
      <c r="C610" s="189"/>
      <c r="D610" s="189"/>
      <c r="G610" s="189"/>
      <c r="I610" s="190"/>
    </row>
    <row r="611" spans="1:9" s="188" customFormat="1">
      <c r="A611" s="188" t="s">
        <v>635</v>
      </c>
      <c r="B611" s="189">
        <v>0.27</v>
      </c>
      <c r="C611" s="189"/>
      <c r="D611" s="189"/>
      <c r="G611" s="189"/>
      <c r="I611" s="190"/>
    </row>
    <row r="612" spans="1:9" s="17" customFormat="1">
      <c r="A612" s="17" t="s">
        <v>640</v>
      </c>
      <c r="B612" s="30"/>
      <c r="C612" s="30"/>
      <c r="D612" s="30"/>
      <c r="G612" s="30"/>
      <c r="I612" s="85"/>
    </row>
    <row r="613" spans="1:9" s="17" customFormat="1">
      <c r="A613" s="17" t="s">
        <v>641</v>
      </c>
      <c r="B613" s="30" t="s">
        <v>642</v>
      </c>
      <c r="C613" s="30"/>
      <c r="D613" s="30"/>
      <c r="G613" s="30"/>
      <c r="I613" s="85"/>
    </row>
    <row r="614" spans="1:9" s="17" customFormat="1">
      <c r="A614" s="17" t="s">
        <v>632</v>
      </c>
      <c r="B614" s="30" t="s">
        <v>643</v>
      </c>
      <c r="C614" s="30"/>
      <c r="D614" s="30"/>
      <c r="G614" s="30"/>
      <c r="I614" s="85"/>
    </row>
    <row r="615" spans="1:9" s="12" customFormat="1">
      <c r="A615" s="12" t="s">
        <v>75</v>
      </c>
      <c r="B615" s="86"/>
      <c r="C615" s="86"/>
      <c r="D615" s="86"/>
      <c r="G615" s="86"/>
      <c r="I615" s="106"/>
    </row>
    <row r="616" spans="1:9" s="188" customFormat="1">
      <c r="A616" s="188" t="s">
        <v>644</v>
      </c>
      <c r="B616" s="189">
        <v>1</v>
      </c>
      <c r="C616" s="189"/>
      <c r="D616" s="189"/>
      <c r="G616" s="189"/>
      <c r="I616" s="190"/>
    </row>
    <row r="617" spans="1:9" s="188" customFormat="1">
      <c r="A617" s="188" t="s">
        <v>645</v>
      </c>
      <c r="B617" s="189">
        <v>0.68</v>
      </c>
      <c r="C617" s="189"/>
      <c r="D617" s="189"/>
      <c r="G617" s="189"/>
      <c r="I617" s="190"/>
    </row>
    <row r="618" spans="1:9" s="188" customFormat="1">
      <c r="A618" s="188" t="s">
        <v>646</v>
      </c>
      <c r="B618" s="189">
        <v>1.9</v>
      </c>
      <c r="C618" s="189"/>
      <c r="D618" s="189"/>
      <c r="G618" s="189"/>
      <c r="I618" s="190"/>
    </row>
    <row r="619" spans="1:9" s="17" customFormat="1">
      <c r="A619" s="17" t="s">
        <v>647</v>
      </c>
      <c r="B619" s="30"/>
      <c r="C619" s="30"/>
      <c r="D619" s="30"/>
      <c r="G619" s="30"/>
      <c r="I619" s="85"/>
    </row>
    <row r="620" spans="1:9" s="17" customFormat="1">
      <c r="A620" s="17" t="s">
        <v>641</v>
      </c>
      <c r="B620" s="30" t="s">
        <v>648</v>
      </c>
      <c r="C620" s="30"/>
      <c r="D620" s="30"/>
      <c r="G620" s="30"/>
      <c r="I620" s="85"/>
    </row>
    <row r="621" spans="1:9" s="17" customFormat="1">
      <c r="A621" s="17" t="s">
        <v>649</v>
      </c>
      <c r="B621" s="30" t="s">
        <v>650</v>
      </c>
      <c r="C621" s="30"/>
      <c r="D621" s="30"/>
      <c r="G621" s="30"/>
      <c r="I621" s="85"/>
    </row>
    <row r="622" spans="1:9" s="12" customFormat="1">
      <c r="A622" s="12" t="s">
        <v>74</v>
      </c>
      <c r="B622" s="86"/>
      <c r="C622" s="86"/>
      <c r="D622" s="86"/>
      <c r="G622" s="86"/>
      <c r="I622" s="106"/>
    </row>
    <row r="623" spans="1:9" s="188" customFormat="1">
      <c r="A623" s="188" t="s">
        <v>1172</v>
      </c>
      <c r="B623" s="189">
        <v>0</v>
      </c>
      <c r="C623" s="189"/>
      <c r="D623" s="189"/>
      <c r="G623" s="189"/>
      <c r="I623" s="190"/>
    </row>
    <row r="624" spans="1:9" s="188" customFormat="1">
      <c r="A624" s="188" t="s">
        <v>1174</v>
      </c>
      <c r="B624" s="189">
        <v>0</v>
      </c>
      <c r="C624" s="189"/>
      <c r="D624" s="189"/>
      <c r="G624" s="189"/>
      <c r="I624" s="190"/>
    </row>
    <row r="625" spans="1:9" s="188" customFormat="1">
      <c r="A625" s="2929" t="s">
        <v>5209</v>
      </c>
      <c r="B625" s="189">
        <v>1</v>
      </c>
      <c r="C625" s="189"/>
      <c r="D625" s="189"/>
      <c r="G625" s="189"/>
      <c r="I625" s="190"/>
    </row>
    <row r="626" spans="1:9" s="188" customFormat="1">
      <c r="A626" s="2929" t="s">
        <v>5210</v>
      </c>
      <c r="B626" s="189">
        <v>0.28999999999999998</v>
      </c>
      <c r="C626" s="189"/>
      <c r="D626" s="189"/>
      <c r="G626" s="189"/>
      <c r="I626" s="190"/>
    </row>
    <row r="627" spans="1:9" s="188" customFormat="1">
      <c r="A627" s="188" t="s">
        <v>381</v>
      </c>
      <c r="B627" s="189">
        <v>0.05</v>
      </c>
      <c r="C627" s="189"/>
      <c r="D627" s="189"/>
      <c r="G627" s="189"/>
      <c r="I627" s="190"/>
    </row>
    <row r="628" spans="1:9" s="188" customFormat="1">
      <c r="A628" s="188" t="s">
        <v>1173</v>
      </c>
      <c r="B628" s="189">
        <v>0.14000000000000001</v>
      </c>
      <c r="C628" s="189"/>
      <c r="D628" s="189"/>
      <c r="G628" s="189"/>
      <c r="I628" s="190"/>
    </row>
    <row r="629" spans="1:9" s="188" customFormat="1">
      <c r="A629" s="188" t="s">
        <v>651</v>
      </c>
      <c r="B629" s="189">
        <v>0.5</v>
      </c>
      <c r="C629" s="189"/>
      <c r="D629" s="189"/>
      <c r="G629" s="189"/>
      <c r="I629" s="190"/>
    </row>
    <row r="630" spans="1:9" s="68" customFormat="1">
      <c r="A630" s="68" t="s">
        <v>863</v>
      </c>
      <c r="B630" s="68" t="s">
        <v>864</v>
      </c>
      <c r="C630" s="64"/>
      <c r="D630" s="64"/>
      <c r="G630" s="64"/>
      <c r="H630" s="119"/>
      <c r="I630" s="103"/>
    </row>
    <row r="631" spans="1:9" s="68" customFormat="1">
      <c r="C631" s="64"/>
      <c r="D631" s="64"/>
      <c r="G631" s="64"/>
      <c r="I631" s="103"/>
    </row>
    <row r="632" spans="1:9" s="68" customFormat="1">
      <c r="A632" s="68" t="s">
        <v>470</v>
      </c>
      <c r="B632" s="68" t="s">
        <v>865</v>
      </c>
      <c r="C632" s="64" t="s">
        <v>866</v>
      </c>
      <c r="D632" s="64" t="s">
        <v>867</v>
      </c>
      <c r="E632" s="68" t="s">
        <v>868</v>
      </c>
      <c r="G632" s="64"/>
      <c r="I632" s="103"/>
    </row>
    <row r="633" spans="1:9" s="978" customFormat="1">
      <c r="A633" s="978" t="str">
        <f>G7</f>
        <v>Please select</v>
      </c>
      <c r="C633" s="977"/>
      <c r="D633" s="977"/>
      <c r="G633" s="977"/>
      <c r="I633" s="992"/>
    </row>
    <row r="634" spans="1:9" s="188" customFormat="1">
      <c r="A634" s="188" t="s">
        <v>323</v>
      </c>
      <c r="B634" s="189">
        <v>1</v>
      </c>
      <c r="C634" s="189">
        <v>1</v>
      </c>
      <c r="D634" s="189">
        <v>0.95</v>
      </c>
      <c r="E634" s="189">
        <v>1.1399999999999999</v>
      </c>
      <c r="F634" s="189"/>
      <c r="G634" s="189"/>
      <c r="I634" s="190"/>
    </row>
    <row r="635" spans="1:9" s="188" customFormat="1">
      <c r="A635" s="188" t="s">
        <v>322</v>
      </c>
      <c r="B635" s="189">
        <v>1</v>
      </c>
      <c r="C635" s="189">
        <v>1</v>
      </c>
      <c r="D635" s="189">
        <v>0.95</v>
      </c>
      <c r="E635" s="189">
        <v>1.1399999999999999</v>
      </c>
      <c r="F635" s="189"/>
      <c r="G635" s="189"/>
      <c r="I635" s="190"/>
    </row>
    <row r="636" spans="1:9" s="188" customFormat="1">
      <c r="A636" s="191" t="s">
        <v>320</v>
      </c>
      <c r="B636" s="189">
        <v>1</v>
      </c>
      <c r="C636" s="189">
        <v>1</v>
      </c>
      <c r="D636" s="189">
        <v>0.95</v>
      </c>
      <c r="E636" s="189">
        <v>1.1399999999999999</v>
      </c>
      <c r="F636" s="189"/>
      <c r="G636" s="189"/>
      <c r="I636" s="190"/>
    </row>
    <row r="637" spans="1:9" s="188" customFormat="1">
      <c r="A637" s="191" t="s">
        <v>321</v>
      </c>
      <c r="B637" s="189">
        <v>1</v>
      </c>
      <c r="C637" s="189">
        <v>1</v>
      </c>
      <c r="D637" s="189">
        <v>0.95</v>
      </c>
      <c r="E637" s="189">
        <v>1.1399999999999999</v>
      </c>
      <c r="F637" s="189"/>
      <c r="G637" s="189"/>
      <c r="I637" s="190"/>
    </row>
    <row r="638" spans="1:9" s="188" customFormat="1">
      <c r="A638" s="191" t="s">
        <v>319</v>
      </c>
      <c r="B638" s="189">
        <v>1</v>
      </c>
      <c r="C638" s="189">
        <v>1</v>
      </c>
      <c r="D638" s="189">
        <v>0.95</v>
      </c>
      <c r="E638" s="189">
        <v>1.1399999999999999</v>
      </c>
      <c r="F638" s="189"/>
      <c r="G638" s="189"/>
      <c r="I638" s="190"/>
    </row>
    <row r="639" spans="1:9" s="188" customFormat="1">
      <c r="A639" s="191" t="s">
        <v>475</v>
      </c>
      <c r="B639" s="189">
        <v>1</v>
      </c>
      <c r="C639" s="189">
        <v>1</v>
      </c>
      <c r="D639" s="189">
        <v>0.95</v>
      </c>
      <c r="E639" s="189">
        <v>1.1399999999999999</v>
      </c>
      <c r="F639" s="189"/>
      <c r="G639" s="189"/>
      <c r="I639" s="190"/>
    </row>
    <row r="640" spans="1:9" s="188" customFormat="1">
      <c r="A640" s="191" t="s">
        <v>515</v>
      </c>
      <c r="B640" s="189">
        <v>1</v>
      </c>
      <c r="C640" s="189">
        <v>1</v>
      </c>
      <c r="D640" s="189">
        <v>0.97</v>
      </c>
      <c r="E640" s="189">
        <v>1.17</v>
      </c>
      <c r="F640" s="189"/>
      <c r="G640" s="189"/>
      <c r="I640" s="190"/>
    </row>
    <row r="641" spans="1:9" s="188" customFormat="1">
      <c r="A641" s="191" t="s">
        <v>516</v>
      </c>
      <c r="B641" s="189">
        <v>1</v>
      </c>
      <c r="C641" s="189">
        <v>1</v>
      </c>
      <c r="D641" s="189">
        <v>0.97</v>
      </c>
      <c r="E641" s="189">
        <v>1.17</v>
      </c>
      <c r="F641" s="189"/>
      <c r="G641" s="189"/>
      <c r="I641" s="190"/>
    </row>
    <row r="642" spans="1:9" s="188" customFormat="1">
      <c r="A642" s="191" t="s">
        <v>318</v>
      </c>
      <c r="B642" s="189">
        <v>1</v>
      </c>
      <c r="C642" s="189">
        <v>1</v>
      </c>
      <c r="D642" s="189">
        <v>0.96</v>
      </c>
      <c r="E642" s="189">
        <v>1.1599999999999999</v>
      </c>
      <c r="F642" s="189"/>
      <c r="G642" s="189"/>
      <c r="I642" s="190"/>
    </row>
    <row r="643" spans="1:9" s="188" customFormat="1">
      <c r="A643" s="191" t="s">
        <v>316</v>
      </c>
      <c r="B643" s="189">
        <v>1</v>
      </c>
      <c r="C643" s="189">
        <v>1</v>
      </c>
      <c r="D643" s="189">
        <v>0.96</v>
      </c>
      <c r="E643" s="189">
        <v>1.1599999999999999</v>
      </c>
      <c r="F643" s="189"/>
      <c r="G643" s="189"/>
      <c r="I643" s="190"/>
    </row>
    <row r="644" spans="1:9" s="188" customFormat="1">
      <c r="A644" s="191" t="s">
        <v>315</v>
      </c>
      <c r="B644" s="189">
        <v>1</v>
      </c>
      <c r="C644" s="189">
        <v>1</v>
      </c>
      <c r="D644" s="189">
        <v>0.96</v>
      </c>
      <c r="E644" s="189">
        <v>1.1599999999999999</v>
      </c>
      <c r="F644" s="189"/>
      <c r="G644" s="189"/>
      <c r="I644" s="190"/>
    </row>
    <row r="645" spans="1:9" s="68" customFormat="1">
      <c r="A645" s="68" t="s">
        <v>872</v>
      </c>
      <c r="C645" s="64"/>
      <c r="D645" s="64"/>
      <c r="G645" s="64"/>
      <c r="H645" s="119"/>
      <c r="I645" s="103"/>
    </row>
    <row r="646" spans="1:9" s="68" customFormat="1">
      <c r="B646" s="68" t="s">
        <v>871</v>
      </c>
      <c r="C646" s="64"/>
      <c r="D646" s="64"/>
      <c r="G646" s="64"/>
      <c r="I646" s="103"/>
    </row>
    <row r="647" spans="1:9" s="68" customFormat="1">
      <c r="A647" s="68" t="s">
        <v>470</v>
      </c>
      <c r="B647" s="68" t="s">
        <v>873</v>
      </c>
      <c r="C647" s="64"/>
      <c r="D647" s="64"/>
      <c r="G647" s="64"/>
      <c r="I647" s="103"/>
    </row>
    <row r="648" spans="1:9" s="978" customFormat="1">
      <c r="A648" s="978" t="str">
        <f>G7</f>
        <v>Please select</v>
      </c>
      <c r="C648" s="977"/>
      <c r="D648" s="977"/>
      <c r="G648" s="977"/>
      <c r="I648" s="992"/>
    </row>
    <row r="649" spans="1:9" s="188" customFormat="1">
      <c r="A649" s="188" t="s">
        <v>323</v>
      </c>
      <c r="B649" s="189">
        <v>1.7</v>
      </c>
      <c r="C649" s="189"/>
      <c r="D649" s="189"/>
      <c r="E649" s="189"/>
      <c r="F649" s="189"/>
      <c r="G649" s="189"/>
      <c r="I649" s="190"/>
    </row>
    <row r="650" spans="1:9" s="188" customFormat="1">
      <c r="A650" s="188" t="s">
        <v>322</v>
      </c>
      <c r="B650" s="189">
        <v>1.7</v>
      </c>
      <c r="C650" s="189"/>
      <c r="D650" s="189"/>
      <c r="E650" s="189"/>
      <c r="F650" s="189"/>
      <c r="G650" s="189"/>
      <c r="I650" s="190"/>
    </row>
    <row r="651" spans="1:9" s="188" customFormat="1">
      <c r="A651" s="191" t="s">
        <v>320</v>
      </c>
      <c r="B651" s="189">
        <v>1.7</v>
      </c>
      <c r="C651" s="189"/>
      <c r="D651" s="189"/>
      <c r="E651" s="189"/>
      <c r="F651" s="189"/>
      <c r="G651" s="189"/>
      <c r="I651" s="190"/>
    </row>
    <row r="652" spans="1:9" s="188" customFormat="1">
      <c r="A652" s="191" t="s">
        <v>321</v>
      </c>
      <c r="B652" s="189">
        <v>2.7</v>
      </c>
      <c r="C652" s="189"/>
      <c r="D652" s="189"/>
      <c r="E652" s="189"/>
      <c r="F652" s="189"/>
      <c r="G652" s="189"/>
      <c r="I652" s="190"/>
    </row>
    <row r="653" spans="1:9" s="188" customFormat="1">
      <c r="A653" s="191" t="s">
        <v>319</v>
      </c>
      <c r="B653" s="189">
        <v>1.6</v>
      </c>
      <c r="C653" s="189"/>
      <c r="D653" s="189"/>
      <c r="E653" s="189"/>
      <c r="F653" s="189"/>
      <c r="G653" s="189"/>
      <c r="I653" s="190"/>
    </row>
    <row r="654" spans="1:9" s="188" customFormat="1">
      <c r="A654" s="191" t="s">
        <v>475</v>
      </c>
      <c r="B654" s="189">
        <v>2.7</v>
      </c>
      <c r="C654" s="189"/>
      <c r="D654" s="189"/>
      <c r="E654" s="189"/>
      <c r="F654" s="189"/>
      <c r="G654" s="189"/>
      <c r="I654" s="190"/>
    </row>
    <row r="655" spans="1:9" s="188" customFormat="1">
      <c r="A655" s="191" t="s">
        <v>515</v>
      </c>
      <c r="B655" s="189">
        <v>2.2999999999999998</v>
      </c>
      <c r="C655" s="189"/>
      <c r="D655" s="189"/>
      <c r="E655" s="189"/>
      <c r="F655" s="189"/>
      <c r="G655" s="189"/>
      <c r="I655" s="190"/>
    </row>
    <row r="656" spans="1:9" s="188" customFormat="1">
      <c r="A656" s="191" t="s">
        <v>516</v>
      </c>
      <c r="B656" s="189">
        <v>2.2999999999999998</v>
      </c>
      <c r="C656" s="189"/>
      <c r="D656" s="189"/>
      <c r="E656" s="189"/>
      <c r="F656" s="189"/>
      <c r="G656" s="189"/>
      <c r="I656" s="190"/>
    </row>
    <row r="657" spans="1:9" s="188" customFormat="1">
      <c r="A657" s="191" t="s">
        <v>318</v>
      </c>
      <c r="B657" s="189">
        <v>2.2999999999999998</v>
      </c>
      <c r="C657" s="189"/>
      <c r="D657" s="189"/>
      <c r="E657" s="189"/>
      <c r="F657" s="189"/>
      <c r="G657" s="189"/>
      <c r="I657" s="190"/>
    </row>
    <row r="658" spans="1:9" s="188" customFormat="1">
      <c r="A658" s="191" t="s">
        <v>316</v>
      </c>
      <c r="B658" s="189">
        <v>6.2</v>
      </c>
      <c r="C658" s="189"/>
      <c r="D658" s="189"/>
      <c r="E658" s="189"/>
      <c r="F658" s="189"/>
      <c r="G658" s="189"/>
      <c r="I658" s="190"/>
    </row>
    <row r="659" spans="1:9" s="188" customFormat="1" ht="13.5" customHeight="1">
      <c r="A659" s="191" t="s">
        <v>315</v>
      </c>
      <c r="B659" s="189">
        <v>6.2</v>
      </c>
      <c r="C659" s="189"/>
      <c r="D659" s="189"/>
      <c r="E659" s="189"/>
      <c r="F659" s="189"/>
      <c r="G659" s="189"/>
      <c r="I659" s="190"/>
    </row>
    <row r="660" spans="1:9" s="68" customFormat="1">
      <c r="A660" s="68" t="s">
        <v>1133</v>
      </c>
      <c r="C660" s="64"/>
      <c r="D660" s="64"/>
      <c r="G660" s="64"/>
      <c r="H660" s="119"/>
      <c r="I660" s="103"/>
    </row>
    <row r="661" spans="1:9" s="68" customFormat="1">
      <c r="C661" s="64"/>
      <c r="D661" s="64"/>
      <c r="G661" s="64"/>
      <c r="I661" s="103"/>
    </row>
    <row r="662" spans="1:9" s="68" customFormat="1">
      <c r="A662" s="68" t="s">
        <v>470</v>
      </c>
      <c r="C662" s="64"/>
      <c r="D662" s="64"/>
      <c r="G662" s="64"/>
      <c r="I662" s="103"/>
    </row>
    <row r="663" spans="1:9" s="188" customFormat="1">
      <c r="A663" s="188" t="s">
        <v>323</v>
      </c>
      <c r="B663" s="189">
        <v>1.7</v>
      </c>
      <c r="C663" s="189"/>
      <c r="D663" s="189"/>
      <c r="E663" s="189"/>
      <c r="F663" s="189"/>
      <c r="G663" s="189"/>
      <c r="I663" s="190"/>
    </row>
    <row r="664" spans="1:9" s="188" customFormat="1">
      <c r="A664" s="188" t="s">
        <v>322</v>
      </c>
      <c r="B664" s="189">
        <v>1.7</v>
      </c>
      <c r="C664" s="189"/>
      <c r="D664" s="189"/>
      <c r="E664" s="189"/>
      <c r="F664" s="189"/>
      <c r="G664" s="189"/>
      <c r="I664" s="190"/>
    </row>
    <row r="665" spans="1:9" s="188" customFormat="1">
      <c r="A665" s="191" t="s">
        <v>320</v>
      </c>
      <c r="B665" s="189">
        <v>1.7</v>
      </c>
      <c r="C665" s="189"/>
      <c r="D665" s="189"/>
      <c r="E665" s="189"/>
      <c r="F665" s="189"/>
      <c r="G665" s="189"/>
      <c r="I665" s="190"/>
    </row>
    <row r="666" spans="1:9" s="188" customFormat="1">
      <c r="A666" s="191" t="s">
        <v>321</v>
      </c>
      <c r="B666" s="189">
        <v>2.7</v>
      </c>
      <c r="C666" s="189"/>
      <c r="D666" s="189"/>
      <c r="E666" s="189"/>
      <c r="F666" s="189"/>
      <c r="G666" s="189"/>
      <c r="I666" s="190"/>
    </row>
    <row r="667" spans="1:9" s="188" customFormat="1">
      <c r="A667" s="191" t="s">
        <v>319</v>
      </c>
      <c r="B667" s="189">
        <v>1.6</v>
      </c>
      <c r="C667" s="189"/>
      <c r="D667" s="189"/>
      <c r="E667" s="189"/>
      <c r="F667" s="189"/>
      <c r="G667" s="189"/>
      <c r="I667" s="190"/>
    </row>
    <row r="668" spans="1:9" s="188" customFormat="1">
      <c r="A668" s="191" t="s">
        <v>475</v>
      </c>
      <c r="B668" s="189">
        <v>2.7</v>
      </c>
      <c r="C668" s="189"/>
      <c r="D668" s="189"/>
      <c r="E668" s="189"/>
      <c r="F668" s="189"/>
      <c r="G668" s="189"/>
      <c r="I668" s="190"/>
    </row>
    <row r="669" spans="1:9" s="188" customFormat="1">
      <c r="A669" s="191" t="s">
        <v>515</v>
      </c>
      <c r="B669" s="189">
        <v>2.2999999999999998</v>
      </c>
      <c r="C669" s="189"/>
      <c r="D669" s="189"/>
      <c r="E669" s="189"/>
      <c r="F669" s="189"/>
      <c r="G669" s="189"/>
      <c r="I669" s="190"/>
    </row>
    <row r="670" spans="1:9" s="188" customFormat="1">
      <c r="A670" s="191" t="s">
        <v>516</v>
      </c>
      <c r="B670" s="189">
        <v>2.2999999999999998</v>
      </c>
      <c r="C670" s="189"/>
      <c r="D670" s="189"/>
      <c r="E670" s="189"/>
      <c r="F670" s="189"/>
      <c r="G670" s="189"/>
      <c r="I670" s="190"/>
    </row>
    <row r="671" spans="1:9" s="188" customFormat="1">
      <c r="A671" s="191" t="s">
        <v>318</v>
      </c>
      <c r="B671" s="189">
        <v>2.2999999999999998</v>
      </c>
      <c r="C671" s="189"/>
      <c r="D671" s="189"/>
      <c r="E671" s="189"/>
      <c r="F671" s="189"/>
      <c r="G671" s="189"/>
      <c r="I671" s="190"/>
    </row>
    <row r="672" spans="1:9" s="188" customFormat="1">
      <c r="A672" s="191" t="s">
        <v>316</v>
      </c>
      <c r="B672" s="189">
        <v>6.2</v>
      </c>
      <c r="C672" s="189"/>
      <c r="D672" s="189"/>
      <c r="E672" s="189"/>
      <c r="F672" s="189"/>
      <c r="G672" s="189"/>
      <c r="I672" s="190"/>
    </row>
    <row r="673" spans="1:11" s="188" customFormat="1" ht="13.5" customHeight="1">
      <c r="A673" s="191" t="s">
        <v>315</v>
      </c>
      <c r="B673" s="189">
        <v>6.2</v>
      </c>
      <c r="C673" s="189"/>
      <c r="D673" s="189"/>
      <c r="E673" s="189"/>
      <c r="F673" s="189"/>
      <c r="G673" s="189"/>
      <c r="I673" s="190"/>
    </row>
    <row r="674" spans="1:11" s="314" customFormat="1">
      <c r="A674" s="312"/>
      <c r="B674" s="313"/>
      <c r="C674" s="313"/>
      <c r="D674" s="313"/>
      <c r="E674" s="313"/>
      <c r="F674" s="313"/>
      <c r="G674" s="313"/>
    </row>
    <row r="675" spans="1:11" s="316" customFormat="1">
      <c r="A675" s="312"/>
      <c r="B675" s="313"/>
      <c r="C675" s="313"/>
      <c r="D675" s="315" t="s">
        <v>932</v>
      </c>
      <c r="E675" s="315" t="s">
        <v>932</v>
      </c>
      <c r="F675" s="315" t="s">
        <v>932</v>
      </c>
      <c r="G675" s="315" t="s">
        <v>933</v>
      </c>
      <c r="H675" s="315" t="s">
        <v>933</v>
      </c>
      <c r="I675" s="315" t="s">
        <v>933</v>
      </c>
      <c r="J675" s="316" t="s">
        <v>934</v>
      </c>
    </row>
    <row r="676" spans="1:11" s="316" customFormat="1">
      <c r="B676" s="317" t="s">
        <v>24</v>
      </c>
      <c r="C676" s="317" t="s">
        <v>926</v>
      </c>
      <c r="D676" s="317" t="s">
        <v>925</v>
      </c>
      <c r="E676" s="317" t="s">
        <v>925</v>
      </c>
      <c r="F676" s="317" t="s">
        <v>925</v>
      </c>
      <c r="G676" s="316" t="s">
        <v>931</v>
      </c>
      <c r="H676" s="316" t="s">
        <v>931</v>
      </c>
      <c r="I676" s="316" t="s">
        <v>931</v>
      </c>
      <c r="J676" s="316" t="s">
        <v>935</v>
      </c>
    </row>
    <row r="677" spans="1:11" s="316" customFormat="1">
      <c r="A677" s="318"/>
      <c r="B677" s="317"/>
      <c r="C677" s="319" t="s">
        <v>916</v>
      </c>
      <c r="D677" s="316" t="s">
        <v>922</v>
      </c>
      <c r="E677" s="316" t="s">
        <v>928</v>
      </c>
      <c r="F677" s="317" t="s">
        <v>930</v>
      </c>
      <c r="G677" s="316" t="s">
        <v>922</v>
      </c>
      <c r="H677" s="316" t="s">
        <v>928</v>
      </c>
      <c r="I677" s="317" t="s">
        <v>930</v>
      </c>
      <c r="J677" s="316" t="s">
        <v>937</v>
      </c>
    </row>
    <row r="678" spans="1:11" s="316" customFormat="1">
      <c r="A678" s="318" t="s">
        <v>920</v>
      </c>
      <c r="B678" s="320"/>
      <c r="C678" s="320" t="s">
        <v>917</v>
      </c>
      <c r="D678" s="316" t="s">
        <v>923</v>
      </c>
      <c r="E678" s="316" t="s">
        <v>929</v>
      </c>
      <c r="F678" s="317" t="s">
        <v>927</v>
      </c>
      <c r="G678" s="316" t="s">
        <v>923</v>
      </c>
      <c r="H678" s="316" t="s">
        <v>929</v>
      </c>
      <c r="I678" s="317" t="s">
        <v>927</v>
      </c>
      <c r="J678" s="316" t="s">
        <v>936</v>
      </c>
    </row>
    <row r="679" spans="1:11" s="324" customFormat="1">
      <c r="A679" s="321" t="s">
        <v>915</v>
      </c>
      <c r="B679" s="322">
        <f t="shared" ref="B679:B684" si="11">(J679/10^9)*C679*(D679+H679*methane+I679*Nitrous)</f>
        <v>2.8513343553333326</v>
      </c>
      <c r="C679" s="323">
        <v>44.3</v>
      </c>
      <c r="D679" s="324">
        <v>69300</v>
      </c>
      <c r="E679" s="324">
        <v>33</v>
      </c>
      <c r="F679" s="323">
        <v>3.2</v>
      </c>
      <c r="G679" s="323">
        <v>69300</v>
      </c>
      <c r="H679" s="324">
        <f>(80+140+170)/3</f>
        <v>130</v>
      </c>
      <c r="I679" s="325">
        <f>(2+0.4+0.4)/3</f>
        <v>0.93333333333333324</v>
      </c>
      <c r="J679" s="324">
        <v>890</v>
      </c>
    </row>
    <row r="680" spans="1:11" s="324" customFormat="1">
      <c r="A680" s="321" t="s">
        <v>919</v>
      </c>
      <c r="B680" s="322">
        <f t="shared" si="11"/>
        <v>2.6328230594490001</v>
      </c>
      <c r="C680" s="322">
        <v>43</v>
      </c>
      <c r="D680" s="324">
        <v>74100</v>
      </c>
      <c r="E680" s="324">
        <v>3.9</v>
      </c>
      <c r="F680" s="323">
        <v>3.9</v>
      </c>
      <c r="G680" s="323">
        <v>74100</v>
      </c>
      <c r="H680" s="324">
        <v>4.1500000000000004</v>
      </c>
      <c r="I680" s="324">
        <v>28.6</v>
      </c>
      <c r="J680" s="324">
        <v>737.22</v>
      </c>
    </row>
    <row r="681" spans="1:11" s="324" customFormat="1">
      <c r="A681" s="321" t="s">
        <v>924</v>
      </c>
      <c r="B681" s="322">
        <f>(J681/10^9)*C681*(D681+H681*methane+I681*Nitrous)</f>
        <v>3.1412477985000002</v>
      </c>
      <c r="C681" s="322">
        <v>40.200000000000003</v>
      </c>
      <c r="D681" s="324">
        <v>73300</v>
      </c>
      <c r="E681" s="324">
        <v>3.9</v>
      </c>
      <c r="F681" s="323">
        <v>3.9</v>
      </c>
      <c r="G681" s="323">
        <v>73300</v>
      </c>
      <c r="H681" s="324">
        <v>4.1500000000000004</v>
      </c>
      <c r="I681" s="324">
        <v>28.6</v>
      </c>
      <c r="J681" s="324">
        <v>950</v>
      </c>
    </row>
    <row r="682" spans="1:11" s="324" customFormat="1">
      <c r="A682" s="321" t="s">
        <v>918</v>
      </c>
      <c r="B682" s="322">
        <f t="shared" si="11"/>
        <v>1.6266233500000001E-3</v>
      </c>
      <c r="C682" s="322">
        <v>47.3</v>
      </c>
      <c r="D682" s="324">
        <v>63100</v>
      </c>
      <c r="E682" s="324">
        <v>62</v>
      </c>
      <c r="F682" s="323">
        <v>0.2</v>
      </c>
      <c r="G682" s="323"/>
      <c r="J682" s="324">
        <v>0.54500000000000004</v>
      </c>
    </row>
    <row r="683" spans="1:11" s="324" customFormat="1">
      <c r="A683" s="321" t="s">
        <v>921</v>
      </c>
      <c r="B683" s="322">
        <f t="shared" si="11"/>
        <v>1.7503200000000001E-3</v>
      </c>
      <c r="C683" s="323">
        <v>48</v>
      </c>
      <c r="D683" s="324">
        <v>56100</v>
      </c>
      <c r="E683" s="324">
        <v>92</v>
      </c>
      <c r="F683" s="323">
        <v>3</v>
      </c>
      <c r="G683" s="323"/>
      <c r="J683" s="324">
        <v>0.65</v>
      </c>
      <c r="K683" s="324" t="s">
        <v>112</v>
      </c>
    </row>
    <row r="684" spans="1:11" s="324" customFormat="1">
      <c r="A684" s="321" t="s">
        <v>276</v>
      </c>
      <c r="B684" s="1229">
        <f t="shared" si="11"/>
        <v>3.2366456470588234E-3</v>
      </c>
      <c r="C684" s="323">
        <v>9.76</v>
      </c>
      <c r="F684" s="323"/>
      <c r="G684" s="323"/>
      <c r="H684" s="324">
        <v>1</v>
      </c>
      <c r="I684" s="324">
        <v>1.5</v>
      </c>
      <c r="J684" s="1609">
        <f>1000*(B843+B844)/2</f>
        <v>682.35294117647061</v>
      </c>
    </row>
    <row r="685" spans="1:11" s="1227" customFormat="1">
      <c r="A685" s="1225" t="s">
        <v>920</v>
      </c>
      <c r="B685" s="1228" t="s">
        <v>117</v>
      </c>
      <c r="C685" s="1226"/>
      <c r="F685" s="1226"/>
      <c r="G685" s="1226"/>
    </row>
    <row r="686" spans="1:11" s="1227" customFormat="1">
      <c r="A686" s="1225"/>
      <c r="B686" s="1228"/>
      <c r="C686" s="1226" t="s">
        <v>118</v>
      </c>
      <c r="D686" s="1227" t="s">
        <v>119</v>
      </c>
      <c r="E686" s="1227" t="s">
        <v>120</v>
      </c>
      <c r="F686" s="1226"/>
      <c r="G686" s="1226"/>
    </row>
    <row r="687" spans="1:11" s="324" customFormat="1">
      <c r="A687" s="321" t="s">
        <v>115</v>
      </c>
      <c r="B687" s="1661">
        <v>6.0000000000000001E-3</v>
      </c>
      <c r="C687" s="323"/>
      <c r="D687" s="1663" t="s">
        <v>1299</v>
      </c>
      <c r="F687" s="323"/>
      <c r="G687" s="323"/>
    </row>
    <row r="688" spans="1:11" s="324" customFormat="1">
      <c r="A688" s="321" t="s">
        <v>116</v>
      </c>
      <c r="B688" s="1661">
        <v>8.0000000000000002E-3</v>
      </c>
      <c r="C688" s="323"/>
      <c r="D688" s="1662" t="s">
        <v>1298</v>
      </c>
      <c r="F688" s="323"/>
      <c r="G688" s="323"/>
    </row>
    <row r="689" spans="1:9" s="324" customFormat="1">
      <c r="A689" s="321"/>
      <c r="B689" s="322" t="s">
        <v>122</v>
      </c>
      <c r="C689" s="323" t="s">
        <v>277</v>
      </c>
      <c r="D689" s="324" t="s">
        <v>121</v>
      </c>
      <c r="F689" s="323"/>
      <c r="G689" s="323"/>
    </row>
    <row r="690" spans="1:9" s="324" customFormat="1">
      <c r="A690" s="324" t="s">
        <v>114</v>
      </c>
      <c r="B690" s="1229">
        <f>(C690+(D690*methane)+(E690*Nitrous))/1000</f>
        <v>1.0160000000000001E-2</v>
      </c>
      <c r="C690" s="324">
        <f>D116</f>
        <v>4.7</v>
      </c>
      <c r="D690" s="324">
        <f>E116</f>
        <v>0.26</v>
      </c>
      <c r="F690" s="323"/>
      <c r="G690" s="323"/>
    </row>
    <row r="691" spans="1:9" s="316" customFormat="1">
      <c r="A691" s="326" t="s">
        <v>949</v>
      </c>
      <c r="B691" s="317"/>
      <c r="C691" s="317"/>
      <c r="D691" s="317"/>
      <c r="G691" s="317"/>
    </row>
    <row r="692" spans="1:9" s="316" customFormat="1">
      <c r="A692" s="326" t="s">
        <v>950</v>
      </c>
      <c r="B692" s="317"/>
      <c r="C692" s="317"/>
      <c r="D692" s="317"/>
      <c r="G692" s="317"/>
    </row>
    <row r="693" spans="1:9" s="316" customFormat="1">
      <c r="A693" s="316" t="s">
        <v>951</v>
      </c>
      <c r="B693" s="317" t="s">
        <v>962</v>
      </c>
      <c r="C693" s="317"/>
      <c r="D693" s="317" t="s">
        <v>963</v>
      </c>
      <c r="G693" s="317"/>
    </row>
    <row r="694" spans="1:9" s="324" customFormat="1">
      <c r="A694" s="324" t="s">
        <v>4</v>
      </c>
      <c r="B694" s="322">
        <v>0</v>
      </c>
      <c r="C694" s="323"/>
      <c r="D694" s="323"/>
      <c r="G694" s="323"/>
    </row>
    <row r="695" spans="1:9" s="324" customFormat="1">
      <c r="A695" s="2953" t="s">
        <v>3149</v>
      </c>
      <c r="B695" s="322">
        <v>34</v>
      </c>
      <c r="C695" s="323"/>
      <c r="D695" s="323"/>
      <c r="G695" s="323"/>
    </row>
    <row r="696" spans="1:9" s="324" customFormat="1">
      <c r="A696" s="2953" t="s">
        <v>3150</v>
      </c>
      <c r="B696" s="322">
        <v>90.2</v>
      </c>
      <c r="C696" s="323"/>
      <c r="D696" s="323"/>
      <c r="G696" s="323"/>
    </row>
    <row r="697" spans="1:9" s="324" customFormat="1">
      <c r="A697" s="324" t="s">
        <v>952</v>
      </c>
      <c r="B697" s="322">
        <v>444.76666666666665</v>
      </c>
      <c r="C697" s="323"/>
      <c r="D697" s="323"/>
      <c r="G697" s="323"/>
    </row>
    <row r="698" spans="1:9" s="324" customFormat="1">
      <c r="A698" s="324" t="s">
        <v>953</v>
      </c>
      <c r="B698" s="322">
        <v>130.16666666666666</v>
      </c>
      <c r="C698" s="323"/>
      <c r="D698" s="323"/>
      <c r="G698" s="323"/>
    </row>
    <row r="699" spans="1:9" s="324" customFormat="1">
      <c r="A699" s="324" t="s">
        <v>954</v>
      </c>
      <c r="B699" s="322">
        <v>59.766666666666673</v>
      </c>
      <c r="C699" s="323"/>
      <c r="D699" s="323"/>
      <c r="G699" s="323"/>
    </row>
    <row r="700" spans="1:9" s="324" customFormat="1">
      <c r="A700" s="324" t="s">
        <v>955</v>
      </c>
      <c r="B700" s="322">
        <v>85.433333333333337</v>
      </c>
      <c r="C700" s="323"/>
      <c r="D700" s="323"/>
      <c r="G700" s="323"/>
    </row>
    <row r="701" spans="1:9" s="307" customFormat="1">
      <c r="A701" s="324" t="s">
        <v>956</v>
      </c>
      <c r="B701" s="322">
        <v>79.2</v>
      </c>
      <c r="C701" s="306"/>
      <c r="D701" s="306"/>
      <c r="G701" s="306"/>
      <c r="I701" s="308"/>
    </row>
    <row r="702" spans="1:9" s="307" customFormat="1">
      <c r="A702" s="324" t="s">
        <v>957</v>
      </c>
      <c r="B702" s="322">
        <v>61.966666666666661</v>
      </c>
      <c r="C702" s="306"/>
      <c r="D702" s="306"/>
      <c r="G702" s="306"/>
      <c r="I702" s="308"/>
    </row>
    <row r="703" spans="1:9" s="307" customFormat="1">
      <c r="A703" s="324" t="s">
        <v>958</v>
      </c>
      <c r="B703" s="322">
        <v>311.3</v>
      </c>
      <c r="C703" s="306"/>
      <c r="D703" s="306"/>
      <c r="G703" s="306"/>
      <c r="I703" s="308"/>
    </row>
    <row r="704" spans="1:9" s="45" customFormat="1">
      <c r="A704" s="316" t="s">
        <v>966</v>
      </c>
      <c r="B704" s="36"/>
      <c r="C704" s="36"/>
      <c r="D704" s="36"/>
      <c r="G704" s="36"/>
      <c r="I704" s="304"/>
    </row>
    <row r="705" spans="1:9" s="45" customFormat="1">
      <c r="A705" s="316" t="s">
        <v>967</v>
      </c>
      <c r="B705" s="36"/>
      <c r="C705" s="36"/>
      <c r="D705" s="36"/>
      <c r="G705" s="36"/>
      <c r="I705" s="304"/>
    </row>
    <row r="706" spans="1:9" s="45" customFormat="1">
      <c r="A706" s="45" t="s">
        <v>667</v>
      </c>
      <c r="B706" s="36"/>
      <c r="C706" s="36" t="s">
        <v>979</v>
      </c>
      <c r="D706" s="36"/>
      <c r="G706" s="36"/>
      <c r="I706" s="304"/>
    </row>
    <row r="707" spans="1:9" s="327" customFormat="1">
      <c r="A707" s="327" t="s">
        <v>4</v>
      </c>
      <c r="B707" s="328">
        <v>0</v>
      </c>
      <c r="C707" s="329"/>
      <c r="D707" s="329"/>
      <c r="G707" s="329"/>
      <c r="I707" s="330"/>
    </row>
    <row r="708" spans="1:9" s="327" customFormat="1">
      <c r="A708" s="327" t="s">
        <v>968</v>
      </c>
      <c r="B708" s="328">
        <v>436</v>
      </c>
      <c r="C708" s="329"/>
      <c r="D708" s="329"/>
      <c r="G708" s="329"/>
      <c r="I708" s="330"/>
    </row>
    <row r="709" spans="1:9" s="327" customFormat="1">
      <c r="A709" s="327" t="s">
        <v>969</v>
      </c>
      <c r="B709" s="328">
        <v>656</v>
      </c>
      <c r="C709" s="329"/>
      <c r="D709" s="329"/>
      <c r="G709" s="329"/>
      <c r="I709" s="330"/>
    </row>
    <row r="710" spans="1:9" s="327" customFormat="1">
      <c r="A710" s="327" t="s">
        <v>970</v>
      </c>
      <c r="B710" s="328">
        <v>220</v>
      </c>
      <c r="C710" s="329"/>
      <c r="D710" s="329"/>
      <c r="G710" s="329"/>
      <c r="I710" s="330"/>
    </row>
    <row r="711" spans="1:9" s="327" customFormat="1">
      <c r="A711" s="327" t="s">
        <v>971</v>
      </c>
      <c r="B711" s="328">
        <v>825</v>
      </c>
      <c r="C711" s="329"/>
      <c r="D711" s="329"/>
      <c r="G711" s="329"/>
      <c r="I711" s="330"/>
    </row>
    <row r="712" spans="1:9" s="327" customFormat="1">
      <c r="A712" s="327" t="s">
        <v>972</v>
      </c>
      <c r="B712" s="328">
        <v>275</v>
      </c>
      <c r="C712" s="329"/>
      <c r="D712" s="329"/>
      <c r="G712" s="329"/>
      <c r="I712" s="330"/>
    </row>
    <row r="713" spans="1:9" s="327" customFormat="1">
      <c r="A713" s="327" t="s">
        <v>973</v>
      </c>
      <c r="B713" s="328">
        <v>656</v>
      </c>
      <c r="C713" s="329"/>
      <c r="D713" s="329"/>
      <c r="G713" s="329"/>
      <c r="I713" s="330"/>
    </row>
    <row r="714" spans="1:9" s="327" customFormat="1">
      <c r="A714" s="327" t="s">
        <v>974</v>
      </c>
      <c r="B714" s="328">
        <v>220</v>
      </c>
      <c r="C714" s="329"/>
      <c r="D714" s="329"/>
      <c r="G714" s="329"/>
      <c r="I714" s="330"/>
    </row>
    <row r="715" spans="1:9" s="327" customFormat="1">
      <c r="A715" s="327" t="s">
        <v>975</v>
      </c>
      <c r="B715" s="328">
        <v>469</v>
      </c>
      <c r="C715" s="329"/>
      <c r="D715" s="329"/>
      <c r="G715" s="329"/>
      <c r="I715" s="330"/>
    </row>
    <row r="716" spans="1:9" s="327" customFormat="1">
      <c r="A716" s="327" t="s">
        <v>976</v>
      </c>
      <c r="B716" s="328">
        <v>157</v>
      </c>
      <c r="C716" s="329"/>
      <c r="D716" s="329"/>
      <c r="G716" s="329"/>
      <c r="I716" s="330"/>
    </row>
    <row r="717" spans="1:9" s="327" customFormat="1">
      <c r="A717" s="327" t="s">
        <v>977</v>
      </c>
      <c r="B717" s="328">
        <v>550</v>
      </c>
      <c r="C717" s="329"/>
      <c r="D717" s="329"/>
      <c r="G717" s="329"/>
      <c r="I717" s="330"/>
    </row>
    <row r="718" spans="1:9" s="327" customFormat="1">
      <c r="A718" s="327" t="s">
        <v>978</v>
      </c>
      <c r="B718" s="328">
        <v>220</v>
      </c>
      <c r="C718" s="329"/>
      <c r="D718" s="329"/>
      <c r="G718" s="329"/>
      <c r="I718" s="330"/>
    </row>
    <row r="719" spans="1:9" s="327" customFormat="1">
      <c r="A719" s="327" t="s">
        <v>128</v>
      </c>
      <c r="B719" s="328">
        <f>87/12*44</f>
        <v>319</v>
      </c>
      <c r="C719" s="329"/>
      <c r="D719" s="329"/>
      <c r="G719" s="329"/>
      <c r="I719" s="330"/>
    </row>
    <row r="720" spans="1:9" s="327" customFormat="1">
      <c r="A720" s="327" t="s">
        <v>130</v>
      </c>
      <c r="B720" s="328">
        <f>20/12*44</f>
        <v>73.333333333333343</v>
      </c>
      <c r="C720" s="329"/>
      <c r="D720" s="329"/>
      <c r="G720" s="329"/>
      <c r="I720" s="330"/>
    </row>
    <row r="721" spans="1:9" s="327" customFormat="1">
      <c r="A721" s="327" t="s">
        <v>129</v>
      </c>
      <c r="B721" s="328">
        <f>125/12*44</f>
        <v>458.33333333333331</v>
      </c>
      <c r="C721" s="329"/>
      <c r="D721" s="329"/>
      <c r="G721" s="329"/>
      <c r="I721" s="330"/>
    </row>
    <row r="722" spans="1:9" s="327" customFormat="1">
      <c r="A722" s="327" t="s">
        <v>131</v>
      </c>
      <c r="B722" s="328">
        <f>40/12*44</f>
        <v>146.66666666666669</v>
      </c>
      <c r="C722" s="329"/>
      <c r="D722" s="329"/>
      <c r="G722" s="329"/>
      <c r="I722" s="330"/>
    </row>
    <row r="723" spans="1:9" s="87" customFormat="1">
      <c r="A723" s="87" t="s">
        <v>229</v>
      </c>
      <c r="B723" s="101"/>
      <c r="C723" s="101"/>
      <c r="D723" s="101" t="s">
        <v>230</v>
      </c>
      <c r="G723" s="101"/>
      <c r="I723" s="104"/>
    </row>
    <row r="724" spans="1:9" s="87" customFormat="1">
      <c r="A724" s="87" t="s">
        <v>298</v>
      </c>
      <c r="B724" s="87" t="s">
        <v>231</v>
      </c>
      <c r="C724" s="101"/>
      <c r="D724" s="101"/>
      <c r="G724" s="101"/>
      <c r="I724" s="104"/>
    </row>
    <row r="725" spans="1:9" s="87" customFormat="1">
      <c r="A725" s="87" t="str">
        <f>A707</f>
        <v>Please select</v>
      </c>
      <c r="C725" s="101"/>
      <c r="D725" s="101"/>
      <c r="G725" s="101"/>
      <c r="I725" s="104"/>
    </row>
    <row r="726" spans="1:9" s="70" customFormat="1">
      <c r="A726" s="70" t="str">
        <f t="shared" ref="A726:A736" si="12">A75</f>
        <v>Boreal Dry</v>
      </c>
      <c r="B726" s="71">
        <v>0.16</v>
      </c>
      <c r="C726" s="71"/>
      <c r="D726" s="71"/>
      <c r="G726" s="71"/>
      <c r="I726" s="105"/>
    </row>
    <row r="727" spans="1:9" s="70" customFormat="1">
      <c r="A727" s="70" t="str">
        <f t="shared" si="12"/>
        <v>Boreal Moist</v>
      </c>
      <c r="B727" s="71">
        <v>0.16</v>
      </c>
      <c r="C727" s="71"/>
      <c r="D727" s="71"/>
      <c r="G727" s="71"/>
      <c r="I727" s="105"/>
    </row>
    <row r="728" spans="1:9" s="70" customFormat="1">
      <c r="A728" s="70" t="str">
        <f t="shared" si="12"/>
        <v>Cool Temperate Dry</v>
      </c>
      <c r="B728" s="71">
        <v>0.68</v>
      </c>
      <c r="C728" s="71"/>
      <c r="D728" s="71"/>
      <c r="G728" s="71"/>
      <c r="I728" s="105"/>
    </row>
    <row r="729" spans="1:9" s="70" customFormat="1">
      <c r="A729" s="70" t="str">
        <f t="shared" si="12"/>
        <v>Cool Temperate Moist</v>
      </c>
      <c r="B729" s="71">
        <v>0.68</v>
      </c>
      <c r="C729" s="71"/>
      <c r="D729" s="71"/>
      <c r="G729" s="71"/>
      <c r="I729" s="105"/>
    </row>
    <row r="730" spans="1:9" s="70" customFormat="1">
      <c r="A730" s="70" t="str">
        <f t="shared" si="12"/>
        <v>Warm Temperate Dry</v>
      </c>
      <c r="B730" s="71">
        <v>0.68</v>
      </c>
      <c r="C730" s="71"/>
      <c r="D730" s="71"/>
      <c r="G730" s="71"/>
      <c r="I730" s="105"/>
    </row>
    <row r="731" spans="1:9" s="70" customFormat="1">
      <c r="A731" s="70" t="str">
        <f t="shared" si="12"/>
        <v>Warm Temperate Moist</v>
      </c>
      <c r="B731" s="71">
        <v>0.68</v>
      </c>
      <c r="C731" s="71"/>
      <c r="D731" s="71"/>
      <c r="G731" s="71"/>
      <c r="I731" s="105"/>
    </row>
    <row r="732" spans="1:9" s="70" customFormat="1">
      <c r="A732" s="70" t="str">
        <f t="shared" si="12"/>
        <v>Tropical Montane Dry</v>
      </c>
      <c r="B732" s="71">
        <v>1.36</v>
      </c>
      <c r="C732" s="71"/>
      <c r="D732" s="71"/>
      <c r="G732" s="71"/>
      <c r="I732" s="105"/>
    </row>
    <row r="733" spans="1:9" s="70" customFormat="1">
      <c r="A733" s="70" t="str">
        <f t="shared" si="12"/>
        <v>Tropical Montane Moist</v>
      </c>
      <c r="B733" s="71">
        <v>1.36</v>
      </c>
      <c r="C733" s="71"/>
      <c r="D733" s="71"/>
      <c r="G733" s="71"/>
      <c r="I733" s="105"/>
    </row>
    <row r="734" spans="1:9" s="70" customFormat="1">
      <c r="A734" s="70" t="str">
        <f t="shared" si="12"/>
        <v>Tropical Dry</v>
      </c>
      <c r="B734" s="71">
        <v>1.36</v>
      </c>
      <c r="C734" s="71"/>
      <c r="D734" s="71"/>
      <c r="G734" s="71"/>
      <c r="I734" s="105"/>
    </row>
    <row r="735" spans="1:9" s="70" customFormat="1">
      <c r="A735" s="70" t="str">
        <f t="shared" si="12"/>
        <v>Tropical Moist</v>
      </c>
      <c r="B735" s="71">
        <v>1.36</v>
      </c>
      <c r="C735" s="71"/>
      <c r="D735" s="71"/>
      <c r="G735" s="71"/>
      <c r="I735" s="105"/>
    </row>
    <row r="736" spans="1:9" s="70" customFormat="1">
      <c r="A736" s="70" t="str">
        <f t="shared" si="12"/>
        <v>Tropical Wet</v>
      </c>
      <c r="B736" s="71">
        <v>1.36</v>
      </c>
      <c r="C736" s="71"/>
      <c r="D736" s="71"/>
      <c r="G736" s="71"/>
      <c r="I736" s="105"/>
    </row>
    <row r="737" spans="1:9" s="87" customFormat="1">
      <c r="A737" s="87" t="s">
        <v>232</v>
      </c>
      <c r="B737" s="101"/>
      <c r="C737" s="101"/>
      <c r="D737" s="101" t="s">
        <v>233</v>
      </c>
      <c r="G737" s="101"/>
      <c r="I737" s="104"/>
    </row>
    <row r="738" spans="1:9" s="87" customFormat="1">
      <c r="A738" s="87" t="s">
        <v>298</v>
      </c>
      <c r="B738" s="87" t="s">
        <v>231</v>
      </c>
      <c r="C738" s="101"/>
      <c r="D738" s="101"/>
      <c r="G738" s="101"/>
      <c r="I738" s="104"/>
    </row>
    <row r="739" spans="1:9" s="87" customFormat="1">
      <c r="A739" s="87" t="str">
        <f>A725</f>
        <v>Please select</v>
      </c>
      <c r="C739" s="101"/>
      <c r="D739" s="101"/>
      <c r="G739" s="101"/>
      <c r="I739" s="104"/>
    </row>
    <row r="740" spans="1:9" s="70" customFormat="1">
      <c r="A740" s="70" t="str">
        <f>A726</f>
        <v>Boreal Dry</v>
      </c>
      <c r="B740" s="71">
        <v>5</v>
      </c>
      <c r="C740" s="71"/>
      <c r="D740" s="71"/>
      <c r="G740" s="71"/>
      <c r="I740" s="105"/>
    </row>
    <row r="741" spans="1:9" s="70" customFormat="1">
      <c r="A741" s="70" t="str">
        <f t="shared" ref="A741:A750" si="13">A727</f>
        <v>Boreal Moist</v>
      </c>
      <c r="B741" s="71">
        <v>5</v>
      </c>
      <c r="C741" s="71"/>
      <c r="D741" s="71"/>
      <c r="G741" s="71"/>
      <c r="I741" s="105"/>
    </row>
    <row r="742" spans="1:9" s="70" customFormat="1">
      <c r="A742" s="70" t="str">
        <f t="shared" si="13"/>
        <v>Cool Temperate Dry</v>
      </c>
      <c r="B742" s="71">
        <v>5</v>
      </c>
      <c r="C742" s="71"/>
      <c r="D742" s="71"/>
      <c r="G742" s="71"/>
      <c r="I742" s="105"/>
    </row>
    <row r="743" spans="1:9" s="70" customFormat="1">
      <c r="A743" s="70" t="str">
        <f t="shared" si="13"/>
        <v>Cool Temperate Moist</v>
      </c>
      <c r="B743" s="71">
        <v>5</v>
      </c>
      <c r="C743" s="71"/>
      <c r="D743" s="71"/>
      <c r="G743" s="71"/>
      <c r="I743" s="105"/>
    </row>
    <row r="744" spans="1:9" s="70" customFormat="1">
      <c r="A744" s="70" t="str">
        <f t="shared" si="13"/>
        <v>Warm Temperate Dry</v>
      </c>
      <c r="B744" s="71">
        <v>10</v>
      </c>
      <c r="C744" s="71"/>
      <c r="D744" s="71"/>
      <c r="G744" s="71"/>
      <c r="I744" s="105"/>
    </row>
    <row r="745" spans="1:9" s="70" customFormat="1">
      <c r="A745" s="70" t="str">
        <f t="shared" si="13"/>
        <v>Warm Temperate Moist</v>
      </c>
      <c r="B745" s="71">
        <v>10</v>
      </c>
      <c r="C745" s="71"/>
      <c r="D745" s="71"/>
      <c r="G745" s="71"/>
      <c r="I745" s="105"/>
    </row>
    <row r="746" spans="1:9" s="70" customFormat="1">
      <c r="A746" s="70" t="str">
        <f t="shared" si="13"/>
        <v>Tropical Montane Dry</v>
      </c>
      <c r="B746" s="71">
        <v>20</v>
      </c>
      <c r="C746" s="71"/>
      <c r="D746" s="71"/>
      <c r="G746" s="71"/>
      <c r="I746" s="105"/>
    </row>
    <row r="747" spans="1:9" s="70" customFormat="1">
      <c r="A747" s="70" t="str">
        <f t="shared" si="13"/>
        <v>Tropical Montane Moist</v>
      </c>
      <c r="B747" s="71">
        <v>20</v>
      </c>
      <c r="C747" s="71"/>
      <c r="D747" s="71"/>
      <c r="G747" s="71"/>
      <c r="I747" s="105"/>
    </row>
    <row r="748" spans="1:9" s="70" customFormat="1">
      <c r="A748" s="70" t="str">
        <f t="shared" si="13"/>
        <v>Tropical Dry</v>
      </c>
      <c r="B748" s="71">
        <v>20</v>
      </c>
      <c r="C748" s="71"/>
      <c r="D748" s="71"/>
      <c r="G748" s="71"/>
      <c r="I748" s="105"/>
    </row>
    <row r="749" spans="1:9" s="70" customFormat="1">
      <c r="A749" s="70" t="str">
        <f t="shared" si="13"/>
        <v>Tropical Moist</v>
      </c>
      <c r="B749" s="71">
        <v>20</v>
      </c>
      <c r="C749" s="71"/>
      <c r="D749" s="71"/>
      <c r="G749" s="71"/>
      <c r="I749" s="105"/>
    </row>
    <row r="750" spans="1:9" s="70" customFormat="1">
      <c r="A750" s="70" t="str">
        <f t="shared" si="13"/>
        <v>Tropical Wet</v>
      </c>
      <c r="B750" s="71">
        <v>20</v>
      </c>
      <c r="C750" s="71"/>
      <c r="D750" s="71"/>
      <c r="G750" s="71"/>
      <c r="I750" s="105"/>
    </row>
    <row r="751" spans="1:9" s="87" customFormat="1">
      <c r="A751" s="87" t="s">
        <v>283</v>
      </c>
      <c r="B751" s="101"/>
      <c r="C751" s="101"/>
      <c r="D751" s="101" t="s">
        <v>284</v>
      </c>
      <c r="G751" s="101"/>
      <c r="I751" s="104"/>
    </row>
    <row r="752" spans="1:9" s="87" customFormat="1">
      <c r="A752" s="87" t="s">
        <v>298</v>
      </c>
      <c r="B752" s="87" t="s">
        <v>231</v>
      </c>
      <c r="C752" s="101"/>
      <c r="D752" s="101"/>
      <c r="G752" s="101"/>
      <c r="I752" s="104"/>
    </row>
    <row r="753" spans="1:9" s="87" customFormat="1">
      <c r="A753" s="87" t="str">
        <f>A739</f>
        <v>Please select</v>
      </c>
      <c r="C753" s="101"/>
      <c r="D753" s="101"/>
      <c r="G753" s="101"/>
      <c r="I753" s="104"/>
    </row>
    <row r="754" spans="1:9" s="70" customFormat="1">
      <c r="A754" s="70" t="str">
        <f>A740</f>
        <v>Boreal Dry</v>
      </c>
      <c r="B754" s="71">
        <v>0.25</v>
      </c>
      <c r="C754" s="71"/>
      <c r="D754" s="71"/>
      <c r="G754" s="71"/>
      <c r="I754" s="105"/>
    </row>
    <row r="755" spans="1:9" s="70" customFormat="1">
      <c r="A755" s="70" t="str">
        <f t="shared" ref="A755:A764" si="14">A741</f>
        <v>Boreal Moist</v>
      </c>
      <c r="B755" s="71">
        <v>0.25</v>
      </c>
      <c r="C755" s="71"/>
      <c r="D755" s="71"/>
      <c r="G755" s="71"/>
      <c r="I755" s="105"/>
    </row>
    <row r="756" spans="1:9" s="70" customFormat="1">
      <c r="A756" s="70" t="str">
        <f t="shared" si="14"/>
        <v>Cool Temperate Dry</v>
      </c>
      <c r="B756" s="71">
        <v>0.25</v>
      </c>
      <c r="C756" s="71"/>
      <c r="D756" s="71"/>
      <c r="G756" s="71"/>
      <c r="I756" s="105"/>
    </row>
    <row r="757" spans="1:9" s="70" customFormat="1">
      <c r="A757" s="70" t="str">
        <f t="shared" si="14"/>
        <v>Cool Temperate Moist</v>
      </c>
      <c r="B757" s="71">
        <v>0.25</v>
      </c>
      <c r="C757" s="71"/>
      <c r="D757" s="71"/>
      <c r="G757" s="71"/>
      <c r="I757" s="105"/>
    </row>
    <row r="758" spans="1:9" s="70" customFormat="1">
      <c r="A758" s="70" t="str">
        <f t="shared" si="14"/>
        <v>Warm Temperate Dry</v>
      </c>
      <c r="B758" s="71">
        <v>2.5</v>
      </c>
      <c r="C758" s="71"/>
      <c r="D758" s="71"/>
      <c r="G758" s="71"/>
      <c r="I758" s="105"/>
    </row>
    <row r="759" spans="1:9" s="70" customFormat="1">
      <c r="A759" s="70" t="str">
        <f t="shared" si="14"/>
        <v>Warm Temperate Moist</v>
      </c>
      <c r="B759" s="71">
        <v>2.5</v>
      </c>
      <c r="C759" s="71"/>
      <c r="D759" s="71"/>
      <c r="G759" s="71"/>
      <c r="I759" s="105"/>
    </row>
    <row r="760" spans="1:9" s="70" customFormat="1">
      <c r="A760" s="70" t="str">
        <f t="shared" si="14"/>
        <v>Tropical Montane Dry</v>
      </c>
      <c r="B760" s="71">
        <v>5</v>
      </c>
      <c r="C760" s="71"/>
      <c r="D760" s="71"/>
      <c r="G760" s="71"/>
      <c r="I760" s="105"/>
    </row>
    <row r="761" spans="1:9" s="70" customFormat="1">
      <c r="A761" s="70" t="str">
        <f t="shared" si="14"/>
        <v>Tropical Montane Moist</v>
      </c>
      <c r="B761" s="71">
        <v>5</v>
      </c>
      <c r="C761" s="71"/>
      <c r="D761" s="71"/>
      <c r="G761" s="71"/>
      <c r="I761" s="105"/>
    </row>
    <row r="762" spans="1:9" s="70" customFormat="1">
      <c r="A762" s="70" t="str">
        <f t="shared" si="14"/>
        <v>Tropical Dry</v>
      </c>
      <c r="B762" s="71">
        <v>5</v>
      </c>
      <c r="C762" s="71"/>
      <c r="D762" s="71"/>
      <c r="G762" s="71"/>
      <c r="I762" s="105"/>
    </row>
    <row r="763" spans="1:9" s="70" customFormat="1">
      <c r="A763" s="70" t="str">
        <f t="shared" si="14"/>
        <v>Tropical Moist</v>
      </c>
      <c r="B763" s="71">
        <v>5</v>
      </c>
      <c r="C763" s="71"/>
      <c r="D763" s="71"/>
      <c r="G763" s="71"/>
      <c r="I763" s="105"/>
    </row>
    <row r="764" spans="1:9" s="70" customFormat="1">
      <c r="A764" s="70" t="str">
        <f t="shared" si="14"/>
        <v>Tropical Wet</v>
      </c>
      <c r="B764" s="71">
        <v>5</v>
      </c>
      <c r="C764" s="71"/>
      <c r="D764" s="71"/>
      <c r="G764" s="71"/>
      <c r="I764" s="105"/>
    </row>
    <row r="765" spans="1:9" s="87" customFormat="1">
      <c r="A765" s="87" t="s">
        <v>240</v>
      </c>
      <c r="B765" s="101"/>
      <c r="C765" s="101"/>
      <c r="G765" s="101" t="s">
        <v>243</v>
      </c>
      <c r="I765" s="104"/>
    </row>
    <row r="766" spans="1:9" s="87" customFormat="1">
      <c r="A766" s="87" t="s">
        <v>241</v>
      </c>
      <c r="B766" s="87" t="s">
        <v>231</v>
      </c>
      <c r="C766" s="101"/>
      <c r="D766" s="101"/>
      <c r="E766" s="101" t="s">
        <v>242</v>
      </c>
      <c r="G766" s="101"/>
      <c r="I766" s="104"/>
    </row>
    <row r="767" spans="1:9" s="87" customFormat="1">
      <c r="A767" s="87" t="str">
        <f>A753</f>
        <v>Please select</v>
      </c>
      <c r="C767" s="101"/>
      <c r="D767" s="101"/>
      <c r="E767" s="101"/>
      <c r="G767" s="101"/>
      <c r="I767" s="104"/>
    </row>
    <row r="768" spans="1:9" s="70" customFormat="1">
      <c r="A768" s="70" t="str">
        <f>A754</f>
        <v>Boreal Dry</v>
      </c>
      <c r="B768" s="71">
        <v>0.2</v>
      </c>
      <c r="C768" s="71"/>
      <c r="D768" s="71"/>
      <c r="G768" s="71"/>
      <c r="I768" s="105"/>
    </row>
    <row r="769" spans="1:9" s="70" customFormat="1">
      <c r="A769" s="70" t="str">
        <f t="shared" ref="A769:A778" si="15">A755</f>
        <v>Boreal Moist</v>
      </c>
      <c r="B769" s="71">
        <v>0.2</v>
      </c>
      <c r="C769" s="71"/>
      <c r="D769" s="71"/>
      <c r="G769" s="71"/>
      <c r="I769" s="105"/>
    </row>
    <row r="770" spans="1:9" s="70" customFormat="1">
      <c r="A770" s="70" t="str">
        <f t="shared" si="15"/>
        <v>Cool Temperate Dry</v>
      </c>
      <c r="B770" s="71">
        <v>0.2</v>
      </c>
      <c r="C770" s="71"/>
      <c r="D770" s="71"/>
      <c r="G770" s="71"/>
      <c r="I770" s="105"/>
    </row>
    <row r="771" spans="1:9" s="70" customFormat="1">
      <c r="A771" s="70" t="str">
        <f t="shared" si="15"/>
        <v>Cool Temperate Moist</v>
      </c>
      <c r="B771" s="71">
        <v>0.2</v>
      </c>
      <c r="C771" s="71"/>
      <c r="D771" s="71"/>
      <c r="G771" s="71"/>
      <c r="I771" s="105"/>
    </row>
    <row r="772" spans="1:9" s="70" customFormat="1">
      <c r="A772" s="70" t="str">
        <f t="shared" si="15"/>
        <v>Warm Temperate Dry</v>
      </c>
      <c r="B772" s="71">
        <v>0.2</v>
      </c>
      <c r="C772" s="71"/>
      <c r="D772" s="71"/>
      <c r="G772" s="71"/>
      <c r="I772" s="105"/>
    </row>
    <row r="773" spans="1:9" s="70" customFormat="1">
      <c r="A773" s="70" t="str">
        <f t="shared" si="15"/>
        <v>Warm Temperate Moist</v>
      </c>
      <c r="B773" s="71">
        <v>0.2</v>
      </c>
      <c r="C773" s="71"/>
      <c r="D773" s="71"/>
      <c r="G773" s="71"/>
      <c r="I773" s="105"/>
    </row>
    <row r="774" spans="1:9" s="70" customFormat="1">
      <c r="A774" s="70" t="str">
        <f t="shared" si="15"/>
        <v>Tropical Montane Dry</v>
      </c>
      <c r="B774" s="71">
        <v>2</v>
      </c>
      <c r="C774" s="71"/>
      <c r="D774" s="71"/>
      <c r="G774" s="71"/>
      <c r="I774" s="105"/>
    </row>
    <row r="775" spans="1:9" s="70" customFormat="1">
      <c r="A775" s="70" t="str">
        <f t="shared" si="15"/>
        <v>Tropical Montane Moist</v>
      </c>
      <c r="B775" s="71">
        <v>2</v>
      </c>
      <c r="C775" s="71"/>
      <c r="D775" s="71"/>
      <c r="G775" s="71"/>
      <c r="I775" s="105"/>
    </row>
    <row r="776" spans="1:9" s="70" customFormat="1">
      <c r="A776" s="70" t="str">
        <f t="shared" si="15"/>
        <v>Tropical Dry</v>
      </c>
      <c r="B776" s="71">
        <v>2</v>
      </c>
      <c r="C776" s="71"/>
      <c r="D776" s="71"/>
      <c r="G776" s="71"/>
      <c r="I776" s="105"/>
    </row>
    <row r="777" spans="1:9" s="70" customFormat="1">
      <c r="A777" s="70" t="str">
        <f t="shared" si="15"/>
        <v>Tropical Moist</v>
      </c>
      <c r="B777" s="71">
        <v>2</v>
      </c>
      <c r="C777" s="71"/>
      <c r="D777" s="71"/>
      <c r="G777" s="71"/>
      <c r="I777" s="105"/>
    </row>
    <row r="778" spans="1:9" s="70" customFormat="1">
      <c r="A778" s="70" t="str">
        <f t="shared" si="15"/>
        <v>Tropical Wet</v>
      </c>
      <c r="B778" s="71">
        <v>2</v>
      </c>
      <c r="C778" s="71"/>
      <c r="D778" s="71"/>
      <c r="G778" s="71"/>
      <c r="I778" s="105"/>
    </row>
    <row r="779" spans="1:9" s="87" customFormat="1">
      <c r="A779" s="87" t="s">
        <v>240</v>
      </c>
      <c r="B779" s="101"/>
      <c r="C779" s="101"/>
      <c r="G779" s="101" t="s">
        <v>244</v>
      </c>
      <c r="I779" s="104"/>
    </row>
    <row r="780" spans="1:9" s="87" customFormat="1">
      <c r="A780" s="87" t="s">
        <v>241</v>
      </c>
      <c r="B780" s="87" t="s">
        <v>231</v>
      </c>
      <c r="C780" s="101"/>
      <c r="D780" s="101"/>
      <c r="E780" s="101" t="s">
        <v>242</v>
      </c>
      <c r="G780" s="101"/>
      <c r="I780" s="104"/>
    </row>
    <row r="781" spans="1:9" s="87" customFormat="1">
      <c r="A781" s="87" t="str">
        <f>A767</f>
        <v>Please select</v>
      </c>
      <c r="C781" s="101"/>
      <c r="D781" s="101"/>
      <c r="E781" s="101"/>
      <c r="G781" s="101"/>
      <c r="I781" s="104"/>
    </row>
    <row r="782" spans="1:9" s="70" customFormat="1">
      <c r="A782" s="70" t="str">
        <f>A768</f>
        <v>Boreal Dry</v>
      </c>
      <c r="B782" s="71">
        <v>1.1000000000000001</v>
      </c>
      <c r="C782" s="71"/>
      <c r="D782" s="71"/>
      <c r="G782" s="71"/>
      <c r="I782" s="105"/>
    </row>
    <row r="783" spans="1:9" s="70" customFormat="1">
      <c r="A783" s="70" t="str">
        <f t="shared" ref="A783:A792" si="16">A769</f>
        <v>Boreal Moist</v>
      </c>
      <c r="B783" s="71">
        <v>1.1000000000000001</v>
      </c>
      <c r="C783" s="71"/>
      <c r="D783" s="71"/>
      <c r="G783" s="71"/>
      <c r="I783" s="105"/>
    </row>
    <row r="784" spans="1:9" s="70" customFormat="1">
      <c r="A784" s="70" t="str">
        <f t="shared" si="16"/>
        <v>Cool Temperate Dry</v>
      </c>
      <c r="B784" s="71">
        <v>1.1000000000000001</v>
      </c>
      <c r="C784" s="71"/>
      <c r="D784" s="71"/>
      <c r="G784" s="71"/>
      <c r="I784" s="105"/>
    </row>
    <row r="785" spans="1:9" s="70" customFormat="1">
      <c r="A785" s="70" t="str">
        <f t="shared" si="16"/>
        <v>Cool Temperate Moist</v>
      </c>
      <c r="B785" s="71">
        <v>1.1000000000000001</v>
      </c>
      <c r="C785" s="71"/>
      <c r="D785" s="71"/>
      <c r="G785" s="71"/>
      <c r="I785" s="105"/>
    </row>
    <row r="786" spans="1:9" s="70" customFormat="1">
      <c r="A786" s="70" t="str">
        <f t="shared" si="16"/>
        <v>Warm Temperate Dry</v>
      </c>
      <c r="B786" s="71">
        <v>1.1000000000000001</v>
      </c>
      <c r="C786" s="71"/>
      <c r="D786" s="71"/>
      <c r="G786" s="71"/>
      <c r="I786" s="105"/>
    </row>
    <row r="787" spans="1:9" s="70" customFormat="1">
      <c r="A787" s="70" t="str">
        <f t="shared" si="16"/>
        <v>Warm Temperate Moist</v>
      </c>
      <c r="B787" s="71">
        <v>1.1000000000000001</v>
      </c>
      <c r="C787" s="71"/>
      <c r="D787" s="71"/>
      <c r="G787" s="71"/>
      <c r="I787" s="105"/>
    </row>
    <row r="788" spans="1:9" s="70" customFormat="1">
      <c r="A788" s="70" t="str">
        <f t="shared" si="16"/>
        <v>Tropical Montane Dry</v>
      </c>
      <c r="B788" s="71">
        <v>2</v>
      </c>
      <c r="C788" s="71"/>
      <c r="D788" s="71"/>
      <c r="G788" s="71"/>
      <c r="I788" s="105"/>
    </row>
    <row r="789" spans="1:9" s="70" customFormat="1">
      <c r="A789" s="70" t="str">
        <f t="shared" si="16"/>
        <v>Tropical Montane Moist</v>
      </c>
      <c r="B789" s="71">
        <v>2</v>
      </c>
      <c r="C789" s="71"/>
      <c r="D789" s="71"/>
      <c r="G789" s="71"/>
      <c r="I789" s="105"/>
    </row>
    <row r="790" spans="1:9" s="70" customFormat="1">
      <c r="A790" s="70" t="str">
        <f t="shared" si="16"/>
        <v>Tropical Dry</v>
      </c>
      <c r="B790" s="71">
        <v>2</v>
      </c>
      <c r="C790" s="71"/>
      <c r="D790" s="71"/>
      <c r="G790" s="71"/>
      <c r="I790" s="105"/>
    </row>
    <row r="791" spans="1:9" s="70" customFormat="1">
      <c r="A791" s="70" t="str">
        <f t="shared" si="16"/>
        <v>Tropical Moist</v>
      </c>
      <c r="B791" s="71">
        <v>2</v>
      </c>
      <c r="C791" s="71"/>
      <c r="D791" s="71"/>
      <c r="G791" s="71"/>
      <c r="I791" s="105"/>
    </row>
    <row r="792" spans="1:9" s="70" customFormat="1">
      <c r="A792" s="70" t="str">
        <f t="shared" si="16"/>
        <v>Tropical Wet</v>
      </c>
      <c r="B792" s="71">
        <v>2</v>
      </c>
      <c r="C792" s="71"/>
      <c r="D792" s="71"/>
      <c r="G792" s="71"/>
      <c r="I792" s="105"/>
    </row>
    <row r="793" spans="1:9" s="87" customFormat="1">
      <c r="A793" s="87" t="s">
        <v>255</v>
      </c>
      <c r="B793" s="101"/>
      <c r="C793" s="101"/>
      <c r="G793" s="101" t="s">
        <v>243</v>
      </c>
      <c r="I793" s="104"/>
    </row>
    <row r="794" spans="1:9" s="87" customFormat="1">
      <c r="A794" s="87" t="s">
        <v>241</v>
      </c>
      <c r="B794" s="87" t="s">
        <v>247</v>
      </c>
      <c r="C794" s="101"/>
      <c r="D794" s="101"/>
      <c r="E794" s="101" t="s">
        <v>257</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7">A783</f>
        <v>Boreal Moist</v>
      </c>
      <c r="B797" s="71">
        <v>0.45</v>
      </c>
      <c r="C797" s="71"/>
      <c r="D797" s="71"/>
      <c r="G797" s="71"/>
      <c r="I797" s="105"/>
    </row>
    <row r="798" spans="1:9" s="70" customFormat="1">
      <c r="A798" s="70" t="str">
        <f t="shared" si="17"/>
        <v>Cool Temperate Dry</v>
      </c>
      <c r="B798" s="71">
        <v>0.45</v>
      </c>
      <c r="C798" s="71"/>
      <c r="D798" s="71"/>
      <c r="G798" s="71"/>
      <c r="I798" s="105"/>
    </row>
    <row r="799" spans="1:9" s="70" customFormat="1">
      <c r="A799" s="70" t="str">
        <f t="shared" si="17"/>
        <v>Cool Temperate Moist</v>
      </c>
      <c r="B799" s="71">
        <v>0.45</v>
      </c>
      <c r="C799" s="71"/>
      <c r="D799" s="71"/>
      <c r="G799" s="71"/>
      <c r="I799" s="105"/>
    </row>
    <row r="800" spans="1:9" s="70" customFormat="1">
      <c r="A800" s="70" t="str">
        <f t="shared" si="17"/>
        <v>Warm Temperate Dry</v>
      </c>
      <c r="B800" s="71">
        <v>0.45</v>
      </c>
      <c r="C800" s="71"/>
      <c r="D800" s="71"/>
      <c r="G800" s="71"/>
      <c r="I800" s="105"/>
    </row>
    <row r="801" spans="1:9" s="70" customFormat="1">
      <c r="A801" s="70" t="str">
        <f t="shared" si="17"/>
        <v>Warm Temperate Moist</v>
      </c>
      <c r="B801" s="71">
        <v>0.45</v>
      </c>
      <c r="C801" s="71"/>
      <c r="D801" s="71"/>
      <c r="G801" s="71"/>
      <c r="I801" s="105"/>
    </row>
    <row r="802" spans="1:9" s="70" customFormat="1">
      <c r="A802" s="70" t="str">
        <f t="shared" si="17"/>
        <v>Tropical Montane Dry</v>
      </c>
      <c r="B802" s="71">
        <v>0.34</v>
      </c>
      <c r="C802" s="71"/>
      <c r="D802" s="71"/>
      <c r="G802" s="71"/>
      <c r="I802" s="105"/>
    </row>
    <row r="803" spans="1:9" s="70" customFormat="1">
      <c r="A803" s="70" t="str">
        <f t="shared" si="17"/>
        <v>Tropical Montane Moist</v>
      </c>
      <c r="B803" s="71">
        <v>0.34</v>
      </c>
      <c r="C803" s="71"/>
      <c r="D803" s="71"/>
      <c r="G803" s="71"/>
      <c r="I803" s="105"/>
    </row>
    <row r="804" spans="1:9" s="70" customFormat="1">
      <c r="A804" s="70" t="str">
        <f t="shared" si="17"/>
        <v>Tropical Dry</v>
      </c>
      <c r="B804" s="71">
        <v>0.34</v>
      </c>
      <c r="C804" s="71"/>
      <c r="D804" s="71"/>
      <c r="G804" s="71"/>
      <c r="I804" s="105"/>
    </row>
    <row r="805" spans="1:9" s="70" customFormat="1">
      <c r="A805" s="70" t="str">
        <f t="shared" si="17"/>
        <v>Tropical Moist</v>
      </c>
      <c r="B805" s="71">
        <v>0.34</v>
      </c>
      <c r="C805" s="71"/>
      <c r="D805" s="71"/>
      <c r="G805" s="71"/>
      <c r="I805" s="105"/>
    </row>
    <row r="806" spans="1:9" s="70" customFormat="1">
      <c r="A806" s="70" t="str">
        <f t="shared" si="17"/>
        <v>Tropical Wet</v>
      </c>
      <c r="B806" s="71">
        <v>0.34</v>
      </c>
      <c r="C806" s="71"/>
      <c r="D806" s="71"/>
      <c r="G806" s="71"/>
      <c r="I806" s="105"/>
    </row>
    <row r="807" spans="1:9" s="87" customFormat="1">
      <c r="A807" s="87" t="s">
        <v>255</v>
      </c>
      <c r="B807" s="101"/>
      <c r="C807" s="101"/>
      <c r="G807" s="101" t="s">
        <v>244</v>
      </c>
      <c r="I807" s="104"/>
    </row>
    <row r="808" spans="1:9" s="87" customFormat="1">
      <c r="A808" s="87" t="s">
        <v>241</v>
      </c>
      <c r="B808" s="87" t="s">
        <v>247</v>
      </c>
      <c r="C808" s="101"/>
      <c r="D808" s="101"/>
      <c r="E808" s="101" t="s">
        <v>257</v>
      </c>
      <c r="G808" s="101"/>
      <c r="I808" s="104"/>
    </row>
    <row r="809" spans="1:9" s="87" customFormat="1">
      <c r="A809" s="87" t="str">
        <f>A795</f>
        <v>Please select</v>
      </c>
      <c r="C809" s="101"/>
      <c r="D809" s="101"/>
      <c r="E809" s="101"/>
      <c r="G809" s="101"/>
      <c r="I809" s="104"/>
    </row>
    <row r="810" spans="1:9" s="70" customFormat="1">
      <c r="A810" s="70" t="str">
        <f>A796</f>
        <v>Boreal Dry</v>
      </c>
      <c r="B810" s="71">
        <v>0.4</v>
      </c>
      <c r="C810" s="71"/>
      <c r="D810" s="71"/>
      <c r="G810" s="71"/>
      <c r="I810" s="105"/>
    </row>
    <row r="811" spans="1:9" s="70" customFormat="1">
      <c r="A811" s="70" t="str">
        <f t="shared" ref="A811:A820" si="18">A797</f>
        <v>Boreal Moist</v>
      </c>
      <c r="B811" s="71">
        <v>0.4</v>
      </c>
      <c r="C811" s="71"/>
      <c r="D811" s="71"/>
      <c r="G811" s="71"/>
      <c r="I811" s="105"/>
    </row>
    <row r="812" spans="1:9" s="70" customFormat="1">
      <c r="A812" s="70" t="str">
        <f t="shared" si="18"/>
        <v>Cool Temperate Dry</v>
      </c>
      <c r="B812" s="71">
        <v>0.4</v>
      </c>
      <c r="C812" s="71"/>
      <c r="D812" s="71"/>
      <c r="G812" s="71"/>
      <c r="I812" s="105"/>
    </row>
    <row r="813" spans="1:9" s="70" customFormat="1">
      <c r="A813" s="70" t="str">
        <f t="shared" si="18"/>
        <v>Cool Temperate Moist</v>
      </c>
      <c r="B813" s="71">
        <v>0.4</v>
      </c>
      <c r="C813" s="71"/>
      <c r="D813" s="71"/>
      <c r="G813" s="71"/>
      <c r="I813" s="105"/>
    </row>
    <row r="814" spans="1:9" s="70" customFormat="1">
      <c r="A814" s="70" t="str">
        <f t="shared" si="18"/>
        <v>Warm Temperate Dry</v>
      </c>
      <c r="B814" s="71">
        <v>0.4</v>
      </c>
      <c r="C814" s="71"/>
      <c r="D814" s="71"/>
      <c r="G814" s="71"/>
      <c r="I814" s="105"/>
    </row>
    <row r="815" spans="1:9" s="70" customFormat="1">
      <c r="A815" s="70" t="str">
        <f t="shared" si="18"/>
        <v>Warm Temperate Moist</v>
      </c>
      <c r="B815" s="71">
        <v>0.4</v>
      </c>
      <c r="C815" s="71"/>
      <c r="D815" s="71"/>
      <c r="G815" s="71"/>
      <c r="I815" s="105"/>
    </row>
    <row r="816" spans="1:9" s="70" customFormat="1">
      <c r="A816" s="70" t="str">
        <f t="shared" si="18"/>
        <v>Tropical Montane Dry</v>
      </c>
      <c r="B816" s="71">
        <v>0.34</v>
      </c>
      <c r="C816" s="71"/>
      <c r="D816" s="71"/>
      <c r="G816" s="71"/>
      <c r="I816" s="105"/>
    </row>
    <row r="817" spans="1:9" s="70" customFormat="1">
      <c r="A817" s="70" t="str">
        <f t="shared" si="18"/>
        <v>Tropical Montane Moist</v>
      </c>
      <c r="B817" s="71">
        <v>0.34</v>
      </c>
      <c r="C817" s="71"/>
      <c r="D817" s="71"/>
      <c r="G817" s="71"/>
      <c r="I817" s="105"/>
    </row>
    <row r="818" spans="1:9" s="70" customFormat="1">
      <c r="A818" s="70" t="str">
        <f t="shared" si="18"/>
        <v>Tropical Dry</v>
      </c>
      <c r="B818" s="71">
        <v>0.34</v>
      </c>
      <c r="C818" s="71"/>
      <c r="D818" s="71"/>
      <c r="G818" s="71"/>
      <c r="I818" s="105"/>
    </row>
    <row r="819" spans="1:9" s="70" customFormat="1">
      <c r="A819" s="70" t="str">
        <f t="shared" si="18"/>
        <v>Tropical Moist</v>
      </c>
      <c r="B819" s="71">
        <v>0.34</v>
      </c>
      <c r="C819" s="71"/>
      <c r="D819" s="71"/>
      <c r="G819" s="71"/>
      <c r="I819" s="105"/>
    </row>
    <row r="820" spans="1:9" s="70" customFormat="1">
      <c r="A820" s="70" t="str">
        <f t="shared" si="18"/>
        <v>Tropical Wet</v>
      </c>
      <c r="B820" s="71">
        <v>0.34</v>
      </c>
      <c r="C820" s="71"/>
      <c r="D820" s="71"/>
      <c r="G820" s="71"/>
      <c r="I820" s="105"/>
    </row>
    <row r="821" spans="1:9" s="87" customFormat="1">
      <c r="A821" s="87" t="s">
        <v>256</v>
      </c>
      <c r="B821" s="101"/>
      <c r="C821" s="101"/>
      <c r="G821" s="101" t="s">
        <v>243</v>
      </c>
      <c r="I821" s="104"/>
    </row>
    <row r="822" spans="1:9" s="87" customFormat="1">
      <c r="A822" s="87" t="s">
        <v>241</v>
      </c>
      <c r="B822" s="87" t="s">
        <v>247</v>
      </c>
      <c r="C822" s="101"/>
      <c r="D822" s="101"/>
      <c r="E822" s="101" t="s">
        <v>257</v>
      </c>
      <c r="G822" s="101"/>
      <c r="I822" s="104"/>
    </row>
    <row r="823" spans="1:9" s="87" customFormat="1">
      <c r="A823" s="87" t="str">
        <f>A809</f>
        <v>Please select</v>
      </c>
      <c r="C823" s="101"/>
      <c r="D823" s="101"/>
      <c r="E823" s="101"/>
      <c r="G823" s="101"/>
      <c r="I823" s="104"/>
    </row>
    <row r="824" spans="1:9" s="70" customFormat="1">
      <c r="A824" s="70" t="str">
        <f>A810</f>
        <v>Boreal Dry</v>
      </c>
      <c r="B824" s="1574">
        <f t="shared" ref="B824:B829" si="19">0.07/0.45</f>
        <v>0.15555555555555556</v>
      </c>
      <c r="C824" s="71"/>
      <c r="D824" s="71"/>
      <c r="G824" s="71"/>
      <c r="I824" s="105"/>
    </row>
    <row r="825" spans="1:9" s="70" customFormat="1">
      <c r="A825" s="70" t="str">
        <f t="shared" ref="A825:A834" si="20">A811</f>
        <v>Boreal Moist</v>
      </c>
      <c r="B825" s="1574">
        <f t="shared" si="19"/>
        <v>0.15555555555555556</v>
      </c>
      <c r="C825" s="71"/>
      <c r="D825" s="71"/>
      <c r="G825" s="71"/>
      <c r="I825" s="105"/>
    </row>
    <row r="826" spans="1:9" s="70" customFormat="1">
      <c r="A826" s="70" t="str">
        <f t="shared" si="20"/>
        <v>Cool Temperate Dry</v>
      </c>
      <c r="B826" s="1574">
        <f t="shared" si="19"/>
        <v>0.15555555555555556</v>
      </c>
      <c r="C826" s="71"/>
      <c r="D826" s="71"/>
      <c r="G826" s="71"/>
      <c r="I826" s="105"/>
    </row>
    <row r="827" spans="1:9" s="70" customFormat="1">
      <c r="A827" s="70" t="str">
        <f t="shared" si="20"/>
        <v>Cool Temperate Moist</v>
      </c>
      <c r="B827" s="1574">
        <f t="shared" si="19"/>
        <v>0.15555555555555556</v>
      </c>
      <c r="C827" s="71"/>
      <c r="D827" s="71"/>
      <c r="G827" s="71"/>
      <c r="I827" s="105"/>
    </row>
    <row r="828" spans="1:9" s="70" customFormat="1">
      <c r="A828" s="70" t="str">
        <f t="shared" si="20"/>
        <v>Warm Temperate Dry</v>
      </c>
      <c r="B828" s="1574">
        <f t="shared" si="19"/>
        <v>0.15555555555555556</v>
      </c>
      <c r="C828" s="71"/>
      <c r="D828" s="71"/>
      <c r="G828" s="71"/>
      <c r="I828" s="105"/>
    </row>
    <row r="829" spans="1:9" s="70" customFormat="1">
      <c r="A829" s="70" t="str">
        <f t="shared" si="20"/>
        <v>Warm Temperate Moist</v>
      </c>
      <c r="B829" s="1574">
        <f t="shared" si="19"/>
        <v>0.15555555555555556</v>
      </c>
      <c r="C829" s="71"/>
      <c r="D829" s="71"/>
      <c r="G829" s="71"/>
      <c r="I829" s="105"/>
    </row>
    <row r="830" spans="1:9" s="70" customFormat="1">
      <c r="A830" s="70" t="str">
        <f t="shared" si="20"/>
        <v>Tropical Montane Dry</v>
      </c>
      <c r="B830" s="1574">
        <f>0.26/0.34</f>
        <v>0.76470588235294112</v>
      </c>
      <c r="C830" s="71"/>
      <c r="D830" s="71"/>
      <c r="G830" s="71"/>
      <c r="I830" s="105"/>
    </row>
    <row r="831" spans="1:9" s="70" customFormat="1">
      <c r="A831" s="70" t="str">
        <f t="shared" si="20"/>
        <v>Tropical Montane Moist</v>
      </c>
      <c r="B831" s="1574">
        <f>0.26/0.34</f>
        <v>0.76470588235294112</v>
      </c>
      <c r="C831" s="71"/>
      <c r="D831" s="71"/>
      <c r="G831" s="71"/>
      <c r="I831" s="105"/>
    </row>
    <row r="832" spans="1:9" s="70" customFormat="1">
      <c r="A832" s="70" t="str">
        <f t="shared" si="20"/>
        <v>Tropical Dry</v>
      </c>
      <c r="B832" s="1574">
        <f>0.26/0.34</f>
        <v>0.76470588235294112</v>
      </c>
      <c r="C832" s="71"/>
      <c r="D832" s="71"/>
      <c r="G832" s="71"/>
      <c r="I832" s="105"/>
    </row>
    <row r="833" spans="1:9" s="70" customFormat="1">
      <c r="A833" s="70" t="str">
        <f t="shared" si="20"/>
        <v>Tropical Moist</v>
      </c>
      <c r="B833" s="1574">
        <f>0.26/0.34</f>
        <v>0.76470588235294112</v>
      </c>
      <c r="C833" s="71"/>
      <c r="D833" s="71"/>
      <c r="G833" s="71"/>
      <c r="I833" s="105"/>
    </row>
    <row r="834" spans="1:9" s="70" customFormat="1">
      <c r="A834" s="70" t="str">
        <f t="shared" si="20"/>
        <v>Tropical Wet</v>
      </c>
      <c r="B834" s="1574">
        <f>0.26/0.34</f>
        <v>0.76470588235294112</v>
      </c>
      <c r="C834" s="71"/>
      <c r="D834" s="71"/>
      <c r="G834" s="71"/>
      <c r="I834" s="105"/>
    </row>
    <row r="835" spans="1:9" s="87" customFormat="1">
      <c r="A835" s="87" t="s">
        <v>256</v>
      </c>
      <c r="B835" s="101"/>
      <c r="C835" s="101"/>
      <c r="G835" s="101" t="s">
        <v>244</v>
      </c>
      <c r="I835" s="104"/>
    </row>
    <row r="836" spans="1:9" s="87" customFormat="1">
      <c r="A836" s="87" t="s">
        <v>241</v>
      </c>
      <c r="B836" s="87" t="s">
        <v>247</v>
      </c>
      <c r="C836" s="101"/>
      <c r="D836" s="101"/>
      <c r="E836" s="101" t="s">
        <v>257</v>
      </c>
      <c r="G836" s="101"/>
      <c r="I836" s="104"/>
    </row>
    <row r="837" spans="1:9" s="87" customFormat="1">
      <c r="A837" s="87" t="str">
        <f>A823</f>
        <v>Please select</v>
      </c>
      <c r="C837" s="101"/>
      <c r="D837" s="101"/>
      <c r="E837" s="101"/>
      <c r="G837" s="101"/>
      <c r="I837" s="104"/>
    </row>
    <row r="838" spans="1:9" s="70" customFormat="1">
      <c r="A838" s="70" t="str">
        <f>A824</f>
        <v>Boreal Dry</v>
      </c>
      <c r="B838" s="1574">
        <f t="shared" ref="B838:B843" si="21">0.24/0.4</f>
        <v>0.6</v>
      </c>
      <c r="C838" s="71"/>
      <c r="D838" s="71"/>
      <c r="G838" s="71"/>
      <c r="I838" s="105"/>
    </row>
    <row r="839" spans="1:9" s="70" customFormat="1">
      <c r="A839" s="70" t="str">
        <f t="shared" ref="A839:A848" si="22">A825</f>
        <v>Boreal Moist</v>
      </c>
      <c r="B839" s="1574">
        <f t="shared" si="21"/>
        <v>0.6</v>
      </c>
      <c r="C839" s="71"/>
      <c r="D839" s="71"/>
      <c r="G839" s="71"/>
      <c r="I839" s="105"/>
    </row>
    <row r="840" spans="1:9" s="70" customFormat="1">
      <c r="A840" s="70" t="str">
        <f t="shared" si="22"/>
        <v>Cool Temperate Dry</v>
      </c>
      <c r="B840" s="1574">
        <f t="shared" si="21"/>
        <v>0.6</v>
      </c>
      <c r="C840" s="71"/>
      <c r="D840" s="71"/>
      <c r="G840" s="71"/>
      <c r="I840" s="105"/>
    </row>
    <row r="841" spans="1:9" s="70" customFormat="1">
      <c r="A841" s="70" t="str">
        <f t="shared" si="22"/>
        <v>Cool Temperate Moist</v>
      </c>
      <c r="B841" s="1574">
        <f t="shared" si="21"/>
        <v>0.6</v>
      </c>
      <c r="C841" s="71"/>
      <c r="D841" s="71"/>
      <c r="G841" s="71"/>
      <c r="I841" s="105"/>
    </row>
    <row r="842" spans="1:9" s="70" customFormat="1">
      <c r="A842" s="70" t="str">
        <f t="shared" si="22"/>
        <v>Warm Temperate Dry</v>
      </c>
      <c r="B842" s="1574">
        <f t="shared" si="21"/>
        <v>0.6</v>
      </c>
      <c r="C842" s="71"/>
      <c r="D842" s="71"/>
      <c r="G842" s="71"/>
      <c r="I842" s="105"/>
    </row>
    <row r="843" spans="1:9" s="70" customFormat="1">
      <c r="A843" s="70" t="str">
        <f t="shared" si="22"/>
        <v>Warm Temperate Moist</v>
      </c>
      <c r="B843" s="1574">
        <f t="shared" si="21"/>
        <v>0.6</v>
      </c>
      <c r="C843" s="71"/>
      <c r="D843" s="71"/>
      <c r="G843" s="71"/>
      <c r="I843" s="105"/>
    </row>
    <row r="844" spans="1:9" s="70" customFormat="1">
      <c r="A844" s="70" t="str">
        <f t="shared" si="22"/>
        <v>Tropical Montane Dry</v>
      </c>
      <c r="B844" s="1574">
        <f>0.26/0.34</f>
        <v>0.76470588235294112</v>
      </c>
      <c r="C844" s="71"/>
      <c r="D844" s="71"/>
      <c r="G844" s="71"/>
      <c r="I844" s="105"/>
    </row>
    <row r="845" spans="1:9" s="70" customFormat="1">
      <c r="A845" s="70" t="str">
        <f t="shared" si="22"/>
        <v>Tropical Montane Moist</v>
      </c>
      <c r="B845" s="1574">
        <f>0.26/0.34</f>
        <v>0.76470588235294112</v>
      </c>
      <c r="C845" s="71"/>
      <c r="D845" s="71"/>
      <c r="G845" s="71"/>
      <c r="I845" s="105"/>
    </row>
    <row r="846" spans="1:9" s="70" customFormat="1">
      <c r="A846" s="70" t="str">
        <f t="shared" si="22"/>
        <v>Tropical Dry</v>
      </c>
      <c r="B846" s="1574">
        <f>0.26/0.34</f>
        <v>0.76470588235294112</v>
      </c>
      <c r="C846" s="71"/>
      <c r="D846" s="71"/>
      <c r="G846" s="71"/>
      <c r="I846" s="105"/>
    </row>
    <row r="847" spans="1:9" s="70" customFormat="1">
      <c r="A847" s="70" t="str">
        <f t="shared" si="22"/>
        <v>Tropical Moist</v>
      </c>
      <c r="B847" s="1574">
        <f>0.26/0.34</f>
        <v>0.76470588235294112</v>
      </c>
      <c r="C847" s="71"/>
      <c r="D847" s="71"/>
      <c r="G847" s="71"/>
      <c r="I847" s="105"/>
    </row>
    <row r="848" spans="1:9" s="70" customFormat="1">
      <c r="A848" s="70" t="str">
        <f t="shared" si="22"/>
        <v>Tropical Wet</v>
      </c>
      <c r="B848" s="1574">
        <f>0.26/0.34</f>
        <v>0.76470588235294112</v>
      </c>
      <c r="C848" s="71"/>
      <c r="D848" s="71"/>
      <c r="G848" s="71"/>
      <c r="I848" s="105"/>
    </row>
    <row r="849" spans="1:24" s="87" customFormat="1">
      <c r="A849" s="87" t="s">
        <v>259</v>
      </c>
      <c r="B849" s="101"/>
      <c r="C849" s="101"/>
      <c r="G849" s="101" t="s">
        <v>244</v>
      </c>
      <c r="I849" s="104"/>
    </row>
    <row r="850" spans="1:24" s="87" customFormat="1">
      <c r="A850" s="87" t="s">
        <v>241</v>
      </c>
      <c r="B850" s="87" t="s">
        <v>261</v>
      </c>
      <c r="C850" s="101"/>
      <c r="D850" s="101"/>
      <c r="E850" s="101" t="s">
        <v>260</v>
      </c>
      <c r="G850" s="101"/>
      <c r="I850" s="104"/>
    </row>
    <row r="851" spans="1:24" s="87" customFormat="1">
      <c r="A851" s="87" t="str">
        <f>A837</f>
        <v>Please select</v>
      </c>
      <c r="C851" s="101"/>
      <c r="D851" s="101"/>
      <c r="E851" s="101"/>
      <c r="G851" s="101"/>
      <c r="I851" s="104"/>
    </row>
    <row r="852" spans="1:24" s="70" customFormat="1">
      <c r="A852" s="70" t="str">
        <f>A838</f>
        <v>Boreal Dry</v>
      </c>
      <c r="B852" s="1574">
        <v>1.8</v>
      </c>
      <c r="C852" s="71"/>
      <c r="D852" s="71"/>
      <c r="G852" s="71"/>
      <c r="I852" s="105"/>
    </row>
    <row r="853" spans="1:24" s="70" customFormat="1">
      <c r="A853" s="70" t="str">
        <f t="shared" ref="A853:A862" si="23">A839</f>
        <v>Boreal Moist</v>
      </c>
      <c r="B853" s="1574">
        <v>1.8</v>
      </c>
      <c r="C853" s="71"/>
      <c r="D853" s="71"/>
      <c r="G853" s="71"/>
      <c r="I853" s="105"/>
    </row>
    <row r="854" spans="1:24" s="70" customFormat="1">
      <c r="A854" s="70" t="str">
        <f t="shared" si="23"/>
        <v>Cool Temperate Dry</v>
      </c>
      <c r="B854" s="1574">
        <v>1.8</v>
      </c>
      <c r="C854" s="71"/>
      <c r="D854" s="71"/>
      <c r="G854" s="71"/>
      <c r="I854" s="105"/>
    </row>
    <row r="855" spans="1:24" s="70" customFormat="1">
      <c r="A855" s="70" t="str">
        <f t="shared" si="23"/>
        <v>Cool Temperate Moist</v>
      </c>
      <c r="B855" s="1574">
        <v>1.8</v>
      </c>
      <c r="C855" s="71"/>
      <c r="D855" s="71"/>
      <c r="G855" s="71"/>
      <c r="I855" s="105"/>
    </row>
    <row r="856" spans="1:24" s="70" customFormat="1">
      <c r="A856" s="70" t="str">
        <f t="shared" si="23"/>
        <v>Warm Temperate Dry</v>
      </c>
      <c r="B856" s="1574">
        <v>1.8</v>
      </c>
      <c r="C856" s="71"/>
      <c r="D856" s="71"/>
      <c r="G856" s="71"/>
      <c r="I856" s="105"/>
    </row>
    <row r="857" spans="1:24" s="70" customFormat="1">
      <c r="A857" s="70" t="str">
        <f t="shared" si="23"/>
        <v>Warm Temperate Moist</v>
      </c>
      <c r="B857" s="1574">
        <v>1.8</v>
      </c>
      <c r="C857" s="71"/>
      <c r="D857" s="71"/>
      <c r="G857" s="71"/>
      <c r="I857" s="105"/>
    </row>
    <row r="858" spans="1:24" s="70" customFormat="1">
      <c r="A858" s="70" t="str">
        <f t="shared" si="23"/>
        <v>Tropical Montane Dry</v>
      </c>
      <c r="B858" s="1574">
        <v>3.6</v>
      </c>
      <c r="C858" s="71"/>
      <c r="D858" s="71"/>
      <c r="G858" s="71"/>
      <c r="I858" s="105"/>
    </row>
    <row r="859" spans="1:24" s="70" customFormat="1">
      <c r="A859" s="70" t="str">
        <f t="shared" si="23"/>
        <v>Tropical Montane Moist</v>
      </c>
      <c r="B859" s="1574">
        <v>3.6</v>
      </c>
      <c r="C859" s="71"/>
      <c r="D859" s="71"/>
      <c r="G859" s="71"/>
      <c r="I859" s="105"/>
    </row>
    <row r="860" spans="1:24" s="70" customFormat="1">
      <c r="A860" s="70" t="str">
        <f t="shared" si="23"/>
        <v>Tropical Dry</v>
      </c>
      <c r="B860" s="1574">
        <v>3.6</v>
      </c>
      <c r="C860" s="71"/>
      <c r="D860" s="71"/>
      <c r="G860" s="71"/>
      <c r="I860" s="105"/>
    </row>
    <row r="861" spans="1:24" s="70" customFormat="1">
      <c r="A861" s="70" t="str">
        <f t="shared" si="23"/>
        <v>Tropical Moist</v>
      </c>
      <c r="B861" s="1574">
        <v>3.6</v>
      </c>
      <c r="C861" s="71"/>
      <c r="D861" s="71"/>
      <c r="G861" s="71"/>
      <c r="I861" s="105"/>
    </row>
    <row r="862" spans="1:24" s="70" customFormat="1">
      <c r="A862" s="70" t="str">
        <f t="shared" si="23"/>
        <v>Tropical Wet</v>
      </c>
      <c r="B862" s="1574">
        <v>3.6</v>
      </c>
      <c r="C862" s="71"/>
      <c r="D862" s="71"/>
      <c r="G862" s="71"/>
      <c r="I862" s="105"/>
    </row>
    <row r="863" spans="1:24">
      <c r="A863" s="1976" t="s">
        <v>1456</v>
      </c>
      <c r="B863" s="1977"/>
      <c r="C863" s="1977"/>
      <c r="D863" s="1977"/>
      <c r="E863" s="1976"/>
      <c r="F863" s="1976"/>
      <c r="G863" s="1977"/>
      <c r="H863" s="1976"/>
      <c r="I863" s="1978"/>
      <c r="J863" s="1925"/>
      <c r="K863" s="1925"/>
      <c r="L863" s="1925"/>
      <c r="M863" s="1925"/>
      <c r="N863" s="1925"/>
      <c r="O863" s="1925"/>
      <c r="P863" s="1925"/>
      <c r="Q863" s="1925"/>
      <c r="R863" s="1925"/>
      <c r="S863" s="1925"/>
      <c r="T863" s="1925"/>
      <c r="U863" s="1925"/>
      <c r="V863" s="1925"/>
      <c r="W863" s="1925"/>
      <c r="X863" s="1925"/>
    </row>
    <row r="864" spans="1:24">
      <c r="A864" s="1976" t="s">
        <v>335</v>
      </c>
      <c r="B864" s="1977" t="s">
        <v>461</v>
      </c>
      <c r="C864" s="1977" t="s">
        <v>462</v>
      </c>
      <c r="D864" s="1977" t="s">
        <v>360</v>
      </c>
      <c r="E864" s="1977" t="s">
        <v>362</v>
      </c>
      <c r="F864" s="1979" t="s">
        <v>463</v>
      </c>
      <c r="G864" s="1977"/>
      <c r="H864" s="1976"/>
      <c r="I864" s="1978"/>
      <c r="J864" s="1925"/>
      <c r="K864" s="1925"/>
      <c r="L864" s="1925"/>
      <c r="M864" s="1925"/>
      <c r="N864" s="1925"/>
      <c r="O864" s="1925"/>
      <c r="P864" s="1925"/>
      <c r="Q864" s="1925"/>
      <c r="R864" s="1925"/>
      <c r="S864" s="1925"/>
      <c r="T864" s="1925"/>
      <c r="U864" s="1925"/>
      <c r="V864" s="1925"/>
      <c r="W864" s="1925"/>
      <c r="X864" s="1925"/>
    </row>
    <row r="865" spans="1:24">
      <c r="A865" s="1973" t="str">
        <f>A851</f>
        <v>Please select</v>
      </c>
      <c r="B865" s="1972"/>
      <c r="C865" s="1972"/>
      <c r="D865" s="1972"/>
      <c r="E865" s="1972"/>
      <c r="F865" s="1975"/>
      <c r="G865" s="1971"/>
      <c r="H865" s="1971"/>
      <c r="I865" s="1971"/>
      <c r="J865" s="1925"/>
      <c r="K865" s="1925"/>
      <c r="L865" s="1925"/>
      <c r="M865" s="1925"/>
      <c r="N865" s="1925"/>
      <c r="O865" s="1925"/>
      <c r="P865" s="1925"/>
      <c r="Q865" s="1925"/>
      <c r="R865" s="1925"/>
      <c r="S865" s="1925"/>
      <c r="T865" s="1925"/>
      <c r="U865" s="1925"/>
      <c r="V865" s="1925"/>
      <c r="W865" s="1925"/>
      <c r="X865" s="1925"/>
    </row>
    <row r="866" spans="1:24">
      <c r="A866" s="1974" t="s">
        <v>309</v>
      </c>
      <c r="B866" s="2316">
        <v>10.8</v>
      </c>
      <c r="C866" s="2316">
        <v>81.5</v>
      </c>
      <c r="D866" s="2316">
        <v>0</v>
      </c>
      <c r="E866" s="2316">
        <v>0</v>
      </c>
      <c r="F866" s="2316">
        <v>0</v>
      </c>
      <c r="G866" s="1971"/>
      <c r="H866" s="1971"/>
      <c r="I866" s="1971"/>
      <c r="J866" s="1925"/>
      <c r="K866" s="1925"/>
      <c r="L866" s="1925"/>
      <c r="M866" s="1925"/>
      <c r="N866" s="1925"/>
      <c r="O866" s="1925"/>
      <c r="P866" s="1925"/>
      <c r="Q866" s="1925"/>
      <c r="R866" s="1925"/>
      <c r="S866" s="1925"/>
      <c r="T866" s="1925"/>
      <c r="U866" s="1925"/>
      <c r="V866" s="1925"/>
      <c r="W866" s="1925"/>
      <c r="X866" s="1925"/>
    </row>
    <row r="867" spans="1:24">
      <c r="A867" s="1974" t="s">
        <v>306</v>
      </c>
      <c r="B867" s="2316">
        <v>20</v>
      </c>
      <c r="C867" s="2316">
        <v>32</v>
      </c>
      <c r="D867" s="2316">
        <v>0</v>
      </c>
      <c r="E867" s="2316">
        <v>0</v>
      </c>
      <c r="F867" s="2316">
        <v>0</v>
      </c>
      <c r="G867" s="1971"/>
      <c r="H867" s="1971"/>
      <c r="I867" s="1971"/>
      <c r="J867" s="1925"/>
      <c r="K867" s="1925"/>
      <c r="L867" s="1925"/>
      <c r="M867" s="1925"/>
      <c r="N867" s="1925"/>
      <c r="O867" s="1925"/>
      <c r="P867" s="1925"/>
      <c r="Q867" s="1925"/>
      <c r="R867" s="1925"/>
      <c r="S867" s="1925"/>
      <c r="T867" s="1925"/>
      <c r="U867" s="1925"/>
      <c r="V867" s="1925"/>
      <c r="W867" s="1925"/>
      <c r="X867" s="1925"/>
    </row>
    <row r="868" spans="1:24">
      <c r="A868" s="1974" t="s">
        <v>307</v>
      </c>
      <c r="B868" s="2316">
        <v>18</v>
      </c>
      <c r="C868" s="2316">
        <v>20</v>
      </c>
      <c r="D868" s="2316">
        <v>29</v>
      </c>
      <c r="E868" s="2316">
        <v>0</v>
      </c>
      <c r="F868" s="2316">
        <v>0</v>
      </c>
      <c r="G868" s="1971"/>
      <c r="H868" s="1971"/>
      <c r="I868" s="1971"/>
      <c r="J868" s="1925"/>
      <c r="K868" s="1925"/>
      <c r="L868" s="1925"/>
      <c r="M868" s="1925"/>
      <c r="N868" s="1925"/>
      <c r="O868" s="1925"/>
      <c r="P868" s="1925"/>
      <c r="Q868" s="1925"/>
      <c r="R868" s="1925"/>
      <c r="S868" s="1925"/>
      <c r="T868" s="1925"/>
      <c r="U868" s="1925"/>
      <c r="V868" s="1925"/>
      <c r="W868" s="1925"/>
      <c r="X868" s="1925"/>
    </row>
    <row r="869" spans="1:24">
      <c r="A869" s="1974" t="s">
        <v>308</v>
      </c>
      <c r="B869" s="2316">
        <v>76</v>
      </c>
      <c r="C869" s="2316">
        <v>91</v>
      </c>
      <c r="D869" s="2316">
        <v>0</v>
      </c>
      <c r="E869" s="2316">
        <v>0</v>
      </c>
      <c r="F869" s="2316">
        <v>0</v>
      </c>
      <c r="G869" s="1930"/>
      <c r="H869" s="1925"/>
      <c r="I869" s="1932"/>
      <c r="J869" s="1925"/>
      <c r="K869" s="1925"/>
      <c r="L869" s="1925"/>
      <c r="M869" s="1925"/>
      <c r="N869" s="1925"/>
      <c r="O869" s="1925"/>
      <c r="P869" s="1925"/>
      <c r="Q869" s="1925"/>
      <c r="R869" s="1925"/>
      <c r="S869" s="1925"/>
      <c r="T869" s="1925"/>
      <c r="U869" s="1925"/>
      <c r="V869" s="1925"/>
      <c r="W869" s="1925"/>
      <c r="X869" s="1925"/>
    </row>
    <row r="870" spans="1:24">
      <c r="A870" s="1974" t="s">
        <v>311</v>
      </c>
      <c r="B870" s="2316">
        <v>36</v>
      </c>
      <c r="C870" s="2316">
        <v>99</v>
      </c>
      <c r="D870" s="2316">
        <v>99</v>
      </c>
      <c r="E870" s="2316">
        <v>0</v>
      </c>
      <c r="F870" s="2316">
        <v>0</v>
      </c>
      <c r="G870" s="1930"/>
      <c r="H870" s="1925"/>
      <c r="I870" s="1932"/>
      <c r="J870" s="1925"/>
      <c r="K870" s="1925"/>
      <c r="L870" s="1925"/>
      <c r="M870" s="1925"/>
      <c r="N870" s="1925"/>
      <c r="O870" s="1925"/>
      <c r="P870" s="1925"/>
      <c r="Q870" s="1925"/>
      <c r="R870" s="1925"/>
      <c r="S870" s="1925"/>
      <c r="T870" s="1925"/>
      <c r="U870" s="1925"/>
      <c r="V870" s="1925"/>
      <c r="W870" s="1925"/>
      <c r="X870" s="1925"/>
    </row>
    <row r="871" spans="1:24">
      <c r="A871" s="1974" t="s">
        <v>310</v>
      </c>
      <c r="B871" s="2316">
        <v>36</v>
      </c>
      <c r="C871" s="2316">
        <v>99</v>
      </c>
      <c r="D871" s="2316">
        <v>99</v>
      </c>
      <c r="E871" s="2316">
        <v>0</v>
      </c>
      <c r="F871" s="2316">
        <v>0</v>
      </c>
      <c r="G871" s="1930"/>
      <c r="H871" s="1925"/>
      <c r="I871" s="1932"/>
      <c r="J871" s="1925"/>
      <c r="K871" s="1925"/>
      <c r="L871" s="1925"/>
      <c r="M871" s="1925"/>
      <c r="N871" s="1925"/>
      <c r="O871" s="1925"/>
      <c r="P871" s="1925"/>
      <c r="Q871" s="1925"/>
      <c r="R871" s="1925"/>
      <c r="S871" s="1925"/>
      <c r="T871" s="1925"/>
      <c r="U871" s="1925"/>
      <c r="V871" s="1925"/>
      <c r="W871" s="1925"/>
      <c r="X871" s="1925"/>
    </row>
    <row r="872" spans="1:24">
      <c r="A872" s="1974" t="s">
        <v>302</v>
      </c>
      <c r="B872" s="2316">
        <v>83</v>
      </c>
      <c r="C872" s="2316">
        <v>95</v>
      </c>
      <c r="D872" s="2316">
        <v>0</v>
      </c>
      <c r="E872" s="2316">
        <v>0</v>
      </c>
      <c r="F872" s="2316">
        <v>0</v>
      </c>
      <c r="G872" s="1930"/>
      <c r="H872" s="1925"/>
      <c r="I872" s="1932"/>
      <c r="J872" s="1925"/>
      <c r="K872" s="1925"/>
      <c r="L872" s="1925"/>
      <c r="M872" s="1925"/>
      <c r="N872" s="1925"/>
      <c r="O872" s="1925"/>
      <c r="P872" s="1925"/>
      <c r="Q872" s="1925"/>
      <c r="R872" s="1925"/>
      <c r="S872" s="1925"/>
      <c r="T872" s="1925"/>
      <c r="U872" s="1925"/>
      <c r="V872" s="1925"/>
      <c r="W872" s="1925"/>
      <c r="X872" s="1925"/>
    </row>
    <row r="873" spans="1:24">
      <c r="A873" s="1974" t="s">
        <v>305</v>
      </c>
      <c r="B873" s="2316">
        <v>83</v>
      </c>
      <c r="C873" s="2316">
        <v>79</v>
      </c>
      <c r="D873" s="2316">
        <v>20</v>
      </c>
      <c r="E873" s="2316">
        <v>0</v>
      </c>
      <c r="F873" s="2316">
        <v>0</v>
      </c>
      <c r="G873" s="1930"/>
      <c r="H873" s="1925"/>
      <c r="I873" s="1932"/>
      <c r="J873" s="1925"/>
      <c r="K873" s="1925"/>
      <c r="L873" s="1925"/>
      <c r="M873" s="1925"/>
      <c r="N873" s="1925"/>
      <c r="O873" s="1925"/>
      <c r="P873" s="1925"/>
      <c r="Q873" s="1925"/>
      <c r="R873" s="1925"/>
      <c r="S873" s="1925"/>
      <c r="T873" s="1925"/>
      <c r="U873" s="1925"/>
      <c r="V873" s="1925"/>
      <c r="W873" s="1925"/>
      <c r="X873" s="1925"/>
    </row>
    <row r="874" spans="1:24">
      <c r="A874" s="1974" t="s">
        <v>303</v>
      </c>
      <c r="B874" s="2316">
        <v>20</v>
      </c>
      <c r="C874" s="2316">
        <v>50</v>
      </c>
      <c r="D874" s="2316">
        <v>50</v>
      </c>
      <c r="E874" s="2316">
        <v>0</v>
      </c>
      <c r="F874" s="2316">
        <v>0</v>
      </c>
      <c r="G874" s="1930"/>
      <c r="H874" s="1925"/>
      <c r="I874" s="1932"/>
      <c r="J874" s="1925"/>
      <c r="K874" s="1925"/>
      <c r="L874" s="1925"/>
      <c r="M874" s="1925"/>
      <c r="N874" s="1925"/>
      <c r="O874" s="1925"/>
      <c r="P874" s="1925"/>
      <c r="Q874" s="1925"/>
      <c r="R874" s="1925"/>
      <c r="S874" s="1925"/>
      <c r="T874" s="1925"/>
      <c r="U874" s="1925"/>
      <c r="V874" s="1925"/>
      <c r="W874" s="1925"/>
      <c r="X874" s="1925"/>
    </row>
    <row r="875" spans="1:24">
      <c r="A875" s="1974" t="s">
        <v>304</v>
      </c>
      <c r="B875" s="2316">
        <v>20</v>
      </c>
      <c r="C875" s="2316">
        <v>50</v>
      </c>
      <c r="D875" s="2316">
        <v>50</v>
      </c>
      <c r="E875" s="2316">
        <v>0</v>
      </c>
      <c r="F875" s="2316">
        <v>0</v>
      </c>
      <c r="G875" s="1930"/>
      <c r="H875" s="1925"/>
      <c r="I875" s="1932"/>
      <c r="J875" s="1925"/>
      <c r="K875" s="1925"/>
      <c r="L875" s="1925"/>
      <c r="M875" s="1925"/>
      <c r="N875" s="1925"/>
      <c r="O875" s="1925"/>
      <c r="P875" s="1925"/>
      <c r="Q875" s="1925"/>
      <c r="R875" s="1925"/>
      <c r="S875" s="1925"/>
      <c r="T875" s="1925"/>
      <c r="U875" s="1925"/>
      <c r="V875" s="1925"/>
      <c r="W875" s="1925"/>
      <c r="X875" s="1925"/>
    </row>
    <row r="876" spans="1:24">
      <c r="A876" s="1974" t="s">
        <v>434</v>
      </c>
      <c r="B876" s="2316">
        <v>27</v>
      </c>
      <c r="C876" s="2316">
        <v>22</v>
      </c>
      <c r="D876" s="2316">
        <v>19</v>
      </c>
      <c r="E876" s="2316">
        <v>0</v>
      </c>
      <c r="F876" s="2316">
        <v>0</v>
      </c>
      <c r="G876" s="1930"/>
      <c r="H876" s="1925"/>
      <c r="I876" s="1932"/>
      <c r="J876" s="1925"/>
      <c r="K876" s="1925"/>
      <c r="L876" s="1925"/>
      <c r="M876" s="1925"/>
      <c r="N876" s="1925"/>
      <c r="O876" s="1925"/>
      <c r="P876" s="1925"/>
      <c r="Q876" s="1925"/>
      <c r="R876" s="1925"/>
      <c r="S876" s="1925"/>
      <c r="T876" s="1925"/>
      <c r="U876" s="1925"/>
      <c r="V876" s="1925"/>
      <c r="W876" s="1925"/>
      <c r="X876" s="1925"/>
    </row>
  </sheetData>
  <sheetProtection formatCells="0" formatColumns="0" formatRows="0"/>
  <mergeCells count="1">
    <mergeCell ref="B597:E597"/>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Z641"/>
  <sheetViews>
    <sheetView zoomScale="90" zoomScaleNormal="90" workbookViewId="0">
      <pane ySplit="5" topLeftCell="A6" activePane="bottomLeft" state="frozen"/>
      <selection activeCell="J14" sqref="J14"/>
      <selection pane="bottomLeft" activeCell="F22" sqref="F22"/>
    </sheetView>
  </sheetViews>
  <sheetFormatPr baseColWidth="10" defaultColWidth="14.109375" defaultRowHeight="13.2"/>
  <cols>
    <col min="1" max="1" width="4.6640625" style="232" customWidth="1"/>
    <col min="2" max="2" width="22.44140625" style="232" customWidth="1"/>
    <col min="3" max="3" width="2" style="232" customWidth="1"/>
    <col min="4" max="4" width="12.5546875" style="232" customWidth="1"/>
    <col min="5" max="5" width="10.44140625" style="232" customWidth="1"/>
    <col min="6" max="6" width="11.6640625" style="232" customWidth="1"/>
    <col min="7" max="8" width="10.44140625" style="232" customWidth="1"/>
    <col min="9" max="9" width="9.33203125" style="232" customWidth="1"/>
    <col min="10" max="10" width="9.109375" style="232" customWidth="1"/>
    <col min="11" max="11" width="10.44140625" style="232" customWidth="1"/>
    <col min="12" max="12" width="2.33203125" style="232" customWidth="1"/>
    <col min="13" max="13" width="10.44140625" style="244" customWidth="1"/>
    <col min="14" max="14" width="2.6640625" style="232" customWidth="1"/>
    <col min="15" max="15" width="9.44140625" style="232" customWidth="1"/>
    <col min="16" max="16" width="2.5546875" style="232" customWidth="1"/>
    <col min="17" max="17" width="9.44140625" style="244" customWidth="1"/>
    <col min="18" max="18" width="13.109375" style="244" customWidth="1"/>
    <col min="19" max="19" width="11.5546875" style="244" customWidth="1"/>
    <col min="20" max="20" width="12.5546875" style="232" customWidth="1"/>
    <col min="21" max="21" width="4.5546875" style="232" customWidth="1"/>
    <col min="22" max="22" width="20.5546875" style="232" customWidth="1"/>
    <col min="23" max="23" width="5.109375" style="232" customWidth="1"/>
    <col min="24" max="16384" width="14.109375" style="232"/>
  </cols>
  <sheetData>
    <row r="1" spans="1:26" s="2290" customFormat="1" ht="22.95" customHeight="1">
      <c r="M1" s="2291"/>
      <c r="Q1" s="2291"/>
      <c r="R1" s="2291"/>
      <c r="S1" s="2291"/>
    </row>
    <row r="2" spans="1:26" s="2290" customFormat="1" ht="22.95" customHeight="1">
      <c r="M2" s="2291"/>
      <c r="Q2" s="2291"/>
      <c r="R2" s="2291"/>
      <c r="S2" s="2291"/>
    </row>
    <row r="3" spans="1:26" s="2290" customFormat="1" ht="22.95" customHeight="1">
      <c r="M3" s="2291"/>
      <c r="Q3" s="2291"/>
      <c r="R3" s="2291"/>
      <c r="S3" s="2291"/>
    </row>
    <row r="4" spans="1:26" s="2290" customFormat="1" ht="22.95" customHeight="1">
      <c r="M4" s="2291"/>
      <c r="Q4" s="2291"/>
      <c r="R4" s="2291"/>
      <c r="S4" s="2291"/>
    </row>
    <row r="5" spans="1:26" s="2292" customFormat="1" ht="22.95" customHeight="1">
      <c r="A5" s="2783" t="str">
        <f>HLOOKUP(select,translations!$B$436:$H$450,2,)</f>
        <v xml:space="preserve"> </v>
      </c>
      <c r="M5" s="2293"/>
      <c r="Q5" s="2293"/>
      <c r="R5" s="2293"/>
      <c r="S5" s="2293"/>
    </row>
    <row r="6" spans="1:26" s="1749" customFormat="1">
      <c r="B6" s="1845"/>
      <c r="C6" s="1845"/>
      <c r="Q6" s="1751"/>
      <c r="R6" s="1751"/>
      <c r="S6" s="1751"/>
    </row>
    <row r="7" spans="1:26" s="1749" customFormat="1" ht="15.6">
      <c r="B7" s="2579" t="str">
        <f>HLOOKUP(select,translations!$A$20:$H$70,2,)</f>
        <v>2.1. Deforestation</v>
      </c>
      <c r="C7" s="1849"/>
      <c r="D7" s="1767"/>
      <c r="E7" s="1767"/>
      <c r="F7" s="1767"/>
      <c r="G7" s="1767"/>
      <c r="H7" s="1767"/>
      <c r="I7" s="1767"/>
      <c r="J7" s="1767"/>
      <c r="K7" s="1767"/>
      <c r="L7" s="1767"/>
      <c r="M7" s="1767"/>
      <c r="N7" s="1767"/>
      <c r="O7" s="1767"/>
      <c r="P7" s="1767"/>
      <c r="Q7" s="1767"/>
      <c r="R7" s="1767"/>
      <c r="S7" s="1767"/>
      <c r="T7" s="1794"/>
    </row>
    <row r="8" spans="1:26" s="1749" customFormat="1">
      <c r="B8" s="2657" t="str">
        <f>HLOOKUP(select,translations!$A$20:$H$70,3,)</f>
        <v>AEZ map</v>
      </c>
      <c r="C8" s="2191"/>
      <c r="D8" s="2031" t="str">
        <f>CONCATENATE(HLOOKUP(select,translations!$A$20:$H$45,21,),IF(Nlang=1,forest1,VLOOKUP(forest1,'Name translation'!$A$30:$H$45,Nlang+1,)))</f>
        <v>Zone 1 = Please specify the climate</v>
      </c>
      <c r="E8" s="2031"/>
      <c r="F8" s="2031"/>
      <c r="G8" s="2031" t="str">
        <f>IF(forest2="","",CONCATENATE(HLOOKUP(select,translations!$A$20:$H$45,22,),IF(Nlang=1,forest2,VLOOKUP(forest2,'Name translation'!$A$30:$H$45,Nlang+1,))))</f>
        <v>Zone 2 = Please specify the climate</v>
      </c>
      <c r="H8" s="2031"/>
      <c r="I8" s="2031"/>
      <c r="J8" s="2031"/>
      <c r="K8" s="2031" t="str">
        <f>IF(forest3="","",CONCATENATE(HLOOKUP(select,translations!$A$20:$H$45,23,),IF(Nlang=1,forest3,VLOOKUP(forest3,'Name translation'!$A$30:$H$45,Nlang+1,))))</f>
        <v>Zone 3 = Please specify the climate</v>
      </c>
      <c r="L8" s="2031"/>
      <c r="M8" s="2031"/>
      <c r="N8" s="2031"/>
      <c r="O8" s="2031"/>
      <c r="P8" s="2031"/>
      <c r="Q8" s="2663" t="str">
        <f>IF(forest4="","",CONCATENATE(HLOOKUP(select,translations!$A$20:$H$45,24,),IF(Nlang=1,forest4,VLOOKUP(forest4,'Name translation'!$A$30:$H$45,Nlang+1,))))</f>
        <v>Zone 4 = Please specify the climate</v>
      </c>
      <c r="R8" s="2032"/>
      <c r="S8" s="2032"/>
      <c r="T8" s="2031"/>
    </row>
    <row r="9" spans="1:26" s="1749" customFormat="1">
      <c r="B9" s="1851"/>
      <c r="C9" s="1851"/>
      <c r="D9" s="1748"/>
      <c r="Q9" s="1751"/>
      <c r="R9" s="1751"/>
      <c r="S9" s="1751"/>
      <c r="V9" s="1740" t="str">
        <f>HLOOKUP(select,translations!$B$7:$H$19,13,)</f>
        <v xml:space="preserve"> </v>
      </c>
    </row>
    <row r="10" spans="1:26" s="1749" customFormat="1">
      <c r="B10" s="1852" t="str">
        <f>HLOOKUP(select,translations!$A$20:$H$70,4,)</f>
        <v>Type of vegetation</v>
      </c>
      <c r="C10" s="1852"/>
      <c r="D10" s="2124" t="str">
        <f>HLOOKUP(select,translations!$A$20:$H$70,6,)</f>
        <v>HWP#</v>
      </c>
      <c r="E10" s="2659" t="str">
        <f>HLOOKUP(select,translations!$A$20:$H$70,7,)</f>
        <v>Fire Use?</v>
      </c>
      <c r="F10" s="3072" t="str">
        <f>HLOOKUP(select,translations!$A$20:$H$70,8,)</f>
        <v>Final use after deforestation</v>
      </c>
      <c r="G10" s="3072"/>
      <c r="H10" s="3072"/>
      <c r="I10" s="1765"/>
      <c r="J10" s="1766" t="str">
        <f>HLOOKUP(select,translations!$A$20:$H$70,9,)</f>
        <v>Forested area (ha)</v>
      </c>
      <c r="K10" s="1766"/>
      <c r="L10" s="1766"/>
      <c r="M10" s="2097"/>
      <c r="N10" s="1761"/>
      <c r="O10" s="1765" t="str">
        <f>HLOOKUP(select,translations!$A$20:$H$70,10,)</f>
        <v>Deforested area (ha)</v>
      </c>
      <c r="P10" s="1765"/>
      <c r="Q10" s="1765"/>
      <c r="R10" s="3070" t="str">
        <f>HLOOKUP(select,translations!$A$20:$H$70,11,)</f>
        <v>Total Emissions (tCO2-eq)</v>
      </c>
      <c r="S10" s="3070"/>
      <c r="T10" s="2124" t="str">
        <f>HLOOKUP(select,translations!$A$20:$H$70,12,)</f>
        <v>Balance</v>
      </c>
      <c r="V10" s="1740" t="str">
        <f>IF(Nlang=1,"",B10)</f>
        <v/>
      </c>
      <c r="W10" s="1740"/>
      <c r="X10" s="1740" t="str">
        <f>IF(Nlang=1,"",F10)</f>
        <v/>
      </c>
      <c r="Y10" s="1740"/>
      <c r="Z10" s="1740"/>
    </row>
    <row r="11" spans="1:26" s="1749" customFormat="1">
      <c r="B11" s="1762" t="str">
        <f>HLOOKUP(select,translations!$A$20:$H$70,5,)</f>
        <v>that will be deforested</v>
      </c>
      <c r="C11" s="1762"/>
      <c r="D11" s="1789" t="str">
        <f>HLOOKUP(select,translations!$A$20:$H$70,13,)</f>
        <v xml:space="preserve"> (tDM/ha)</v>
      </c>
      <c r="E11" s="2049" t="str">
        <f>HLOOKUP(select,translations!$A$20:$H$70,14,)</f>
        <v>(y/n)</v>
      </c>
      <c r="F11" s="1761"/>
      <c r="G11" s="1761"/>
      <c r="H11" s="1761"/>
      <c r="I11" s="1761"/>
      <c r="J11" s="1831" t="str">
        <f>HLOOKUP(select,translations!$A$20:$H$70,18,)</f>
        <v>Start</v>
      </c>
      <c r="K11" s="1831" t="str">
        <f>HLOOKUP(select,translations!$A$20:$H$70,19,)</f>
        <v>Without</v>
      </c>
      <c r="L11" s="1831" t="s">
        <v>93</v>
      </c>
      <c r="M11" s="1831" t="str">
        <f>HLOOKUP(select,translations!$A$20:$H$70,20,)</f>
        <v>With</v>
      </c>
      <c r="N11" s="2187" t="s">
        <v>93</v>
      </c>
      <c r="O11" s="1824" t="str">
        <f>K11</f>
        <v>Without</v>
      </c>
      <c r="P11" s="1824"/>
      <c r="Q11" s="1824" t="str">
        <f>M11</f>
        <v>With</v>
      </c>
      <c r="R11" s="1790" t="str">
        <f>K11</f>
        <v>Without</v>
      </c>
      <c r="S11" s="1790" t="str">
        <f>M11</f>
        <v>With</v>
      </c>
      <c r="T11" s="1761"/>
    </row>
    <row r="12" spans="1:26" s="1749" customFormat="1">
      <c r="B12" s="1763" t="s">
        <v>1517</v>
      </c>
      <c r="C12" s="1762"/>
      <c r="D12" s="2121">
        <v>0</v>
      </c>
      <c r="E12" s="2957" t="s">
        <v>359</v>
      </c>
      <c r="F12" s="3066" t="s">
        <v>13</v>
      </c>
      <c r="G12" s="3066"/>
      <c r="H12" s="3066"/>
      <c r="I12" s="1761"/>
      <c r="J12" s="2121">
        <v>0</v>
      </c>
      <c r="K12" s="2121">
        <v>0</v>
      </c>
      <c r="L12" s="2164" t="s">
        <v>1525</v>
      </c>
      <c r="M12" s="2121">
        <v>0</v>
      </c>
      <c r="N12" s="2164" t="s">
        <v>1525</v>
      </c>
      <c r="O12" s="1791">
        <f>IF(B12="",0,Deforestation!H42)</f>
        <v>0</v>
      </c>
      <c r="P12" s="1791"/>
      <c r="Q12" s="1791">
        <f>IF(B12="",0,Deforestation!I42)</f>
        <v>0</v>
      </c>
      <c r="R12" s="1792">
        <f>IF(F12=List!$A$61,0,Deforestation!R42)</f>
        <v>0</v>
      </c>
      <c r="S12" s="1792">
        <f>IF(F12=List!$A$61,0,Deforestation!S42)</f>
        <v>0</v>
      </c>
      <c r="T12" s="1792">
        <f>IF(F12=List!$A$61,0,Deforestation!T42)</f>
        <v>0</v>
      </c>
      <c r="V12" s="1749" t="str">
        <f>IF(Nlang=1,"",VLOOKUP(B12,'Name translation'!$A$46:$H$54,Nlang+1,))</f>
        <v/>
      </c>
      <c r="W12" s="1742"/>
      <c r="X12" s="2724" t="str">
        <f>IF(Nlang=1,"",VLOOKUP(F12,'Name translation'!$A$57:$H$65,Nlang+1,))</f>
        <v/>
      </c>
    </row>
    <row r="13" spans="1:26" s="1749" customFormat="1">
      <c r="B13" s="2666" t="s">
        <v>1517</v>
      </c>
      <c r="C13" s="1762"/>
      <c r="D13" s="2121">
        <v>0</v>
      </c>
      <c r="E13" s="2123" t="s">
        <v>359</v>
      </c>
      <c r="F13" s="3066" t="s">
        <v>13</v>
      </c>
      <c r="G13" s="3066"/>
      <c r="H13" s="3066"/>
      <c r="I13" s="1761"/>
      <c r="J13" s="2121">
        <v>0</v>
      </c>
      <c r="K13" s="2121">
        <v>0</v>
      </c>
      <c r="L13" s="2164" t="s">
        <v>1525</v>
      </c>
      <c r="M13" s="2121">
        <v>0</v>
      </c>
      <c r="N13" s="2164" t="s">
        <v>1525</v>
      </c>
      <c r="O13" s="1791">
        <f>IF(B13="",0,Deforestation!H43)</f>
        <v>0</v>
      </c>
      <c r="P13" s="1791"/>
      <c r="Q13" s="1791">
        <f>IF(B13="",0,Deforestation!I43)</f>
        <v>0</v>
      </c>
      <c r="R13" s="1792">
        <f>IF(F13=List!$A$61,0,Deforestation!R43)</f>
        <v>0</v>
      </c>
      <c r="S13" s="1792">
        <f>IF(F13=List!$A$61,0,Deforestation!S43)</f>
        <v>0</v>
      </c>
      <c r="T13" s="1792">
        <f>IF(F13=List!$A$61,0,Deforestation!T43)</f>
        <v>0</v>
      </c>
      <c r="V13" s="1749" t="str">
        <f>IF(Nlang=1,"",VLOOKUP(B13,'Name translation'!$A$46:$H$54,Nlang+1,))</f>
        <v/>
      </c>
      <c r="W13" s="1742"/>
      <c r="X13" s="2724" t="str">
        <f>IF(Nlang=1,"",VLOOKUP(F13,'Name translation'!$A$57:$H$65,Nlang+1,))</f>
        <v/>
      </c>
    </row>
    <row r="14" spans="1:26" s="1749" customFormat="1">
      <c r="B14" s="1763" t="s">
        <v>1517</v>
      </c>
      <c r="C14" s="1762"/>
      <c r="D14" s="2121">
        <v>0</v>
      </c>
      <c r="E14" s="2123" t="s">
        <v>359</v>
      </c>
      <c r="F14" s="3066" t="s">
        <v>13</v>
      </c>
      <c r="G14" s="3066"/>
      <c r="H14" s="3066"/>
      <c r="I14" s="1761"/>
      <c r="J14" s="2121">
        <v>0</v>
      </c>
      <c r="K14" s="2121">
        <v>0</v>
      </c>
      <c r="L14" s="2164" t="s">
        <v>1525</v>
      </c>
      <c r="M14" s="2121">
        <v>0</v>
      </c>
      <c r="N14" s="2164" t="s">
        <v>1525</v>
      </c>
      <c r="O14" s="1791">
        <f>IF(B14="",0,Deforestation!H44)</f>
        <v>0</v>
      </c>
      <c r="P14" s="1791"/>
      <c r="Q14" s="1791">
        <f>IF(B14="",0,Deforestation!I44)</f>
        <v>0</v>
      </c>
      <c r="R14" s="1792">
        <f>IF(F14=List!$A$61,0,Deforestation!R44)</f>
        <v>0</v>
      </c>
      <c r="S14" s="1792">
        <f>IF(F14=List!$A$61,0,Deforestation!S44)</f>
        <v>0</v>
      </c>
      <c r="T14" s="1792">
        <f>IF(F14=List!$A$61,0,Deforestation!T44)</f>
        <v>0</v>
      </c>
      <c r="V14" s="1749" t="str">
        <f>IF(Nlang=1,"",VLOOKUP(B14,'Name translation'!$A$46:$H$54,Nlang+1,))</f>
        <v/>
      </c>
      <c r="W14" s="1742"/>
      <c r="X14" s="2724" t="str">
        <f>IF(Nlang=1,"",VLOOKUP(F14,'Name translation'!$A$57:$H$65,Nlang+1,))</f>
        <v/>
      </c>
    </row>
    <row r="15" spans="1:26" s="1749" customFormat="1">
      <c r="B15" s="1763" t="s">
        <v>1517</v>
      </c>
      <c r="C15" s="1762"/>
      <c r="D15" s="2121">
        <v>0</v>
      </c>
      <c r="E15" s="2123" t="s">
        <v>359</v>
      </c>
      <c r="F15" s="3066" t="s">
        <v>13</v>
      </c>
      <c r="G15" s="3066"/>
      <c r="H15" s="3066"/>
      <c r="I15" s="1761"/>
      <c r="J15" s="2121">
        <v>0</v>
      </c>
      <c r="K15" s="2121">
        <v>0</v>
      </c>
      <c r="L15" s="2164" t="s">
        <v>1525</v>
      </c>
      <c r="M15" s="2121">
        <v>0</v>
      </c>
      <c r="N15" s="2164" t="s">
        <v>1525</v>
      </c>
      <c r="O15" s="1791">
        <f>IF(B15="",0,Deforestation!H45)</f>
        <v>0</v>
      </c>
      <c r="P15" s="1791"/>
      <c r="Q15" s="1791">
        <f>IF(B15="",0,Deforestation!I45)</f>
        <v>0</v>
      </c>
      <c r="R15" s="1792">
        <f>IF(F15=List!$A$61,0,Deforestation!R45)</f>
        <v>0</v>
      </c>
      <c r="S15" s="1792">
        <f>IF(F15=List!$A$61,0,Deforestation!S45)</f>
        <v>0</v>
      </c>
      <c r="T15" s="1792">
        <f>IF(F15=List!$A$61,0,Deforestation!T45)</f>
        <v>0</v>
      </c>
      <c r="V15" s="1749" t="str">
        <f>IF(Nlang=1,"",VLOOKUP(B15,'Name translation'!$A$46:$H$54,Nlang+1,))</f>
        <v/>
      </c>
      <c r="W15" s="1742"/>
      <c r="X15" s="2724" t="str">
        <f>IF(Nlang=1,"",VLOOKUP(F15,'Name translation'!$A$57:$H$65,Nlang+1,))</f>
        <v/>
      </c>
    </row>
    <row r="16" spans="1:26" s="1749" customFormat="1">
      <c r="B16" s="1763" t="s">
        <v>1517</v>
      </c>
      <c r="C16" s="1762"/>
      <c r="D16" s="2121">
        <v>0</v>
      </c>
      <c r="E16" s="2123" t="s">
        <v>359</v>
      </c>
      <c r="F16" s="3066" t="s">
        <v>13</v>
      </c>
      <c r="G16" s="3066"/>
      <c r="H16" s="3066"/>
      <c r="I16" s="1761"/>
      <c r="J16" s="2121">
        <v>0</v>
      </c>
      <c r="K16" s="2121">
        <v>0</v>
      </c>
      <c r="L16" s="2164" t="s">
        <v>1525</v>
      </c>
      <c r="M16" s="2121">
        <v>0</v>
      </c>
      <c r="N16" s="2164" t="s">
        <v>1525</v>
      </c>
      <c r="O16" s="1791">
        <f>IF(B16="",0,Deforestation!H46)</f>
        <v>0</v>
      </c>
      <c r="P16" s="1791"/>
      <c r="Q16" s="1791">
        <f>IF(B16="",0,Deforestation!I46)</f>
        <v>0</v>
      </c>
      <c r="R16" s="1792">
        <f>IF(F16=List!$A$61,0,Deforestation!R46)</f>
        <v>0</v>
      </c>
      <c r="S16" s="1792">
        <f>IF(F16=List!$A$61,0,Deforestation!S46)</f>
        <v>0</v>
      </c>
      <c r="T16" s="1792">
        <f>IF(F16=List!$A$61,0,Deforestation!T46)</f>
        <v>0</v>
      </c>
      <c r="V16" s="1749" t="str">
        <f>IF(Nlang=1,"",VLOOKUP(B16,'Name translation'!$A$46:$H$54,Nlang+1,))</f>
        <v/>
      </c>
      <c r="W16" s="1742"/>
      <c r="X16" s="2724" t="str">
        <f>IF(Nlang=1,"",VLOOKUP(F16,'Name translation'!$A$57:$H$65,Nlang+1,))</f>
        <v/>
      </c>
    </row>
    <row r="17" spans="2:26" s="1749" customFormat="1">
      <c r="B17" s="1763" t="s">
        <v>1517</v>
      </c>
      <c r="C17" s="1762"/>
      <c r="D17" s="2121">
        <v>0</v>
      </c>
      <c r="E17" s="2123" t="s">
        <v>359</v>
      </c>
      <c r="F17" s="3066" t="s">
        <v>13</v>
      </c>
      <c r="G17" s="3066"/>
      <c r="H17" s="3066"/>
      <c r="I17" s="1761"/>
      <c r="J17" s="2121">
        <v>0</v>
      </c>
      <c r="K17" s="2121">
        <v>0</v>
      </c>
      <c r="L17" s="2164" t="s">
        <v>1525</v>
      </c>
      <c r="M17" s="2121">
        <v>0</v>
      </c>
      <c r="N17" s="2164" t="s">
        <v>1525</v>
      </c>
      <c r="O17" s="1791">
        <f>IF(B17="",0,Deforestation!H47)</f>
        <v>0</v>
      </c>
      <c r="P17" s="1791"/>
      <c r="Q17" s="1791">
        <f>IF(B17="",0,Deforestation!I47)</f>
        <v>0</v>
      </c>
      <c r="R17" s="1792">
        <f>IF(F17=List!$A$61,0,Deforestation!R47)</f>
        <v>0</v>
      </c>
      <c r="S17" s="1792">
        <f>IF(F17=List!$A$61,0,Deforestation!S47)</f>
        <v>0</v>
      </c>
      <c r="T17" s="1792">
        <f>IF(F17=List!$A$61,0,Deforestation!T47)</f>
        <v>0</v>
      </c>
      <c r="V17" s="1749" t="str">
        <f>IF(Nlang=1,"",VLOOKUP(B17,'Name translation'!$A$46:$H$54,Nlang+1,))</f>
        <v/>
      </c>
      <c r="W17" s="1742"/>
      <c r="X17" s="2724" t="str">
        <f>IF(Nlang=1,"",VLOOKUP(F17,'Name translation'!$A$57:$H$65,Nlang+1,))</f>
        <v/>
      </c>
    </row>
    <row r="18" spans="2:26" s="1749" customFormat="1">
      <c r="B18" s="1753"/>
      <c r="C18" s="1753"/>
      <c r="D18" s="1749" t="str">
        <f>HLOOKUP(select,translations!$A$20:$H$70,15,)</f>
        <v>#Harvested Wood Products</v>
      </c>
      <c r="G18" s="2190" t="str">
        <f>HLOOKUP(select,translations!$A$20:$H$70,16,)</f>
        <v>* Note concerning dynamics of change : "D" corresponds to default/linear, "I" to immediate and "E" to exponential (Please refer to the guidelines)</v>
      </c>
      <c r="H18" s="2188"/>
      <c r="I18" s="2188"/>
      <c r="J18" s="2188"/>
      <c r="K18" s="2188"/>
      <c r="L18" s="2188"/>
      <c r="M18" s="2188"/>
      <c r="N18" s="2188"/>
      <c r="O18" s="2188"/>
      <c r="P18" s="2188"/>
      <c r="Q18" s="2188"/>
      <c r="R18" s="2189"/>
      <c r="S18" s="2189"/>
      <c r="T18" s="2188"/>
    </row>
    <row r="19" spans="2:26" s="1749" customFormat="1">
      <c r="B19" s="1847"/>
      <c r="C19" s="1847"/>
      <c r="V19" s="1749" t="str">
        <f>IF(Nlang=1,"",CONCATENATE("NO = ", VLOOKUP("NO",'Name translation'!$A$46:$H$56,Nlang+1,)," / YES = ",VLOOKUP("YES",'Name translation'!$A$46:$H$56,Nlang+1,)))</f>
        <v/>
      </c>
    </row>
    <row r="20" spans="2:26" s="1749" customFormat="1">
      <c r="B20" s="1847"/>
      <c r="C20" s="1847"/>
      <c r="D20" s="2658"/>
      <c r="N20" s="1801" t="str">
        <f>HLOOKUP(select,translations!$A$20:$H$70,17,)</f>
        <v>Total Deforestation</v>
      </c>
      <c r="O20" s="1761"/>
      <c r="P20" s="1761"/>
      <c r="Q20" s="1761"/>
      <c r="R20" s="1792">
        <f>SUM(R12:R17)</f>
        <v>0</v>
      </c>
      <c r="S20" s="1792">
        <f>SUM(S12:S17)</f>
        <v>0</v>
      </c>
      <c r="T20" s="1792">
        <f>SUM(T12:T17)</f>
        <v>0</v>
      </c>
    </row>
    <row r="21" spans="2:26" s="1749" customFormat="1"/>
    <row r="22" spans="2:26" s="1749" customFormat="1"/>
    <row r="23" spans="2:26" s="1749" customFormat="1"/>
    <row r="24" spans="2:26" s="1749" customFormat="1" ht="15.6">
      <c r="B24" s="2583" t="str">
        <f>HLOOKUP(select,translations!$A$20:$H$70,25,)</f>
        <v>2.2. Afforestation and Reforestation</v>
      </c>
      <c r="C24" s="2197"/>
      <c r="D24" s="1894"/>
      <c r="E24" s="1894"/>
      <c r="F24" s="1894"/>
      <c r="G24" s="1894"/>
      <c r="H24" s="1894"/>
      <c r="I24" s="1894"/>
      <c r="J24" s="1894"/>
      <c r="K24" s="1894"/>
      <c r="L24" s="1894"/>
      <c r="M24" s="1894"/>
      <c r="N24" s="1894"/>
      <c r="O24" s="1894"/>
      <c r="P24" s="1894"/>
      <c r="Q24" s="1895"/>
      <c r="R24" s="1895"/>
      <c r="S24" s="1895"/>
      <c r="T24" s="1894"/>
    </row>
    <row r="25" spans="2:26" s="1738" customFormat="1">
      <c r="B25" s="2657" t="str">
        <f>B8</f>
        <v>AEZ map</v>
      </c>
      <c r="C25" s="2192"/>
      <c r="D25" s="2033" t="str">
        <f>D8</f>
        <v>Zone 1 = Please specify the climate</v>
      </c>
      <c r="E25" s="2033"/>
      <c r="F25" s="2033"/>
      <c r="G25" s="2033" t="str">
        <f>G8</f>
        <v>Zone 2 = Please specify the climate</v>
      </c>
      <c r="H25" s="2033"/>
      <c r="I25" s="2033"/>
      <c r="J25" s="2033"/>
      <c r="K25" s="2033" t="str">
        <f>K8</f>
        <v>Zone 3 = Please specify the climate</v>
      </c>
      <c r="L25" s="2033"/>
      <c r="M25" s="2033"/>
      <c r="N25" s="2033"/>
      <c r="O25" s="2033"/>
      <c r="P25" s="2033"/>
      <c r="Q25" s="2664" t="str">
        <f>Q8</f>
        <v>Zone 4 = Please specify the climate</v>
      </c>
      <c r="R25" s="2034"/>
      <c r="S25" s="2034"/>
      <c r="T25" s="2033"/>
    </row>
    <row r="26" spans="2:26" s="1738" customFormat="1">
      <c r="Q26" s="1743"/>
      <c r="R26" s="1743"/>
      <c r="S26" s="1743"/>
      <c r="V26" s="1987" t="str">
        <f>V9</f>
        <v xml:space="preserve"> </v>
      </c>
    </row>
    <row r="27" spans="2:26" s="1738" customFormat="1">
      <c r="B27" s="2198" t="str">
        <f>B10</f>
        <v>Type of vegetation</v>
      </c>
      <c r="C27" s="2198"/>
      <c r="D27" s="2193"/>
      <c r="E27" s="2660" t="str">
        <f>E10</f>
        <v>Fire Use?</v>
      </c>
      <c r="F27" s="3073" t="str">
        <f>HLOOKUP(select,translations!$A$20:$H$70,26,)</f>
        <v>Previous land use</v>
      </c>
      <c r="G27" s="3073"/>
      <c r="H27" s="3073"/>
      <c r="I27" s="2193"/>
      <c r="J27" s="2193"/>
      <c r="K27" s="3071" t="str">
        <f>HLOOKUP(select,translations!$A$20:$H$70,27,)</f>
        <v>Area that will be afforested/reforested</v>
      </c>
      <c r="L27" s="3071"/>
      <c r="M27" s="3071"/>
      <c r="N27" s="3071"/>
      <c r="O27" s="3071"/>
      <c r="P27" s="2196"/>
      <c r="Q27" s="2195"/>
      <c r="R27" s="3071" t="str">
        <f>R10</f>
        <v>Total Emissions (tCO2-eq)</v>
      </c>
      <c r="S27" s="3071"/>
      <c r="T27" s="2196" t="str">
        <f>T10</f>
        <v>Balance</v>
      </c>
      <c r="V27" s="1987" t="str">
        <f>IF(Nlang=1,"",B27)</f>
        <v/>
      </c>
      <c r="W27" s="1987"/>
      <c r="X27" s="1987" t="str">
        <f>IF(Nlang=1,"",F27)</f>
        <v/>
      </c>
      <c r="Y27" s="1987"/>
    </row>
    <row r="28" spans="2:26" s="1796" customFormat="1">
      <c r="B28" s="2199" t="str">
        <f>HLOOKUP(select,translations!$A$20:$H$70,47,)</f>
        <v>that will be planted</v>
      </c>
      <c r="C28" s="2199"/>
      <c r="D28" s="2199"/>
      <c r="E28" s="2200" t="str">
        <f>E11</f>
        <v>(y/n)</v>
      </c>
      <c r="F28" s="2199"/>
      <c r="G28" s="2199"/>
      <c r="H28" s="2199"/>
      <c r="I28" s="2199"/>
      <c r="J28" s="2199"/>
      <c r="K28" s="2201" t="str">
        <f>K11</f>
        <v>Without</v>
      </c>
      <c r="L28" s="2202" t="s">
        <v>93</v>
      </c>
      <c r="M28" s="2201" t="str">
        <f>M11</f>
        <v>With</v>
      </c>
      <c r="N28" s="2203" t="s">
        <v>93</v>
      </c>
      <c r="O28" s="2199"/>
      <c r="P28" s="2199"/>
      <c r="Q28" s="2201"/>
      <c r="R28" s="2200" t="str">
        <f>K28</f>
        <v>Without</v>
      </c>
      <c r="S28" s="2200" t="str">
        <f>M28</f>
        <v>With</v>
      </c>
      <c r="T28" s="2168"/>
    </row>
    <row r="29" spans="2:26" s="1796" customFormat="1">
      <c r="B29" s="1763" t="s">
        <v>1517</v>
      </c>
      <c r="C29" s="2199"/>
      <c r="D29" s="2199"/>
      <c r="E29" s="2957" t="s">
        <v>359</v>
      </c>
      <c r="F29" s="3064" t="s">
        <v>15</v>
      </c>
      <c r="G29" s="3066"/>
      <c r="H29" s="3066"/>
      <c r="I29" s="2199"/>
      <c r="J29" s="2199"/>
      <c r="K29" s="2121">
        <v>0</v>
      </c>
      <c r="L29" s="2164" t="s">
        <v>1525</v>
      </c>
      <c r="M29" s="2121">
        <v>0</v>
      </c>
      <c r="N29" s="2164" t="s">
        <v>1525</v>
      </c>
      <c r="O29" s="2199"/>
      <c r="P29" s="2199"/>
      <c r="Q29" s="2201"/>
      <c r="R29" s="2204">
        <f>IF(F29=List!$A$83,0,'A-R'!Q42)</f>
        <v>0</v>
      </c>
      <c r="S29" s="2204">
        <f>IF(F29=List!$A$83,0,'A-R'!R42)</f>
        <v>0</v>
      </c>
      <c r="T29" s="2204">
        <f>IF(F29=List!$A$83,0,'A-R'!S42)</f>
        <v>0</v>
      </c>
      <c r="V29" s="1749" t="str">
        <f>IF(Nlang=1,"",VLOOKUP(B29,'Name translation'!$A$46:$H$54,Nlang+1,))</f>
        <v/>
      </c>
      <c r="W29" s="1742"/>
      <c r="X29" s="2724" t="str">
        <f>IF(Nlang=1,"",VLOOKUP(F29,'Name translation'!$A$66:$H$74,Nlang+1,))</f>
        <v/>
      </c>
      <c r="Y29" s="1749"/>
      <c r="Z29" s="1749"/>
    </row>
    <row r="30" spans="2:26" s="1796" customFormat="1">
      <c r="B30" s="1763" t="s">
        <v>1517</v>
      </c>
      <c r="C30" s="2199"/>
      <c r="D30" s="2199"/>
      <c r="E30" s="2123" t="s">
        <v>359</v>
      </c>
      <c r="F30" s="3066" t="s">
        <v>15</v>
      </c>
      <c r="G30" s="3066"/>
      <c r="H30" s="3066"/>
      <c r="I30" s="2199"/>
      <c r="J30" s="2199"/>
      <c r="K30" s="2121">
        <v>0</v>
      </c>
      <c r="L30" s="2164" t="s">
        <v>1525</v>
      </c>
      <c r="M30" s="2121">
        <v>0</v>
      </c>
      <c r="N30" s="2164" t="s">
        <v>1525</v>
      </c>
      <c r="O30" s="2199"/>
      <c r="P30" s="2199"/>
      <c r="Q30" s="2201"/>
      <c r="R30" s="2204">
        <f>IF(F30=List!$A$83,0,'A-R'!Q43)</f>
        <v>0</v>
      </c>
      <c r="S30" s="2204">
        <f>IF(F30=List!$A$83,0,'A-R'!R43)</f>
        <v>0</v>
      </c>
      <c r="T30" s="2204">
        <f>IF(F30=List!$A$83,0,'A-R'!S43)</f>
        <v>0</v>
      </c>
      <c r="V30" s="1749" t="str">
        <f>IF(Nlang=1,"",VLOOKUP(B30,'Name translation'!$A$46:$H$54,Nlang+1,))</f>
        <v/>
      </c>
      <c r="W30" s="1742"/>
      <c r="X30" s="2724" t="str">
        <f>IF(Nlang=1,"",VLOOKUP(F30,'Name translation'!$A$66:$H$74,Nlang+1,))</f>
        <v/>
      </c>
      <c r="Y30" s="1749"/>
      <c r="Z30" s="1749"/>
    </row>
    <row r="31" spans="2:26" s="1796" customFormat="1">
      <c r="B31" s="1763" t="s">
        <v>1517</v>
      </c>
      <c r="C31" s="2199"/>
      <c r="D31" s="2199"/>
      <c r="E31" s="2123" t="s">
        <v>359</v>
      </c>
      <c r="F31" s="3066" t="s">
        <v>15</v>
      </c>
      <c r="G31" s="3066"/>
      <c r="H31" s="3066"/>
      <c r="I31" s="2199"/>
      <c r="J31" s="2199"/>
      <c r="K31" s="2121">
        <v>0</v>
      </c>
      <c r="L31" s="2164" t="s">
        <v>1525</v>
      </c>
      <c r="M31" s="2121">
        <v>0</v>
      </c>
      <c r="N31" s="2164" t="s">
        <v>1525</v>
      </c>
      <c r="O31" s="2199"/>
      <c r="P31" s="2199"/>
      <c r="Q31" s="2201"/>
      <c r="R31" s="2204">
        <f>IF(F31=List!$A$83,0,'A-R'!Q44)</f>
        <v>0</v>
      </c>
      <c r="S31" s="2204">
        <f>IF(F31=List!$A$83,0,'A-R'!R44)</f>
        <v>0</v>
      </c>
      <c r="T31" s="2204">
        <f>IF(F31=List!$A$83,0,'A-R'!S44)</f>
        <v>0</v>
      </c>
      <c r="V31" s="1749" t="str">
        <f>IF(Nlang=1,"",VLOOKUP(B31,'Name translation'!$A$46:$H$54,Nlang+1,))</f>
        <v/>
      </c>
      <c r="W31" s="1742"/>
      <c r="X31" s="2724" t="str">
        <f>IF(Nlang=1,"",VLOOKUP(F31,'Name translation'!$A$66:$H$74,Nlang+1,))</f>
        <v/>
      </c>
      <c r="Y31" s="1749"/>
      <c r="Z31" s="1749"/>
    </row>
    <row r="32" spans="2:26" s="1796" customFormat="1">
      <c r="B32" s="1763" t="s">
        <v>1517</v>
      </c>
      <c r="C32" s="2199"/>
      <c r="D32" s="2199"/>
      <c r="E32" s="2123" t="s">
        <v>359</v>
      </c>
      <c r="F32" s="3066" t="s">
        <v>15</v>
      </c>
      <c r="G32" s="3066"/>
      <c r="H32" s="3066"/>
      <c r="I32" s="2199"/>
      <c r="J32" s="2199"/>
      <c r="K32" s="2121">
        <v>0</v>
      </c>
      <c r="L32" s="2164" t="s">
        <v>1525</v>
      </c>
      <c r="M32" s="2121">
        <v>0</v>
      </c>
      <c r="N32" s="2164" t="s">
        <v>1525</v>
      </c>
      <c r="O32" s="2199"/>
      <c r="P32" s="2199"/>
      <c r="Q32" s="2201"/>
      <c r="R32" s="2204">
        <f>IF(F32=List!$A$83,0,'A-R'!Q45)</f>
        <v>0</v>
      </c>
      <c r="S32" s="2204">
        <f>IF(F32=List!$A$83,0,'A-R'!R45)</f>
        <v>0</v>
      </c>
      <c r="T32" s="2204">
        <f>IF(F32=List!$A$83,0,'A-R'!S45)</f>
        <v>0</v>
      </c>
      <c r="V32" s="1749" t="str">
        <f>IF(Nlang=1,"",VLOOKUP(B32,'Name translation'!$A$46:$H$54,Nlang+1,))</f>
        <v/>
      </c>
      <c r="W32" s="1742"/>
      <c r="X32" s="2724" t="str">
        <f>IF(Nlang=1,"",VLOOKUP(F32,'Name translation'!$A$66:$H$74,Nlang+1,))</f>
        <v/>
      </c>
      <c r="Y32" s="1749"/>
      <c r="Z32" s="1749"/>
    </row>
    <row r="33" spans="2:26" s="1796" customFormat="1">
      <c r="B33" s="1763" t="s">
        <v>1517</v>
      </c>
      <c r="C33" s="2199"/>
      <c r="D33" s="2199"/>
      <c r="E33" s="2123" t="s">
        <v>359</v>
      </c>
      <c r="F33" s="3066" t="s">
        <v>15</v>
      </c>
      <c r="G33" s="3066"/>
      <c r="H33" s="3066"/>
      <c r="I33" s="2199"/>
      <c r="J33" s="2199"/>
      <c r="K33" s="2121">
        <v>0</v>
      </c>
      <c r="L33" s="2164" t="s">
        <v>1525</v>
      </c>
      <c r="M33" s="2121">
        <v>0</v>
      </c>
      <c r="N33" s="2164" t="s">
        <v>1525</v>
      </c>
      <c r="O33" s="2199"/>
      <c r="P33" s="2199"/>
      <c r="Q33" s="2201"/>
      <c r="R33" s="2204">
        <f>IF(F33=List!$A$83,0,'A-R'!Q46)</f>
        <v>0</v>
      </c>
      <c r="S33" s="2204">
        <f>IF(F33=List!$A$83,0,'A-R'!R46)</f>
        <v>0</v>
      </c>
      <c r="T33" s="2204">
        <f>IF(F33=List!$A$83,0,'A-R'!S46)</f>
        <v>0</v>
      </c>
      <c r="V33" s="1749" t="str">
        <f>IF(Nlang=1,"",VLOOKUP(B33,'Name translation'!$A$46:$H$54,Nlang+1,))</f>
        <v/>
      </c>
      <c r="W33" s="1742"/>
      <c r="X33" s="2724" t="str">
        <f>IF(Nlang=1,"",VLOOKUP(F33,'Name translation'!$A$66:$H$74,Nlang+1,))</f>
        <v/>
      </c>
      <c r="Y33" s="1749"/>
      <c r="Z33" s="1749"/>
    </row>
    <row r="34" spans="2:26" s="1796" customFormat="1">
      <c r="B34" s="1763" t="s">
        <v>1517</v>
      </c>
      <c r="C34" s="2199"/>
      <c r="D34" s="2199"/>
      <c r="E34" s="2123" t="s">
        <v>359</v>
      </c>
      <c r="F34" s="3066" t="s">
        <v>15</v>
      </c>
      <c r="G34" s="3066"/>
      <c r="H34" s="3066"/>
      <c r="I34" s="2199"/>
      <c r="J34" s="2199"/>
      <c r="K34" s="2121">
        <v>0</v>
      </c>
      <c r="L34" s="2164" t="s">
        <v>1525</v>
      </c>
      <c r="M34" s="2121">
        <v>0</v>
      </c>
      <c r="N34" s="2164" t="s">
        <v>1525</v>
      </c>
      <c r="O34" s="2199"/>
      <c r="P34" s="2199"/>
      <c r="Q34" s="2201"/>
      <c r="R34" s="2204">
        <f>IF(F34=List!$A$83,0,'A-R'!Q47)</f>
        <v>0</v>
      </c>
      <c r="S34" s="2204">
        <f>IF(F34=List!$A$83,0,'A-R'!R47)</f>
        <v>0</v>
      </c>
      <c r="T34" s="2204">
        <f>IF(F34=List!$A$83,0,'A-R'!S47)</f>
        <v>0</v>
      </c>
      <c r="V34" s="1749" t="str">
        <f>IF(Nlang=1,"",VLOOKUP(B34,'Name translation'!$A$46:$H$54,Nlang+1,))</f>
        <v/>
      </c>
      <c r="W34" s="1742"/>
      <c r="X34" s="2724" t="str">
        <f>IF(Nlang=1,"",VLOOKUP(F34,'Name translation'!$A$66:$H$74,Nlang+1,))</f>
        <v/>
      </c>
      <c r="Y34" s="1749"/>
      <c r="Z34" s="1749"/>
    </row>
    <row r="35" spans="2:26" s="1796" customFormat="1">
      <c r="G35" s="2190" t="str">
        <f>G18</f>
        <v>* Note concerning dynamics of change : "D" corresponds to default/linear, "I" to immediate and "E" to exponential (Please refer to the guidelines)</v>
      </c>
      <c r="H35" s="2188"/>
      <c r="I35" s="2188"/>
      <c r="J35" s="2188"/>
      <c r="K35" s="2188"/>
      <c r="L35" s="2188"/>
      <c r="M35" s="2188"/>
      <c r="N35" s="2188"/>
      <c r="O35" s="2188"/>
      <c r="P35" s="2188"/>
      <c r="Q35" s="2188"/>
      <c r="R35" s="2189"/>
      <c r="S35" s="2189"/>
      <c r="T35" s="2188"/>
    </row>
    <row r="36" spans="2:26" s="1796" customFormat="1">
      <c r="M36" s="1797"/>
      <c r="V36" s="1749" t="str">
        <f>V19</f>
        <v/>
      </c>
    </row>
    <row r="37" spans="2:26" s="1796" customFormat="1">
      <c r="M37" s="1797"/>
      <c r="N37" s="2210" t="str">
        <f>HLOOKUP(select,translations!$A$20:$H$70,28,)</f>
        <v>Total Af-/Reforestation</v>
      </c>
      <c r="O37" s="2168"/>
      <c r="P37" s="2168"/>
      <c r="Q37" s="2168"/>
      <c r="R37" s="2211">
        <f>SUM(R29:R34)</f>
        <v>0</v>
      </c>
      <c r="S37" s="2211">
        <f>SUM(S29:S34)</f>
        <v>0</v>
      </c>
      <c r="T37" s="2211">
        <f>SUM(T29:T34)</f>
        <v>0</v>
      </c>
    </row>
    <row r="38" spans="2:26" s="1796" customFormat="1">
      <c r="M38" s="1797"/>
      <c r="Q38" s="1797"/>
      <c r="R38" s="1797"/>
      <c r="S38" s="1797"/>
    </row>
    <row r="39" spans="2:26" s="1796" customFormat="1">
      <c r="M39" s="1797"/>
      <c r="Q39" s="1797"/>
      <c r="R39" s="1797"/>
      <c r="S39" s="1797"/>
    </row>
    <row r="40" spans="2:26" s="1796" customFormat="1"/>
    <row r="41" spans="2:26" s="1796" customFormat="1" ht="15.6">
      <c r="B41" s="2584" t="str">
        <f>HLOOKUP(select,translations!$A$20:$H$70,29,)</f>
        <v xml:space="preserve">2.3. Other Land Use Changes </v>
      </c>
      <c r="C41" s="2243"/>
      <c r="D41" s="2244"/>
      <c r="E41" s="2244"/>
      <c r="F41" s="2244"/>
      <c r="G41" s="2244"/>
      <c r="H41" s="2244"/>
      <c r="I41" s="2244"/>
      <c r="J41" s="2244"/>
      <c r="K41" s="2244"/>
      <c r="L41" s="2244"/>
      <c r="M41" s="2245"/>
      <c r="N41" s="2244"/>
      <c r="O41" s="2244"/>
      <c r="P41" s="2244"/>
      <c r="Q41" s="2245"/>
      <c r="R41" s="2245"/>
      <c r="S41" s="2245"/>
      <c r="T41" s="2244"/>
    </row>
    <row r="42" spans="2:26" s="1796" customFormat="1">
      <c r="B42" s="1825"/>
      <c r="C42" s="1825"/>
      <c r="M42" s="1797"/>
      <c r="Q42" s="1797"/>
      <c r="R42" s="1797"/>
      <c r="S42" s="1797"/>
      <c r="V42" s="1825" t="str">
        <f>V26</f>
        <v xml:space="preserve"> </v>
      </c>
    </row>
    <row r="43" spans="2:26" s="1796" customFormat="1">
      <c r="B43" s="2240" t="str">
        <f>HLOOKUP(select,translations!$A$20:$H$70,30,)</f>
        <v>Fill with your description</v>
      </c>
      <c r="C43" s="2240"/>
      <c r="D43" s="2240" t="str">
        <f>HLOOKUP(select,translations!$A$20:$H$70,31,)</f>
        <v>Initial land use</v>
      </c>
      <c r="E43" s="2240"/>
      <c r="F43" s="2240"/>
      <c r="G43" s="2240" t="str">
        <f>HLOOKUP(select,translations!$A$20:$H$70,32,)</f>
        <v>Final land use</v>
      </c>
      <c r="H43" s="2240"/>
      <c r="I43" s="3068" t="str">
        <f>HLOOKUP(select,translations!$A$20:$H$70,33,)</f>
        <v>Message</v>
      </c>
      <c r="J43" s="3068"/>
      <c r="K43" s="2247" t="str">
        <f>E27</f>
        <v>Fire Use?</v>
      </c>
      <c r="L43" s="2240"/>
      <c r="M43" s="3069" t="str">
        <f>HLOOKUP(select,translations!$A$20:$H$70,34,)</f>
        <v>Area transformed (ha)</v>
      </c>
      <c r="N43" s="3069"/>
      <c r="O43" s="3069"/>
      <c r="P43" s="3069"/>
      <c r="Q43" s="2247"/>
      <c r="R43" s="3075" t="str">
        <f>R27</f>
        <v>Total Emissions (tCO2-eq)</v>
      </c>
      <c r="S43" s="3075"/>
      <c r="T43" s="2248" t="str">
        <f>T27</f>
        <v>Balance</v>
      </c>
      <c r="V43" s="1825" t="str">
        <f>IF(Nlang=1,"",D43)</f>
        <v/>
      </c>
      <c r="W43" s="1825"/>
      <c r="X43" s="1825" t="str">
        <f>IF(Nlang=1,"",G43)</f>
        <v/>
      </c>
      <c r="Y43" s="1825"/>
    </row>
    <row r="44" spans="2:26" s="1796" customFormat="1">
      <c r="B44" s="2240"/>
      <c r="C44" s="2240"/>
      <c r="D44" s="2240"/>
      <c r="E44" s="2240"/>
      <c r="F44" s="2240"/>
      <c r="G44" s="2240"/>
      <c r="H44" s="2240"/>
      <c r="I44" s="2246"/>
      <c r="J44" s="2246"/>
      <c r="K44" s="2249" t="str">
        <f>E28</f>
        <v>(y/n)</v>
      </c>
      <c r="L44" s="2240"/>
      <c r="M44" s="2242" t="str">
        <f>K28</f>
        <v>Without</v>
      </c>
      <c r="N44" s="2240" t="s">
        <v>93</v>
      </c>
      <c r="O44" s="2242" t="str">
        <f>M28</f>
        <v>With</v>
      </c>
      <c r="P44" s="2240" t="s">
        <v>93</v>
      </c>
      <c r="Q44" s="2247"/>
      <c r="R44" s="2249" t="str">
        <f>R28</f>
        <v>Without</v>
      </c>
      <c r="S44" s="2249" t="str">
        <f>S28</f>
        <v>With</v>
      </c>
      <c r="T44" s="2250"/>
    </row>
    <row r="45" spans="2:26" s="1796" customFormat="1">
      <c r="B45" s="3031"/>
      <c r="C45" s="2240"/>
      <c r="D45" s="3074" t="s">
        <v>16</v>
      </c>
      <c r="E45" s="3074"/>
      <c r="F45" s="2241"/>
      <c r="G45" s="3064" t="s">
        <v>18</v>
      </c>
      <c r="H45" s="3066"/>
      <c r="I45" s="3076" t="str">
        <f>IF(LEFT(D45,6)=List!$D$61,List!$D$62,IF(LEFT(G45,6)=List!$D$61,List!$D$63,IF(LEFT(D45,7)=LEFT(G45,7),List!$D$64,"")))</f>
        <v>Fill initial LU</v>
      </c>
      <c r="J45" s="3076"/>
      <c r="K45" s="2123" t="s">
        <v>359</v>
      </c>
      <c r="L45" s="2240"/>
      <c r="M45" s="2121">
        <v>0</v>
      </c>
      <c r="N45" s="2164" t="s">
        <v>1525</v>
      </c>
      <c r="O45" s="2121">
        <v>0</v>
      </c>
      <c r="P45" s="2164" t="s">
        <v>1525</v>
      </c>
      <c r="Q45" s="2242"/>
      <c r="R45" s="2251">
        <f>'non Forest LUC'!N31</f>
        <v>0</v>
      </c>
      <c r="S45" s="2251">
        <f>'non Forest LUC'!O31</f>
        <v>0</v>
      </c>
      <c r="T45" s="2251">
        <f>'non Forest LUC'!P31</f>
        <v>0</v>
      </c>
      <c r="V45" s="1749" t="str">
        <f>IF(Nlang=1,"",VLOOKUP(D45,'Name translation'!$A$75:$H$96,Nlang+1,))</f>
        <v/>
      </c>
      <c r="W45" s="1742" t="str">
        <f t="shared" ref="W45:W54" si="0">IF(Nlang=1,"","-&gt;")</f>
        <v/>
      </c>
      <c r="X45" s="2724" t="str">
        <f>IF(Nlang=1,"",VLOOKUP(G45,'Name translation'!$A$75:$H$96,Nlang+1,))</f>
        <v/>
      </c>
      <c r="Y45" s="1749"/>
    </row>
    <row r="46" spans="2:26" s="1796" customFormat="1">
      <c r="B46" s="3031"/>
      <c r="C46" s="2240"/>
      <c r="D46" s="3074" t="s">
        <v>16</v>
      </c>
      <c r="E46" s="3074"/>
      <c r="F46" s="2241"/>
      <c r="G46" s="3064" t="s">
        <v>18</v>
      </c>
      <c r="H46" s="3066"/>
      <c r="I46" s="3076" t="str">
        <f>IF(LEFT(D46,6)=List!$D$61,List!$D$62,IF(LEFT(G46,6)=List!$D$61,List!$D$63,IF(LEFT(D46,7)=LEFT(G46,7),List!$D$64,"")))</f>
        <v>Fill initial LU</v>
      </c>
      <c r="J46" s="3076"/>
      <c r="K46" s="2957" t="s">
        <v>359</v>
      </c>
      <c r="L46" s="2240"/>
      <c r="M46" s="2121">
        <v>0</v>
      </c>
      <c r="N46" s="2164" t="s">
        <v>1525</v>
      </c>
      <c r="O46" s="2121">
        <v>0</v>
      </c>
      <c r="P46" s="2164" t="s">
        <v>1525</v>
      </c>
      <c r="Q46" s="2242"/>
      <c r="R46" s="2251">
        <f>'non Forest LUC'!N32</f>
        <v>0</v>
      </c>
      <c r="S46" s="2251">
        <f>'non Forest LUC'!O32</f>
        <v>0</v>
      </c>
      <c r="T46" s="2251">
        <f>'non Forest LUC'!P32</f>
        <v>0</v>
      </c>
      <c r="V46" s="2724" t="str">
        <f>IF(Nlang=1,"",VLOOKUP(D46,'Name translation'!$A$75:$H$96,Nlang+1,))</f>
        <v/>
      </c>
      <c r="W46" s="1742" t="str">
        <f t="shared" si="0"/>
        <v/>
      </c>
      <c r="X46" s="2724" t="str">
        <f>IF(Nlang=1,"",VLOOKUP(G46,'Name translation'!$A$75:$H$96,Nlang+1,))</f>
        <v/>
      </c>
      <c r="Y46" s="1749"/>
    </row>
    <row r="47" spans="2:26" s="1796" customFormat="1">
      <c r="B47" s="3031"/>
      <c r="C47" s="2240"/>
      <c r="D47" s="3074" t="s">
        <v>16</v>
      </c>
      <c r="E47" s="3074"/>
      <c r="F47" s="2241"/>
      <c r="G47" s="3064" t="s">
        <v>18</v>
      </c>
      <c r="H47" s="3066"/>
      <c r="I47" s="3076" t="str">
        <f>IF(LEFT(D47,6)=List!$D$61,List!$D$62,IF(LEFT(G47,6)=List!$D$61,List!$D$63,IF(LEFT(D47,7)=LEFT(G47,7),List!$D$64,"")))</f>
        <v>Fill initial LU</v>
      </c>
      <c r="J47" s="3076"/>
      <c r="K47" s="2123" t="s">
        <v>359</v>
      </c>
      <c r="L47" s="2240"/>
      <c r="M47" s="2121">
        <v>0</v>
      </c>
      <c r="N47" s="2164" t="s">
        <v>1525</v>
      </c>
      <c r="O47" s="2121">
        <v>0</v>
      </c>
      <c r="P47" s="2164" t="s">
        <v>1525</v>
      </c>
      <c r="Q47" s="2242"/>
      <c r="R47" s="2251">
        <f>'non Forest LUC'!N33</f>
        <v>0</v>
      </c>
      <c r="S47" s="2251">
        <f>'non Forest LUC'!O33</f>
        <v>0</v>
      </c>
      <c r="T47" s="2251">
        <f>'non Forest LUC'!P33</f>
        <v>0</v>
      </c>
      <c r="V47" s="2724" t="str">
        <f>IF(Nlang=1,"",VLOOKUP(D47,'Name translation'!$A$75:$H$96,Nlang+1,))</f>
        <v/>
      </c>
      <c r="W47" s="1742" t="str">
        <f t="shared" si="0"/>
        <v/>
      </c>
      <c r="X47" s="2724" t="str">
        <f>IF(Nlang=1,"",VLOOKUP(G47,'Name translation'!$A$75:$H$96,Nlang+1,))</f>
        <v/>
      </c>
      <c r="Y47" s="1749"/>
    </row>
    <row r="48" spans="2:26" s="1796" customFormat="1">
      <c r="B48" s="3031"/>
      <c r="C48" s="2240"/>
      <c r="D48" s="3074" t="s">
        <v>16</v>
      </c>
      <c r="E48" s="3074"/>
      <c r="F48" s="2241"/>
      <c r="G48" s="3064" t="s">
        <v>18</v>
      </c>
      <c r="H48" s="3066"/>
      <c r="I48" s="3076" t="str">
        <f>IF(LEFT(D48,6)=List!$D$61,List!$D$62,IF(LEFT(G48,6)=List!$D$61,List!$D$63,IF(LEFT(D48,7)=LEFT(G48,7),List!$D$64,"")))</f>
        <v>Fill initial LU</v>
      </c>
      <c r="J48" s="3076"/>
      <c r="K48" s="2548" t="s">
        <v>359</v>
      </c>
      <c r="L48" s="2240"/>
      <c r="M48" s="2121">
        <v>0</v>
      </c>
      <c r="N48" s="2164" t="s">
        <v>1525</v>
      </c>
      <c r="O48" s="2121">
        <v>0</v>
      </c>
      <c r="P48" s="2164" t="s">
        <v>1525</v>
      </c>
      <c r="Q48" s="2242"/>
      <c r="R48" s="2251">
        <f>'non Forest LUC'!N34</f>
        <v>0</v>
      </c>
      <c r="S48" s="2251">
        <f>'non Forest LUC'!O34</f>
        <v>0</v>
      </c>
      <c r="T48" s="2251">
        <f>'non Forest LUC'!P34</f>
        <v>0</v>
      </c>
      <c r="V48" s="2724" t="str">
        <f>IF(Nlang=1,"",VLOOKUP(D48,'Name translation'!$A$75:$H$96,Nlang+1,))</f>
        <v/>
      </c>
      <c r="W48" s="1742" t="str">
        <f t="shared" si="0"/>
        <v/>
      </c>
      <c r="X48" s="2724" t="str">
        <f>IF(Nlang=1,"",VLOOKUP(G48,'Name translation'!$A$75:$H$96,Nlang+1,))</f>
        <v/>
      </c>
      <c r="Y48" s="1749"/>
    </row>
    <row r="49" spans="2:26" s="1796" customFormat="1">
      <c r="B49" s="3031"/>
      <c r="C49" s="2240"/>
      <c r="D49" s="3074" t="s">
        <v>16</v>
      </c>
      <c r="E49" s="3074"/>
      <c r="F49" s="2241"/>
      <c r="G49" s="3064" t="s">
        <v>18</v>
      </c>
      <c r="H49" s="3066"/>
      <c r="I49" s="3076" t="str">
        <f>IF(LEFT(D49,6)=List!$D$61,List!$D$62,IF(LEFT(G49,6)=List!$D$61,List!$D$63,IF(LEFT(D49,7)=LEFT(G49,7),List!$D$64,"")))</f>
        <v>Fill initial LU</v>
      </c>
      <c r="J49" s="3076"/>
      <c r="K49" s="2548" t="s">
        <v>359</v>
      </c>
      <c r="L49" s="2240"/>
      <c r="M49" s="2121">
        <v>0</v>
      </c>
      <c r="N49" s="2164" t="s">
        <v>1525</v>
      </c>
      <c r="O49" s="2121">
        <v>0</v>
      </c>
      <c r="P49" s="2164" t="s">
        <v>1525</v>
      </c>
      <c r="Q49" s="2242"/>
      <c r="R49" s="2251">
        <f>'non Forest LUC'!N35</f>
        <v>0</v>
      </c>
      <c r="S49" s="2251">
        <f>'non Forest LUC'!O35</f>
        <v>0</v>
      </c>
      <c r="T49" s="2251">
        <f>'non Forest LUC'!P35</f>
        <v>0</v>
      </c>
      <c r="V49" s="2724" t="str">
        <f>IF(Nlang=1,"",VLOOKUP(D49,'Name translation'!$A$75:$H$96,Nlang+1,))</f>
        <v/>
      </c>
      <c r="W49" s="1742" t="str">
        <f t="shared" si="0"/>
        <v/>
      </c>
      <c r="X49" s="2724" t="str">
        <f>IF(Nlang=1,"",VLOOKUP(G49,'Name translation'!$A$75:$H$96,Nlang+1,))</f>
        <v/>
      </c>
      <c r="Y49" s="1749"/>
    </row>
    <row r="50" spans="2:26" s="1796" customFormat="1">
      <c r="B50" s="3031"/>
      <c r="C50" s="2240"/>
      <c r="D50" s="3074" t="s">
        <v>16</v>
      </c>
      <c r="E50" s="3074"/>
      <c r="F50" s="2241"/>
      <c r="G50" s="3064" t="s">
        <v>18</v>
      </c>
      <c r="H50" s="3066"/>
      <c r="I50" s="3076" t="str">
        <f>IF(LEFT(D50,6)=List!$D$61,List!$D$62,IF(LEFT(G50,6)=List!$D$61,List!$D$63,IF(LEFT(D50,7)=LEFT(G50,7),List!$D$64,"")))</f>
        <v>Fill initial LU</v>
      </c>
      <c r="J50" s="3076"/>
      <c r="K50" s="2123" t="s">
        <v>359</v>
      </c>
      <c r="L50" s="2240"/>
      <c r="M50" s="2121">
        <v>0</v>
      </c>
      <c r="N50" s="2164" t="s">
        <v>1525</v>
      </c>
      <c r="O50" s="2121">
        <v>0</v>
      </c>
      <c r="P50" s="2164" t="s">
        <v>1525</v>
      </c>
      <c r="Q50" s="2242"/>
      <c r="R50" s="2251">
        <f>'non Forest LUC'!N36</f>
        <v>0</v>
      </c>
      <c r="S50" s="2251">
        <f>'non Forest LUC'!O36</f>
        <v>0</v>
      </c>
      <c r="T50" s="2251">
        <f>'non Forest LUC'!P36</f>
        <v>0</v>
      </c>
      <c r="V50" s="2724" t="str">
        <f>IF(Nlang=1,"",VLOOKUP(D50,'Name translation'!$A$75:$H$96,Nlang+1,))</f>
        <v/>
      </c>
      <c r="W50" s="1742" t="str">
        <f t="shared" si="0"/>
        <v/>
      </c>
      <c r="X50" s="2724" t="str">
        <f>IF(Nlang=1,"",VLOOKUP(G50,'Name translation'!$A$75:$H$96,Nlang+1,))</f>
        <v/>
      </c>
      <c r="Y50" s="1749"/>
    </row>
    <row r="51" spans="2:26" s="1796" customFormat="1">
      <c r="B51" s="3031"/>
      <c r="C51" s="2240"/>
      <c r="D51" s="3074" t="s">
        <v>16</v>
      </c>
      <c r="E51" s="3074"/>
      <c r="F51" s="2241"/>
      <c r="G51" s="3064" t="s">
        <v>18</v>
      </c>
      <c r="H51" s="3066"/>
      <c r="I51" s="3076" t="str">
        <f>IF(LEFT(D51,6)=List!$D$61,List!$D$62,IF(LEFT(G51,6)=List!$D$61,List!$D$63,IF(LEFT(D51,7)=LEFT(G51,7),List!$D$64,"")))</f>
        <v>Fill initial LU</v>
      </c>
      <c r="J51" s="3076"/>
      <c r="K51" s="2123" t="s">
        <v>359</v>
      </c>
      <c r="L51" s="2240"/>
      <c r="M51" s="2121">
        <v>0</v>
      </c>
      <c r="N51" s="2164" t="s">
        <v>1525</v>
      </c>
      <c r="O51" s="2121">
        <v>0</v>
      </c>
      <c r="P51" s="2164" t="s">
        <v>1525</v>
      </c>
      <c r="Q51" s="2242"/>
      <c r="R51" s="2251">
        <f>'non Forest LUC'!N37</f>
        <v>0</v>
      </c>
      <c r="S51" s="2251">
        <f>'non Forest LUC'!O37</f>
        <v>0</v>
      </c>
      <c r="T51" s="2251">
        <f>'non Forest LUC'!P37</f>
        <v>0</v>
      </c>
      <c r="V51" s="2724" t="str">
        <f>IF(Nlang=1,"",VLOOKUP(D51,'Name translation'!$A$75:$H$96,Nlang+1,))</f>
        <v/>
      </c>
      <c r="W51" s="1742" t="str">
        <f t="shared" si="0"/>
        <v/>
      </c>
      <c r="X51" s="2724" t="str">
        <f>IF(Nlang=1,"",VLOOKUP(G51,'Name translation'!$A$75:$H$96,Nlang+1,))</f>
        <v/>
      </c>
      <c r="Y51" s="1749"/>
    </row>
    <row r="52" spans="2:26" s="1796" customFormat="1">
      <c r="B52" s="3031"/>
      <c r="C52" s="2240"/>
      <c r="D52" s="3074" t="s">
        <v>16</v>
      </c>
      <c r="E52" s="3074"/>
      <c r="F52" s="2241"/>
      <c r="G52" s="3064" t="s">
        <v>18</v>
      </c>
      <c r="H52" s="3066"/>
      <c r="I52" s="3076" t="str">
        <f>IF(LEFT(D52,6)=List!$D$61,List!$D$62,IF(LEFT(G52,6)=List!$D$61,List!$D$63,IF(LEFT(D52,7)=LEFT(G52,7),List!$D$64,"")))</f>
        <v>Fill initial LU</v>
      </c>
      <c r="J52" s="3076"/>
      <c r="K52" s="2123" t="s">
        <v>359</v>
      </c>
      <c r="L52" s="2240"/>
      <c r="M52" s="2121">
        <v>0</v>
      </c>
      <c r="N52" s="2164" t="s">
        <v>1525</v>
      </c>
      <c r="O52" s="2121">
        <v>0</v>
      </c>
      <c r="P52" s="2164" t="s">
        <v>1525</v>
      </c>
      <c r="Q52" s="2242"/>
      <c r="R52" s="2251">
        <f>'non Forest LUC'!N38</f>
        <v>0</v>
      </c>
      <c r="S52" s="2251">
        <f>'non Forest LUC'!O38</f>
        <v>0</v>
      </c>
      <c r="T52" s="2251">
        <f>'non Forest LUC'!P38</f>
        <v>0</v>
      </c>
      <c r="V52" s="2724" t="str">
        <f>IF(Nlang=1,"",VLOOKUP(D52,'Name translation'!$A$75:$H$96,Nlang+1,))</f>
        <v/>
      </c>
      <c r="W52" s="1742" t="str">
        <f t="shared" si="0"/>
        <v/>
      </c>
      <c r="X52" s="2724" t="str">
        <f>IF(Nlang=1,"",VLOOKUP(G52,'Name translation'!$A$75:$H$96,Nlang+1,))</f>
        <v/>
      </c>
      <c r="Y52" s="1749"/>
    </row>
    <row r="53" spans="2:26" s="1796" customFormat="1">
      <c r="B53" s="3031"/>
      <c r="C53" s="2240"/>
      <c r="D53" s="3074" t="s">
        <v>16</v>
      </c>
      <c r="E53" s="3074"/>
      <c r="F53" s="2241"/>
      <c r="G53" s="3064" t="s">
        <v>18</v>
      </c>
      <c r="H53" s="3066"/>
      <c r="I53" s="3076" t="str">
        <f>IF(LEFT(D53,6)=List!$D$61,List!$D$62,IF(LEFT(G53,6)=List!$D$61,List!$D$63,IF(LEFT(D53,7)=LEFT(G53,7),List!$D$64,"")))</f>
        <v>Fill initial LU</v>
      </c>
      <c r="J53" s="3076"/>
      <c r="K53" s="2123" t="s">
        <v>359</v>
      </c>
      <c r="L53" s="2240"/>
      <c r="M53" s="2121">
        <v>0</v>
      </c>
      <c r="N53" s="2164" t="s">
        <v>1525</v>
      </c>
      <c r="O53" s="2121">
        <v>0</v>
      </c>
      <c r="P53" s="2164" t="s">
        <v>1525</v>
      </c>
      <c r="Q53" s="2242"/>
      <c r="R53" s="2251">
        <f>'non Forest LUC'!N39</f>
        <v>0</v>
      </c>
      <c r="S53" s="2251">
        <f>'non Forest LUC'!O39</f>
        <v>0</v>
      </c>
      <c r="T53" s="2251">
        <f>'non Forest LUC'!P39</f>
        <v>0</v>
      </c>
      <c r="V53" s="2724" t="str">
        <f>IF(Nlang=1,"",VLOOKUP(D53,'Name translation'!$A$75:$H$96,Nlang+1,))</f>
        <v/>
      </c>
      <c r="W53" s="1742" t="str">
        <f t="shared" si="0"/>
        <v/>
      </c>
      <c r="X53" s="2724" t="str">
        <f>IF(Nlang=1,"",VLOOKUP(G53,'Name translation'!$A$75:$H$96,Nlang+1,))</f>
        <v/>
      </c>
      <c r="Y53" s="1749"/>
    </row>
    <row r="54" spans="2:26" s="1796" customFormat="1">
      <c r="B54" s="3031"/>
      <c r="C54" s="2240"/>
      <c r="D54" s="3074" t="s">
        <v>16</v>
      </c>
      <c r="E54" s="3074"/>
      <c r="F54" s="2241"/>
      <c r="G54" s="3064" t="s">
        <v>18</v>
      </c>
      <c r="H54" s="3066"/>
      <c r="I54" s="3076" t="str">
        <f>IF(LEFT(D54,6)=List!$D$61,List!$D$62,IF(LEFT(G54,6)=List!$D$61,List!$D$63,IF(LEFT(D54,7)=LEFT(G54,7),List!$D$64,"")))</f>
        <v>Fill initial LU</v>
      </c>
      <c r="J54" s="3076"/>
      <c r="K54" s="2123" t="s">
        <v>359</v>
      </c>
      <c r="L54" s="2240"/>
      <c r="M54" s="2121">
        <v>0</v>
      </c>
      <c r="N54" s="2164" t="s">
        <v>1525</v>
      </c>
      <c r="O54" s="2121">
        <v>0</v>
      </c>
      <c r="P54" s="2164" t="s">
        <v>1525</v>
      </c>
      <c r="Q54" s="2242"/>
      <c r="R54" s="2251">
        <f>'non Forest LUC'!N40</f>
        <v>0</v>
      </c>
      <c r="S54" s="2251">
        <f>'non Forest LUC'!O40</f>
        <v>0</v>
      </c>
      <c r="T54" s="2251">
        <f>'non Forest LUC'!P40</f>
        <v>0</v>
      </c>
      <c r="V54" s="2724" t="str">
        <f>IF(Nlang=1,"",VLOOKUP(D54,'Name translation'!$A$75:$H$96,Nlang+1,))</f>
        <v/>
      </c>
      <c r="W54" s="1742" t="str">
        <f t="shared" si="0"/>
        <v/>
      </c>
      <c r="X54" s="2724" t="str">
        <f>IF(Nlang=1,"",VLOOKUP(G54,'Name translation'!$A$75:$H$96,Nlang+1,))</f>
        <v/>
      </c>
      <c r="Y54" s="1749"/>
    </row>
    <row r="55" spans="2:26" s="1796" customFormat="1">
      <c r="G55" s="2190" t="str">
        <f>G35</f>
        <v>* Note concerning dynamics of change : "D" corresponds to default/linear, "I" to immediate and "E" to exponential (Please refer to the guidelines)</v>
      </c>
      <c r="H55" s="2188"/>
      <c r="I55" s="2188"/>
      <c r="J55" s="2188"/>
      <c r="K55" s="2188"/>
      <c r="L55" s="2188"/>
      <c r="M55" s="2188"/>
      <c r="N55" s="2188"/>
      <c r="O55" s="2188"/>
      <c r="P55" s="2188"/>
      <c r="Q55" s="2188"/>
      <c r="R55" s="2189"/>
      <c r="S55" s="2189"/>
      <c r="T55" s="2188"/>
    </row>
    <row r="56" spans="2:26" s="1796" customFormat="1">
      <c r="M56" s="1797"/>
      <c r="X56" s="1825" t="str">
        <f>IF(Nlang=1,"",I43)</f>
        <v/>
      </c>
    </row>
    <row r="57" spans="2:26" s="1738" customFormat="1">
      <c r="M57" s="1743"/>
      <c r="N57" s="2252" t="str">
        <f>HLOOKUP(select,translations!$A$20:$H$70,35,)</f>
        <v>Total Other LUC</v>
      </c>
      <c r="O57" s="2250"/>
      <c r="P57" s="2250"/>
      <c r="Q57" s="2250"/>
      <c r="R57" s="2253">
        <f>SUM(R45:R54)</f>
        <v>0</v>
      </c>
      <c r="S57" s="2253">
        <f>SUM(S45:S54)</f>
        <v>0</v>
      </c>
      <c r="T57" s="2253">
        <f>SUM(T45:T54)</f>
        <v>0</v>
      </c>
      <c r="X57" s="2724" t="str">
        <f>IF(Nlang=1,"",CONCATENATE('Name translation'!A94," : ", VLOOKUP('Name translation'!A94,'Name translation'!$A$94:$G$96,Nlang+1,)))</f>
        <v/>
      </c>
      <c r="Y57" s="2724"/>
      <c r="Z57" s="2724"/>
    </row>
    <row r="58" spans="2:26" s="1738" customFormat="1">
      <c r="M58" s="1743"/>
      <c r="Q58" s="1743"/>
      <c r="R58" s="1743"/>
      <c r="S58" s="1743"/>
      <c r="X58" s="2724" t="str">
        <f>IF(Nlang=1,"",CONCATENATE('Name translation'!A95," : ", VLOOKUP('Name translation'!A95,'Name translation'!$A$94:$G$96,Nlang+1,)))</f>
        <v/>
      </c>
      <c r="Y58" s="2724"/>
      <c r="Z58" s="2724"/>
    </row>
    <row r="59" spans="2:26" s="1738" customFormat="1">
      <c r="M59" s="1743"/>
      <c r="Q59" s="1743"/>
      <c r="R59" s="1743"/>
      <c r="S59" s="1743"/>
      <c r="X59" s="2724" t="str">
        <f>IF(Nlang=1,"",CONCATENATE('Name translation'!A96," : ", VLOOKUP('Name translation'!A96,'Name translation'!$A$94:$G$96,Nlang+1,)))</f>
        <v/>
      </c>
      <c r="Y59" s="2724"/>
      <c r="Z59" s="2724"/>
    </row>
    <row r="60" spans="2:26" s="1738" customFormat="1">
      <c r="M60" s="1743"/>
      <c r="Q60" s="1743"/>
      <c r="R60" s="1743"/>
      <c r="S60" s="1743"/>
    </row>
    <row r="61" spans="2:26" s="1738" customFormat="1">
      <c r="M61" s="1743"/>
      <c r="Q61" s="1743"/>
      <c r="R61" s="1743"/>
      <c r="S61" s="1743"/>
    </row>
    <row r="62" spans="2:26" s="1738" customFormat="1">
      <c r="M62" s="1743"/>
      <c r="Q62" s="1743"/>
      <c r="R62" s="1743"/>
      <c r="S62" s="1743"/>
    </row>
    <row r="63" spans="2:26" s="1738" customFormat="1">
      <c r="M63" s="1743"/>
      <c r="Q63" s="1743"/>
      <c r="R63" s="1743"/>
      <c r="S63" s="1743"/>
    </row>
    <row r="64" spans="2:26" s="1738" customFormat="1">
      <c r="M64" s="1743"/>
      <c r="Q64" s="1743"/>
      <c r="R64" s="1743"/>
      <c r="S64" s="1743"/>
    </row>
    <row r="65" spans="13:19" s="1738" customFormat="1">
      <c r="M65" s="1743"/>
      <c r="Q65" s="1743"/>
      <c r="R65" s="1743"/>
      <c r="S65" s="1743"/>
    </row>
    <row r="66" spans="13:19" s="1738" customFormat="1">
      <c r="M66" s="1743"/>
      <c r="Q66" s="1743"/>
      <c r="R66" s="1743"/>
      <c r="S66" s="1743"/>
    </row>
    <row r="67" spans="13:19" s="1738" customFormat="1">
      <c r="M67" s="1743"/>
      <c r="Q67" s="1743"/>
      <c r="R67" s="1743"/>
      <c r="S67" s="1743"/>
    </row>
    <row r="68" spans="13:19" s="1738" customFormat="1">
      <c r="M68" s="1743"/>
      <c r="Q68" s="1743"/>
      <c r="R68" s="1743"/>
      <c r="S68" s="1743"/>
    </row>
    <row r="69" spans="13:19" s="1738" customFormat="1">
      <c r="M69" s="1743"/>
      <c r="Q69" s="1743"/>
      <c r="R69" s="1743"/>
      <c r="S69" s="1743"/>
    </row>
    <row r="70" spans="13:19" s="1738" customFormat="1">
      <c r="M70" s="1743"/>
      <c r="Q70" s="1743"/>
      <c r="R70" s="1743"/>
      <c r="S70" s="1743"/>
    </row>
    <row r="71" spans="13:19" s="1738" customFormat="1">
      <c r="M71" s="1743"/>
      <c r="Q71" s="1743"/>
      <c r="R71" s="1743"/>
      <c r="S71" s="1743"/>
    </row>
    <row r="72" spans="13:19" s="1738" customFormat="1">
      <c r="M72" s="1743"/>
      <c r="Q72" s="1743"/>
      <c r="R72" s="1743"/>
      <c r="S72" s="1743"/>
    </row>
    <row r="73" spans="13:19" s="1738" customFormat="1">
      <c r="M73" s="1743"/>
      <c r="Q73" s="1743"/>
      <c r="R73" s="1743"/>
      <c r="S73" s="1743"/>
    </row>
    <row r="74" spans="13:19" s="1738" customFormat="1">
      <c r="M74" s="1743"/>
      <c r="Q74" s="1743"/>
      <c r="R74" s="1743"/>
      <c r="S74" s="1743"/>
    </row>
    <row r="75" spans="13:19" s="1738" customFormat="1">
      <c r="M75" s="1743"/>
      <c r="Q75" s="1743"/>
      <c r="R75" s="1743"/>
      <c r="S75" s="1743"/>
    </row>
    <row r="76" spans="13:19" s="1738" customFormat="1">
      <c r="M76" s="1743"/>
      <c r="Q76" s="1743"/>
      <c r="R76" s="1743"/>
      <c r="S76" s="1743"/>
    </row>
    <row r="77" spans="13:19" s="1738" customFormat="1">
      <c r="M77" s="1743"/>
      <c r="Q77" s="1743"/>
      <c r="R77" s="1743"/>
      <c r="S77" s="1743"/>
    </row>
    <row r="78" spans="13:19" s="1738" customFormat="1">
      <c r="M78" s="1743"/>
      <c r="Q78" s="1743"/>
      <c r="R78" s="1743"/>
      <c r="S78" s="1743"/>
    </row>
    <row r="79" spans="13:19" s="1738" customFormat="1">
      <c r="M79" s="1743"/>
      <c r="Q79" s="1743"/>
      <c r="R79" s="1743"/>
      <c r="S79" s="1743"/>
    </row>
    <row r="80" spans="13:19" s="1738" customFormat="1">
      <c r="M80" s="1743"/>
      <c r="Q80" s="1743"/>
      <c r="R80" s="1743"/>
      <c r="S80" s="1743"/>
    </row>
    <row r="81" spans="2:19" s="1738" customFormat="1">
      <c r="M81" s="1743"/>
      <c r="Q81" s="1743"/>
      <c r="R81" s="1743"/>
      <c r="S81" s="1743"/>
    </row>
    <row r="82" spans="2:19" s="1738" customFormat="1">
      <c r="M82" s="1743"/>
      <c r="Q82" s="1743"/>
      <c r="R82" s="1743"/>
      <c r="S82" s="1743"/>
    </row>
    <row r="83" spans="2:19" s="1738" customFormat="1">
      <c r="M83" s="1743"/>
      <c r="Q83" s="1743"/>
      <c r="R83" s="1743"/>
      <c r="S83" s="1743"/>
    </row>
    <row r="84" spans="2:19" s="1738" customFormat="1">
      <c r="M84" s="1743"/>
      <c r="Q84" s="1743"/>
      <c r="R84" s="1743"/>
      <c r="S84" s="1743"/>
    </row>
    <row r="85" spans="2:19" s="1738" customFormat="1" ht="17.399999999999999">
      <c r="B85" s="2579" t="str">
        <f>B7</f>
        <v>2.1. Deforestation</v>
      </c>
      <c r="C85" s="2581"/>
      <c r="D85" s="2582"/>
      <c r="E85" s="2582"/>
      <c r="F85" s="2582"/>
      <c r="G85" s="2582"/>
      <c r="H85" s="2582"/>
      <c r="I85" s="2582"/>
      <c r="J85" s="2582"/>
      <c r="K85" s="2582"/>
      <c r="L85" s="2582"/>
      <c r="M85" s="2582"/>
      <c r="N85" s="2582"/>
      <c r="O85" s="2582"/>
      <c r="P85" s="2582"/>
      <c r="Q85" s="2582"/>
      <c r="R85" s="2582"/>
      <c r="S85" s="1743"/>
    </row>
    <row r="86" spans="2:19" s="1738" customFormat="1">
      <c r="B86" s="2657" t="str">
        <f>B25</f>
        <v>AEZ map</v>
      </c>
      <c r="C86" s="2031"/>
      <c r="D86" s="2663" t="str">
        <f>D8</f>
        <v>Zone 1 = Please specify the climate</v>
      </c>
      <c r="E86" s="2663"/>
      <c r="F86" s="2858"/>
      <c r="G86" s="2663" t="str">
        <f>G8</f>
        <v>Zone 2 = Please specify the climate</v>
      </c>
      <c r="H86" s="2858"/>
      <c r="I86" s="2858"/>
      <c r="J86" s="2858"/>
      <c r="K86" s="2663" t="str">
        <f>K8</f>
        <v>Zone 3 = Please specify the climate</v>
      </c>
      <c r="L86" s="2858"/>
      <c r="M86" s="2858"/>
      <c r="N86" s="2858"/>
      <c r="O86" s="2858"/>
      <c r="P86" s="2858"/>
      <c r="Q86" s="2663" t="str">
        <f>Q8</f>
        <v>Zone 4 = Please specify the climate</v>
      </c>
      <c r="R86" s="2858"/>
      <c r="S86" s="1743"/>
    </row>
    <row r="87" spans="2:19" s="1738" customFormat="1">
      <c r="M87" s="1743"/>
      <c r="Q87" s="1743"/>
      <c r="R87" s="1743"/>
      <c r="S87" s="1743"/>
    </row>
    <row r="88" spans="2:19" s="1738" customFormat="1">
      <c r="B88" s="1799"/>
      <c r="C88" s="1799"/>
      <c r="D88" s="2554" t="str">
        <f>HLOOKUP(select,translations!$A$20:$H$70,36,)</f>
        <v>You have indicated that you are using the following types of vegetation:</v>
      </c>
      <c r="E88" s="1799"/>
      <c r="F88" s="1799"/>
      <c r="G88" s="1799"/>
      <c r="H88" s="1799"/>
      <c r="I88" s="1799"/>
      <c r="J88" s="1799" t="str">
        <f>IF(B12&lt;&gt;List!$A$50,IF(Nlang=1,'2.LUC'!B12,V12),"")</f>
        <v/>
      </c>
      <c r="K88" s="1799"/>
      <c r="L88" s="1799"/>
      <c r="M88" s="2163"/>
      <c r="N88" s="1799"/>
      <c r="O88" s="1799" t="str">
        <f>IF(B15&lt;&gt;List!$A$50,IF(Nlang=1,'2.LUC'!B15,V15),"")</f>
        <v/>
      </c>
      <c r="P88" s="1799"/>
      <c r="Q88" s="2163"/>
      <c r="R88" s="2180"/>
      <c r="S88" s="1743"/>
    </row>
    <row r="89" spans="2:19" s="1738" customFormat="1">
      <c r="B89" s="1799"/>
      <c r="C89" s="1799"/>
      <c r="D89" s="1799"/>
      <c r="E89" s="1799"/>
      <c r="F89" s="1799"/>
      <c r="G89" s="1799"/>
      <c r="H89" s="1799"/>
      <c r="I89" s="1799"/>
      <c r="J89" s="1799" t="str">
        <f>IF(B13&lt;&gt;List!$A$50,IF(Nlang=1,'2.LUC'!B13,V13),"")</f>
        <v/>
      </c>
      <c r="K89" s="1799"/>
      <c r="L89" s="1799"/>
      <c r="M89" s="2163"/>
      <c r="N89" s="1799"/>
      <c r="O89" s="1799" t="str">
        <f>IF(B16&lt;&gt;List!$A$50,IF(Nlang=1,'2.LUC'!B16,V16),"")</f>
        <v/>
      </c>
      <c r="P89" s="1799"/>
      <c r="Q89" s="2163"/>
      <c r="R89" s="2180"/>
      <c r="S89" s="1743"/>
    </row>
    <row r="90" spans="2:19" s="1738" customFormat="1">
      <c r="B90" s="1799"/>
      <c r="C90" s="1799"/>
      <c r="D90" s="1799"/>
      <c r="E90" s="1799"/>
      <c r="F90" s="1799"/>
      <c r="G90" s="1799"/>
      <c r="H90" s="1799"/>
      <c r="I90" s="1799"/>
      <c r="J90" s="1799" t="str">
        <f>IF(B14&lt;&gt;List!$A$50,IF(Nlang=1,'2.LUC'!B14,V14),"")</f>
        <v/>
      </c>
      <c r="K90" s="1799"/>
      <c r="L90" s="1799"/>
      <c r="M90" s="1799"/>
      <c r="N90" s="1799"/>
      <c r="O90" s="1799" t="str">
        <f>IF(B17&lt;&gt;List!$A$50,IF(Nlang=1,'2.LUC'!B17,V17),"")</f>
        <v/>
      </c>
      <c r="P90" s="1799"/>
      <c r="Q90" s="1799"/>
      <c r="R90" s="1799"/>
    </row>
    <row r="91" spans="2:19" s="1738" customFormat="1"/>
    <row r="92" spans="2:19" s="1738" customFormat="1">
      <c r="B92" s="1852" t="str">
        <f>HLOOKUP(select,translations!$A$20:$H$70,37,)</f>
        <v>Use this part only if you want to refine the analysis with Tier 2 coefficients.</v>
      </c>
      <c r="C92" s="2206"/>
      <c r="D92" s="1761"/>
      <c r="E92" s="1762"/>
      <c r="F92" s="1761"/>
      <c r="G92" s="1761"/>
      <c r="H92" s="1761"/>
      <c r="I92" s="1761"/>
      <c r="J92" s="1761"/>
      <c r="K92" s="1761"/>
      <c r="L92" s="1761"/>
      <c r="M92" s="2162"/>
      <c r="N92" s="1761"/>
      <c r="O92" s="1761"/>
      <c r="P92" s="1761"/>
      <c r="Q92" s="1761"/>
      <c r="R92" s="1761"/>
    </row>
    <row r="93" spans="2:19" s="1738" customFormat="1">
      <c r="B93" s="2206" t="str">
        <f>HLOOKUP(select,translations!$A$20:$H$70,38,)</f>
        <v>(default values are provided for your information only, while EX-ACT will use Tier 2 values automatically wherever specified)</v>
      </c>
      <c r="C93" s="2206"/>
      <c r="D93" s="1761"/>
      <c r="E93" s="1761"/>
      <c r="F93" s="1761"/>
      <c r="G93" s="1761"/>
      <c r="H93" s="1761"/>
      <c r="I93" s="1761"/>
      <c r="J93" s="1761"/>
      <c r="K93" s="1761"/>
      <c r="L93" s="1761"/>
      <c r="M93" s="1761"/>
      <c r="N93" s="1761"/>
      <c r="O93" s="1761"/>
      <c r="P93" s="1761"/>
      <c r="Q93" s="1762"/>
      <c r="R93" s="1762"/>
    </row>
    <row r="94" spans="2:19" s="1738" customFormat="1">
      <c r="B94" s="2206"/>
      <c r="C94" s="2206"/>
      <c r="D94" s="1761"/>
      <c r="E94" s="1761"/>
      <c r="F94" s="1761"/>
      <c r="G94" s="1761"/>
      <c r="H94" s="1761"/>
      <c r="I94" s="1761"/>
      <c r="J94" s="1761"/>
      <c r="K94" s="1761"/>
      <c r="L94" s="1761"/>
      <c r="M94" s="1761"/>
      <c r="N94" s="1761"/>
      <c r="O94" s="1761"/>
      <c r="P94" s="1761"/>
      <c r="Q94" s="1762"/>
      <c r="R94" s="1762"/>
    </row>
    <row r="95" spans="2:19" s="1738" customFormat="1">
      <c r="B95" s="2205" t="str">
        <f>B10</f>
        <v>Type of vegetation</v>
      </c>
      <c r="C95" s="2205"/>
      <c r="D95" s="1765"/>
      <c r="E95" s="1765"/>
      <c r="F95" s="1765"/>
      <c r="G95" s="1765"/>
      <c r="H95" s="1765"/>
      <c r="I95" s="1765"/>
      <c r="J95" s="2662" t="str">
        <f>HLOOKUP(select,translations!$A$20:$H$70,39,)</f>
        <v>All values are in t of carbon per ha (tC/ha)</v>
      </c>
      <c r="K95" s="1765"/>
      <c r="L95" s="1765"/>
      <c r="M95" s="1765"/>
      <c r="N95" s="1765"/>
      <c r="O95" s="1765"/>
      <c r="P95" s="1765"/>
      <c r="Q95" s="1765"/>
      <c r="R95" s="1765"/>
    </row>
    <row r="96" spans="2:19" s="1738" customFormat="1">
      <c r="B96" s="2205" t="str">
        <f>B11</f>
        <v>that will be deforested</v>
      </c>
      <c r="C96" s="2205"/>
      <c r="D96" s="1765"/>
      <c r="E96" s="2207" t="str">
        <f>HLOOKUP(select,translations!$A$20:$H$70,40,)</f>
        <v>Above-ground</v>
      </c>
      <c r="F96" s="2207"/>
      <c r="G96" s="2207" t="str">
        <f>HLOOKUP(select,translations!$A$20:$H$70,41,)</f>
        <v>Below-ground</v>
      </c>
      <c r="H96" s="2207"/>
      <c r="I96" s="2207" t="str">
        <f>HLOOKUP(select,translations!$A$20:$H$70,42,)</f>
        <v>Litter</v>
      </c>
      <c r="J96" s="2207"/>
      <c r="K96" s="2207" t="str">
        <f>HLOOKUP(select,translations!$A$20:$H$70,43,)</f>
        <v>Dead wood</v>
      </c>
      <c r="L96" s="2207"/>
      <c r="M96" s="2207"/>
      <c r="N96" s="1765"/>
      <c r="O96" s="2207" t="str">
        <f>HLOOKUP(select,translations!$A$20:$H$70,44,)</f>
        <v>Soil carbon</v>
      </c>
      <c r="P96" s="2207"/>
      <c r="Q96" s="2207"/>
      <c r="R96" s="1765"/>
    </row>
    <row r="97" spans="2:19" s="1738" customFormat="1">
      <c r="B97" s="1765"/>
      <c r="C97" s="2205"/>
      <c r="D97" s="1765"/>
      <c r="E97" s="2162" t="str">
        <f>HLOOKUP(select,translations!$A$20:$H$70,45,)</f>
        <v>Default</v>
      </c>
      <c r="F97" s="2162" t="str">
        <f>HLOOKUP(select,translations!$A$20:$H$70,46,)</f>
        <v>Tier 2</v>
      </c>
      <c r="G97" s="2162" t="str">
        <f>E97</f>
        <v>Default</v>
      </c>
      <c r="H97" s="2162" t="str">
        <f>F97</f>
        <v>Tier 2</v>
      </c>
      <c r="I97" s="2162" t="str">
        <f>E97</f>
        <v>Default</v>
      </c>
      <c r="J97" s="2162" t="str">
        <f>H97</f>
        <v>Tier 2</v>
      </c>
      <c r="K97" s="2162" t="str">
        <f>E97</f>
        <v>Default</v>
      </c>
      <c r="L97" s="1765"/>
      <c r="M97" s="2162" t="str">
        <f>F97</f>
        <v>Tier 2</v>
      </c>
      <c r="N97" s="2162"/>
      <c r="O97" s="2162" t="str">
        <f>E97</f>
        <v>Default</v>
      </c>
      <c r="P97" s="2162"/>
      <c r="Q97" s="2162" t="str">
        <f>F97</f>
        <v>Tier 2</v>
      </c>
      <c r="R97" s="1765"/>
    </row>
    <row r="98" spans="2:19" s="1738" customFormat="1">
      <c r="B98" s="2573" t="str">
        <f>IF(forest1&lt;&gt;"","Forest - Zone 1","")</f>
        <v>Forest - Zone 1</v>
      </c>
      <c r="C98" s="2574"/>
      <c r="D98" s="2573"/>
      <c r="E98" s="2575">
        <f>VLOOKUP(region,' IPCC'!$A$14:$G$26,1+MATCH(forest1,' IPCC'!$B$14:$G$14,),)*0.47</f>
        <v>0</v>
      </c>
      <c r="F98" s="2173"/>
      <c r="G98" s="2575">
        <f>'Forest Degradation'!L10*0.47</f>
        <v>0</v>
      </c>
      <c r="H98" s="2173"/>
      <c r="I98" s="2575">
        <f>IF($E98&gt;0,VLOOKUP(clim_full,' IPCC'!$A$75:$H$85,2,),0)</f>
        <v>0</v>
      </c>
      <c r="J98" s="2173"/>
      <c r="K98" s="2575">
        <f>IF($E98&gt;0,VLOOKUP(clim_full,' IPCC'!$A$75:$H$85,3,),0)</f>
        <v>0</v>
      </c>
      <c r="L98" s="2575"/>
      <c r="M98" s="2173"/>
      <c r="N98" s="2575"/>
      <c r="O98" s="2575">
        <f>IF($E98&gt;0,VLOOKUP(clim_full,' IPCC'!$A$569:$I$581,1+MATCH(soil,soil_type,),),0)</f>
        <v>0</v>
      </c>
      <c r="P98" s="2575"/>
      <c r="Q98" s="2173"/>
      <c r="R98" s="2577"/>
    </row>
    <row r="99" spans="2:19" s="1738" customFormat="1">
      <c r="B99" s="2573" t="str">
        <f>IF(forest2&lt;&gt;"","Forest - Zone 2","")</f>
        <v>Forest - Zone 2</v>
      </c>
      <c r="C99" s="2574"/>
      <c r="D99" s="2573"/>
      <c r="E99" s="2575">
        <f>VLOOKUP(region,' IPCC'!$A$30:$G$41,1+MATCH(forest2,' IPCC'!$B$29:$G$29,),)*0.47</f>
        <v>0</v>
      </c>
      <c r="F99" s="2173"/>
      <c r="G99" s="2575">
        <f>'Forest Degradation'!L11*0.47</f>
        <v>0</v>
      </c>
      <c r="H99" s="2173"/>
      <c r="I99" s="2575">
        <f>IF($E99&gt;0,VLOOKUP(clim_full,' IPCC'!$A$75:$H$85,2,),0)</f>
        <v>0</v>
      </c>
      <c r="J99" s="2173"/>
      <c r="K99" s="2575">
        <f>IF($E99&gt;0,VLOOKUP(clim_full,' IPCC'!$A$75:$H$85,3,),0)</f>
        <v>0</v>
      </c>
      <c r="L99" s="2575"/>
      <c r="M99" s="2173"/>
      <c r="N99" s="2575"/>
      <c r="O99" s="2575">
        <f>IF($E99&gt;0,VLOOKUP(clim_full,' IPCC'!$A$569:$I$581,1+MATCH(soil,soil_type,),),0)</f>
        <v>0</v>
      </c>
      <c r="P99" s="2575"/>
      <c r="Q99" s="2173"/>
      <c r="R99" s="2577"/>
    </row>
    <row r="100" spans="2:19" s="1738" customFormat="1">
      <c r="B100" s="2573" t="str">
        <f>IF(forest3&lt;&gt;"","Forest - Zone 3","")</f>
        <v>Forest - Zone 3</v>
      </c>
      <c r="C100" s="2574"/>
      <c r="D100" s="2573"/>
      <c r="E100" s="2575">
        <f>VLOOKUP(region,' IPCC'!$A$45:$H$56,1+MATCH(forest3,' IPCC'!$B$44:$H$44,),)*0.47</f>
        <v>0</v>
      </c>
      <c r="F100" s="2173"/>
      <c r="G100" s="2575">
        <f>'Forest Degradation'!L12*0.47</f>
        <v>0</v>
      </c>
      <c r="H100" s="2173"/>
      <c r="I100" s="2575">
        <f>IF($E100&gt;0,VLOOKUP(clim_full,' IPCC'!$A$75:$H$85,2,),0)</f>
        <v>0</v>
      </c>
      <c r="J100" s="2173"/>
      <c r="K100" s="2575">
        <f>IF($E100&gt;0,VLOOKUP(clim_full,' IPCC'!$A$75:$H$85,3,),0)</f>
        <v>0</v>
      </c>
      <c r="L100" s="2575"/>
      <c r="M100" s="2173"/>
      <c r="N100" s="2575"/>
      <c r="O100" s="2575">
        <f>IF($E100&gt;0,VLOOKUP(clim_full,' IPCC'!$A$569:$I$581,1+MATCH(soil,soil_type,),),0)</f>
        <v>0</v>
      </c>
      <c r="P100" s="2575"/>
      <c r="Q100" s="2173"/>
      <c r="R100" s="1765"/>
    </row>
    <row r="101" spans="2:19" s="1738" customFormat="1">
      <c r="B101" s="2573" t="str">
        <f>IF(forest4&lt;&gt;"","Forest - Zone 4","")</f>
        <v>Forest - Zone 4</v>
      </c>
      <c r="C101" s="2574"/>
      <c r="D101" s="2573"/>
      <c r="E101" s="2575">
        <f>VLOOKUP(region,' IPCC'!$A$60:$H$71,1+MATCH(forest4,' IPCC'!$B$59:$H$59,),)*0.47</f>
        <v>0</v>
      </c>
      <c r="F101" s="2173"/>
      <c r="G101" s="2575">
        <f>'Forest Degradation'!L13*0.47</f>
        <v>0</v>
      </c>
      <c r="H101" s="2173"/>
      <c r="I101" s="2575">
        <f>IF($E101&gt;0,VLOOKUP(clim_full,' IPCC'!$A$75:$H$85,2,),0)</f>
        <v>0</v>
      </c>
      <c r="J101" s="2173"/>
      <c r="K101" s="2575">
        <f>IF($E101&gt;0,VLOOKUP(clim_full,' IPCC'!$A$75:$H$85,3,),0)</f>
        <v>0</v>
      </c>
      <c r="L101" s="2575"/>
      <c r="M101" s="2173"/>
      <c r="N101" s="2209"/>
      <c r="O101" s="2575">
        <f>IF($E101&gt;0,VLOOKUP(clim_full,' IPCC'!$A$569:$I$581,1+MATCH(soil,soil_type,),),0)</f>
        <v>0</v>
      </c>
      <c r="P101" s="2208"/>
      <c r="Q101" s="2173"/>
      <c r="R101" s="1765"/>
    </row>
    <row r="102" spans="2:19" s="1738" customFormat="1">
      <c r="B102" s="2573" t="str">
        <f>IF(plantation1&lt;&gt;"","Plantation - Zone 1","")</f>
        <v>Plantation - Zone 1</v>
      </c>
      <c r="C102" s="2574"/>
      <c r="D102" s="2573"/>
      <c r="E102" s="2575">
        <f>VLOOKUP(region,' IPCC'!$H$14:$N$26,1+MATCH(plantation1,' IPCC'!$I$14:$N$14,),)*0.47</f>
        <v>0</v>
      </c>
      <c r="F102" s="2173"/>
      <c r="G102" s="2575">
        <f>'Forest Degradation'!L14*0.47</f>
        <v>0</v>
      </c>
      <c r="H102" s="2173"/>
      <c r="I102" s="2575">
        <f>IF($E102&gt;0,VLOOKUP(clim_full,' IPCC'!$A$75:$H$85,2,),0)</f>
        <v>0</v>
      </c>
      <c r="J102" s="2173"/>
      <c r="K102" s="2575">
        <f>IF($E102&gt;0,VLOOKUP(clim_full,' IPCC'!$A$75:$H$85,3,),0)</f>
        <v>0</v>
      </c>
      <c r="L102" s="2575"/>
      <c r="M102" s="2173"/>
      <c r="N102" s="2209"/>
      <c r="O102" s="2575">
        <f>IF($E102&gt;0,VLOOKUP(clim_full,' IPCC'!$A$569:$I$581,1+MATCH(soil,soil_type,),),0)</f>
        <v>0</v>
      </c>
      <c r="P102" s="2208"/>
      <c r="Q102" s="2173"/>
      <c r="R102" s="1765"/>
    </row>
    <row r="103" spans="2:19" s="1738" customFormat="1">
      <c r="B103" s="2573" t="str">
        <f>IF(plantation2&lt;&gt;"","Plantation - Zone 2","")</f>
        <v>Plantation - Zone 2</v>
      </c>
      <c r="C103" s="2574"/>
      <c r="D103" s="2573"/>
      <c r="E103" s="2575">
        <f>VLOOKUP(region,' IPCC'!$H$30:$N$41,1+MATCH(plantation2,' IPCC'!$I$29:$N$29,),)*0.47</f>
        <v>0</v>
      </c>
      <c r="F103" s="2173"/>
      <c r="G103" s="2575">
        <f>'Forest Degradation'!L15*0.47</f>
        <v>0</v>
      </c>
      <c r="H103" s="2173"/>
      <c r="I103" s="2575">
        <f>IF($E103&gt;0,VLOOKUP(clim_full,' IPCC'!$A$75:$H$85,2,),0)</f>
        <v>0</v>
      </c>
      <c r="J103" s="2173"/>
      <c r="K103" s="2575">
        <f>IF($E103&gt;0,VLOOKUP(clim_full,' IPCC'!$A$75:$H$85,3,),0)</f>
        <v>0</v>
      </c>
      <c r="L103" s="2575"/>
      <c r="M103" s="2173"/>
      <c r="N103" s="2209"/>
      <c r="O103" s="2575">
        <f>IF($E103&gt;0,VLOOKUP(clim_full,' IPCC'!$A$569:$I$581,1+MATCH(soil,soil_type,),),0)</f>
        <v>0</v>
      </c>
      <c r="P103" s="2208"/>
      <c r="Q103" s="2173"/>
      <c r="R103" s="1765"/>
    </row>
    <row r="104" spans="2:19" s="1738" customFormat="1">
      <c r="B104" s="2573" t="str">
        <f>IF(plantation3&lt;&gt;"","Plantation - Zone 3","")</f>
        <v>Plantation - Zone 3</v>
      </c>
      <c r="C104" s="2576"/>
      <c r="D104" s="2573"/>
      <c r="E104" s="2575">
        <f>VLOOKUP(region,' IPCC'!$H$44:$N$56,1+MATCH(plantation3,' IPCC'!$I$44:$N$44,),)*0.47</f>
        <v>0</v>
      </c>
      <c r="F104" s="2173"/>
      <c r="G104" s="2575">
        <f>'Forest Degradation'!L16*0.47</f>
        <v>0</v>
      </c>
      <c r="H104" s="2173"/>
      <c r="I104" s="2575">
        <f>IF($E104&gt;0,VLOOKUP(clim_full,' IPCC'!$A$75:$H$85,2,),0)</f>
        <v>0</v>
      </c>
      <c r="J104" s="2173"/>
      <c r="K104" s="2575">
        <f>IF($E104&gt;0,VLOOKUP(clim_full,' IPCC'!$A$75:$H$85,3,),0)</f>
        <v>0</v>
      </c>
      <c r="L104" s="2575"/>
      <c r="M104" s="2173"/>
      <c r="N104" s="2209"/>
      <c r="O104" s="2575">
        <f>IF($E104&gt;0,VLOOKUP(clim_full,' IPCC'!$A$569:$I$581,1+MATCH(soil,soil_type,),),0)</f>
        <v>0</v>
      </c>
      <c r="P104" s="2208"/>
      <c r="Q104" s="2173"/>
      <c r="R104" s="1765"/>
    </row>
    <row r="105" spans="2:19" s="1738" customFormat="1">
      <c r="B105" s="2573" t="str">
        <f>IF(plantation4&lt;&gt;"","Plantation - Zone 4","")</f>
        <v>Plantation - Zone 4</v>
      </c>
      <c r="C105" s="2576"/>
      <c r="D105" s="2573"/>
      <c r="E105" s="2575">
        <f>VLOOKUP(region,' IPCC'!$H$60:$N$71,1+MATCH(plantation4,' IPCC'!$I$59:$N$59,),)*0.47</f>
        <v>0</v>
      </c>
      <c r="F105" s="2173"/>
      <c r="G105" s="2575">
        <f>'Forest Degradation'!L17*0.47</f>
        <v>0</v>
      </c>
      <c r="H105" s="2173"/>
      <c r="I105" s="2575">
        <f>IF($E105&gt;0,VLOOKUP(clim_full,' IPCC'!$A$75:$H$85,2,),0)</f>
        <v>0</v>
      </c>
      <c r="J105" s="2173"/>
      <c r="K105" s="2575">
        <f>IF($E105&gt;0,VLOOKUP(clim_full,' IPCC'!$A$75:$H$85,3,),0)</f>
        <v>0</v>
      </c>
      <c r="L105" s="2575"/>
      <c r="M105" s="2173"/>
      <c r="N105" s="2209"/>
      <c r="O105" s="2575">
        <f>IF($E105&gt;0,VLOOKUP(clim_full,' IPCC'!$A$569:$I$581,1+MATCH(soil,soil_type,),),0)</f>
        <v>0</v>
      </c>
      <c r="P105" s="2208"/>
      <c r="Q105" s="2173"/>
      <c r="R105" s="1765"/>
    </row>
    <row r="106" spans="2:19" s="1738" customFormat="1">
      <c r="M106" s="1743"/>
      <c r="Q106" s="1743"/>
      <c r="R106" s="1743"/>
      <c r="S106" s="1743"/>
    </row>
    <row r="107" spans="2:19" s="1738" customFormat="1">
      <c r="M107" s="1743"/>
      <c r="Q107" s="1743"/>
      <c r="R107" s="1743"/>
      <c r="S107" s="1743"/>
    </row>
    <row r="108" spans="2:19" s="1738" customFormat="1">
      <c r="M108" s="1743"/>
      <c r="Q108" s="1743"/>
      <c r="R108" s="1743"/>
      <c r="S108" s="1743"/>
    </row>
    <row r="109" spans="2:19" s="1738" customFormat="1">
      <c r="M109" s="1743"/>
      <c r="Q109" s="1743"/>
      <c r="R109" s="1743"/>
      <c r="S109" s="1743"/>
    </row>
    <row r="110" spans="2:19" s="1738" customFormat="1">
      <c r="M110" s="1743"/>
      <c r="Q110" s="1743"/>
      <c r="R110" s="1743"/>
      <c r="S110" s="1743"/>
    </row>
    <row r="111" spans="2:19" s="1738" customFormat="1">
      <c r="M111" s="1743"/>
      <c r="Q111" s="1743"/>
      <c r="R111" s="1743"/>
      <c r="S111" s="1743"/>
    </row>
    <row r="112" spans="2:19" s="1738" customFormat="1">
      <c r="M112" s="1743"/>
      <c r="Q112" s="1743"/>
      <c r="R112" s="1743"/>
      <c r="S112" s="1743"/>
    </row>
    <row r="113" spans="13:19" s="1738" customFormat="1">
      <c r="M113" s="1743"/>
      <c r="Q113" s="1743"/>
      <c r="R113" s="1743"/>
      <c r="S113" s="1743"/>
    </row>
    <row r="114" spans="13:19" s="1738" customFormat="1">
      <c r="M114" s="1743"/>
      <c r="Q114" s="1743"/>
      <c r="R114" s="1743"/>
      <c r="S114" s="1743"/>
    </row>
    <row r="115" spans="13:19" s="1738" customFormat="1">
      <c r="M115" s="1743"/>
      <c r="Q115" s="1743"/>
      <c r="R115" s="1743"/>
      <c r="S115" s="1743"/>
    </row>
    <row r="116" spans="13:19" s="1738" customFormat="1">
      <c r="M116" s="1743"/>
      <c r="Q116" s="1743"/>
      <c r="R116" s="1743"/>
      <c r="S116" s="1743"/>
    </row>
    <row r="117" spans="13:19" s="1738" customFormat="1">
      <c r="M117" s="1743"/>
      <c r="Q117" s="1743"/>
      <c r="R117" s="1743"/>
      <c r="S117" s="1743"/>
    </row>
    <row r="118" spans="13:19" s="1738" customFormat="1">
      <c r="M118" s="1743"/>
      <c r="Q118" s="1743"/>
      <c r="R118" s="1743"/>
      <c r="S118" s="1743"/>
    </row>
    <row r="119" spans="13:19" s="1738" customFormat="1">
      <c r="M119" s="1743"/>
      <c r="Q119" s="1743"/>
      <c r="R119" s="1743"/>
      <c r="S119" s="1743"/>
    </row>
    <row r="120" spans="13:19" s="1738" customFormat="1">
      <c r="M120" s="1743"/>
      <c r="Q120" s="1743"/>
      <c r="R120" s="1743"/>
      <c r="S120" s="1743"/>
    </row>
    <row r="121" spans="13:19" s="1738" customFormat="1">
      <c r="M121" s="1743"/>
      <c r="Q121" s="1743"/>
      <c r="R121" s="1743"/>
      <c r="S121" s="1743"/>
    </row>
    <row r="122" spans="13:19" s="1738" customFormat="1">
      <c r="M122" s="1743"/>
      <c r="Q122" s="1743"/>
      <c r="R122" s="1743"/>
      <c r="S122" s="1743"/>
    </row>
    <row r="123" spans="13:19" s="1738" customFormat="1">
      <c r="M123" s="1743"/>
      <c r="Q123" s="1743"/>
      <c r="R123" s="1743"/>
      <c r="S123" s="1743"/>
    </row>
    <row r="124" spans="13:19" s="1738" customFormat="1">
      <c r="M124" s="1743"/>
      <c r="Q124" s="1743"/>
      <c r="R124" s="1743"/>
      <c r="S124" s="1743"/>
    </row>
    <row r="125" spans="13:19" s="1738" customFormat="1">
      <c r="M125" s="1743"/>
      <c r="Q125" s="1743"/>
      <c r="R125" s="1743"/>
      <c r="S125" s="1743"/>
    </row>
    <row r="126" spans="13:19" s="1738" customFormat="1">
      <c r="M126" s="1743"/>
      <c r="Q126" s="1743"/>
      <c r="R126" s="1743"/>
      <c r="S126" s="1743"/>
    </row>
    <row r="127" spans="13:19" s="1738" customFormat="1">
      <c r="M127" s="1743"/>
      <c r="Q127" s="1743"/>
      <c r="R127" s="1743"/>
      <c r="S127" s="1743"/>
    </row>
    <row r="128" spans="13:19" s="1738" customFormat="1">
      <c r="M128" s="1743"/>
      <c r="Q128" s="1743"/>
      <c r="R128" s="1743"/>
      <c r="S128" s="1743"/>
    </row>
    <row r="129" spans="2:21" s="1738" customFormat="1">
      <c r="M129" s="1743"/>
      <c r="Q129" s="1743"/>
      <c r="R129" s="1743"/>
      <c r="S129" s="1743"/>
    </row>
    <row r="130" spans="2:21" s="1738" customFormat="1">
      <c r="M130" s="1743"/>
      <c r="Q130" s="1743"/>
      <c r="R130" s="1743"/>
      <c r="S130" s="1743"/>
    </row>
    <row r="131" spans="2:21" s="1738" customFormat="1">
      <c r="M131" s="1743"/>
      <c r="Q131" s="1743"/>
      <c r="R131" s="1743"/>
      <c r="S131" s="1743"/>
    </row>
    <row r="132" spans="2:21" s="1738" customFormat="1">
      <c r="M132" s="1743"/>
      <c r="Q132" s="1743"/>
      <c r="R132" s="1743"/>
      <c r="S132" s="1743"/>
    </row>
    <row r="133" spans="2:21" s="1738" customFormat="1">
      <c r="M133" s="1743"/>
      <c r="Q133" s="1743"/>
      <c r="R133" s="1743"/>
      <c r="S133" s="1743"/>
    </row>
    <row r="134" spans="2:21" s="1738" customFormat="1">
      <c r="M134" s="1743"/>
      <c r="Q134" s="1743"/>
      <c r="R134" s="1743"/>
      <c r="S134" s="1743"/>
    </row>
    <row r="135" spans="2:21" s="1738" customFormat="1" ht="15.6">
      <c r="B135" s="2583" t="str">
        <f>HLOOKUP(select,translations!$A$20:$H$70,25,)</f>
        <v>2.2. Afforestation and Reforestation</v>
      </c>
      <c r="C135" s="2197"/>
      <c r="D135" s="1894"/>
      <c r="E135" s="1894"/>
      <c r="F135" s="1894"/>
      <c r="G135" s="1894"/>
      <c r="H135" s="1894"/>
      <c r="I135" s="1894"/>
      <c r="J135" s="1894"/>
      <c r="K135" s="1894"/>
      <c r="L135" s="1894"/>
      <c r="M135" s="1894"/>
      <c r="N135" s="1894"/>
      <c r="O135" s="1894"/>
      <c r="P135" s="1894"/>
      <c r="Q135" s="1895"/>
      <c r="R135" s="1895"/>
      <c r="S135" s="1895"/>
      <c r="T135" s="1895"/>
      <c r="U135" s="1895"/>
    </row>
    <row r="136" spans="2:21" s="1738" customFormat="1">
      <c r="B136" s="2192"/>
      <c r="C136" s="2192"/>
      <c r="D136" s="2033" t="str">
        <f>D8</f>
        <v>Zone 1 = Please specify the climate</v>
      </c>
      <c r="E136" s="2033"/>
      <c r="F136" s="2033"/>
      <c r="G136" s="2033" t="str">
        <f>G8</f>
        <v>Zone 2 = Please specify the climate</v>
      </c>
      <c r="H136" s="2033"/>
      <c r="I136" s="2033"/>
      <c r="J136" s="2033"/>
      <c r="K136" s="2033" t="str">
        <f>K8</f>
        <v>Zone 3 = Please specify the climate</v>
      </c>
      <c r="L136" s="2033"/>
      <c r="M136" s="2033"/>
      <c r="N136" s="2033"/>
      <c r="O136" s="2033"/>
      <c r="P136" s="2033"/>
      <c r="Q136" s="2664" t="str">
        <f>Q8</f>
        <v>Zone 4 = Please specify the climate</v>
      </c>
      <c r="R136" s="2034"/>
      <c r="S136" s="2034"/>
      <c r="T136" s="2034"/>
      <c r="U136" s="2034"/>
    </row>
    <row r="137" spans="2:21" s="1738" customFormat="1">
      <c r="M137" s="1743"/>
      <c r="Q137" s="1743"/>
      <c r="R137" s="1743"/>
      <c r="S137" s="1743"/>
      <c r="T137" s="1743"/>
      <c r="U137" s="1743"/>
    </row>
    <row r="138" spans="2:21" s="1738" customFormat="1">
      <c r="B138" s="2184"/>
      <c r="C138" s="2184"/>
      <c r="D138" s="2869" t="str">
        <f>D88</f>
        <v>You have indicated that you are using the following types of vegetation:</v>
      </c>
      <c r="E138" s="2184"/>
      <c r="F138" s="2184"/>
      <c r="G138" s="2184"/>
      <c r="H138" s="2184"/>
      <c r="I138" s="2184"/>
      <c r="J138" s="2184" t="str">
        <f>IF(B29&lt;&gt;List!$A$50,IF(Nlang=1,'2.LUC'!B29,V29),"")</f>
        <v/>
      </c>
      <c r="K138" s="2184"/>
      <c r="L138" s="2184"/>
      <c r="M138" s="2186"/>
      <c r="N138" s="2184"/>
      <c r="O138" s="2184" t="str">
        <f>IF(B32&lt;&gt;List!$A$50,IF(Nlang=1,'2.LUC'!B32,V32),"")</f>
        <v/>
      </c>
      <c r="P138" s="2184"/>
      <c r="Q138" s="2186"/>
      <c r="R138" s="2186"/>
      <c r="S138" s="2186"/>
      <c r="T138" s="2186"/>
      <c r="U138" s="2186"/>
    </row>
    <row r="139" spans="2:21" s="1738" customFormat="1">
      <c r="B139" s="2184"/>
      <c r="C139" s="2184"/>
      <c r="D139" s="2184"/>
      <c r="E139" s="2184"/>
      <c r="F139" s="2184"/>
      <c r="G139" s="2184"/>
      <c r="H139" s="2184"/>
      <c r="I139" s="2184"/>
      <c r="J139" s="2184" t="str">
        <f>IF(B30&lt;&gt;List!$A$50,IF(Nlang=1,'2.LUC'!B30,V30),"")</f>
        <v/>
      </c>
      <c r="K139" s="2184"/>
      <c r="L139" s="2184"/>
      <c r="M139" s="2186"/>
      <c r="N139" s="2184"/>
      <c r="O139" s="2184" t="str">
        <f>IF(B33&lt;&gt;List!$A$50,IF(Nlang=1,'2.LUC'!B33,V33),"")</f>
        <v/>
      </c>
      <c r="P139" s="2184"/>
      <c r="Q139" s="2186"/>
      <c r="R139" s="2186"/>
      <c r="S139" s="2186"/>
      <c r="T139" s="2186"/>
      <c r="U139" s="2186"/>
    </row>
    <row r="140" spans="2:21" s="1738" customFormat="1">
      <c r="B140" s="2184"/>
      <c r="C140" s="2184"/>
      <c r="D140" s="2184"/>
      <c r="E140" s="2184"/>
      <c r="F140" s="2184"/>
      <c r="G140" s="2184"/>
      <c r="H140" s="2184"/>
      <c r="I140" s="2184"/>
      <c r="J140" s="2184" t="str">
        <f>IF(B31&lt;&gt;List!$A$50,IF(Nlang=1,'2.LUC'!B31,V31),"")</f>
        <v/>
      </c>
      <c r="K140" s="2184"/>
      <c r="L140" s="2184"/>
      <c r="M140" s="2184"/>
      <c r="N140" s="2184"/>
      <c r="O140" s="2184" t="str">
        <f>IF(B34&lt;&gt;List!$A$50,IF(Nlang=1,'2.LUC'!B34,V34),"")</f>
        <v/>
      </c>
      <c r="P140" s="2184"/>
      <c r="Q140" s="2184"/>
      <c r="R140" s="2184"/>
      <c r="S140" s="2184"/>
      <c r="T140" s="2184"/>
      <c r="U140" s="2184"/>
    </row>
    <row r="141" spans="2:21" s="1738" customFormat="1">
      <c r="M141" s="1743"/>
      <c r="Q141" s="1743"/>
      <c r="R141" s="1743"/>
      <c r="S141" s="1743"/>
    </row>
    <row r="142" spans="2:21" s="1738" customFormat="1">
      <c r="B142" s="2198" t="str">
        <f>B92</f>
        <v>Use this part only if you want to refine the analysis with Tier 2 coefficients.</v>
      </c>
      <c r="C142" s="2177"/>
      <c r="D142" s="2168"/>
      <c r="E142" s="2178"/>
      <c r="F142" s="2168"/>
      <c r="G142" s="2168"/>
      <c r="H142" s="2168"/>
      <c r="I142" s="2168"/>
      <c r="J142" s="2168"/>
      <c r="K142" s="2168"/>
      <c r="L142" s="2168"/>
      <c r="M142" s="2210" t="str">
        <f>J95</f>
        <v>All values are in t of carbon per ha (tC/ha)</v>
      </c>
      <c r="N142" s="2168"/>
      <c r="O142" s="2168"/>
      <c r="P142" s="2168"/>
      <c r="Q142" s="2168"/>
      <c r="R142" s="2168"/>
      <c r="S142" s="2168"/>
      <c r="T142" s="2168"/>
      <c r="U142" s="2168"/>
    </row>
    <row r="143" spans="2:21" s="1738" customFormat="1">
      <c r="B143" s="2166" t="str">
        <f>$B$93</f>
        <v>(default values are provided for your information only, while EX-ACT will use Tier 2 values automatically wherever specified)</v>
      </c>
      <c r="C143" s="2166"/>
      <c r="D143" s="2167"/>
      <c r="E143" s="2167"/>
      <c r="F143" s="2167"/>
      <c r="G143" s="2167"/>
      <c r="H143" s="2167"/>
      <c r="I143" s="2167"/>
      <c r="J143" s="2167"/>
      <c r="K143" s="2167"/>
      <c r="L143" s="2167"/>
      <c r="M143" s="2167"/>
      <c r="N143" s="2167"/>
      <c r="O143" s="2167"/>
      <c r="P143" s="2167"/>
      <c r="Q143" s="2154"/>
      <c r="R143" s="2154"/>
      <c r="S143" s="2154"/>
      <c r="T143" s="2154"/>
      <c r="U143" s="2154"/>
    </row>
    <row r="144" spans="2:21" s="1738" customFormat="1">
      <c r="B144" s="2166"/>
      <c r="C144" s="2166"/>
      <c r="D144" s="2167"/>
      <c r="E144" s="2167"/>
      <c r="F144" s="2167"/>
      <c r="G144" s="2167"/>
      <c r="H144" s="2167"/>
      <c r="I144" s="2167"/>
      <c r="J144" s="2167"/>
      <c r="K144" s="2167"/>
      <c r="L144" s="2167"/>
      <c r="M144" s="2167"/>
      <c r="N144" s="2167"/>
      <c r="O144" s="2167"/>
      <c r="P144" s="2167"/>
      <c r="Q144" s="2154"/>
      <c r="R144" s="2154"/>
      <c r="S144" s="2154"/>
      <c r="T144" s="2154"/>
      <c r="U144" s="2154"/>
    </row>
    <row r="145" spans="2:21" s="1738" customFormat="1">
      <c r="B145" s="2165" t="str">
        <f>B27</f>
        <v>Type of vegetation</v>
      </c>
      <c r="C145" s="2184"/>
      <c r="D145" s="2185" t="str">
        <f>HLOOKUP(select,translations!$A$20:$H$70,48,)</f>
        <v>Growth rates for systems up to 20-yr old</v>
      </c>
      <c r="E145" s="2184"/>
      <c r="F145" s="2184"/>
      <c r="G145" s="2184"/>
      <c r="H145" s="2185" t="str">
        <f>HLOOKUP(select,translations!$A$20:$H$70,49,)</f>
        <v>Growth rates for systems after 20-yr old</v>
      </c>
      <c r="I145" s="2184"/>
      <c r="J145" s="2184"/>
      <c r="K145" s="2184"/>
      <c r="L145" s="2184"/>
      <c r="M145" s="2186"/>
      <c r="N145" s="2184"/>
      <c r="O145" s="2184"/>
      <c r="P145" s="2184"/>
      <c r="Q145" s="2186"/>
      <c r="R145" s="2186"/>
      <c r="S145" s="2186"/>
      <c r="T145" s="2186"/>
      <c r="U145" s="2154"/>
    </row>
    <row r="146" spans="2:21" s="1738" customFormat="1">
      <c r="B146" s="2165" t="str">
        <f>B28</f>
        <v>that will be planted</v>
      </c>
      <c r="C146" s="2184"/>
      <c r="D146" s="2218" t="str">
        <f>E96</f>
        <v>Above-ground</v>
      </c>
      <c r="E146" s="2218"/>
      <c r="F146" s="2218" t="str">
        <f>G96</f>
        <v>Below-ground</v>
      </c>
      <c r="G146" s="2218"/>
      <c r="H146" s="2218" t="str">
        <f>D146</f>
        <v>Above-ground</v>
      </c>
      <c r="I146" s="2218"/>
      <c r="J146" s="2218" t="str">
        <f>F146</f>
        <v>Below-ground</v>
      </c>
      <c r="K146" s="2218"/>
      <c r="L146" s="2184"/>
      <c r="M146" s="2217" t="str">
        <f>I96</f>
        <v>Litter</v>
      </c>
      <c r="N146" s="2218"/>
      <c r="O146" s="2218"/>
      <c r="P146" s="2218"/>
      <c r="Q146" s="2217" t="str">
        <f>K96</f>
        <v>Dead wood</v>
      </c>
      <c r="R146" s="2217"/>
      <c r="S146" s="2217" t="str">
        <f>O96</f>
        <v>Soil carbon</v>
      </c>
      <c r="T146" s="2216"/>
      <c r="U146" s="2154"/>
    </row>
    <row r="147" spans="2:21" s="1738" customFormat="1">
      <c r="B147" s="2184"/>
      <c r="C147" s="2184"/>
      <c r="D147" s="2216" t="str">
        <f>E97</f>
        <v>Default</v>
      </c>
      <c r="E147" s="2216" t="str">
        <f>F97</f>
        <v>Tier 2</v>
      </c>
      <c r="F147" s="2216" t="str">
        <f t="shared" ref="F147:K147" si="1">D147</f>
        <v>Default</v>
      </c>
      <c r="G147" s="2216" t="str">
        <f t="shared" si="1"/>
        <v>Tier 2</v>
      </c>
      <c r="H147" s="2216" t="str">
        <f t="shared" si="1"/>
        <v>Default</v>
      </c>
      <c r="I147" s="2216" t="str">
        <f t="shared" si="1"/>
        <v>Tier 2</v>
      </c>
      <c r="J147" s="2216" t="str">
        <f t="shared" si="1"/>
        <v>Default</v>
      </c>
      <c r="K147" s="2216" t="str">
        <f t="shared" si="1"/>
        <v>Tier 2</v>
      </c>
      <c r="L147" s="2186"/>
      <c r="M147" s="2216" t="str">
        <f>J147</f>
        <v>Default</v>
      </c>
      <c r="N147" s="2186"/>
      <c r="O147" s="2216" t="str">
        <f>K147</f>
        <v>Tier 2</v>
      </c>
      <c r="P147" s="2186"/>
      <c r="Q147" s="2216" t="str">
        <f>M147</f>
        <v>Default</v>
      </c>
      <c r="R147" s="2216" t="str">
        <f>O147</f>
        <v>Tier 2</v>
      </c>
      <c r="S147" s="2216" t="str">
        <f>Q147</f>
        <v>Default</v>
      </c>
      <c r="T147" s="2216" t="str">
        <f>R147</f>
        <v>Tier 2</v>
      </c>
      <c r="U147" s="2154"/>
    </row>
    <row r="148" spans="2:21" s="1738" customFormat="1">
      <c r="B148" s="2601" t="str">
        <f>IF(forest1&lt;&gt;"","Forest - Zone 1","")</f>
        <v>Forest - Zone 1</v>
      </c>
      <c r="C148" s="2602"/>
      <c r="D148" s="2603">
        <f>'A-R'!I10*0.47</f>
        <v>0</v>
      </c>
      <c r="E148" s="2173"/>
      <c r="F148" s="2603">
        <f>'A-R'!K10*0.47</f>
        <v>0</v>
      </c>
      <c r="G148" s="2173"/>
      <c r="H148" s="2604">
        <f>'A-R'!M10*0.47</f>
        <v>0</v>
      </c>
      <c r="I148" s="2173"/>
      <c r="J148" s="2604">
        <f>'A-R'!O10*0.47</f>
        <v>0</v>
      </c>
      <c r="K148" s="2173"/>
      <c r="L148" s="2186"/>
      <c r="M148" s="2605">
        <f>IF(D148&gt;0,VLOOKUP(clim_full,' IPCC'!$A$75:$H$85,2,),0)</f>
        <v>0</v>
      </c>
      <c r="N148" s="2186"/>
      <c r="O148" s="2173"/>
      <c r="P148" s="2186"/>
      <c r="Q148" s="2605">
        <f>IF(D148&gt;0,VLOOKUP(clim_full,' IPCC'!$A$75:$H$85,3,),0)</f>
        <v>0</v>
      </c>
      <c r="R148" s="2173"/>
      <c r="S148" s="2605">
        <f>IF(D148&gt;0,VLOOKUP(clim_full,' IPCC'!$A$569:$I$581,1+MATCH(soil,soil_type,),),0)</f>
        <v>0</v>
      </c>
      <c r="T148" s="2173"/>
      <c r="U148" s="2154"/>
    </row>
    <row r="149" spans="2:21" s="1738" customFormat="1">
      <c r="B149" s="2601" t="str">
        <f>IF(forest2&lt;&gt;"","Forest - Zone 2","")</f>
        <v>Forest - Zone 2</v>
      </c>
      <c r="C149" s="2602"/>
      <c r="D149" s="2603">
        <f>'A-R'!I11*0.47</f>
        <v>0</v>
      </c>
      <c r="E149" s="2173"/>
      <c r="F149" s="2603">
        <f>'A-R'!K11*0.47</f>
        <v>0</v>
      </c>
      <c r="G149" s="2173"/>
      <c r="H149" s="2604">
        <f>'A-R'!M11*0.47</f>
        <v>0</v>
      </c>
      <c r="I149" s="2173"/>
      <c r="J149" s="2604">
        <f>'A-R'!O11*0.47</f>
        <v>0</v>
      </c>
      <c r="K149" s="2173"/>
      <c r="L149" s="2186"/>
      <c r="M149" s="2605">
        <f>IF(D149&gt;0,VLOOKUP(clim_full,' IPCC'!$A$75:$H$85,2,),0)</f>
        <v>0</v>
      </c>
      <c r="N149" s="2186"/>
      <c r="O149" s="2173"/>
      <c r="P149" s="2186"/>
      <c r="Q149" s="2605">
        <f>IF(D149&gt;0,VLOOKUP(clim_full,' IPCC'!$A$75:$H$85,3,),0)</f>
        <v>0</v>
      </c>
      <c r="R149" s="2173"/>
      <c r="S149" s="2605">
        <f>IF(D149&gt;0,VLOOKUP(clim_full,' IPCC'!$A$569:$I$581,1+MATCH(soil,soil_type,),),0)</f>
        <v>0</v>
      </c>
      <c r="T149" s="2173"/>
      <c r="U149" s="2154"/>
    </row>
    <row r="150" spans="2:21" s="1738" customFormat="1">
      <c r="B150" s="2601" t="str">
        <f>IF(forest3&lt;&gt;"","Forest - Zone 3","")</f>
        <v>Forest - Zone 3</v>
      </c>
      <c r="C150" s="2602"/>
      <c r="D150" s="2603">
        <f>'A-R'!I12*0.47</f>
        <v>0</v>
      </c>
      <c r="E150" s="2173"/>
      <c r="F150" s="2603">
        <f>'A-R'!K12*0.47</f>
        <v>0</v>
      </c>
      <c r="G150" s="2173"/>
      <c r="H150" s="2604">
        <f>'A-R'!M12*0.47</f>
        <v>0</v>
      </c>
      <c r="I150" s="2173"/>
      <c r="J150" s="2604">
        <f>'A-R'!O12*0.47</f>
        <v>0</v>
      </c>
      <c r="K150" s="2173"/>
      <c r="L150" s="2186"/>
      <c r="M150" s="2605">
        <f>IF(D150&gt;0,VLOOKUP(clim_full,' IPCC'!$A$75:$H$85,2,),0)</f>
        <v>0</v>
      </c>
      <c r="N150" s="2186"/>
      <c r="O150" s="2173"/>
      <c r="P150" s="2186"/>
      <c r="Q150" s="2605">
        <f>IF(D150&gt;0,VLOOKUP(clim_full,' IPCC'!$A$75:$H$85,3,),0)</f>
        <v>0</v>
      </c>
      <c r="R150" s="2173"/>
      <c r="S150" s="2605">
        <f>IF(D150&gt;0,VLOOKUP(clim_full,' IPCC'!$A$569:$I$581,1+MATCH(soil,soil_type,),),0)</f>
        <v>0</v>
      </c>
      <c r="T150" s="2173"/>
      <c r="U150" s="2154"/>
    </row>
    <row r="151" spans="2:21" s="1738" customFormat="1">
      <c r="B151" s="2601" t="str">
        <f>IF(forest4&lt;&gt;"","Forest - Zone 4","")</f>
        <v>Forest - Zone 4</v>
      </c>
      <c r="C151" s="2602"/>
      <c r="D151" s="2603">
        <f>'A-R'!I13*0.47</f>
        <v>0</v>
      </c>
      <c r="E151" s="2173"/>
      <c r="F151" s="2603">
        <f>'A-R'!K13*0.47</f>
        <v>0</v>
      </c>
      <c r="G151" s="2173"/>
      <c r="H151" s="2604">
        <f>'A-R'!M13*0.47</f>
        <v>0</v>
      </c>
      <c r="I151" s="2173"/>
      <c r="J151" s="2604">
        <f>'A-R'!O13*0.47</f>
        <v>0</v>
      </c>
      <c r="K151" s="2173"/>
      <c r="L151" s="2186"/>
      <c r="M151" s="2605">
        <f>IF(D151&gt;0,VLOOKUP(clim_full,' IPCC'!$A$75:$H$85,2,),0)</f>
        <v>0</v>
      </c>
      <c r="N151" s="2186"/>
      <c r="O151" s="2173"/>
      <c r="P151" s="2186"/>
      <c r="Q151" s="2605">
        <f>IF(D151&gt;0,VLOOKUP(clim_full,' IPCC'!$A$75:$H$85,3,),0)</f>
        <v>0</v>
      </c>
      <c r="R151" s="2173"/>
      <c r="S151" s="2605">
        <f>IF(D151&gt;0,VLOOKUP(clim_full,' IPCC'!$A$569:$I$581,1+MATCH(soil,soil_type,),),0)</f>
        <v>0</v>
      </c>
      <c r="T151" s="2173"/>
      <c r="U151" s="2154"/>
    </row>
    <row r="152" spans="2:21" s="1738" customFormat="1">
      <c r="B152" s="2601" t="str">
        <f>IF(plantation1&lt;&gt;"","Plantation - Zone 1","")</f>
        <v>Plantation - Zone 1</v>
      </c>
      <c r="C152" s="2602"/>
      <c r="D152" s="2603">
        <f>'A-R'!I14*0.47</f>
        <v>0</v>
      </c>
      <c r="E152" s="2173"/>
      <c r="F152" s="2603">
        <f>'A-R'!K14*0.47</f>
        <v>0</v>
      </c>
      <c r="G152" s="2173"/>
      <c r="H152" s="2604">
        <f>'A-R'!M14*0.47</f>
        <v>0</v>
      </c>
      <c r="I152" s="2173"/>
      <c r="J152" s="2604">
        <f>'A-R'!O14*0.47</f>
        <v>0</v>
      </c>
      <c r="K152" s="2173"/>
      <c r="L152" s="2186"/>
      <c r="M152" s="2605">
        <f>IF(D152&gt;0,VLOOKUP(clim_full,' IPCC'!$A$75:$H$85,2,),0)</f>
        <v>0</v>
      </c>
      <c r="N152" s="2186"/>
      <c r="O152" s="2173"/>
      <c r="P152" s="2186"/>
      <c r="Q152" s="2605">
        <f>IF(D152&gt;0,VLOOKUP(clim_full,' IPCC'!$A$75:$H$85,3,),0)</f>
        <v>0</v>
      </c>
      <c r="R152" s="2173"/>
      <c r="S152" s="2605">
        <f>IF(D152&gt;0,VLOOKUP(clim_full,' IPCC'!$A$569:$I$581,1+MATCH(soil,soil_type,),),0)</f>
        <v>0</v>
      </c>
      <c r="T152" s="2173"/>
      <c r="U152" s="2154"/>
    </row>
    <row r="153" spans="2:21" s="1738" customFormat="1">
      <c r="B153" s="2601" t="str">
        <f>IF(plantation2&lt;&gt;"","Plantation - Zone 2","")</f>
        <v>Plantation - Zone 2</v>
      </c>
      <c r="C153" s="2602"/>
      <c r="D153" s="2603">
        <f>'A-R'!I15*0.47</f>
        <v>0</v>
      </c>
      <c r="E153" s="2173"/>
      <c r="F153" s="2603">
        <f>'A-R'!K15*0.47</f>
        <v>0</v>
      </c>
      <c r="G153" s="2173"/>
      <c r="H153" s="2604">
        <f>'A-R'!M15*0.47</f>
        <v>0</v>
      </c>
      <c r="I153" s="2173"/>
      <c r="J153" s="2604">
        <f>'A-R'!O15*0.47</f>
        <v>0</v>
      </c>
      <c r="K153" s="2173"/>
      <c r="L153" s="2186"/>
      <c r="M153" s="2605">
        <f>IF(D153&gt;0,VLOOKUP(clim_full,' IPCC'!$A$75:$H$85,2,),0)</f>
        <v>0</v>
      </c>
      <c r="N153" s="2186"/>
      <c r="O153" s="2173"/>
      <c r="P153" s="2186"/>
      <c r="Q153" s="2605">
        <f>IF(D153&gt;0,VLOOKUP(clim_full,' IPCC'!$A$75:$H$85,3,),0)</f>
        <v>0</v>
      </c>
      <c r="R153" s="2173"/>
      <c r="S153" s="2605">
        <f>IF(D153&gt;0,VLOOKUP(clim_full,' IPCC'!$A$569:$I$581,1+MATCH(soil,soil_type,),),0)</f>
        <v>0</v>
      </c>
      <c r="T153" s="2173"/>
      <c r="U153" s="2154"/>
    </row>
    <row r="154" spans="2:21" s="1738" customFormat="1">
      <c r="B154" s="2601" t="str">
        <f>IF(plantation3&lt;&gt;"","Plantation - Zone 3","")</f>
        <v>Plantation - Zone 3</v>
      </c>
      <c r="C154" s="2602"/>
      <c r="D154" s="2603">
        <f>'A-R'!I16*0.47</f>
        <v>0</v>
      </c>
      <c r="E154" s="2173"/>
      <c r="F154" s="2603">
        <f>'A-R'!K16*0.47</f>
        <v>0</v>
      </c>
      <c r="G154" s="2173"/>
      <c r="H154" s="2604">
        <f>'A-R'!M16*0.47</f>
        <v>0</v>
      </c>
      <c r="I154" s="2173"/>
      <c r="J154" s="2604">
        <f>'A-R'!O16*0.47</f>
        <v>0</v>
      </c>
      <c r="K154" s="2173"/>
      <c r="L154" s="2186"/>
      <c r="M154" s="2605">
        <f>IF(D154&gt;0,VLOOKUP(clim_full,' IPCC'!$A$75:$H$85,2,),0)</f>
        <v>0</v>
      </c>
      <c r="N154" s="2186"/>
      <c r="O154" s="2173"/>
      <c r="P154" s="2186"/>
      <c r="Q154" s="2605">
        <f>IF(D154&gt;0,VLOOKUP(clim_full,' IPCC'!$A$75:$H$85,3,),0)</f>
        <v>0</v>
      </c>
      <c r="R154" s="2173"/>
      <c r="S154" s="2605">
        <f>IF(D154&gt;0,VLOOKUP(clim_full,' IPCC'!$A$569:$I$581,1+MATCH(soil,soil_type,),),0)</f>
        <v>0</v>
      </c>
      <c r="T154" s="2173"/>
      <c r="U154" s="2154"/>
    </row>
    <row r="155" spans="2:21" s="1738" customFormat="1">
      <c r="B155" s="2601" t="str">
        <f>IF(plantation4&lt;&gt;"","Plantation - Zone 4","")</f>
        <v>Plantation - Zone 4</v>
      </c>
      <c r="C155" s="2602"/>
      <c r="D155" s="2603">
        <f>'A-R'!I17*0.47</f>
        <v>0</v>
      </c>
      <c r="E155" s="2173"/>
      <c r="F155" s="2603">
        <f>'A-R'!K17*0.47</f>
        <v>0</v>
      </c>
      <c r="G155" s="2173"/>
      <c r="H155" s="2604">
        <f>'A-R'!M17*0.47</f>
        <v>0</v>
      </c>
      <c r="I155" s="2173"/>
      <c r="J155" s="2604">
        <f>'A-R'!O17*0.47</f>
        <v>0</v>
      </c>
      <c r="K155" s="2173"/>
      <c r="L155" s="2186"/>
      <c r="M155" s="2605">
        <f>IF(D155&gt;0,VLOOKUP(clim_full,' IPCC'!$A$75:$H$85,2,),0)</f>
        <v>0</v>
      </c>
      <c r="N155" s="2186"/>
      <c r="O155" s="2173"/>
      <c r="P155" s="2186"/>
      <c r="Q155" s="2605">
        <f>IF(D155&gt;0,VLOOKUP(clim_full,' IPCC'!$A$75:$H$85,3,),0)</f>
        <v>0</v>
      </c>
      <c r="R155" s="2173"/>
      <c r="S155" s="2605">
        <f>IF(D155&gt;0,VLOOKUP(clim_full,' IPCC'!$A$569:$I$581,1+MATCH(soil,soil_type,),),0)</f>
        <v>0</v>
      </c>
      <c r="T155" s="2173"/>
      <c r="U155" s="2154"/>
    </row>
    <row r="156" spans="2:21" s="1738" customFormat="1">
      <c r="M156" s="1743"/>
      <c r="Q156" s="1743"/>
      <c r="R156" s="1743"/>
      <c r="S156" s="1743"/>
    </row>
    <row r="157" spans="2:21" s="1738" customFormat="1">
      <c r="M157" s="1743"/>
      <c r="Q157" s="1743"/>
      <c r="R157" s="1743"/>
      <c r="S157" s="1743"/>
    </row>
    <row r="158" spans="2:21" s="1738" customFormat="1">
      <c r="M158" s="1743"/>
      <c r="Q158" s="1743"/>
      <c r="R158" s="1743"/>
      <c r="S158" s="1743"/>
    </row>
    <row r="159" spans="2:21" s="1738" customFormat="1">
      <c r="M159" s="1743"/>
      <c r="Q159" s="1743"/>
      <c r="R159" s="1743"/>
      <c r="S159" s="1743"/>
    </row>
    <row r="160" spans="2:21" s="1738" customFormat="1">
      <c r="M160" s="1743"/>
      <c r="Q160" s="1743"/>
      <c r="R160" s="1743"/>
      <c r="S160" s="1743"/>
    </row>
    <row r="161" spans="13:19" s="1738" customFormat="1">
      <c r="M161" s="1743"/>
      <c r="Q161" s="1743"/>
      <c r="R161" s="1743"/>
      <c r="S161" s="1743"/>
    </row>
    <row r="162" spans="13:19" s="1738" customFormat="1">
      <c r="M162" s="1743"/>
      <c r="Q162" s="1743"/>
      <c r="R162" s="1743"/>
      <c r="S162" s="1743"/>
    </row>
    <row r="163" spans="13:19" s="1738" customFormat="1">
      <c r="M163" s="1743"/>
      <c r="Q163" s="1743"/>
      <c r="R163" s="1743"/>
      <c r="S163" s="1743"/>
    </row>
    <row r="164" spans="13:19" s="1738" customFormat="1">
      <c r="M164" s="1743"/>
      <c r="Q164" s="1743"/>
      <c r="R164" s="1743"/>
      <c r="S164" s="1743"/>
    </row>
    <row r="165" spans="13:19" s="1738" customFormat="1">
      <c r="M165" s="1743"/>
      <c r="Q165" s="1743"/>
      <c r="R165" s="1743"/>
      <c r="S165" s="1743"/>
    </row>
    <row r="166" spans="13:19" s="1738" customFormat="1">
      <c r="M166" s="1743"/>
      <c r="Q166" s="1743"/>
      <c r="R166" s="1743"/>
      <c r="S166" s="1743"/>
    </row>
    <row r="167" spans="13:19" s="1738" customFormat="1">
      <c r="M167" s="1743"/>
      <c r="Q167" s="1743"/>
      <c r="R167" s="1743"/>
      <c r="S167" s="1743"/>
    </row>
    <row r="168" spans="13:19" s="1738" customFormat="1">
      <c r="M168" s="1743"/>
      <c r="Q168" s="1743"/>
      <c r="R168" s="1743"/>
      <c r="S168" s="1743"/>
    </row>
    <row r="169" spans="13:19" s="1738" customFormat="1">
      <c r="M169" s="1743"/>
      <c r="Q169" s="1743"/>
      <c r="R169" s="1743"/>
      <c r="S169" s="1743"/>
    </row>
    <row r="170" spans="13:19" s="1738" customFormat="1">
      <c r="M170" s="1743"/>
      <c r="Q170" s="1743"/>
      <c r="R170" s="1743"/>
      <c r="S170" s="1743"/>
    </row>
    <row r="171" spans="13:19" s="1738" customFormat="1">
      <c r="M171" s="1743"/>
      <c r="Q171" s="1743"/>
      <c r="R171" s="1743"/>
      <c r="S171" s="1743"/>
    </row>
    <row r="172" spans="13:19" s="1738" customFormat="1">
      <c r="M172" s="1743"/>
      <c r="Q172" s="1743"/>
      <c r="R172" s="1743"/>
      <c r="S172" s="1743"/>
    </row>
    <row r="173" spans="13:19" s="1738" customFormat="1">
      <c r="M173" s="1743"/>
      <c r="Q173" s="1743"/>
      <c r="R173" s="1743"/>
      <c r="S173" s="1743"/>
    </row>
    <row r="174" spans="13:19" s="1738" customFormat="1">
      <c r="M174" s="1743"/>
      <c r="Q174" s="1743"/>
      <c r="R174" s="1743"/>
      <c r="S174" s="1743"/>
    </row>
    <row r="175" spans="13:19" s="1738" customFormat="1">
      <c r="M175" s="1743"/>
      <c r="Q175" s="1743"/>
      <c r="R175" s="1743"/>
      <c r="S175" s="1743"/>
    </row>
    <row r="176" spans="13:19" s="1738" customFormat="1">
      <c r="M176" s="1743"/>
      <c r="Q176" s="1743"/>
      <c r="R176" s="1743"/>
      <c r="S176" s="1743"/>
    </row>
    <row r="177" spans="2:21" s="1738" customFormat="1">
      <c r="M177" s="1743"/>
      <c r="Q177" s="1743"/>
      <c r="R177" s="1743"/>
      <c r="S177" s="1743"/>
    </row>
    <row r="178" spans="2:21" s="1738" customFormat="1">
      <c r="M178" s="1743"/>
      <c r="Q178" s="1743"/>
      <c r="R178" s="1743"/>
      <c r="S178" s="1743"/>
    </row>
    <row r="179" spans="2:21" s="1738" customFormat="1">
      <c r="M179" s="1743"/>
      <c r="Q179" s="1743"/>
      <c r="R179" s="1743"/>
      <c r="S179" s="1743"/>
    </row>
    <row r="180" spans="2:21" s="1738" customFormat="1">
      <c r="M180" s="1743"/>
      <c r="Q180" s="1743"/>
      <c r="R180" s="1743"/>
      <c r="S180" s="1743"/>
    </row>
    <row r="181" spans="2:21" s="1738" customFormat="1">
      <c r="M181" s="1743"/>
      <c r="Q181" s="1743"/>
      <c r="R181" s="1743"/>
      <c r="S181" s="1743"/>
    </row>
    <row r="182" spans="2:21" s="1738" customFormat="1">
      <c r="M182" s="1743"/>
      <c r="Q182" s="1743"/>
      <c r="R182" s="1743"/>
      <c r="S182" s="1743"/>
    </row>
    <row r="183" spans="2:21" s="1738" customFormat="1">
      <c r="M183" s="1743"/>
      <c r="Q183" s="1743"/>
      <c r="R183" s="1743"/>
      <c r="S183" s="1743"/>
    </row>
    <row r="184" spans="2:21" s="1738" customFormat="1" ht="15.6">
      <c r="B184" s="2584" t="str">
        <f>HLOOKUP(select,translations!$A$20:$H$70,29,)</f>
        <v xml:space="preserve">2.3. Other Land Use Changes </v>
      </c>
      <c r="C184" s="2584"/>
      <c r="D184" s="2584"/>
      <c r="E184" s="2584"/>
      <c r="F184" s="2584"/>
      <c r="G184" s="2584"/>
      <c r="H184" s="2584"/>
      <c r="I184" s="2584"/>
      <c r="J184" s="2584"/>
      <c r="K184" s="2584"/>
      <c r="L184" s="2584"/>
      <c r="M184" s="2584"/>
      <c r="N184" s="2584"/>
      <c r="O184" s="2584"/>
      <c r="P184" s="2584"/>
      <c r="Q184" s="2584"/>
      <c r="R184" s="2584"/>
      <c r="S184" s="2584"/>
      <c r="T184" s="2584"/>
      <c r="U184" s="2584"/>
    </row>
    <row r="185" spans="2:21" s="1738" customFormat="1">
      <c r="M185" s="1743"/>
      <c r="Q185" s="1743"/>
      <c r="R185" s="1743"/>
      <c r="S185" s="1743"/>
    </row>
    <row r="186" spans="2:21" s="1738" customFormat="1">
      <c r="B186" s="2192"/>
      <c r="C186" s="2192"/>
      <c r="D186" s="2192"/>
      <c r="E186" s="2192"/>
      <c r="F186" s="2192"/>
      <c r="G186" s="2192"/>
      <c r="H186" s="2192"/>
      <c r="I186" s="2192"/>
      <c r="J186" s="2192"/>
      <c r="K186" s="2192"/>
      <c r="L186" s="2192"/>
      <c r="M186" s="3023"/>
      <c r="N186" s="2192"/>
      <c r="O186" s="2192"/>
      <c r="P186" s="2192"/>
      <c r="Q186" s="3023"/>
      <c r="R186" s="3023"/>
      <c r="S186" s="3023"/>
      <c r="T186" s="2192"/>
      <c r="U186" s="2192"/>
    </row>
    <row r="187" spans="2:21" s="1738" customFormat="1">
      <c r="B187" s="2192"/>
      <c r="C187" s="2192"/>
      <c r="D187" s="2192"/>
      <c r="E187" s="2192"/>
      <c r="F187" s="2192"/>
      <c r="G187" s="2192"/>
      <c r="H187" s="2192"/>
      <c r="I187" s="2192"/>
      <c r="J187" s="2192"/>
      <c r="K187" s="2192"/>
      <c r="L187" s="2192"/>
      <c r="M187" s="3023"/>
      <c r="N187" s="2192"/>
      <c r="O187" s="2192"/>
      <c r="P187" s="2192"/>
      <c r="Q187" s="3023"/>
      <c r="R187" s="3023"/>
      <c r="S187" s="3023"/>
      <c r="T187" s="2192"/>
      <c r="U187" s="2192"/>
    </row>
    <row r="188" spans="2:21" s="1738" customFormat="1">
      <c r="B188" s="2192"/>
      <c r="C188" s="2192"/>
      <c r="D188" s="2192"/>
      <c r="E188" s="2192"/>
      <c r="F188" s="2192"/>
      <c r="G188" s="2192"/>
      <c r="H188" s="2192"/>
      <c r="I188" s="2192"/>
      <c r="J188" s="2192"/>
      <c r="K188" s="2192"/>
      <c r="L188" s="2192"/>
      <c r="M188" s="3023"/>
      <c r="N188" s="2192"/>
      <c r="O188" s="2192"/>
      <c r="P188" s="2192"/>
      <c r="Q188" s="3023"/>
      <c r="R188" s="3023"/>
      <c r="S188" s="3023"/>
      <c r="T188" s="2192"/>
      <c r="U188" s="2192"/>
    </row>
    <row r="189" spans="2:21" s="1738" customFormat="1">
      <c r="M189" s="1743"/>
      <c r="Q189" s="1743"/>
      <c r="R189" s="1743"/>
      <c r="S189" s="1743"/>
    </row>
    <row r="190" spans="2:21" s="1738" customFormat="1">
      <c r="B190" s="3028" t="str">
        <f>B142</f>
        <v>Use this part only if you want to refine the analysis with Tier 2 coefficients.</v>
      </c>
      <c r="C190" s="3029"/>
      <c r="D190" s="2250"/>
      <c r="E190" s="3030"/>
      <c r="F190" s="2250"/>
      <c r="G190" s="2250"/>
      <c r="H190" s="2250"/>
      <c r="I190" s="2250"/>
      <c r="J190" s="2250"/>
      <c r="K190" s="2250"/>
      <c r="L190" s="2250"/>
      <c r="M190" s="2252" t="str">
        <f>M142</f>
        <v>All values are in t of carbon per ha (tC/ha)</v>
      </c>
      <c r="N190" s="2250"/>
      <c r="O190" s="2250"/>
      <c r="P190" s="2250"/>
      <c r="Q190" s="2250"/>
      <c r="R190" s="2250"/>
      <c r="S190" s="2250"/>
      <c r="T190" s="2250"/>
      <c r="U190" s="2250"/>
    </row>
    <row r="191" spans="2:21" s="1738" customFormat="1">
      <c r="B191" s="2279" t="str">
        <f>$B$93</f>
        <v>(default values are provided for your information only, while EX-ACT will use Tier 2 values automatically wherever specified)</v>
      </c>
      <c r="C191" s="2279"/>
      <c r="D191" s="2260"/>
      <c r="E191" s="2260"/>
      <c r="F191" s="2260"/>
      <c r="G191" s="2260"/>
      <c r="H191" s="2260"/>
      <c r="I191" s="2260"/>
      <c r="J191" s="2260"/>
      <c r="K191" s="2260"/>
      <c r="L191" s="2260"/>
      <c r="M191" s="2260"/>
      <c r="N191" s="2260"/>
      <c r="O191" s="2260"/>
      <c r="P191" s="2260"/>
      <c r="Q191" s="2270"/>
      <c r="R191" s="2270"/>
      <c r="S191" s="2270"/>
      <c r="T191" s="2270"/>
      <c r="U191" s="2192"/>
    </row>
    <row r="192" spans="2:21" s="1738" customFormat="1">
      <c r="B192" s="2192"/>
      <c r="C192" s="2192"/>
      <c r="D192" s="2192"/>
      <c r="E192" s="2192"/>
      <c r="F192" s="2192"/>
      <c r="G192" s="2192"/>
      <c r="H192" s="2192"/>
      <c r="I192" s="2192"/>
      <c r="J192" s="2192"/>
      <c r="K192" s="2192"/>
      <c r="L192" s="2192"/>
      <c r="M192" s="3023"/>
      <c r="N192" s="2192"/>
      <c r="O192" s="2192"/>
      <c r="P192" s="2192"/>
      <c r="Q192" s="3023"/>
      <c r="R192" s="3023"/>
      <c r="S192" s="3023"/>
      <c r="T192" s="2192"/>
      <c r="U192" s="2192"/>
    </row>
    <row r="193" spans="2:21" s="1738" customFormat="1">
      <c r="B193" s="2033" t="str">
        <f>'3.Cropland'!B170</f>
        <v>Systems</v>
      </c>
      <c r="C193" s="2192"/>
      <c r="D193" s="2033" t="str">
        <f>D43</f>
        <v>Initial land use</v>
      </c>
      <c r="E193" s="2192"/>
      <c r="F193" s="2192"/>
      <c r="G193" s="3077" t="str">
        <f>'7. Results'!H13</f>
        <v>Biomass</v>
      </c>
      <c r="H193" s="3077"/>
      <c r="I193" s="3077" t="str">
        <f>S146</f>
        <v>Soil carbon</v>
      </c>
      <c r="J193" s="3077"/>
      <c r="K193" s="2192"/>
      <c r="L193" s="2033" t="str">
        <f>G43</f>
        <v>Final land use</v>
      </c>
      <c r="M193" s="3023"/>
      <c r="N193" s="2192"/>
      <c r="O193" s="2192"/>
      <c r="P193" s="3023"/>
      <c r="Q193" s="3077" t="str">
        <f>G193</f>
        <v>Biomass</v>
      </c>
      <c r="R193" s="3077"/>
      <c r="S193" s="3077" t="str">
        <f>I193</f>
        <v>Soil carbon</v>
      </c>
      <c r="T193" s="3077"/>
      <c r="U193" s="2192"/>
    </row>
    <row r="194" spans="2:21" s="1738" customFormat="1">
      <c r="B194" s="2192"/>
      <c r="C194" s="2192"/>
      <c r="D194" s="2192"/>
      <c r="E194" s="2192"/>
      <c r="F194" s="2192"/>
      <c r="G194" s="3023" t="str">
        <f>D147</f>
        <v>Default</v>
      </c>
      <c r="H194" s="3023" t="str">
        <f>E147</f>
        <v>Tier 2</v>
      </c>
      <c r="I194" s="3023" t="str">
        <f>G194</f>
        <v>Default</v>
      </c>
      <c r="J194" s="3023" t="str">
        <f>H194</f>
        <v>Tier 2</v>
      </c>
      <c r="K194" s="2192"/>
      <c r="L194" s="2192"/>
      <c r="M194" s="3023"/>
      <c r="N194" s="2192"/>
      <c r="O194" s="2192"/>
      <c r="P194" s="3023"/>
      <c r="Q194" s="3023" t="str">
        <f>G194</f>
        <v>Default</v>
      </c>
      <c r="R194" s="3023" t="str">
        <f>H194</f>
        <v>Tier 2</v>
      </c>
      <c r="S194" s="3023" t="str">
        <f>Q194</f>
        <v>Default</v>
      </c>
      <c r="T194" s="3023" t="str">
        <f>H194</f>
        <v>Tier 2</v>
      </c>
      <c r="U194" s="2192"/>
    </row>
    <row r="195" spans="2:21" s="1738" customFormat="1">
      <c r="B195" s="3032" t="str">
        <f t="shared" ref="B195:B204" si="2">IF(B45="","",B45)</f>
        <v/>
      </c>
      <c r="C195" s="2192"/>
      <c r="D195" s="2192" t="str">
        <f>D45</f>
        <v>Select Initial Land Use</v>
      </c>
      <c r="E195" s="2192"/>
      <c r="F195" s="2192"/>
      <c r="G195" s="2426">
        <f>IF(D195=List!$A$117,0,HLOOKUP(D195,' IPCC'!$A$290:$J$302,1+MATCH(clim_full,' IPCC'!$A$291:$A$302,),))</f>
        <v>0</v>
      </c>
      <c r="H195" s="3022"/>
      <c r="I195" s="2426">
        <f>IF(D195=List!$A$117,0,VLOOKUP(clim_full,' IPCC'!$A$307:$J$318,1+MATCH(D195,' IPCC'!$B$306:$J$306,),)*Soil_Native)</f>
        <v>0</v>
      </c>
      <c r="J195" s="3022"/>
      <c r="K195" s="2192"/>
      <c r="L195" s="2192" t="str">
        <f t="shared" ref="L195:L204" si="3">G45</f>
        <v>Select Final Land Use</v>
      </c>
      <c r="M195" s="3023"/>
      <c r="N195" s="2192"/>
      <c r="O195" s="2192"/>
      <c r="P195" s="3023"/>
      <c r="Q195" s="2426">
        <f>IF(L195=List!$A$129,0,HLOOKUP(L195,' IPCC'!$B$125:$I$137,1+MATCH(clim_full,' IPCC'!$A$126:$A$137,),))</f>
        <v>0</v>
      </c>
      <c r="R195" s="3022"/>
      <c r="S195" s="2426">
        <f>IF(L195=List!$A$129,0,VLOOKUP(clim_full,' IPCC'!$A$156:$I$167,1+MATCH(L195,' IPCC'!$B$155:$I$155,),)*Soil_Native)</f>
        <v>0</v>
      </c>
      <c r="T195" s="3022"/>
      <c r="U195" s="2192"/>
    </row>
    <row r="196" spans="2:21" s="1738" customFormat="1">
      <c r="B196" s="3032" t="str">
        <f t="shared" si="2"/>
        <v/>
      </c>
      <c r="C196" s="2192"/>
      <c r="D196" s="2192" t="str">
        <f t="shared" ref="D196:D204" si="4">D46</f>
        <v>Select Initial Land Use</v>
      </c>
      <c r="E196" s="2192"/>
      <c r="F196" s="2192"/>
      <c r="G196" s="2426">
        <f>IF(D196=List!$A$117,0,HLOOKUP(D196,' IPCC'!$A$290:$J$302,1+MATCH(clim_full,' IPCC'!$A$291:$A$302,),))</f>
        <v>0</v>
      </c>
      <c r="H196" s="3022"/>
      <c r="I196" s="2426">
        <f>IF(D196=List!$A$117,0,VLOOKUP(clim_full,' IPCC'!$A$307:$J$318,1+MATCH(D196,' IPCC'!$B$306:$J$306,),)*Soil_Native)</f>
        <v>0</v>
      </c>
      <c r="J196" s="3022"/>
      <c r="K196" s="2192"/>
      <c r="L196" s="2192" t="str">
        <f t="shared" si="3"/>
        <v>Select Final Land Use</v>
      </c>
      <c r="M196" s="3023"/>
      <c r="N196" s="2192"/>
      <c r="O196" s="2192"/>
      <c r="P196" s="3023"/>
      <c r="Q196" s="2426">
        <f>IF(L196=List!$A$129,0,HLOOKUP(L196,' IPCC'!$B$125:$I$137,1+MATCH(clim_full,' IPCC'!$A$126:$A$137,),))</f>
        <v>0</v>
      </c>
      <c r="R196" s="3022"/>
      <c r="S196" s="2426">
        <f>IF(L196=List!$A$129,0,VLOOKUP(clim_full,' IPCC'!$A$156:$I$167,1+MATCH(L196,' IPCC'!$B$155:$I$155,),)*Soil_Native)</f>
        <v>0</v>
      </c>
      <c r="T196" s="3022"/>
      <c r="U196" s="2192"/>
    </row>
    <row r="197" spans="2:21" s="1738" customFormat="1">
      <c r="B197" s="3032" t="str">
        <f t="shared" si="2"/>
        <v/>
      </c>
      <c r="C197" s="2192"/>
      <c r="D197" s="2192" t="str">
        <f t="shared" si="4"/>
        <v>Select Initial Land Use</v>
      </c>
      <c r="E197" s="2192"/>
      <c r="F197" s="2192"/>
      <c r="G197" s="2426">
        <f>IF(D197=List!$A$117,0,HLOOKUP(D197,' IPCC'!$A$290:$J$302,1+MATCH(clim_full,' IPCC'!$A$291:$A$302,),))</f>
        <v>0</v>
      </c>
      <c r="H197" s="3022"/>
      <c r="I197" s="2426">
        <f>IF(D197=List!$A$117,0,VLOOKUP(clim_full,' IPCC'!$A$307:$J$318,1+MATCH(D197,' IPCC'!$B$306:$J$306,),)*Soil_Native)</f>
        <v>0</v>
      </c>
      <c r="J197" s="3022"/>
      <c r="K197" s="2192"/>
      <c r="L197" s="2192" t="str">
        <f t="shared" si="3"/>
        <v>Select Final Land Use</v>
      </c>
      <c r="M197" s="3023"/>
      <c r="N197" s="2192"/>
      <c r="O197" s="2192"/>
      <c r="P197" s="3023"/>
      <c r="Q197" s="2426">
        <f>IF(L197=List!$A$129,0,HLOOKUP(L197,' IPCC'!$B$125:$I$137,1+MATCH(clim_full,' IPCC'!$A$126:$A$137,),))</f>
        <v>0</v>
      </c>
      <c r="R197" s="3022"/>
      <c r="S197" s="2426">
        <f>IF(L197=List!$A$129,0,VLOOKUP(clim_full,' IPCC'!$A$156:$I$167,1+MATCH(L197,' IPCC'!$B$155:$I$155,),)*Soil_Native)</f>
        <v>0</v>
      </c>
      <c r="T197" s="3022"/>
      <c r="U197" s="2192"/>
    </row>
    <row r="198" spans="2:21" s="1738" customFormat="1">
      <c r="B198" s="3032" t="str">
        <f t="shared" si="2"/>
        <v/>
      </c>
      <c r="C198" s="2192"/>
      <c r="D198" s="2192" t="str">
        <f t="shared" si="4"/>
        <v>Select Initial Land Use</v>
      </c>
      <c r="E198" s="2192"/>
      <c r="F198" s="2192"/>
      <c r="G198" s="2426">
        <f>IF(D198=List!$A$117,0,HLOOKUP(D198,' IPCC'!$A$290:$J$302,1+MATCH(clim_full,' IPCC'!$A$291:$A$302,),))</f>
        <v>0</v>
      </c>
      <c r="H198" s="3022"/>
      <c r="I198" s="2426">
        <f>IF(D198=List!$A$117,0,VLOOKUP(clim_full,' IPCC'!$A$307:$J$318,1+MATCH(D198,' IPCC'!$B$306:$J$306,),)*Soil_Native)</f>
        <v>0</v>
      </c>
      <c r="J198" s="3022"/>
      <c r="K198" s="2192"/>
      <c r="L198" s="2192" t="str">
        <f t="shared" si="3"/>
        <v>Select Final Land Use</v>
      </c>
      <c r="M198" s="3023"/>
      <c r="N198" s="2192"/>
      <c r="O198" s="2192"/>
      <c r="P198" s="3023"/>
      <c r="Q198" s="2426">
        <f>IF(L198=List!$A$129,0,HLOOKUP(L198,' IPCC'!$B$125:$I$137,1+MATCH(clim_full,' IPCC'!$A$126:$A$137,),))</f>
        <v>0</v>
      </c>
      <c r="R198" s="3022"/>
      <c r="S198" s="2426">
        <f>IF(L198=List!$A$129,0,VLOOKUP(clim_full,' IPCC'!$A$156:$I$167,1+MATCH(L198,' IPCC'!$B$155:$I$155,),)*Soil_Native)</f>
        <v>0</v>
      </c>
      <c r="T198" s="3022"/>
      <c r="U198" s="2192"/>
    </row>
    <row r="199" spans="2:21" s="1738" customFormat="1">
      <c r="B199" s="3032" t="str">
        <f t="shared" si="2"/>
        <v/>
      </c>
      <c r="C199" s="2192"/>
      <c r="D199" s="2192" t="str">
        <f t="shared" si="4"/>
        <v>Select Initial Land Use</v>
      </c>
      <c r="E199" s="2192"/>
      <c r="F199" s="2192"/>
      <c r="G199" s="2426">
        <f>IF(D199=List!$A$117,0,HLOOKUP(D199,' IPCC'!$A$290:$J$302,1+MATCH(clim_full,' IPCC'!$A$291:$A$302,),))</f>
        <v>0</v>
      </c>
      <c r="H199" s="3022"/>
      <c r="I199" s="2426">
        <f>IF(D199=List!$A$117,0,VLOOKUP(clim_full,' IPCC'!$A$307:$J$318,1+MATCH(D199,' IPCC'!$B$306:$J$306,),)*Soil_Native)</f>
        <v>0</v>
      </c>
      <c r="J199" s="3022"/>
      <c r="K199" s="2192"/>
      <c r="L199" s="2192" t="str">
        <f t="shared" si="3"/>
        <v>Select Final Land Use</v>
      </c>
      <c r="M199" s="3023"/>
      <c r="N199" s="2192"/>
      <c r="O199" s="2192"/>
      <c r="P199" s="3023"/>
      <c r="Q199" s="2426">
        <f>IF(L199=List!$A$129,0,HLOOKUP(L199,' IPCC'!$B$125:$I$137,1+MATCH(clim_full,' IPCC'!$A$126:$A$137,),))</f>
        <v>0</v>
      </c>
      <c r="R199" s="3022"/>
      <c r="S199" s="2426">
        <f>IF(L199=List!$A$129,0,VLOOKUP(clim_full,' IPCC'!$A$156:$I$167,1+MATCH(L199,' IPCC'!$B$155:$I$155,),)*Soil_Native)</f>
        <v>0</v>
      </c>
      <c r="T199" s="3022"/>
      <c r="U199" s="2192"/>
    </row>
    <row r="200" spans="2:21" s="1738" customFormat="1">
      <c r="B200" s="3032" t="str">
        <f t="shared" si="2"/>
        <v/>
      </c>
      <c r="C200" s="2192"/>
      <c r="D200" s="2192" t="str">
        <f t="shared" si="4"/>
        <v>Select Initial Land Use</v>
      </c>
      <c r="E200" s="2192"/>
      <c r="F200" s="2192"/>
      <c r="G200" s="2426">
        <f>IF(D200=List!$A$117,0,HLOOKUP(D200,' IPCC'!$A$290:$J$302,1+MATCH(clim_full,' IPCC'!$A$291:$A$302,),))</f>
        <v>0</v>
      </c>
      <c r="H200" s="3022"/>
      <c r="I200" s="2426">
        <f>IF(D200=List!$A$117,0,VLOOKUP(clim_full,' IPCC'!$A$307:$J$318,1+MATCH(D200,' IPCC'!$B$306:$J$306,),)*Soil_Native)</f>
        <v>0</v>
      </c>
      <c r="J200" s="3022"/>
      <c r="K200" s="2192"/>
      <c r="L200" s="2192" t="str">
        <f t="shared" si="3"/>
        <v>Select Final Land Use</v>
      </c>
      <c r="M200" s="3023"/>
      <c r="N200" s="2192"/>
      <c r="O200" s="2192"/>
      <c r="P200" s="3023"/>
      <c r="Q200" s="2426">
        <f>IF(L200=List!$A$129,0,HLOOKUP(L200,' IPCC'!$B$125:$I$137,1+MATCH(clim_full,' IPCC'!$A$126:$A$137,),))</f>
        <v>0</v>
      </c>
      <c r="R200" s="3022"/>
      <c r="S200" s="2426">
        <f>IF(L200=List!$A$129,0,VLOOKUP(clim_full,' IPCC'!$A$156:$I$167,1+MATCH(L200,' IPCC'!$B$155:$I$155,),)*Soil_Native)</f>
        <v>0</v>
      </c>
      <c r="T200" s="3022"/>
      <c r="U200" s="2192"/>
    </row>
    <row r="201" spans="2:21" s="1738" customFormat="1">
      <c r="B201" s="3032" t="str">
        <f t="shared" si="2"/>
        <v/>
      </c>
      <c r="C201" s="2192"/>
      <c r="D201" s="2192" t="str">
        <f t="shared" si="4"/>
        <v>Select Initial Land Use</v>
      </c>
      <c r="E201" s="2192"/>
      <c r="F201" s="2192"/>
      <c r="G201" s="2426">
        <f>IF(D201=List!$A$117,0,HLOOKUP(D201,' IPCC'!$A$290:$J$302,1+MATCH(clim_full,' IPCC'!$A$291:$A$302,),))</f>
        <v>0</v>
      </c>
      <c r="H201" s="3022"/>
      <c r="I201" s="2426">
        <f>IF(D201=List!$A$117,0,VLOOKUP(clim_full,' IPCC'!$A$307:$J$318,1+MATCH(D201,' IPCC'!$B$306:$J$306,),)*Soil_Native)</f>
        <v>0</v>
      </c>
      <c r="J201" s="3022"/>
      <c r="K201" s="2192"/>
      <c r="L201" s="2192" t="str">
        <f t="shared" si="3"/>
        <v>Select Final Land Use</v>
      </c>
      <c r="M201" s="3023"/>
      <c r="N201" s="2192"/>
      <c r="O201" s="2192"/>
      <c r="P201" s="3023"/>
      <c r="Q201" s="2426">
        <f>IF(L201=List!$A$129,0,HLOOKUP(L201,' IPCC'!$B$125:$I$137,1+MATCH(clim_full,' IPCC'!$A$126:$A$137,),))</f>
        <v>0</v>
      </c>
      <c r="R201" s="3022"/>
      <c r="S201" s="2426">
        <f>IF(L201=List!$A$129,0,VLOOKUP(clim_full,' IPCC'!$A$156:$I$167,1+MATCH(L201,' IPCC'!$B$155:$I$155,),)*Soil_Native)</f>
        <v>0</v>
      </c>
      <c r="T201" s="3022"/>
      <c r="U201" s="2192"/>
    </row>
    <row r="202" spans="2:21" s="1738" customFormat="1">
      <c r="B202" s="3032" t="str">
        <f t="shared" si="2"/>
        <v/>
      </c>
      <c r="C202" s="2192"/>
      <c r="D202" s="2192" t="str">
        <f t="shared" si="4"/>
        <v>Select Initial Land Use</v>
      </c>
      <c r="E202" s="2192"/>
      <c r="F202" s="2192"/>
      <c r="G202" s="2426">
        <f>IF(D202=List!$A$117,0,HLOOKUP(D202,' IPCC'!$A$290:$J$302,1+MATCH(clim_full,' IPCC'!$A$291:$A$302,),))</f>
        <v>0</v>
      </c>
      <c r="H202" s="3022"/>
      <c r="I202" s="2426">
        <f>IF(D202=List!$A$117,0,VLOOKUP(clim_full,' IPCC'!$A$307:$J$318,1+MATCH(D202,' IPCC'!$B$306:$J$306,),)*Soil_Native)</f>
        <v>0</v>
      </c>
      <c r="J202" s="3022"/>
      <c r="K202" s="2192"/>
      <c r="L202" s="2192" t="str">
        <f t="shared" si="3"/>
        <v>Select Final Land Use</v>
      </c>
      <c r="M202" s="3023"/>
      <c r="N202" s="2192"/>
      <c r="O202" s="2192"/>
      <c r="P202" s="3023"/>
      <c r="Q202" s="2426">
        <f>IF(L202=List!$A$129,0,HLOOKUP(L202,' IPCC'!$B$125:$I$137,1+MATCH(clim_full,' IPCC'!$A$126:$A$137,),))</f>
        <v>0</v>
      </c>
      <c r="R202" s="3022"/>
      <c r="S202" s="2426">
        <f>IF(L202=List!$A$129,0,VLOOKUP(clim_full,' IPCC'!$A$156:$I$167,1+MATCH(L202,' IPCC'!$B$155:$I$155,),)*Soil_Native)</f>
        <v>0</v>
      </c>
      <c r="T202" s="3022"/>
      <c r="U202" s="2192"/>
    </row>
    <row r="203" spans="2:21" s="1738" customFormat="1">
      <c r="B203" s="3032" t="str">
        <f t="shared" si="2"/>
        <v/>
      </c>
      <c r="C203" s="2192"/>
      <c r="D203" s="2192" t="str">
        <f t="shared" si="4"/>
        <v>Select Initial Land Use</v>
      </c>
      <c r="E203" s="2192"/>
      <c r="F203" s="2192"/>
      <c r="G203" s="2426">
        <f>IF(D203=List!$A$117,0,HLOOKUP(D203,' IPCC'!$A$290:$J$302,1+MATCH(clim_full,' IPCC'!$A$291:$A$302,),))</f>
        <v>0</v>
      </c>
      <c r="H203" s="3022"/>
      <c r="I203" s="2426">
        <f>IF(D203=List!$A$117,0,VLOOKUP(clim_full,' IPCC'!$A$307:$J$318,1+MATCH(D203,' IPCC'!$B$306:$J$306,),)*Soil_Native)</f>
        <v>0</v>
      </c>
      <c r="J203" s="3022"/>
      <c r="K203" s="2192"/>
      <c r="L203" s="2192" t="str">
        <f t="shared" si="3"/>
        <v>Select Final Land Use</v>
      </c>
      <c r="M203" s="3023"/>
      <c r="N203" s="2192"/>
      <c r="O203" s="2192"/>
      <c r="P203" s="3023"/>
      <c r="Q203" s="2426">
        <f>IF(L203=List!$A$129,0,HLOOKUP(L203,' IPCC'!$B$125:$I$137,1+MATCH(clim_full,' IPCC'!$A$126:$A$137,),))</f>
        <v>0</v>
      </c>
      <c r="R203" s="3022"/>
      <c r="S203" s="2426">
        <f>IF(L203=List!$A$129,0,VLOOKUP(clim_full,' IPCC'!$A$156:$I$167,1+MATCH(L203,' IPCC'!$B$155:$I$155,),)*Soil_Native)</f>
        <v>0</v>
      </c>
      <c r="T203" s="3022"/>
      <c r="U203" s="2192"/>
    </row>
    <row r="204" spans="2:21" s="1738" customFormat="1">
      <c r="B204" s="3032" t="str">
        <f t="shared" si="2"/>
        <v/>
      </c>
      <c r="C204" s="2192"/>
      <c r="D204" s="2192" t="str">
        <f t="shared" si="4"/>
        <v>Select Initial Land Use</v>
      </c>
      <c r="E204" s="2192"/>
      <c r="F204" s="2192"/>
      <c r="G204" s="2426">
        <f>IF(D204=List!$A$117,0,HLOOKUP(D204,' IPCC'!$A$290:$J$302,1+MATCH(clim_full,' IPCC'!$A$291:$A$302,),))</f>
        <v>0</v>
      </c>
      <c r="H204" s="3022"/>
      <c r="I204" s="2426">
        <f>IF(D204=List!$A$117,0,VLOOKUP(clim_full,' IPCC'!$A$307:$J$318,1+MATCH(D204,' IPCC'!$B$306:$J$306,),)*Soil_Native)</f>
        <v>0</v>
      </c>
      <c r="J204" s="3022"/>
      <c r="K204" s="2192"/>
      <c r="L204" s="2192" t="str">
        <f t="shared" si="3"/>
        <v>Select Final Land Use</v>
      </c>
      <c r="M204" s="3023"/>
      <c r="N204" s="2192"/>
      <c r="O204" s="2192"/>
      <c r="P204" s="3023"/>
      <c r="Q204" s="2426">
        <f>IF(L204=List!$A$129,0,HLOOKUP(L204,' IPCC'!$B$125:$I$137,1+MATCH(clim_full,' IPCC'!$A$126:$A$137,),))</f>
        <v>0</v>
      </c>
      <c r="R204" s="3022"/>
      <c r="S204" s="2426">
        <f>IF(L204=List!$A$129,0,VLOOKUP(clim_full,' IPCC'!$A$156:$I$167,1+MATCH(L204,' IPCC'!$B$155:$I$155,),)*Soil_Native)</f>
        <v>0</v>
      </c>
      <c r="T204" s="3022"/>
      <c r="U204" s="2192"/>
    </row>
    <row r="205" spans="2:21" s="1738" customFormat="1">
      <c r="B205" s="2742" t="str">
        <f t="shared" ref="B205" si="5">IF(B56="","",B56)</f>
        <v/>
      </c>
      <c r="C205" s="2192"/>
      <c r="D205" s="2192"/>
      <c r="E205" s="2192"/>
      <c r="F205" s="2192"/>
      <c r="G205" s="2192"/>
      <c r="H205" s="3023"/>
      <c r="I205" s="2192"/>
      <c r="J205" s="2192"/>
      <c r="K205" s="2192"/>
      <c r="L205" s="2192"/>
      <c r="M205" s="3023"/>
      <c r="N205" s="2192"/>
      <c r="O205" s="2192"/>
      <c r="P205" s="2192"/>
      <c r="Q205" s="3023"/>
      <c r="R205" s="3023"/>
      <c r="S205" s="2742"/>
      <c r="T205" s="2192"/>
      <c r="U205" s="2192"/>
    </row>
    <row r="206" spans="2:21" s="1738" customFormat="1">
      <c r="M206" s="1743"/>
      <c r="Q206" s="1743"/>
      <c r="R206" s="1743"/>
      <c r="S206" s="1743"/>
    </row>
    <row r="207" spans="2:21" s="1738" customFormat="1">
      <c r="M207" s="1743"/>
      <c r="Q207" s="1743"/>
      <c r="R207" s="1743"/>
      <c r="S207" s="1743"/>
    </row>
    <row r="208" spans="2:21" s="1738" customFormat="1">
      <c r="M208" s="1743"/>
      <c r="Q208" s="1743"/>
      <c r="R208" s="1743"/>
      <c r="S208" s="1743"/>
    </row>
    <row r="209" spans="13:19" s="1738" customFormat="1">
      <c r="M209" s="1743"/>
      <c r="Q209" s="1743"/>
      <c r="R209" s="1743"/>
      <c r="S209" s="1743"/>
    </row>
    <row r="210" spans="13:19" s="1738" customFormat="1">
      <c r="M210" s="1743"/>
      <c r="Q210" s="1743"/>
      <c r="R210" s="1743"/>
      <c r="S210" s="1743"/>
    </row>
    <row r="211" spans="13:19" s="1738" customFormat="1">
      <c r="M211" s="1743"/>
      <c r="Q211" s="1743"/>
      <c r="R211" s="1743"/>
      <c r="S211" s="1743"/>
    </row>
    <row r="212" spans="13:19" s="1738" customFormat="1">
      <c r="M212" s="1743"/>
      <c r="Q212" s="1743"/>
      <c r="R212" s="1743"/>
      <c r="S212" s="1743"/>
    </row>
    <row r="213" spans="13:19" s="1738" customFormat="1">
      <c r="M213" s="1743"/>
      <c r="Q213" s="1743"/>
      <c r="R213" s="1743"/>
      <c r="S213" s="1743"/>
    </row>
    <row r="214" spans="13:19" s="1738" customFormat="1">
      <c r="M214" s="1743"/>
      <c r="Q214" s="1743"/>
      <c r="R214" s="1743"/>
      <c r="S214" s="1743"/>
    </row>
    <row r="215" spans="13:19" s="1738" customFormat="1">
      <c r="M215" s="1743"/>
      <c r="Q215" s="1743"/>
      <c r="R215" s="1743"/>
      <c r="S215" s="1743"/>
    </row>
    <row r="216" spans="13:19" s="1738" customFormat="1">
      <c r="M216" s="1743"/>
      <c r="Q216" s="1743"/>
      <c r="R216" s="1743"/>
      <c r="S216" s="1743"/>
    </row>
    <row r="217" spans="13:19" s="1738" customFormat="1">
      <c r="M217" s="1743"/>
      <c r="Q217" s="1743"/>
      <c r="R217" s="1743"/>
      <c r="S217" s="1743"/>
    </row>
    <row r="218" spans="13:19" s="1738" customFormat="1">
      <c r="M218" s="1743"/>
      <c r="Q218" s="1743"/>
      <c r="R218" s="1743"/>
      <c r="S218" s="1743"/>
    </row>
    <row r="219" spans="13:19" s="1738" customFormat="1">
      <c r="M219" s="1743"/>
      <c r="Q219" s="1743"/>
      <c r="R219" s="1743"/>
      <c r="S219" s="1743"/>
    </row>
    <row r="220" spans="13:19" s="1738" customFormat="1">
      <c r="M220" s="1743"/>
      <c r="Q220" s="1743"/>
      <c r="R220" s="1743"/>
      <c r="S220" s="1743"/>
    </row>
    <row r="221" spans="13:19" s="1738" customFormat="1">
      <c r="M221" s="1743"/>
      <c r="Q221" s="1743"/>
      <c r="R221" s="1743"/>
      <c r="S221" s="1743"/>
    </row>
    <row r="222" spans="13:19" s="1738" customFormat="1">
      <c r="M222" s="1743"/>
      <c r="Q222" s="1743"/>
      <c r="R222" s="1743"/>
      <c r="S222" s="1743"/>
    </row>
    <row r="223" spans="13:19" s="1738" customFormat="1">
      <c r="M223" s="1743"/>
      <c r="Q223" s="1743"/>
      <c r="R223" s="1743"/>
      <c r="S223" s="1743"/>
    </row>
    <row r="224" spans="13:19" s="1738" customFormat="1">
      <c r="M224" s="1743"/>
      <c r="Q224" s="1743"/>
      <c r="R224" s="1743"/>
      <c r="S224" s="1743"/>
    </row>
    <row r="225" spans="13:19" s="1738" customFormat="1">
      <c r="M225" s="1743"/>
      <c r="Q225" s="1743"/>
      <c r="R225" s="1743"/>
      <c r="S225" s="1743"/>
    </row>
    <row r="226" spans="13:19" s="1738" customFormat="1">
      <c r="M226" s="1743"/>
      <c r="Q226" s="1743"/>
      <c r="R226" s="1743"/>
      <c r="S226" s="1743"/>
    </row>
    <row r="227" spans="13:19" s="1738" customFormat="1">
      <c r="M227" s="1743"/>
      <c r="Q227" s="1743"/>
      <c r="R227" s="1743"/>
      <c r="S227" s="1743"/>
    </row>
    <row r="228" spans="13:19" s="1738" customFormat="1">
      <c r="M228" s="1743"/>
      <c r="Q228" s="1743"/>
      <c r="R228" s="1743"/>
      <c r="S228" s="1743"/>
    </row>
    <row r="229" spans="13:19" s="1738" customFormat="1">
      <c r="M229" s="1743"/>
      <c r="Q229" s="1743"/>
      <c r="R229" s="1743"/>
      <c r="S229" s="1743"/>
    </row>
    <row r="230" spans="13:19" s="1738" customFormat="1">
      <c r="M230" s="1743"/>
      <c r="Q230" s="1743"/>
      <c r="R230" s="1743"/>
      <c r="S230" s="1743"/>
    </row>
    <row r="231" spans="13:19" s="1738" customFormat="1">
      <c r="M231" s="1743"/>
      <c r="Q231" s="1743"/>
      <c r="R231" s="1743"/>
      <c r="S231" s="1743"/>
    </row>
    <row r="232" spans="13:19" s="1738" customFormat="1">
      <c r="M232" s="1743"/>
      <c r="Q232" s="1743"/>
      <c r="R232" s="1743"/>
      <c r="S232" s="1743"/>
    </row>
    <row r="233" spans="13:19" s="1738" customFormat="1">
      <c r="M233" s="1743"/>
      <c r="Q233" s="1743"/>
      <c r="R233" s="1743"/>
      <c r="S233" s="1743"/>
    </row>
    <row r="234" spans="13:19" s="1738" customFormat="1">
      <c r="M234" s="1743"/>
      <c r="Q234" s="1743"/>
      <c r="R234" s="1743"/>
      <c r="S234" s="1743"/>
    </row>
    <row r="235" spans="13:19" s="1738" customFormat="1">
      <c r="M235" s="1743"/>
      <c r="Q235" s="1743"/>
      <c r="R235" s="1743"/>
      <c r="S235" s="1743"/>
    </row>
    <row r="236" spans="13:19" s="1738" customFormat="1">
      <c r="M236" s="1743"/>
      <c r="Q236" s="1743"/>
      <c r="R236" s="1743"/>
      <c r="S236" s="1743"/>
    </row>
    <row r="237" spans="13:19" s="1738" customFormat="1">
      <c r="M237" s="1743"/>
      <c r="Q237" s="1743"/>
      <c r="R237" s="1743"/>
      <c r="S237" s="1743"/>
    </row>
    <row r="238" spans="13:19" s="1738" customFormat="1">
      <c r="M238" s="1743"/>
      <c r="Q238" s="1743"/>
      <c r="R238" s="1743"/>
      <c r="S238" s="1743"/>
    </row>
    <row r="239" spans="13:19" s="1738" customFormat="1">
      <c r="M239" s="1743"/>
      <c r="Q239" s="1743"/>
      <c r="R239" s="1743"/>
      <c r="S239" s="1743"/>
    </row>
    <row r="240" spans="13:19" s="1738" customFormat="1">
      <c r="M240" s="1743"/>
      <c r="Q240" s="1743"/>
      <c r="R240" s="1743"/>
      <c r="S240" s="1743"/>
    </row>
    <row r="241" spans="13:19" s="1738" customFormat="1">
      <c r="M241" s="1743"/>
      <c r="Q241" s="1743"/>
      <c r="R241" s="1743"/>
      <c r="S241" s="1743"/>
    </row>
    <row r="242" spans="13:19" s="1738" customFormat="1">
      <c r="M242" s="1743"/>
      <c r="Q242" s="1743"/>
      <c r="R242" s="1743"/>
      <c r="S242" s="1743"/>
    </row>
    <row r="243" spans="13:19" s="1738" customFormat="1">
      <c r="M243" s="1743"/>
      <c r="Q243" s="1743"/>
      <c r="R243" s="1743"/>
      <c r="S243" s="1743"/>
    </row>
    <row r="244" spans="13:19" s="1738" customFormat="1">
      <c r="M244" s="1743"/>
      <c r="Q244" s="1743"/>
      <c r="R244" s="1743"/>
      <c r="S244" s="1743"/>
    </row>
    <row r="245" spans="13:19" s="1738" customFormat="1">
      <c r="M245" s="1743"/>
      <c r="Q245" s="1743"/>
      <c r="R245" s="1743"/>
      <c r="S245" s="1743"/>
    </row>
    <row r="246" spans="13:19" s="1738" customFormat="1">
      <c r="M246" s="1743"/>
      <c r="Q246" s="1743"/>
      <c r="R246" s="1743"/>
      <c r="S246" s="1743"/>
    </row>
    <row r="247" spans="13:19" s="1738" customFormat="1">
      <c r="M247" s="1743"/>
      <c r="Q247" s="1743"/>
      <c r="R247" s="1743"/>
      <c r="S247" s="1743"/>
    </row>
    <row r="248" spans="13:19" s="1738" customFormat="1">
      <c r="M248" s="1743"/>
      <c r="Q248" s="1743"/>
      <c r="R248" s="1743"/>
      <c r="S248" s="1743"/>
    </row>
    <row r="249" spans="13:19" s="1738" customFormat="1">
      <c r="M249" s="1743"/>
      <c r="Q249" s="1743"/>
      <c r="R249" s="1743"/>
      <c r="S249" s="1743"/>
    </row>
    <row r="250" spans="13:19" s="1738" customFormat="1">
      <c r="M250" s="1743"/>
      <c r="Q250" s="1743"/>
      <c r="R250" s="1743"/>
      <c r="S250" s="1743"/>
    </row>
    <row r="251" spans="13:19" s="1738" customFormat="1">
      <c r="M251" s="1743"/>
      <c r="Q251" s="1743"/>
      <c r="R251" s="1743"/>
      <c r="S251" s="1743"/>
    </row>
    <row r="252" spans="13:19" s="1738" customFormat="1">
      <c r="M252" s="1743"/>
      <c r="Q252" s="1743"/>
      <c r="R252" s="1743"/>
      <c r="S252" s="1743"/>
    </row>
    <row r="253" spans="13:19" s="1738" customFormat="1">
      <c r="M253" s="1743"/>
      <c r="Q253" s="1743"/>
      <c r="R253" s="1743"/>
      <c r="S253" s="1743"/>
    </row>
    <row r="254" spans="13:19" s="1738" customFormat="1">
      <c r="M254" s="1743"/>
      <c r="Q254" s="1743"/>
      <c r="R254" s="1743"/>
      <c r="S254" s="1743"/>
    </row>
    <row r="255" spans="13:19" s="1738" customFormat="1">
      <c r="M255" s="1743"/>
      <c r="Q255" s="1743"/>
      <c r="R255" s="1743"/>
      <c r="S255" s="1743"/>
    </row>
    <row r="256" spans="13:19" s="1738" customFormat="1">
      <c r="M256" s="1743"/>
      <c r="Q256" s="1743"/>
      <c r="R256" s="1743"/>
      <c r="S256" s="1743"/>
    </row>
    <row r="257" spans="13:19" s="1738" customFormat="1">
      <c r="M257" s="1743"/>
      <c r="Q257" s="1743"/>
      <c r="R257" s="1743"/>
      <c r="S257" s="1743"/>
    </row>
    <row r="258" spans="13:19" s="1738" customFormat="1">
      <c r="M258" s="1743"/>
      <c r="Q258" s="1743"/>
      <c r="R258" s="1743"/>
      <c r="S258" s="1743"/>
    </row>
    <row r="259" spans="13:19" s="1738" customFormat="1">
      <c r="M259" s="1743"/>
      <c r="Q259" s="1743"/>
      <c r="R259" s="1743"/>
      <c r="S259" s="1743"/>
    </row>
    <row r="260" spans="13:19" s="1738" customFormat="1">
      <c r="M260" s="1743"/>
      <c r="Q260" s="1743"/>
      <c r="R260" s="1743"/>
      <c r="S260" s="1743"/>
    </row>
    <row r="261" spans="13:19" s="1738" customFormat="1">
      <c r="M261" s="1743"/>
      <c r="Q261" s="1743"/>
      <c r="R261" s="1743"/>
      <c r="S261" s="1743"/>
    </row>
    <row r="262" spans="13:19" s="1738" customFormat="1">
      <c r="M262" s="1743"/>
      <c r="Q262" s="1743"/>
      <c r="R262" s="1743"/>
      <c r="S262" s="1743"/>
    </row>
    <row r="263" spans="13:19" s="1738" customFormat="1">
      <c r="M263" s="1743"/>
      <c r="Q263" s="1743"/>
      <c r="R263" s="1743"/>
      <c r="S263" s="1743"/>
    </row>
    <row r="264" spans="13:19" s="1738" customFormat="1">
      <c r="M264" s="1743"/>
      <c r="Q264" s="1743"/>
      <c r="R264" s="1743"/>
      <c r="S264" s="1743"/>
    </row>
    <row r="265" spans="13:19" s="1738" customFormat="1">
      <c r="M265" s="1743"/>
      <c r="Q265" s="1743"/>
      <c r="R265" s="1743"/>
      <c r="S265" s="1743"/>
    </row>
    <row r="266" spans="13:19" s="1738" customFormat="1">
      <c r="M266" s="1743"/>
      <c r="Q266" s="1743"/>
      <c r="R266" s="1743"/>
      <c r="S266" s="1743"/>
    </row>
    <row r="267" spans="13:19" s="1738" customFormat="1">
      <c r="M267" s="1743"/>
      <c r="Q267" s="1743"/>
      <c r="R267" s="1743"/>
      <c r="S267" s="1743"/>
    </row>
    <row r="268" spans="13:19" s="1738" customFormat="1">
      <c r="M268" s="1743"/>
      <c r="Q268" s="1743"/>
      <c r="R268" s="1743"/>
      <c r="S268" s="1743"/>
    </row>
    <row r="269" spans="13:19" s="1738" customFormat="1">
      <c r="M269" s="1743"/>
      <c r="Q269" s="1743"/>
      <c r="R269" s="1743"/>
      <c r="S269" s="1743"/>
    </row>
    <row r="270" spans="13:19" s="1738" customFormat="1">
      <c r="M270" s="1743"/>
      <c r="Q270" s="1743"/>
      <c r="R270" s="1743"/>
      <c r="S270" s="1743"/>
    </row>
    <row r="271" spans="13:19" s="1738" customFormat="1">
      <c r="M271" s="1743"/>
      <c r="Q271" s="1743"/>
      <c r="R271" s="1743"/>
      <c r="S271" s="1743"/>
    </row>
    <row r="272" spans="13:19" s="1738" customFormat="1">
      <c r="M272" s="1743"/>
      <c r="Q272" s="1743"/>
      <c r="R272" s="1743"/>
      <c r="S272" s="1743"/>
    </row>
    <row r="273" spans="13:19" s="1738" customFormat="1">
      <c r="M273" s="1743"/>
      <c r="Q273" s="1743"/>
      <c r="R273" s="1743"/>
      <c r="S273" s="1743"/>
    </row>
    <row r="274" spans="13:19" s="1738" customFormat="1">
      <c r="M274" s="1743"/>
      <c r="Q274" s="1743"/>
      <c r="R274" s="1743"/>
      <c r="S274" s="1743"/>
    </row>
    <row r="275" spans="13:19" s="1738" customFormat="1">
      <c r="M275" s="1743"/>
      <c r="Q275" s="1743"/>
      <c r="R275" s="1743"/>
      <c r="S275" s="1743"/>
    </row>
    <row r="276" spans="13:19" s="1738" customFormat="1">
      <c r="M276" s="1743"/>
      <c r="Q276" s="1743"/>
      <c r="R276" s="1743"/>
      <c r="S276" s="1743"/>
    </row>
    <row r="277" spans="13:19" s="1738" customFormat="1">
      <c r="M277" s="1743"/>
      <c r="Q277" s="1743"/>
      <c r="R277" s="1743"/>
      <c r="S277" s="1743"/>
    </row>
    <row r="278" spans="13:19" s="1738" customFormat="1">
      <c r="M278" s="1743"/>
      <c r="Q278" s="1743"/>
      <c r="R278" s="1743"/>
      <c r="S278" s="1743"/>
    </row>
    <row r="279" spans="13:19" s="1738" customFormat="1">
      <c r="M279" s="1743"/>
      <c r="Q279" s="1743"/>
      <c r="R279" s="1743"/>
      <c r="S279" s="1743"/>
    </row>
    <row r="280" spans="13:19" s="1738" customFormat="1">
      <c r="M280" s="1743"/>
      <c r="Q280" s="1743"/>
      <c r="R280" s="1743"/>
      <c r="S280" s="1743"/>
    </row>
    <row r="281" spans="13:19" s="1738" customFormat="1">
      <c r="M281" s="1743"/>
      <c r="Q281" s="1743"/>
      <c r="R281" s="1743"/>
      <c r="S281" s="1743"/>
    </row>
    <row r="282" spans="13:19" s="1738" customFormat="1">
      <c r="M282" s="1743"/>
      <c r="Q282" s="1743"/>
      <c r="R282" s="1743"/>
      <c r="S282" s="1743"/>
    </row>
    <row r="283" spans="13:19" s="1738" customFormat="1">
      <c r="M283" s="1743"/>
      <c r="Q283" s="1743"/>
      <c r="R283" s="1743"/>
      <c r="S283" s="1743"/>
    </row>
    <row r="284" spans="13:19" s="1738" customFormat="1">
      <c r="M284" s="1743"/>
      <c r="Q284" s="1743"/>
      <c r="R284" s="1743"/>
      <c r="S284" s="1743"/>
    </row>
    <row r="285" spans="13:19" s="1738" customFormat="1">
      <c r="M285" s="1743"/>
      <c r="Q285" s="1743"/>
      <c r="R285" s="1743"/>
      <c r="S285" s="1743"/>
    </row>
    <row r="286" spans="13:19" s="1738" customFormat="1">
      <c r="M286" s="1743"/>
      <c r="Q286" s="1743"/>
      <c r="R286" s="1743"/>
      <c r="S286" s="1743"/>
    </row>
    <row r="287" spans="13:19" s="1738" customFormat="1">
      <c r="M287" s="1743"/>
      <c r="Q287" s="1743"/>
      <c r="R287" s="1743"/>
      <c r="S287" s="1743"/>
    </row>
    <row r="288" spans="13:19" s="1738" customFormat="1">
      <c r="M288" s="1743"/>
      <c r="Q288" s="1743"/>
      <c r="R288" s="1743"/>
      <c r="S288" s="1743"/>
    </row>
    <row r="289" spans="13:19" s="1738" customFormat="1">
      <c r="M289" s="1743"/>
      <c r="Q289" s="1743"/>
      <c r="R289" s="1743"/>
      <c r="S289" s="1743"/>
    </row>
    <row r="290" spans="13:19" s="1738" customFormat="1">
      <c r="M290" s="1743"/>
      <c r="Q290" s="1743"/>
      <c r="R290" s="1743"/>
      <c r="S290" s="1743"/>
    </row>
    <row r="291" spans="13:19" s="1738" customFormat="1">
      <c r="M291" s="1743"/>
      <c r="Q291" s="1743"/>
      <c r="R291" s="1743"/>
      <c r="S291" s="1743"/>
    </row>
    <row r="292" spans="13:19" s="1738" customFormat="1">
      <c r="M292" s="1743"/>
      <c r="Q292" s="1743"/>
      <c r="R292" s="1743"/>
      <c r="S292" s="1743"/>
    </row>
    <row r="293" spans="13:19" s="1738" customFormat="1">
      <c r="M293" s="1743"/>
      <c r="Q293" s="1743"/>
      <c r="R293" s="1743"/>
      <c r="S293" s="1743"/>
    </row>
    <row r="294" spans="13:19" s="1738" customFormat="1">
      <c r="M294" s="1743"/>
      <c r="Q294" s="1743"/>
      <c r="R294" s="1743"/>
      <c r="S294" s="1743"/>
    </row>
    <row r="295" spans="13:19" s="1738" customFormat="1">
      <c r="M295" s="1743"/>
      <c r="Q295" s="1743"/>
      <c r="R295" s="1743"/>
      <c r="S295" s="1743"/>
    </row>
    <row r="296" spans="13:19" s="1738" customFormat="1">
      <c r="M296" s="1743"/>
      <c r="Q296" s="1743"/>
      <c r="R296" s="1743"/>
      <c r="S296" s="1743"/>
    </row>
    <row r="297" spans="13:19" s="1738" customFormat="1">
      <c r="M297" s="1743"/>
      <c r="Q297" s="1743"/>
      <c r="R297" s="1743"/>
      <c r="S297" s="1743"/>
    </row>
    <row r="298" spans="13:19" s="1738" customFormat="1">
      <c r="M298" s="1743"/>
      <c r="Q298" s="1743"/>
      <c r="R298" s="1743"/>
      <c r="S298" s="1743"/>
    </row>
    <row r="299" spans="13:19" s="1738" customFormat="1">
      <c r="M299" s="1743"/>
      <c r="Q299" s="1743"/>
      <c r="R299" s="1743"/>
      <c r="S299" s="1743"/>
    </row>
    <row r="300" spans="13:19" s="1738" customFormat="1">
      <c r="M300" s="1743"/>
      <c r="Q300" s="1743"/>
      <c r="R300" s="1743"/>
      <c r="S300" s="1743"/>
    </row>
    <row r="301" spans="13:19" s="1738" customFormat="1">
      <c r="M301" s="1743"/>
      <c r="Q301" s="1743"/>
      <c r="R301" s="1743"/>
      <c r="S301" s="1743"/>
    </row>
    <row r="302" spans="13:19" s="1738" customFormat="1">
      <c r="M302" s="1743"/>
      <c r="Q302" s="1743"/>
      <c r="R302" s="1743"/>
      <c r="S302" s="1743"/>
    </row>
    <row r="303" spans="13:19" s="1738" customFormat="1">
      <c r="M303" s="1743"/>
      <c r="Q303" s="1743"/>
      <c r="R303" s="1743"/>
      <c r="S303" s="1743"/>
    </row>
    <row r="304" spans="13:19" s="1738" customFormat="1">
      <c r="M304" s="1743"/>
      <c r="Q304" s="1743"/>
      <c r="R304" s="1743"/>
      <c r="S304" s="1743"/>
    </row>
    <row r="305" spans="13:19" s="1738" customFormat="1">
      <c r="M305" s="1743"/>
      <c r="Q305" s="1743"/>
      <c r="R305" s="1743"/>
      <c r="S305" s="1743"/>
    </row>
    <row r="306" spans="13:19" s="1738" customFormat="1">
      <c r="M306" s="1743"/>
      <c r="Q306" s="1743"/>
      <c r="R306" s="1743"/>
      <c r="S306" s="1743"/>
    </row>
    <row r="307" spans="13:19" s="1738" customFormat="1">
      <c r="M307" s="1743"/>
      <c r="Q307" s="1743"/>
      <c r="R307" s="1743"/>
      <c r="S307" s="1743"/>
    </row>
    <row r="308" spans="13:19" s="1738" customFormat="1">
      <c r="M308" s="1743"/>
      <c r="Q308" s="1743"/>
      <c r="R308" s="1743"/>
      <c r="S308" s="1743"/>
    </row>
    <row r="309" spans="13:19" s="1738" customFormat="1">
      <c r="M309" s="1743"/>
      <c r="Q309" s="1743"/>
      <c r="R309" s="1743"/>
      <c r="S309" s="1743"/>
    </row>
    <row r="310" spans="13:19" s="1738" customFormat="1">
      <c r="M310" s="1743"/>
      <c r="Q310" s="1743"/>
      <c r="R310" s="1743"/>
      <c r="S310" s="1743"/>
    </row>
    <row r="311" spans="13:19" s="1738" customFormat="1">
      <c r="M311" s="1743"/>
      <c r="Q311" s="1743"/>
      <c r="R311" s="1743"/>
      <c r="S311" s="1743"/>
    </row>
    <row r="312" spans="13:19" s="1738" customFormat="1">
      <c r="M312" s="1743"/>
      <c r="Q312" s="1743"/>
      <c r="R312" s="1743"/>
      <c r="S312" s="1743"/>
    </row>
    <row r="313" spans="13:19" s="1738" customFormat="1">
      <c r="M313" s="1743"/>
      <c r="Q313" s="1743"/>
      <c r="R313" s="1743"/>
      <c r="S313" s="1743"/>
    </row>
    <row r="314" spans="13:19" s="1738" customFormat="1">
      <c r="M314" s="1743"/>
      <c r="Q314" s="1743"/>
      <c r="R314" s="1743"/>
      <c r="S314" s="1743"/>
    </row>
    <row r="315" spans="13:19" s="1738" customFormat="1">
      <c r="M315" s="1743"/>
      <c r="Q315" s="1743"/>
      <c r="R315" s="1743"/>
      <c r="S315" s="1743"/>
    </row>
    <row r="316" spans="13:19" s="1738" customFormat="1">
      <c r="M316" s="1743"/>
      <c r="Q316" s="1743"/>
      <c r="R316" s="1743"/>
      <c r="S316" s="1743"/>
    </row>
    <row r="317" spans="13:19" s="1738" customFormat="1">
      <c r="M317" s="1743"/>
      <c r="Q317" s="1743"/>
      <c r="R317" s="1743"/>
      <c r="S317" s="1743"/>
    </row>
    <row r="318" spans="13:19" s="1738" customFormat="1">
      <c r="M318" s="1743"/>
      <c r="Q318" s="1743"/>
      <c r="R318" s="1743"/>
      <c r="S318" s="1743"/>
    </row>
    <row r="319" spans="13:19" s="1738" customFormat="1">
      <c r="M319" s="1743"/>
      <c r="Q319" s="1743"/>
      <c r="R319" s="1743"/>
      <c r="S319" s="1743"/>
    </row>
    <row r="320" spans="13:19" s="1738" customFormat="1">
      <c r="M320" s="1743"/>
      <c r="Q320" s="1743"/>
      <c r="R320" s="1743"/>
      <c r="S320" s="1743"/>
    </row>
    <row r="321" spans="13:19" s="1738" customFormat="1">
      <c r="M321" s="1743"/>
      <c r="Q321" s="1743"/>
      <c r="R321" s="1743"/>
      <c r="S321" s="1743"/>
    </row>
    <row r="322" spans="13:19" s="1738" customFormat="1">
      <c r="M322" s="1743"/>
      <c r="Q322" s="1743"/>
      <c r="R322" s="1743"/>
      <c r="S322" s="1743"/>
    </row>
    <row r="323" spans="13:19" s="1738" customFormat="1">
      <c r="M323" s="1743"/>
      <c r="Q323" s="1743"/>
      <c r="R323" s="1743"/>
      <c r="S323" s="1743"/>
    </row>
    <row r="324" spans="13:19" s="1738" customFormat="1">
      <c r="M324" s="1743"/>
      <c r="Q324" s="1743"/>
      <c r="R324" s="1743"/>
      <c r="S324" s="1743"/>
    </row>
    <row r="325" spans="13:19" s="1738" customFormat="1">
      <c r="M325" s="1743"/>
      <c r="Q325" s="1743"/>
      <c r="R325" s="1743"/>
      <c r="S325" s="1743"/>
    </row>
    <row r="326" spans="13:19" s="1738" customFormat="1">
      <c r="M326" s="1743"/>
      <c r="Q326" s="1743"/>
      <c r="R326" s="1743"/>
      <c r="S326" s="1743"/>
    </row>
    <row r="327" spans="13:19" s="1738" customFormat="1">
      <c r="M327" s="1743"/>
      <c r="Q327" s="1743"/>
      <c r="R327" s="1743"/>
      <c r="S327" s="1743"/>
    </row>
    <row r="328" spans="13:19" s="1738" customFormat="1">
      <c r="M328" s="1743"/>
      <c r="Q328" s="1743"/>
      <c r="R328" s="1743"/>
      <c r="S328" s="1743"/>
    </row>
    <row r="329" spans="13:19" s="1738" customFormat="1">
      <c r="M329" s="1743"/>
      <c r="Q329" s="1743"/>
      <c r="R329" s="1743"/>
      <c r="S329" s="1743"/>
    </row>
    <row r="330" spans="13:19" s="1738" customFormat="1">
      <c r="M330" s="1743"/>
      <c r="Q330" s="1743"/>
      <c r="R330" s="1743"/>
      <c r="S330" s="1743"/>
    </row>
    <row r="331" spans="13:19" s="1738" customFormat="1">
      <c r="M331" s="1743"/>
      <c r="Q331" s="1743"/>
      <c r="R331" s="1743"/>
      <c r="S331" s="1743"/>
    </row>
    <row r="332" spans="13:19" s="1738" customFormat="1">
      <c r="M332" s="1743"/>
      <c r="Q332" s="1743"/>
      <c r="R332" s="1743"/>
      <c r="S332" s="1743"/>
    </row>
    <row r="333" spans="13:19" s="1738" customFormat="1">
      <c r="M333" s="1743"/>
      <c r="Q333" s="1743"/>
      <c r="R333" s="1743"/>
      <c r="S333" s="1743"/>
    </row>
    <row r="334" spans="13:19" s="1738" customFormat="1">
      <c r="M334" s="1743"/>
      <c r="Q334" s="1743"/>
      <c r="R334" s="1743"/>
      <c r="S334" s="1743"/>
    </row>
    <row r="335" spans="13:19" s="1738" customFormat="1">
      <c r="M335" s="1743"/>
      <c r="Q335" s="1743"/>
      <c r="R335" s="1743"/>
      <c r="S335" s="1743"/>
    </row>
    <row r="336" spans="13:19" s="1738" customFormat="1">
      <c r="M336" s="1743"/>
      <c r="Q336" s="1743"/>
      <c r="R336" s="1743"/>
      <c r="S336" s="1743"/>
    </row>
    <row r="337" spans="13:19" s="1738" customFormat="1">
      <c r="M337" s="1743"/>
      <c r="Q337" s="1743"/>
      <c r="R337" s="1743"/>
      <c r="S337" s="1743"/>
    </row>
    <row r="338" spans="13:19" s="1738" customFormat="1">
      <c r="M338" s="1743"/>
      <c r="Q338" s="1743"/>
      <c r="R338" s="1743"/>
      <c r="S338" s="1743"/>
    </row>
    <row r="339" spans="13:19" s="1738" customFormat="1">
      <c r="M339" s="1743"/>
      <c r="Q339" s="1743"/>
      <c r="R339" s="1743"/>
      <c r="S339" s="1743"/>
    </row>
    <row r="340" spans="13:19" s="1738" customFormat="1">
      <c r="M340" s="1743"/>
      <c r="Q340" s="1743"/>
      <c r="R340" s="1743"/>
      <c r="S340" s="1743"/>
    </row>
    <row r="341" spans="13:19" s="1738" customFormat="1">
      <c r="M341" s="1743"/>
      <c r="Q341" s="1743"/>
      <c r="R341" s="1743"/>
      <c r="S341" s="1743"/>
    </row>
    <row r="342" spans="13:19" s="1738" customFormat="1">
      <c r="M342" s="1743"/>
      <c r="Q342" s="1743"/>
      <c r="R342" s="1743"/>
      <c r="S342" s="1743"/>
    </row>
    <row r="343" spans="13:19" s="1738" customFormat="1">
      <c r="M343" s="1743"/>
      <c r="Q343" s="1743"/>
      <c r="R343" s="1743"/>
      <c r="S343" s="1743"/>
    </row>
    <row r="344" spans="13:19" s="1738" customFormat="1">
      <c r="M344" s="1743"/>
      <c r="Q344" s="1743"/>
      <c r="R344" s="1743"/>
      <c r="S344" s="1743"/>
    </row>
    <row r="345" spans="13:19" s="1738" customFormat="1">
      <c r="M345" s="1743"/>
      <c r="Q345" s="1743"/>
      <c r="R345" s="1743"/>
      <c r="S345" s="1743"/>
    </row>
    <row r="346" spans="13:19" s="1738" customFormat="1">
      <c r="M346" s="1743"/>
      <c r="Q346" s="1743"/>
      <c r="R346" s="1743"/>
      <c r="S346" s="1743"/>
    </row>
    <row r="347" spans="13:19" s="1738" customFormat="1">
      <c r="M347" s="1743"/>
      <c r="Q347" s="1743"/>
      <c r="R347" s="1743"/>
      <c r="S347" s="1743"/>
    </row>
    <row r="348" spans="13:19" s="1738" customFormat="1">
      <c r="M348" s="1743"/>
      <c r="Q348" s="1743"/>
      <c r="R348" s="1743"/>
      <c r="S348" s="1743"/>
    </row>
    <row r="349" spans="13:19" s="1738" customFormat="1">
      <c r="M349" s="1743"/>
      <c r="Q349" s="1743"/>
      <c r="R349" s="1743"/>
      <c r="S349" s="1743"/>
    </row>
    <row r="350" spans="13:19" s="1738" customFormat="1">
      <c r="M350" s="1743"/>
      <c r="Q350" s="1743"/>
      <c r="R350" s="1743"/>
      <c r="S350" s="1743"/>
    </row>
    <row r="351" spans="13:19" s="1738" customFormat="1">
      <c r="M351" s="1743"/>
      <c r="Q351" s="1743"/>
      <c r="R351" s="1743"/>
      <c r="S351" s="1743"/>
    </row>
    <row r="352" spans="13:19" s="1738" customFormat="1">
      <c r="M352" s="1743"/>
      <c r="Q352" s="1743"/>
      <c r="R352" s="1743"/>
      <c r="S352" s="1743"/>
    </row>
    <row r="353" spans="13:19" s="1738" customFormat="1">
      <c r="M353" s="1743"/>
      <c r="Q353" s="1743"/>
      <c r="R353" s="1743"/>
      <c r="S353" s="1743"/>
    </row>
    <row r="354" spans="13:19" s="1738" customFormat="1">
      <c r="M354" s="1743"/>
      <c r="Q354" s="1743"/>
      <c r="R354" s="1743"/>
      <c r="S354" s="1743"/>
    </row>
    <row r="355" spans="13:19" s="1738" customFormat="1">
      <c r="M355" s="1743"/>
      <c r="Q355" s="1743"/>
      <c r="R355" s="1743"/>
      <c r="S355" s="1743"/>
    </row>
    <row r="356" spans="13:19" s="1738" customFormat="1">
      <c r="M356" s="1743"/>
      <c r="Q356" s="1743"/>
      <c r="R356" s="1743"/>
      <c r="S356" s="1743"/>
    </row>
    <row r="357" spans="13:19" s="1738" customFormat="1">
      <c r="M357" s="1743"/>
      <c r="Q357" s="1743"/>
      <c r="R357" s="1743"/>
      <c r="S357" s="1743"/>
    </row>
    <row r="358" spans="13:19" s="1738" customFormat="1">
      <c r="M358" s="1743"/>
      <c r="Q358" s="1743"/>
      <c r="R358" s="1743"/>
      <c r="S358" s="1743"/>
    </row>
    <row r="359" spans="13:19" s="1738" customFormat="1">
      <c r="M359" s="1743"/>
      <c r="Q359" s="1743"/>
      <c r="R359" s="1743"/>
      <c r="S359" s="1743"/>
    </row>
    <row r="360" spans="13:19" s="1738" customFormat="1">
      <c r="M360" s="1743"/>
      <c r="Q360" s="1743"/>
      <c r="R360" s="1743"/>
      <c r="S360" s="1743"/>
    </row>
    <row r="361" spans="13:19" s="1738" customFormat="1">
      <c r="M361" s="1743"/>
      <c r="Q361" s="1743"/>
      <c r="R361" s="1743"/>
      <c r="S361" s="1743"/>
    </row>
    <row r="362" spans="13:19" s="1738" customFormat="1">
      <c r="M362" s="1743"/>
      <c r="Q362" s="1743"/>
      <c r="R362" s="1743"/>
      <c r="S362" s="1743"/>
    </row>
    <row r="363" spans="13:19" s="1738" customFormat="1">
      <c r="M363" s="1743"/>
      <c r="Q363" s="1743"/>
      <c r="R363" s="1743"/>
      <c r="S363" s="1743"/>
    </row>
    <row r="364" spans="13:19" s="1738" customFormat="1">
      <c r="M364" s="1743"/>
      <c r="Q364" s="1743"/>
      <c r="R364" s="1743"/>
      <c r="S364" s="1743"/>
    </row>
    <row r="365" spans="13:19" s="1738" customFormat="1">
      <c r="M365" s="1743"/>
      <c r="Q365" s="1743"/>
      <c r="R365" s="1743"/>
      <c r="S365" s="1743"/>
    </row>
    <row r="366" spans="13:19" s="1738" customFormat="1">
      <c r="M366" s="1743"/>
      <c r="Q366" s="1743"/>
      <c r="R366" s="1743"/>
      <c r="S366" s="1743"/>
    </row>
    <row r="367" spans="13:19" s="1738" customFormat="1">
      <c r="M367" s="1743"/>
      <c r="Q367" s="1743"/>
      <c r="R367" s="1743"/>
      <c r="S367" s="1743"/>
    </row>
    <row r="368" spans="13:19" s="1738" customFormat="1">
      <c r="M368" s="1743"/>
      <c r="Q368" s="1743"/>
      <c r="R368" s="1743"/>
      <c r="S368" s="1743"/>
    </row>
    <row r="369" spans="13:19" s="1738" customFormat="1">
      <c r="M369" s="1743"/>
      <c r="Q369" s="1743"/>
      <c r="R369" s="1743"/>
      <c r="S369" s="1743"/>
    </row>
    <row r="370" spans="13:19" s="1738" customFormat="1">
      <c r="M370" s="1743"/>
      <c r="Q370" s="1743"/>
      <c r="R370" s="1743"/>
      <c r="S370" s="1743"/>
    </row>
    <row r="371" spans="13:19" s="1738" customFormat="1">
      <c r="M371" s="1743"/>
      <c r="Q371" s="1743"/>
      <c r="R371" s="1743"/>
      <c r="S371" s="1743"/>
    </row>
    <row r="372" spans="13:19" s="1738" customFormat="1">
      <c r="M372" s="1743"/>
      <c r="Q372" s="1743"/>
      <c r="R372" s="1743"/>
      <c r="S372" s="1743"/>
    </row>
    <row r="373" spans="13:19" s="1738" customFormat="1">
      <c r="M373" s="1743"/>
      <c r="Q373" s="1743"/>
      <c r="R373" s="1743"/>
      <c r="S373" s="1743"/>
    </row>
    <row r="374" spans="13:19" s="1738" customFormat="1">
      <c r="M374" s="1743"/>
      <c r="Q374" s="1743"/>
      <c r="R374" s="1743"/>
      <c r="S374" s="1743"/>
    </row>
    <row r="375" spans="13:19" s="1738" customFormat="1">
      <c r="M375" s="1743"/>
      <c r="Q375" s="1743"/>
      <c r="R375" s="1743"/>
      <c r="S375" s="1743"/>
    </row>
    <row r="376" spans="13:19" s="1738" customFormat="1">
      <c r="M376" s="1743"/>
      <c r="Q376" s="1743"/>
      <c r="R376" s="1743"/>
      <c r="S376" s="1743"/>
    </row>
    <row r="377" spans="13:19" s="1738" customFormat="1">
      <c r="M377" s="1743"/>
      <c r="Q377" s="1743"/>
      <c r="R377" s="1743"/>
      <c r="S377" s="1743"/>
    </row>
    <row r="378" spans="13:19" s="1738" customFormat="1">
      <c r="M378" s="1743"/>
      <c r="Q378" s="1743"/>
      <c r="R378" s="1743"/>
      <c r="S378" s="1743"/>
    </row>
    <row r="379" spans="13:19" s="1738" customFormat="1">
      <c r="M379" s="1743"/>
      <c r="Q379" s="1743"/>
      <c r="R379" s="1743"/>
      <c r="S379" s="1743"/>
    </row>
    <row r="380" spans="13:19" s="1738" customFormat="1">
      <c r="M380" s="1743"/>
      <c r="Q380" s="1743"/>
      <c r="R380" s="1743"/>
      <c r="S380" s="1743"/>
    </row>
    <row r="381" spans="13:19" s="1738" customFormat="1">
      <c r="M381" s="1743"/>
      <c r="Q381" s="1743"/>
      <c r="R381" s="1743"/>
      <c r="S381" s="1743"/>
    </row>
    <row r="382" spans="13:19" s="1738" customFormat="1">
      <c r="M382" s="1743"/>
      <c r="Q382" s="1743"/>
      <c r="R382" s="1743"/>
      <c r="S382" s="1743"/>
    </row>
    <row r="383" spans="13:19" s="1738" customFormat="1">
      <c r="M383" s="1743"/>
      <c r="Q383" s="1743"/>
      <c r="R383" s="1743"/>
      <c r="S383" s="1743"/>
    </row>
    <row r="384" spans="13:19" s="1738" customFormat="1">
      <c r="M384" s="1743"/>
      <c r="Q384" s="1743"/>
      <c r="R384" s="1743"/>
      <c r="S384" s="1743"/>
    </row>
    <row r="385" spans="13:19" s="1738" customFormat="1">
      <c r="M385" s="1743"/>
      <c r="Q385" s="1743"/>
      <c r="R385" s="1743"/>
      <c r="S385" s="1743"/>
    </row>
    <row r="386" spans="13:19" s="1738" customFormat="1">
      <c r="M386" s="1743"/>
      <c r="Q386" s="1743"/>
      <c r="R386" s="1743"/>
      <c r="S386" s="1743"/>
    </row>
    <row r="387" spans="13:19" s="1738" customFormat="1">
      <c r="M387" s="1743"/>
      <c r="Q387" s="1743"/>
      <c r="R387" s="1743"/>
      <c r="S387" s="1743"/>
    </row>
    <row r="388" spans="13:19" s="1738" customFormat="1">
      <c r="M388" s="1743"/>
      <c r="Q388" s="1743"/>
      <c r="R388" s="1743"/>
      <c r="S388" s="1743"/>
    </row>
    <row r="389" spans="13:19" s="1738" customFormat="1">
      <c r="M389" s="1743"/>
      <c r="Q389" s="1743"/>
      <c r="R389" s="1743"/>
      <c r="S389" s="1743"/>
    </row>
    <row r="390" spans="13:19" s="1738" customFormat="1">
      <c r="M390" s="1743"/>
      <c r="Q390" s="1743"/>
      <c r="R390" s="1743"/>
      <c r="S390" s="1743"/>
    </row>
    <row r="391" spans="13:19" s="1738" customFormat="1">
      <c r="M391" s="1743"/>
      <c r="Q391" s="1743"/>
      <c r="R391" s="1743"/>
      <c r="S391" s="1743"/>
    </row>
    <row r="392" spans="13:19" s="1738" customFormat="1">
      <c r="M392" s="1743"/>
      <c r="Q392" s="1743"/>
      <c r="R392" s="1743"/>
      <c r="S392" s="1743"/>
    </row>
    <row r="393" spans="13:19" s="1738" customFormat="1">
      <c r="M393" s="1743"/>
      <c r="Q393" s="1743"/>
      <c r="R393" s="1743"/>
      <c r="S393" s="1743"/>
    </row>
    <row r="394" spans="13:19" s="1738" customFormat="1">
      <c r="M394" s="1743"/>
      <c r="Q394" s="1743"/>
      <c r="R394" s="1743"/>
      <c r="S394" s="1743"/>
    </row>
    <row r="395" spans="13:19" s="1738" customFormat="1">
      <c r="M395" s="1743"/>
      <c r="Q395" s="1743"/>
      <c r="R395" s="1743"/>
      <c r="S395" s="1743"/>
    </row>
    <row r="396" spans="13:19" s="1738" customFormat="1">
      <c r="M396" s="1743"/>
      <c r="Q396" s="1743"/>
      <c r="R396" s="1743"/>
      <c r="S396" s="1743"/>
    </row>
    <row r="397" spans="13:19" s="1738" customFormat="1">
      <c r="M397" s="1743"/>
      <c r="Q397" s="1743"/>
      <c r="R397" s="1743"/>
      <c r="S397" s="1743"/>
    </row>
    <row r="398" spans="13:19" s="1738" customFormat="1">
      <c r="M398" s="1743"/>
      <c r="Q398" s="1743"/>
      <c r="R398" s="1743"/>
      <c r="S398" s="1743"/>
    </row>
    <row r="399" spans="13:19" s="1738" customFormat="1">
      <c r="M399" s="1743"/>
      <c r="Q399" s="1743"/>
      <c r="R399" s="1743"/>
      <c r="S399" s="1743"/>
    </row>
    <row r="400" spans="13:19" s="1738" customFormat="1">
      <c r="M400" s="1743"/>
      <c r="Q400" s="1743"/>
      <c r="R400" s="1743"/>
      <c r="S400" s="1743"/>
    </row>
    <row r="401" spans="13:19" s="1738" customFormat="1">
      <c r="M401" s="1743"/>
      <c r="Q401" s="1743"/>
      <c r="R401" s="1743"/>
      <c r="S401" s="1743"/>
    </row>
    <row r="402" spans="13:19" s="1738" customFormat="1">
      <c r="M402" s="1743"/>
      <c r="Q402" s="1743"/>
      <c r="R402" s="1743"/>
      <c r="S402" s="1743"/>
    </row>
    <row r="403" spans="13:19" s="1738" customFormat="1">
      <c r="M403" s="1743"/>
      <c r="Q403" s="1743"/>
      <c r="R403" s="1743"/>
      <c r="S403" s="1743"/>
    </row>
    <row r="404" spans="13:19" s="1738" customFormat="1">
      <c r="M404" s="1743"/>
      <c r="Q404" s="1743"/>
      <c r="R404" s="1743"/>
      <c r="S404" s="1743"/>
    </row>
    <row r="405" spans="13:19" s="1738" customFormat="1">
      <c r="M405" s="1743"/>
      <c r="Q405" s="1743"/>
      <c r="R405" s="1743"/>
      <c r="S405" s="1743"/>
    </row>
    <row r="406" spans="13:19" s="1738" customFormat="1">
      <c r="M406" s="1743"/>
      <c r="Q406" s="1743"/>
      <c r="R406" s="1743"/>
      <c r="S406" s="1743"/>
    </row>
    <row r="407" spans="13:19" s="1738" customFormat="1">
      <c r="M407" s="1743"/>
      <c r="Q407" s="1743"/>
      <c r="R407" s="1743"/>
      <c r="S407" s="1743"/>
    </row>
    <row r="408" spans="13:19" s="1738" customFormat="1">
      <c r="M408" s="1743"/>
      <c r="Q408" s="1743"/>
      <c r="R408" s="1743"/>
      <c r="S408" s="1743"/>
    </row>
    <row r="409" spans="13:19" s="1738" customFormat="1">
      <c r="M409" s="1743"/>
      <c r="Q409" s="1743"/>
      <c r="R409" s="1743"/>
      <c r="S409" s="1743"/>
    </row>
    <row r="410" spans="13:19" s="1738" customFormat="1">
      <c r="M410" s="1743"/>
      <c r="Q410" s="1743"/>
      <c r="R410" s="1743"/>
      <c r="S410" s="1743"/>
    </row>
    <row r="411" spans="13:19" s="1738" customFormat="1">
      <c r="M411" s="1743"/>
      <c r="Q411" s="1743"/>
      <c r="R411" s="1743"/>
      <c r="S411" s="1743"/>
    </row>
    <row r="412" spans="13:19" s="1738" customFormat="1">
      <c r="M412" s="1743"/>
      <c r="Q412" s="1743"/>
      <c r="R412" s="1743"/>
      <c r="S412" s="1743"/>
    </row>
    <row r="413" spans="13:19" s="1738" customFormat="1">
      <c r="M413" s="1743"/>
      <c r="Q413" s="1743"/>
      <c r="R413" s="1743"/>
      <c r="S413" s="1743"/>
    </row>
    <row r="414" spans="13:19" s="1738" customFormat="1">
      <c r="M414" s="1743"/>
      <c r="Q414" s="1743"/>
      <c r="R414" s="1743"/>
      <c r="S414" s="1743"/>
    </row>
    <row r="415" spans="13:19" s="1738" customFormat="1">
      <c r="M415" s="1743"/>
      <c r="Q415" s="1743"/>
      <c r="R415" s="1743"/>
      <c r="S415" s="1743"/>
    </row>
    <row r="416" spans="13:19" s="1738" customFormat="1">
      <c r="M416" s="1743"/>
      <c r="Q416" s="1743"/>
      <c r="R416" s="1743"/>
      <c r="S416" s="1743"/>
    </row>
    <row r="417" spans="13:19" s="1738" customFormat="1">
      <c r="M417" s="1743"/>
      <c r="Q417" s="1743"/>
      <c r="R417" s="1743"/>
      <c r="S417" s="1743"/>
    </row>
    <row r="418" spans="13:19" s="1738" customFormat="1">
      <c r="M418" s="1743"/>
      <c r="Q418" s="1743"/>
      <c r="R418" s="1743"/>
      <c r="S418" s="1743"/>
    </row>
    <row r="419" spans="13:19" s="1738" customFormat="1">
      <c r="M419" s="1743"/>
      <c r="Q419" s="1743"/>
      <c r="R419" s="1743"/>
      <c r="S419" s="1743"/>
    </row>
    <row r="420" spans="13:19" s="1738" customFormat="1">
      <c r="M420" s="1743"/>
      <c r="Q420" s="1743"/>
      <c r="R420" s="1743"/>
      <c r="S420" s="1743"/>
    </row>
    <row r="421" spans="13:19" s="1738" customFormat="1">
      <c r="M421" s="1743"/>
      <c r="Q421" s="1743"/>
      <c r="R421" s="1743"/>
      <c r="S421" s="1743"/>
    </row>
    <row r="422" spans="13:19" s="1738" customFormat="1">
      <c r="M422" s="1743"/>
      <c r="Q422" s="1743"/>
      <c r="R422" s="1743"/>
      <c r="S422" s="1743"/>
    </row>
    <row r="423" spans="13:19" s="1738" customFormat="1">
      <c r="M423" s="1743"/>
      <c r="Q423" s="1743"/>
      <c r="R423" s="1743"/>
      <c r="S423" s="1743"/>
    </row>
    <row r="424" spans="13:19" s="1738" customFormat="1">
      <c r="M424" s="1743"/>
      <c r="Q424" s="1743"/>
      <c r="R424" s="1743"/>
      <c r="S424" s="1743"/>
    </row>
    <row r="425" spans="13:19" s="1738" customFormat="1">
      <c r="M425" s="1743"/>
      <c r="Q425" s="1743"/>
      <c r="R425" s="1743"/>
      <c r="S425" s="1743"/>
    </row>
    <row r="426" spans="13:19" s="1738" customFormat="1">
      <c r="M426" s="1743"/>
      <c r="Q426" s="1743"/>
      <c r="R426" s="1743"/>
      <c r="S426" s="1743"/>
    </row>
    <row r="427" spans="13:19" s="1738" customFormat="1">
      <c r="M427" s="1743"/>
      <c r="Q427" s="1743"/>
      <c r="R427" s="1743"/>
      <c r="S427" s="1743"/>
    </row>
    <row r="428" spans="13:19" s="1738" customFormat="1">
      <c r="M428" s="1743"/>
      <c r="Q428" s="1743"/>
      <c r="R428" s="1743"/>
      <c r="S428" s="1743"/>
    </row>
    <row r="429" spans="13:19" s="1738" customFormat="1">
      <c r="M429" s="1743"/>
      <c r="Q429" s="1743"/>
      <c r="R429" s="1743"/>
      <c r="S429" s="1743"/>
    </row>
    <row r="430" spans="13:19" s="1738" customFormat="1">
      <c r="M430" s="1743"/>
      <c r="Q430" s="1743"/>
      <c r="R430" s="1743"/>
      <c r="S430" s="1743"/>
    </row>
    <row r="431" spans="13:19" s="1738" customFormat="1">
      <c r="M431" s="1743"/>
      <c r="Q431" s="1743"/>
      <c r="R431" s="1743"/>
      <c r="S431" s="1743"/>
    </row>
    <row r="432" spans="13:19" s="1738" customFormat="1">
      <c r="M432" s="1743"/>
      <c r="Q432" s="1743"/>
      <c r="R432" s="1743"/>
      <c r="S432" s="1743"/>
    </row>
    <row r="433" spans="13:19" s="1738" customFormat="1">
      <c r="M433" s="1743"/>
      <c r="Q433" s="1743"/>
      <c r="R433" s="1743"/>
      <c r="S433" s="1743"/>
    </row>
    <row r="434" spans="13:19" s="1738" customFormat="1">
      <c r="M434" s="1743"/>
      <c r="Q434" s="1743"/>
      <c r="R434" s="1743"/>
      <c r="S434" s="1743"/>
    </row>
    <row r="435" spans="13:19" s="1738" customFormat="1">
      <c r="M435" s="1743"/>
      <c r="Q435" s="1743"/>
      <c r="R435" s="1743"/>
      <c r="S435" s="1743"/>
    </row>
    <row r="436" spans="13:19" s="1738" customFormat="1">
      <c r="M436" s="1743"/>
      <c r="Q436" s="1743"/>
      <c r="R436" s="1743"/>
      <c r="S436" s="1743"/>
    </row>
    <row r="437" spans="13:19" s="1738" customFormat="1">
      <c r="M437" s="1743"/>
      <c r="Q437" s="1743"/>
      <c r="R437" s="1743"/>
      <c r="S437" s="1743"/>
    </row>
    <row r="438" spans="13:19" s="1738" customFormat="1">
      <c r="M438" s="1743"/>
      <c r="Q438" s="1743"/>
      <c r="R438" s="1743"/>
      <c r="S438" s="1743"/>
    </row>
    <row r="439" spans="13:19" s="1738" customFormat="1">
      <c r="M439" s="1743"/>
      <c r="Q439" s="1743"/>
      <c r="R439" s="1743"/>
      <c r="S439" s="1743"/>
    </row>
    <row r="440" spans="13:19" s="1738" customFormat="1">
      <c r="M440" s="1743"/>
      <c r="Q440" s="1743"/>
      <c r="R440" s="1743"/>
      <c r="S440" s="1743"/>
    </row>
    <row r="441" spans="13:19" s="1738" customFormat="1">
      <c r="M441" s="1743"/>
      <c r="Q441" s="1743"/>
      <c r="R441" s="1743"/>
      <c r="S441" s="1743"/>
    </row>
    <row r="442" spans="13:19" s="1738" customFormat="1">
      <c r="M442" s="1743"/>
      <c r="Q442" s="1743"/>
      <c r="R442" s="1743"/>
      <c r="S442" s="1743"/>
    </row>
    <row r="443" spans="13:19" s="1738" customFormat="1">
      <c r="M443" s="1743"/>
      <c r="Q443" s="1743"/>
      <c r="R443" s="1743"/>
      <c r="S443" s="1743"/>
    </row>
    <row r="444" spans="13:19" s="1738" customFormat="1">
      <c r="M444" s="1743"/>
      <c r="Q444" s="1743"/>
      <c r="R444" s="1743"/>
      <c r="S444" s="1743"/>
    </row>
    <row r="445" spans="13:19" s="1738" customFormat="1">
      <c r="M445" s="1743"/>
      <c r="Q445" s="1743"/>
      <c r="R445" s="1743"/>
      <c r="S445" s="1743"/>
    </row>
    <row r="446" spans="13:19" s="1738" customFormat="1">
      <c r="M446" s="1743"/>
      <c r="Q446" s="1743"/>
      <c r="R446" s="1743"/>
      <c r="S446" s="1743"/>
    </row>
    <row r="447" spans="13:19" s="1738" customFormat="1">
      <c r="M447" s="1743"/>
      <c r="Q447" s="1743"/>
      <c r="R447" s="1743"/>
      <c r="S447" s="1743"/>
    </row>
    <row r="448" spans="13:19" s="1738" customFormat="1">
      <c r="M448" s="1743"/>
      <c r="Q448" s="1743"/>
      <c r="R448" s="1743"/>
      <c r="S448" s="1743"/>
    </row>
    <row r="449" spans="13:19" s="1738" customFormat="1">
      <c r="M449" s="1743"/>
      <c r="Q449" s="1743"/>
      <c r="R449" s="1743"/>
      <c r="S449" s="1743"/>
    </row>
    <row r="450" spans="13:19" s="1738" customFormat="1">
      <c r="M450" s="1743"/>
      <c r="Q450" s="1743"/>
      <c r="R450" s="1743"/>
      <c r="S450" s="1743"/>
    </row>
    <row r="451" spans="13:19" s="1738" customFormat="1">
      <c r="M451" s="1743"/>
      <c r="Q451" s="1743"/>
      <c r="R451" s="1743"/>
      <c r="S451" s="1743"/>
    </row>
    <row r="452" spans="13:19" s="1738" customFormat="1">
      <c r="M452" s="1743"/>
      <c r="Q452" s="1743"/>
      <c r="R452" s="1743"/>
      <c r="S452" s="1743"/>
    </row>
    <row r="453" spans="13:19" s="1738" customFormat="1">
      <c r="M453" s="1743"/>
      <c r="Q453" s="1743"/>
      <c r="R453" s="1743"/>
      <c r="S453" s="1743"/>
    </row>
    <row r="454" spans="13:19" s="1738" customFormat="1">
      <c r="M454" s="1743"/>
      <c r="Q454" s="1743"/>
      <c r="R454" s="1743"/>
      <c r="S454" s="1743"/>
    </row>
    <row r="455" spans="13:19" s="1738" customFormat="1">
      <c r="M455" s="1743"/>
      <c r="Q455" s="1743"/>
      <c r="R455" s="1743"/>
      <c r="S455" s="1743"/>
    </row>
    <row r="456" spans="13:19" s="1738" customFormat="1">
      <c r="M456" s="1743"/>
      <c r="Q456" s="1743"/>
      <c r="R456" s="1743"/>
      <c r="S456" s="1743"/>
    </row>
    <row r="457" spans="13:19" s="1738" customFormat="1">
      <c r="M457" s="1743"/>
      <c r="Q457" s="1743"/>
      <c r="R457" s="1743"/>
      <c r="S457" s="1743"/>
    </row>
    <row r="458" spans="13:19" s="1738" customFormat="1">
      <c r="M458" s="1743"/>
      <c r="Q458" s="1743"/>
      <c r="R458" s="1743"/>
      <c r="S458" s="1743"/>
    </row>
    <row r="459" spans="13:19" s="1738" customFormat="1">
      <c r="M459" s="1743"/>
      <c r="Q459" s="1743"/>
      <c r="R459" s="1743"/>
      <c r="S459" s="1743"/>
    </row>
    <row r="460" spans="13:19" s="1738" customFormat="1">
      <c r="M460" s="1743"/>
      <c r="Q460" s="1743"/>
      <c r="R460" s="1743"/>
      <c r="S460" s="1743"/>
    </row>
    <row r="461" spans="13:19" s="1738" customFormat="1">
      <c r="M461" s="1743"/>
      <c r="Q461" s="1743"/>
      <c r="R461" s="1743"/>
      <c r="S461" s="1743"/>
    </row>
    <row r="462" spans="13:19" s="1738" customFormat="1">
      <c r="M462" s="1743"/>
      <c r="Q462" s="1743"/>
      <c r="R462" s="1743"/>
      <c r="S462" s="1743"/>
    </row>
    <row r="463" spans="13:19" s="1738" customFormat="1">
      <c r="M463" s="1743"/>
      <c r="Q463" s="1743"/>
      <c r="R463" s="1743"/>
      <c r="S463" s="1743"/>
    </row>
    <row r="464" spans="13:19" s="1738" customFormat="1">
      <c r="M464" s="1743"/>
      <c r="Q464" s="1743"/>
      <c r="R464" s="1743"/>
      <c r="S464" s="1743"/>
    </row>
    <row r="465" spans="13:19" s="1738" customFormat="1">
      <c r="M465" s="1743"/>
      <c r="Q465" s="1743"/>
      <c r="R465" s="1743"/>
      <c r="S465" s="1743"/>
    </row>
    <row r="466" spans="13:19" s="1738" customFormat="1">
      <c r="M466" s="1743"/>
      <c r="Q466" s="1743"/>
      <c r="R466" s="1743"/>
      <c r="S466" s="1743"/>
    </row>
    <row r="467" spans="13:19" s="1738" customFormat="1">
      <c r="M467" s="1743"/>
      <c r="Q467" s="1743"/>
      <c r="R467" s="1743"/>
      <c r="S467" s="1743"/>
    </row>
    <row r="468" spans="13:19" s="1738" customFormat="1">
      <c r="M468" s="1743"/>
      <c r="Q468" s="1743"/>
      <c r="R468" s="1743"/>
      <c r="S468" s="1743"/>
    </row>
    <row r="469" spans="13:19" s="1738" customFormat="1">
      <c r="M469" s="1743"/>
      <c r="Q469" s="1743"/>
      <c r="R469" s="1743"/>
      <c r="S469" s="1743"/>
    </row>
    <row r="470" spans="13:19" s="1738" customFormat="1">
      <c r="M470" s="1743"/>
      <c r="Q470" s="1743"/>
      <c r="R470" s="1743"/>
      <c r="S470" s="1743"/>
    </row>
    <row r="471" spans="13:19" s="1738" customFormat="1">
      <c r="M471" s="1743"/>
      <c r="Q471" s="1743"/>
      <c r="R471" s="1743"/>
      <c r="S471" s="1743"/>
    </row>
    <row r="472" spans="13:19" s="1738" customFormat="1">
      <c r="M472" s="1743"/>
      <c r="Q472" s="1743"/>
      <c r="R472" s="1743"/>
      <c r="S472" s="1743"/>
    </row>
    <row r="473" spans="13:19" s="1738" customFormat="1">
      <c r="M473" s="1743"/>
      <c r="Q473" s="1743"/>
      <c r="R473" s="1743"/>
      <c r="S473" s="1743"/>
    </row>
    <row r="474" spans="13:19" s="1738" customFormat="1">
      <c r="M474" s="1743"/>
      <c r="Q474" s="1743"/>
      <c r="R474" s="1743"/>
      <c r="S474" s="1743"/>
    </row>
    <row r="475" spans="13:19" s="1738" customFormat="1">
      <c r="M475" s="1743"/>
      <c r="Q475" s="1743"/>
      <c r="R475" s="1743"/>
      <c r="S475" s="1743"/>
    </row>
    <row r="476" spans="13:19" s="1738" customFormat="1">
      <c r="M476" s="1743"/>
      <c r="Q476" s="1743"/>
      <c r="R476" s="1743"/>
      <c r="S476" s="1743"/>
    </row>
    <row r="477" spans="13:19" s="1738" customFormat="1">
      <c r="M477" s="1743"/>
      <c r="Q477" s="1743"/>
      <c r="R477" s="1743"/>
      <c r="S477" s="1743"/>
    </row>
    <row r="478" spans="13:19" s="1738" customFormat="1">
      <c r="M478" s="1743"/>
      <c r="Q478" s="1743"/>
      <c r="R478" s="1743"/>
      <c r="S478" s="1743"/>
    </row>
    <row r="479" spans="13:19" s="1738" customFormat="1">
      <c r="M479" s="1743"/>
      <c r="Q479" s="1743"/>
      <c r="R479" s="1743"/>
      <c r="S479" s="1743"/>
    </row>
    <row r="480" spans="13:19" s="1738" customFormat="1">
      <c r="M480" s="1743"/>
      <c r="Q480" s="1743"/>
      <c r="R480" s="1743"/>
      <c r="S480" s="1743"/>
    </row>
    <row r="481" spans="13:19" s="1738" customFormat="1">
      <c r="M481" s="1743"/>
      <c r="Q481" s="1743"/>
      <c r="R481" s="1743"/>
      <c r="S481" s="1743"/>
    </row>
    <row r="482" spans="13:19" s="1738" customFormat="1">
      <c r="M482" s="1743"/>
      <c r="Q482" s="1743"/>
      <c r="R482" s="1743"/>
      <c r="S482" s="1743"/>
    </row>
    <row r="483" spans="13:19" s="1738" customFormat="1">
      <c r="M483" s="1743"/>
      <c r="Q483" s="1743"/>
      <c r="R483" s="1743"/>
      <c r="S483" s="1743"/>
    </row>
    <row r="484" spans="13:19" s="1738" customFormat="1">
      <c r="M484" s="1743"/>
      <c r="Q484" s="1743"/>
      <c r="R484" s="1743"/>
      <c r="S484" s="1743"/>
    </row>
    <row r="485" spans="13:19" s="1738" customFormat="1">
      <c r="M485" s="1743"/>
      <c r="Q485" s="1743"/>
      <c r="R485" s="1743"/>
      <c r="S485" s="1743"/>
    </row>
    <row r="486" spans="13:19" s="1738" customFormat="1">
      <c r="M486" s="1743"/>
      <c r="Q486" s="1743"/>
      <c r="R486" s="1743"/>
      <c r="S486" s="1743"/>
    </row>
    <row r="487" spans="13:19" s="1738" customFormat="1">
      <c r="M487" s="1743"/>
      <c r="Q487" s="1743"/>
      <c r="R487" s="1743"/>
      <c r="S487" s="1743"/>
    </row>
    <row r="488" spans="13:19" s="1738" customFormat="1">
      <c r="M488" s="1743"/>
      <c r="Q488" s="1743"/>
      <c r="R488" s="1743"/>
      <c r="S488" s="1743"/>
    </row>
    <row r="489" spans="13:19" s="1738" customFormat="1">
      <c r="M489" s="1743"/>
      <c r="Q489" s="1743"/>
      <c r="R489" s="1743"/>
      <c r="S489" s="1743"/>
    </row>
    <row r="490" spans="13:19" s="1738" customFormat="1">
      <c r="M490" s="1743"/>
      <c r="Q490" s="1743"/>
      <c r="R490" s="1743"/>
      <c r="S490" s="1743"/>
    </row>
    <row r="491" spans="13:19" s="1738" customFormat="1">
      <c r="M491" s="1743"/>
      <c r="Q491" s="1743"/>
      <c r="R491" s="1743"/>
      <c r="S491" s="1743"/>
    </row>
    <row r="492" spans="13:19" s="1738" customFormat="1">
      <c r="M492" s="1743"/>
      <c r="Q492" s="1743"/>
      <c r="R492" s="1743"/>
      <c r="S492" s="1743"/>
    </row>
    <row r="493" spans="13:19" s="1738" customFormat="1">
      <c r="M493" s="1743"/>
      <c r="Q493" s="1743"/>
      <c r="R493" s="1743"/>
      <c r="S493" s="1743"/>
    </row>
    <row r="494" spans="13:19" s="1738" customFormat="1">
      <c r="M494" s="1743"/>
      <c r="Q494" s="1743"/>
      <c r="R494" s="1743"/>
      <c r="S494" s="1743"/>
    </row>
    <row r="495" spans="13:19" s="1738" customFormat="1">
      <c r="M495" s="1743"/>
      <c r="Q495" s="1743"/>
      <c r="R495" s="1743"/>
      <c r="S495" s="1743"/>
    </row>
    <row r="496" spans="13:19" s="1738" customFormat="1">
      <c r="M496" s="1743"/>
      <c r="Q496" s="1743"/>
      <c r="R496" s="1743"/>
      <c r="S496" s="1743"/>
    </row>
    <row r="497" spans="13:19" s="1738" customFormat="1">
      <c r="M497" s="1743"/>
      <c r="Q497" s="1743"/>
      <c r="R497" s="1743"/>
      <c r="S497" s="1743"/>
    </row>
    <row r="498" spans="13:19" s="1738" customFormat="1">
      <c r="M498" s="1743"/>
      <c r="Q498" s="1743"/>
      <c r="R498" s="1743"/>
      <c r="S498" s="1743"/>
    </row>
    <row r="499" spans="13:19" s="1738" customFormat="1">
      <c r="M499" s="1743"/>
      <c r="Q499" s="1743"/>
      <c r="R499" s="1743"/>
      <c r="S499" s="1743"/>
    </row>
    <row r="500" spans="13:19" s="1738" customFormat="1">
      <c r="M500" s="1743"/>
      <c r="Q500" s="1743"/>
      <c r="R500" s="1743"/>
      <c r="S500" s="1743"/>
    </row>
    <row r="501" spans="13:19" s="1738" customFormat="1">
      <c r="M501" s="1743"/>
      <c r="Q501" s="1743"/>
      <c r="R501" s="1743"/>
      <c r="S501" s="1743"/>
    </row>
    <row r="502" spans="13:19" s="1738" customFormat="1">
      <c r="M502" s="1743"/>
      <c r="Q502" s="1743"/>
      <c r="R502" s="1743"/>
      <c r="S502" s="1743"/>
    </row>
    <row r="503" spans="13:19" s="1738" customFormat="1">
      <c r="M503" s="1743"/>
      <c r="Q503" s="1743"/>
      <c r="R503" s="1743"/>
      <c r="S503" s="1743"/>
    </row>
    <row r="504" spans="13:19" s="1738" customFormat="1">
      <c r="M504" s="1743"/>
      <c r="Q504" s="1743"/>
      <c r="R504" s="1743"/>
      <c r="S504" s="1743"/>
    </row>
    <row r="505" spans="13:19" s="1738" customFormat="1">
      <c r="M505" s="1743"/>
      <c r="Q505" s="1743"/>
      <c r="R505" s="1743"/>
      <c r="S505" s="1743"/>
    </row>
    <row r="506" spans="13:19" s="1738" customFormat="1">
      <c r="M506" s="1743"/>
      <c r="Q506" s="1743"/>
      <c r="R506" s="1743"/>
      <c r="S506" s="1743"/>
    </row>
    <row r="507" spans="13:19" s="1738" customFormat="1">
      <c r="M507" s="1743"/>
      <c r="Q507" s="1743"/>
      <c r="R507" s="1743"/>
      <c r="S507" s="1743"/>
    </row>
    <row r="508" spans="13:19" s="1738" customFormat="1">
      <c r="M508" s="1743"/>
      <c r="Q508" s="1743"/>
      <c r="R508" s="1743"/>
      <c r="S508" s="1743"/>
    </row>
    <row r="509" spans="13:19" s="1738" customFormat="1">
      <c r="M509" s="1743"/>
      <c r="Q509" s="1743"/>
      <c r="R509" s="1743"/>
      <c r="S509" s="1743"/>
    </row>
    <row r="510" spans="13:19" s="1738" customFormat="1">
      <c r="M510" s="1743"/>
      <c r="Q510" s="1743"/>
      <c r="R510" s="1743"/>
      <c r="S510" s="1743"/>
    </row>
    <row r="511" spans="13:19" s="1738" customFormat="1">
      <c r="M511" s="1743"/>
      <c r="Q511" s="1743"/>
      <c r="R511" s="1743"/>
      <c r="S511" s="1743"/>
    </row>
    <row r="512" spans="13:19" s="1738" customFormat="1">
      <c r="M512" s="1743"/>
      <c r="Q512" s="1743"/>
      <c r="R512" s="1743"/>
      <c r="S512" s="1743"/>
    </row>
    <row r="513" spans="13:19" s="1738" customFormat="1">
      <c r="M513" s="1743"/>
      <c r="Q513" s="1743"/>
      <c r="R513" s="1743"/>
      <c r="S513" s="1743"/>
    </row>
    <row r="514" spans="13:19" s="1738" customFormat="1">
      <c r="M514" s="1743"/>
      <c r="Q514" s="1743"/>
      <c r="R514" s="1743"/>
      <c r="S514" s="1743"/>
    </row>
    <row r="515" spans="13:19" s="1738" customFormat="1">
      <c r="M515" s="1743"/>
      <c r="Q515" s="1743"/>
      <c r="R515" s="1743"/>
      <c r="S515" s="1743"/>
    </row>
    <row r="516" spans="13:19" s="1738" customFormat="1">
      <c r="M516" s="1743"/>
      <c r="Q516" s="1743"/>
      <c r="R516" s="1743"/>
      <c r="S516" s="1743"/>
    </row>
    <row r="517" spans="13:19" s="1738" customFormat="1">
      <c r="M517" s="1743"/>
      <c r="Q517" s="1743"/>
      <c r="R517" s="1743"/>
      <c r="S517" s="1743"/>
    </row>
    <row r="518" spans="13:19" s="1738" customFormat="1">
      <c r="M518" s="1743"/>
      <c r="Q518" s="1743"/>
      <c r="R518" s="1743"/>
      <c r="S518" s="1743"/>
    </row>
    <row r="519" spans="13:19" s="1738" customFormat="1">
      <c r="M519" s="1743"/>
      <c r="Q519" s="1743"/>
      <c r="R519" s="1743"/>
      <c r="S519" s="1743"/>
    </row>
    <row r="520" spans="13:19" s="1738" customFormat="1">
      <c r="M520" s="1743"/>
      <c r="Q520" s="1743"/>
      <c r="R520" s="1743"/>
      <c r="S520" s="1743"/>
    </row>
    <row r="521" spans="13:19" s="1738" customFormat="1">
      <c r="M521" s="1743"/>
      <c r="Q521" s="1743"/>
      <c r="R521" s="1743"/>
      <c r="S521" s="1743"/>
    </row>
    <row r="522" spans="13:19" s="1738" customFormat="1">
      <c r="M522" s="1743"/>
      <c r="Q522" s="1743"/>
      <c r="R522" s="1743"/>
      <c r="S522" s="1743"/>
    </row>
    <row r="523" spans="13:19" s="1738" customFormat="1">
      <c r="M523" s="1743"/>
      <c r="Q523" s="1743"/>
      <c r="R523" s="1743"/>
      <c r="S523" s="1743"/>
    </row>
    <row r="524" spans="13:19" s="1738" customFormat="1">
      <c r="M524" s="1743"/>
      <c r="Q524" s="1743"/>
      <c r="R524" s="1743"/>
      <c r="S524" s="1743"/>
    </row>
    <row r="525" spans="13:19" s="1738" customFormat="1">
      <c r="M525" s="1743"/>
      <c r="Q525" s="1743"/>
      <c r="R525" s="1743"/>
      <c r="S525" s="1743"/>
    </row>
    <row r="526" spans="13:19" s="1738" customFormat="1">
      <c r="M526" s="1743"/>
      <c r="Q526" s="1743"/>
      <c r="R526" s="1743"/>
      <c r="S526" s="1743"/>
    </row>
    <row r="527" spans="13:19" s="1738" customFormat="1">
      <c r="M527" s="1743"/>
      <c r="Q527" s="1743"/>
      <c r="R527" s="1743"/>
      <c r="S527" s="1743"/>
    </row>
    <row r="528" spans="13:19" s="1738" customFormat="1">
      <c r="M528" s="1743"/>
      <c r="Q528" s="1743"/>
      <c r="R528" s="1743"/>
      <c r="S528" s="1743"/>
    </row>
    <row r="529" spans="13:19" s="1738" customFormat="1">
      <c r="M529" s="1743"/>
      <c r="Q529" s="1743"/>
      <c r="R529" s="1743"/>
      <c r="S529" s="1743"/>
    </row>
    <row r="530" spans="13:19" s="1738" customFormat="1">
      <c r="M530" s="1743"/>
      <c r="Q530" s="1743"/>
      <c r="R530" s="1743"/>
      <c r="S530" s="1743"/>
    </row>
    <row r="531" spans="13:19" s="1738" customFormat="1">
      <c r="M531" s="1743"/>
      <c r="Q531" s="1743"/>
      <c r="R531" s="1743"/>
      <c r="S531" s="1743"/>
    </row>
    <row r="532" spans="13:19" s="1738" customFormat="1">
      <c r="M532" s="1743"/>
      <c r="Q532" s="1743"/>
      <c r="R532" s="1743"/>
      <c r="S532" s="1743"/>
    </row>
    <row r="533" spans="13:19" s="1738" customFormat="1">
      <c r="M533" s="1743"/>
      <c r="Q533" s="1743"/>
      <c r="R533" s="1743"/>
      <c r="S533" s="1743"/>
    </row>
    <row r="534" spans="13:19" s="1738" customFormat="1">
      <c r="M534" s="1743"/>
      <c r="Q534" s="1743"/>
      <c r="R534" s="1743"/>
      <c r="S534" s="1743"/>
    </row>
    <row r="535" spans="13:19" s="1738" customFormat="1">
      <c r="M535" s="1743"/>
      <c r="Q535" s="1743"/>
      <c r="R535" s="1743"/>
      <c r="S535" s="1743"/>
    </row>
    <row r="536" spans="13:19" s="1738" customFormat="1">
      <c r="M536" s="1743"/>
      <c r="Q536" s="1743"/>
      <c r="R536" s="1743"/>
      <c r="S536" s="1743"/>
    </row>
    <row r="537" spans="13:19" s="1738" customFormat="1">
      <c r="M537" s="1743"/>
      <c r="Q537" s="1743"/>
      <c r="R537" s="1743"/>
      <c r="S537" s="1743"/>
    </row>
    <row r="538" spans="13:19" s="1738" customFormat="1">
      <c r="M538" s="1743"/>
      <c r="Q538" s="1743"/>
      <c r="R538" s="1743"/>
      <c r="S538" s="1743"/>
    </row>
    <row r="539" spans="13:19" s="1738" customFormat="1">
      <c r="M539" s="1743"/>
      <c r="Q539" s="1743"/>
      <c r="R539" s="1743"/>
      <c r="S539" s="1743"/>
    </row>
    <row r="540" spans="13:19" s="1738" customFormat="1">
      <c r="M540" s="1743"/>
      <c r="Q540" s="1743"/>
      <c r="R540" s="1743"/>
      <c r="S540" s="1743"/>
    </row>
    <row r="541" spans="13:19" s="1738" customFormat="1">
      <c r="M541" s="1743"/>
      <c r="Q541" s="1743"/>
      <c r="R541" s="1743"/>
      <c r="S541" s="1743"/>
    </row>
    <row r="542" spans="13:19" s="1738" customFormat="1">
      <c r="M542" s="1743"/>
      <c r="Q542" s="1743"/>
      <c r="R542" s="1743"/>
      <c r="S542" s="1743"/>
    </row>
    <row r="543" spans="13:19" s="1738" customFormat="1">
      <c r="M543" s="1743"/>
      <c r="Q543" s="1743"/>
      <c r="R543" s="1743"/>
      <c r="S543" s="1743"/>
    </row>
    <row r="544" spans="13:19" s="1738" customFormat="1">
      <c r="M544" s="1743"/>
      <c r="Q544" s="1743"/>
      <c r="R544" s="1743"/>
      <c r="S544" s="1743"/>
    </row>
    <row r="545" spans="13:19" s="1738" customFormat="1">
      <c r="M545" s="1743"/>
      <c r="Q545" s="1743"/>
      <c r="R545" s="1743"/>
      <c r="S545" s="1743"/>
    </row>
    <row r="546" spans="13:19" s="1738" customFormat="1">
      <c r="M546" s="1743"/>
      <c r="Q546" s="1743"/>
      <c r="R546" s="1743"/>
      <c r="S546" s="1743"/>
    </row>
    <row r="547" spans="13:19" s="1738" customFormat="1">
      <c r="M547" s="1743"/>
      <c r="Q547" s="1743"/>
      <c r="R547" s="1743"/>
      <c r="S547" s="1743"/>
    </row>
    <row r="548" spans="13:19" s="1738" customFormat="1">
      <c r="M548" s="1743"/>
      <c r="Q548" s="1743"/>
      <c r="R548" s="1743"/>
      <c r="S548" s="1743"/>
    </row>
    <row r="549" spans="13:19" s="1738" customFormat="1">
      <c r="M549" s="1743"/>
      <c r="Q549" s="1743"/>
      <c r="R549" s="1743"/>
      <c r="S549" s="1743"/>
    </row>
    <row r="550" spans="13:19" s="1738" customFormat="1">
      <c r="M550" s="1743"/>
      <c r="Q550" s="1743"/>
      <c r="R550" s="1743"/>
      <c r="S550" s="1743"/>
    </row>
    <row r="551" spans="13:19" s="1738" customFormat="1">
      <c r="M551" s="1743"/>
      <c r="Q551" s="1743"/>
      <c r="R551" s="1743"/>
      <c r="S551" s="1743"/>
    </row>
    <row r="552" spans="13:19" s="1738" customFormat="1">
      <c r="M552" s="1743"/>
      <c r="Q552" s="1743"/>
      <c r="R552" s="1743"/>
      <c r="S552" s="1743"/>
    </row>
    <row r="553" spans="13:19" s="1738" customFormat="1">
      <c r="M553" s="1743"/>
      <c r="Q553" s="1743"/>
      <c r="R553" s="1743"/>
      <c r="S553" s="1743"/>
    </row>
    <row r="554" spans="13:19" s="1738" customFormat="1">
      <c r="M554" s="1743"/>
      <c r="Q554" s="1743"/>
      <c r="R554" s="1743"/>
      <c r="S554" s="1743"/>
    </row>
    <row r="555" spans="13:19" s="1738" customFormat="1">
      <c r="M555" s="1743"/>
      <c r="Q555" s="1743"/>
      <c r="R555" s="1743"/>
      <c r="S555" s="1743"/>
    </row>
    <row r="556" spans="13:19" s="1738" customFormat="1">
      <c r="M556" s="1743"/>
      <c r="Q556" s="1743"/>
      <c r="R556" s="1743"/>
      <c r="S556" s="1743"/>
    </row>
    <row r="557" spans="13:19" s="1738" customFormat="1">
      <c r="M557" s="1743"/>
      <c r="Q557" s="1743"/>
      <c r="R557" s="1743"/>
      <c r="S557" s="1743"/>
    </row>
    <row r="558" spans="13:19" s="1738" customFormat="1">
      <c r="M558" s="1743"/>
      <c r="Q558" s="1743"/>
      <c r="R558" s="1743"/>
      <c r="S558" s="1743"/>
    </row>
    <row r="559" spans="13:19" s="1738" customFormat="1">
      <c r="M559" s="1743"/>
      <c r="Q559" s="1743"/>
      <c r="R559" s="1743"/>
      <c r="S559" s="1743"/>
    </row>
    <row r="560" spans="13:19" s="1738" customFormat="1">
      <c r="M560" s="1743"/>
      <c r="Q560" s="1743"/>
      <c r="R560" s="1743"/>
      <c r="S560" s="1743"/>
    </row>
    <row r="561" spans="13:19" s="1738" customFormat="1">
      <c r="M561" s="1743"/>
      <c r="Q561" s="1743"/>
      <c r="R561" s="1743"/>
      <c r="S561" s="1743"/>
    </row>
    <row r="562" spans="13:19" s="1738" customFormat="1">
      <c r="M562" s="1743"/>
      <c r="Q562" s="1743"/>
      <c r="R562" s="1743"/>
      <c r="S562" s="1743"/>
    </row>
    <row r="563" spans="13:19" s="1738" customFormat="1">
      <c r="M563" s="1743"/>
      <c r="Q563" s="1743"/>
      <c r="R563" s="1743"/>
      <c r="S563" s="1743"/>
    </row>
    <row r="564" spans="13:19" s="1738" customFormat="1">
      <c r="M564" s="1743"/>
      <c r="Q564" s="1743"/>
      <c r="R564" s="1743"/>
      <c r="S564" s="1743"/>
    </row>
    <row r="565" spans="13:19" s="1738" customFormat="1">
      <c r="M565" s="1743"/>
      <c r="Q565" s="1743"/>
      <c r="R565" s="1743"/>
      <c r="S565" s="1743"/>
    </row>
    <row r="566" spans="13:19" s="1738" customFormat="1">
      <c r="M566" s="1743"/>
      <c r="Q566" s="1743"/>
      <c r="R566" s="1743"/>
      <c r="S566" s="1743"/>
    </row>
    <row r="567" spans="13:19" s="1738" customFormat="1">
      <c r="M567" s="1743"/>
      <c r="Q567" s="1743"/>
      <c r="R567" s="1743"/>
      <c r="S567" s="1743"/>
    </row>
    <row r="568" spans="13:19" s="1738" customFormat="1">
      <c r="M568" s="1743"/>
      <c r="Q568" s="1743"/>
      <c r="R568" s="1743"/>
      <c r="S568" s="1743"/>
    </row>
    <row r="569" spans="13:19" s="1738" customFormat="1">
      <c r="M569" s="1743"/>
      <c r="Q569" s="1743"/>
      <c r="R569" s="1743"/>
      <c r="S569" s="1743"/>
    </row>
    <row r="570" spans="13:19" s="1738" customFormat="1">
      <c r="M570" s="1743"/>
      <c r="Q570" s="1743"/>
      <c r="R570" s="1743"/>
      <c r="S570" s="1743"/>
    </row>
    <row r="571" spans="13:19" s="1738" customFormat="1">
      <c r="M571" s="1743"/>
      <c r="Q571" s="1743"/>
      <c r="R571" s="1743"/>
      <c r="S571" s="1743"/>
    </row>
    <row r="572" spans="13:19" s="1738" customFormat="1">
      <c r="M572" s="1743"/>
      <c r="Q572" s="1743"/>
      <c r="R572" s="1743"/>
      <c r="S572" s="1743"/>
    </row>
    <row r="573" spans="13:19" s="1738" customFormat="1">
      <c r="M573" s="1743"/>
      <c r="Q573" s="1743"/>
      <c r="R573" s="1743"/>
      <c r="S573" s="1743"/>
    </row>
    <row r="574" spans="13:19" s="1738" customFormat="1">
      <c r="M574" s="1743"/>
      <c r="Q574" s="1743"/>
      <c r="R574" s="1743"/>
      <c r="S574" s="1743"/>
    </row>
    <row r="575" spans="13:19" s="1738" customFormat="1">
      <c r="M575" s="1743"/>
      <c r="Q575" s="1743"/>
      <c r="R575" s="1743"/>
      <c r="S575" s="1743"/>
    </row>
    <row r="576" spans="13:19" s="1738" customFormat="1">
      <c r="M576" s="1743"/>
      <c r="Q576" s="1743"/>
      <c r="R576" s="1743"/>
      <c r="S576" s="1743"/>
    </row>
    <row r="577" spans="13:19" s="1738" customFormat="1">
      <c r="M577" s="1743"/>
      <c r="Q577" s="1743"/>
      <c r="R577" s="1743"/>
      <c r="S577" s="1743"/>
    </row>
    <row r="578" spans="13:19" s="1738" customFormat="1">
      <c r="M578" s="1743"/>
      <c r="Q578" s="1743"/>
      <c r="R578" s="1743"/>
      <c r="S578" s="1743"/>
    </row>
    <row r="579" spans="13:19" s="1738" customFormat="1">
      <c r="M579" s="1743"/>
      <c r="Q579" s="1743"/>
      <c r="R579" s="1743"/>
      <c r="S579" s="1743"/>
    </row>
    <row r="580" spans="13:19" s="1738" customFormat="1">
      <c r="M580" s="1743"/>
      <c r="Q580" s="1743"/>
      <c r="R580" s="1743"/>
      <c r="S580" s="1743"/>
    </row>
    <row r="581" spans="13:19" s="1738" customFormat="1">
      <c r="M581" s="1743"/>
      <c r="Q581" s="1743"/>
      <c r="R581" s="1743"/>
      <c r="S581" s="1743"/>
    </row>
    <row r="582" spans="13:19" s="1738" customFormat="1">
      <c r="M582" s="1743"/>
      <c r="Q582" s="1743"/>
      <c r="R582" s="1743"/>
      <c r="S582" s="1743"/>
    </row>
    <row r="583" spans="13:19" s="1738" customFormat="1">
      <c r="M583" s="1743"/>
      <c r="Q583" s="1743"/>
      <c r="R583" s="1743"/>
      <c r="S583" s="1743"/>
    </row>
    <row r="584" spans="13:19" s="1738" customFormat="1">
      <c r="M584" s="1743"/>
      <c r="Q584" s="1743"/>
      <c r="R584" s="1743"/>
      <c r="S584" s="1743"/>
    </row>
    <row r="585" spans="13:19" s="1738" customFormat="1">
      <c r="M585" s="1743"/>
      <c r="Q585" s="1743"/>
      <c r="R585" s="1743"/>
      <c r="S585" s="1743"/>
    </row>
    <row r="586" spans="13:19" s="1738" customFormat="1">
      <c r="M586" s="1743"/>
      <c r="Q586" s="1743"/>
      <c r="R586" s="1743"/>
      <c r="S586" s="1743"/>
    </row>
    <row r="587" spans="13:19" s="1738" customFormat="1">
      <c r="M587" s="1743"/>
      <c r="Q587" s="1743"/>
      <c r="R587" s="1743"/>
      <c r="S587" s="1743"/>
    </row>
    <row r="588" spans="13:19" s="1738" customFormat="1">
      <c r="M588" s="1743"/>
      <c r="Q588" s="1743"/>
      <c r="R588" s="1743"/>
      <c r="S588" s="1743"/>
    </row>
    <row r="589" spans="13:19" s="1738" customFormat="1">
      <c r="M589" s="1743"/>
      <c r="Q589" s="1743"/>
      <c r="R589" s="1743"/>
      <c r="S589" s="1743"/>
    </row>
    <row r="590" spans="13:19" s="1738" customFormat="1">
      <c r="M590" s="1743"/>
      <c r="Q590" s="1743"/>
      <c r="R590" s="1743"/>
      <c r="S590" s="1743"/>
    </row>
    <row r="591" spans="13:19" s="1738" customFormat="1">
      <c r="M591" s="1743"/>
      <c r="Q591" s="1743"/>
      <c r="R591" s="1743"/>
      <c r="S591" s="1743"/>
    </row>
    <row r="592" spans="13:19" s="1738" customFormat="1">
      <c r="M592" s="1743"/>
      <c r="Q592" s="1743"/>
      <c r="R592" s="1743"/>
      <c r="S592" s="1743"/>
    </row>
    <row r="593" spans="13:19" s="1738" customFormat="1">
      <c r="M593" s="1743"/>
      <c r="Q593" s="1743"/>
      <c r="R593" s="1743"/>
      <c r="S593" s="1743"/>
    </row>
    <row r="594" spans="13:19" s="1738" customFormat="1">
      <c r="M594" s="1743"/>
      <c r="Q594" s="1743"/>
      <c r="R594" s="1743"/>
      <c r="S594" s="1743"/>
    </row>
    <row r="595" spans="13:19" s="1738" customFormat="1">
      <c r="M595" s="1743"/>
      <c r="Q595" s="1743"/>
      <c r="R595" s="1743"/>
      <c r="S595" s="1743"/>
    </row>
    <row r="596" spans="13:19" s="1738" customFormat="1">
      <c r="M596" s="1743"/>
      <c r="Q596" s="1743"/>
      <c r="R596" s="1743"/>
      <c r="S596" s="1743"/>
    </row>
    <row r="597" spans="13:19" s="1738" customFormat="1">
      <c r="M597" s="1743"/>
      <c r="Q597" s="1743"/>
      <c r="R597" s="1743"/>
      <c r="S597" s="1743"/>
    </row>
    <row r="598" spans="13:19" s="1738" customFormat="1">
      <c r="M598" s="1743"/>
      <c r="Q598" s="1743"/>
      <c r="R598" s="1743"/>
      <c r="S598" s="1743"/>
    </row>
    <row r="599" spans="13:19" s="1738" customFormat="1">
      <c r="M599" s="1743"/>
      <c r="Q599" s="1743"/>
      <c r="R599" s="1743"/>
      <c r="S599" s="1743"/>
    </row>
    <row r="600" spans="13:19" s="1738" customFormat="1">
      <c r="M600" s="1743"/>
      <c r="Q600" s="1743"/>
      <c r="R600" s="1743"/>
      <c r="S600" s="1743"/>
    </row>
    <row r="601" spans="13:19" s="1738" customFormat="1">
      <c r="M601" s="1743"/>
      <c r="Q601" s="1743"/>
      <c r="R601" s="1743"/>
      <c r="S601" s="1743"/>
    </row>
    <row r="602" spans="13:19" s="1738" customFormat="1">
      <c r="M602" s="1743"/>
      <c r="Q602" s="1743"/>
      <c r="R602" s="1743"/>
      <c r="S602" s="1743"/>
    </row>
    <row r="603" spans="13:19" s="1738" customFormat="1">
      <c r="M603" s="1743"/>
      <c r="Q603" s="1743"/>
      <c r="R603" s="1743"/>
      <c r="S603" s="1743"/>
    </row>
    <row r="604" spans="13:19" s="1738" customFormat="1">
      <c r="M604" s="1743"/>
      <c r="Q604" s="1743"/>
      <c r="R604" s="1743"/>
      <c r="S604" s="1743"/>
    </row>
    <row r="605" spans="13:19" s="1738" customFormat="1">
      <c r="M605" s="1743"/>
      <c r="Q605" s="1743"/>
      <c r="R605" s="1743"/>
      <c r="S605" s="1743"/>
    </row>
    <row r="606" spans="13:19" s="1738" customFormat="1">
      <c r="M606" s="1743"/>
      <c r="Q606" s="1743"/>
      <c r="R606" s="1743"/>
      <c r="S606" s="1743"/>
    </row>
    <row r="607" spans="13:19" s="1738" customFormat="1">
      <c r="M607" s="1743"/>
      <c r="Q607" s="1743"/>
      <c r="R607" s="1743"/>
      <c r="S607" s="1743"/>
    </row>
    <row r="608" spans="13:19" s="1738" customFormat="1">
      <c r="M608" s="1743"/>
      <c r="Q608" s="1743"/>
      <c r="R608" s="1743"/>
      <c r="S608" s="1743"/>
    </row>
    <row r="609" spans="13:19" s="1738" customFormat="1">
      <c r="M609" s="1743"/>
      <c r="Q609" s="1743"/>
      <c r="R609" s="1743"/>
      <c r="S609" s="1743"/>
    </row>
    <row r="610" spans="13:19" s="1738" customFormat="1">
      <c r="M610" s="1743"/>
      <c r="Q610" s="1743"/>
      <c r="R610" s="1743"/>
      <c r="S610" s="1743"/>
    </row>
    <row r="611" spans="13:19" s="1738" customFormat="1">
      <c r="M611" s="1743"/>
      <c r="Q611" s="1743"/>
      <c r="R611" s="1743"/>
      <c r="S611" s="1743"/>
    </row>
    <row r="612" spans="13:19" s="1738" customFormat="1">
      <c r="M612" s="1743"/>
      <c r="Q612" s="1743"/>
      <c r="R612" s="1743"/>
      <c r="S612" s="1743"/>
    </row>
    <row r="613" spans="13:19" s="1738" customFormat="1">
      <c r="M613" s="1743"/>
      <c r="Q613" s="1743"/>
      <c r="R613" s="1743"/>
      <c r="S613" s="1743"/>
    </row>
    <row r="614" spans="13:19" s="1738" customFormat="1">
      <c r="M614" s="1743"/>
      <c r="Q614" s="1743"/>
      <c r="R614" s="1743"/>
      <c r="S614" s="1743"/>
    </row>
    <row r="615" spans="13:19" s="1738" customFormat="1">
      <c r="M615" s="1743"/>
      <c r="Q615" s="1743"/>
      <c r="R615" s="1743"/>
      <c r="S615" s="1743"/>
    </row>
    <row r="616" spans="13:19" s="1738" customFormat="1">
      <c r="M616" s="1743"/>
      <c r="Q616" s="1743"/>
      <c r="R616" s="1743"/>
      <c r="S616" s="1743"/>
    </row>
    <row r="617" spans="13:19" s="1738" customFormat="1">
      <c r="M617" s="1743"/>
      <c r="Q617" s="1743"/>
      <c r="R617" s="1743"/>
      <c r="S617" s="1743"/>
    </row>
    <row r="618" spans="13:19" s="1738" customFormat="1">
      <c r="M618" s="1743"/>
      <c r="Q618" s="1743"/>
      <c r="R618" s="1743"/>
      <c r="S618" s="1743"/>
    </row>
    <row r="619" spans="13:19" s="1738" customFormat="1">
      <c r="M619" s="1743"/>
      <c r="Q619" s="1743"/>
      <c r="R619" s="1743"/>
      <c r="S619" s="1743"/>
    </row>
    <row r="620" spans="13:19" s="1738" customFormat="1">
      <c r="M620" s="1743"/>
      <c r="Q620" s="1743"/>
      <c r="R620" s="1743"/>
      <c r="S620" s="1743"/>
    </row>
    <row r="621" spans="13:19" s="1738" customFormat="1">
      <c r="M621" s="1743"/>
      <c r="Q621" s="1743"/>
      <c r="R621" s="1743"/>
      <c r="S621" s="1743"/>
    </row>
    <row r="622" spans="13:19" s="1738" customFormat="1">
      <c r="M622" s="1743"/>
      <c r="Q622" s="1743"/>
      <c r="R622" s="1743"/>
      <c r="S622" s="1743"/>
    </row>
    <row r="623" spans="13:19" s="1738" customFormat="1">
      <c r="M623" s="1743"/>
      <c r="Q623" s="1743"/>
      <c r="R623" s="1743"/>
      <c r="S623" s="1743"/>
    </row>
    <row r="624" spans="13:19" s="1738" customFormat="1">
      <c r="M624" s="1743"/>
      <c r="Q624" s="1743"/>
      <c r="R624" s="1743"/>
      <c r="S624" s="1743"/>
    </row>
    <row r="625" spans="13:19" s="1738" customFormat="1">
      <c r="M625" s="1743"/>
      <c r="Q625" s="1743"/>
      <c r="R625" s="1743"/>
      <c r="S625" s="1743"/>
    </row>
    <row r="626" spans="13:19" s="1738" customFormat="1">
      <c r="M626" s="1743"/>
      <c r="Q626" s="1743"/>
      <c r="R626" s="1743"/>
      <c r="S626" s="1743"/>
    </row>
    <row r="627" spans="13:19" s="1738" customFormat="1">
      <c r="M627" s="1743"/>
      <c r="Q627" s="1743"/>
      <c r="R627" s="1743"/>
      <c r="S627" s="1743"/>
    </row>
    <row r="628" spans="13:19" s="1738" customFormat="1">
      <c r="M628" s="1743"/>
      <c r="Q628" s="1743"/>
      <c r="R628" s="1743"/>
      <c r="S628" s="1743"/>
    </row>
    <row r="629" spans="13:19" s="1738" customFormat="1">
      <c r="M629" s="1743"/>
      <c r="Q629" s="1743"/>
      <c r="R629" s="1743"/>
      <c r="S629" s="1743"/>
    </row>
    <row r="630" spans="13:19" s="1738" customFormat="1">
      <c r="M630" s="1743"/>
      <c r="Q630" s="1743"/>
      <c r="R630" s="1743"/>
      <c r="S630" s="1743"/>
    </row>
    <row r="631" spans="13:19" s="1738" customFormat="1">
      <c r="M631" s="1743"/>
      <c r="Q631" s="1743"/>
      <c r="R631" s="1743"/>
      <c r="S631" s="1743"/>
    </row>
    <row r="632" spans="13:19" s="1738" customFormat="1">
      <c r="M632" s="1743"/>
      <c r="Q632" s="1743"/>
      <c r="R632" s="1743"/>
      <c r="S632" s="1743"/>
    </row>
    <row r="633" spans="13:19" s="1738" customFormat="1">
      <c r="M633" s="1743"/>
      <c r="Q633" s="1743"/>
      <c r="R633" s="1743"/>
      <c r="S633" s="1743"/>
    </row>
    <row r="634" spans="13:19" s="1738" customFormat="1">
      <c r="M634" s="1743"/>
      <c r="Q634" s="1743"/>
      <c r="R634" s="1743"/>
      <c r="S634" s="1743"/>
    </row>
    <row r="635" spans="13:19" s="1738" customFormat="1">
      <c r="M635" s="1743"/>
      <c r="Q635" s="1743"/>
      <c r="R635" s="1743"/>
      <c r="S635" s="1743"/>
    </row>
    <row r="636" spans="13:19" s="1738" customFormat="1">
      <c r="M636" s="1743"/>
      <c r="Q636" s="1743"/>
      <c r="R636" s="1743"/>
      <c r="S636" s="1743"/>
    </row>
    <row r="637" spans="13:19" s="1738" customFormat="1">
      <c r="M637" s="1743"/>
      <c r="Q637" s="1743"/>
      <c r="R637" s="1743"/>
      <c r="S637" s="1743"/>
    </row>
    <row r="638" spans="13:19" s="1738" customFormat="1">
      <c r="M638" s="1743"/>
      <c r="Q638" s="1743"/>
      <c r="R638" s="1743"/>
      <c r="S638" s="1743"/>
    </row>
    <row r="639" spans="13:19" s="1738" customFormat="1">
      <c r="M639" s="1743"/>
      <c r="Q639" s="1743"/>
      <c r="R639" s="1743"/>
      <c r="S639" s="1743"/>
    </row>
    <row r="640" spans="13:19" s="1738" customFormat="1">
      <c r="M640" s="1743"/>
      <c r="Q640" s="1743"/>
      <c r="R640" s="1743"/>
      <c r="S640" s="1743"/>
    </row>
    <row r="641" spans="13:19" s="1738" customFormat="1">
      <c r="M641" s="1743"/>
      <c r="Q641" s="1743"/>
      <c r="R641" s="1743"/>
      <c r="S641" s="1743"/>
    </row>
  </sheetData>
  <sheetProtection password="E8A2" sheet="1" objects="1" scenarios="1" formatCells="0" formatColumns="0" formatRows="0"/>
  <mergeCells count="54">
    <mergeCell ref="G193:H193"/>
    <mergeCell ref="I193:J193"/>
    <mergeCell ref="Q193:R193"/>
    <mergeCell ref="S193:T193"/>
    <mergeCell ref="D53:E53"/>
    <mergeCell ref="G53:H53"/>
    <mergeCell ref="I53:J53"/>
    <mergeCell ref="D54:E54"/>
    <mergeCell ref="G54:H54"/>
    <mergeCell ref="I54:J54"/>
    <mergeCell ref="R43:S43"/>
    <mergeCell ref="D52:E52"/>
    <mergeCell ref="G52:H52"/>
    <mergeCell ref="I52:J52"/>
    <mergeCell ref="G51:H51"/>
    <mergeCell ref="I51:J51"/>
    <mergeCell ref="I45:J45"/>
    <mergeCell ref="I46:J46"/>
    <mergeCell ref="I47:J47"/>
    <mergeCell ref="I48:J48"/>
    <mergeCell ref="I49:J49"/>
    <mergeCell ref="I50:J50"/>
    <mergeCell ref="D50:E50"/>
    <mergeCell ref="D51:E51"/>
    <mergeCell ref="G50:H50"/>
    <mergeCell ref="D47:E47"/>
    <mergeCell ref="D48:E48"/>
    <mergeCell ref="D49:E49"/>
    <mergeCell ref="D45:E45"/>
    <mergeCell ref="D46:E46"/>
    <mergeCell ref="G45:H45"/>
    <mergeCell ref="G46:H46"/>
    <mergeCell ref="G47:H47"/>
    <mergeCell ref="G48:H48"/>
    <mergeCell ref="G49:H49"/>
    <mergeCell ref="R10:S10"/>
    <mergeCell ref="R27:S27"/>
    <mergeCell ref="F12:H12"/>
    <mergeCell ref="F13:H13"/>
    <mergeCell ref="F14:H14"/>
    <mergeCell ref="F17:H17"/>
    <mergeCell ref="F10:H10"/>
    <mergeCell ref="F15:H15"/>
    <mergeCell ref="F16:H16"/>
    <mergeCell ref="K27:O27"/>
    <mergeCell ref="F27:H27"/>
    <mergeCell ref="F29:H29"/>
    <mergeCell ref="I43:J43"/>
    <mergeCell ref="M43:P43"/>
    <mergeCell ref="F30:H30"/>
    <mergeCell ref="F31:H31"/>
    <mergeCell ref="F34:H34"/>
    <mergeCell ref="F32:H32"/>
    <mergeCell ref="F33:H33"/>
  </mergeCells>
  <conditionalFormatting sqref="X57:Z59">
    <cfRule type="expression" dxfId="108" priority="1">
      <formula>Nlang&gt;1</formula>
    </cfRule>
  </conditionalFormatting>
  <conditionalFormatting sqref="V12:Z12">
    <cfRule type="expression" dxfId="107" priority="8">
      <formula>Nlang&gt;1</formula>
    </cfRule>
  </conditionalFormatting>
  <conditionalFormatting sqref="V13:Z17">
    <cfRule type="expression" dxfId="106" priority="7">
      <formula>Nlang&gt;1</formula>
    </cfRule>
  </conditionalFormatting>
  <conditionalFormatting sqref="V19">
    <cfRule type="expression" dxfId="105" priority="6">
      <formula>Nlang&gt;1</formula>
    </cfRule>
  </conditionalFormatting>
  <conditionalFormatting sqref="V29:Z29">
    <cfRule type="expression" dxfId="104" priority="5">
      <formula>Nlang&gt;1</formula>
    </cfRule>
  </conditionalFormatting>
  <conditionalFormatting sqref="V30:Z34">
    <cfRule type="expression" dxfId="103" priority="4">
      <formula>Nlang&gt;1</formula>
    </cfRule>
  </conditionalFormatting>
  <conditionalFormatting sqref="V36">
    <cfRule type="expression" dxfId="102" priority="3">
      <formula>Nlang&gt;1</formula>
    </cfRule>
  </conditionalFormatting>
  <conditionalFormatting sqref="V45:Y54">
    <cfRule type="expression" dxfId="101" priority="2">
      <formula>Nlang&gt;1</formula>
    </cfRule>
  </conditionalFormatting>
  <dataValidations count="9">
    <dataValidation type="list" allowBlank="1" showInputMessage="1" showErrorMessage="1" sqref="E29:E34 E12:E17 K45:K54">
      <formula1>YES_NO</formula1>
    </dataValidation>
    <dataValidation type="list" allowBlank="1" showInputMessage="1" showErrorMessage="1" sqref="F12:F17">
      <formula1>finaluse</formula1>
    </dataValidation>
    <dataValidation type="list" allowBlank="1" showInputMessage="1" showErrorMessage="1" sqref="F29:F34">
      <formula1>prevuse</formula1>
    </dataValidation>
    <dataValidation type="list" allowBlank="1" showInputMessage="1" showErrorMessage="1" sqref="G45:G54">
      <formula1>LUC_fin</formula1>
    </dataValidation>
    <dataValidation type="list" allowBlank="1" showInputMessage="1" showErrorMessage="1" sqref="D45:D54">
      <formula1>LUC_ini</formula1>
    </dataValidation>
    <dataValidation type="list" allowBlank="1" showErrorMessage="1" prompt="Please specify the vegetation" sqref="B12:B17">
      <formula1>veg_type</formula1>
    </dataValidation>
    <dataValidation type="list" allowBlank="1" showErrorMessage="1" prompt="Please specify the vegetation" sqref="B29:B34">
      <formula1>Veget_type2</formula1>
    </dataValidation>
    <dataValidation type="list" allowBlank="1" showInputMessage="1" showErrorMessage="1" sqref="L12:L17 N12:N17 L29:L34 N29:N34 N45:N54 P45:P54">
      <formula1>dyn_simple</formula1>
    </dataValidation>
    <dataValidation type="decimal" operator="greaterThanOrEqual" allowBlank="1" showInputMessage="1" showErrorMessage="1" sqref="F98:F105 H98:H105 J98:J105 M98:M105 Q98:Q105 E148:E155 G148:G155 I148:I155 K148:K155 O148:O155 R148:R155 T148:T155 H195:H204 R195:R204 J195:J204 T195:T204">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97"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9" id="{FB00C39F-DE7A-4052-BC68-8AFDEFADCF19}">
            <xm:f>OR($B12:$B17=List!$A$51)</xm:f>
            <x14:dxf>
              <font>
                <color theme="1"/>
              </font>
              <fill>
                <patternFill>
                  <bgColor theme="8" tint="0.59996337778862885"/>
                </patternFill>
              </fill>
            </x14:dxf>
          </x14:cfRule>
          <xm:sqref>B98:E98 G98 I98 K98:L98 N98:P98 R98</xm:sqref>
        </x14:conditionalFormatting>
        <x14:conditionalFormatting xmlns:xm="http://schemas.microsoft.com/office/excel/2006/main">
          <x14:cfRule type="expression" priority="37" id="{06409FB3-829F-457D-BAF5-477B083DD450}">
            <xm:f>OR($B$12:$B$17=List!$A$52)</xm:f>
            <x14:dxf>
              <font>
                <color theme="1"/>
              </font>
              <fill>
                <patternFill>
                  <bgColor theme="8" tint="0.59996337778862885"/>
                </patternFill>
              </fill>
            </x14:dxf>
          </x14:cfRule>
          <xm:sqref>B99:E99 G99 I99 K99:L99 N99:P99 R99</xm:sqref>
        </x14:conditionalFormatting>
        <x14:conditionalFormatting xmlns:xm="http://schemas.microsoft.com/office/excel/2006/main">
          <x14:cfRule type="expression" priority="34" id="{93CF3911-783D-4652-B076-869CB56DAD7D}">
            <xm:f>OR($B$12:$B$17=List!$A$53)</xm:f>
            <x14:dxf>
              <font>
                <color theme="1"/>
              </font>
              <fill>
                <patternFill>
                  <bgColor theme="8" tint="0.59996337778862885"/>
                </patternFill>
              </fill>
            </x14:dxf>
          </x14:cfRule>
          <xm:sqref>B100:E100 G100 I100 K100:L100 N100:P100 R100</xm:sqref>
        </x14:conditionalFormatting>
        <x14:conditionalFormatting xmlns:xm="http://schemas.microsoft.com/office/excel/2006/main">
          <x14:cfRule type="expression" priority="33" id="{FB443423-B759-4C41-B96C-78B477724C55}">
            <xm:f>OR($B$12:$B$17=List!$A$54)</xm:f>
            <x14:dxf>
              <font>
                <color theme="1"/>
              </font>
              <fill>
                <patternFill>
                  <bgColor theme="8" tint="0.59996337778862885"/>
                </patternFill>
              </fill>
            </x14:dxf>
          </x14:cfRule>
          <xm:sqref>B101:E101 G101 I101 K101:L101 N101:P101 R101</xm:sqref>
        </x14:conditionalFormatting>
        <x14:conditionalFormatting xmlns:xm="http://schemas.microsoft.com/office/excel/2006/main">
          <x14:cfRule type="expression" priority="32" id="{09EBD9BD-C294-46B7-BA99-7FB4FAD91541}">
            <xm:f>OR($B$12:$B$17=List!$A$55)</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31" id="{62054D27-3013-47DC-86BE-ADAB87E9ECFA}">
            <xm:f>OR($B$12:$B$17=List!$A$56)</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30" id="{7D1691D2-97DE-4E56-BD16-2201C68F1518}">
            <xm:f>OR($B$12:$B$17=List!$A$57)</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29" id="{844F42CA-181A-453D-8993-A9D64453735B}">
            <xm:f>OR($B$12:$B$17=List!$A$58)</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28" id="{6188546B-BEA8-41A1-B1E5-B04CB7D430F0}">
            <xm:f>OR($B$29:$B$34=List!$A$51)</xm:f>
            <x14:dxf>
              <font>
                <color theme="1"/>
              </font>
              <fill>
                <patternFill>
                  <bgColor theme="8" tint="0.59996337778862885"/>
                </patternFill>
              </fill>
            </x14:dxf>
          </x14:cfRule>
          <xm:sqref>B148:D148 F148 H148 J148 L148:N148 P148:Q148 S148</xm:sqref>
        </x14:conditionalFormatting>
        <x14:conditionalFormatting xmlns:xm="http://schemas.microsoft.com/office/excel/2006/main">
          <x14:cfRule type="expression" priority="27" id="{52733D32-B4CF-4BE2-9EE8-B814AFDCEDF0}">
            <xm:f>OR($B$29:$B$34=List!$A$52)</xm:f>
            <x14:dxf>
              <font>
                <color theme="1"/>
              </font>
              <fill>
                <patternFill>
                  <bgColor theme="8" tint="0.59996337778862885"/>
                </patternFill>
              </fill>
            </x14:dxf>
          </x14:cfRule>
          <xm:sqref>B149:D149 F149 H149 J149 L149:N149 P149:Q149 S149</xm:sqref>
        </x14:conditionalFormatting>
        <x14:conditionalFormatting xmlns:xm="http://schemas.microsoft.com/office/excel/2006/main">
          <x14:cfRule type="expression" priority="26" id="{5EC03F54-09B9-415A-ADBD-17F5F4CC86C2}">
            <xm:f>OR($B$29:$B$34=List!$A$53)</xm:f>
            <x14:dxf>
              <font>
                <color theme="1"/>
              </font>
              <fill>
                <patternFill>
                  <bgColor theme="8" tint="0.59996337778862885"/>
                </patternFill>
              </fill>
            </x14:dxf>
          </x14:cfRule>
          <xm:sqref>B150:D150 F150 H150 J150 L150:N150 P150:Q150 S150</xm:sqref>
        </x14:conditionalFormatting>
        <x14:conditionalFormatting xmlns:xm="http://schemas.microsoft.com/office/excel/2006/main">
          <x14:cfRule type="expression" priority="25" id="{A7881187-D4C0-447C-B41C-8AD7B2091E0B}">
            <xm:f>OR($B$29:$B$34=List!$A$54)</xm:f>
            <x14:dxf>
              <font>
                <color theme="1"/>
              </font>
              <fill>
                <patternFill>
                  <bgColor theme="8" tint="0.59996337778862885"/>
                </patternFill>
              </fill>
            </x14:dxf>
          </x14:cfRule>
          <xm:sqref>B151:D151 F151 H151 J151 L151:N151 Q151 P151 S151</xm:sqref>
        </x14:conditionalFormatting>
        <x14:conditionalFormatting xmlns:xm="http://schemas.microsoft.com/office/excel/2006/main">
          <x14:cfRule type="expression" priority="24" id="{8AA3CB91-E22F-41BB-A15C-0570A55A9DA7}">
            <xm:f>OR($B$29:$B$34=List!$A$55)</xm:f>
            <x14:dxf>
              <font>
                <color theme="1"/>
              </font>
              <fill>
                <patternFill>
                  <bgColor theme="8" tint="0.59996337778862885"/>
                </patternFill>
              </fill>
            </x14:dxf>
          </x14:cfRule>
          <xm:sqref>B152:D152 F152 H152 J152 L152:N152 Q152 P152 S152</xm:sqref>
        </x14:conditionalFormatting>
        <x14:conditionalFormatting xmlns:xm="http://schemas.microsoft.com/office/excel/2006/main">
          <x14:cfRule type="expression" priority="23" id="{AA6D998C-D5BE-43A9-B5A5-DC755ED3F697}">
            <xm:f>OR($B$29:$B$34=List!$A$56)</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22" id="{C0DA69D8-8F1F-4595-B5DA-4CBBAAAD2783}">
            <xm:f>OR($B$29:$B$34=List!$A$57)</xm:f>
            <x14:dxf>
              <font>
                <color theme="1"/>
              </font>
              <fill>
                <patternFill>
                  <bgColor theme="8" tint="0.59996337778862885"/>
                </patternFill>
              </fill>
            </x14:dxf>
          </x14:cfRule>
          <xm:sqref>B154 D154 C154 F154 H154 J154 L154:N154 P154:Q154 S154</xm:sqref>
        </x14:conditionalFormatting>
        <x14:conditionalFormatting xmlns:xm="http://schemas.microsoft.com/office/excel/2006/main">
          <x14:cfRule type="expression" priority="21" id="{6A32F39F-0182-41E4-AFE4-C56A88EA6C3D}">
            <xm:f>OR($B$29:$B$34=List!$A$58)</xm:f>
            <x14:dxf>
              <font>
                <color theme="1"/>
              </font>
              <fill>
                <patternFill>
                  <bgColor theme="8" tint="0.59996337778862885"/>
                </patternFill>
              </fill>
            </x14:dxf>
          </x14:cfRule>
          <xm:sqref>B155 B155:D155 F155 H155 J155 M155 L155 N155 P155:Q155 S155</xm:sqref>
        </x14:conditionalFormatting>
        <x14:conditionalFormatting xmlns:xm="http://schemas.microsoft.com/office/excel/2006/main">
          <x14:cfRule type="expression" priority="18" id="{0DCD4CAD-AF74-4855-A4E5-FB1681BA952D}">
            <xm:f>$I$45=List!$D$64</xm:f>
            <x14:dxf>
              <font>
                <color rgb="FFFF6600"/>
              </font>
              <fill>
                <patternFill>
                  <bgColor rgb="FFFFFF99"/>
                </patternFill>
              </fill>
            </x14:dxf>
          </x14:cfRule>
          <xm:sqref>I45:J45</xm:sqref>
        </x14:conditionalFormatting>
        <x14:conditionalFormatting xmlns:xm="http://schemas.microsoft.com/office/excel/2006/main">
          <x14:cfRule type="expression" priority="17" id="{72807B5A-D5C2-426A-8727-99DA0A4D3AFF}">
            <xm:f>$I$49=List!$D$64</xm:f>
            <x14:dxf>
              <font>
                <color rgb="FFFF6600"/>
              </font>
              <fill>
                <patternFill>
                  <bgColor rgb="FFFFFF99"/>
                </patternFill>
              </fill>
            </x14:dxf>
          </x14:cfRule>
          <xm:sqref>I49</xm:sqref>
        </x14:conditionalFormatting>
        <x14:conditionalFormatting xmlns:xm="http://schemas.microsoft.com/office/excel/2006/main">
          <x14:cfRule type="expression" priority="16" id="{491B07CA-AAC7-46A0-8CD0-3C7EC18491A8}">
            <xm:f>$I$46=List!$D$64</xm:f>
            <x14:dxf>
              <font>
                <color rgb="FFFF6600"/>
              </font>
              <fill>
                <patternFill>
                  <bgColor rgb="FFFFFF99"/>
                </patternFill>
              </fill>
            </x14:dxf>
          </x14:cfRule>
          <xm:sqref>I46</xm:sqref>
        </x14:conditionalFormatting>
        <x14:conditionalFormatting xmlns:xm="http://schemas.microsoft.com/office/excel/2006/main">
          <x14:cfRule type="expression" priority="15" id="{24E30056-9BF7-4760-A778-84DCCAD11E84}">
            <xm:f>$I$47=List!$D$64</xm:f>
            <x14:dxf>
              <font>
                <color rgb="FFFF6600"/>
              </font>
              <fill>
                <patternFill>
                  <bgColor rgb="FFFFFF99"/>
                </patternFill>
              </fill>
            </x14:dxf>
          </x14:cfRule>
          <xm:sqref>I47</xm:sqref>
        </x14:conditionalFormatting>
        <x14:conditionalFormatting xmlns:xm="http://schemas.microsoft.com/office/excel/2006/main">
          <x14:cfRule type="expression" priority="14" id="{6F07E0E0-8A2F-4894-9444-FF001D3AE97E}">
            <xm:f>$I$48=List!$D$64</xm:f>
            <x14:dxf>
              <font>
                <color rgb="FFFF6600"/>
              </font>
              <fill>
                <patternFill>
                  <bgColor rgb="FFFFFF99"/>
                </patternFill>
              </fill>
            </x14:dxf>
          </x14:cfRule>
          <xm:sqref>I48</xm:sqref>
        </x14:conditionalFormatting>
        <x14:conditionalFormatting xmlns:xm="http://schemas.microsoft.com/office/excel/2006/main">
          <x14:cfRule type="expression" priority="13" id="{E500E2E4-4FF8-4A07-9BB1-AF543DA51C7A}">
            <xm:f>$I$50=List!$D$64</xm:f>
            <x14:dxf>
              <font>
                <color rgb="FFFF6600"/>
              </font>
              <fill>
                <patternFill>
                  <bgColor rgb="FFFFFF99"/>
                </patternFill>
              </fill>
            </x14:dxf>
          </x14:cfRule>
          <xm:sqref>I50</xm:sqref>
        </x14:conditionalFormatting>
        <x14:conditionalFormatting xmlns:xm="http://schemas.microsoft.com/office/excel/2006/main">
          <x14:cfRule type="expression" priority="12" id="{9B114487-3902-47E5-9C73-D264CFE93C36}">
            <xm:f>$I$51=List!$D$64</xm:f>
            <x14:dxf>
              <font>
                <color rgb="FFFF6600"/>
              </font>
              <fill>
                <patternFill>
                  <bgColor rgb="FFFFFF99"/>
                </patternFill>
              </fill>
            </x14:dxf>
          </x14:cfRule>
          <xm:sqref>I51</xm:sqref>
        </x14:conditionalFormatting>
        <x14:conditionalFormatting xmlns:xm="http://schemas.microsoft.com/office/excel/2006/main">
          <x14:cfRule type="expression" priority="11" id="{AC20F44C-3AAB-4268-BC1E-888C51D6D4CB}">
            <xm:f>$I$52=List!$D$64</xm:f>
            <x14:dxf>
              <font>
                <color rgb="FFFF6600"/>
              </font>
              <fill>
                <patternFill>
                  <bgColor rgb="FFFFFF99"/>
                </patternFill>
              </fill>
            </x14:dxf>
          </x14:cfRule>
          <xm:sqref>I52</xm:sqref>
        </x14:conditionalFormatting>
        <x14:conditionalFormatting xmlns:xm="http://schemas.microsoft.com/office/excel/2006/main">
          <x14:cfRule type="expression" priority="10" id="{71940D27-C3B4-4B6E-AFA8-B3BE69ABC55F}">
            <xm:f>$I$53=List!$D$64</xm:f>
            <x14:dxf>
              <font>
                <color rgb="FFFF6600"/>
              </font>
              <fill>
                <patternFill>
                  <bgColor rgb="FFFFFF99"/>
                </patternFill>
              </fill>
            </x14:dxf>
          </x14:cfRule>
          <xm:sqref>I53</xm:sqref>
        </x14:conditionalFormatting>
        <x14:conditionalFormatting xmlns:xm="http://schemas.microsoft.com/office/excel/2006/main">
          <x14:cfRule type="expression" priority="9" id="{C90900D6-C80C-4A29-9039-0A35F5E2F8D5}">
            <xm:f>$I$54=List!$D$64</xm:f>
            <x14:dxf>
              <font>
                <color rgb="FFFF6600"/>
              </font>
              <fill>
                <patternFill>
                  <bgColor rgb="FFFFFF99"/>
                </patternFill>
              </fill>
            </x14:dxf>
          </x14:cfRule>
          <xm:sqref>I54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2"/>
  </sheetPr>
  <dimension ref="A1:B143"/>
  <sheetViews>
    <sheetView zoomScaleNormal="100" workbookViewId="0">
      <selection activeCell="C32" sqref="C32"/>
    </sheetView>
  </sheetViews>
  <sheetFormatPr baseColWidth="10" defaultColWidth="11.44140625" defaultRowHeight="13.2"/>
  <cols>
    <col min="1" max="1" width="28.5546875" bestFit="1" customWidth="1"/>
    <col min="2" max="2" width="17.109375" style="58" bestFit="1" customWidth="1"/>
  </cols>
  <sheetData>
    <row r="1" spans="1:2" s="1670" customFormat="1" ht="22.95" customHeight="1">
      <c r="B1" s="1671"/>
    </row>
    <row r="2" spans="1:2" s="1670" customFormat="1" ht="22.95" customHeight="1">
      <c r="B2" s="1671"/>
    </row>
    <row r="3" spans="1:2" s="1670" customFormat="1" ht="22.95" customHeight="1">
      <c r="B3" s="1671"/>
    </row>
    <row r="4" spans="1:2" s="1670" customFormat="1" ht="22.95" customHeight="1">
      <c r="B4" s="1671"/>
    </row>
    <row r="5" spans="1:2" s="1670" customFormat="1" ht="22.95" customHeight="1">
      <c r="A5" s="1672" t="s">
        <v>850</v>
      </c>
      <c r="B5" s="1673" t="s">
        <v>849</v>
      </c>
    </row>
    <row r="6" spans="1:2">
      <c r="A6" s="1028" t="s">
        <v>23</v>
      </c>
      <c r="B6" s="1029">
        <v>0</v>
      </c>
    </row>
    <row r="7" spans="1:2">
      <c r="A7" t="s">
        <v>741</v>
      </c>
      <c r="B7" s="291">
        <v>5.0723364944820007E-2</v>
      </c>
    </row>
    <row r="8" spans="1:2">
      <c r="A8" t="s">
        <v>791</v>
      </c>
      <c r="B8" s="291">
        <v>0.7524577658617132</v>
      </c>
    </row>
    <row r="9" spans="1:2">
      <c r="A9" t="s">
        <v>792</v>
      </c>
      <c r="B9" s="291">
        <v>0.38582491364878713</v>
      </c>
    </row>
    <row r="10" spans="1:2">
      <c r="A10" t="s">
        <v>811</v>
      </c>
      <c r="B10" s="291">
        <v>0.31668386848401053</v>
      </c>
    </row>
    <row r="11" spans="1:2">
      <c r="A11" t="s">
        <v>742</v>
      </c>
      <c r="B11" s="291">
        <v>0.23022856684407095</v>
      </c>
    </row>
    <row r="12" spans="1:2">
      <c r="A12" t="s">
        <v>737</v>
      </c>
      <c r="B12" s="291">
        <v>0.92436258905619495</v>
      </c>
    </row>
    <row r="13" spans="1:2">
      <c r="A13" t="s">
        <v>714</v>
      </c>
      <c r="B13" s="291">
        <v>0.19730106527107968</v>
      </c>
    </row>
    <row r="14" spans="1:2">
      <c r="A14" t="s">
        <v>743</v>
      </c>
      <c r="B14" s="291">
        <v>0.61323177217856994</v>
      </c>
    </row>
    <row r="15" spans="1:2">
      <c r="A15" t="s">
        <v>777</v>
      </c>
      <c r="B15" s="291">
        <v>0.87628068858119257</v>
      </c>
    </row>
    <row r="16" spans="1:2">
      <c r="A16" t="s">
        <v>762</v>
      </c>
      <c r="B16" s="291">
        <v>0.62451170732007544</v>
      </c>
    </row>
    <row r="17" spans="1:2">
      <c r="A17" t="s">
        <v>744</v>
      </c>
      <c r="B17" s="291">
        <v>0.32553085467054221</v>
      </c>
    </row>
    <row r="18" spans="1:2">
      <c r="A18" t="s">
        <v>715</v>
      </c>
      <c r="B18" s="291">
        <v>0.28855272309554847</v>
      </c>
    </row>
    <row r="19" spans="1:2">
      <c r="A19" t="s">
        <v>842</v>
      </c>
      <c r="B19" s="291">
        <v>0.68302522338637428</v>
      </c>
    </row>
    <row r="20" spans="1:2">
      <c r="A20" t="s">
        <v>812</v>
      </c>
      <c r="B20" s="291">
        <v>0.40133162359826319</v>
      </c>
    </row>
    <row r="21" spans="1:2">
      <c r="A21" t="s">
        <v>745</v>
      </c>
      <c r="B21" s="291">
        <v>0.77041811500285373</v>
      </c>
    </row>
    <row r="22" spans="1:2">
      <c r="A22" t="s">
        <v>841</v>
      </c>
      <c r="B22" s="291">
        <v>0.68302522338637428</v>
      </c>
    </row>
    <row r="23" spans="1:2">
      <c r="A23" t="s">
        <v>813</v>
      </c>
      <c r="B23" s="291">
        <v>9.2840604219325135E-2</v>
      </c>
    </row>
    <row r="24" spans="1:2">
      <c r="A24" t="s">
        <v>763</v>
      </c>
      <c r="B24" s="291">
        <v>0.82957685592138097</v>
      </c>
    </row>
    <row r="25" spans="1:2">
      <c r="A25" t="s">
        <v>746</v>
      </c>
      <c r="B25" s="291">
        <v>0.49204344317490939</v>
      </c>
    </row>
    <row r="26" spans="1:2">
      <c r="A26" t="s">
        <v>793</v>
      </c>
      <c r="B26" s="291">
        <v>1.6006778002482295E-2</v>
      </c>
    </row>
    <row r="27" spans="1:2">
      <c r="A27" t="s">
        <v>712</v>
      </c>
      <c r="B27" s="291">
        <v>0.22305039626496026</v>
      </c>
    </row>
    <row r="28" spans="1:2">
      <c r="A28" t="s">
        <v>814</v>
      </c>
      <c r="B28" s="291">
        <v>0.33252054972102735</v>
      </c>
    </row>
    <row r="29" spans="1:2">
      <c r="A29" t="s">
        <v>844</v>
      </c>
      <c r="B29" s="291">
        <v>0.83920315058806927</v>
      </c>
    </row>
    <row r="30" spans="1:2">
      <c r="A30" t="s">
        <v>764</v>
      </c>
      <c r="B30" s="291">
        <v>0.63079934643405766</v>
      </c>
    </row>
    <row r="31" spans="1:2">
      <c r="A31" t="s">
        <v>815</v>
      </c>
      <c r="B31" s="291">
        <v>0.15719121087814455</v>
      </c>
    </row>
    <row r="32" spans="1:2">
      <c r="A32" t="s">
        <v>840</v>
      </c>
      <c r="B32" s="291">
        <v>0.68302522338637428</v>
      </c>
    </row>
    <row r="33" spans="1:2">
      <c r="A33" t="s">
        <v>816</v>
      </c>
      <c r="B33" s="291">
        <v>1.4773393640099214E-2</v>
      </c>
    </row>
    <row r="34" spans="1:2">
      <c r="A34" t="s">
        <v>794</v>
      </c>
      <c r="B34" s="291">
        <v>0.40823191350374383</v>
      </c>
    </row>
    <row r="35" spans="1:2">
      <c r="A35" t="s">
        <v>847</v>
      </c>
      <c r="B35" s="291">
        <v>0.51296293856220021</v>
      </c>
    </row>
    <row r="36" spans="1:2">
      <c r="A36" t="s">
        <v>817</v>
      </c>
      <c r="B36" s="291">
        <v>1.1039909216170483</v>
      </c>
    </row>
    <row r="37" spans="1:2">
      <c r="A37" t="s">
        <v>778</v>
      </c>
      <c r="B37" s="291">
        <v>0.85149636965496223</v>
      </c>
    </row>
    <row r="38" spans="1:2">
      <c r="A38" t="s">
        <v>716</v>
      </c>
      <c r="B38" s="291">
        <v>0.60436272401240154</v>
      </c>
    </row>
    <row r="39" spans="1:2">
      <c r="A39" t="s">
        <v>765</v>
      </c>
      <c r="B39" s="291">
        <v>0.63040777962737482</v>
      </c>
    </row>
    <row r="40" spans="1:2">
      <c r="A40" t="s">
        <v>795</v>
      </c>
      <c r="B40" s="291">
        <v>3.7755104516129035E-3</v>
      </c>
    </row>
    <row r="41" spans="1:2">
      <c r="A41" t="s">
        <v>717</v>
      </c>
      <c r="B41" s="291">
        <v>0.3584115437150644</v>
      </c>
    </row>
    <row r="42" spans="1:2">
      <c r="A42" t="s">
        <v>818</v>
      </c>
      <c r="B42" s="291">
        <v>0.77056674111675139</v>
      </c>
    </row>
    <row r="43" spans="1:2">
      <c r="A43" t="s">
        <v>819</v>
      </c>
      <c r="B43" s="291">
        <v>0.25612460124304576</v>
      </c>
    </row>
    <row r="44" spans="1:2">
      <c r="A44" t="s">
        <v>796</v>
      </c>
      <c r="B44" s="291">
        <v>0.43588476113258129</v>
      </c>
    </row>
    <row r="45" spans="1:2">
      <c r="A45" t="s">
        <v>820</v>
      </c>
      <c r="B45" s="291">
        <v>0.3018528794469259</v>
      </c>
    </row>
    <row r="46" spans="1:2">
      <c r="A46" t="s">
        <v>797</v>
      </c>
      <c r="B46" s="291">
        <v>0.7361541269406392</v>
      </c>
    </row>
    <row r="47" spans="1:2">
      <c r="A47" t="s">
        <v>747</v>
      </c>
      <c r="B47" s="291">
        <v>0.77354820200126118</v>
      </c>
    </row>
    <row r="48" spans="1:2">
      <c r="A48" t="s">
        <v>798</v>
      </c>
      <c r="B48" s="291">
        <v>1.051502342057762E-2</v>
      </c>
    </row>
    <row r="49" spans="1:2">
      <c r="A49" t="s">
        <v>718</v>
      </c>
      <c r="B49" s="291">
        <v>0.23912726117410768</v>
      </c>
    </row>
    <row r="50" spans="1:2">
      <c r="A50" t="s">
        <v>719</v>
      </c>
      <c r="B50" s="291">
        <v>8.2665880358369484E-2</v>
      </c>
    </row>
    <row r="51" spans="1:2">
      <c r="A51" t="s">
        <v>748</v>
      </c>
      <c r="B51" s="291">
        <v>0.77250539027071718</v>
      </c>
    </row>
    <row r="52" spans="1:2">
      <c r="A52" t="s">
        <v>799</v>
      </c>
      <c r="B52" s="291">
        <v>0.31114179348564958</v>
      </c>
    </row>
    <row r="53" spans="1:2">
      <c r="A53" t="s">
        <v>749</v>
      </c>
      <c r="B53" s="291">
        <v>0.13660469257463728</v>
      </c>
    </row>
    <row r="54" spans="1:2">
      <c r="A54" t="s">
        <v>720</v>
      </c>
      <c r="B54" s="291">
        <v>0.53875839924481517</v>
      </c>
    </row>
    <row r="55" spans="1:2">
      <c r="A55" t="s">
        <v>800</v>
      </c>
      <c r="B55" s="291">
        <v>0.15042381327078222</v>
      </c>
    </row>
    <row r="56" spans="1:2">
      <c r="A56" t="s">
        <v>721</v>
      </c>
      <c r="B56" s="291">
        <v>0.86956036560364469</v>
      </c>
    </row>
    <row r="57" spans="1:2">
      <c r="A57" t="s">
        <v>722</v>
      </c>
      <c r="B57" s="291">
        <v>0.88674501808461492</v>
      </c>
    </row>
    <row r="58" spans="1:2">
      <c r="A58" t="s">
        <v>821</v>
      </c>
      <c r="B58" s="291">
        <v>0.41840838800157176</v>
      </c>
    </row>
    <row r="59" spans="1:2">
      <c r="A59" t="s">
        <v>822</v>
      </c>
      <c r="B59" s="291">
        <v>0.34703377476475622</v>
      </c>
    </row>
    <row r="60" spans="1:2">
      <c r="A60" t="s">
        <v>823</v>
      </c>
      <c r="B60" s="291">
        <v>0.29028859466998252</v>
      </c>
    </row>
    <row r="61" spans="1:2">
      <c r="A61" t="s">
        <v>723</v>
      </c>
      <c r="B61" s="291">
        <v>0.43700372705623775</v>
      </c>
    </row>
    <row r="62" spans="1:2">
      <c r="A62" t="s">
        <v>724</v>
      </c>
      <c r="B62" s="291">
        <v>1.3648056448731689E-3</v>
      </c>
    </row>
    <row r="63" spans="1:2">
      <c r="A63" t="s">
        <v>766</v>
      </c>
      <c r="B63" s="291">
        <v>0.99879240591418605</v>
      </c>
    </row>
    <row r="64" spans="1:2">
      <c r="A64" t="s">
        <v>767</v>
      </c>
      <c r="B64" s="291">
        <v>0.72182172353646556</v>
      </c>
    </row>
    <row r="65" spans="1:2">
      <c r="A65" t="s">
        <v>779</v>
      </c>
      <c r="B65" s="291">
        <v>0.74362259422196841</v>
      </c>
    </row>
    <row r="66" spans="1:2">
      <c r="A66" t="s">
        <v>725</v>
      </c>
      <c r="B66" s="291">
        <v>0.69866072795986722</v>
      </c>
    </row>
    <row r="67" spans="1:2">
      <c r="A67" t="s">
        <v>780</v>
      </c>
      <c r="B67" s="291">
        <v>0.59823072611118833</v>
      </c>
    </row>
    <row r="68" spans="1:2">
      <c r="A68" t="s">
        <v>781</v>
      </c>
      <c r="B68" s="291">
        <v>0.83891772836668499</v>
      </c>
    </row>
    <row r="69" spans="1:2">
      <c r="A69" t="s">
        <v>726</v>
      </c>
      <c r="B69" s="291">
        <v>0.52453513956760034</v>
      </c>
    </row>
    <row r="70" spans="1:2">
      <c r="A70" t="s">
        <v>824</v>
      </c>
      <c r="B70" s="291">
        <v>0.81907408872329313</v>
      </c>
    </row>
    <row r="71" spans="1:2">
      <c r="A71" t="s">
        <v>738</v>
      </c>
      <c r="B71" s="291">
        <v>0.41742822575793453</v>
      </c>
    </row>
    <row r="72" spans="1:2">
      <c r="A72" t="s">
        <v>782</v>
      </c>
      <c r="B72" s="291">
        <v>0.77493790727543754</v>
      </c>
    </row>
    <row r="73" spans="1:2">
      <c r="A73" t="s">
        <v>750</v>
      </c>
      <c r="B73" s="291">
        <v>1.2926600828272028</v>
      </c>
    </row>
    <row r="74" spans="1:2">
      <c r="A74" t="s">
        <v>801</v>
      </c>
      <c r="B74" s="291">
        <v>0.39310192825191942</v>
      </c>
    </row>
    <row r="75" spans="1:2">
      <c r="A75" t="s">
        <v>739</v>
      </c>
      <c r="B75" s="291">
        <v>0.49274834018029212</v>
      </c>
    </row>
    <row r="76" spans="1:2">
      <c r="A76" t="s">
        <v>783</v>
      </c>
      <c r="B76" s="291">
        <v>0.78998097176569237</v>
      </c>
    </row>
    <row r="77" spans="1:2">
      <c r="A77" t="s">
        <v>751</v>
      </c>
      <c r="B77" s="291">
        <v>0.10207626280825775</v>
      </c>
    </row>
    <row r="78" spans="1:2">
      <c r="A78" t="s">
        <v>846</v>
      </c>
      <c r="B78" s="291">
        <v>0.51296293856220021</v>
      </c>
    </row>
    <row r="79" spans="1:2">
      <c r="A79" t="s">
        <v>784</v>
      </c>
      <c r="B79" s="291">
        <v>0.75385785498552782</v>
      </c>
    </row>
    <row r="80" spans="1:2">
      <c r="A80" t="s">
        <v>802</v>
      </c>
      <c r="B80" s="291">
        <v>1.1456836645776616</v>
      </c>
    </row>
    <row r="81" spans="1:2">
      <c r="A81" t="s">
        <v>752</v>
      </c>
      <c r="B81" s="291">
        <v>0.16533794553807368</v>
      </c>
    </row>
    <row r="82" spans="1:2">
      <c r="A82" t="s">
        <v>848</v>
      </c>
      <c r="B82" s="291">
        <v>0.38666944731641445</v>
      </c>
    </row>
    <row r="83" spans="1:2">
      <c r="A83" t="s">
        <v>768</v>
      </c>
      <c r="B83" s="291">
        <v>0.5279247560053868</v>
      </c>
    </row>
    <row r="84" spans="1:2">
      <c r="A84" t="s">
        <v>753</v>
      </c>
      <c r="B84" s="291">
        <v>0.90419364041386874</v>
      </c>
    </row>
    <row r="85" spans="1:2">
      <c r="A85" t="s">
        <v>713</v>
      </c>
      <c r="B85" s="291">
        <v>0.59336166411058167</v>
      </c>
    </row>
    <row r="86" spans="1:2">
      <c r="A86" t="s">
        <v>803</v>
      </c>
      <c r="B86" s="291">
        <v>0.80914038784281628</v>
      </c>
    </row>
    <row r="87" spans="1:2">
      <c r="A87" t="s">
        <v>839</v>
      </c>
      <c r="B87" s="291">
        <v>0.68302522338637428</v>
      </c>
    </row>
    <row r="88" spans="1:2">
      <c r="A88" t="s">
        <v>769</v>
      </c>
      <c r="B88" s="291">
        <v>0.45584896340852893</v>
      </c>
    </row>
    <row r="89" spans="1:2">
      <c r="A89" t="s">
        <v>838</v>
      </c>
      <c r="B89" s="291">
        <v>0.68302522338637428</v>
      </c>
    </row>
    <row r="90" spans="1:2">
      <c r="A90" t="s">
        <v>770</v>
      </c>
      <c r="B90" s="291">
        <v>1.3286084936861094E-2</v>
      </c>
    </row>
    <row r="91" spans="1:2">
      <c r="A91" t="s">
        <v>727</v>
      </c>
      <c r="B91" s="291">
        <v>0.47882606876344863</v>
      </c>
    </row>
    <row r="92" spans="1:2">
      <c r="A92" t="s">
        <v>825</v>
      </c>
      <c r="B92" s="291">
        <v>0.79285299627472494</v>
      </c>
    </row>
    <row r="93" spans="1:2">
      <c r="A93" t="s">
        <v>740</v>
      </c>
      <c r="B93" s="291">
        <v>0.15850147719279087</v>
      </c>
    </row>
    <row r="94" spans="1:2">
      <c r="A94" t="s">
        <v>826</v>
      </c>
      <c r="B94" s="291">
        <v>0.6499613725128206</v>
      </c>
    </row>
    <row r="95" spans="1:2">
      <c r="A95" t="s">
        <v>804</v>
      </c>
      <c r="B95" s="291">
        <v>0.37187955977213927</v>
      </c>
    </row>
    <row r="96" spans="1:2">
      <c r="A96" t="s">
        <v>728</v>
      </c>
      <c r="B96" s="291">
        <v>5.3136052822559095E-3</v>
      </c>
    </row>
    <row r="97" spans="1:2">
      <c r="A97" t="s">
        <v>785</v>
      </c>
      <c r="B97" s="291">
        <v>0.85590164909177424</v>
      </c>
    </row>
    <row r="98" spans="1:2">
      <c r="A98" t="s">
        <v>771</v>
      </c>
      <c r="B98" s="291">
        <v>0.48233501780358495</v>
      </c>
    </row>
    <row r="99" spans="1:2">
      <c r="A99" t="s">
        <v>827</v>
      </c>
      <c r="B99" s="291">
        <v>0.28602782099517648</v>
      </c>
    </row>
    <row r="100" spans="1:2">
      <c r="A100" t="s">
        <v>828</v>
      </c>
      <c r="B100" s="291">
        <v>1.1120875555308471E-4</v>
      </c>
    </row>
    <row r="101" spans="1:2">
      <c r="A101" t="s">
        <v>829</v>
      </c>
      <c r="B101" s="291">
        <v>0.14808670215827344</v>
      </c>
    </row>
    <row r="102" spans="1:2">
      <c r="A102" t="s">
        <v>772</v>
      </c>
      <c r="B102" s="291">
        <v>0.52597249595330564</v>
      </c>
    </row>
    <row r="103" spans="1:2">
      <c r="A103" t="s">
        <v>729</v>
      </c>
      <c r="B103" s="291">
        <v>0.72974599179536004</v>
      </c>
    </row>
    <row r="104" spans="1:2">
      <c r="A104" t="s">
        <v>730</v>
      </c>
      <c r="B104" s="291">
        <v>0.5114175994639768</v>
      </c>
    </row>
    <row r="105" spans="1:2">
      <c r="A105" t="s">
        <v>786</v>
      </c>
      <c r="B105" s="291">
        <v>0.86194754509926086</v>
      </c>
    </row>
    <row r="106" spans="1:2">
      <c r="A106" t="s">
        <v>845</v>
      </c>
      <c r="B106" s="291">
        <v>0.51296293856220021</v>
      </c>
    </row>
    <row r="107" spans="1:2">
      <c r="A107" t="s">
        <v>754</v>
      </c>
      <c r="B107" s="291">
        <v>0.42565835307670363</v>
      </c>
    </row>
    <row r="108" spans="1:2">
      <c r="A108" t="s">
        <v>755</v>
      </c>
      <c r="B108" s="291">
        <v>0.35095770208957883</v>
      </c>
    </row>
    <row r="109" spans="1:2">
      <c r="A109" t="s">
        <v>787</v>
      </c>
      <c r="B109" s="291">
        <v>0.81558427922870602</v>
      </c>
    </row>
    <row r="110" spans="1:2">
      <c r="A110" t="s">
        <v>805</v>
      </c>
      <c r="B110" s="291">
        <v>0.89205644914509397</v>
      </c>
    </row>
    <row r="111" spans="1:2">
      <c r="A111" t="s">
        <v>756</v>
      </c>
      <c r="B111" s="291">
        <v>0.78600874267847098</v>
      </c>
    </row>
    <row r="112" spans="1:2">
      <c r="A112" t="s">
        <v>773</v>
      </c>
      <c r="B112" s="291">
        <v>0.73133426098556975</v>
      </c>
    </row>
    <row r="113" spans="1:2">
      <c r="A113" t="s">
        <v>731</v>
      </c>
      <c r="B113" s="291">
        <v>0.29659800120652802</v>
      </c>
    </row>
    <row r="114" spans="1:2">
      <c r="A114" t="s">
        <v>757</v>
      </c>
      <c r="B114" s="291">
        <v>0.36867086405434374</v>
      </c>
    </row>
    <row r="115" spans="1:2">
      <c r="A115" t="s">
        <v>806</v>
      </c>
      <c r="B115" s="291">
        <v>0.91075297542217282</v>
      </c>
    </row>
    <row r="116" spans="1:2">
      <c r="A116" t="s">
        <v>732</v>
      </c>
      <c r="B116" s="291">
        <v>0.44331737062824433</v>
      </c>
    </row>
    <row r="117" spans="1:2">
      <c r="A117" t="s">
        <v>774</v>
      </c>
      <c r="B117" s="291">
        <v>0.38378174725556463</v>
      </c>
    </row>
    <row r="118" spans="1:2">
      <c r="A118" t="s">
        <v>807</v>
      </c>
      <c r="B118" s="291">
        <v>0.53977647833203435</v>
      </c>
    </row>
    <row r="119" spans="1:2">
      <c r="A119" t="s">
        <v>733</v>
      </c>
      <c r="B119" s="291">
        <v>4.7569838496838046E-2</v>
      </c>
    </row>
    <row r="120" spans="1:2">
      <c r="A120" t="s">
        <v>734</v>
      </c>
      <c r="B120" s="291">
        <v>2.2054023926016568E-2</v>
      </c>
    </row>
    <row r="121" spans="1:2">
      <c r="A121" t="s">
        <v>788</v>
      </c>
      <c r="B121" s="291">
        <v>0.6553163250002747</v>
      </c>
    </row>
    <row r="122" spans="1:2">
      <c r="A122" t="s">
        <v>758</v>
      </c>
      <c r="B122" s="291">
        <v>3.7998239394296897E-2</v>
      </c>
    </row>
    <row r="123" spans="1:2">
      <c r="A123" t="s">
        <v>775</v>
      </c>
      <c r="B123" s="291">
        <v>0.58321885636567572</v>
      </c>
    </row>
    <row r="124" spans="1:2">
      <c r="A124" t="s">
        <v>837</v>
      </c>
      <c r="B124" s="291">
        <v>0.68302522338637428</v>
      </c>
    </row>
    <row r="125" spans="1:2">
      <c r="A125" t="s">
        <v>830</v>
      </c>
      <c r="B125" s="291">
        <v>0.75140999546559872</v>
      </c>
    </row>
    <row r="126" spans="1:2">
      <c r="A126" t="s">
        <v>808</v>
      </c>
      <c r="B126" s="291">
        <v>0.6084898970554411</v>
      </c>
    </row>
    <row r="127" spans="1:2">
      <c r="A127" t="s">
        <v>735</v>
      </c>
      <c r="B127" s="291">
        <v>0.58386734337144053</v>
      </c>
    </row>
    <row r="128" spans="1:2">
      <c r="A128" t="s">
        <v>759</v>
      </c>
      <c r="B128" s="291">
        <v>0.85774146424715236</v>
      </c>
    </row>
    <row r="129" spans="1:2">
      <c r="A129" t="s">
        <v>760</v>
      </c>
      <c r="B129" s="291">
        <v>0.34461067139470242</v>
      </c>
    </row>
    <row r="130" spans="1:2">
      <c r="A130" t="s">
        <v>789</v>
      </c>
      <c r="B130" s="291">
        <v>0.75995658142473577</v>
      </c>
    </row>
    <row r="131" spans="1:2">
      <c r="A131" t="s">
        <v>736</v>
      </c>
      <c r="B131" s="291">
        <v>0.47506613499757161</v>
      </c>
    </row>
    <row r="132" spans="1:2">
      <c r="A132" t="s">
        <v>809</v>
      </c>
      <c r="B132" s="291">
        <v>0.10811730662972871</v>
      </c>
    </row>
    <row r="133" spans="1:2">
      <c r="A133" t="s">
        <v>831</v>
      </c>
      <c r="B133" s="291">
        <v>5.5382557524147683E-2</v>
      </c>
    </row>
    <row r="134" spans="1:2">
      <c r="A134" t="s">
        <v>833</v>
      </c>
      <c r="B134" s="291">
        <v>0.67600000000000005</v>
      </c>
    </row>
    <row r="135" spans="1:2">
      <c r="A135" t="s">
        <v>761</v>
      </c>
      <c r="B135" s="291">
        <v>0.49687246579009459</v>
      </c>
    </row>
    <row r="136" spans="1:2">
      <c r="A136" t="s">
        <v>832</v>
      </c>
      <c r="B136" s="291">
        <v>0.2509683141094271</v>
      </c>
    </row>
    <row r="137" spans="1:2">
      <c r="A137" t="s">
        <v>776</v>
      </c>
      <c r="B137" s="291">
        <v>0.41745690970958788</v>
      </c>
    </row>
    <row r="138" spans="1:2">
      <c r="A138" t="s">
        <v>790</v>
      </c>
      <c r="B138" s="291">
        <v>1.0293606534677935</v>
      </c>
    </row>
    <row r="139" spans="1:2">
      <c r="A139" t="s">
        <v>810</v>
      </c>
      <c r="B139" s="291">
        <v>6.9209177802944518E-3</v>
      </c>
    </row>
    <row r="140" spans="1:2">
      <c r="A140" s="286" t="s">
        <v>836</v>
      </c>
      <c r="B140" s="292">
        <v>0.68302522338637428</v>
      </c>
    </row>
    <row r="141" spans="1:2">
      <c r="A141" t="s">
        <v>835</v>
      </c>
      <c r="B141" s="291">
        <v>0.43134408285660869</v>
      </c>
    </row>
    <row r="142" spans="1:2">
      <c r="A142" t="s">
        <v>843</v>
      </c>
      <c r="B142" s="291">
        <v>0.46928705803443194</v>
      </c>
    </row>
    <row r="143" spans="1:2">
      <c r="A143" t="s">
        <v>834</v>
      </c>
      <c r="B143" s="291">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18"/>
  <sheetViews>
    <sheetView zoomScale="80" zoomScaleNormal="80" workbookViewId="0">
      <pane xSplit="2" ySplit="1" topLeftCell="C492" activePane="bottomRight" state="frozen"/>
      <selection activeCell="D19" sqref="D19"/>
      <selection pane="topRight" activeCell="D19" sqref="D19"/>
      <selection pane="bottomLeft" activeCell="D19" sqref="D19"/>
      <selection pane="bottomRight" activeCell="D520" sqref="D520"/>
    </sheetView>
  </sheetViews>
  <sheetFormatPr baseColWidth="10" defaultColWidth="11.5546875" defaultRowHeight="13.2"/>
  <cols>
    <col min="1" max="1" width="12.6640625" style="2636" customWidth="1"/>
    <col min="2" max="2" width="45.33203125" style="2637" customWidth="1"/>
    <col min="3" max="3" width="49.88671875" style="2637" customWidth="1"/>
    <col min="4" max="4" width="46.44140625" style="2637" customWidth="1"/>
    <col min="5" max="5" width="60.33203125" style="2637" customWidth="1"/>
    <col min="6" max="6" width="79.5546875" style="2636" customWidth="1"/>
    <col min="7" max="7" width="65.88671875" style="2637" customWidth="1"/>
    <col min="8" max="8" width="36.5546875" style="2636" customWidth="1"/>
    <col min="9" max="9" width="11.5546875" style="2636"/>
    <col min="10" max="10" width="11.5546875" style="2936"/>
    <col min="11" max="16384" width="11.5546875" style="2636"/>
  </cols>
  <sheetData>
    <row r="1" spans="1:10" s="2641" customFormat="1" ht="14.4">
      <c r="A1" s="2641" t="s">
        <v>1670</v>
      </c>
      <c r="B1" s="2640" t="s">
        <v>1647</v>
      </c>
      <c r="C1" s="2640" t="s">
        <v>1648</v>
      </c>
      <c r="D1" s="2640" t="s">
        <v>1649</v>
      </c>
      <c r="E1" s="2640" t="s">
        <v>4297</v>
      </c>
      <c r="F1" s="2873" t="s">
        <v>2571</v>
      </c>
      <c r="G1" s="2641" t="s">
        <v>3231</v>
      </c>
      <c r="H1" s="2641" t="str">
        <f>'0.Start'!M16</f>
        <v>Deutsch</v>
      </c>
      <c r="J1" s="2641" t="s">
        <v>2242</v>
      </c>
    </row>
    <row r="2" spans="1:10" s="2933" customFormat="1">
      <c r="A2" s="2933" t="s">
        <v>1671</v>
      </c>
      <c r="B2" s="2642" t="s">
        <v>1055</v>
      </c>
      <c r="C2" s="2642" t="s">
        <v>1672</v>
      </c>
      <c r="D2" s="2643" t="s">
        <v>4684</v>
      </c>
      <c r="E2" s="2861" t="s">
        <v>3866</v>
      </c>
      <c r="F2" s="2861" t="s">
        <v>2572</v>
      </c>
      <c r="G2" s="2862" t="s">
        <v>3226</v>
      </c>
      <c r="H2" s="2933" t="str">
        <f>HLOOKUP(Non_UN,'Other Translations'!$A:$L,1+translations!J2,)</f>
        <v>Haftungsausschlußklausel</v>
      </c>
      <c r="J2" s="2936">
        <v>1</v>
      </c>
    </row>
    <row r="3" spans="1:10" s="2933" customFormat="1" ht="158.4">
      <c r="A3" s="2933" t="s">
        <v>1671</v>
      </c>
      <c r="B3" s="2642" t="s">
        <v>1297</v>
      </c>
      <c r="C3" s="2642" t="s">
        <v>1660</v>
      </c>
      <c r="D3" s="2642" t="s">
        <v>4685</v>
      </c>
      <c r="E3" s="2861" t="s">
        <v>3867</v>
      </c>
      <c r="F3" s="2859" t="s">
        <v>3154</v>
      </c>
      <c r="G3" s="2861" t="s">
        <v>3227</v>
      </c>
      <c r="H3" s="2933" t="str">
        <f>HLOOKUP(Non_UN,'Other Translations'!$A:$L,1+translations!J3,)</f>
        <v>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v>
      </c>
      <c r="J3" s="2936">
        <v>2</v>
      </c>
    </row>
    <row r="4" spans="1:10" s="2933" customFormat="1" ht="66">
      <c r="A4" s="2933" t="s">
        <v>1671</v>
      </c>
      <c r="B4" s="2642" t="s">
        <v>0</v>
      </c>
      <c r="C4" s="2642" t="s">
        <v>1661</v>
      </c>
      <c r="D4" s="2642" t="s">
        <v>5212</v>
      </c>
      <c r="E4" s="2861" t="s">
        <v>3868</v>
      </c>
      <c r="F4" s="2859" t="s">
        <v>3155</v>
      </c>
      <c r="G4" s="2861" t="s">
        <v>3228</v>
      </c>
      <c r="H4" s="2933" t="str">
        <f>HLOOKUP(Non_UN,'Other Translations'!$A:$L,1+translations!J4,)</f>
        <v>Berechnungen mit der beigefügten Software sind die des Autors und stellen nicht notwendigerweise die Ansichten und Entscheidungen der Welternährungsorganisation der Vereinten Nationen dar.</v>
      </c>
      <c r="J4" s="2936">
        <v>3</v>
      </c>
    </row>
    <row r="5" spans="1:10" s="2933" customFormat="1">
      <c r="A5" s="2933" t="s">
        <v>1671</v>
      </c>
      <c r="B5" s="2643" t="s">
        <v>6145</v>
      </c>
      <c r="C5" s="2643" t="s">
        <v>6213</v>
      </c>
      <c r="D5" s="2642" t="s">
        <v>4686</v>
      </c>
      <c r="E5" s="2861" t="s">
        <v>3869</v>
      </c>
      <c r="F5" s="2861" t="s">
        <v>2573</v>
      </c>
      <c r="G5" s="2862" t="s">
        <v>3229</v>
      </c>
      <c r="H5" s="2933" t="str">
        <f>HLOOKUP(Non_UN,'Other Translations'!$A:$L,1+translations!J5,)</f>
        <v>Version 6.0 - Mehrsprachige Ausgabe</v>
      </c>
      <c r="J5" s="2936">
        <v>4</v>
      </c>
    </row>
    <row r="6" spans="1:10" s="2933" customFormat="1" ht="224.4">
      <c r="A6" s="2933" t="s">
        <v>1671</v>
      </c>
      <c r="B6" s="2642" t="s">
        <v>2399</v>
      </c>
      <c r="C6" s="2643" t="s">
        <v>2400</v>
      </c>
      <c r="D6" s="2642" t="s">
        <v>5213</v>
      </c>
      <c r="E6" s="2861" t="s">
        <v>3870</v>
      </c>
      <c r="F6" s="2859" t="s">
        <v>3156</v>
      </c>
      <c r="G6" s="2861" t="s">
        <v>3230</v>
      </c>
      <c r="H6" s="2933" t="str">
        <f>HLOOKUP(Non_UN,'Other Translations'!$A:$L,1+translations!J6,)</f>
        <v>©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v>
      </c>
      <c r="J6" s="2936">
        <v>5</v>
      </c>
    </row>
    <row r="7" spans="1:10" s="2641" customFormat="1" ht="14.4">
      <c r="B7" s="2640" t="str">
        <f t="shared" ref="B7:G7" si="0">B1</f>
        <v>English</v>
      </c>
      <c r="C7" s="2640" t="str">
        <f>C1</f>
        <v>Français</v>
      </c>
      <c r="D7" s="2640" t="str">
        <f>D1</f>
        <v>Español</v>
      </c>
      <c r="E7" s="2640" t="str">
        <f>E1</f>
        <v>中文</v>
      </c>
      <c r="F7" s="2873" t="s">
        <v>2571</v>
      </c>
      <c r="G7" s="2640" t="str">
        <f t="shared" si="0"/>
        <v>عربي</v>
      </c>
      <c r="H7" s="2641" t="str">
        <f>Non_UN</f>
        <v>Deutsch</v>
      </c>
      <c r="J7" s="2936">
        <v>6</v>
      </c>
    </row>
    <row r="8" spans="1:10" s="2938" customFormat="1">
      <c r="A8" s="2937" t="s">
        <v>1673</v>
      </c>
      <c r="B8" s="2645" t="s">
        <v>296</v>
      </c>
      <c r="C8" s="2645" t="s">
        <v>1662</v>
      </c>
      <c r="D8" s="2645" t="s">
        <v>4687</v>
      </c>
      <c r="E8" s="2861" t="s">
        <v>3871</v>
      </c>
      <c r="F8" s="2861" t="s">
        <v>2574</v>
      </c>
      <c r="G8" s="2862" t="s">
        <v>3232</v>
      </c>
      <c r="H8" s="2933" t="str">
        <f>HLOOKUP(Non_UN,'Other Translations'!$A:$L,1+translations!J8,)</f>
        <v>Projektname</v>
      </c>
      <c r="J8" s="2936">
        <v>7</v>
      </c>
    </row>
    <row r="9" spans="1:10" s="2938" customFormat="1">
      <c r="A9" s="2937" t="s">
        <v>1673</v>
      </c>
      <c r="B9" s="2645" t="s">
        <v>297</v>
      </c>
      <c r="C9" s="2645" t="s">
        <v>297</v>
      </c>
      <c r="D9" s="2645" t="s">
        <v>2403</v>
      </c>
      <c r="E9" s="2861" t="s">
        <v>3872</v>
      </c>
      <c r="F9" s="2861" t="s">
        <v>2575</v>
      </c>
      <c r="G9" s="2862" t="s">
        <v>3233</v>
      </c>
      <c r="H9" s="2933" t="str">
        <f>HLOOKUP(Non_UN,'Other Translations'!$A:$L,1+translations!J9,)</f>
        <v>Kontinent</v>
      </c>
      <c r="J9" s="2936">
        <v>8</v>
      </c>
    </row>
    <row r="10" spans="1:10" s="2938" customFormat="1">
      <c r="A10" s="2937" t="s">
        <v>1673</v>
      </c>
      <c r="B10" s="2645" t="s">
        <v>298</v>
      </c>
      <c r="C10" s="2645" t="s">
        <v>1663</v>
      </c>
      <c r="D10" s="2645" t="s">
        <v>4688</v>
      </c>
      <c r="E10" s="2861" t="s">
        <v>3873</v>
      </c>
      <c r="F10" s="2861" t="s">
        <v>2576</v>
      </c>
      <c r="G10" s="2862" t="s">
        <v>3234</v>
      </c>
      <c r="H10" s="2933" t="str">
        <f>HLOOKUP(Non_UN,'Other Translations'!$A:$L,1+translations!J10,)</f>
        <v>Klima</v>
      </c>
      <c r="J10" s="2936">
        <v>9</v>
      </c>
    </row>
    <row r="11" spans="1:10" s="2938" customFormat="1">
      <c r="A11" s="2937" t="s">
        <v>1673</v>
      </c>
      <c r="B11" s="2645" t="s">
        <v>514</v>
      </c>
      <c r="C11" s="2645" t="s">
        <v>1664</v>
      </c>
      <c r="D11" s="2645" t="s">
        <v>4689</v>
      </c>
      <c r="E11" s="2861" t="s">
        <v>3874</v>
      </c>
      <c r="F11" s="2861" t="s">
        <v>3157</v>
      </c>
      <c r="G11" s="2862" t="s">
        <v>3235</v>
      </c>
      <c r="H11" s="2933" t="str">
        <f>HLOOKUP(Non_UN,'Other Translations'!$A:$L,1+translations!J11,)</f>
        <v>Feuchtigkeitsbedingungen</v>
      </c>
      <c r="J11" s="2936">
        <v>10</v>
      </c>
    </row>
    <row r="12" spans="1:10" s="2938" customFormat="1">
      <c r="A12" s="2937" t="s">
        <v>1673</v>
      </c>
      <c r="B12" s="2645" t="s">
        <v>517</v>
      </c>
      <c r="C12" s="2645" t="s">
        <v>1665</v>
      </c>
      <c r="D12" s="2645" t="s">
        <v>4690</v>
      </c>
      <c r="E12" s="2861" t="s">
        <v>3875</v>
      </c>
      <c r="F12" s="2861" t="s">
        <v>2577</v>
      </c>
      <c r="G12" s="2862" t="s">
        <v>3236</v>
      </c>
      <c r="H12" s="2933" t="str">
        <f>HLOOKUP(Non_UN,'Other Translations'!$A:$L,1+translations!J12,)</f>
        <v>Hauptbodentyp</v>
      </c>
      <c r="J12" s="2936">
        <v>11</v>
      </c>
    </row>
    <row r="13" spans="1:10" s="2938" customFormat="1">
      <c r="A13" s="2937" t="s">
        <v>1673</v>
      </c>
      <c r="B13" s="2645" t="s">
        <v>706</v>
      </c>
      <c r="C13" s="2645" t="s">
        <v>1666</v>
      </c>
      <c r="D13" s="2645" t="s">
        <v>4691</v>
      </c>
      <c r="E13" s="2861" t="s">
        <v>3876</v>
      </c>
      <c r="F13" s="2861" t="s">
        <v>2578</v>
      </c>
      <c r="G13" s="2862" t="s">
        <v>3237</v>
      </c>
      <c r="H13" s="2933" t="str">
        <f>HLOOKUP(Non_UN,'Other Translations'!$A:$L,1+translations!J13,)</f>
        <v>Projektdauer (in Jahren)</v>
      </c>
      <c r="J13" s="2936">
        <v>12</v>
      </c>
    </row>
    <row r="14" spans="1:10" s="2938" customFormat="1">
      <c r="A14" s="2937" t="s">
        <v>1673</v>
      </c>
      <c r="B14" s="2645" t="s">
        <v>860</v>
      </c>
      <c r="C14" s="2645" t="s">
        <v>1667</v>
      </c>
      <c r="D14" s="2645" t="s">
        <v>4692</v>
      </c>
      <c r="E14" s="2861" t="s">
        <v>3877</v>
      </c>
      <c r="F14" s="2861" t="s">
        <v>2579</v>
      </c>
      <c r="G14" s="2862" t="s">
        <v>3238</v>
      </c>
      <c r="H14" s="2933" t="str">
        <f>HLOOKUP(Non_UN,'Other Translations'!$A:$L,1+translations!J14,)</f>
        <v>Durchführungsphase</v>
      </c>
      <c r="J14" s="2936">
        <v>13</v>
      </c>
    </row>
    <row r="15" spans="1:10" s="2938" customFormat="1">
      <c r="A15" s="2937" t="s">
        <v>1673</v>
      </c>
      <c r="B15" s="2645" t="s">
        <v>861</v>
      </c>
      <c r="C15" s="2645" t="s">
        <v>1668</v>
      </c>
      <c r="D15" s="2645" t="s">
        <v>4693</v>
      </c>
      <c r="E15" s="2861" t="s">
        <v>3878</v>
      </c>
      <c r="F15" s="2861" t="s">
        <v>2580</v>
      </c>
      <c r="G15" s="2862" t="s">
        <v>3239</v>
      </c>
      <c r="H15" s="2933" t="str">
        <f>HLOOKUP(Non_UN,'Other Translations'!$A:$L,1+translations!J15,)</f>
        <v>Kapitalisierungsphase</v>
      </c>
      <c r="J15" s="2936">
        <v>14</v>
      </c>
    </row>
    <row r="16" spans="1:10" s="2938" customFormat="1">
      <c r="A16" s="2937" t="s">
        <v>1673</v>
      </c>
      <c r="B16" s="2645" t="s">
        <v>707</v>
      </c>
      <c r="C16" s="2645" t="s">
        <v>1669</v>
      </c>
      <c r="D16" s="2645" t="s">
        <v>4694</v>
      </c>
      <c r="E16" s="2861" t="s">
        <v>3879</v>
      </c>
      <c r="F16" s="2861" t="s">
        <v>2581</v>
      </c>
      <c r="G16" s="2862" t="s">
        <v>3240</v>
      </c>
      <c r="H16" s="2933" t="str">
        <f>HLOOKUP(Non_UN,'Other Translations'!$A:$L,1+translations!J16,)</f>
        <v>Gesamtberechnungszeitraum</v>
      </c>
      <c r="J16" s="2936">
        <v>15</v>
      </c>
    </row>
    <row r="17" spans="1:10" s="2938" customFormat="1">
      <c r="A17" s="2937" t="s">
        <v>1673</v>
      </c>
      <c r="B17" s="2646" t="s">
        <v>1675</v>
      </c>
      <c r="C17" s="2646" t="s">
        <v>1677</v>
      </c>
      <c r="D17" s="2645" t="s">
        <v>4695</v>
      </c>
      <c r="E17" s="2861" t="s">
        <v>3880</v>
      </c>
      <c r="F17" s="2861" t="s">
        <v>2582</v>
      </c>
      <c r="G17" s="2862" t="s">
        <v>3241</v>
      </c>
      <c r="H17" s="2933" t="str">
        <f>HLOOKUP(Non_UN,'Other Translations'!$A:$L,1+translations!J17,)</f>
        <v>Klima ?</v>
      </c>
      <c r="J17" s="2936">
        <v>16</v>
      </c>
    </row>
    <row r="18" spans="1:10" s="2938" customFormat="1">
      <c r="A18" s="2937" t="s">
        <v>1673</v>
      </c>
      <c r="B18" s="2646" t="s">
        <v>1674</v>
      </c>
      <c r="C18" s="2646" t="s">
        <v>1678</v>
      </c>
      <c r="D18" s="2645" t="s">
        <v>4696</v>
      </c>
      <c r="E18" s="2861" t="s">
        <v>3881</v>
      </c>
      <c r="F18" s="2861" t="s">
        <v>2583</v>
      </c>
      <c r="G18" s="2862" t="s">
        <v>3242</v>
      </c>
      <c r="H18" s="2933" t="str">
        <f>HLOOKUP(Non_UN,'Other Translations'!$A:$L,1+translations!J18,)</f>
        <v>Bodentyp ?</v>
      </c>
      <c r="J18" s="2936">
        <v>17</v>
      </c>
    </row>
    <row r="19" spans="1:10" s="2938" customFormat="1">
      <c r="A19" s="2937" t="s">
        <v>1673</v>
      </c>
      <c r="B19" s="2646" t="s">
        <v>1765</v>
      </c>
      <c r="C19" s="2646" t="s">
        <v>1721</v>
      </c>
      <c r="D19" s="2646" t="s">
        <v>5211</v>
      </c>
      <c r="E19" s="2861" t="s">
        <v>5545</v>
      </c>
      <c r="F19" s="2861" t="s">
        <v>3153</v>
      </c>
      <c r="G19" s="2862" t="s">
        <v>5546</v>
      </c>
      <c r="H19" s="2933" t="str">
        <f>HLOOKUP(Non_UN,'Other Translations'!$A:$L,1+translations!J19,)</f>
        <v>Übersetzung:</v>
      </c>
      <c r="J19" s="2936">
        <v>18</v>
      </c>
    </row>
    <row r="20" spans="1:10" s="2641" customFormat="1" ht="14.4">
      <c r="A20" s="2939"/>
      <c r="B20" s="2640" t="str">
        <f>B7</f>
        <v>English</v>
      </c>
      <c r="C20" s="2640" t="str">
        <f>C1</f>
        <v>Français</v>
      </c>
      <c r="D20" s="2640" t="str">
        <f>D1</f>
        <v>Español</v>
      </c>
      <c r="E20" s="2640" t="str">
        <f>E1</f>
        <v>中文</v>
      </c>
      <c r="F20" s="2873" t="s">
        <v>2571</v>
      </c>
      <c r="G20" s="2641" t="str">
        <f>G7</f>
        <v>عربي</v>
      </c>
      <c r="H20" s="2641" t="str">
        <f>Non_UN</f>
        <v>Deutsch</v>
      </c>
      <c r="J20" s="2936">
        <v>19</v>
      </c>
    </row>
    <row r="21" spans="1:10" s="2941" customFormat="1">
      <c r="A21" s="2940" t="s">
        <v>1676</v>
      </c>
      <c r="B21" s="2668" t="s">
        <v>1431</v>
      </c>
      <c r="C21" s="2668" t="s">
        <v>1785</v>
      </c>
      <c r="D21" s="2669" t="s">
        <v>4697</v>
      </c>
      <c r="E21" s="2861" t="s">
        <v>3882</v>
      </c>
      <c r="F21" s="2861" t="s">
        <v>2584</v>
      </c>
      <c r="G21" s="2862" t="s">
        <v>3243</v>
      </c>
      <c r="H21" s="2933" t="str">
        <f>HLOOKUP(Non_UN,'Other Translations'!$A:$L,1+translations!J21,)</f>
        <v>2.1. Abholzung</v>
      </c>
      <c r="J21" s="2936">
        <v>20</v>
      </c>
    </row>
    <row r="22" spans="1:10" s="2941" customFormat="1">
      <c r="A22" s="2940" t="s">
        <v>1676</v>
      </c>
      <c r="B22" s="2668" t="s">
        <v>1684</v>
      </c>
      <c r="C22" s="2668" t="s">
        <v>1685</v>
      </c>
      <c r="D22" s="2669" t="s">
        <v>4698</v>
      </c>
      <c r="E22" s="2861" t="s">
        <v>3883</v>
      </c>
      <c r="F22" s="2861" t="s">
        <v>2585</v>
      </c>
      <c r="G22" s="2862" t="s">
        <v>3244</v>
      </c>
      <c r="H22" s="2933" t="str">
        <f>HLOOKUP(Non_UN,'Other Translations'!$A:$L,1+translations!J22,)</f>
        <v>Karte der AEZ</v>
      </c>
      <c r="J22" s="2936">
        <v>21</v>
      </c>
    </row>
    <row r="23" spans="1:10" s="2941" customFormat="1">
      <c r="A23" s="2940" t="s">
        <v>1676</v>
      </c>
      <c r="B23" s="2669" t="s">
        <v>1309</v>
      </c>
      <c r="C23" s="2669" t="s">
        <v>1702</v>
      </c>
      <c r="D23" s="2669" t="s">
        <v>4699</v>
      </c>
      <c r="E23" s="2861" t="s">
        <v>3884</v>
      </c>
      <c r="F23" s="2861" t="s">
        <v>2586</v>
      </c>
      <c r="G23" s="2862" t="s">
        <v>3245</v>
      </c>
      <c r="H23" s="2933" t="str">
        <f>HLOOKUP(Non_UN,'Other Translations'!$A:$L,1+translations!J23,)</f>
        <v>Vegetationstyp</v>
      </c>
      <c r="J23" s="2936">
        <v>22</v>
      </c>
    </row>
    <row r="24" spans="1:10" s="2941" customFormat="1">
      <c r="A24" s="2940" t="s">
        <v>1676</v>
      </c>
      <c r="B24" s="2669" t="s">
        <v>1318</v>
      </c>
      <c r="C24" s="2669" t="s">
        <v>1704</v>
      </c>
      <c r="D24" s="2669" t="s">
        <v>4700</v>
      </c>
      <c r="E24" s="2861" t="s">
        <v>3885</v>
      </c>
      <c r="F24" s="2861" t="s">
        <v>2587</v>
      </c>
      <c r="G24" s="2862" t="s">
        <v>3246</v>
      </c>
      <c r="H24" s="2933" t="str">
        <f>HLOOKUP(Non_UN,'Other Translations'!$A:$L,1+translations!J24,)</f>
        <v>der abgeholzt wird</v>
      </c>
      <c r="J24" s="2936">
        <v>23</v>
      </c>
    </row>
    <row r="25" spans="1:10" s="2941" customFormat="1" ht="15.6">
      <c r="A25" s="2940" t="s">
        <v>1676</v>
      </c>
      <c r="B25" s="2668" t="s">
        <v>1703</v>
      </c>
      <c r="C25" s="2669" t="s">
        <v>1705</v>
      </c>
      <c r="D25" s="2669" t="s">
        <v>4736</v>
      </c>
      <c r="E25" s="2861" t="s">
        <v>3886</v>
      </c>
      <c r="F25" s="2861" t="s">
        <v>2588</v>
      </c>
      <c r="G25" s="2862" t="s">
        <v>3247</v>
      </c>
      <c r="H25" s="2933" t="str">
        <f>HLOOKUP(Non_UN,'Other Translations'!$A:$L,1+translations!J25,)</f>
        <v>HWP#</v>
      </c>
      <c r="J25" s="2936">
        <v>24</v>
      </c>
    </row>
    <row r="26" spans="1:10" s="2941" customFormat="1">
      <c r="A26" s="2940" t="s">
        <v>1676</v>
      </c>
      <c r="B26" s="2669" t="s">
        <v>1717</v>
      </c>
      <c r="C26" s="2669" t="s">
        <v>1716</v>
      </c>
      <c r="D26" s="2669" t="s">
        <v>4701</v>
      </c>
      <c r="E26" s="2861" t="s">
        <v>3887</v>
      </c>
      <c r="F26" s="2861" t="s">
        <v>2589</v>
      </c>
      <c r="G26" s="2862" t="s">
        <v>3248</v>
      </c>
      <c r="H26" s="2933" t="str">
        <f>HLOOKUP(Non_UN,'Other Translations'!$A:$L,1+translations!J26,)</f>
        <v>Feuer?</v>
      </c>
      <c r="J26" s="2936">
        <v>25</v>
      </c>
    </row>
    <row r="27" spans="1:10" s="2941" customFormat="1">
      <c r="A27" s="2940" t="s">
        <v>1676</v>
      </c>
      <c r="B27" s="2669" t="s">
        <v>1316</v>
      </c>
      <c r="C27" s="2669" t="s">
        <v>1706</v>
      </c>
      <c r="D27" s="2669" t="s">
        <v>4702</v>
      </c>
      <c r="E27" s="2861" t="s">
        <v>3888</v>
      </c>
      <c r="F27" s="2861" t="s">
        <v>2590</v>
      </c>
      <c r="G27" s="2862" t="s">
        <v>3249</v>
      </c>
      <c r="H27" s="2933" t="str">
        <f>HLOOKUP(Non_UN,'Other Translations'!$A:$L,1+translations!J27,)</f>
        <v>Landnutzung nach der Abholzung</v>
      </c>
      <c r="J27" s="2936">
        <v>26</v>
      </c>
    </row>
    <row r="28" spans="1:10" s="2941" customFormat="1">
      <c r="A28" s="2940" t="s">
        <v>1676</v>
      </c>
      <c r="B28" s="2669" t="s">
        <v>1311</v>
      </c>
      <c r="C28" s="2669" t="s">
        <v>1708</v>
      </c>
      <c r="D28" s="2669" t="s">
        <v>4703</v>
      </c>
      <c r="E28" s="2861" t="s">
        <v>3889</v>
      </c>
      <c r="F28" s="2861" t="s">
        <v>2591</v>
      </c>
      <c r="G28" s="2862" t="s">
        <v>3250</v>
      </c>
      <c r="H28" s="2933" t="str">
        <f>HLOOKUP(Non_UN,'Other Translations'!$A:$L,1+translations!J28,)</f>
        <v>Bewaldetes Gebiet (ha)</v>
      </c>
      <c r="J28" s="2936">
        <v>27</v>
      </c>
    </row>
    <row r="29" spans="1:10" s="2941" customFormat="1">
      <c r="A29" s="2940" t="s">
        <v>1676</v>
      </c>
      <c r="B29" s="2669" t="s">
        <v>1317</v>
      </c>
      <c r="C29" s="2669" t="s">
        <v>1709</v>
      </c>
      <c r="D29" s="2669" t="s">
        <v>4704</v>
      </c>
      <c r="E29" s="2861" t="s">
        <v>3890</v>
      </c>
      <c r="F29" s="2861" t="s">
        <v>2592</v>
      </c>
      <c r="G29" s="2862" t="s">
        <v>3251</v>
      </c>
      <c r="H29" s="2933" t="str">
        <f>HLOOKUP(Non_UN,'Other Translations'!$A:$L,1+translations!J29,)</f>
        <v>Abgeholztes Gebiet (ha)</v>
      </c>
      <c r="J29" s="2936">
        <v>28</v>
      </c>
    </row>
    <row r="30" spans="1:10" s="2941" customFormat="1">
      <c r="A30" s="2940" t="s">
        <v>1676</v>
      </c>
      <c r="B30" s="2669" t="s">
        <v>1322</v>
      </c>
      <c r="C30" s="2669" t="s">
        <v>1707</v>
      </c>
      <c r="D30" s="2669" t="s">
        <v>4705</v>
      </c>
      <c r="E30" s="2861" t="s">
        <v>3891</v>
      </c>
      <c r="F30" s="2861" t="s">
        <v>3158</v>
      </c>
      <c r="G30" s="2862" t="s">
        <v>3252</v>
      </c>
      <c r="H30" s="2933" t="str">
        <f>HLOOKUP(Non_UN,'Other Translations'!$A:$L,1+translations!J30,)</f>
        <v>Gesamt GHG (tCO2-eq)</v>
      </c>
      <c r="J30" s="2936">
        <v>29</v>
      </c>
    </row>
    <row r="31" spans="1:10" s="2941" customFormat="1">
      <c r="A31" s="2940" t="s">
        <v>1676</v>
      </c>
      <c r="B31" s="2669" t="s">
        <v>1314</v>
      </c>
      <c r="C31" s="2669" t="s">
        <v>1710</v>
      </c>
      <c r="D31" s="2669" t="s">
        <v>1314</v>
      </c>
      <c r="E31" s="2861" t="s">
        <v>3892</v>
      </c>
      <c r="F31" s="2861" t="s">
        <v>2593</v>
      </c>
      <c r="G31" s="2862" t="s">
        <v>3253</v>
      </c>
      <c r="H31" s="2933" t="str">
        <f>HLOOKUP(Non_UN,'Other Translations'!$A:$L,1+translations!J31,)</f>
        <v>Bilanz</v>
      </c>
      <c r="J31" s="2936">
        <v>30</v>
      </c>
    </row>
    <row r="32" spans="1:10" s="2941" customFormat="1">
      <c r="A32" s="2940" t="s">
        <v>1676</v>
      </c>
      <c r="B32" s="2669" t="s">
        <v>1312</v>
      </c>
      <c r="C32" s="2669" t="s">
        <v>1711</v>
      </c>
      <c r="D32" s="2669" t="s">
        <v>4706</v>
      </c>
      <c r="E32" s="2861" t="s">
        <v>3893</v>
      </c>
      <c r="F32" s="2861" t="s">
        <v>3159</v>
      </c>
      <c r="G32" s="2669" t="s">
        <v>3254</v>
      </c>
      <c r="H32" s="2933" t="str">
        <f>HLOOKUP(Non_UN,'Other Translations'!$A:$L,1+translations!J32,)</f>
        <v>(tDM/ha)</v>
      </c>
      <c r="J32" s="2936">
        <v>31</v>
      </c>
    </row>
    <row r="33" spans="1:10" s="2941" customFormat="1">
      <c r="A33" s="2940" t="s">
        <v>1676</v>
      </c>
      <c r="B33" s="2669" t="s">
        <v>1313</v>
      </c>
      <c r="C33" s="2668" t="s">
        <v>2424</v>
      </c>
      <c r="D33" s="2669" t="s">
        <v>4707</v>
      </c>
      <c r="E33" s="2861" t="s">
        <v>3894</v>
      </c>
      <c r="F33" s="2861" t="s">
        <v>3160</v>
      </c>
      <c r="G33" s="2862" t="s">
        <v>3255</v>
      </c>
      <c r="H33" s="2933" t="str">
        <f>HLOOKUP(Non_UN,'Other Translations'!$A:$L,1+translations!J33,)</f>
        <v>(y/n)</v>
      </c>
      <c r="J33" s="2936">
        <v>32</v>
      </c>
    </row>
    <row r="34" spans="1:10" s="2941" customFormat="1">
      <c r="A34" s="2940" t="s">
        <v>1676</v>
      </c>
      <c r="B34" s="2669" t="s">
        <v>1713</v>
      </c>
      <c r="C34" s="2669" t="s">
        <v>1712</v>
      </c>
      <c r="D34" s="2669" t="s">
        <v>4708</v>
      </c>
      <c r="E34" s="2861" t="s">
        <v>3895</v>
      </c>
      <c r="F34" s="2861" t="s">
        <v>2594</v>
      </c>
      <c r="G34" s="2862" t="s">
        <v>3256</v>
      </c>
      <c r="H34" s="2933" t="str">
        <f>HLOOKUP(Non_UN,'Other Translations'!$A:$L,1+translations!J34,)</f>
        <v>#Abgetragene Holzernte</v>
      </c>
      <c r="J34" s="2936">
        <v>33</v>
      </c>
    </row>
    <row r="35" spans="1:10" s="2941" customFormat="1" ht="39.6">
      <c r="A35" s="2940" t="s">
        <v>1676</v>
      </c>
      <c r="B35" s="2668" t="s">
        <v>6148</v>
      </c>
      <c r="C35" s="2668" t="s">
        <v>1714</v>
      </c>
      <c r="D35" s="2669" t="s">
        <v>5562</v>
      </c>
      <c r="E35" s="2861" t="s">
        <v>3896</v>
      </c>
      <c r="F35" s="2861" t="s">
        <v>2595</v>
      </c>
      <c r="G35" s="2861" t="s">
        <v>3257</v>
      </c>
      <c r="H35" s="2933" t="str">
        <f>HLOOKUP(Non_UN,'Other Translations'!$A:$L,1+translations!J35,)</f>
        <v>* Hinweis zur Dynamik der Landnutzungsänderung: "D" default/linear, "I" sofortig und "E" exponentiell (siehe Leitlinien)</v>
      </c>
      <c r="J35" s="2936">
        <v>34</v>
      </c>
    </row>
    <row r="36" spans="1:10" s="2941" customFormat="1">
      <c r="A36" s="2940" t="s">
        <v>1676</v>
      </c>
      <c r="B36" s="2669" t="s">
        <v>1315</v>
      </c>
      <c r="C36" s="2669" t="s">
        <v>1715</v>
      </c>
      <c r="D36" s="2669" t="s">
        <v>4709</v>
      </c>
      <c r="E36" s="2861" t="s">
        <v>3897</v>
      </c>
      <c r="F36" s="2861" t="s">
        <v>2596</v>
      </c>
      <c r="G36" s="2862" t="s">
        <v>3258</v>
      </c>
      <c r="H36" s="2933" t="str">
        <f>HLOOKUP(Non_UN,'Other Translations'!$A:$L,1+translations!J36,)</f>
        <v>Gesamt: Abholzung</v>
      </c>
      <c r="J36" s="2936">
        <v>35</v>
      </c>
    </row>
    <row r="37" spans="1:10" s="2941" customFormat="1">
      <c r="A37" s="2940" t="s">
        <v>1676</v>
      </c>
      <c r="B37" s="2669" t="s">
        <v>345</v>
      </c>
      <c r="C37" s="2669" t="s">
        <v>1718</v>
      </c>
      <c r="D37" s="2669" t="s">
        <v>4710</v>
      </c>
      <c r="E37" s="2861" t="s">
        <v>3898</v>
      </c>
      <c r="F37" s="2861" t="s">
        <v>2597</v>
      </c>
      <c r="G37" s="2862" t="s">
        <v>3259</v>
      </c>
      <c r="H37" s="2933" t="str">
        <f>HLOOKUP(Non_UN,'Other Translations'!$A:$L,1+translations!J37,)</f>
        <v>Start</v>
      </c>
      <c r="J37" s="2936">
        <v>36</v>
      </c>
    </row>
    <row r="38" spans="1:10" s="2941" customFormat="1">
      <c r="A38" s="2940" t="s">
        <v>1676</v>
      </c>
      <c r="B38" s="2669" t="s">
        <v>690</v>
      </c>
      <c r="C38" s="2669" t="s">
        <v>1719</v>
      </c>
      <c r="D38" s="2669" t="s">
        <v>4711</v>
      </c>
      <c r="E38" s="2861" t="s">
        <v>3899</v>
      </c>
      <c r="F38" s="2861" t="s">
        <v>2598</v>
      </c>
      <c r="G38" s="2862" t="s">
        <v>3260</v>
      </c>
      <c r="H38" s="2933" t="str">
        <f>HLOOKUP(Non_UN,'Other Translations'!$A:$L,1+translations!J38,)</f>
        <v>Ohne</v>
      </c>
      <c r="J38" s="2936">
        <v>37</v>
      </c>
    </row>
    <row r="39" spans="1:10" s="2941" customFormat="1">
      <c r="A39" s="2940" t="s">
        <v>1676</v>
      </c>
      <c r="B39" s="2669" t="s">
        <v>691</v>
      </c>
      <c r="C39" s="2669" t="s">
        <v>1720</v>
      </c>
      <c r="D39" s="2669" t="s">
        <v>4712</v>
      </c>
      <c r="E39" s="2861" t="s">
        <v>3900</v>
      </c>
      <c r="F39" s="2861" t="s">
        <v>2599</v>
      </c>
      <c r="G39" s="2862" t="s">
        <v>3261</v>
      </c>
      <c r="H39" s="2933" t="str">
        <f>HLOOKUP(Non_UN,'Other Translations'!$A:$L,1+translations!J39,)</f>
        <v xml:space="preserve">Mit </v>
      </c>
      <c r="J39" s="2936">
        <v>38</v>
      </c>
    </row>
    <row r="40" spans="1:10" s="2941" customFormat="1">
      <c r="A40" s="2940" t="s">
        <v>1676</v>
      </c>
      <c r="B40" s="2669" t="s">
        <v>1753</v>
      </c>
      <c r="C40" s="2669" t="s">
        <v>1753</v>
      </c>
      <c r="D40" s="2669" t="s">
        <v>2431</v>
      </c>
      <c r="E40" s="2861" t="s">
        <v>3901</v>
      </c>
      <c r="F40" s="2861" t="s">
        <v>2600</v>
      </c>
      <c r="G40" s="2862" t="s">
        <v>3262</v>
      </c>
      <c r="H40" s="2933" t="str">
        <f>HLOOKUP(Non_UN,'Other Translations'!$A:$L,1+translations!J40,)</f>
        <v xml:space="preserve">Zone 1 = </v>
      </c>
      <c r="J40" s="2936">
        <v>39</v>
      </c>
    </row>
    <row r="41" spans="1:10" s="2941" customFormat="1">
      <c r="A41" s="2940" t="s">
        <v>1676</v>
      </c>
      <c r="B41" s="2669" t="s">
        <v>1751</v>
      </c>
      <c r="C41" s="2669" t="s">
        <v>1751</v>
      </c>
      <c r="D41" s="2669" t="s">
        <v>2432</v>
      </c>
      <c r="E41" s="2861" t="s">
        <v>3902</v>
      </c>
      <c r="F41" s="2861" t="s">
        <v>2601</v>
      </c>
      <c r="G41" s="2862" t="s">
        <v>3263</v>
      </c>
      <c r="H41" s="2933" t="str">
        <f>HLOOKUP(Non_UN,'Other Translations'!$A:$L,1+translations!J41,)</f>
        <v xml:space="preserve">Zone 2 = </v>
      </c>
      <c r="J41" s="2936">
        <v>40</v>
      </c>
    </row>
    <row r="42" spans="1:10" s="2941" customFormat="1">
      <c r="A42" s="2940" t="s">
        <v>1676</v>
      </c>
      <c r="B42" s="2669" t="s">
        <v>1754</v>
      </c>
      <c r="C42" s="2669" t="s">
        <v>1754</v>
      </c>
      <c r="D42" s="2669" t="s">
        <v>2433</v>
      </c>
      <c r="E42" s="2861" t="s">
        <v>3903</v>
      </c>
      <c r="F42" s="2861" t="s">
        <v>2602</v>
      </c>
      <c r="G42" s="2862" t="s">
        <v>3264</v>
      </c>
      <c r="H42" s="2933" t="str">
        <f>HLOOKUP(Non_UN,'Other Translations'!$A:$L,1+translations!J42,)</f>
        <v xml:space="preserve">Zone 3 = </v>
      </c>
      <c r="J42" s="2936">
        <v>41</v>
      </c>
    </row>
    <row r="43" spans="1:10" s="2941" customFormat="1">
      <c r="A43" s="2940" t="s">
        <v>1676</v>
      </c>
      <c r="B43" s="2669" t="s">
        <v>1755</v>
      </c>
      <c r="C43" s="2669" t="s">
        <v>1755</v>
      </c>
      <c r="D43" s="2669" t="s">
        <v>2434</v>
      </c>
      <c r="E43" s="2861" t="s">
        <v>3904</v>
      </c>
      <c r="F43" s="2861" t="s">
        <v>2603</v>
      </c>
      <c r="G43" s="2862" t="s">
        <v>3265</v>
      </c>
      <c r="H43" s="2933" t="str">
        <f>HLOOKUP(Non_UN,'Other Translations'!$A:$L,1+translations!J43,)</f>
        <v xml:space="preserve">Zone 4 = </v>
      </c>
      <c r="J43" s="2936">
        <v>42</v>
      </c>
    </row>
    <row r="44" spans="1:10" s="2941" customFormat="1">
      <c r="A44" s="2940" t="s">
        <v>1676</v>
      </c>
      <c r="B44" s="2668" t="s">
        <v>1432</v>
      </c>
      <c r="C44" s="2668" t="s">
        <v>1784</v>
      </c>
      <c r="D44" s="2669" t="s">
        <v>4713</v>
      </c>
      <c r="E44" s="2861" t="s">
        <v>3905</v>
      </c>
      <c r="F44" s="2861" t="s">
        <v>2604</v>
      </c>
      <c r="G44" s="2942" t="s">
        <v>3266</v>
      </c>
      <c r="H44" s="2933" t="str">
        <f>HLOOKUP(Non_UN,'Other Translations'!$A:$L,1+translations!J44,)</f>
        <v>2.2. Aufforstung und Wiederaufforstung</v>
      </c>
      <c r="J44" s="2936">
        <v>43</v>
      </c>
    </row>
    <row r="45" spans="1:10" s="2941" customFormat="1">
      <c r="A45" s="2940" t="s">
        <v>1676</v>
      </c>
      <c r="B45" s="2669" t="s">
        <v>1320</v>
      </c>
      <c r="C45" s="2669" t="s">
        <v>1777</v>
      </c>
      <c r="D45" s="2669" t="s">
        <v>4714</v>
      </c>
      <c r="E45" s="2861" t="s">
        <v>3906</v>
      </c>
      <c r="F45" s="2861" t="s">
        <v>2605</v>
      </c>
      <c r="G45" s="2862" t="s">
        <v>3267</v>
      </c>
      <c r="H45" s="2933" t="str">
        <f>HLOOKUP(Non_UN,'Other Translations'!$A:$L,1+translations!J45,)</f>
        <v>Vorherige Landnutzung</v>
      </c>
      <c r="J45" s="2936">
        <v>44</v>
      </c>
    </row>
    <row r="46" spans="1:10" s="2941" customFormat="1">
      <c r="A46" s="2940" t="s">
        <v>1676</v>
      </c>
      <c r="B46" s="2669" t="s">
        <v>1321</v>
      </c>
      <c r="C46" s="2669" t="s">
        <v>1778</v>
      </c>
      <c r="D46" s="2669" t="s">
        <v>4715</v>
      </c>
      <c r="E46" s="2861" t="s">
        <v>3907</v>
      </c>
      <c r="F46" s="2861" t="s">
        <v>2606</v>
      </c>
      <c r="G46" s="2862" t="s">
        <v>3268</v>
      </c>
      <c r="H46" s="2933" t="str">
        <f>HLOOKUP(Non_UN,'Other Translations'!$A:$L,1+translations!J46,)</f>
        <v>Gebiet mit Aufforstung</v>
      </c>
      <c r="J46" s="2936">
        <v>45</v>
      </c>
    </row>
    <row r="47" spans="1:10" s="2941" customFormat="1">
      <c r="A47" s="2940" t="s">
        <v>1676</v>
      </c>
      <c r="B47" s="2668" t="s">
        <v>6152</v>
      </c>
      <c r="C47" s="2669" t="s">
        <v>1779</v>
      </c>
      <c r="D47" s="2669" t="s">
        <v>4716</v>
      </c>
      <c r="E47" s="2861" t="s">
        <v>3908</v>
      </c>
      <c r="F47" s="2861" t="s">
        <v>2607</v>
      </c>
      <c r="G47" s="2862" t="s">
        <v>3269</v>
      </c>
      <c r="H47" s="2933" t="str">
        <f>HLOOKUP(Non_UN,'Other Translations'!$A:$L,1+translations!J47,)</f>
        <v>Gesamt: Aufforstung</v>
      </c>
      <c r="J47" s="2936">
        <v>46</v>
      </c>
    </row>
    <row r="48" spans="1:10" s="2941" customFormat="1">
      <c r="A48" s="2940" t="s">
        <v>1676</v>
      </c>
      <c r="B48" s="2668" t="s">
        <v>6153</v>
      </c>
      <c r="C48" s="2668" t="s">
        <v>1786</v>
      </c>
      <c r="D48" s="2669" t="s">
        <v>4717</v>
      </c>
      <c r="E48" s="2861" t="s">
        <v>3909</v>
      </c>
      <c r="F48" s="2861" t="s">
        <v>2608</v>
      </c>
      <c r="G48" s="2862" t="s">
        <v>3270</v>
      </c>
      <c r="H48" s="2933" t="str">
        <f>HLOOKUP(Non_UN,'Other Translations'!$A:$L,1+translations!J48,)</f>
        <v>2.3. Andere Landnutzungsänderung (OLUC)</v>
      </c>
      <c r="J48" s="2936">
        <v>47</v>
      </c>
    </row>
    <row r="49" spans="1:10" s="2941" customFormat="1">
      <c r="A49" s="2940" t="s">
        <v>1676</v>
      </c>
      <c r="B49" s="2668" t="s">
        <v>6146</v>
      </c>
      <c r="C49" s="2668" t="s">
        <v>1787</v>
      </c>
      <c r="D49" s="2669" t="s">
        <v>4718</v>
      </c>
      <c r="E49" s="2861" t="s">
        <v>3910</v>
      </c>
      <c r="F49" s="2861" t="s">
        <v>2609</v>
      </c>
      <c r="G49" s="2862" t="s">
        <v>3271</v>
      </c>
      <c r="H49" s="2933" t="str">
        <f>HLOOKUP(Non_UN,'Other Translations'!$A:$L,1+translations!J49,)</f>
        <v>Kurzbeschreibung</v>
      </c>
      <c r="J49" s="2936">
        <v>48</v>
      </c>
    </row>
    <row r="50" spans="1:10" s="2941" customFormat="1">
      <c r="A50" s="2940" t="s">
        <v>1676</v>
      </c>
      <c r="B50" s="2668" t="s">
        <v>1323</v>
      </c>
      <c r="C50" s="2668" t="s">
        <v>1788</v>
      </c>
      <c r="D50" s="2669" t="s">
        <v>4719</v>
      </c>
      <c r="E50" s="2861" t="s">
        <v>3911</v>
      </c>
      <c r="F50" s="2861" t="s">
        <v>2610</v>
      </c>
      <c r="G50" s="2862" t="s">
        <v>3272</v>
      </c>
      <c r="H50" s="2933" t="str">
        <f>HLOOKUP(Non_UN,'Other Translations'!$A:$L,1+translations!J50,)</f>
        <v>Ursprüngliche Landnutzung</v>
      </c>
      <c r="J50" s="2936">
        <v>49</v>
      </c>
    </row>
    <row r="51" spans="1:10" s="2941" customFormat="1">
      <c r="A51" s="2940" t="s">
        <v>1676</v>
      </c>
      <c r="B51" s="2668" t="s">
        <v>1324</v>
      </c>
      <c r="C51" s="2668" t="s">
        <v>1789</v>
      </c>
      <c r="D51" s="2669" t="s">
        <v>4720</v>
      </c>
      <c r="E51" s="2861" t="s">
        <v>3912</v>
      </c>
      <c r="F51" s="2861" t="s">
        <v>2611</v>
      </c>
      <c r="G51" s="2862" t="s">
        <v>3273</v>
      </c>
      <c r="H51" s="2933" t="str">
        <f>HLOOKUP(Non_UN,'Other Translations'!$A:$L,1+translations!J51,)</f>
        <v>Finale Landnutzung</v>
      </c>
      <c r="J51" s="2936">
        <v>50</v>
      </c>
    </row>
    <row r="52" spans="1:10" s="2941" customFormat="1">
      <c r="A52" s="2940" t="s">
        <v>1676</v>
      </c>
      <c r="B52" s="2668" t="s">
        <v>1325</v>
      </c>
      <c r="C52" s="2668" t="s">
        <v>1325</v>
      </c>
      <c r="D52" s="2669" t="s">
        <v>4721</v>
      </c>
      <c r="E52" s="2861" t="s">
        <v>3913</v>
      </c>
      <c r="F52" s="2861" t="s">
        <v>2612</v>
      </c>
      <c r="G52" s="2862" t="s">
        <v>3274</v>
      </c>
      <c r="H52" s="2933" t="str">
        <f>HLOOKUP(Non_UN,'Other Translations'!$A:$L,1+translations!J52,)</f>
        <v>Hinweis</v>
      </c>
      <c r="J52" s="2936">
        <v>51</v>
      </c>
    </row>
    <row r="53" spans="1:10" s="2941" customFormat="1">
      <c r="A53" s="2940" t="s">
        <v>1676</v>
      </c>
      <c r="B53" s="2668" t="s">
        <v>1790</v>
      </c>
      <c r="C53" s="2668" t="s">
        <v>1791</v>
      </c>
      <c r="D53" s="2669" t="s">
        <v>2443</v>
      </c>
      <c r="E53" s="2861" t="s">
        <v>3914</v>
      </c>
      <c r="F53" s="2861" t="s">
        <v>2613</v>
      </c>
      <c r="G53" s="2862" t="s">
        <v>3275</v>
      </c>
      <c r="H53" s="2933" t="str">
        <f>HLOOKUP(Non_UN,'Other Translations'!$A:$L,1+translations!J53,)</f>
        <v>Transformiertes Gebiet (ha)</v>
      </c>
      <c r="J53" s="2936">
        <v>52</v>
      </c>
    </row>
    <row r="54" spans="1:10" s="2941" customFormat="1">
      <c r="A54" s="2940" t="s">
        <v>1676</v>
      </c>
      <c r="B54" s="2668" t="s">
        <v>6155</v>
      </c>
      <c r="C54" s="2668" t="s">
        <v>1801</v>
      </c>
      <c r="D54" s="2669" t="s">
        <v>4722</v>
      </c>
      <c r="E54" s="2861" t="s">
        <v>3915</v>
      </c>
      <c r="F54" s="2861" t="s">
        <v>2614</v>
      </c>
      <c r="G54" s="2862" t="s">
        <v>3276</v>
      </c>
      <c r="H54" s="2933" t="str">
        <f>HLOOKUP(Non_UN,'Other Translations'!$A:$L,1+translations!J54,)</f>
        <v>Gesamt: OLUC</v>
      </c>
      <c r="J54" s="2936">
        <v>53</v>
      </c>
    </row>
    <row r="55" spans="1:10" s="2941" customFormat="1" ht="26.4">
      <c r="A55" s="2940" t="s">
        <v>1676</v>
      </c>
      <c r="B55" s="2668" t="s">
        <v>6166</v>
      </c>
      <c r="C55" s="2669" t="s">
        <v>1799</v>
      </c>
      <c r="D55" s="2669" t="s">
        <v>4723</v>
      </c>
      <c r="E55" s="2861" t="s">
        <v>3916</v>
      </c>
      <c r="F55" s="2861" t="s">
        <v>2615</v>
      </c>
      <c r="G55" s="2862" t="s">
        <v>3277</v>
      </c>
      <c r="H55" s="2933" t="str">
        <f>HLOOKUP(Non_UN,'Other Translations'!$A:$L,1+translations!J55,)</f>
        <v>Folgende Vegetationen wurden als genutzt angegeben</v>
      </c>
      <c r="J55" s="2936">
        <v>54</v>
      </c>
    </row>
    <row r="56" spans="1:10" s="2941" customFormat="1" ht="26.4">
      <c r="A56" s="2940" t="s">
        <v>1676</v>
      </c>
      <c r="B56" s="2668" t="s">
        <v>6165</v>
      </c>
      <c r="C56" s="2668" t="s">
        <v>1800</v>
      </c>
      <c r="D56" s="2669" t="s">
        <v>4724</v>
      </c>
      <c r="E56" s="2861" t="s">
        <v>3917</v>
      </c>
      <c r="F56" s="2861" t="s">
        <v>2616</v>
      </c>
      <c r="G56" s="2862" t="s">
        <v>3278</v>
      </c>
      <c r="H56" s="2933" t="str">
        <f>HLOOKUP(Non_UN,'Other Translations'!$A:$L,1+translations!J56,)</f>
        <v>Der nachfolgende Abschnitt richtet sich nur an Nutzer mit Tier 2 Daten</v>
      </c>
      <c r="J56" s="2936">
        <v>55</v>
      </c>
    </row>
    <row r="57" spans="1:10" s="2941" customFormat="1" ht="52.8">
      <c r="A57" s="2940" t="s">
        <v>1676</v>
      </c>
      <c r="B57" s="2668" t="s">
        <v>1639</v>
      </c>
      <c r="C57" s="2668" t="s">
        <v>1803</v>
      </c>
      <c r="D57" s="2669" t="s">
        <v>4725</v>
      </c>
      <c r="E57" s="2861" t="s">
        <v>3918</v>
      </c>
      <c r="F57" s="2859" t="s">
        <v>2617</v>
      </c>
      <c r="G57" s="2861" t="s">
        <v>3279</v>
      </c>
      <c r="H57" s="2933" t="str">
        <f>HLOOKUP(Non_UN,'Other Translations'!$A:$L,1+translations!J57,)</f>
        <v>(Default-Werte werden nur zu Ihrer Information aufgeführt. Werden Tier 2-Werte spezifiziert, so werden diese automatisch von EX-ACT genutzt.)</v>
      </c>
      <c r="J57" s="2936">
        <v>56</v>
      </c>
    </row>
    <row r="58" spans="1:10" s="2941" customFormat="1" ht="26.4">
      <c r="A58" s="2940" t="s">
        <v>1676</v>
      </c>
      <c r="B58" s="2669" t="s">
        <v>1528</v>
      </c>
      <c r="C58" s="2668" t="s">
        <v>1802</v>
      </c>
      <c r="D58" s="2669" t="s">
        <v>4726</v>
      </c>
      <c r="E58" s="2861" t="s">
        <v>3919</v>
      </c>
      <c r="F58" s="2861" t="s">
        <v>2618</v>
      </c>
      <c r="G58" s="2862" t="s">
        <v>3280</v>
      </c>
      <c r="H58" s="2933" t="str">
        <f>HLOOKUP(Non_UN,'Other Translations'!$A:$L,1+translations!J58,)</f>
        <v>Alle Angaben sind in Tonnen Kohlenstoff per ha (t C/ha)</v>
      </c>
      <c r="J58" s="2936">
        <v>57</v>
      </c>
    </row>
    <row r="59" spans="1:10" s="2941" customFormat="1">
      <c r="A59" s="2940" t="s">
        <v>1676</v>
      </c>
      <c r="B59" s="2669" t="s">
        <v>1530</v>
      </c>
      <c r="C59" s="2668" t="s">
        <v>1793</v>
      </c>
      <c r="D59" s="2669" t="s">
        <v>4727</v>
      </c>
      <c r="E59" s="2861" t="s">
        <v>3920</v>
      </c>
      <c r="F59" s="2861" t="s">
        <v>2619</v>
      </c>
      <c r="G59" s="2862" t="s">
        <v>3281</v>
      </c>
      <c r="H59" s="2933" t="str">
        <f>HLOOKUP(Non_UN,'Other Translations'!$A:$L,1+translations!J59,)</f>
        <v>Oberirdisch</v>
      </c>
      <c r="J59" s="2936">
        <v>58</v>
      </c>
    </row>
    <row r="60" spans="1:10" s="2941" customFormat="1">
      <c r="A60" s="2940" t="s">
        <v>1676</v>
      </c>
      <c r="B60" s="2668" t="s">
        <v>1531</v>
      </c>
      <c r="C60" s="2668" t="s">
        <v>1794</v>
      </c>
      <c r="D60" s="2669" t="s">
        <v>4728</v>
      </c>
      <c r="E60" s="2861" t="s">
        <v>3921</v>
      </c>
      <c r="F60" s="2861" t="s">
        <v>2620</v>
      </c>
      <c r="G60" s="2862" t="s">
        <v>3282</v>
      </c>
      <c r="H60" s="2933" t="str">
        <f>HLOOKUP(Non_UN,'Other Translations'!$A:$L,1+translations!J60,)</f>
        <v>Unterirdisch</v>
      </c>
      <c r="J60" s="2936">
        <v>59</v>
      </c>
    </row>
    <row r="61" spans="1:10" s="2941" customFormat="1">
      <c r="A61" s="2940" t="s">
        <v>1676</v>
      </c>
      <c r="B61" s="2668" t="s">
        <v>508</v>
      </c>
      <c r="C61" s="2668" t="s">
        <v>1795</v>
      </c>
      <c r="D61" s="2669" t="s">
        <v>4729</v>
      </c>
      <c r="E61" s="2861" t="s">
        <v>3922</v>
      </c>
      <c r="F61" s="2861" t="s">
        <v>2621</v>
      </c>
      <c r="G61" s="2862" t="s">
        <v>3283</v>
      </c>
      <c r="H61" s="2933" t="str">
        <f>HLOOKUP(Non_UN,'Other Translations'!$A:$L,1+translations!J61,)</f>
        <v>Waldstreu</v>
      </c>
      <c r="J61" s="2936">
        <v>60</v>
      </c>
    </row>
    <row r="62" spans="1:10" s="2941" customFormat="1">
      <c r="A62" s="2940" t="s">
        <v>1676</v>
      </c>
      <c r="B62" s="2668" t="s">
        <v>1532</v>
      </c>
      <c r="C62" s="2668" t="s">
        <v>1796</v>
      </c>
      <c r="D62" s="2669" t="s">
        <v>4730</v>
      </c>
      <c r="E62" s="2861" t="s">
        <v>3923</v>
      </c>
      <c r="F62" s="2861" t="s">
        <v>2622</v>
      </c>
      <c r="G62" s="2862" t="s">
        <v>3284</v>
      </c>
      <c r="H62" s="2933" t="str">
        <f>HLOOKUP(Non_UN,'Other Translations'!$A:$L,1+translations!J62,)</f>
        <v>Alt-/Totholz</v>
      </c>
      <c r="J62" s="2936">
        <v>61</v>
      </c>
    </row>
    <row r="63" spans="1:10" s="2941" customFormat="1">
      <c r="A63" s="2940" t="s">
        <v>1676</v>
      </c>
      <c r="B63" s="2668" t="s">
        <v>1792</v>
      </c>
      <c r="C63" s="2668" t="s">
        <v>1797</v>
      </c>
      <c r="D63" s="2669" t="s">
        <v>4731</v>
      </c>
      <c r="E63" s="2861" t="s">
        <v>3924</v>
      </c>
      <c r="F63" s="2861" t="s">
        <v>2623</v>
      </c>
      <c r="G63" s="2862" t="s">
        <v>3285</v>
      </c>
      <c r="H63" s="2933" t="str">
        <f>HLOOKUP(Non_UN,'Other Translations'!$A:$L,1+translations!J63,)</f>
        <v>Bodenkohlenstoff</v>
      </c>
      <c r="J63" s="2936">
        <v>62</v>
      </c>
    </row>
    <row r="64" spans="1:10" s="2941" customFormat="1">
      <c r="A64" s="2940" t="s">
        <v>1676</v>
      </c>
      <c r="B64" s="2669" t="s">
        <v>344</v>
      </c>
      <c r="C64" s="2668" t="s">
        <v>1798</v>
      </c>
      <c r="D64" s="2669" t="s">
        <v>4732</v>
      </c>
      <c r="E64" s="2861" t="s">
        <v>3925</v>
      </c>
      <c r="F64" s="2861" t="s">
        <v>2624</v>
      </c>
      <c r="G64" s="2862" t="s">
        <v>3286</v>
      </c>
      <c r="H64" s="2933" t="str">
        <f>HLOOKUP(Non_UN,'Other Translations'!$A:$L,1+translations!J64,)</f>
        <v>Default</v>
      </c>
      <c r="J64" s="2936">
        <v>63</v>
      </c>
    </row>
    <row r="65" spans="1:10" s="2941" customFormat="1">
      <c r="A65" s="2940" t="s">
        <v>1676</v>
      </c>
      <c r="B65" s="2669" t="s">
        <v>1529</v>
      </c>
      <c r="C65" s="2668" t="s">
        <v>1529</v>
      </c>
      <c r="D65" s="2669" t="s">
        <v>4733</v>
      </c>
      <c r="E65" s="2861" t="s">
        <v>3926</v>
      </c>
      <c r="F65" s="2861" t="s">
        <v>2625</v>
      </c>
      <c r="G65" s="2862" t="s">
        <v>3287</v>
      </c>
      <c r="H65" s="2933" t="str">
        <f>HLOOKUP(Non_UN,'Other Translations'!$A:$L,1+translations!J65,)</f>
        <v>Tier 2</v>
      </c>
      <c r="J65" s="2936">
        <v>64</v>
      </c>
    </row>
    <row r="66" spans="1:10" s="2941" customFormat="1">
      <c r="A66" s="2940" t="s">
        <v>1676</v>
      </c>
      <c r="B66" s="2669" t="s">
        <v>1319</v>
      </c>
      <c r="C66" s="2669" t="s">
        <v>1804</v>
      </c>
      <c r="D66" s="2668" t="s">
        <v>4737</v>
      </c>
      <c r="E66" s="2861" t="s">
        <v>3927</v>
      </c>
      <c r="F66" s="2861" t="s">
        <v>2626</v>
      </c>
      <c r="G66" s="2862" t="s">
        <v>3288</v>
      </c>
      <c r="H66" s="2933" t="str">
        <f>HLOOKUP(Non_UN,'Other Translations'!$A:$L,1+translations!J66,)</f>
        <v>der gepflanzt wird</v>
      </c>
      <c r="J66" s="2936">
        <v>65</v>
      </c>
    </row>
    <row r="67" spans="1:10" s="2941" customFormat="1">
      <c r="A67" s="2940" t="s">
        <v>1676</v>
      </c>
      <c r="B67" s="2669" t="s">
        <v>1533</v>
      </c>
      <c r="C67" s="2669" t="s">
        <v>1805</v>
      </c>
      <c r="D67" s="2669" t="s">
        <v>4734</v>
      </c>
      <c r="E67" s="2861" t="s">
        <v>3928</v>
      </c>
      <c r="F67" s="2861" t="s">
        <v>2627</v>
      </c>
      <c r="G67" s="2862" t="s">
        <v>3289</v>
      </c>
      <c r="H67" s="2933" t="str">
        <f>HLOOKUP(Non_UN,'Other Translations'!$A:$L,1+translations!J67,)</f>
        <v>Wachstumsrate (bis Jahr 20)</v>
      </c>
      <c r="J67" s="2936">
        <v>66</v>
      </c>
    </row>
    <row r="68" spans="1:10" s="2941" customFormat="1" ht="26.4">
      <c r="A68" s="2940" t="s">
        <v>1676</v>
      </c>
      <c r="B68" s="2669" t="s">
        <v>1534</v>
      </c>
      <c r="C68" s="2669" t="s">
        <v>1806</v>
      </c>
      <c r="D68" s="2669" t="s">
        <v>4735</v>
      </c>
      <c r="E68" s="2861" t="s">
        <v>3929</v>
      </c>
      <c r="F68" s="2861" t="s">
        <v>2628</v>
      </c>
      <c r="G68" s="2862" t="s">
        <v>3290</v>
      </c>
      <c r="H68" s="2933" t="str">
        <f>HLOOKUP(Non_UN,'Other Translations'!$A:$L,1+translations!J68,)</f>
        <v>Wachstumsrate (nach Jahr 20)</v>
      </c>
      <c r="J68" s="2936">
        <v>67</v>
      </c>
    </row>
    <row r="69" spans="1:10" s="2941" customFormat="1">
      <c r="A69" s="2940" t="s">
        <v>1676</v>
      </c>
      <c r="B69" s="2669"/>
      <c r="C69" s="2669"/>
      <c r="D69" s="2669"/>
      <c r="E69" s="2861"/>
      <c r="F69" s="2861"/>
      <c r="G69" s="2862"/>
      <c r="H69" s="2933">
        <f>HLOOKUP(Non_UN,'Other Translations'!$A:$L,1+translations!J69,)</f>
        <v>0</v>
      </c>
      <c r="J69" s="2936">
        <v>68</v>
      </c>
    </row>
    <row r="70" spans="1:10" s="2941" customFormat="1">
      <c r="A70" s="2940" t="s">
        <v>1676</v>
      </c>
      <c r="B70" s="2669"/>
      <c r="C70" s="2669"/>
      <c r="D70" s="2669"/>
      <c r="E70" s="2861"/>
      <c r="F70" s="2861"/>
      <c r="G70" s="2862"/>
      <c r="H70" s="2933">
        <f>HLOOKUP(Non_UN,'Other Translations'!$A:$L,1+translations!J70,)</f>
        <v>0</v>
      </c>
      <c r="J70" s="2936">
        <v>69</v>
      </c>
    </row>
    <row r="71" spans="1:10" s="2941" customFormat="1">
      <c r="A71" s="2940" t="s">
        <v>1676</v>
      </c>
      <c r="B71" s="2669"/>
      <c r="C71" s="2669"/>
      <c r="D71" s="2669"/>
      <c r="E71" s="2861"/>
      <c r="F71" s="2861"/>
      <c r="G71" s="2862"/>
      <c r="H71" s="2933">
        <f>HLOOKUP(Non_UN,'Other Translations'!$A:$L,1+translations!J71,)</f>
        <v>0</v>
      </c>
      <c r="J71" s="2936">
        <v>70</v>
      </c>
    </row>
    <row r="72" spans="1:10" s="2941" customFormat="1">
      <c r="A72" s="2940" t="s">
        <v>1676</v>
      </c>
      <c r="B72" s="2669"/>
      <c r="C72" s="2669"/>
      <c r="D72" s="2669"/>
      <c r="E72" s="2861"/>
      <c r="F72" s="2861"/>
      <c r="G72" s="2862"/>
      <c r="H72" s="2933">
        <f>HLOOKUP(Non_UN,'Other Translations'!$A:$L,1+translations!J72,)</f>
        <v>0</v>
      </c>
      <c r="J72" s="2936">
        <v>71</v>
      </c>
    </row>
    <row r="73" spans="1:10" s="2941" customFormat="1">
      <c r="A73" s="2940" t="s">
        <v>1676</v>
      </c>
      <c r="B73" s="2669"/>
      <c r="C73" s="2669"/>
      <c r="D73" s="2669"/>
      <c r="E73" s="2861"/>
      <c r="F73" s="2861"/>
      <c r="G73" s="2862"/>
      <c r="H73" s="2933">
        <f>HLOOKUP(Non_UN,'Other Translations'!$A:$L,1+translations!J73,)</f>
        <v>0</v>
      </c>
      <c r="J73" s="2936">
        <v>72</v>
      </c>
    </row>
    <row r="74" spans="1:10" s="2941" customFormat="1">
      <c r="A74" s="2940" t="s">
        <v>1676</v>
      </c>
      <c r="B74" s="2669"/>
      <c r="C74" s="2669"/>
      <c r="D74" s="2669"/>
      <c r="E74" s="2861"/>
      <c r="F74" s="2861"/>
      <c r="G74" s="2862"/>
      <c r="H74" s="2933">
        <f>HLOOKUP(Non_UN,'Other Translations'!$A:$L,1+translations!J74,)</f>
        <v>0</v>
      </c>
      <c r="J74" s="2936">
        <v>73</v>
      </c>
    </row>
    <row r="75" spans="1:10" s="2941" customFormat="1">
      <c r="A75" s="2940" t="s">
        <v>1676</v>
      </c>
      <c r="B75" s="2669"/>
      <c r="C75" s="2669"/>
      <c r="D75" s="2669"/>
      <c r="E75" s="2861"/>
      <c r="F75" s="2861"/>
      <c r="G75" s="2862"/>
      <c r="H75" s="2933">
        <f>HLOOKUP(Non_UN,'Other Translations'!$A:$L,1+translations!J75,)</f>
        <v>0</v>
      </c>
      <c r="J75" s="2936">
        <v>74</v>
      </c>
    </row>
    <row r="76" spans="1:10" s="2641" customFormat="1">
      <c r="A76" s="2641" t="s">
        <v>1670</v>
      </c>
      <c r="B76" s="2640" t="s">
        <v>1647</v>
      </c>
      <c r="C76" s="2640" t="s">
        <v>1648</v>
      </c>
      <c r="D76" s="2640" t="s">
        <v>1649</v>
      </c>
      <c r="E76" s="2640" t="str">
        <f>E1</f>
        <v>中文</v>
      </c>
      <c r="F76" s="2640" t="str">
        <f>F1</f>
        <v>Русский</v>
      </c>
      <c r="G76" s="2641" t="str">
        <f>G1</f>
        <v>عربي</v>
      </c>
      <c r="H76" s="2641" t="str">
        <f>HLOOKUP(Non_UN,'Other Translations'!$A:$L,1+translations!J76,)</f>
        <v>Deutsch</v>
      </c>
      <c r="J76" s="2936">
        <v>75</v>
      </c>
    </row>
    <row r="77" spans="1:10" s="2933" customFormat="1" ht="39.6">
      <c r="A77" s="2932" t="s">
        <v>1820</v>
      </c>
      <c r="B77" s="2643" t="s">
        <v>1433</v>
      </c>
      <c r="C77" s="2642" t="s">
        <v>1832</v>
      </c>
      <c r="D77" s="2642" t="s">
        <v>4738</v>
      </c>
      <c r="E77" s="2861" t="s">
        <v>3930</v>
      </c>
      <c r="F77" s="2861" t="s">
        <v>2629</v>
      </c>
      <c r="G77" s="2862" t="s">
        <v>3291</v>
      </c>
      <c r="H77" s="2933" t="str">
        <f>HLOOKUP(Non_UN,'Other Translations'!$A:$L,1+translations!J77,)</f>
        <v>3.1. Einjährige Kulturpflanzen (einschliesslich mehrjähriger Pflanzen mit einjähriger Fruchtfolge, wie etwa Baumwolle und Zuckerrohr)</v>
      </c>
      <c r="J77" s="2936">
        <v>76</v>
      </c>
    </row>
    <row r="78" spans="1:10" s="2933" customFormat="1" ht="39.6">
      <c r="A78" s="2932" t="s">
        <v>1820</v>
      </c>
      <c r="B78" s="2643" t="s">
        <v>6157</v>
      </c>
      <c r="C78" s="2642" t="s">
        <v>1833</v>
      </c>
      <c r="D78" s="2642" t="s">
        <v>5214</v>
      </c>
      <c r="E78" s="2861" t="s">
        <v>3931</v>
      </c>
      <c r="F78" s="2861" t="s">
        <v>2630</v>
      </c>
      <c r="G78" s="2861" t="s">
        <v>3292</v>
      </c>
      <c r="H78" s="2933" t="str">
        <f>HLOOKUP(Non_UN,'Other Translations'!$A:$L,1+translations!J78,)</f>
        <v>3.1.1. Einjährige Kulturpflanzen konvertiert von oder zu anderen Landnutzungen (zuvor ist Modul 2.LUC auszufüllen)</v>
      </c>
      <c r="J78" s="2936">
        <v>77</v>
      </c>
    </row>
    <row r="79" spans="1:10" s="2933" customFormat="1">
      <c r="A79" s="2932" t="s">
        <v>1820</v>
      </c>
      <c r="B79" s="2643" t="s">
        <v>1821</v>
      </c>
      <c r="C79" s="2642" t="s">
        <v>1834</v>
      </c>
      <c r="D79" s="2642" t="s">
        <v>4739</v>
      </c>
      <c r="E79" s="2861" t="s">
        <v>3932</v>
      </c>
      <c r="F79" s="2861" t="s">
        <v>2631</v>
      </c>
      <c r="G79" s="2862" t="s">
        <v>3293</v>
      </c>
      <c r="H79" s="2933" t="str">
        <f>HLOOKUP(Non_UN,'Other Translations'!$A:$L,1+translations!J79,)</f>
        <v>Ertrag?</v>
      </c>
      <c r="J79" s="2936">
        <v>78</v>
      </c>
    </row>
    <row r="80" spans="1:10" s="2933" customFormat="1">
      <c r="A80" s="2932" t="s">
        <v>1820</v>
      </c>
      <c r="B80" s="2642" t="s">
        <v>1326</v>
      </c>
      <c r="C80" s="2933" t="s">
        <v>1326</v>
      </c>
      <c r="D80" s="2642" t="s">
        <v>4740</v>
      </c>
      <c r="E80" s="2861" t="s">
        <v>3933</v>
      </c>
      <c r="F80" s="2861" t="s">
        <v>2632</v>
      </c>
      <c r="G80" s="2862" t="s">
        <v>3294</v>
      </c>
      <c r="H80" s="2933" t="str">
        <f>HLOOKUP(Non_UN,'Other Translations'!$A:$L,1+translations!J80,)</f>
        <v>Kurzbeschreibung</v>
      </c>
      <c r="J80" s="2936">
        <v>79</v>
      </c>
    </row>
    <row r="81" spans="1:10" s="2933" customFormat="1">
      <c r="A81" s="2932" t="s">
        <v>1820</v>
      </c>
      <c r="B81" s="2642" t="s">
        <v>598</v>
      </c>
      <c r="C81" s="2933" t="s">
        <v>1835</v>
      </c>
      <c r="D81" s="2642" t="s">
        <v>4741</v>
      </c>
      <c r="E81" s="2861" t="s">
        <v>3934</v>
      </c>
      <c r="F81" s="2861" t="s">
        <v>2633</v>
      </c>
      <c r="G81" s="2862" t="s">
        <v>3295</v>
      </c>
      <c r="H81" s="2933" t="str">
        <f>HLOOKUP(Non_UN,'Other Translations'!$A:$L,1+translations!J81,)</f>
        <v>Allgemeine verbesserte Anbaumethoden</v>
      </c>
      <c r="J81" s="2936">
        <v>80</v>
      </c>
    </row>
    <row r="82" spans="1:10" s="2933" customFormat="1">
      <c r="A82" s="2932" t="s">
        <v>1820</v>
      </c>
      <c r="B82" s="2642" t="s">
        <v>599</v>
      </c>
      <c r="C82" s="2933" t="s">
        <v>1836</v>
      </c>
      <c r="D82" s="2642" t="s">
        <v>4742</v>
      </c>
      <c r="E82" s="2861" t="s">
        <v>3935</v>
      </c>
      <c r="F82" s="2861" t="s">
        <v>2634</v>
      </c>
      <c r="G82" s="2862" t="s">
        <v>3296</v>
      </c>
      <c r="H82" s="2933" t="str">
        <f>HLOOKUP(Non_UN,'Other Translations'!$A:$L,1+translations!J82,)</f>
        <v>Nährstoffmanagement</v>
      </c>
      <c r="J82" s="2936">
        <v>81</v>
      </c>
    </row>
    <row r="83" spans="1:10" s="2933" customFormat="1">
      <c r="A83" s="2932" t="s">
        <v>1820</v>
      </c>
      <c r="B83" s="2642" t="s">
        <v>1822</v>
      </c>
      <c r="C83" s="2642" t="s">
        <v>1837</v>
      </c>
      <c r="D83" s="2642" t="s">
        <v>4743</v>
      </c>
      <c r="E83" s="2861" t="s">
        <v>3936</v>
      </c>
      <c r="F83" s="2861" t="s">
        <v>2635</v>
      </c>
      <c r="G83" s="2862" t="s">
        <v>3297</v>
      </c>
      <c r="H83" s="2933" t="str">
        <f>HLOOKUP(Non_UN,'Other Translations'!$A:$L,1+translations!J83,)</f>
        <v>Reduzierte Bodenbearbeitung/ Einarbeitung von Ernterückständen</v>
      </c>
      <c r="J83" s="2936">
        <v>82</v>
      </c>
    </row>
    <row r="84" spans="1:10" s="2933" customFormat="1">
      <c r="A84" s="2932" t="s">
        <v>1820</v>
      </c>
      <c r="B84" s="2642" t="s">
        <v>1823</v>
      </c>
      <c r="C84" s="2642" t="s">
        <v>1838</v>
      </c>
      <c r="D84" s="2642" t="s">
        <v>4744</v>
      </c>
      <c r="E84" s="2861" t="s">
        <v>3937</v>
      </c>
      <c r="F84" s="2861" t="s">
        <v>2636</v>
      </c>
      <c r="G84" s="2862" t="s">
        <v>3298</v>
      </c>
      <c r="H84" s="2933" t="str">
        <f>HLOOKUP(Non_UN,'Other Translations'!$A:$L,1+translations!J84,)</f>
        <v>Bewässerung</v>
      </c>
      <c r="J84" s="2936">
        <v>83</v>
      </c>
    </row>
    <row r="85" spans="1:10" s="2933" customFormat="1">
      <c r="A85" s="2932" t="s">
        <v>1820</v>
      </c>
      <c r="B85" s="2642" t="s">
        <v>602</v>
      </c>
      <c r="C85" s="2642" t="s">
        <v>1839</v>
      </c>
      <c r="D85" s="2642" t="s">
        <v>4745</v>
      </c>
      <c r="E85" s="2861" t="s">
        <v>3938</v>
      </c>
      <c r="F85" s="2861" t="s">
        <v>2637</v>
      </c>
      <c r="G85" s="2862" t="s">
        <v>3299</v>
      </c>
      <c r="H85" s="2933" t="str">
        <f>HLOOKUP(Non_UN,'Other Translations'!$A:$L,1+translations!J85,)</f>
        <v>Mist- und Gülledüngung</v>
      </c>
      <c r="J85" s="2936">
        <v>84</v>
      </c>
    </row>
    <row r="86" spans="1:10" s="2933" customFormat="1">
      <c r="A86" s="2932" t="s">
        <v>1820</v>
      </c>
      <c r="B86" s="2642" t="s">
        <v>1329</v>
      </c>
      <c r="C86" s="2642" t="s">
        <v>1840</v>
      </c>
      <c r="D86" s="2642" t="s">
        <v>4746</v>
      </c>
      <c r="E86" s="2861" t="s">
        <v>3939</v>
      </c>
      <c r="F86" s="2861" t="s">
        <v>2638</v>
      </c>
      <c r="G86" s="2862" t="s">
        <v>3293</v>
      </c>
      <c r="H86" s="2933" t="str">
        <f>HLOOKUP(Non_UN,'Other Translations'!$A:$L,1+translations!J86,)</f>
        <v xml:space="preserve">Ertrag </v>
      </c>
      <c r="J86" s="2936">
        <v>85</v>
      </c>
    </row>
    <row r="87" spans="1:10" s="2933" customFormat="1">
      <c r="A87" s="2932" t="s">
        <v>1820</v>
      </c>
      <c r="B87" s="2643" t="s">
        <v>1848</v>
      </c>
      <c r="C87" s="2643" t="s">
        <v>1849</v>
      </c>
      <c r="D87" s="2642" t="s">
        <v>4747</v>
      </c>
      <c r="E87" s="2861" t="s">
        <v>3940</v>
      </c>
      <c r="F87" s="2861" t="s">
        <v>2639</v>
      </c>
      <c r="G87" s="2862" t="s">
        <v>3300</v>
      </c>
      <c r="H87" s="2933" t="str">
        <f>HLOOKUP(Non_UN,'Other Translations'!$A:$L,1+translations!J87,)</f>
        <v>Kurzbeschreibung?</v>
      </c>
      <c r="J87" s="2936">
        <v>86</v>
      </c>
    </row>
    <row r="88" spans="1:10" s="2933" customFormat="1">
      <c r="A88" s="2932" t="s">
        <v>1820</v>
      </c>
      <c r="B88" s="2643" t="s">
        <v>1330</v>
      </c>
      <c r="C88" s="2643" t="s">
        <v>1831</v>
      </c>
      <c r="D88" s="2642" t="s">
        <v>4748</v>
      </c>
      <c r="E88" s="2861" t="s">
        <v>3941</v>
      </c>
      <c r="F88" s="2861" t="s">
        <v>2640</v>
      </c>
      <c r="G88" s="2862" t="s">
        <v>3301</v>
      </c>
      <c r="H88" s="2933" t="str">
        <f>HLOOKUP(Non_UN,'Other Translations'!$A:$L,1+translations!J88,)</f>
        <v>Gebiet (ha)</v>
      </c>
      <c r="J88" s="2936">
        <v>87</v>
      </c>
    </row>
    <row r="89" spans="1:10" s="2933" customFormat="1">
      <c r="A89" s="2932" t="s">
        <v>1820</v>
      </c>
      <c r="B89" s="2643" t="s">
        <v>6212</v>
      </c>
      <c r="C89" s="2643" t="s">
        <v>1850</v>
      </c>
      <c r="D89" s="2642" t="s">
        <v>4749</v>
      </c>
      <c r="E89" s="2861" t="s">
        <v>3942</v>
      </c>
      <c r="F89" s="2861" t="s">
        <v>2641</v>
      </c>
      <c r="G89" s="2862" t="s">
        <v>3302</v>
      </c>
      <c r="H89" s="2933" t="str">
        <f>HLOOKUP(Non_UN,'Other Translations'!$A:$L,1+translations!J89,)</f>
        <v>Biomasse Verbrennung</v>
      </c>
      <c r="J89" s="2936">
        <v>88</v>
      </c>
    </row>
    <row r="90" spans="1:10" s="2933" customFormat="1">
      <c r="A90" s="2932" t="s">
        <v>1820</v>
      </c>
      <c r="B90" s="2642" t="s">
        <v>1327</v>
      </c>
      <c r="C90" s="2642" t="s">
        <v>1841</v>
      </c>
      <c r="D90" s="2642" t="s">
        <v>4750</v>
      </c>
      <c r="E90" s="2861" t="s">
        <v>3943</v>
      </c>
      <c r="F90" s="2861" t="s">
        <v>2642</v>
      </c>
      <c r="G90" s="2862" t="s">
        <v>3303</v>
      </c>
      <c r="H90" s="2933" t="str">
        <f>HLOOKUP(Non_UN,'Other Translations'!$A:$L,1+translations!J90,)</f>
        <v>Einjährige Kulturpfl. nach Rodung</v>
      </c>
      <c r="J90" s="2936">
        <v>89</v>
      </c>
    </row>
    <row r="91" spans="1:10" s="2933" customFormat="1" ht="14.4">
      <c r="A91" s="2932" t="s">
        <v>1820</v>
      </c>
      <c r="B91" s="2642" t="s">
        <v>1169</v>
      </c>
      <c r="C91" s="2642" t="s">
        <v>1842</v>
      </c>
      <c r="D91" s="2642" t="s">
        <v>4801</v>
      </c>
      <c r="E91" s="2861" t="s">
        <v>3944</v>
      </c>
      <c r="F91" s="2861" t="s">
        <v>3161</v>
      </c>
      <c r="G91" s="2862" t="s">
        <v>3304</v>
      </c>
      <c r="H91" s="2933" t="str">
        <f>HLOOKUP(Non_UN,'Other Translations'!$A:$L,1+translations!J91,)</f>
        <v>Aufforstung auf Ackerland</v>
      </c>
      <c r="J91" s="2936">
        <v>90</v>
      </c>
    </row>
    <row r="92" spans="1:10" s="2933" customFormat="1">
      <c r="A92" s="2932" t="s">
        <v>1820</v>
      </c>
      <c r="B92" s="2642" t="s">
        <v>1328</v>
      </c>
      <c r="C92" s="2642" t="s">
        <v>1843</v>
      </c>
      <c r="D92" s="2642" t="s">
        <v>5215</v>
      </c>
      <c r="E92" s="2861" t="s">
        <v>3945</v>
      </c>
      <c r="F92" s="2861" t="s">
        <v>2643</v>
      </c>
      <c r="G92" s="2862" t="s">
        <v>3305</v>
      </c>
      <c r="H92" s="2933" t="str">
        <f>HLOOKUP(Non_UN,'Other Translations'!$A:$L,1+translations!J92,)</f>
        <v>Einjährige Kulturpfl. nach OLU</v>
      </c>
      <c r="J92" s="2936">
        <v>91</v>
      </c>
    </row>
    <row r="93" spans="1:10" s="2933" customFormat="1" ht="14.4">
      <c r="A93" s="2932" t="s">
        <v>1820</v>
      </c>
      <c r="B93" s="2642" t="s">
        <v>1244</v>
      </c>
      <c r="C93" s="2642" t="s">
        <v>1844</v>
      </c>
      <c r="D93" s="2642" t="s">
        <v>4803</v>
      </c>
      <c r="E93" s="2861" t="s">
        <v>3946</v>
      </c>
      <c r="F93" s="2861" t="s">
        <v>3162</v>
      </c>
      <c r="G93" s="2862" t="s">
        <v>3306</v>
      </c>
      <c r="H93" s="2933" t="str">
        <f>HLOOKUP(Non_UN,'Other Translations'!$A:$L,1+translations!J93,)</f>
        <v>OLU nach einjährigen Kulturpfl.</v>
      </c>
      <c r="J93" s="2936">
        <v>92</v>
      </c>
    </row>
    <row r="94" spans="1:10" s="2933" customFormat="1" ht="39.6">
      <c r="A94" s="2932" t="s">
        <v>1820</v>
      </c>
      <c r="B94" s="2643" t="s">
        <v>5563</v>
      </c>
      <c r="C94" s="2642" t="s">
        <v>1845</v>
      </c>
      <c r="D94" s="2642" t="s">
        <v>4751</v>
      </c>
      <c r="E94" s="2861" t="s">
        <v>3947</v>
      </c>
      <c r="F94" s="2861" t="s">
        <v>2644</v>
      </c>
      <c r="G94" s="2862" t="s">
        <v>3307</v>
      </c>
      <c r="H94" s="2933" t="str">
        <f>HLOOKUP(Non_UN,'Other Translations'!$A:$L,1+translations!J94,)</f>
        <v>3.1.2. Dauerhaft einjährige Kulturpflanzen ohne Landnutzungsänderung (Gesamtgebiet bleibt konstant)</v>
      </c>
      <c r="J94" s="2936">
        <v>93</v>
      </c>
    </row>
    <row r="95" spans="1:10" s="2933" customFormat="1">
      <c r="A95" s="2932" t="s">
        <v>1820</v>
      </c>
      <c r="B95" s="2642" t="s">
        <v>1824</v>
      </c>
      <c r="C95" s="2642" t="s">
        <v>1824</v>
      </c>
      <c r="D95" s="2642" t="s">
        <v>1824</v>
      </c>
      <c r="E95" s="2861" t="s">
        <v>3948</v>
      </c>
      <c r="F95" s="2861" t="s">
        <v>2645</v>
      </c>
      <c r="G95" s="2862" t="s">
        <v>3308</v>
      </c>
      <c r="H95" s="2933" t="str">
        <f>HLOOKUP(Non_UN,'Other Translations'!$A:$L,1+translations!J95,)</f>
        <v>Gesamtgebiet (ha)</v>
      </c>
      <c r="J95" s="2936">
        <v>94</v>
      </c>
    </row>
    <row r="96" spans="1:10" s="2933" customFormat="1">
      <c r="A96" s="2932" t="s">
        <v>1820</v>
      </c>
      <c r="B96" s="2643" t="s">
        <v>6167</v>
      </c>
      <c r="C96" s="2642" t="s">
        <v>1846</v>
      </c>
      <c r="D96" s="2642" t="s">
        <v>4752</v>
      </c>
      <c r="E96" s="2861" t="s">
        <v>3949</v>
      </c>
      <c r="F96" s="2861" t="s">
        <v>2646</v>
      </c>
      <c r="G96" s="2862" t="s">
        <v>3309</v>
      </c>
      <c r="H96" s="2933" t="str">
        <f>HLOOKUP(Non_UN,'Other Translations'!$A:$L,1+translations!J96,)</f>
        <v>Gesamt: Einjährige Kulturpflanzen</v>
      </c>
      <c r="J96" s="2936">
        <v>95</v>
      </c>
    </row>
    <row r="97" spans="1:10" s="2933" customFormat="1" ht="26.4">
      <c r="A97" s="2932" t="s">
        <v>1820</v>
      </c>
      <c r="B97" s="2643" t="s">
        <v>6154</v>
      </c>
      <c r="C97" s="2642" t="s">
        <v>1853</v>
      </c>
      <c r="D97" s="2642" t="s">
        <v>4753</v>
      </c>
      <c r="E97" s="2861" t="s">
        <v>3950</v>
      </c>
      <c r="F97" s="2861" t="s">
        <v>2647</v>
      </c>
      <c r="G97" s="2862" t="s">
        <v>3310</v>
      </c>
      <c r="H97" s="2933" t="str">
        <f>HLOOKUP(Non_UN,'Other Translations'!$A:$L,1+translations!J97,)</f>
        <v>3.2. Mehrjährige Kulturpflanzen</v>
      </c>
      <c r="J97" s="2936">
        <v>96</v>
      </c>
    </row>
    <row r="98" spans="1:10" s="2933" customFormat="1" ht="39.6">
      <c r="A98" s="2932" t="s">
        <v>1820</v>
      </c>
      <c r="B98" s="2643" t="s">
        <v>6160</v>
      </c>
      <c r="C98" s="2642" t="s">
        <v>1854</v>
      </c>
      <c r="D98" s="2642" t="s">
        <v>4754</v>
      </c>
      <c r="E98" s="2861" t="s">
        <v>3951</v>
      </c>
      <c r="F98" s="2861" t="s">
        <v>2648</v>
      </c>
      <c r="G98" s="2861" t="s">
        <v>3311</v>
      </c>
      <c r="H98" s="2933" t="str">
        <f>HLOOKUP(Non_UN,'Other Translations'!$A:$L,1+translations!J98,)</f>
        <v>3.2.1. Mehrjährige Kulturpflanzen konvertiert von oder zu anderer Landnutzung (zuvor ist Modul 2.LUC auszufüllen)</v>
      </c>
      <c r="J98" s="2936">
        <v>97</v>
      </c>
    </row>
    <row r="99" spans="1:10" s="2933" customFormat="1">
      <c r="A99" s="2932" t="s">
        <v>1820</v>
      </c>
      <c r="B99" s="2642" t="s">
        <v>1427</v>
      </c>
      <c r="C99" s="2642" t="s">
        <v>1841</v>
      </c>
      <c r="D99" s="2642" t="s">
        <v>4755</v>
      </c>
      <c r="E99" s="2861" t="s">
        <v>3952</v>
      </c>
      <c r="F99" s="2861" t="s">
        <v>2649</v>
      </c>
      <c r="G99" s="2862" t="s">
        <v>3312</v>
      </c>
      <c r="H99" s="2933" t="str">
        <f>HLOOKUP(Non_UN,'Other Translations'!$A:$L,1+translations!J99,)</f>
        <v>Mehrjährige Kulturpflanzen auf abgeholztem Waldgebiet</v>
      </c>
      <c r="J99" s="2936">
        <v>98</v>
      </c>
    </row>
    <row r="100" spans="1:10" s="2933" customFormat="1">
      <c r="A100" s="2932" t="s">
        <v>1820</v>
      </c>
      <c r="B100" s="2642" t="s">
        <v>1169</v>
      </c>
      <c r="C100" s="2642" t="s">
        <v>1842</v>
      </c>
      <c r="D100" s="2642" t="s">
        <v>4801</v>
      </c>
      <c r="E100" s="2861" t="s">
        <v>3944</v>
      </c>
      <c r="F100" s="2861" t="s">
        <v>3163</v>
      </c>
      <c r="G100" s="2862" t="s">
        <v>3313</v>
      </c>
      <c r="H100" s="2933" t="str">
        <f>HLOOKUP(Non_UN,'Other Translations'!$A:$L,1+translations!J100,)</f>
        <v>Aufforstung auf Flächen mehrjähriger Kulturpflanzen</v>
      </c>
      <c r="J100" s="2936">
        <v>99</v>
      </c>
    </row>
    <row r="101" spans="1:10" s="2933" customFormat="1">
      <c r="A101" s="2932" t="s">
        <v>1820</v>
      </c>
      <c r="B101" s="2642" t="s">
        <v>1428</v>
      </c>
      <c r="C101" s="2642" t="s">
        <v>1843</v>
      </c>
      <c r="D101" s="2642" t="s">
        <v>4756</v>
      </c>
      <c r="E101" s="2861" t="s">
        <v>3953</v>
      </c>
      <c r="F101" s="2861" t="s">
        <v>2650</v>
      </c>
      <c r="G101" s="2862" t="s">
        <v>3314</v>
      </c>
      <c r="H101" s="2933" t="str">
        <f>HLOOKUP(Non_UN,'Other Translations'!$A:$L,1+translations!J101,)</f>
        <v>Mehrjährige Kulturpflanzen auf Flächen vormahls anderer Landnutzung (OLU)</v>
      </c>
      <c r="J101" s="2936">
        <v>100</v>
      </c>
    </row>
    <row r="102" spans="1:10" s="2933" customFormat="1" ht="14.4">
      <c r="A102" s="2932" t="s">
        <v>1820</v>
      </c>
      <c r="B102" s="2642" t="s">
        <v>1244</v>
      </c>
      <c r="C102" s="2642" t="s">
        <v>1844</v>
      </c>
      <c r="D102" s="2642" t="s">
        <v>4803</v>
      </c>
      <c r="E102" s="2861" t="s">
        <v>3946</v>
      </c>
      <c r="F102" s="2861" t="s">
        <v>3162</v>
      </c>
      <c r="G102" s="2862" t="s">
        <v>3315</v>
      </c>
      <c r="H102" s="2933" t="str">
        <f>HLOOKUP(Non_UN,'Other Translations'!$A:$L,1+translations!J102,)</f>
        <v>Andere Landnutzung (OLU) auf Flächen vormahls mehrjähriger Kulturpflanzen</v>
      </c>
      <c r="J102" s="2936">
        <v>101</v>
      </c>
    </row>
    <row r="103" spans="1:10" s="2933" customFormat="1">
      <c r="A103" s="2932" t="s">
        <v>1820</v>
      </c>
      <c r="B103" s="2643" t="s">
        <v>6168</v>
      </c>
      <c r="C103" s="2642" t="s">
        <v>1855</v>
      </c>
      <c r="D103" s="2642" t="s">
        <v>5216</v>
      </c>
      <c r="E103" s="2861" t="s">
        <v>3954</v>
      </c>
      <c r="F103" s="2861" t="s">
        <v>2652</v>
      </c>
      <c r="G103" s="2862" t="s">
        <v>3316</v>
      </c>
      <c r="H103" s="2933" t="str">
        <f>HLOOKUP(Non_UN,'Other Translations'!$A:$L,1+translations!J103,)</f>
        <v>Gesamt: Mehrjährige Kulturpflanzen</v>
      </c>
      <c r="J103" s="2936">
        <v>102</v>
      </c>
    </row>
    <row r="104" spans="1:10" s="2933" customFormat="1" ht="39.6">
      <c r="A104" s="2932" t="s">
        <v>1820</v>
      </c>
      <c r="B104" s="2643" t="s">
        <v>5564</v>
      </c>
      <c r="C104" s="2643" t="s">
        <v>1856</v>
      </c>
      <c r="D104" s="2642" t="s">
        <v>4757</v>
      </c>
      <c r="E104" s="2861" t="s">
        <v>3955</v>
      </c>
      <c r="F104" s="2861" t="s">
        <v>2653</v>
      </c>
      <c r="G104" s="2943" t="s">
        <v>3317</v>
      </c>
      <c r="H104" s="2933" t="str">
        <f>HLOOKUP(Non_UN,'Other Translations'!$A:$L,1+translations!J104,)</f>
        <v>3.2.2. Dauerhaft mehrjährige Kulturpflanzen ohne Landnutzungsänderung (Gesamtgebiet bleibt konstant)</v>
      </c>
      <c r="J104" s="2936">
        <v>103</v>
      </c>
    </row>
    <row r="105" spans="1:10" s="2933" customFormat="1">
      <c r="A105" s="2932" t="s">
        <v>1820</v>
      </c>
      <c r="B105" s="2643" t="s">
        <v>1638</v>
      </c>
      <c r="C105" s="2642" t="s">
        <v>1857</v>
      </c>
      <c r="D105" s="2642" t="s">
        <v>4758</v>
      </c>
      <c r="E105" s="2861" t="s">
        <v>3956</v>
      </c>
      <c r="F105" s="2861" t="s">
        <v>2654</v>
      </c>
      <c r="G105" s="2862" t="s">
        <v>3318</v>
      </c>
      <c r="H105" s="2933" t="str">
        <f>HLOOKUP(Non_UN,'Other Translations'!$A:$L,1+translations!J105,)</f>
        <v>3.3. Nassreisanbau</v>
      </c>
      <c r="J105" s="2936">
        <v>104</v>
      </c>
    </row>
    <row r="106" spans="1:10" s="2933" customFormat="1" ht="39.6">
      <c r="A106" s="2932" t="s">
        <v>1820</v>
      </c>
      <c r="B106" s="2643" t="s">
        <v>6158</v>
      </c>
      <c r="C106" s="2642" t="s">
        <v>1858</v>
      </c>
      <c r="D106" s="2642" t="s">
        <v>4759</v>
      </c>
      <c r="E106" s="2861" t="s">
        <v>3957</v>
      </c>
      <c r="F106" s="2861" t="s">
        <v>2655</v>
      </c>
      <c r="G106" s="2861" t="s">
        <v>3319</v>
      </c>
      <c r="H106" s="2933" t="str">
        <f>HLOOKUP(Non_UN,'Other Translations'!$A:$L,1+translations!J106,)</f>
        <v>3.3.1. Nassreisanbau konvertiert von oder zu anderer Landnutzung (zuvor ist Modul 2.LUC auszufüllen)</v>
      </c>
      <c r="J106" s="2936">
        <v>105</v>
      </c>
    </row>
    <row r="107" spans="1:10" s="2933" customFormat="1">
      <c r="A107" s="2932" t="s">
        <v>1820</v>
      </c>
      <c r="B107" s="2642" t="s">
        <v>1825</v>
      </c>
      <c r="C107" s="2642" t="s">
        <v>1859</v>
      </c>
      <c r="D107" s="2642" t="s">
        <v>4760</v>
      </c>
      <c r="E107" s="2861" t="s">
        <v>3958</v>
      </c>
      <c r="F107" s="2861" t="s">
        <v>2656</v>
      </c>
      <c r="G107" s="2862" t="s">
        <v>3320</v>
      </c>
      <c r="H107" s="2933" t="str">
        <f>HLOOKUP(Non_UN,'Other Translations'!$A:$L,1+translations!J107,)</f>
        <v>Anbaudauer (Tage)</v>
      </c>
      <c r="J107" s="2936">
        <v>106</v>
      </c>
    </row>
    <row r="108" spans="1:10" s="2933" customFormat="1">
      <c r="A108" s="2932" t="s">
        <v>1820</v>
      </c>
      <c r="B108" s="2643" t="s">
        <v>632</v>
      </c>
      <c r="C108" s="2642" t="s">
        <v>1664</v>
      </c>
      <c r="D108" s="2642" t="s">
        <v>4761</v>
      </c>
      <c r="E108" s="2861" t="s">
        <v>3959</v>
      </c>
      <c r="F108" s="2861" t="s">
        <v>2657</v>
      </c>
      <c r="G108" s="2862" t="s">
        <v>3321</v>
      </c>
      <c r="H108" s="2933" t="str">
        <f>HLOOKUP(Non_UN,'Other Translations'!$A:$L,1+translations!J108,)</f>
        <v>Bewässerungstyp</v>
      </c>
      <c r="J108" s="2936">
        <v>107</v>
      </c>
    </row>
    <row r="109" spans="1:10" s="2933" customFormat="1">
      <c r="A109" s="2932" t="s">
        <v>1820</v>
      </c>
      <c r="B109" s="2643" t="s">
        <v>6150</v>
      </c>
      <c r="C109" s="2642" t="s">
        <v>1860</v>
      </c>
      <c r="D109" s="2642" t="s">
        <v>4762</v>
      </c>
      <c r="E109" s="2861" t="s">
        <v>3960</v>
      </c>
      <c r="F109" s="2861" t="s">
        <v>2658</v>
      </c>
      <c r="G109" s="2862" t="s">
        <v>3322</v>
      </c>
      <c r="H109" s="2933" t="str">
        <f>HLOOKUP(Non_UN,'Other Translations'!$A:$L,1+translations!J109,)</f>
        <v>Während der Anbauphase</v>
      </c>
      <c r="J109" s="2936">
        <v>108</v>
      </c>
    </row>
    <row r="110" spans="1:10" s="2933" customFormat="1">
      <c r="A110" s="2932" t="s">
        <v>1820</v>
      </c>
      <c r="B110" s="2642" t="s">
        <v>638</v>
      </c>
      <c r="C110" s="2642" t="s">
        <v>1861</v>
      </c>
      <c r="D110" s="2642" t="s">
        <v>4763</v>
      </c>
      <c r="E110" s="2861" t="s">
        <v>3961</v>
      </c>
      <c r="F110" s="2861" t="s">
        <v>2659</v>
      </c>
      <c r="G110" s="2862" t="s">
        <v>3323</v>
      </c>
      <c r="H110" s="2933" t="str">
        <f>HLOOKUP(Non_UN,'Other Translations'!$A:$L,1+translations!J110,)</f>
        <v>Vor der Anbauphase</v>
      </c>
      <c r="J110" s="2936">
        <v>109</v>
      </c>
    </row>
    <row r="111" spans="1:10" s="2933" customFormat="1">
      <c r="A111" s="2932" t="s">
        <v>1820</v>
      </c>
      <c r="B111" s="2643" t="s">
        <v>6149</v>
      </c>
      <c r="C111" s="2642" t="s">
        <v>1862</v>
      </c>
      <c r="D111" s="2642" t="s">
        <v>4764</v>
      </c>
      <c r="E111" s="2861" t="s">
        <v>3962</v>
      </c>
      <c r="F111" s="2861" t="s">
        <v>2660</v>
      </c>
      <c r="G111" s="2862" t="s">
        <v>3324</v>
      </c>
      <c r="H111" s="2933" t="str">
        <f>HLOOKUP(Non_UN,'Other Translations'!$A:$L,1+translations!J111,)</f>
        <v>Organische Düngung (Stroh o.ä.)</v>
      </c>
      <c r="J111" s="2936">
        <v>110</v>
      </c>
    </row>
    <row r="112" spans="1:10" s="2933" customFormat="1" ht="39.6">
      <c r="A112" s="2932" t="s">
        <v>1820</v>
      </c>
      <c r="B112" s="2643" t="s">
        <v>6151</v>
      </c>
      <c r="C112" s="2642" t="s">
        <v>1863</v>
      </c>
      <c r="D112" s="2642" t="s">
        <v>4765</v>
      </c>
      <c r="E112" s="2861" t="s">
        <v>3963</v>
      </c>
      <c r="F112" s="2861" t="s">
        <v>2661</v>
      </c>
      <c r="G112" s="2862" t="s">
        <v>3325</v>
      </c>
      <c r="H112" s="2933" t="str">
        <f>HLOOKUP(Non_UN,'Other Translations'!$A:$L,1+translations!J112,)</f>
        <v>3.3.2. Dauerhafter Nassreisanbau ohne Landnutzungsänderung (Gesamtgebiet bleibt konstant)</v>
      </c>
      <c r="J112" s="2936">
        <v>111</v>
      </c>
    </row>
    <row r="113" spans="1:10" s="2933" customFormat="1">
      <c r="A113" s="2932" t="s">
        <v>1820</v>
      </c>
      <c r="B113" s="2643" t="s">
        <v>6169</v>
      </c>
      <c r="C113" s="2642" t="s">
        <v>1864</v>
      </c>
      <c r="D113" s="2642" t="s">
        <v>4766</v>
      </c>
      <c r="E113" s="2861" t="s">
        <v>3964</v>
      </c>
      <c r="F113" s="2861" t="s">
        <v>2662</v>
      </c>
      <c r="G113" s="2862" t="s">
        <v>3326</v>
      </c>
      <c r="H113" s="2933" t="str">
        <f>HLOOKUP(Non_UN,'Other Translations'!$A:$L,1+translations!J113,)</f>
        <v>Gesamt: Nassreisanbau</v>
      </c>
      <c r="J113" s="2936">
        <v>112</v>
      </c>
    </row>
    <row r="114" spans="1:10" s="2933" customFormat="1">
      <c r="A114" s="2932" t="s">
        <v>1820</v>
      </c>
      <c r="B114" s="2642" t="s">
        <v>1429</v>
      </c>
      <c r="C114" s="2642" t="s">
        <v>1866</v>
      </c>
      <c r="D114" s="2642" t="s">
        <v>4767</v>
      </c>
      <c r="E114" s="2861" t="s">
        <v>3965</v>
      </c>
      <c r="F114" s="2861" t="s">
        <v>2663</v>
      </c>
      <c r="G114" s="2862" t="s">
        <v>3327</v>
      </c>
      <c r="H114" s="2933" t="str">
        <f>HLOOKUP(Non_UN,'Other Translations'!$A:$L,1+translations!J114,)</f>
        <v>Nassreisanbau nach Rodung</v>
      </c>
      <c r="J114" s="2936">
        <v>113</v>
      </c>
    </row>
    <row r="115" spans="1:10" s="2933" customFormat="1" ht="14.4">
      <c r="A115" s="2932" t="s">
        <v>1820</v>
      </c>
      <c r="B115" s="2642" t="s">
        <v>1169</v>
      </c>
      <c r="C115" s="2642" t="s">
        <v>1867</v>
      </c>
      <c r="D115" s="2642" t="s">
        <v>4801</v>
      </c>
      <c r="E115" s="2861" t="s">
        <v>3944</v>
      </c>
      <c r="F115" s="2861" t="s">
        <v>3161</v>
      </c>
      <c r="G115" s="2862" t="s">
        <v>3304</v>
      </c>
      <c r="H115" s="2933" t="str">
        <f>HLOOKUP(Non_UN,'Other Translations'!$A:$L,1+translations!J115,)</f>
        <v>Aufforstung nach Nassreisanbaus</v>
      </c>
      <c r="J115" s="2936">
        <v>114</v>
      </c>
    </row>
    <row r="116" spans="1:10" s="2933" customFormat="1">
      <c r="A116" s="2932" t="s">
        <v>1820</v>
      </c>
      <c r="B116" s="2642" t="s">
        <v>1430</v>
      </c>
      <c r="C116" s="2642" t="s">
        <v>1868</v>
      </c>
      <c r="D116" s="2642" t="s">
        <v>4768</v>
      </c>
      <c r="E116" s="2861" t="s">
        <v>3966</v>
      </c>
      <c r="F116" s="2861" t="s">
        <v>2664</v>
      </c>
      <c r="G116" s="2862" t="s">
        <v>3328</v>
      </c>
      <c r="H116" s="2933" t="str">
        <f>HLOOKUP(Non_UN,'Other Translations'!$A:$L,1+translations!J116,)</f>
        <v>Nassreisanbau nach OLU</v>
      </c>
      <c r="J116" s="2936">
        <v>115</v>
      </c>
    </row>
    <row r="117" spans="1:10" s="2933" customFormat="1" ht="14.4">
      <c r="A117" s="2932" t="s">
        <v>1820</v>
      </c>
      <c r="B117" s="2642" t="s">
        <v>1244</v>
      </c>
      <c r="C117" s="2642" t="s">
        <v>1869</v>
      </c>
      <c r="D117" s="2642" t="s">
        <v>4803</v>
      </c>
      <c r="E117" s="2861" t="s">
        <v>3946</v>
      </c>
      <c r="F117" s="2861" t="s">
        <v>3162</v>
      </c>
      <c r="G117" s="2862" t="s">
        <v>3306</v>
      </c>
      <c r="H117" s="2933" t="str">
        <f>HLOOKUP(Non_UN,'Other Translations'!$A:$L,1+translations!J117,)</f>
        <v>OLU nach Nassreisanbaus</v>
      </c>
      <c r="J117" s="2936">
        <v>116</v>
      </c>
    </row>
    <row r="118" spans="1:10" s="2933" customFormat="1">
      <c r="A118" s="2932" t="s">
        <v>1820</v>
      </c>
      <c r="B118" s="2642" t="s">
        <v>1545</v>
      </c>
      <c r="C118" s="2642" t="s">
        <v>1865</v>
      </c>
      <c r="D118" s="2642" t="s">
        <v>4557</v>
      </c>
      <c r="E118" s="2861" t="s">
        <v>3967</v>
      </c>
      <c r="F118" s="2861" t="s">
        <v>2665</v>
      </c>
      <c r="G118" s="2862" t="s">
        <v>3329</v>
      </c>
      <c r="H118" s="2933" t="str">
        <f>HLOOKUP(Non_UN,'Other Translations'!$A:$L,1+translations!J118,)</f>
        <v>Systeme</v>
      </c>
      <c r="J118" s="2936">
        <v>117</v>
      </c>
    </row>
    <row r="119" spans="1:10" s="2933" customFormat="1">
      <c r="A119" s="2932" t="s">
        <v>1820</v>
      </c>
      <c r="B119" s="2642" t="s">
        <v>1542</v>
      </c>
      <c r="C119" s="2642" t="s">
        <v>1870</v>
      </c>
      <c r="D119" s="2642" t="s">
        <v>4769</v>
      </c>
      <c r="E119" s="2861" t="s">
        <v>3968</v>
      </c>
      <c r="F119" s="2861" t="s">
        <v>2666</v>
      </c>
      <c r="G119" s="2862" t="s">
        <v>3330</v>
      </c>
      <c r="H119" s="2933" t="str">
        <f>HLOOKUP(Non_UN,'Other Translations'!$A:$L,1+translations!J119,)</f>
        <v>Rate der Kohlenstoffabsorbtion</v>
      </c>
      <c r="J119" s="2936">
        <v>118</v>
      </c>
    </row>
    <row r="120" spans="1:10" s="2933" customFormat="1">
      <c r="A120" s="2932" t="s">
        <v>1820</v>
      </c>
      <c r="B120" s="2642" t="s">
        <v>1543</v>
      </c>
      <c r="C120" s="2642" t="s">
        <v>1871</v>
      </c>
      <c r="D120" s="2642" t="s">
        <v>4770</v>
      </c>
      <c r="E120" s="2861" t="s">
        <v>3969</v>
      </c>
      <c r="F120" s="2861" t="s">
        <v>2667</v>
      </c>
      <c r="G120" s="2862" t="s">
        <v>3331</v>
      </c>
      <c r="H120" s="2933" t="str">
        <f>HLOOKUP(Non_UN,'Other Translations'!$A:$L,1+translations!J120,)</f>
        <v>Ernterückstände/Biomasse verfügbar zur Verbrennung</v>
      </c>
      <c r="J120" s="2936">
        <v>119</v>
      </c>
    </row>
    <row r="121" spans="1:10" s="2933" customFormat="1">
      <c r="A121" s="2932" t="s">
        <v>1820</v>
      </c>
      <c r="B121" s="2642" t="s">
        <v>1826</v>
      </c>
      <c r="C121" s="2642" t="s">
        <v>1872</v>
      </c>
      <c r="D121" s="2642" t="s">
        <v>4771</v>
      </c>
      <c r="E121" s="2861" t="s">
        <v>3970</v>
      </c>
      <c r="F121" s="2861" t="s">
        <v>3164</v>
      </c>
      <c r="G121" s="2862" t="s">
        <v>3332</v>
      </c>
      <c r="H121" s="2933" t="str">
        <f>HLOOKUP(Non_UN,'Other Translations'!$A:$L,1+translations!J121,)</f>
        <v xml:space="preserve"> (t CO2/ha/Jahr)</v>
      </c>
      <c r="J121" s="2936">
        <v>120</v>
      </c>
    </row>
    <row r="122" spans="1:10" s="2933" customFormat="1">
      <c r="A122" s="2932" t="s">
        <v>1820</v>
      </c>
      <c r="B122" s="2642" t="s">
        <v>1544</v>
      </c>
      <c r="C122" s="2642" t="s">
        <v>1873</v>
      </c>
      <c r="D122" s="2642" t="s">
        <v>4561</v>
      </c>
      <c r="E122" s="2861" t="s">
        <v>3971</v>
      </c>
      <c r="F122" s="2861" t="s">
        <v>3165</v>
      </c>
      <c r="G122" s="2862" t="s">
        <v>3333</v>
      </c>
      <c r="H122" s="2933" t="str">
        <f>HLOOKUP(Non_UN,'Other Translations'!$A:$L,1+translations!J122,)</f>
        <v>(t Trockensubstanz pro ha)</v>
      </c>
      <c r="J122" s="2936">
        <v>121</v>
      </c>
    </row>
    <row r="123" spans="1:10" s="2933" customFormat="1" ht="26.4">
      <c r="A123" s="2932" t="s">
        <v>1820</v>
      </c>
      <c r="B123" s="2643" t="s">
        <v>4563</v>
      </c>
      <c r="C123" s="2643" t="s">
        <v>4564</v>
      </c>
      <c r="D123" s="2642" t="s">
        <v>5217</v>
      </c>
      <c r="E123" s="2861" t="s">
        <v>3972</v>
      </c>
      <c r="F123" s="2861" t="s">
        <v>2668</v>
      </c>
      <c r="G123" s="2862" t="s">
        <v>3334</v>
      </c>
      <c r="H123" s="2933" t="str">
        <f>HLOOKUP(Non_UN,'Other Translations'!$A:$L,1+translations!J123,)</f>
        <v>Einjährige Kulturpflanzen nach (oder vor) anderer Landnutzung</v>
      </c>
      <c r="J123" s="2936">
        <v>122</v>
      </c>
    </row>
    <row r="124" spans="1:10" s="2933" customFormat="1" ht="26.4">
      <c r="A124" s="2932" t="s">
        <v>1820</v>
      </c>
      <c r="B124" s="2642" t="s">
        <v>1541</v>
      </c>
      <c r="C124" s="2642" t="s">
        <v>1879</v>
      </c>
      <c r="D124" s="2642" t="s">
        <v>4772</v>
      </c>
      <c r="E124" s="2861" t="s">
        <v>3973</v>
      </c>
      <c r="F124" s="2861" t="s">
        <v>2669</v>
      </c>
      <c r="G124" s="2862" t="s">
        <v>3335</v>
      </c>
      <c r="H124" s="2933" t="str">
        <f>HLOOKUP(Non_UN,'Other Translations'!$A:$L,1+translations!J124,)</f>
        <v>Dauerhaft einjährige Kulturpflanzen</v>
      </c>
      <c r="J124" s="2936">
        <v>123</v>
      </c>
    </row>
    <row r="125" spans="1:10" s="2933" customFormat="1">
      <c r="A125" s="2932" t="s">
        <v>1820</v>
      </c>
      <c r="B125" s="2642" t="s">
        <v>1548</v>
      </c>
      <c r="C125" s="2642" t="s">
        <v>1874</v>
      </c>
      <c r="D125" s="2642" t="s">
        <v>4773</v>
      </c>
      <c r="E125" s="2861" t="s">
        <v>3974</v>
      </c>
      <c r="F125" s="2861" t="s">
        <v>2670</v>
      </c>
      <c r="G125" s="2862" t="s">
        <v>3336</v>
      </c>
      <c r="H125" s="2933" t="str">
        <f>HLOOKUP(Non_UN,'Other Translations'!$A:$L,1+translations!J125,)</f>
        <v>Wachstumsrate (t C/ha/Jahr)</v>
      </c>
      <c r="J125" s="2936">
        <v>124</v>
      </c>
    </row>
    <row r="126" spans="1:10" s="2933" customFormat="1">
      <c r="A126" s="2932" t="s">
        <v>1820</v>
      </c>
      <c r="B126" s="2643" t="s">
        <v>6159</v>
      </c>
      <c r="C126" s="2642" t="s">
        <v>1875</v>
      </c>
      <c r="D126" s="2642" t="s">
        <v>4774</v>
      </c>
      <c r="E126" s="2861" t="s">
        <v>3975</v>
      </c>
      <c r="F126" s="2861" t="s">
        <v>2671</v>
      </c>
      <c r="G126" s="2862" t="s">
        <v>3337</v>
      </c>
      <c r="H126" s="2933" t="str">
        <f>HLOOKUP(Non_UN,'Other Translations'!$A:$L,1+translations!J126,)</f>
        <v>Feuernutzung (Menge and Ernterückständen und Periodizität)</v>
      </c>
      <c r="J126" s="2936">
        <v>125</v>
      </c>
    </row>
    <row r="127" spans="1:10" s="2933" customFormat="1">
      <c r="A127" s="2932" t="s">
        <v>1820</v>
      </c>
      <c r="B127" s="2642" t="s">
        <v>1876</v>
      </c>
      <c r="C127" s="2642" t="s">
        <v>1877</v>
      </c>
      <c r="D127" s="2642" t="s">
        <v>4775</v>
      </c>
      <c r="E127" s="2861" t="s">
        <v>3976</v>
      </c>
      <c r="F127" s="2861" t="s">
        <v>3166</v>
      </c>
      <c r="G127" s="2862" t="s">
        <v>3338</v>
      </c>
      <c r="H127" s="2933" t="str">
        <f>HLOOKUP(Non_UN,'Other Translations'!$A:$L,1+translations!J127,)</f>
        <v>Periodizität (Jahre)</v>
      </c>
      <c r="J127" s="2936">
        <v>126</v>
      </c>
    </row>
    <row r="128" spans="1:10" s="2933" customFormat="1" ht="26.4">
      <c r="A128" s="2932" t="s">
        <v>1820</v>
      </c>
      <c r="B128" s="2643" t="s">
        <v>4565</v>
      </c>
      <c r="C128" s="2643" t="s">
        <v>4567</v>
      </c>
      <c r="D128" s="2642" t="s">
        <v>5218</v>
      </c>
      <c r="E128" s="2861" t="s">
        <v>3977</v>
      </c>
      <c r="F128" s="2861" t="s">
        <v>2672</v>
      </c>
      <c r="G128" s="2862" t="s">
        <v>3339</v>
      </c>
      <c r="H128" s="2933" t="str">
        <f>HLOOKUP(Non_UN,'Other Translations'!$A:$L,1+translations!J128,)</f>
        <v>Mehrjährige Kulturpflanzen nach (oder vor) anderen Landnutzungsformen</v>
      </c>
      <c r="J128" s="2936">
        <v>127</v>
      </c>
    </row>
    <row r="129" spans="1:10" s="2933" customFormat="1" ht="26.4">
      <c r="A129" s="2932" t="s">
        <v>1820</v>
      </c>
      <c r="B129" s="2642" t="s">
        <v>1549</v>
      </c>
      <c r="C129" s="2642" t="s">
        <v>1878</v>
      </c>
      <c r="D129" s="2642" t="s">
        <v>4776</v>
      </c>
      <c r="E129" s="2861" t="s">
        <v>3978</v>
      </c>
      <c r="F129" s="2861" t="s">
        <v>2673</v>
      </c>
      <c r="G129" s="2862" t="s">
        <v>3340</v>
      </c>
      <c r="H129" s="2933" t="str">
        <f>HLOOKUP(Non_UN,'Other Translations'!$A:$L,1+translations!J129,)</f>
        <v>Flächen dauerhaft mehrjährige Kulturpflanzen</v>
      </c>
      <c r="J129" s="2936">
        <v>128</v>
      </c>
    </row>
    <row r="130" spans="1:10" s="2933" customFormat="1">
      <c r="A130" s="2932" t="s">
        <v>1820</v>
      </c>
      <c r="B130" s="2642" t="s">
        <v>1561</v>
      </c>
      <c r="C130" s="2642" t="s">
        <v>1880</v>
      </c>
      <c r="D130" s="2642" t="s">
        <v>4777</v>
      </c>
      <c r="E130" s="2861" t="s">
        <v>3979</v>
      </c>
      <c r="F130" s="2861" t="s">
        <v>2674</v>
      </c>
      <c r="G130" s="2862" t="s">
        <v>3341</v>
      </c>
      <c r="H130" s="2933" t="str">
        <f>HLOOKUP(Non_UN,'Other Translations'!$A:$L,1+translations!J130,)</f>
        <v>Menge an verbranntem Stroh</v>
      </c>
      <c r="J130" s="2936">
        <v>129</v>
      </c>
    </row>
    <row r="131" spans="1:10" s="2933" customFormat="1" ht="26.4">
      <c r="A131" s="2932" t="s">
        <v>1820</v>
      </c>
      <c r="B131" s="2643" t="s">
        <v>4566</v>
      </c>
      <c r="C131" s="2643" t="s">
        <v>4568</v>
      </c>
      <c r="D131" s="2642" t="s">
        <v>5219</v>
      </c>
      <c r="E131" s="2861" t="s">
        <v>3980</v>
      </c>
      <c r="F131" s="2861" t="s">
        <v>2675</v>
      </c>
      <c r="G131" s="2862" t="s">
        <v>3342</v>
      </c>
      <c r="H131" s="2933" t="str">
        <f>HLOOKUP(Non_UN,'Other Translations'!$A:$L,1+translations!J131,)</f>
        <v>Nassreisanbau nach (oder vor) anderer Landnutzung</v>
      </c>
      <c r="J131" s="2936">
        <v>130</v>
      </c>
    </row>
    <row r="132" spans="1:10" s="2933" customFormat="1" ht="26.4">
      <c r="A132" s="2932" t="s">
        <v>1820</v>
      </c>
      <c r="B132" s="2642" t="s">
        <v>1560</v>
      </c>
      <c r="C132" s="2642" t="s">
        <v>1881</v>
      </c>
      <c r="D132" s="2642" t="s">
        <v>4778</v>
      </c>
      <c r="E132" s="2861" t="s">
        <v>3981</v>
      </c>
      <c r="F132" s="2861" t="s">
        <v>3167</v>
      </c>
      <c r="G132" s="2862" t="s">
        <v>3343</v>
      </c>
      <c r="H132" s="2933" t="str">
        <f>HLOOKUP(Non_UN,'Other Translations'!$A:$L,1+translations!J132,)</f>
        <v>Dauerhafter Nassreisanbau</v>
      </c>
      <c r="J132" s="2936">
        <v>131</v>
      </c>
    </row>
    <row r="133" spans="1:10" s="2933" customFormat="1" ht="39.6">
      <c r="A133" s="2932" t="s">
        <v>1820</v>
      </c>
      <c r="B133" s="2642" t="s">
        <v>1827</v>
      </c>
      <c r="C133" s="2642" t="s">
        <v>1882</v>
      </c>
      <c r="D133" s="2642" t="s">
        <v>4779</v>
      </c>
      <c r="E133" s="2861" t="s">
        <v>3982</v>
      </c>
      <c r="F133" s="2861" t="s">
        <v>2676</v>
      </c>
      <c r="G133" s="2862" t="s">
        <v>3344</v>
      </c>
      <c r="H133" s="2933" t="str">
        <f>HLOOKUP(Non_UN,'Other Translations'!$A:$L,1+translations!J133,)</f>
        <v>Bewässerungstyp vor der Anbauphase (Das beigefügte Schema stellt den Nassreisanbau als graue Fläche dar).</v>
      </c>
      <c r="J133" s="2936">
        <v>132</v>
      </c>
    </row>
    <row r="134" spans="1:10" s="2933" customFormat="1">
      <c r="A134" s="2932" t="s">
        <v>1820</v>
      </c>
      <c r="B134" s="2642" t="s">
        <v>1828</v>
      </c>
      <c r="C134" s="2642" t="s">
        <v>1883</v>
      </c>
      <c r="D134" s="2642" t="s">
        <v>4780</v>
      </c>
      <c r="E134" s="2861" t="s">
        <v>3983</v>
      </c>
      <c r="F134" s="2861" t="s">
        <v>2677</v>
      </c>
      <c r="G134" s="2862" t="s">
        <v>3345</v>
      </c>
      <c r="H134" s="2933" t="str">
        <f>HLOOKUP(Non_UN,'Other Translations'!$A:$L,1+translations!J134,)</f>
        <v>Unbewässerte Vorsaison &lt;180 Tage</v>
      </c>
      <c r="J134" s="2936">
        <v>133</v>
      </c>
    </row>
    <row r="135" spans="1:10" s="2933" customFormat="1">
      <c r="A135" s="2932" t="s">
        <v>1820</v>
      </c>
      <c r="B135" s="2642" t="s">
        <v>1829</v>
      </c>
      <c r="C135" s="2642" t="s">
        <v>1884</v>
      </c>
      <c r="D135" s="2642" t="s">
        <v>4781</v>
      </c>
      <c r="E135" s="2861" t="s">
        <v>3984</v>
      </c>
      <c r="F135" s="2861" t="s">
        <v>2678</v>
      </c>
      <c r="G135" s="2862" t="s">
        <v>3346</v>
      </c>
      <c r="H135" s="2933" t="str">
        <f>HLOOKUP(Non_UN,'Other Translations'!$A:$L,1+translations!J135,)</f>
        <v>Unbewässerte Vorsaison &gt;180 Tage</v>
      </c>
      <c r="J135" s="2936">
        <v>134</v>
      </c>
    </row>
    <row r="136" spans="1:10" s="2933" customFormat="1">
      <c r="A136" s="2932" t="s">
        <v>1820</v>
      </c>
      <c r="B136" s="2642" t="s">
        <v>1830</v>
      </c>
      <c r="C136" s="2642" t="s">
        <v>1885</v>
      </c>
      <c r="D136" s="2642" t="s">
        <v>4782</v>
      </c>
      <c r="E136" s="2861" t="s">
        <v>3985</v>
      </c>
      <c r="F136" s="2861" t="s">
        <v>2679</v>
      </c>
      <c r="G136" s="2862" t="s">
        <v>3347</v>
      </c>
      <c r="H136" s="2933" t="str">
        <f>HLOOKUP(Non_UN,'Other Translations'!$A:$L,1+translations!J136,)</f>
        <v>Bewässerte Vorsaison (&gt;30 Tage)</v>
      </c>
      <c r="J136" s="2936">
        <v>135</v>
      </c>
    </row>
    <row r="137" spans="1:10" s="2933" customFormat="1">
      <c r="A137" s="2932" t="s">
        <v>1820</v>
      </c>
      <c r="B137" s="2933" t="s">
        <v>1852</v>
      </c>
      <c r="C137" s="2642" t="s">
        <v>1847</v>
      </c>
      <c r="D137" s="2642" t="s">
        <v>4783</v>
      </c>
      <c r="E137" s="2861" t="s">
        <v>3986</v>
      </c>
      <c r="F137" s="2861" t="s">
        <v>2680</v>
      </c>
      <c r="G137" s="2862" t="s">
        <v>3348</v>
      </c>
      <c r="H137" s="2933" t="str">
        <f>HLOOKUP(Non_UN,'Other Translations'!$A:$L,1+translations!J137,)</f>
        <v>Landbewirtschaftungsoptionen</v>
      </c>
      <c r="J137" s="2936">
        <v>136</v>
      </c>
    </row>
    <row r="138" spans="1:10" s="2933" customFormat="1">
      <c r="A138" s="2932" t="s">
        <v>1820</v>
      </c>
      <c r="B138" s="2642" t="s">
        <v>1512</v>
      </c>
      <c r="C138" s="2642" t="s">
        <v>1851</v>
      </c>
      <c r="D138" s="2642" t="s">
        <v>4784</v>
      </c>
      <c r="E138" s="2861" t="s">
        <v>3987</v>
      </c>
      <c r="F138" s="2861" t="s">
        <v>2681</v>
      </c>
      <c r="G138" s="2862" t="s">
        <v>3349</v>
      </c>
      <c r="H138" s="2933" t="str">
        <f>HLOOKUP(Non_UN,'Other Translations'!$A:$L,1+translations!J138,)</f>
        <v>(t/ha/Jahr)</v>
      </c>
      <c r="J138" s="2936">
        <v>137</v>
      </c>
    </row>
    <row r="139" spans="1:10" s="2933" customFormat="1">
      <c r="A139" s="2932" t="s">
        <v>1820</v>
      </c>
      <c r="B139" s="2642" t="s">
        <v>2123</v>
      </c>
      <c r="C139" s="2642" t="s">
        <v>2124</v>
      </c>
      <c r="D139" s="2642" t="s">
        <v>4785</v>
      </c>
      <c r="E139" s="2861" t="s">
        <v>3988</v>
      </c>
      <c r="F139" s="2861" t="s">
        <v>2682</v>
      </c>
      <c r="G139" s="2862" t="s">
        <v>3350</v>
      </c>
      <c r="H139" s="2933" t="str">
        <f>HLOOKUP(Non_UN,'Other Translations'!$A:$L,1+translations!J139,)</f>
        <v>Definition der Landbewirtschaftungsoptionen</v>
      </c>
      <c r="J139" s="2936">
        <v>138</v>
      </c>
    </row>
    <row r="140" spans="1:10" s="2933" customFormat="1" ht="39.6">
      <c r="A140" s="2932" t="s">
        <v>1820</v>
      </c>
      <c r="B140" s="2642" t="s">
        <v>2125</v>
      </c>
      <c r="C140" s="2643" t="s">
        <v>2129</v>
      </c>
      <c r="D140" s="2642" t="s">
        <v>4786</v>
      </c>
      <c r="E140" s="2861" t="s">
        <v>3989</v>
      </c>
      <c r="F140" s="2861" t="s">
        <v>2683</v>
      </c>
      <c r="G140" s="2862" t="s">
        <v>3351</v>
      </c>
      <c r="H140" s="2933" t="str">
        <f>HLOOKUP(Non_UN,'Other Translations'!$A:$L,1+translations!J140,)</f>
        <v>Nutzung verbesserten Saatguts, gezielte Fruchtfolgen, erhöter Ertrag von Stroh und Ernterückständen.</v>
      </c>
      <c r="J140" s="2936">
        <v>139</v>
      </c>
    </row>
    <row r="141" spans="1:10" s="2933" customFormat="1" ht="66">
      <c r="A141" s="2932" t="s">
        <v>1820</v>
      </c>
      <c r="B141" s="2643" t="s">
        <v>2130</v>
      </c>
      <c r="C141" s="2643" t="s">
        <v>2131</v>
      </c>
      <c r="D141" s="2642" t="s">
        <v>4787</v>
      </c>
      <c r="E141" s="2861" t="s">
        <v>3990</v>
      </c>
      <c r="F141" s="2861" t="s">
        <v>2684</v>
      </c>
      <c r="G141" s="2862" t="s">
        <v>3352</v>
      </c>
      <c r="H141" s="2933" t="str">
        <f>HLOOKUP(Non_UN,'Other Translations'!$A:$L,1+translations!J141,)</f>
        <v>Erhöte effizienz der Stickstoffdüngung, verringerte Stickstoffverluste: Mikrodosierung, Anpassung von Intensität, Zeitpunkt und Plazierung von Düngemitteln.</v>
      </c>
      <c r="J141" s="2936">
        <v>140</v>
      </c>
    </row>
    <row r="142" spans="1:10" s="2933" customFormat="1" ht="39.6">
      <c r="A142" s="2932" t="s">
        <v>1820</v>
      </c>
      <c r="B142" s="2642" t="s">
        <v>2126</v>
      </c>
      <c r="C142" s="2643" t="s">
        <v>2132</v>
      </c>
      <c r="D142" s="2642" t="s">
        <v>4788</v>
      </c>
      <c r="E142" s="2861" t="s">
        <v>3991</v>
      </c>
      <c r="F142" s="2861" t="s">
        <v>2685</v>
      </c>
      <c r="G142" s="2861" t="s">
        <v>3353</v>
      </c>
      <c r="H142" s="2933" t="str">
        <f>HLOOKUP(Non_UN,'Other Translations'!$A:$L,1+translations!J142,)</f>
        <v>Anwendung von Methoden reduzierter Bodenbearbeitung (zero/reduced tillage), mit oder ohne Einarbeitung von Ernterückständen, einschliesslich Conservation Agriculture.</v>
      </c>
      <c r="J142" s="2936">
        <v>141</v>
      </c>
    </row>
    <row r="143" spans="1:10" s="2933" customFormat="1" ht="26.4">
      <c r="A143" s="2932" t="s">
        <v>1820</v>
      </c>
      <c r="B143" s="2642" t="s">
        <v>2127</v>
      </c>
      <c r="C143" s="2643" t="s">
        <v>2133</v>
      </c>
      <c r="D143" s="2642" t="s">
        <v>4789</v>
      </c>
      <c r="E143" s="2861" t="s">
        <v>3992</v>
      </c>
      <c r="F143" s="2861" t="s">
        <v>2686</v>
      </c>
      <c r="G143" s="2862" t="s">
        <v>3354</v>
      </c>
      <c r="H143" s="2933" t="str">
        <f>HLOOKUP(Non_UN,'Other Translations'!$A:$L,1+translations!J143,)</f>
        <v>Anwendung von effektiven Bewässerungsmethoden.</v>
      </c>
      <c r="J143" s="2936">
        <v>142</v>
      </c>
    </row>
    <row r="144" spans="1:10" s="2933" customFormat="1" ht="26.4">
      <c r="A144" s="2932" t="s">
        <v>1820</v>
      </c>
      <c r="B144" s="2642" t="s">
        <v>2128</v>
      </c>
      <c r="C144" s="2643" t="s">
        <v>2134</v>
      </c>
      <c r="D144" s="2642" t="s">
        <v>4790</v>
      </c>
      <c r="E144" s="2861" t="s">
        <v>3993</v>
      </c>
      <c r="F144" s="2861" t="s">
        <v>2687</v>
      </c>
      <c r="G144" s="2862" t="s">
        <v>3355</v>
      </c>
      <c r="H144" s="2933" t="str">
        <f>HLOOKUP(Non_UN,'Other Translations'!$A:$L,1+translations!J144,)</f>
        <v>Düngung mit Stallmist und Gülle. Applizierung von aufgearbeiteten Klärschlämmen.</v>
      </c>
      <c r="J144" s="2936">
        <v>143</v>
      </c>
    </row>
    <row r="145" spans="1:10" s="2641" customFormat="1">
      <c r="A145" s="2641" t="s">
        <v>1670</v>
      </c>
      <c r="B145" s="2640" t="s">
        <v>1647</v>
      </c>
      <c r="C145" s="2640" t="s">
        <v>1648</v>
      </c>
      <c r="D145" s="2640" t="s">
        <v>1649</v>
      </c>
      <c r="E145" s="2640" t="str">
        <f>E1</f>
        <v>中文</v>
      </c>
      <c r="F145" s="2640" t="str">
        <f>F1</f>
        <v>Русский</v>
      </c>
      <c r="G145" s="2641" t="str">
        <f>G1</f>
        <v>عربي</v>
      </c>
      <c r="H145" s="2641" t="str">
        <f>Non_UN</f>
        <v>Deutsch</v>
      </c>
      <c r="J145" s="2936">
        <v>144</v>
      </c>
    </row>
    <row r="146" spans="1:10" s="2944" customFormat="1">
      <c r="A146" s="2687" t="s">
        <v>1903</v>
      </c>
      <c r="B146" s="2715" t="s">
        <v>5566</v>
      </c>
      <c r="C146" s="2687" t="s">
        <v>1904</v>
      </c>
      <c r="D146" s="2685" t="s">
        <v>4791</v>
      </c>
      <c r="E146" s="2861" t="s">
        <v>3994</v>
      </c>
      <c r="F146" s="2861" t="s">
        <v>2688</v>
      </c>
      <c r="G146" s="2862" t="s">
        <v>3356</v>
      </c>
      <c r="H146" s="2933" t="str">
        <f>HLOOKUP(Non_UN,'Other Translations'!$A:$L,1+translations!J146,)</f>
        <v>Weideland</v>
      </c>
      <c r="J146" s="2936">
        <v>145</v>
      </c>
    </row>
    <row r="147" spans="1:10" s="2944" customFormat="1" ht="39.6">
      <c r="A147" s="2687" t="s">
        <v>1903</v>
      </c>
      <c r="B147" s="2715" t="s">
        <v>6161</v>
      </c>
      <c r="C147" s="2715" t="s">
        <v>1959</v>
      </c>
      <c r="D147" s="2685" t="s">
        <v>4792</v>
      </c>
      <c r="E147" s="2861" t="s">
        <v>3995</v>
      </c>
      <c r="F147" s="2861" t="s">
        <v>2689</v>
      </c>
      <c r="G147" s="2945" t="s">
        <v>3357</v>
      </c>
      <c r="H147" s="2933" t="str">
        <f>HLOOKUP(Non_UN,'Other Translations'!$A:$L,1+translations!J147,)</f>
        <v>4.1.1. Weideland konvertiert von oder zu anderer Landnutzung (Zuvor ist Modul 2.LUC auszufüllen)</v>
      </c>
      <c r="J147" s="2936">
        <v>146</v>
      </c>
    </row>
    <row r="148" spans="1:10" s="2944" customFormat="1" ht="26.4">
      <c r="A148" s="2687" t="s">
        <v>1903</v>
      </c>
      <c r="B148" s="2685" t="s">
        <v>5565</v>
      </c>
      <c r="C148" s="2715" t="s">
        <v>1960</v>
      </c>
      <c r="D148" s="2685" t="s">
        <v>4793</v>
      </c>
      <c r="E148" s="2861" t="s">
        <v>3996</v>
      </c>
      <c r="F148" s="2861" t="s">
        <v>2690</v>
      </c>
      <c r="G148" s="2862" t="s">
        <v>3358</v>
      </c>
      <c r="H148" s="2933" t="str">
        <f>HLOOKUP(Non_UN,'Other Translations'!$A:$L,1+translations!J148,)</f>
        <v>4.1.2. Dauerhaftes Weideland ohne Landnutzungsänderung (Gesamtgebiet bleibt konstant)</v>
      </c>
      <c r="J148" s="2936">
        <v>147</v>
      </c>
    </row>
    <row r="149" spans="1:10" s="2944" customFormat="1">
      <c r="A149" s="2687" t="s">
        <v>1903</v>
      </c>
      <c r="B149" s="2685" t="s">
        <v>188</v>
      </c>
      <c r="C149" s="2685" t="s">
        <v>1905</v>
      </c>
      <c r="D149" s="2685" t="s">
        <v>4794</v>
      </c>
      <c r="E149" s="2861" t="s">
        <v>3997</v>
      </c>
      <c r="F149" s="2861" t="s">
        <v>2691</v>
      </c>
      <c r="G149" s="2862" t="s">
        <v>3359</v>
      </c>
      <c r="H149" s="2933" t="str">
        <f>HLOOKUP(Non_UN,'Other Translations'!$A:$L,1+translations!J149,)</f>
        <v>Startzustand</v>
      </c>
      <c r="J149" s="2936">
        <v>148</v>
      </c>
    </row>
    <row r="150" spans="1:10" s="2944" customFormat="1">
      <c r="A150" s="2687" t="s">
        <v>1903</v>
      </c>
      <c r="B150" s="2715" t="s">
        <v>6162</v>
      </c>
      <c r="C150" s="2715" t="s">
        <v>1906</v>
      </c>
      <c r="D150" s="2685" t="s">
        <v>4795</v>
      </c>
      <c r="E150" s="2861" t="s">
        <v>3998</v>
      </c>
      <c r="F150" s="2861" t="s">
        <v>2692</v>
      </c>
      <c r="G150" s="2862" t="s">
        <v>3360</v>
      </c>
      <c r="H150" s="2933" t="str">
        <f>HLOOKUP(Non_UN,'Other Translations'!$A:$L,1+translations!J150,)</f>
        <v>Regelmässige Feuernutzung</v>
      </c>
      <c r="J150" s="2936">
        <v>149</v>
      </c>
    </row>
    <row r="151" spans="1:10" s="2944" customFormat="1">
      <c r="A151" s="2687" t="s">
        <v>1903</v>
      </c>
      <c r="B151" s="2715" t="s">
        <v>1438</v>
      </c>
      <c r="C151" s="2715" t="s">
        <v>1907</v>
      </c>
      <c r="D151" s="2685" t="s">
        <v>4796</v>
      </c>
      <c r="E151" s="2861" t="s">
        <v>3999</v>
      </c>
      <c r="F151" s="2861" t="s">
        <v>2693</v>
      </c>
      <c r="G151" s="2862" t="s">
        <v>3361</v>
      </c>
      <c r="H151" s="2933" t="str">
        <f>HLOOKUP(Non_UN,'Other Translations'!$A:$L,1+translations!J151,)</f>
        <v xml:space="preserve">Gesamtemissionen  </v>
      </c>
      <c r="J151" s="2936">
        <v>150</v>
      </c>
    </row>
    <row r="152" spans="1:10" s="2944" customFormat="1">
      <c r="A152" s="2687" t="s">
        <v>1903</v>
      </c>
      <c r="B152" s="2715" t="s">
        <v>1436</v>
      </c>
      <c r="C152" s="2715" t="s">
        <v>1908</v>
      </c>
      <c r="D152" s="2685" t="s">
        <v>4797</v>
      </c>
      <c r="E152" s="2861" t="s">
        <v>4000</v>
      </c>
      <c r="F152" s="2861" t="s">
        <v>2694</v>
      </c>
      <c r="G152" s="2862" t="s">
        <v>3362</v>
      </c>
      <c r="H152" s="2933" t="str">
        <f>HLOOKUP(Non_UN,'Other Translations'!$A:$L,1+translations!J152,)</f>
        <v>(Jahr)</v>
      </c>
      <c r="J152" s="2936">
        <v>151</v>
      </c>
    </row>
    <row r="153" spans="1:10" s="2944" customFormat="1">
      <c r="A153" s="2687" t="s">
        <v>1903</v>
      </c>
      <c r="B153" s="2715" t="s">
        <v>1437</v>
      </c>
      <c r="C153" s="2715" t="s">
        <v>1909</v>
      </c>
      <c r="D153" s="2685" t="s">
        <v>4798</v>
      </c>
      <c r="E153" s="2861" t="s">
        <v>4001</v>
      </c>
      <c r="F153" s="2861" t="s">
        <v>2695</v>
      </c>
      <c r="G153" s="2862" t="s">
        <v>3363</v>
      </c>
      <c r="H153" s="2933" t="str">
        <f>HLOOKUP(Non_UN,'Other Translations'!$A:$L,1+translations!J153,)</f>
        <v>Periodizität</v>
      </c>
      <c r="J153" s="2936">
        <v>152</v>
      </c>
    </row>
    <row r="154" spans="1:10" s="2944" customFormat="1">
      <c r="A154" s="2687" t="s">
        <v>1903</v>
      </c>
      <c r="B154" s="2685" t="s">
        <v>692</v>
      </c>
      <c r="C154" s="2715" t="s">
        <v>1910</v>
      </c>
      <c r="D154" s="2685" t="s">
        <v>4799</v>
      </c>
      <c r="E154" s="2861" t="s">
        <v>4002</v>
      </c>
      <c r="F154" s="2861" t="s">
        <v>2696</v>
      </c>
      <c r="G154" s="2862" t="s">
        <v>3364</v>
      </c>
      <c r="H154" s="2933" t="str">
        <f>HLOOKUP(Non_UN,'Other Translations'!$A:$L,1+translations!J154,)</f>
        <v>Ohne Projekt</v>
      </c>
      <c r="J154" s="2936">
        <v>153</v>
      </c>
    </row>
    <row r="155" spans="1:10" s="2944" customFormat="1">
      <c r="A155" s="2687" t="s">
        <v>1903</v>
      </c>
      <c r="B155" s="2715" t="s">
        <v>898</v>
      </c>
      <c r="C155" s="2715" t="s">
        <v>1911</v>
      </c>
      <c r="D155" s="2685" t="s">
        <v>4800</v>
      </c>
      <c r="E155" s="2861" t="s">
        <v>4003</v>
      </c>
      <c r="F155" s="2861" t="s">
        <v>2697</v>
      </c>
      <c r="G155" s="2862" t="s">
        <v>3365</v>
      </c>
      <c r="H155" s="2933" t="str">
        <f>HLOOKUP(Non_UN,'Other Translations'!$A:$L,1+translations!J155,)</f>
        <v>Mit Projekt</v>
      </c>
      <c r="J155" s="2936">
        <v>154</v>
      </c>
    </row>
    <row r="156" spans="1:10" s="2944" customFormat="1">
      <c r="A156" s="2687" t="s">
        <v>1903</v>
      </c>
      <c r="B156" s="2685" t="s">
        <v>1434</v>
      </c>
      <c r="C156" s="2715" t="s">
        <v>1912</v>
      </c>
      <c r="D156" s="2685" t="s">
        <v>5220</v>
      </c>
      <c r="E156" s="2861" t="s">
        <v>4004</v>
      </c>
      <c r="F156" s="2861" t="s">
        <v>2698</v>
      </c>
      <c r="G156" s="2862" t="s">
        <v>3366</v>
      </c>
      <c r="H156" s="2933" t="str">
        <f>HLOOKUP(Non_UN,'Other Translations'!$A:$L,1+translations!J156,)</f>
        <v>Weideland nach Rodung</v>
      </c>
      <c r="J156" s="2936">
        <v>155</v>
      </c>
    </row>
    <row r="157" spans="1:10" s="2944" customFormat="1" ht="14.4">
      <c r="A157" s="2687" t="s">
        <v>1903</v>
      </c>
      <c r="B157" s="2685" t="s">
        <v>1169</v>
      </c>
      <c r="C157" s="2715" t="s">
        <v>1913</v>
      </c>
      <c r="D157" s="2685" t="s">
        <v>4801</v>
      </c>
      <c r="E157" s="2861" t="s">
        <v>3944</v>
      </c>
      <c r="F157" s="2861" t="s">
        <v>3161</v>
      </c>
      <c r="G157" s="2862" t="s">
        <v>3313</v>
      </c>
      <c r="H157" s="2933" t="str">
        <f>HLOOKUP(Non_UN,'Other Translations'!$A:$L,1+translations!J157,)</f>
        <v>Aufforstung auf Weideland</v>
      </c>
      <c r="J157" s="2936">
        <v>156</v>
      </c>
    </row>
    <row r="158" spans="1:10" s="2944" customFormat="1">
      <c r="A158" s="2687" t="s">
        <v>1903</v>
      </c>
      <c r="B158" s="2685" t="s">
        <v>1435</v>
      </c>
      <c r="C158" s="2715" t="s">
        <v>1915</v>
      </c>
      <c r="D158" s="2685" t="s">
        <v>4802</v>
      </c>
      <c r="E158" s="2861" t="s">
        <v>4005</v>
      </c>
      <c r="F158" s="2861" t="s">
        <v>3168</v>
      </c>
      <c r="G158" s="2862" t="s">
        <v>3367</v>
      </c>
      <c r="H158" s="2933" t="str">
        <f>HLOOKUP(Non_UN,'Other Translations'!$A:$L,1+translations!J158,)</f>
        <v>Weideland nach OLU</v>
      </c>
      <c r="J158" s="2936">
        <v>157</v>
      </c>
    </row>
    <row r="159" spans="1:10" s="2944" customFormat="1" ht="14.4">
      <c r="A159" s="2687" t="s">
        <v>1903</v>
      </c>
      <c r="B159" s="2685" t="s">
        <v>1244</v>
      </c>
      <c r="C159" s="2715" t="s">
        <v>1914</v>
      </c>
      <c r="D159" s="2685" t="s">
        <v>4803</v>
      </c>
      <c r="E159" s="2861" t="s">
        <v>4006</v>
      </c>
      <c r="F159" s="2934" t="s">
        <v>2651</v>
      </c>
      <c r="G159" s="2862" t="s">
        <v>3315</v>
      </c>
      <c r="H159" s="2933" t="str">
        <f>HLOOKUP(Non_UN,'Other Translations'!$A:$L,1+translations!J159,)</f>
        <v>OLU nach Weideland</v>
      </c>
      <c r="J159" s="2936">
        <v>158</v>
      </c>
    </row>
    <row r="160" spans="1:10" s="2944" customFormat="1">
      <c r="A160" s="2687" t="s">
        <v>1903</v>
      </c>
      <c r="B160" s="2685" t="s">
        <v>1439</v>
      </c>
      <c r="C160" s="2715" t="s">
        <v>1916</v>
      </c>
      <c r="D160" s="2685" t="s">
        <v>4804</v>
      </c>
      <c r="E160" s="2861" t="s">
        <v>4007</v>
      </c>
      <c r="F160" s="2861" t="s">
        <v>2699</v>
      </c>
      <c r="G160" s="2862" t="s">
        <v>3368</v>
      </c>
      <c r="H160" s="2933" t="str">
        <f>HLOOKUP(Non_UN,'Other Translations'!$A:$L,1+translations!J160,)</f>
        <v>Finaler Zustand des Weidelandes</v>
      </c>
      <c r="J160" s="2936">
        <v>159</v>
      </c>
    </row>
    <row r="161" spans="1:10" s="2944" customFormat="1">
      <c r="A161" s="2687" t="s">
        <v>1903</v>
      </c>
      <c r="B161" s="2715" t="s">
        <v>1917</v>
      </c>
      <c r="C161" s="2715" t="s">
        <v>1917</v>
      </c>
      <c r="D161" s="2685" t="s">
        <v>1917</v>
      </c>
      <c r="E161" s="2861" t="s">
        <v>4008</v>
      </c>
      <c r="F161" s="2861" t="s">
        <v>3169</v>
      </c>
      <c r="G161" s="2862" t="s">
        <v>3369</v>
      </c>
      <c r="H161" s="2933" t="str">
        <f>HLOOKUP(Non_UN,'Other Translations'!$A:$L,1+translations!J161,)</f>
        <v>(tCO2-eq)</v>
      </c>
      <c r="J161" s="2936">
        <v>160</v>
      </c>
    </row>
    <row r="162" spans="1:10" s="2944" customFormat="1">
      <c r="A162" s="2687" t="s">
        <v>1903</v>
      </c>
      <c r="B162" s="2715" t="s">
        <v>6170</v>
      </c>
      <c r="C162" s="2715" t="s">
        <v>1918</v>
      </c>
      <c r="D162" s="2685" t="s">
        <v>4805</v>
      </c>
      <c r="E162" s="2861" t="s">
        <v>4009</v>
      </c>
      <c r="F162" s="2861" t="s">
        <v>2700</v>
      </c>
      <c r="G162" s="2862" t="s">
        <v>3370</v>
      </c>
      <c r="H162" s="2933" t="str">
        <f>HLOOKUP(Non_UN,'Other Translations'!$A:$L,1+translations!J162,)</f>
        <v>Gesamt: Weideland</v>
      </c>
      <c r="J162" s="2936">
        <v>161</v>
      </c>
    </row>
    <row r="163" spans="1:10" s="2944" customFormat="1">
      <c r="A163" s="2687" t="s">
        <v>1903</v>
      </c>
      <c r="B163" s="2715" t="s">
        <v>1920</v>
      </c>
      <c r="C163" s="2715" t="s">
        <v>1921</v>
      </c>
      <c r="D163" s="2685" t="s">
        <v>4806</v>
      </c>
      <c r="E163" s="2861" t="s">
        <v>4010</v>
      </c>
      <c r="F163" s="2861" t="s">
        <v>2701</v>
      </c>
      <c r="G163" s="2862" t="s">
        <v>3371</v>
      </c>
      <c r="H163" s="2933" t="str">
        <f>HLOOKUP(Non_UN,'Other Translations'!$A:$L,1+translations!J163,)</f>
        <v>4.2 Viehwirtschaft (und Stallmistverwertung)</v>
      </c>
      <c r="J163" s="2936">
        <v>162</v>
      </c>
    </row>
    <row r="164" spans="1:10" s="2944" customFormat="1">
      <c r="A164" s="2687" t="s">
        <v>1903</v>
      </c>
      <c r="B164" s="2685" t="s">
        <v>1459</v>
      </c>
      <c r="C164" s="2715" t="s">
        <v>1922</v>
      </c>
      <c r="D164" s="2685" t="s">
        <v>4807</v>
      </c>
      <c r="E164" s="2861" t="s">
        <v>4011</v>
      </c>
      <c r="F164" s="2861" t="s">
        <v>2702</v>
      </c>
      <c r="G164" s="2862" t="s">
        <v>3372</v>
      </c>
      <c r="H164" s="2933" t="str">
        <f>HLOOKUP(Non_UN,'Other Translations'!$A:$L,1+translations!J164,)</f>
        <v>Vieharten</v>
      </c>
      <c r="J164" s="2936">
        <v>163</v>
      </c>
    </row>
    <row r="165" spans="1:10" s="2944" customFormat="1">
      <c r="A165" s="2687" t="s">
        <v>1903</v>
      </c>
      <c r="B165" s="2685" t="s">
        <v>1919</v>
      </c>
      <c r="C165" s="2685" t="s">
        <v>1923</v>
      </c>
      <c r="D165" s="2685" t="s">
        <v>4808</v>
      </c>
      <c r="E165" s="2861" t="s">
        <v>4012</v>
      </c>
      <c r="F165" s="2861" t="s">
        <v>3170</v>
      </c>
      <c r="G165" s="2862" t="s">
        <v>3373</v>
      </c>
      <c r="H165" s="2933" t="str">
        <f>HLOOKUP(Non_UN,'Other Translations'!$A:$L,1+translations!J165,)</f>
        <v>Viehbestände (Jahresdurchschnitt)</v>
      </c>
      <c r="J165" s="2936">
        <v>164</v>
      </c>
    </row>
    <row r="166" spans="1:10" s="2944" customFormat="1">
      <c r="A166" s="2687" t="s">
        <v>1903</v>
      </c>
      <c r="B166" s="2685" t="s">
        <v>1460</v>
      </c>
      <c r="C166" s="2715" t="s">
        <v>1924</v>
      </c>
      <c r="D166" s="2685" t="s">
        <v>4809</v>
      </c>
      <c r="E166" s="2861" t="s">
        <v>4013</v>
      </c>
      <c r="F166" s="2861" t="s">
        <v>2703</v>
      </c>
      <c r="G166" s="2862" t="s">
        <v>3374</v>
      </c>
      <c r="H166" s="2933" t="str">
        <f>HLOOKUP(Non_UN,'Other Translations'!$A:$L,1+translations!J166,)</f>
        <v>Massnahmen zur Emissionsverminderung</v>
      </c>
      <c r="J166" s="2936">
        <v>165</v>
      </c>
    </row>
    <row r="167" spans="1:10" s="2944" customFormat="1">
      <c r="A167" s="2687" t="s">
        <v>1903</v>
      </c>
      <c r="B167" s="2685" t="s">
        <v>1518</v>
      </c>
      <c r="C167" s="2715" t="s">
        <v>1925</v>
      </c>
      <c r="D167" s="2685" t="s">
        <v>4810</v>
      </c>
      <c r="E167" s="2861" t="s">
        <v>4014</v>
      </c>
      <c r="F167" s="2861" t="s">
        <v>2704</v>
      </c>
      <c r="G167" s="2862" t="s">
        <v>3375</v>
      </c>
      <c r="H167" s="2933" t="str">
        <f>HLOOKUP(Non_UN,'Other Translations'!$A:$L,1+translations!J167,)</f>
        <v>Produktionsmenge (Fleisch, Milch, etc)</v>
      </c>
      <c r="J167" s="2936">
        <v>166</v>
      </c>
    </row>
    <row r="168" spans="1:10" s="2944" customFormat="1">
      <c r="A168" s="2687" t="s">
        <v>1903</v>
      </c>
      <c r="B168" s="2685" t="s">
        <v>1462</v>
      </c>
      <c r="C168" s="2715" t="s">
        <v>1927</v>
      </c>
      <c r="D168" s="2685" t="s">
        <v>4811</v>
      </c>
      <c r="E168" s="2861" t="s">
        <v>4015</v>
      </c>
      <c r="F168" s="2861" t="s">
        <v>2705</v>
      </c>
      <c r="G168" s="2862" t="s">
        <v>3376</v>
      </c>
      <c r="H168" s="2933" t="str">
        <f>HLOOKUP(Non_UN,'Other Translations'!$A:$L,1+translations!J168,)</f>
        <v>Fütterung*</v>
      </c>
      <c r="J168" s="2936">
        <v>167</v>
      </c>
    </row>
    <row r="169" spans="1:10" s="2944" customFormat="1">
      <c r="A169" s="2687" t="s">
        <v>1903</v>
      </c>
      <c r="B169" s="2685" t="s">
        <v>1463</v>
      </c>
      <c r="C169" s="2715" t="s">
        <v>1928</v>
      </c>
      <c r="D169" s="2685" t="s">
        <v>4609</v>
      </c>
      <c r="E169" s="2861" t="s">
        <v>4016</v>
      </c>
      <c r="F169" s="2861" t="s">
        <v>2706</v>
      </c>
      <c r="G169" s="2862" t="s">
        <v>3377</v>
      </c>
      <c r="H169" s="2933" t="str">
        <f>HLOOKUP(Non_UN,'Other Translations'!$A:$L,1+translations!J169,)</f>
        <v>Spezialsubstanzen*</v>
      </c>
      <c r="J169" s="2936">
        <v>168</v>
      </c>
    </row>
    <row r="170" spans="1:10" s="2944" customFormat="1">
      <c r="A170" s="2687" t="s">
        <v>1903</v>
      </c>
      <c r="B170" s="2685" t="s">
        <v>1464</v>
      </c>
      <c r="C170" s="2715" t="s">
        <v>1926</v>
      </c>
      <c r="D170" s="2685" t="s">
        <v>4812</v>
      </c>
      <c r="E170" s="2861" t="s">
        <v>4017</v>
      </c>
      <c r="F170" s="2861" t="s">
        <v>2707</v>
      </c>
      <c r="G170" s="2862" t="s">
        <v>3378</v>
      </c>
      <c r="H170" s="2933" t="str">
        <f>HLOOKUP(Non_UN,'Other Translations'!$A:$L,1+translations!J170,)</f>
        <v>Zuchtmassnahmen*</v>
      </c>
      <c r="J170" s="2936">
        <v>169</v>
      </c>
    </row>
    <row r="171" spans="1:10" s="2944" customFormat="1">
      <c r="A171" s="2687" t="s">
        <v>1903</v>
      </c>
      <c r="B171" s="2685" t="s">
        <v>1519</v>
      </c>
      <c r="C171" s="2715" t="s">
        <v>1929</v>
      </c>
      <c r="D171" s="2685" t="s">
        <v>4813</v>
      </c>
      <c r="E171" s="2861" t="s">
        <v>4018</v>
      </c>
      <c r="F171" s="2861" t="s">
        <v>2708</v>
      </c>
      <c r="G171" s="2862" t="s">
        <v>3379</v>
      </c>
      <c r="H171" s="2933" t="str">
        <f>HLOOKUP(Non_UN,'Other Translations'!$A:$L,1+translations!J171,)</f>
        <v>in jährlich produzierten Tonnen</v>
      </c>
      <c r="J171" s="2936">
        <v>170</v>
      </c>
    </row>
    <row r="172" spans="1:10" s="2944" customFormat="1">
      <c r="A172" s="2687" t="s">
        <v>1903</v>
      </c>
      <c r="B172" s="2685" t="s">
        <v>354</v>
      </c>
      <c r="C172" s="2685" t="s">
        <v>1930</v>
      </c>
      <c r="D172" s="2685" t="s">
        <v>4814</v>
      </c>
      <c r="E172" s="2861" t="s">
        <v>4019</v>
      </c>
      <c r="F172" s="2861" t="s">
        <v>2709</v>
      </c>
      <c r="G172" s="2862" t="s">
        <v>3380</v>
      </c>
      <c r="H172" s="2933" t="str">
        <f>HLOOKUP(Non_UN,'Other Translations'!$A:$L,1+translations!J172,)</f>
        <v>Milchkühe</v>
      </c>
      <c r="J172" s="2936">
        <v>171</v>
      </c>
    </row>
    <row r="173" spans="1:10" s="2944" customFormat="1">
      <c r="A173" s="2687" t="s">
        <v>1903</v>
      </c>
      <c r="B173" s="2685" t="s">
        <v>358</v>
      </c>
      <c r="C173" s="2685" t="s">
        <v>1931</v>
      </c>
      <c r="D173" s="2685" t="s">
        <v>4815</v>
      </c>
      <c r="E173" s="2861" t="s">
        <v>4020</v>
      </c>
      <c r="F173" s="2861" t="s">
        <v>2710</v>
      </c>
      <c r="G173" s="2862" t="s">
        <v>3381</v>
      </c>
      <c r="H173" s="2933" t="str">
        <f>HLOOKUP(Non_UN,'Other Translations'!$A:$L,1+translations!J173,)</f>
        <v>Andere Rinderzucht</v>
      </c>
      <c r="J173" s="2936">
        <v>172</v>
      </c>
    </row>
    <row r="174" spans="1:10" s="2944" customFormat="1">
      <c r="A174" s="2687" t="s">
        <v>1903</v>
      </c>
      <c r="B174" s="2685" t="s">
        <v>360</v>
      </c>
      <c r="C174" s="2685" t="s">
        <v>1932</v>
      </c>
      <c r="D174" s="2685" t="s">
        <v>4614</v>
      </c>
      <c r="E174" s="2861" t="s">
        <v>4021</v>
      </c>
      <c r="F174" s="2861" t="s">
        <v>2711</v>
      </c>
      <c r="G174" s="2862" t="s">
        <v>3382</v>
      </c>
      <c r="H174" s="2933" t="str">
        <f>HLOOKUP(Non_UN,'Other Translations'!$A:$L,1+translations!J174,)</f>
        <v>Büffel</v>
      </c>
      <c r="J174" s="2936">
        <v>173</v>
      </c>
    </row>
    <row r="175" spans="1:10" s="2944" customFormat="1">
      <c r="A175" s="2687" t="s">
        <v>1903</v>
      </c>
      <c r="B175" s="2685" t="s">
        <v>364</v>
      </c>
      <c r="C175" s="2685" t="s">
        <v>1933</v>
      </c>
      <c r="D175" s="2685" t="s">
        <v>4816</v>
      </c>
      <c r="E175" s="2861" t="s">
        <v>4022</v>
      </c>
      <c r="F175" s="2861" t="s">
        <v>2712</v>
      </c>
      <c r="G175" s="2862" t="s">
        <v>3383</v>
      </c>
      <c r="H175" s="2933" t="str">
        <f>HLOOKUP(Non_UN,'Other Translations'!$A:$L,1+translations!J175,)</f>
        <v>Schaafe</v>
      </c>
      <c r="J175" s="2936">
        <v>174</v>
      </c>
    </row>
    <row r="176" spans="1:10" s="2944" customFormat="1">
      <c r="A176" s="2687" t="s">
        <v>1903</v>
      </c>
      <c r="B176" s="2685" t="s">
        <v>362</v>
      </c>
      <c r="C176" s="2685" t="s">
        <v>1934</v>
      </c>
      <c r="D176" s="2685" t="s">
        <v>4817</v>
      </c>
      <c r="E176" s="2861" t="s">
        <v>4023</v>
      </c>
      <c r="F176" s="2861" t="s">
        <v>2713</v>
      </c>
      <c r="G176" s="2862" t="s">
        <v>3384</v>
      </c>
      <c r="H176" s="2933" t="str">
        <f>HLOOKUP(Non_UN,'Other Translations'!$A:$L,1+translations!J176,)</f>
        <v>Schweine (Mast)</v>
      </c>
      <c r="J176" s="2936">
        <v>175</v>
      </c>
    </row>
    <row r="177" spans="1:10" s="2944" customFormat="1">
      <c r="A177" s="2687" t="s">
        <v>1903</v>
      </c>
      <c r="B177" s="2685" t="s">
        <v>363</v>
      </c>
      <c r="C177" s="2685" t="s">
        <v>1935</v>
      </c>
      <c r="D177" s="2685" t="s">
        <v>4818</v>
      </c>
      <c r="E177" s="2861" t="s">
        <v>4024</v>
      </c>
      <c r="F177" s="2861" t="s">
        <v>2714</v>
      </c>
      <c r="G177" s="2862" t="s">
        <v>3385</v>
      </c>
      <c r="H177" s="2933" t="str">
        <f>HLOOKUP(Non_UN,'Other Translations'!$A:$L,1+translations!J177,)</f>
        <v>Schweine (Zucht)</v>
      </c>
      <c r="J177" s="2936">
        <v>176</v>
      </c>
    </row>
    <row r="178" spans="1:10" s="2944" customFormat="1" ht="39.6">
      <c r="A178" s="2687" t="s">
        <v>1903</v>
      </c>
      <c r="B178" s="2685" t="s">
        <v>5567</v>
      </c>
      <c r="C178" s="2715" t="s">
        <v>1936</v>
      </c>
      <c r="D178" s="2685" t="s">
        <v>5221</v>
      </c>
      <c r="E178" s="2861" t="s">
        <v>4025</v>
      </c>
      <c r="F178" s="2861" t="s">
        <v>2715</v>
      </c>
      <c r="G178" s="2862" t="s">
        <v>3386</v>
      </c>
      <c r="H178" s="2933" t="str">
        <f>HLOOKUP(Non_UN,'Other Translations'!$A:$L,1+translations!J178,)</f>
        <v>Fütterung: Z.B. Erhöhter Anteil von Kraftfutter, Ölsaaten, oder Verbesserung der Qualität des Weidelandes,...</v>
      </c>
      <c r="J178" s="2936">
        <v>177</v>
      </c>
    </row>
    <row r="179" spans="1:10" s="2944" customFormat="1" ht="39.6">
      <c r="A179" s="2687" t="s">
        <v>1903</v>
      </c>
      <c r="B179" s="2685" t="s">
        <v>1049</v>
      </c>
      <c r="C179" s="2715" t="s">
        <v>1938</v>
      </c>
      <c r="D179" s="2685" t="s">
        <v>4819</v>
      </c>
      <c r="E179" s="2861" t="s">
        <v>4026</v>
      </c>
      <c r="F179" s="2861" t="s">
        <v>2716</v>
      </c>
      <c r="G179" s="2861" t="s">
        <v>3387</v>
      </c>
      <c r="H179" s="2933" t="str">
        <f>HLOOKUP(Non_UN,'Other Translations'!$A:$L,1+translations!J179,)</f>
        <v>Spezialsubstanzen: Verfütterung von Spezialsubstanzen und Futterzusatzstoffen, die die Methanproduktion reduzieren (Ionophore, Impfungen, Rinder-Somatotropin/bST...)</v>
      </c>
      <c r="J179" s="2936">
        <v>178</v>
      </c>
    </row>
    <row r="180" spans="1:10" s="2944" customFormat="1" ht="39.6">
      <c r="A180" s="2687" t="s">
        <v>1903</v>
      </c>
      <c r="B180" s="2715" t="s">
        <v>6164</v>
      </c>
      <c r="C180" s="2685" t="s">
        <v>1937</v>
      </c>
      <c r="D180" s="2685" t="s">
        <v>4820</v>
      </c>
      <c r="E180" s="2861" t="s">
        <v>4027</v>
      </c>
      <c r="F180" s="2861" t="s">
        <v>2717</v>
      </c>
      <c r="G180" s="2862" t="s">
        <v>3388</v>
      </c>
      <c r="H180" s="2933" t="str">
        <f>HLOOKUP(Non_UN,'Other Translations'!$A:$L,1+translations!J180,)</f>
        <v>Zuchtmassnahmen: Erhöhte Produktivität und verbesserte Haltungsmethoden (Veringerung des unproduktiven Herdenanteils)</v>
      </c>
      <c r="J180" s="2936">
        <v>179</v>
      </c>
    </row>
    <row r="181" spans="1:10" s="2944" customFormat="1">
      <c r="A181" s="2687" t="s">
        <v>1903</v>
      </c>
      <c r="B181" s="2715" t="s">
        <v>6163</v>
      </c>
      <c r="C181" s="2715" t="s">
        <v>1939</v>
      </c>
      <c r="D181" s="2685" t="s">
        <v>4821</v>
      </c>
      <c r="E181" s="2861" t="s">
        <v>4028</v>
      </c>
      <c r="F181" s="2861" t="s">
        <v>2718</v>
      </c>
      <c r="G181" s="2862" t="s">
        <v>3389</v>
      </c>
      <c r="H181" s="2933" t="str">
        <f>HLOOKUP(Non_UN,'Other Translations'!$A:$L,1+translations!J181,)</f>
        <v>Gesamt: Viehwirtschaft</v>
      </c>
      <c r="J181" s="2936">
        <v>180</v>
      </c>
    </row>
    <row r="182" spans="1:10" s="2944" customFormat="1">
      <c r="A182" s="2687" t="s">
        <v>1903</v>
      </c>
      <c r="B182" s="2685" t="s">
        <v>1682</v>
      </c>
      <c r="C182" s="2715" t="s">
        <v>1947</v>
      </c>
      <c r="D182" s="2685" t="s">
        <v>4822</v>
      </c>
      <c r="E182" s="2861" t="s">
        <v>4029</v>
      </c>
      <c r="F182" s="2861" t="s">
        <v>2719</v>
      </c>
      <c r="G182" s="2862" t="s">
        <v>3390</v>
      </c>
      <c r="H182" s="2933" t="str">
        <f>HLOOKUP(Non_UN,'Other Translations'!$A:$L,1+translations!J182,)</f>
        <v>Höhe des Bestandes an Bodenkohlenstoff</v>
      </c>
      <c r="J182" s="2936">
        <v>181</v>
      </c>
    </row>
    <row r="183" spans="1:10" s="2944" customFormat="1">
      <c r="A183" s="2687" t="s">
        <v>1903</v>
      </c>
      <c r="B183" s="2685" t="s">
        <v>892</v>
      </c>
      <c r="C183" s="2715" t="s">
        <v>1949</v>
      </c>
      <c r="D183" s="2685" t="s">
        <v>4823</v>
      </c>
      <c r="E183" s="2861" t="s">
        <v>4030</v>
      </c>
      <c r="F183" s="2861" t="s">
        <v>2720</v>
      </c>
      <c r="G183" s="2862" t="s">
        <v>3391</v>
      </c>
      <c r="H183" s="2933" t="str">
        <f>HLOOKUP(Non_UN,'Other Translations'!$A:$L,1+translations!J183,)</f>
        <v>Nicht degradiert</v>
      </c>
      <c r="J183" s="2936">
        <v>182</v>
      </c>
    </row>
    <row r="184" spans="1:10" s="2944" customFormat="1">
      <c r="A184" s="2687" t="s">
        <v>1903</v>
      </c>
      <c r="B184" s="2685" t="s">
        <v>893</v>
      </c>
      <c r="C184" s="2715" t="s">
        <v>1951</v>
      </c>
      <c r="D184" s="2685" t="s">
        <v>4824</v>
      </c>
      <c r="E184" s="2861" t="s">
        <v>4031</v>
      </c>
      <c r="F184" s="2861" t="s">
        <v>2721</v>
      </c>
      <c r="G184" s="2862" t="s">
        <v>3392</v>
      </c>
      <c r="H184" s="2933" t="str">
        <f>HLOOKUP(Non_UN,'Other Translations'!$A:$L,1+translations!J184,)</f>
        <v>Stark degradiert</v>
      </c>
      <c r="J184" s="2936">
        <v>183</v>
      </c>
    </row>
    <row r="185" spans="1:10" s="2944" customFormat="1">
      <c r="A185" s="2687" t="s">
        <v>1903</v>
      </c>
      <c r="B185" s="2685" t="s">
        <v>894</v>
      </c>
      <c r="C185" s="2715" t="s">
        <v>1950</v>
      </c>
      <c r="D185" s="2685" t="s">
        <v>2541</v>
      </c>
      <c r="E185" s="2861" t="s">
        <v>4032</v>
      </c>
      <c r="F185" s="2861" t="s">
        <v>2722</v>
      </c>
      <c r="G185" s="2862" t="s">
        <v>3393</v>
      </c>
      <c r="H185" s="2933" t="str">
        <f>HLOOKUP(Non_UN,'Other Translations'!$A:$L,1+translations!J185,)</f>
        <v>Leicht degradiert</v>
      </c>
      <c r="J185" s="2936">
        <v>184</v>
      </c>
    </row>
    <row r="186" spans="1:10" s="2944" customFormat="1">
      <c r="A186" s="2687" t="s">
        <v>1903</v>
      </c>
      <c r="B186" s="2685" t="s">
        <v>895</v>
      </c>
      <c r="C186" s="2715" t="s">
        <v>1952</v>
      </c>
      <c r="D186" s="2685" t="s">
        <v>4825</v>
      </c>
      <c r="E186" s="2861" t="s">
        <v>4033</v>
      </c>
      <c r="F186" s="2861" t="s">
        <v>2723</v>
      </c>
      <c r="G186" s="2862" t="s">
        <v>3394</v>
      </c>
      <c r="H186" s="2933" t="str">
        <f>HLOOKUP(Non_UN,'Other Translations'!$A:$L,1+translations!J186,)</f>
        <v>Verbesserung/Rehabilitierung (ohne Inputs)</v>
      </c>
      <c r="J186" s="2936">
        <v>185</v>
      </c>
    </row>
    <row r="187" spans="1:10" s="2944" customFormat="1">
      <c r="A187" s="2687" t="s">
        <v>1903</v>
      </c>
      <c r="B187" s="2685" t="s">
        <v>897</v>
      </c>
      <c r="C187" s="2685" t="s">
        <v>1953</v>
      </c>
      <c r="D187" s="2685" t="s">
        <v>4826</v>
      </c>
      <c r="E187" s="2861" t="s">
        <v>4034</v>
      </c>
      <c r="F187" s="2861" t="s">
        <v>2724</v>
      </c>
      <c r="G187" s="2862" t="s">
        <v>3395</v>
      </c>
      <c r="H187" s="2933" t="str">
        <f>HLOOKUP(Non_UN,'Other Translations'!$A:$L,1+translations!J187,)</f>
        <v>Verbesserung/Rehabilitierung (mit Inputs)</v>
      </c>
      <c r="J187" s="2936">
        <v>186</v>
      </c>
    </row>
    <row r="188" spans="1:10" s="2944" customFormat="1">
      <c r="A188" s="2687" t="s">
        <v>1903</v>
      </c>
      <c r="B188" s="2715" t="s">
        <v>1683</v>
      </c>
      <c r="C188" s="2715" t="s">
        <v>1683</v>
      </c>
      <c r="D188" s="2685" t="s">
        <v>4827</v>
      </c>
      <c r="E188" s="2861" t="s">
        <v>4035</v>
      </c>
      <c r="F188" s="2861" t="s">
        <v>2725</v>
      </c>
      <c r="G188" s="2862" t="s">
        <v>3396</v>
      </c>
      <c r="H188" s="2933" t="str">
        <f>HLOOKUP(Non_UN,'Other Translations'!$A:$L,1+translations!J188,)</f>
        <v>Verbrennung</v>
      </c>
      <c r="J188" s="2936">
        <v>187</v>
      </c>
    </row>
    <row r="189" spans="1:10" s="2944" customFormat="1">
      <c r="A189" s="2687" t="s">
        <v>1903</v>
      </c>
      <c r="B189" s="2715" t="s">
        <v>1948</v>
      </c>
      <c r="C189" s="2715" t="s">
        <v>1948</v>
      </c>
      <c r="D189" s="2685" t="s">
        <v>1948</v>
      </c>
      <c r="E189" s="2861" t="s">
        <v>4036</v>
      </c>
      <c r="F189" s="2861" t="s">
        <v>2726</v>
      </c>
      <c r="G189" s="2862" t="s">
        <v>3397</v>
      </c>
      <c r="H189" s="2933" t="str">
        <f>HLOOKUP(Non_UN,'Other Translations'!$A:$L,1+translations!J189,)</f>
        <v>(tC/ha)</v>
      </c>
      <c r="J189" s="2936">
        <v>188</v>
      </c>
    </row>
    <row r="190" spans="1:10" s="2944" customFormat="1">
      <c r="A190" s="2687" t="s">
        <v>1903</v>
      </c>
      <c r="B190" s="2715" t="s">
        <v>1954</v>
      </c>
      <c r="C190" s="2715" t="s">
        <v>1955</v>
      </c>
      <c r="D190" s="2685" t="s">
        <v>4828</v>
      </c>
      <c r="E190" s="2861" t="s">
        <v>4037</v>
      </c>
      <c r="F190" s="2861" t="s">
        <v>3171</v>
      </c>
      <c r="G190" s="2862" t="s">
        <v>3398</v>
      </c>
      <c r="H190" s="2933" t="str">
        <f>HLOOKUP(Non_UN,'Other Translations'!$A:$L,1+translations!J190,)</f>
        <v>% der Biomasse die von Verbrännung betroffen ist</v>
      </c>
      <c r="J190" s="2936">
        <v>189</v>
      </c>
    </row>
    <row r="191" spans="1:10" s="2944" customFormat="1" ht="26.4">
      <c r="A191" s="2687" t="s">
        <v>1903</v>
      </c>
      <c r="B191" s="2685" t="s">
        <v>1567</v>
      </c>
      <c r="C191" s="2715" t="s">
        <v>1961</v>
      </c>
      <c r="D191" s="2685" t="s">
        <v>4829</v>
      </c>
      <c r="E191" s="2861" t="s">
        <v>4038</v>
      </c>
      <c r="F191" s="2861" t="s">
        <v>2727</v>
      </c>
      <c r="G191" s="2862" t="s">
        <v>3399</v>
      </c>
      <c r="H191" s="2933" t="str">
        <f>HLOOKUP(Non_UN,'Other Translations'!$A:$L,1+translations!J191,)</f>
        <v>Jahresdurchschnittstemperatur der Region (in Grad Celcius)</v>
      </c>
      <c r="J191" s="2936">
        <v>190</v>
      </c>
    </row>
    <row r="192" spans="1:10" s="2944" customFormat="1" ht="26.4">
      <c r="A192" s="2687" t="s">
        <v>1903</v>
      </c>
      <c r="B192" s="2685" t="s">
        <v>1566</v>
      </c>
      <c r="C192" s="2715" t="s">
        <v>1962</v>
      </c>
      <c r="D192" s="2685" t="s">
        <v>4830</v>
      </c>
      <c r="E192" s="2861" t="s">
        <v>4039</v>
      </c>
      <c r="F192" s="2861" t="s">
        <v>2728</v>
      </c>
      <c r="G192" s="2862" t="s">
        <v>3400</v>
      </c>
      <c r="H192" s="2933" t="str">
        <f>HLOOKUP(Non_UN,'Other Translations'!$A:$L,1+translations!J192,)</f>
        <v>(Temperaturen beeinflussen Emissionen von Stallmist und Dung)</v>
      </c>
      <c r="J192" s="2936">
        <v>191</v>
      </c>
    </row>
    <row r="193" spans="1:10" s="2944" customFormat="1">
      <c r="A193" s="2687" t="s">
        <v>1903</v>
      </c>
      <c r="B193" s="2685" t="s">
        <v>1568</v>
      </c>
      <c r="C193" s="2715" t="s">
        <v>1963</v>
      </c>
      <c r="D193" s="2685" t="s">
        <v>4831</v>
      </c>
      <c r="E193" s="2861" t="s">
        <v>4040</v>
      </c>
      <c r="F193" s="2861" t="s">
        <v>2729</v>
      </c>
      <c r="G193" s="2862" t="s">
        <v>3401</v>
      </c>
      <c r="H193" s="2933" t="str">
        <f>HLOOKUP(Non_UN,'Other Translations'!$A:$L,1+translations!J193,)</f>
        <v>Regionstyp</v>
      </c>
      <c r="J193" s="2936">
        <v>192</v>
      </c>
    </row>
    <row r="194" spans="1:10" s="2944" customFormat="1">
      <c r="A194" s="2687" t="s">
        <v>1903</v>
      </c>
      <c r="B194" s="2685" t="s">
        <v>1569</v>
      </c>
      <c r="C194" s="2715" t="s">
        <v>1964</v>
      </c>
      <c r="D194" s="2685" t="s">
        <v>4832</v>
      </c>
      <c r="E194" s="2861" t="s">
        <v>4041</v>
      </c>
      <c r="F194" s="2861" t="s">
        <v>2730</v>
      </c>
      <c r="G194" s="2862" t="s">
        <v>3402</v>
      </c>
      <c r="H194" s="2933" t="str">
        <f>HLOOKUP(Non_UN,'Other Translations'!$A:$L,1+translations!J194,)</f>
        <v>(bitte auswählen, wenn möglich)</v>
      </c>
      <c r="J194" s="2936">
        <v>193</v>
      </c>
    </row>
    <row r="195" spans="1:10" s="2944" customFormat="1">
      <c r="A195" s="2687" t="s">
        <v>1903</v>
      </c>
      <c r="B195" s="2685" t="s">
        <v>1956</v>
      </c>
      <c r="C195" s="2715" t="s">
        <v>1965</v>
      </c>
      <c r="D195" s="2685" t="s">
        <v>4833</v>
      </c>
      <c r="E195" s="2861" t="s">
        <v>4042</v>
      </c>
      <c r="F195" s="2861" t="s">
        <v>2731</v>
      </c>
      <c r="G195" s="2862" t="s">
        <v>3403</v>
      </c>
      <c r="H195" s="2933" t="str">
        <f>HLOOKUP(Non_UN,'Other Translations'!$A:$L,1+translations!J195,)</f>
        <v>Emissionsfaktor für N2O von Stallmist und Dung</v>
      </c>
      <c r="J195" s="2936">
        <v>194</v>
      </c>
    </row>
    <row r="196" spans="1:10" s="2944" customFormat="1">
      <c r="A196" s="2687" t="s">
        <v>1903</v>
      </c>
      <c r="B196" s="2685" t="s">
        <v>1957</v>
      </c>
      <c r="C196" s="2685" t="s">
        <v>1957</v>
      </c>
      <c r="D196" s="2685" t="s">
        <v>1957</v>
      </c>
      <c r="E196" s="2861" t="s">
        <v>4043</v>
      </c>
      <c r="F196" s="2861" t="s">
        <v>2732</v>
      </c>
      <c r="G196" s="2685" t="s">
        <v>3404</v>
      </c>
      <c r="H196" s="2933" t="str">
        <f>HLOOKUP(Non_UN,'Other Translations'!$A:$L,1+translations!J196,)</f>
        <v>(kg N-N2O/kg N)</v>
      </c>
      <c r="J196" s="2936">
        <v>195</v>
      </c>
    </row>
    <row r="197" spans="1:10" s="2944" customFormat="1">
      <c r="A197" s="2687" t="s">
        <v>1903</v>
      </c>
      <c r="B197" s="2715" t="s">
        <v>1571</v>
      </c>
      <c r="C197" s="2715" t="s">
        <v>1967</v>
      </c>
      <c r="D197" s="2685" t="s">
        <v>5222</v>
      </c>
      <c r="E197" s="2861" t="s">
        <v>4044</v>
      </c>
      <c r="F197" s="2861" t="s">
        <v>2733</v>
      </c>
      <c r="G197" s="2862" t="s">
        <v>3405</v>
      </c>
      <c r="H197" s="2933" t="str">
        <f>HLOOKUP(Non_UN,'Other Translations'!$A:$L,1+translations!J197,)</f>
        <v>Weideland und Koppel</v>
      </c>
      <c r="J197" s="2936">
        <v>196</v>
      </c>
    </row>
    <row r="198" spans="1:10" s="2944" customFormat="1">
      <c r="A198" s="2687" t="s">
        <v>1903</v>
      </c>
      <c r="B198" s="2685" t="s">
        <v>393</v>
      </c>
      <c r="C198" s="2715" t="s">
        <v>1966</v>
      </c>
      <c r="D198" s="2685" t="s">
        <v>4834</v>
      </c>
      <c r="E198" s="2861" t="s">
        <v>4045</v>
      </c>
      <c r="F198" s="2861" t="s">
        <v>2734</v>
      </c>
      <c r="G198" s="2862" t="s">
        <v>3406</v>
      </c>
      <c r="H198" s="2933" t="str">
        <f>HLOOKUP(Non_UN,'Other Translations'!$A:$L,1+translations!J198,)</f>
        <v>Andere</v>
      </c>
      <c r="J198" s="2936">
        <v>197</v>
      </c>
    </row>
    <row r="199" spans="1:10" s="2944" customFormat="1">
      <c r="A199" s="2687" t="s">
        <v>1903</v>
      </c>
      <c r="B199" s="2685" t="s">
        <v>1565</v>
      </c>
      <c r="C199" s="2715" t="s">
        <v>1968</v>
      </c>
      <c r="D199" s="2685" t="s">
        <v>4835</v>
      </c>
      <c r="E199" s="2861" t="s">
        <v>4046</v>
      </c>
      <c r="F199" s="2861" t="s">
        <v>2735</v>
      </c>
      <c r="G199" s="2862" t="s">
        <v>3407</v>
      </c>
      <c r="H199" s="2933" t="str">
        <f>HLOOKUP(Non_UN,'Other Translations'!$A:$L,1+translations!J199,)</f>
        <v>Enterogene Fermentation</v>
      </c>
      <c r="J199" s="2936">
        <v>198</v>
      </c>
    </row>
    <row r="200" spans="1:10" s="2944" customFormat="1">
      <c r="A200" s="2687" t="s">
        <v>1903</v>
      </c>
      <c r="B200" s="2715" t="s">
        <v>1958</v>
      </c>
      <c r="C200" s="2715" t="s">
        <v>1969</v>
      </c>
      <c r="D200" s="2685" t="s">
        <v>4836</v>
      </c>
      <c r="E200" s="2861" t="s">
        <v>4047</v>
      </c>
      <c r="F200" s="2861" t="s">
        <v>2736</v>
      </c>
      <c r="G200" s="2862" t="s">
        <v>3408</v>
      </c>
      <c r="H200" s="2933" t="str">
        <f>HLOOKUP(Non_UN,'Other Translations'!$A:$L,1+translations!J200,)</f>
        <v>(kg CH4 per Tier/Jahr)</v>
      </c>
      <c r="J200" s="2936">
        <v>199</v>
      </c>
    </row>
    <row r="201" spans="1:10" s="2944" customFormat="1" ht="26.4">
      <c r="A201" s="2687" t="s">
        <v>1903</v>
      </c>
      <c r="B201" s="2715" t="s">
        <v>1970</v>
      </c>
      <c r="C201" s="2715" t="s">
        <v>1971</v>
      </c>
      <c r="D201" s="2685" t="s">
        <v>5223</v>
      </c>
      <c r="E201" s="2861" t="s">
        <v>4048</v>
      </c>
      <c r="F201" s="2861" t="s">
        <v>2737</v>
      </c>
      <c r="G201" s="2862" t="s">
        <v>3409</v>
      </c>
      <c r="H201" s="2933" t="str">
        <f>HLOOKUP(Non_UN,'Other Translations'!$A:$L,1+translations!J201,)</f>
        <v>% korrespondierend zu Haltung auf Weideland und Koppel</v>
      </c>
      <c r="J201" s="2936">
        <v>200</v>
      </c>
    </row>
    <row r="202" spans="1:10" s="2944" customFormat="1">
      <c r="A202" s="2687" t="s">
        <v>1903</v>
      </c>
      <c r="B202" s="2685" t="s">
        <v>1570</v>
      </c>
      <c r="C202" s="2715" t="s">
        <v>1972</v>
      </c>
      <c r="D202" s="2685" t="s">
        <v>4837</v>
      </c>
      <c r="E202" s="2861" t="s">
        <v>4049</v>
      </c>
      <c r="F202" s="2861" t="s">
        <v>2738</v>
      </c>
      <c r="G202" s="2862" t="s">
        <v>3410</v>
      </c>
      <c r="H202" s="2933" t="str">
        <f>HLOOKUP(Non_UN,'Other Translations'!$A:$L,1+translations!J202,)</f>
        <v>Metanemissionen von Stallmist und Dung</v>
      </c>
      <c r="J202" s="2936">
        <v>201</v>
      </c>
    </row>
    <row r="203" spans="1:10" s="2944" customFormat="1">
      <c r="B203" s="2685"/>
      <c r="C203" s="2685"/>
      <c r="D203" s="2685"/>
      <c r="E203" s="2861"/>
      <c r="F203" s="2861"/>
      <c r="G203" s="2862"/>
      <c r="H203" s="2933">
        <f>HLOOKUP(Non_UN,'Other Translations'!$A:$L,1+translations!J203,)</f>
        <v>0</v>
      </c>
      <c r="J203" s="2936">
        <v>202</v>
      </c>
    </row>
    <row r="204" spans="1:10" s="2944" customFormat="1">
      <c r="B204" s="2685"/>
      <c r="C204" s="2685"/>
      <c r="D204" s="2685"/>
      <c r="E204" s="2861"/>
      <c r="F204" s="2861"/>
      <c r="G204" s="2862"/>
      <c r="H204" s="2933">
        <f>HLOOKUP(Non_UN,'Other Translations'!$A:$L,1+translations!J204,)</f>
        <v>0</v>
      </c>
      <c r="J204" s="2936">
        <v>203</v>
      </c>
    </row>
    <row r="205" spans="1:10" s="2944" customFormat="1">
      <c r="B205" s="2685"/>
      <c r="C205" s="2685"/>
      <c r="D205" s="2685"/>
      <c r="E205" s="2861"/>
      <c r="F205" s="2861"/>
      <c r="G205" s="2862"/>
      <c r="H205" s="2933">
        <f>HLOOKUP(Non_UN,'Other Translations'!$A:$L,1+translations!J205,)</f>
        <v>0</v>
      </c>
      <c r="J205" s="2936">
        <v>204</v>
      </c>
    </row>
    <row r="206" spans="1:10" s="2944" customFormat="1">
      <c r="B206" s="2685"/>
      <c r="C206" s="2685"/>
      <c r="D206" s="2685"/>
      <c r="E206" s="2861"/>
      <c r="F206" s="2861"/>
      <c r="G206" s="2862"/>
      <c r="H206" s="2933">
        <f>HLOOKUP(Non_UN,'Other Translations'!$A:$L,1+translations!J206,)</f>
        <v>0</v>
      </c>
      <c r="J206" s="2936">
        <v>205</v>
      </c>
    </row>
    <row r="207" spans="1:10" s="2944" customFormat="1">
      <c r="B207" s="2685"/>
      <c r="C207" s="2685"/>
      <c r="D207" s="2685"/>
      <c r="E207" s="2861"/>
      <c r="F207" s="2861"/>
      <c r="G207" s="2862"/>
      <c r="H207" s="2933">
        <f>HLOOKUP(Non_UN,'Other Translations'!$A:$L,1+translations!J207,)</f>
        <v>0</v>
      </c>
      <c r="J207" s="2936">
        <v>206</v>
      </c>
    </row>
    <row r="208" spans="1:10" s="2944" customFormat="1">
      <c r="B208" s="2685"/>
      <c r="C208" s="2685"/>
      <c r="D208" s="2685"/>
      <c r="E208" s="2861"/>
      <c r="F208" s="2861"/>
      <c r="G208" s="2862"/>
      <c r="H208" s="2933">
        <f>HLOOKUP(Non_UN,'Other Translations'!$A:$L,1+translations!J208,)</f>
        <v>0</v>
      </c>
      <c r="J208" s="2936">
        <v>207</v>
      </c>
    </row>
    <row r="209" spans="1:10" s="2641" customFormat="1">
      <c r="A209" s="2641" t="s">
        <v>1670</v>
      </c>
      <c r="B209" s="2640" t="s">
        <v>1647</v>
      </c>
      <c r="C209" s="2640" t="s">
        <v>1648</v>
      </c>
      <c r="D209" s="2640" t="s">
        <v>1649</v>
      </c>
      <c r="E209" s="2640" t="str">
        <f>E1</f>
        <v>中文</v>
      </c>
      <c r="F209" s="2640" t="str">
        <f>F1</f>
        <v>Русский</v>
      </c>
      <c r="G209" s="2641" t="str">
        <f>G1</f>
        <v>عربي</v>
      </c>
      <c r="H209" s="2641" t="str">
        <f>HLOOKUP(Non_UN,'Other Translations'!$A:$L,1+translations!J209,)</f>
        <v>Deutsch</v>
      </c>
      <c r="J209" s="2936">
        <v>208</v>
      </c>
    </row>
    <row r="210" spans="1:10" s="2947" customFormat="1">
      <c r="A210" s="2946" t="s">
        <v>1973</v>
      </c>
      <c r="B210" s="2730" t="s">
        <v>1679</v>
      </c>
      <c r="C210" s="2732" t="s">
        <v>1974</v>
      </c>
      <c r="D210" s="2730" t="s">
        <v>4839</v>
      </c>
      <c r="E210" s="2861" t="s">
        <v>4050</v>
      </c>
      <c r="F210" s="2861" t="s">
        <v>2739</v>
      </c>
      <c r="G210" s="2942" t="s">
        <v>3411</v>
      </c>
      <c r="H210" s="2933" t="str">
        <f>HLOOKUP(Non_UN,'Other Translations'!$A:$L,1+translations!J210,)</f>
        <v>5.1. Walddegradierung und Management</v>
      </c>
      <c r="J210" s="2936">
        <v>209</v>
      </c>
    </row>
    <row r="211" spans="1:10" s="2947" customFormat="1">
      <c r="A211" s="2946" t="s">
        <v>1973</v>
      </c>
      <c r="B211" s="2730" t="s">
        <v>1489</v>
      </c>
      <c r="C211" s="2732" t="s">
        <v>1975</v>
      </c>
      <c r="D211" s="2730" t="s">
        <v>4840</v>
      </c>
      <c r="E211" s="2861" t="s">
        <v>4051</v>
      </c>
      <c r="F211" s="2861" t="s">
        <v>2740</v>
      </c>
      <c r="G211" s="2862" t="s">
        <v>3412</v>
      </c>
      <c r="H211" s="2933" t="str">
        <f>HLOOKUP(Non_UN,'Other Translations'!$A:$L,1+translations!J211,)</f>
        <v>Ausmass an Degradierung</v>
      </c>
      <c r="J211" s="2936">
        <v>210</v>
      </c>
    </row>
    <row r="212" spans="1:10" s="2947" customFormat="1">
      <c r="A212" s="2946" t="s">
        <v>1973</v>
      </c>
      <c r="B212" s="2730" t="s">
        <v>1490</v>
      </c>
      <c r="C212" s="2732" t="s">
        <v>1976</v>
      </c>
      <c r="D212" s="2730" t="s">
        <v>4841</v>
      </c>
      <c r="E212" s="2861" t="s">
        <v>4052</v>
      </c>
      <c r="F212" s="2861" t="s">
        <v>2741</v>
      </c>
      <c r="G212" s="2862" t="s">
        <v>3413</v>
      </c>
      <c r="H212" s="2933" t="str">
        <f>HLOOKUP(Non_UN,'Other Translations'!$A:$L,1+translations!J212,)</f>
        <v xml:space="preserve">Finaler Zustand  </v>
      </c>
      <c r="J212" s="2936">
        <v>211</v>
      </c>
    </row>
    <row r="213" spans="1:10" s="2947" customFormat="1">
      <c r="A213" s="2946" t="s">
        <v>1973</v>
      </c>
      <c r="B213" s="2730" t="s">
        <v>1488</v>
      </c>
      <c r="C213" s="2732" t="s">
        <v>1977</v>
      </c>
      <c r="D213" s="2732" t="s">
        <v>5224</v>
      </c>
      <c r="E213" s="2861" t="s">
        <v>4053</v>
      </c>
      <c r="F213" s="2861" t="s">
        <v>3172</v>
      </c>
      <c r="G213" s="2862" t="s">
        <v>3414</v>
      </c>
      <c r="H213" s="2933" t="str">
        <f>HLOOKUP(Non_UN,'Other Translations'!$A:$L,1+translations!J213,)</f>
        <v>der degradiert wird</v>
      </c>
      <c r="J213" s="2936">
        <v>212</v>
      </c>
    </row>
    <row r="214" spans="1:10" s="2947" customFormat="1">
      <c r="A214" s="2946" t="s">
        <v>1973</v>
      </c>
      <c r="B214" s="2730" t="s">
        <v>1491</v>
      </c>
      <c r="C214" s="2732" t="s">
        <v>1978</v>
      </c>
      <c r="D214" s="2730" t="s">
        <v>4842</v>
      </c>
      <c r="E214" s="2861" t="s">
        <v>4054</v>
      </c>
      <c r="F214" s="2861" t="s">
        <v>2742</v>
      </c>
      <c r="G214" s="2862" t="s">
        <v>3415</v>
      </c>
      <c r="H214" s="2933" t="str">
        <f>HLOOKUP(Non_UN,'Other Translations'!$A:$L,1+translations!J214,)</f>
        <v>Feuernutzung (Intensität und Periodizität)</v>
      </c>
      <c r="J214" s="2936">
        <v>213</v>
      </c>
    </row>
    <row r="215" spans="1:10" s="2947" customFormat="1">
      <c r="A215" s="2946" t="s">
        <v>1973</v>
      </c>
      <c r="B215" s="2732" t="s">
        <v>6171</v>
      </c>
      <c r="C215" s="2732" t="s">
        <v>1989</v>
      </c>
      <c r="D215" s="2730" t="s">
        <v>4843</v>
      </c>
      <c r="E215" s="2861" t="s">
        <v>4055</v>
      </c>
      <c r="F215" s="2861" t="s">
        <v>3173</v>
      </c>
      <c r="G215" s="2862" t="s">
        <v>3416</v>
      </c>
      <c r="H215" s="2933" t="str">
        <f>HLOOKUP(Non_UN,'Other Translations'!$A:$L,1+translations!J215,)</f>
        <v>Gesamt: Walddegradierung und Management</v>
      </c>
      <c r="J215" s="2936">
        <v>214</v>
      </c>
    </row>
    <row r="216" spans="1:10" s="2947" customFormat="1">
      <c r="A216" s="2946" t="s">
        <v>1973</v>
      </c>
      <c r="B216" s="2730" t="s">
        <v>1492</v>
      </c>
      <c r="C216" s="2732" t="s">
        <v>1990</v>
      </c>
      <c r="D216" s="2730" t="s">
        <v>4844</v>
      </c>
      <c r="E216" s="2861" t="s">
        <v>4056</v>
      </c>
      <c r="F216" s="2861" t="s">
        <v>2743</v>
      </c>
      <c r="G216" s="2862" t="s">
        <v>3417</v>
      </c>
      <c r="H216" s="2933" t="str">
        <f>HLOOKUP(Non_UN,'Other Translations'!$A:$L,1+translations!J216,)</f>
        <v>(% betroffen von Feuer)</v>
      </c>
      <c r="J216" s="2936">
        <v>215</v>
      </c>
    </row>
    <row r="217" spans="1:10" s="2947" customFormat="1">
      <c r="A217" s="2946" t="s">
        <v>1973</v>
      </c>
      <c r="B217" s="2732" t="s">
        <v>1437</v>
      </c>
      <c r="C217" s="2732" t="s">
        <v>1909</v>
      </c>
      <c r="D217" s="2730" t="s">
        <v>4798</v>
      </c>
      <c r="E217" s="2861" t="s">
        <v>4057</v>
      </c>
      <c r="F217" s="2861" t="s">
        <v>2695</v>
      </c>
      <c r="G217" s="2862" t="s">
        <v>3418</v>
      </c>
      <c r="H217" s="2933" t="str">
        <f>HLOOKUP(Non_UN,'Other Translations'!$A:$L,1+translations!J217,)</f>
        <v>Periodizität</v>
      </c>
      <c r="J217" s="2936">
        <v>216</v>
      </c>
    </row>
    <row r="218" spans="1:10" s="2947" customFormat="1">
      <c r="A218" s="2946" t="s">
        <v>1973</v>
      </c>
      <c r="B218" s="2732" t="s">
        <v>1493</v>
      </c>
      <c r="C218" s="2732" t="s">
        <v>1493</v>
      </c>
      <c r="D218" s="2730" t="s">
        <v>4644</v>
      </c>
      <c r="E218" s="2861" t="s">
        <v>4058</v>
      </c>
      <c r="F218" s="2861" t="s">
        <v>2744</v>
      </c>
      <c r="G218" s="2862" t="s">
        <v>3419</v>
      </c>
      <c r="H218" s="2933" t="str">
        <f>HLOOKUP(Non_UN,'Other Translations'!$A:$L,1+translations!J218,)</f>
        <v>Intensität</v>
      </c>
      <c r="J218" s="2936">
        <v>217</v>
      </c>
    </row>
    <row r="219" spans="1:10" s="2947" customFormat="1">
      <c r="A219" s="2946" t="s">
        <v>1973</v>
      </c>
      <c r="B219" s="2732" t="s">
        <v>1995</v>
      </c>
      <c r="C219" s="2732" t="s">
        <v>1996</v>
      </c>
      <c r="D219" s="2730" t="s">
        <v>4845</v>
      </c>
      <c r="E219" s="2861" t="s">
        <v>4059</v>
      </c>
      <c r="F219" s="2861" t="s">
        <v>3174</v>
      </c>
      <c r="G219" s="2862" t="s">
        <v>3420</v>
      </c>
      <c r="H219" s="2933" t="str">
        <f>HLOOKUP(Non_UN,'Other Translations'!$A:$L,1+translations!J219,)</f>
        <v>5.2. Degradierung organischer Böden (Torfland)</v>
      </c>
      <c r="J219" s="2936">
        <v>218</v>
      </c>
    </row>
    <row r="220" spans="1:10" s="2947" customFormat="1">
      <c r="A220" s="2946" t="s">
        <v>1973</v>
      </c>
      <c r="B220" s="2730" t="s">
        <v>1573</v>
      </c>
      <c r="C220" s="2732" t="s">
        <v>1997</v>
      </c>
      <c r="D220" s="2730" t="s">
        <v>4846</v>
      </c>
      <c r="E220" s="2861" t="s">
        <v>4060</v>
      </c>
      <c r="F220" s="2861" t="s">
        <v>3175</v>
      </c>
      <c r="G220" s="2862" t="s">
        <v>3421</v>
      </c>
      <c r="H220" s="2933" t="str">
        <f>HLOOKUP(Non_UN,'Other Translations'!$A:$L,1+translations!J220,)</f>
        <v>5.2.1 Entwässerung/Dränage organischer Böden (Torfland)</v>
      </c>
      <c r="J220" s="2936">
        <v>219</v>
      </c>
    </row>
    <row r="221" spans="1:10" s="2947" customFormat="1">
      <c r="A221" s="2946" t="s">
        <v>1973</v>
      </c>
      <c r="B221" s="2732" t="s">
        <v>2005</v>
      </c>
      <c r="C221" s="2732" t="s">
        <v>2004</v>
      </c>
      <c r="D221" s="2730" t="s">
        <v>4847</v>
      </c>
      <c r="E221" s="2861" t="s">
        <v>4061</v>
      </c>
      <c r="F221" s="2861" t="s">
        <v>3176</v>
      </c>
      <c r="G221" s="2862" t="s">
        <v>3422</v>
      </c>
      <c r="H221" s="2933" t="str">
        <f>HLOOKUP(Non_UN,'Other Translations'!$A:$L,1+translations!J221,)</f>
        <v>betroffen von Entwässerung</v>
      </c>
      <c r="J221" s="2936">
        <v>220</v>
      </c>
    </row>
    <row r="222" spans="1:10" s="2947" customFormat="1">
      <c r="A222" s="2946" t="s">
        <v>1973</v>
      </c>
      <c r="B222" s="2732" t="s">
        <v>4838</v>
      </c>
      <c r="C222" s="2732" t="s">
        <v>1998</v>
      </c>
      <c r="D222" s="2730" t="s">
        <v>4848</v>
      </c>
      <c r="E222" s="2861" t="s">
        <v>4062</v>
      </c>
      <c r="F222" s="2861" t="s">
        <v>2745</v>
      </c>
      <c r="G222" s="2862" t="s">
        <v>3423</v>
      </c>
      <c r="H222" s="2933" t="str">
        <f>HLOOKUP(Non_UN,'Other Translations'!$A:$L,1+translations!J222,)</f>
        <v>Gebiet mit entwässertem Torfland (ha)</v>
      </c>
      <c r="J222" s="2936">
        <v>221</v>
      </c>
    </row>
    <row r="223" spans="1:10" s="2947" customFormat="1">
      <c r="A223" s="2946" t="s">
        <v>1973</v>
      </c>
      <c r="B223" s="2730" t="s">
        <v>236</v>
      </c>
      <c r="C223" s="2732" t="s">
        <v>1991</v>
      </c>
      <c r="D223" s="2730" t="s">
        <v>4849</v>
      </c>
      <c r="E223" s="2861" t="s">
        <v>4063</v>
      </c>
      <c r="F223" s="2861" t="s">
        <v>2746</v>
      </c>
      <c r="G223" s="2862" t="s">
        <v>3424</v>
      </c>
      <c r="H223" s="2933" t="str">
        <f>HLOOKUP(Non_UN,'Other Translations'!$A:$L,1+translations!J223,)</f>
        <v>Bewirtschafteter Wald</v>
      </c>
      <c r="J223" s="2936">
        <v>222</v>
      </c>
    </row>
    <row r="224" spans="1:10" s="2947" customFormat="1">
      <c r="A224" s="2946" t="s">
        <v>1973</v>
      </c>
      <c r="B224" s="2730" t="s">
        <v>1110</v>
      </c>
      <c r="C224" s="2732" t="s">
        <v>1993</v>
      </c>
      <c r="D224" s="2730" t="s">
        <v>4850</v>
      </c>
      <c r="E224" s="2861" t="s">
        <v>4064</v>
      </c>
      <c r="F224" s="2861" t="s">
        <v>2747</v>
      </c>
      <c r="G224" s="2862" t="s">
        <v>3425</v>
      </c>
      <c r="H224" s="2933" t="str">
        <f>HLOOKUP(Non_UN,'Other Translations'!$A:$L,1+translations!J224,)</f>
        <v>Einjährige Kulturpflanzen</v>
      </c>
      <c r="J224" s="2936">
        <v>223</v>
      </c>
    </row>
    <row r="225" spans="1:10" s="2947" customFormat="1">
      <c r="A225" s="2946" t="s">
        <v>1973</v>
      </c>
      <c r="B225" s="2730" t="s">
        <v>1111</v>
      </c>
      <c r="C225" s="2732" t="s">
        <v>1992</v>
      </c>
      <c r="D225" s="2730" t="s">
        <v>4851</v>
      </c>
      <c r="E225" s="2861" t="s">
        <v>4065</v>
      </c>
      <c r="F225" s="2861" t="s">
        <v>2748</v>
      </c>
      <c r="G225" s="2862" t="s">
        <v>3426</v>
      </c>
      <c r="H225" s="2933" t="str">
        <f>HLOOKUP(Non_UN,'Other Translations'!$A:$L,1+translations!J225,)</f>
        <v>Mehrjährige Kulturpflanzen</v>
      </c>
      <c r="J225" s="2936">
        <v>224</v>
      </c>
    </row>
    <row r="226" spans="1:10" s="2947" customFormat="1">
      <c r="A226" s="2946" t="s">
        <v>1973</v>
      </c>
      <c r="B226" s="2730" t="s">
        <v>334</v>
      </c>
      <c r="C226" s="2732" t="s">
        <v>1994</v>
      </c>
      <c r="D226" s="2730" t="s">
        <v>4852</v>
      </c>
      <c r="E226" s="2861" t="s">
        <v>4066</v>
      </c>
      <c r="F226" s="2861" t="s">
        <v>2749</v>
      </c>
      <c r="G226" s="2862" t="s">
        <v>3427</v>
      </c>
      <c r="H226" s="2933" t="str">
        <f>HLOOKUP(Non_UN,'Other Translations'!$A:$L,1+translations!J226,)</f>
        <v>Weideland</v>
      </c>
      <c r="J226" s="2936">
        <v>225</v>
      </c>
    </row>
    <row r="227" spans="1:10" s="2947" customFormat="1">
      <c r="A227" s="2946" t="s">
        <v>1973</v>
      </c>
      <c r="B227" s="2732" t="s">
        <v>6173</v>
      </c>
      <c r="C227" s="2732" t="s">
        <v>1999</v>
      </c>
      <c r="D227" s="2730" t="s">
        <v>4853</v>
      </c>
      <c r="E227" s="2861" t="s">
        <v>4067</v>
      </c>
      <c r="F227" s="2861" t="s">
        <v>2750</v>
      </c>
      <c r="G227" s="2862" t="s">
        <v>3428</v>
      </c>
      <c r="H227" s="2933" t="str">
        <f>HLOOKUP(Non_UN,'Other Translations'!$A:$L,1+translations!J227,)</f>
        <v>Gesamt: Entwässerung/Drainage</v>
      </c>
      <c r="J227" s="2936">
        <v>226</v>
      </c>
    </row>
    <row r="228" spans="1:10" s="2947" customFormat="1">
      <c r="A228" s="2946" t="s">
        <v>1973</v>
      </c>
      <c r="B228" s="2730" t="s">
        <v>5568</v>
      </c>
      <c r="C228" s="2732" t="s">
        <v>2000</v>
      </c>
      <c r="D228" s="2730" t="s">
        <v>4854</v>
      </c>
      <c r="E228" s="2861" t="s">
        <v>4068</v>
      </c>
      <c r="F228" s="2861" t="s">
        <v>2751</v>
      </c>
      <c r="G228" s="2943" t="s">
        <v>3429</v>
      </c>
      <c r="H228" s="2933" t="str">
        <f>HLOOKUP(Non_UN,'Other Translations'!$A:$L,1+translations!J228,)</f>
        <v>5.2.2. Torfgewinnung</v>
      </c>
      <c r="J228" s="2936">
        <v>227</v>
      </c>
    </row>
    <row r="229" spans="1:10" s="2947" customFormat="1">
      <c r="A229" s="2946" t="s">
        <v>1973</v>
      </c>
      <c r="B229" s="2732" t="s">
        <v>1494</v>
      </c>
      <c r="C229" s="2732" t="s">
        <v>2001</v>
      </c>
      <c r="D229" s="2730" t="s">
        <v>4855</v>
      </c>
      <c r="E229" s="2861" t="s">
        <v>4069</v>
      </c>
      <c r="F229" s="2861" t="s">
        <v>2752</v>
      </c>
      <c r="G229" s="2862" t="s">
        <v>3430</v>
      </c>
      <c r="H229" s="2933" t="str">
        <f>HLOOKUP(Non_UN,'Other Translations'!$A:$L,1+translations!J229,)</f>
        <v>Torfart</v>
      </c>
      <c r="J229" s="2936">
        <v>228</v>
      </c>
    </row>
    <row r="230" spans="1:10" s="2947" customFormat="1">
      <c r="A230" s="2946" t="s">
        <v>1973</v>
      </c>
      <c r="B230" s="2730" t="s">
        <v>1640</v>
      </c>
      <c r="C230" s="2732" t="s">
        <v>2002</v>
      </c>
      <c r="D230" s="2730" t="s">
        <v>4856</v>
      </c>
      <c r="E230" s="2861" t="s">
        <v>4070</v>
      </c>
      <c r="F230" s="2861" t="s">
        <v>2753</v>
      </c>
      <c r="G230" s="2862" t="s">
        <v>3431</v>
      </c>
      <c r="H230" s="2933" t="str">
        <f>HLOOKUP(Non_UN,'Other Translations'!$A:$L,1+translations!J230,)</f>
        <v>Nährstoffarme Torfböden</v>
      </c>
      <c r="J230" s="2936">
        <v>229</v>
      </c>
    </row>
    <row r="231" spans="1:10" s="2947" customFormat="1">
      <c r="A231" s="2946" t="s">
        <v>1973</v>
      </c>
      <c r="B231" s="2730" t="s">
        <v>235</v>
      </c>
      <c r="C231" s="2732" t="s">
        <v>2003</v>
      </c>
      <c r="D231" s="2730" t="s">
        <v>4857</v>
      </c>
      <c r="E231" s="2861" t="s">
        <v>4071</v>
      </c>
      <c r="F231" s="2861" t="s">
        <v>2754</v>
      </c>
      <c r="G231" s="2862" t="s">
        <v>3432</v>
      </c>
      <c r="H231" s="2933" t="str">
        <f>HLOOKUP(Non_UN,'Other Translations'!$A:$L,1+translations!J231,)</f>
        <v>Nährstoffreiche Torfböden</v>
      </c>
      <c r="J231" s="2936">
        <v>230</v>
      </c>
    </row>
    <row r="232" spans="1:10" s="2947" customFormat="1">
      <c r="A232" s="2946" t="s">
        <v>1973</v>
      </c>
      <c r="B232" s="2732" t="s">
        <v>6172</v>
      </c>
      <c r="C232" s="2732" t="s">
        <v>2007</v>
      </c>
      <c r="D232" s="2730" t="s">
        <v>4858</v>
      </c>
      <c r="E232" s="2861" t="s">
        <v>4072</v>
      </c>
      <c r="F232" s="2861" t="s">
        <v>2755</v>
      </c>
      <c r="G232" s="2862" t="s">
        <v>3433</v>
      </c>
      <c r="H232" s="2933" t="str">
        <f>HLOOKUP(Non_UN,'Other Translations'!$A:$L,1+translations!J232,)</f>
        <v>Gesamt: Torfgewinnung</v>
      </c>
      <c r="J232" s="2936">
        <v>231</v>
      </c>
    </row>
    <row r="233" spans="1:10" s="2947" customFormat="1">
      <c r="A233" s="2946" t="s">
        <v>1973</v>
      </c>
      <c r="B233" s="2730" t="s">
        <v>1572</v>
      </c>
      <c r="C233" s="2732" t="s">
        <v>2006</v>
      </c>
      <c r="D233" s="2730" t="s">
        <v>4859</v>
      </c>
      <c r="E233" s="2861" t="s">
        <v>4073</v>
      </c>
      <c r="F233" s="2861" t="s">
        <v>2756</v>
      </c>
      <c r="G233" s="2862" t="s">
        <v>3434</v>
      </c>
      <c r="H233" s="2933" t="str">
        <f>HLOOKUP(Non_UN,'Other Translations'!$A:$L,1+translations!J233,)</f>
        <v>Ausmass an Degradierung (% von verringerter Biomasse)</v>
      </c>
      <c r="J233" s="2936">
        <v>232</v>
      </c>
    </row>
    <row r="234" spans="1:10" s="2947" customFormat="1" ht="26.4">
      <c r="A234" s="2946" t="s">
        <v>1973</v>
      </c>
      <c r="B234" s="2730" t="s">
        <v>237</v>
      </c>
      <c r="C234" s="2732" t="s">
        <v>2008</v>
      </c>
      <c r="D234" s="2730" t="s">
        <v>4860</v>
      </c>
      <c r="E234" s="2861" t="s">
        <v>4074</v>
      </c>
      <c r="F234" s="2861" t="s">
        <v>2757</v>
      </c>
      <c r="G234" s="2862" t="s">
        <v>3435</v>
      </c>
      <c r="H234" s="2933" t="str">
        <f>HLOOKUP(Non_UN,'Other Translations'!$A:$L,1+translations!J234,)</f>
        <v>Emissionen aufgrund von C Verlusten druch Torflandentwässerung</v>
      </c>
      <c r="J234" s="2936">
        <v>233</v>
      </c>
    </row>
    <row r="235" spans="1:10" s="2947" customFormat="1">
      <c r="A235" s="2946" t="s">
        <v>1973</v>
      </c>
      <c r="B235" s="2730" t="s">
        <v>1574</v>
      </c>
      <c r="C235" s="2732" t="s">
        <v>2009</v>
      </c>
      <c r="D235" s="2730" t="s">
        <v>4861</v>
      </c>
      <c r="E235" s="2861" t="s">
        <v>4075</v>
      </c>
      <c r="F235" s="2861" t="s">
        <v>3177</v>
      </c>
      <c r="G235" s="2862" t="s">
        <v>3436</v>
      </c>
      <c r="H235" s="2933" t="str">
        <f>HLOOKUP(Non_UN,'Other Translations'!$A:$L,1+translations!J235,)</f>
        <v>Emissionsfaktor (t C/ha/Jahr)</v>
      </c>
      <c r="J235" s="2936">
        <v>234</v>
      </c>
    </row>
    <row r="236" spans="1:10" s="2947" customFormat="1" ht="26.4">
      <c r="A236" s="2946" t="s">
        <v>1973</v>
      </c>
      <c r="B236" s="2730" t="s">
        <v>1575</v>
      </c>
      <c r="C236" s="2732" t="s">
        <v>2012</v>
      </c>
      <c r="D236" s="2730" t="s">
        <v>4862</v>
      </c>
      <c r="E236" s="2861" t="s">
        <v>4076</v>
      </c>
      <c r="F236" s="2861" t="s">
        <v>2758</v>
      </c>
      <c r="G236" s="2862" t="s">
        <v>3437</v>
      </c>
      <c r="H236" s="2933" t="str">
        <f>HLOOKUP(Non_UN,'Other Translations'!$A:$L,1+translations!J236,)</f>
        <v>On-site Emissionen der Torfgewinnung</v>
      </c>
      <c r="J236" s="2936">
        <v>235</v>
      </c>
    </row>
    <row r="237" spans="1:10" s="2947" customFormat="1">
      <c r="A237" s="2946" t="s">
        <v>1973</v>
      </c>
      <c r="B237" s="2730" t="s">
        <v>2010</v>
      </c>
      <c r="C237" s="2732" t="s">
        <v>2013</v>
      </c>
      <c r="D237" s="2730" t="s">
        <v>4863</v>
      </c>
      <c r="E237" s="2861" t="s">
        <v>4077</v>
      </c>
      <c r="F237" s="2861" t="s">
        <v>2759</v>
      </c>
      <c r="G237" s="2862" t="s">
        <v>3438</v>
      </c>
      <c r="H237" s="2933" t="str">
        <f>HLOOKUP(Non_UN,'Other Translations'!$A:$L,1+translations!J237,)</f>
        <v>CO2 Emissionsfaktor (t C/ha/Jahr)</v>
      </c>
      <c r="J237" s="2936">
        <v>236</v>
      </c>
    </row>
    <row r="238" spans="1:10" s="2947" customFormat="1">
      <c r="A238" s="2946" t="s">
        <v>1973</v>
      </c>
      <c r="B238" s="2732" t="s">
        <v>2011</v>
      </c>
      <c r="C238" s="2732" t="s">
        <v>2014</v>
      </c>
      <c r="D238" s="2730" t="s">
        <v>5225</v>
      </c>
      <c r="E238" s="2861" t="s">
        <v>4078</v>
      </c>
      <c r="F238" s="2861" t="s">
        <v>2760</v>
      </c>
      <c r="G238" s="2862" t="s">
        <v>3439</v>
      </c>
      <c r="H238" s="2933" t="str">
        <f>HLOOKUP(Non_UN,'Other Translations'!$A:$L,1+translations!J238,)</f>
        <v>N2O Emissionsfaktor (kg N2O-N/ha/Jahr)</v>
      </c>
      <c r="J238" s="2936">
        <v>237</v>
      </c>
    </row>
    <row r="239" spans="1:10" s="2947" customFormat="1">
      <c r="A239" s="2946" t="s">
        <v>1973</v>
      </c>
      <c r="B239" s="2730"/>
      <c r="C239" s="2730"/>
      <c r="D239" s="2730"/>
      <c r="E239" s="2861"/>
      <c r="F239" s="2861"/>
      <c r="G239" s="2862"/>
      <c r="H239" s="2933">
        <f>HLOOKUP(Non_UN,'Other Translations'!$A:$L,1+translations!J239,)</f>
        <v>0</v>
      </c>
      <c r="J239" s="2936">
        <v>238</v>
      </c>
    </row>
    <row r="240" spans="1:10" s="2947" customFormat="1">
      <c r="A240" s="2946" t="s">
        <v>1973</v>
      </c>
      <c r="B240" s="2730"/>
      <c r="C240" s="2730"/>
      <c r="D240" s="2730"/>
      <c r="E240" s="2861"/>
      <c r="F240" s="2861"/>
      <c r="G240" s="2862"/>
      <c r="H240" s="2933">
        <f>HLOOKUP(Non_UN,'Other Translations'!$A:$L,1+translations!J240,)</f>
        <v>0</v>
      </c>
      <c r="J240" s="2936">
        <v>239</v>
      </c>
    </row>
    <row r="241" spans="1:10" s="2947" customFormat="1">
      <c r="A241" s="2946" t="s">
        <v>1973</v>
      </c>
      <c r="B241" s="2730"/>
      <c r="C241" s="2730"/>
      <c r="D241" s="2730"/>
      <c r="E241" s="2861"/>
      <c r="F241" s="2861"/>
      <c r="G241" s="2862"/>
      <c r="H241" s="2933">
        <f>HLOOKUP(Non_UN,'Other Translations'!$A:$L,1+translations!J241,)</f>
        <v>0</v>
      </c>
      <c r="J241" s="2936">
        <v>240</v>
      </c>
    </row>
    <row r="242" spans="1:10" s="2947" customFormat="1">
      <c r="A242" s="2946" t="s">
        <v>1973</v>
      </c>
      <c r="B242" s="2730"/>
      <c r="C242" s="2730"/>
      <c r="D242" s="2730"/>
      <c r="E242" s="2861"/>
      <c r="F242" s="2861"/>
      <c r="G242" s="2862"/>
      <c r="H242" s="2933">
        <f>HLOOKUP(Non_UN,'Other Translations'!$A:$L,1+translations!J242,)</f>
        <v>0</v>
      </c>
      <c r="J242" s="2936">
        <v>241</v>
      </c>
    </row>
    <row r="243" spans="1:10" s="2947" customFormat="1">
      <c r="A243" s="2946" t="s">
        <v>1973</v>
      </c>
      <c r="B243" s="2730"/>
      <c r="C243" s="2730"/>
      <c r="D243" s="2730"/>
      <c r="E243" s="2861"/>
      <c r="F243" s="2861"/>
      <c r="G243" s="2862"/>
      <c r="H243" s="2933">
        <f>HLOOKUP(Non_UN,'Other Translations'!$A:$L,1+translations!J243,)</f>
        <v>0</v>
      </c>
      <c r="J243" s="2936">
        <v>242</v>
      </c>
    </row>
    <row r="244" spans="1:10" s="2947" customFormat="1">
      <c r="A244" s="2946" t="s">
        <v>1973</v>
      </c>
      <c r="B244" s="2730"/>
      <c r="C244" s="2730"/>
      <c r="D244" s="2730"/>
      <c r="E244" s="2861"/>
      <c r="F244" s="2861"/>
      <c r="G244" s="2862"/>
      <c r="H244" s="2933">
        <f>HLOOKUP(Non_UN,'Other Translations'!$A:$L,1+translations!J244,)</f>
        <v>0</v>
      </c>
      <c r="J244" s="2936">
        <v>243</v>
      </c>
    </row>
    <row r="245" spans="1:10" s="2947" customFormat="1">
      <c r="A245" s="2946" t="s">
        <v>1973</v>
      </c>
      <c r="B245" s="2730"/>
      <c r="C245" s="2730"/>
      <c r="D245" s="2730"/>
      <c r="E245" s="2861"/>
      <c r="F245" s="2861"/>
      <c r="G245" s="2862"/>
      <c r="H245" s="2933">
        <f>HLOOKUP(Non_UN,'Other Translations'!$A:$L,1+translations!J245,)</f>
        <v>0</v>
      </c>
      <c r="J245" s="2936">
        <v>244</v>
      </c>
    </row>
    <row r="246" spans="1:10" s="2947" customFormat="1">
      <c r="A246" s="2946" t="s">
        <v>1973</v>
      </c>
      <c r="B246" s="2730"/>
      <c r="C246" s="2730"/>
      <c r="D246" s="2730"/>
      <c r="E246" s="2861"/>
      <c r="F246" s="2861"/>
      <c r="G246" s="2862"/>
      <c r="H246" s="2933">
        <f>HLOOKUP(Non_UN,'Other Translations'!$A:$L,1+translations!J246,)</f>
        <v>0</v>
      </c>
      <c r="J246" s="2936">
        <v>245</v>
      </c>
    </row>
    <row r="247" spans="1:10" s="2947" customFormat="1">
      <c r="A247" s="2946" t="s">
        <v>1973</v>
      </c>
      <c r="B247" s="2730"/>
      <c r="C247" s="2730"/>
      <c r="D247" s="2730"/>
      <c r="E247" s="2861"/>
      <c r="F247" s="2861"/>
      <c r="G247" s="2862"/>
      <c r="H247" s="2933">
        <f>HLOOKUP(Non_UN,'Other Translations'!$A:$L,1+translations!J247,)</f>
        <v>0</v>
      </c>
      <c r="J247" s="2936">
        <v>246</v>
      </c>
    </row>
    <row r="248" spans="1:10" s="2947" customFormat="1">
      <c r="A248" s="2946" t="s">
        <v>1973</v>
      </c>
      <c r="B248" s="2730"/>
      <c r="C248" s="2730"/>
      <c r="D248" s="2730"/>
      <c r="E248" s="2861"/>
      <c r="F248" s="2861"/>
      <c r="G248" s="2862"/>
      <c r="H248" s="2933">
        <f>HLOOKUP(Non_UN,'Other Translations'!$A:$L,1+translations!J248,)</f>
        <v>0</v>
      </c>
      <c r="J248" s="2936">
        <v>247</v>
      </c>
    </row>
    <row r="249" spans="1:10" s="2947" customFormat="1">
      <c r="A249" s="2946" t="s">
        <v>1973</v>
      </c>
      <c r="B249" s="2730"/>
      <c r="C249" s="2730"/>
      <c r="D249" s="2730"/>
      <c r="E249" s="2861"/>
      <c r="F249" s="2861"/>
      <c r="G249" s="2862"/>
      <c r="H249" s="2933">
        <f>HLOOKUP(Non_UN,'Other Translations'!$A:$L,1+translations!J249,)</f>
        <v>0</v>
      </c>
      <c r="J249" s="2936">
        <v>248</v>
      </c>
    </row>
    <row r="250" spans="1:10" s="2947" customFormat="1">
      <c r="A250" s="2946" t="s">
        <v>1973</v>
      </c>
      <c r="B250" s="2730"/>
      <c r="C250" s="2730"/>
      <c r="D250" s="2730"/>
      <c r="E250" s="2861"/>
      <c r="F250" s="2861"/>
      <c r="G250" s="2862"/>
      <c r="H250" s="2933">
        <f>HLOOKUP(Non_UN,'Other Translations'!$A:$L,1+translations!J250,)</f>
        <v>0</v>
      </c>
      <c r="J250" s="2936">
        <v>249</v>
      </c>
    </row>
    <row r="251" spans="1:10" s="2641" customFormat="1">
      <c r="A251" s="2641" t="s">
        <v>1670</v>
      </c>
      <c r="B251" s="2640" t="s">
        <v>1647</v>
      </c>
      <c r="C251" s="2640" t="s">
        <v>1648</v>
      </c>
      <c r="D251" s="2640" t="s">
        <v>1649</v>
      </c>
      <c r="E251" s="2640" t="str">
        <f>E1</f>
        <v>中文</v>
      </c>
      <c r="F251" s="2640" t="str">
        <f>F1</f>
        <v>Русский</v>
      </c>
      <c r="G251" s="2641" t="str">
        <f>G1</f>
        <v>عربي</v>
      </c>
      <c r="H251" s="2641" t="str">
        <f>HLOOKUP(Non_UN,'Other Translations'!$A:$L,1+translations!J251,)</f>
        <v>Deutsch</v>
      </c>
      <c r="J251" s="2936">
        <v>250</v>
      </c>
    </row>
    <row r="252" spans="1:10" s="2948" customFormat="1" ht="26.4">
      <c r="A252" s="2935" t="s">
        <v>2015</v>
      </c>
      <c r="B252" s="2738" t="s">
        <v>5569</v>
      </c>
      <c r="C252" s="2739" t="s">
        <v>2016</v>
      </c>
      <c r="D252" s="2738" t="s">
        <v>4864</v>
      </c>
      <c r="E252" s="2861" t="s">
        <v>4079</v>
      </c>
      <c r="F252" s="2859" t="s">
        <v>2761</v>
      </c>
      <c r="G252" s="2862" t="s">
        <v>3440</v>
      </c>
      <c r="H252" s="2933" t="str">
        <f>HLOOKUP(Non_UN,'Other Translations'!$A:$L,1+translations!J252,)</f>
        <v>6.1. Inputs (Kalk, Düngemittel, Pestizide, Herbizide,…)</v>
      </c>
      <c r="J252" s="2936">
        <v>251</v>
      </c>
    </row>
    <row r="253" spans="1:10" s="2948" customFormat="1">
      <c r="A253" s="2935" t="s">
        <v>2015</v>
      </c>
      <c r="B253" s="2739" t="s">
        <v>1470</v>
      </c>
      <c r="C253" s="2739" t="s">
        <v>2017</v>
      </c>
      <c r="D253" s="2738" t="s">
        <v>4865</v>
      </c>
      <c r="E253" s="2861" t="s">
        <v>4080</v>
      </c>
      <c r="F253" s="2861" t="s">
        <v>2762</v>
      </c>
      <c r="G253" s="2862" t="s">
        <v>3441</v>
      </c>
      <c r="H253" s="2933" t="str">
        <f>HLOOKUP(Non_UN,'Other Translations'!$A:$L,1+translations!J253,)</f>
        <v>Produkttyp und Masseinheit</v>
      </c>
      <c r="J253" s="2936">
        <v>252</v>
      </c>
    </row>
    <row r="254" spans="1:10" s="2948" customFormat="1">
      <c r="A254" s="2935" t="s">
        <v>2015</v>
      </c>
      <c r="B254" s="2738" t="s">
        <v>1481</v>
      </c>
      <c r="C254" s="2739" t="s">
        <v>2018</v>
      </c>
      <c r="D254" s="2738" t="s">
        <v>4866</v>
      </c>
      <c r="E254" s="2861" t="s">
        <v>4081</v>
      </c>
      <c r="F254" s="2861" t="s">
        <v>2763</v>
      </c>
      <c r="G254" s="2862" t="s">
        <v>3442</v>
      </c>
      <c r="H254" s="2933" t="str">
        <f>HLOOKUP(Non_UN,'Other Translations'!$A:$L,1+translations!J254,)</f>
        <v>Angewandte Produktmenge (per Jahr)</v>
      </c>
      <c r="J254" s="2936">
        <v>253</v>
      </c>
    </row>
    <row r="255" spans="1:10" s="2948" customFormat="1">
      <c r="A255" s="2935" t="s">
        <v>2015</v>
      </c>
      <c r="B255" s="2739" t="s">
        <v>2020</v>
      </c>
      <c r="C255" s="2739" t="s">
        <v>2019</v>
      </c>
      <c r="D255" s="2738" t="s">
        <v>4867</v>
      </c>
      <c r="E255" s="2861" t="s">
        <v>4082</v>
      </c>
      <c r="F255" s="2861" t="s">
        <v>2764</v>
      </c>
      <c r="G255" s="2862" t="s">
        <v>3443</v>
      </c>
      <c r="H255" s="2933" t="str">
        <f>HLOOKUP(Non_UN,'Other Translations'!$A:$L,1+translations!J255,)</f>
        <v>Düngeinduzierte Feldemissionen (tCO2-eq)</v>
      </c>
      <c r="J255" s="2936">
        <v>254</v>
      </c>
    </row>
    <row r="256" spans="1:10" s="2948" customFormat="1" ht="26.4">
      <c r="A256" s="2935" t="s">
        <v>2015</v>
      </c>
      <c r="B256" s="2739" t="s">
        <v>2021</v>
      </c>
      <c r="C256" s="2739" t="s">
        <v>2022</v>
      </c>
      <c r="D256" s="2738" t="s">
        <v>4868</v>
      </c>
      <c r="E256" s="2861" t="s">
        <v>4083</v>
      </c>
      <c r="F256" s="2861" t="s">
        <v>2765</v>
      </c>
      <c r="G256" s="2862" t="s">
        <v>3444</v>
      </c>
      <c r="H256" s="2933" t="str">
        <f>HLOOKUP(Non_UN,'Other Translations'!$A:$L,1+translations!J256,)</f>
        <v>Emissionen von Produktion, Transport, Lagerung und Anwendung (tCO2-eq)</v>
      </c>
      <c r="J256" s="2936">
        <v>255</v>
      </c>
    </row>
    <row r="257" spans="1:10" s="2948" customFormat="1">
      <c r="A257" s="2935" t="s">
        <v>2015</v>
      </c>
      <c r="B257" s="2738" t="s">
        <v>1465</v>
      </c>
      <c r="C257" s="2739" t="s">
        <v>2026</v>
      </c>
      <c r="D257" s="2738" t="s">
        <v>4869</v>
      </c>
      <c r="E257" s="2861" t="s">
        <v>4084</v>
      </c>
      <c r="F257" s="2861" t="s">
        <v>2766</v>
      </c>
      <c r="G257" s="2862" t="s">
        <v>3445</v>
      </c>
      <c r="H257" s="2933" t="str">
        <f>HLOOKUP(Non_UN,'Other Translations'!$A:$L,1+translations!J257,)</f>
        <v>Kalk Anwendung</v>
      </c>
      <c r="J257" s="2936">
        <v>256</v>
      </c>
    </row>
    <row r="258" spans="1:10" s="2948" customFormat="1">
      <c r="A258" s="2935" t="s">
        <v>2015</v>
      </c>
      <c r="B258" s="2738" t="s">
        <v>1468</v>
      </c>
      <c r="C258" s="2739" t="s">
        <v>2024</v>
      </c>
      <c r="D258" s="2738" t="s">
        <v>4870</v>
      </c>
      <c r="E258" s="2861" t="s">
        <v>4085</v>
      </c>
      <c r="F258" s="2861" t="s">
        <v>2767</v>
      </c>
      <c r="G258" s="2862" t="s">
        <v>3446</v>
      </c>
      <c r="H258" s="2933" t="str">
        <f>HLOOKUP(Non_UN,'Other Translations'!$A:$L,1+translations!J258,)</f>
        <v>Kalkstein (Tonnen pro Jahr)</v>
      </c>
      <c r="J258" s="2936">
        <v>257</v>
      </c>
    </row>
    <row r="259" spans="1:10" s="2948" customFormat="1">
      <c r="A259" s="2935" t="s">
        <v>2015</v>
      </c>
      <c r="B259" s="2738" t="s">
        <v>1469</v>
      </c>
      <c r="C259" s="2739" t="s">
        <v>2025</v>
      </c>
      <c r="D259" s="2738" t="s">
        <v>4871</v>
      </c>
      <c r="E259" s="2861" t="s">
        <v>4086</v>
      </c>
      <c r="F259" s="2861" t="s">
        <v>2768</v>
      </c>
      <c r="G259" s="2862" t="s">
        <v>3447</v>
      </c>
      <c r="H259" s="2933" t="str">
        <f>HLOOKUP(Non_UN,'Other Translations'!$A:$L,1+translations!J259,)</f>
        <v>Dolomit (Tonnen pro Jahr)</v>
      </c>
      <c r="J259" s="2936">
        <v>258</v>
      </c>
    </row>
    <row r="260" spans="1:10" s="2948" customFormat="1">
      <c r="A260" s="2935" t="s">
        <v>2015</v>
      </c>
      <c r="B260" s="2738" t="s">
        <v>1471</v>
      </c>
      <c r="C260" s="2739" t="s">
        <v>2023</v>
      </c>
      <c r="D260" s="2738" t="s">
        <v>4872</v>
      </c>
      <c r="E260" s="2861" t="s">
        <v>4087</v>
      </c>
      <c r="F260" s="2861" t="s">
        <v>2769</v>
      </c>
      <c r="G260" s="2862" t="s">
        <v>3448</v>
      </c>
      <c r="H260" s="2933" t="str">
        <f>HLOOKUP(Non_UN,'Other Translations'!$A:$L,1+translations!J260,)</f>
        <v>unspezifisch (Tonnen pro Jahr)</v>
      </c>
      <c r="J260" s="2936">
        <v>259</v>
      </c>
    </row>
    <row r="261" spans="1:10" s="2948" customFormat="1">
      <c r="A261" s="2935" t="s">
        <v>2015</v>
      </c>
      <c r="B261" s="2738" t="s">
        <v>1466</v>
      </c>
      <c r="C261" s="2739" t="s">
        <v>2027</v>
      </c>
      <c r="D261" s="2738" t="s">
        <v>4672</v>
      </c>
      <c r="E261" s="2861" t="s">
        <v>4088</v>
      </c>
      <c r="F261" s="2861" t="s">
        <v>2770</v>
      </c>
      <c r="G261" s="2862" t="s">
        <v>3449</v>
      </c>
      <c r="H261" s="2933" t="str">
        <f>HLOOKUP(Non_UN,'Other Translations'!$A:$L,1+translations!J261,)</f>
        <v>Düngemittel</v>
      </c>
      <c r="J261" s="2936">
        <v>260</v>
      </c>
    </row>
    <row r="262" spans="1:10" s="2948" customFormat="1" ht="26.4">
      <c r="A262" s="2935" t="s">
        <v>2015</v>
      </c>
      <c r="B262" s="2738" t="s">
        <v>1577</v>
      </c>
      <c r="C262" s="2739" t="s">
        <v>2092</v>
      </c>
      <c r="D262" s="2738" t="s">
        <v>4873</v>
      </c>
      <c r="E262" s="2861" t="s">
        <v>4089</v>
      </c>
      <c r="F262" s="2861" t="s">
        <v>2771</v>
      </c>
      <c r="G262" s="2862" t="s">
        <v>3450</v>
      </c>
      <c r="H262" s="2933" t="str">
        <f>HLOOKUP(Non_UN,'Other Translations'!$A:$L,1+translations!J262,)</f>
        <v>Harnstoff (in Tonnen von N pro Jahr -&gt; 46.7% N)</v>
      </c>
      <c r="J262" s="2936">
        <v>261</v>
      </c>
    </row>
    <row r="263" spans="1:10" s="2948" customFormat="1">
      <c r="A263" s="2935" t="s">
        <v>2015</v>
      </c>
      <c r="B263" s="2738" t="s">
        <v>1472</v>
      </c>
      <c r="C263" s="2739" t="s">
        <v>2028</v>
      </c>
      <c r="D263" s="2738" t="s">
        <v>5226</v>
      </c>
      <c r="E263" s="2861" t="s">
        <v>4090</v>
      </c>
      <c r="F263" s="2861" t="s">
        <v>2772</v>
      </c>
      <c r="G263" s="2862" t="s">
        <v>3451</v>
      </c>
      <c r="H263" s="2933" t="str">
        <f>HLOOKUP(Non_UN,'Other Translations'!$A:$L,1+translations!J263,)</f>
        <v>Andere N-Düngemittel (in Tonnen von N pro Jahr)</v>
      </c>
      <c r="J263" s="2936">
        <v>262</v>
      </c>
    </row>
    <row r="264" spans="1:10" s="2948" customFormat="1" ht="26.4">
      <c r="A264" s="2935" t="s">
        <v>2015</v>
      </c>
      <c r="B264" s="2738" t="s">
        <v>1473</v>
      </c>
      <c r="C264" s="2739" t="s">
        <v>2029</v>
      </c>
      <c r="D264" s="2738" t="s">
        <v>4874</v>
      </c>
      <c r="E264" s="2861" t="s">
        <v>4091</v>
      </c>
      <c r="F264" s="2861" t="s">
        <v>2773</v>
      </c>
      <c r="G264" s="2862" t="s">
        <v>3452</v>
      </c>
      <c r="H264" s="2933" t="str">
        <f>HLOOKUP(Non_UN,'Other Translations'!$A:$L,1+translations!J264,)</f>
        <v>N-Dünger auf Feldern mit Nassreisanbau (in Tonnen von N pro Jahr)</v>
      </c>
      <c r="J264" s="2936">
        <v>263</v>
      </c>
    </row>
    <row r="265" spans="1:10" s="2948" customFormat="1">
      <c r="A265" s="2935" t="s">
        <v>2015</v>
      </c>
      <c r="B265" s="2738" t="s">
        <v>1474</v>
      </c>
      <c r="C265" s="2739" t="s">
        <v>2030</v>
      </c>
      <c r="D265" s="2738" t="s">
        <v>4875</v>
      </c>
      <c r="E265" s="2861" t="s">
        <v>4092</v>
      </c>
      <c r="F265" s="2861" t="s">
        <v>2774</v>
      </c>
      <c r="G265" s="2862" t="s">
        <v>3453</v>
      </c>
      <c r="H265" s="2933" t="str">
        <f>HLOOKUP(Non_UN,'Other Translations'!$A:$L,1+translations!J265,)</f>
        <v>Klärschlämme (in Tonnen von N pro Jahr)</v>
      </c>
      <c r="J265" s="2936">
        <v>264</v>
      </c>
    </row>
    <row r="266" spans="1:10" s="2948" customFormat="1">
      <c r="A266" s="2935" t="s">
        <v>2015</v>
      </c>
      <c r="B266" s="2738" t="s">
        <v>1475</v>
      </c>
      <c r="C266" s="2739" t="s">
        <v>2031</v>
      </c>
      <c r="D266" s="2738" t="s">
        <v>4876</v>
      </c>
      <c r="E266" s="2861" t="s">
        <v>4093</v>
      </c>
      <c r="F266" s="2861" t="s">
        <v>2775</v>
      </c>
      <c r="G266" s="2862" t="s">
        <v>3454</v>
      </c>
      <c r="H266" s="2933" t="str">
        <f>HLOOKUP(Non_UN,'Other Translations'!$A:$L,1+translations!J266,)</f>
        <v>Kompost (in Tonnen von N pro Jahr)</v>
      </c>
      <c r="J266" s="2936">
        <v>265</v>
      </c>
    </row>
    <row r="267" spans="1:10" s="2948" customFormat="1">
      <c r="A267" s="2935" t="s">
        <v>2015</v>
      </c>
      <c r="B267" s="2738" t="s">
        <v>1476</v>
      </c>
      <c r="C267" s="2739" t="s">
        <v>2032</v>
      </c>
      <c r="D267" s="2738" t="s">
        <v>4877</v>
      </c>
      <c r="E267" s="2861" t="s">
        <v>4094</v>
      </c>
      <c r="F267" s="2861" t="s">
        <v>2776</v>
      </c>
      <c r="G267" s="2862" t="s">
        <v>3455</v>
      </c>
      <c r="H267" s="2933" t="str">
        <f>HLOOKUP(Non_UN,'Other Translations'!$A:$L,1+translations!J267,)</f>
        <v>Phosphor (Tonnen von P205 pro Jahr)</v>
      </c>
      <c r="J267" s="2936">
        <v>266</v>
      </c>
    </row>
    <row r="268" spans="1:10" s="2948" customFormat="1">
      <c r="A268" s="2935" t="s">
        <v>2015</v>
      </c>
      <c r="B268" s="2738" t="s">
        <v>1477</v>
      </c>
      <c r="C268" s="2739" t="s">
        <v>2033</v>
      </c>
      <c r="D268" s="2738" t="s">
        <v>4878</v>
      </c>
      <c r="E268" s="2861" t="s">
        <v>4095</v>
      </c>
      <c r="F268" s="2861" t="s">
        <v>2777</v>
      </c>
      <c r="G268" s="2862" t="s">
        <v>3456</v>
      </c>
      <c r="H268" s="2933" t="str">
        <f>HLOOKUP(Non_UN,'Other Translations'!$A:$L,1+translations!J268,)</f>
        <v>Kalium (Tonnen von K2O pro Jahr)</v>
      </c>
      <c r="J268" s="2936">
        <v>267</v>
      </c>
    </row>
    <row r="269" spans="1:10" s="2948" customFormat="1">
      <c r="A269" s="2935" t="s">
        <v>2015</v>
      </c>
      <c r="B269" s="2739" t="s">
        <v>1467</v>
      </c>
      <c r="C269" s="2739" t="s">
        <v>1467</v>
      </c>
      <c r="D269" s="2738" t="s">
        <v>4879</v>
      </c>
      <c r="E269" s="2861" t="s">
        <v>4096</v>
      </c>
      <c r="F269" s="2861" t="s">
        <v>2778</v>
      </c>
      <c r="G269" s="2862" t="s">
        <v>3457</v>
      </c>
      <c r="H269" s="2933" t="str">
        <f>HLOOKUP(Non_UN,'Other Translations'!$A:$L,1+translations!J269,)</f>
        <v>Pestizide</v>
      </c>
      <c r="J269" s="2936">
        <v>268</v>
      </c>
    </row>
    <row r="270" spans="1:10" s="2948" customFormat="1">
      <c r="A270" s="2935" t="s">
        <v>2015</v>
      </c>
      <c r="B270" s="2738" t="s">
        <v>1478</v>
      </c>
      <c r="C270" s="2739" t="s">
        <v>2034</v>
      </c>
      <c r="D270" s="2738" t="s">
        <v>4880</v>
      </c>
      <c r="E270" s="2861" t="s">
        <v>4097</v>
      </c>
      <c r="F270" s="2861" t="s">
        <v>2779</v>
      </c>
      <c r="G270" s="2862" t="s">
        <v>3458</v>
      </c>
      <c r="H270" s="2933" t="str">
        <f>HLOOKUP(Non_UN,'Other Translations'!$A:$L,1+translations!J270,)</f>
        <v>Herbizide (Tonnen aktiver Wirkstoffe pro Jahr)</v>
      </c>
      <c r="J270" s="2936">
        <v>269</v>
      </c>
    </row>
    <row r="271" spans="1:10" s="2948" customFormat="1">
      <c r="A271" s="2935" t="s">
        <v>2015</v>
      </c>
      <c r="B271" s="2738" t="s">
        <v>1479</v>
      </c>
      <c r="C271" s="2739" t="s">
        <v>2035</v>
      </c>
      <c r="D271" s="2738" t="s">
        <v>4881</v>
      </c>
      <c r="E271" s="2861" t="s">
        <v>4098</v>
      </c>
      <c r="F271" s="2861" t="s">
        <v>2780</v>
      </c>
      <c r="G271" s="2862" t="s">
        <v>3459</v>
      </c>
      <c r="H271" s="2933" t="str">
        <f>HLOOKUP(Non_UN,'Other Translations'!$A:$L,1+translations!J271,)</f>
        <v>Insektizide (Tonnen aktiver Wirkstoffe pro Jahr)</v>
      </c>
      <c r="J271" s="2936">
        <v>270</v>
      </c>
    </row>
    <row r="272" spans="1:10" s="2948" customFormat="1">
      <c r="A272" s="2935" t="s">
        <v>2015</v>
      </c>
      <c r="B272" s="2738" t="s">
        <v>1480</v>
      </c>
      <c r="C272" s="2739" t="s">
        <v>2036</v>
      </c>
      <c r="D272" s="2738" t="s">
        <v>4882</v>
      </c>
      <c r="E272" s="2861" t="s">
        <v>4099</v>
      </c>
      <c r="F272" s="2861" t="s">
        <v>2781</v>
      </c>
      <c r="G272" s="2862" t="s">
        <v>3460</v>
      </c>
      <c r="H272" s="2933" t="str">
        <f>HLOOKUP(Non_UN,'Other Translations'!$A:$L,1+translations!J272,)</f>
        <v>Fungizide (Tonnen aktiver Wirkstoffe pro Jahr)</v>
      </c>
      <c r="J272" s="2936">
        <v>271</v>
      </c>
    </row>
    <row r="273" spans="1:10" s="2948" customFormat="1" ht="14.4">
      <c r="A273" s="2935" t="s">
        <v>2015</v>
      </c>
      <c r="B273" s="2739" t="s">
        <v>6174</v>
      </c>
      <c r="C273" s="2739" t="s">
        <v>2037</v>
      </c>
      <c r="D273" s="2738" t="s">
        <v>4883</v>
      </c>
      <c r="E273" s="2861" t="s">
        <v>4100</v>
      </c>
      <c r="F273" s="2859" t="s">
        <v>2782</v>
      </c>
      <c r="G273" s="2862" t="s">
        <v>3461</v>
      </c>
      <c r="H273" s="2933" t="str">
        <f>HLOOKUP(Non_UN,'Other Translations'!$A:$L,1+translations!J273,)</f>
        <v>Gesamt: Inputs</v>
      </c>
      <c r="J273" s="2936">
        <v>272</v>
      </c>
    </row>
    <row r="274" spans="1:10" s="2948" customFormat="1">
      <c r="A274" s="2935" t="s">
        <v>2015</v>
      </c>
      <c r="B274" s="2739" t="s">
        <v>1482</v>
      </c>
      <c r="C274" s="2739" t="s">
        <v>2038</v>
      </c>
      <c r="D274" s="2738" t="s">
        <v>4884</v>
      </c>
      <c r="E274" s="2861" t="s">
        <v>4101</v>
      </c>
      <c r="F274" s="2861" t="s">
        <v>2783</v>
      </c>
      <c r="G274" s="2862" t="s">
        <v>3462</v>
      </c>
      <c r="H274" s="2933" t="str">
        <f>HLOOKUP(Non_UN,'Other Translations'!$A:$L,1+translations!J274,)</f>
        <v>CO2 Emissionsen</v>
      </c>
      <c r="J274" s="2936">
        <v>273</v>
      </c>
    </row>
    <row r="275" spans="1:10" s="2948" customFormat="1">
      <c r="A275" s="2935" t="s">
        <v>2015</v>
      </c>
      <c r="B275" s="2739" t="s">
        <v>1483</v>
      </c>
      <c r="C275" s="2739" t="s">
        <v>2039</v>
      </c>
      <c r="D275" s="2738" t="s">
        <v>4885</v>
      </c>
      <c r="E275" s="2861" t="s">
        <v>4102</v>
      </c>
      <c r="F275" s="2861" t="s">
        <v>2784</v>
      </c>
      <c r="G275" s="2862" t="s">
        <v>3463</v>
      </c>
      <c r="H275" s="2933" t="str">
        <f>HLOOKUP(Non_UN,'Other Translations'!$A:$L,1+translations!J275,)</f>
        <v>N2O Emissionen</v>
      </c>
      <c r="J275" s="2936">
        <v>274</v>
      </c>
    </row>
    <row r="276" spans="1:10" s="2948" customFormat="1">
      <c r="A276" s="2935" t="s">
        <v>2015</v>
      </c>
      <c r="B276" s="2738" t="s">
        <v>5570</v>
      </c>
      <c r="C276" s="2739" t="s">
        <v>2040</v>
      </c>
      <c r="D276" s="2738" t="s">
        <v>5571</v>
      </c>
      <c r="E276" s="2861" t="s">
        <v>4103</v>
      </c>
      <c r="F276" s="2861" t="s">
        <v>2785</v>
      </c>
      <c r="G276" s="2862" t="s">
        <v>3464</v>
      </c>
      <c r="H276" s="2933" t="str">
        <f>HLOOKUP(Non_UN,'Other Translations'!$A:$L,1+translations!J276,)</f>
        <v>6.2. Energieverbrauch</v>
      </c>
      <c r="J276" s="2936">
        <v>275</v>
      </c>
    </row>
    <row r="277" spans="1:10" s="2948" customFormat="1">
      <c r="A277" s="2935" t="s">
        <v>2015</v>
      </c>
      <c r="B277" s="2738" t="s">
        <v>1485</v>
      </c>
      <c r="C277" s="2739" t="s">
        <v>2041</v>
      </c>
      <c r="D277" s="2738" t="s">
        <v>4886</v>
      </c>
      <c r="E277" s="2861" t="s">
        <v>4104</v>
      </c>
      <c r="F277" s="2861" t="s">
        <v>2786</v>
      </c>
      <c r="G277" s="2862" t="s">
        <v>3465</v>
      </c>
      <c r="H277" s="2933" t="str">
        <f>HLOOKUP(Non_UN,'Other Translations'!$A:$L,1+translations!J277,)</f>
        <v>Verbrauchsmenge pro Jahr</v>
      </c>
      <c r="J277" s="2936">
        <v>276</v>
      </c>
    </row>
    <row r="278" spans="1:10" s="2948" customFormat="1">
      <c r="A278" s="2935" t="s">
        <v>2015</v>
      </c>
      <c r="B278" s="2738" t="s">
        <v>1486</v>
      </c>
      <c r="C278" s="2739" t="s">
        <v>2043</v>
      </c>
      <c r="D278" s="2738" t="s">
        <v>4887</v>
      </c>
      <c r="E278" s="2861" t="s">
        <v>4105</v>
      </c>
      <c r="F278" s="2861" t="s">
        <v>2787</v>
      </c>
      <c r="G278" s="2862" t="s">
        <v>3466</v>
      </c>
      <c r="H278" s="2933" t="str">
        <f>HLOOKUP(Non_UN,'Other Translations'!$A:$L,1+translations!J278,)</f>
        <v>Elektrizität (MWh pro Jahr)</v>
      </c>
      <c r="J278" s="2936">
        <v>277</v>
      </c>
    </row>
    <row r="279" spans="1:10" s="2948" customFormat="1">
      <c r="A279" s="2935" t="s">
        <v>2015</v>
      </c>
      <c r="B279" s="2738" t="s">
        <v>5572</v>
      </c>
      <c r="C279" s="2739" t="s">
        <v>2042</v>
      </c>
      <c r="D279" s="2738" t="s">
        <v>4888</v>
      </c>
      <c r="E279" s="2861" t="s">
        <v>4106</v>
      </c>
      <c r="F279" s="2861" t="s">
        <v>2788</v>
      </c>
      <c r="G279" s="2862" t="s">
        <v>3467</v>
      </c>
      <c r="H279" s="2933" t="str">
        <f>HLOOKUP(Non_UN,'Other Translations'!$A:$L,1+translations!J279,)</f>
        <v>(Bitte spezifizieren Sie das Produktionsland)</v>
      </c>
      <c r="J279" s="2936">
        <v>278</v>
      </c>
    </row>
    <row r="280" spans="1:10" s="2948" customFormat="1">
      <c r="A280" s="2935" t="s">
        <v>2015</v>
      </c>
      <c r="B280" s="2738" t="s">
        <v>2044</v>
      </c>
      <c r="C280" s="2739" t="s">
        <v>2045</v>
      </c>
      <c r="D280" s="2738" t="s">
        <v>4889</v>
      </c>
      <c r="E280" s="2861" t="s">
        <v>4107</v>
      </c>
      <c r="F280" s="2861" t="s">
        <v>2789</v>
      </c>
      <c r="G280" s="2862" t="s">
        <v>3468</v>
      </c>
      <c r="H280" s="2933" t="str">
        <f>HLOOKUP(Non_UN,'Other Translations'!$A:$L,1+translations!J280,)</f>
        <v>Flüssig oder Gasförmig (in m3 pro Jahr)</v>
      </c>
      <c r="J280" s="2936">
        <v>279</v>
      </c>
    </row>
    <row r="281" spans="1:10" s="2948" customFormat="1">
      <c r="A281" s="2935" t="s">
        <v>2015</v>
      </c>
      <c r="B281" s="2738" t="s">
        <v>939</v>
      </c>
      <c r="C281" s="2739" t="s">
        <v>2046</v>
      </c>
      <c r="D281" s="2738" t="s">
        <v>939</v>
      </c>
      <c r="E281" s="2861" t="s">
        <v>4108</v>
      </c>
      <c r="F281" s="2861" t="s">
        <v>2790</v>
      </c>
      <c r="G281" s="2862" t="s">
        <v>3469</v>
      </c>
      <c r="H281" s="2933" t="str">
        <f>HLOOKUP(Non_UN,'Other Translations'!$A:$L,1+translations!J281,)</f>
        <v>Diesel</v>
      </c>
      <c r="J281" s="2936">
        <v>280</v>
      </c>
    </row>
    <row r="282" spans="1:10" s="2948" customFormat="1">
      <c r="A282" s="2935" t="s">
        <v>2015</v>
      </c>
      <c r="B282" s="2738" t="s">
        <v>940</v>
      </c>
      <c r="C282" s="2739" t="s">
        <v>2047</v>
      </c>
      <c r="D282" s="2738" t="s">
        <v>4890</v>
      </c>
      <c r="E282" s="2861" t="s">
        <v>4109</v>
      </c>
      <c r="F282" s="2861" t="s">
        <v>2791</v>
      </c>
      <c r="G282" s="2862" t="s">
        <v>3470</v>
      </c>
      <c r="H282" s="2933" t="str">
        <f>HLOOKUP(Non_UN,'Other Translations'!$A:$L,1+translations!J282,)</f>
        <v>Benzin</v>
      </c>
      <c r="J282" s="2936">
        <v>281</v>
      </c>
    </row>
    <row r="283" spans="1:10" s="2948" customFormat="1">
      <c r="A283" s="2935" t="s">
        <v>2015</v>
      </c>
      <c r="B283" s="2738" t="s">
        <v>113</v>
      </c>
      <c r="C283" s="2739" t="s">
        <v>2048</v>
      </c>
      <c r="D283" s="2738" t="s">
        <v>4891</v>
      </c>
      <c r="E283" s="2861" t="s">
        <v>4110</v>
      </c>
      <c r="F283" s="2861" t="s">
        <v>2792</v>
      </c>
      <c r="G283" s="2862" t="s">
        <v>3471</v>
      </c>
      <c r="H283" s="2933" t="str">
        <f>HLOOKUP(Non_UN,'Other Translations'!$A:$L,1+translations!J283,)</f>
        <v>Gas (LPG/Erdgas)</v>
      </c>
      <c r="J283" s="2936">
        <v>282</v>
      </c>
    </row>
    <row r="284" spans="1:10" s="2948" customFormat="1">
      <c r="A284" s="2935" t="s">
        <v>2015</v>
      </c>
      <c r="B284" s="2738" t="s">
        <v>115</v>
      </c>
      <c r="C284" s="2739" t="s">
        <v>115</v>
      </c>
      <c r="D284" s="2738" t="s">
        <v>4892</v>
      </c>
      <c r="E284" s="2861" t="s">
        <v>4111</v>
      </c>
      <c r="F284" s="2861" t="s">
        <v>2793</v>
      </c>
      <c r="G284" s="2862" t="s">
        <v>3472</v>
      </c>
      <c r="H284" s="2933" t="str">
        <f>HLOOKUP(Non_UN,'Other Translations'!$A:$L,1+translations!J284,)</f>
        <v>Butangas</v>
      </c>
      <c r="J284" s="2936">
        <v>283</v>
      </c>
    </row>
    <row r="285" spans="1:10" s="2948" customFormat="1">
      <c r="A285" s="2935" t="s">
        <v>2015</v>
      </c>
      <c r="B285" s="2738" t="s">
        <v>116</v>
      </c>
      <c r="C285" s="2739" t="s">
        <v>116</v>
      </c>
      <c r="D285" s="2738" t="s">
        <v>4893</v>
      </c>
      <c r="E285" s="2861" t="s">
        <v>4112</v>
      </c>
      <c r="F285" s="2861" t="s">
        <v>2794</v>
      </c>
      <c r="G285" s="2862" t="s">
        <v>3473</v>
      </c>
      <c r="H285" s="2933" t="str">
        <f>HLOOKUP(Non_UN,'Other Translations'!$A:$L,1+translations!J285,)</f>
        <v>Propangas</v>
      </c>
      <c r="J285" s="2936">
        <v>284</v>
      </c>
    </row>
    <row r="286" spans="1:10" s="2948" customFormat="1">
      <c r="A286" s="2935" t="s">
        <v>2015</v>
      </c>
      <c r="B286" s="2738" t="s">
        <v>225</v>
      </c>
      <c r="C286" s="2739" t="s">
        <v>225</v>
      </c>
      <c r="D286" s="2738" t="s">
        <v>4894</v>
      </c>
      <c r="E286" s="2861" t="s">
        <v>4113</v>
      </c>
      <c r="F286" s="2861" t="s">
        <v>2795</v>
      </c>
      <c r="G286" s="2862" t="s">
        <v>3474</v>
      </c>
      <c r="H286" s="2933" t="str">
        <f>HLOOKUP(Non_UN,'Other Translations'!$A:$L,1+translations!J286,)</f>
        <v>Ethanol</v>
      </c>
      <c r="J286" s="2936">
        <v>285</v>
      </c>
    </row>
    <row r="287" spans="1:10" s="2948" customFormat="1">
      <c r="A287" s="2935" t="s">
        <v>2015</v>
      </c>
      <c r="B287" s="2738" t="s">
        <v>1642</v>
      </c>
      <c r="C287" s="2739" t="s">
        <v>2049</v>
      </c>
      <c r="D287" s="2738" t="s">
        <v>4895</v>
      </c>
      <c r="E287" s="2861" t="s">
        <v>4114</v>
      </c>
      <c r="F287" s="2861" t="s">
        <v>2796</v>
      </c>
      <c r="G287" s="2862" t="s">
        <v>3475</v>
      </c>
      <c r="H287" s="2933" t="str">
        <f>HLOOKUP(Non_UN,'Other Translations'!$A:$L,1+translations!J287,)</f>
        <v>Tier 2:</v>
      </c>
      <c r="J287" s="2936">
        <v>286</v>
      </c>
    </row>
    <row r="288" spans="1:10" s="2948" customFormat="1">
      <c r="A288" s="2935" t="s">
        <v>2015</v>
      </c>
      <c r="B288" s="2738" t="s">
        <v>1487</v>
      </c>
      <c r="C288" s="2739" t="s">
        <v>2050</v>
      </c>
      <c r="D288" s="2738" t="s">
        <v>4896</v>
      </c>
      <c r="E288" s="2861" t="s">
        <v>4115</v>
      </c>
      <c r="F288" s="2861" t="s">
        <v>2797</v>
      </c>
      <c r="G288" s="2862" t="s">
        <v>3476</v>
      </c>
      <c r="H288" s="2933" t="str">
        <f>HLOOKUP(Non_UN,'Other Translations'!$A:$L,1+translations!J288,)</f>
        <v>Festbrennstoffe (Tonnen Trockenmsse per Jahr)</v>
      </c>
      <c r="J288" s="2936">
        <v>287</v>
      </c>
    </row>
    <row r="289" spans="1:10" s="2948" customFormat="1">
      <c r="A289" s="2935" t="s">
        <v>2015</v>
      </c>
      <c r="B289" s="2739" t="s">
        <v>114</v>
      </c>
      <c r="C289" s="2739" t="s">
        <v>2051</v>
      </c>
      <c r="D289" s="2738" t="s">
        <v>4897</v>
      </c>
      <c r="E289" s="2861" t="s">
        <v>4116</v>
      </c>
      <c r="F289" s="2861" t="s">
        <v>2798</v>
      </c>
      <c r="G289" s="2862" t="s">
        <v>3477</v>
      </c>
      <c r="H289" s="2933" t="str">
        <f>HLOOKUP(Non_UN,'Other Translations'!$A:$L,1+translations!J289,)</f>
        <v>Holz</v>
      </c>
      <c r="J289" s="2936">
        <v>288</v>
      </c>
    </row>
    <row r="290" spans="1:10" s="2948" customFormat="1">
      <c r="A290" s="2935" t="s">
        <v>2015</v>
      </c>
      <c r="B290" s="2739" t="s">
        <v>276</v>
      </c>
      <c r="C290" s="2739" t="s">
        <v>2052</v>
      </c>
      <c r="D290" s="2738" t="s">
        <v>4898</v>
      </c>
      <c r="E290" s="2861" t="s">
        <v>4117</v>
      </c>
      <c r="F290" s="2861" t="s">
        <v>2799</v>
      </c>
      <c r="G290" s="2862" t="s">
        <v>3478</v>
      </c>
      <c r="H290" s="2933" t="str">
        <f>HLOOKUP(Non_UN,'Other Translations'!$A:$L,1+translations!J290,)</f>
        <v>Ton</v>
      </c>
      <c r="J290" s="2936">
        <v>289</v>
      </c>
    </row>
    <row r="291" spans="1:10" s="2948" customFormat="1">
      <c r="A291" s="2935" t="s">
        <v>2015</v>
      </c>
      <c r="B291" s="2739" t="s">
        <v>6175</v>
      </c>
      <c r="C291" s="2739" t="s">
        <v>2053</v>
      </c>
      <c r="D291" s="2738" t="s">
        <v>4899</v>
      </c>
      <c r="E291" s="2861" t="s">
        <v>4118</v>
      </c>
      <c r="F291" s="2861" t="s">
        <v>2800</v>
      </c>
      <c r="G291" s="2862" t="s">
        <v>3479</v>
      </c>
      <c r="H291" s="2933" t="str">
        <f>HLOOKUP(Non_UN,'Other Translations'!$A:$L,1+translations!J291,)</f>
        <v>Gesamt: Energie</v>
      </c>
      <c r="J291" s="2936">
        <v>290</v>
      </c>
    </row>
    <row r="292" spans="1:10" s="2948" customFormat="1" ht="26.4">
      <c r="A292" s="2935" t="s">
        <v>2015</v>
      </c>
      <c r="B292" s="2739" t="s">
        <v>5573</v>
      </c>
      <c r="C292" s="2739" t="s">
        <v>2054</v>
      </c>
      <c r="D292" s="2738" t="s">
        <v>5574</v>
      </c>
      <c r="E292" s="2861" t="s">
        <v>4119</v>
      </c>
      <c r="F292" s="2861" t="s">
        <v>2801</v>
      </c>
      <c r="G292" s="2862" t="s">
        <v>3480</v>
      </c>
      <c r="H292" s="2933" t="str">
        <f>HLOOKUP(Non_UN,'Other Translations'!$A:$L,1+translations!J292,)</f>
        <v>6.3. Bau von Infrastruktur (Bewässerungssysteme, Gebäude, Strassen)</v>
      </c>
      <c r="J292" s="2936">
        <v>291</v>
      </c>
    </row>
    <row r="293" spans="1:10" s="2948" customFormat="1">
      <c r="A293" s="2935" t="s">
        <v>2015</v>
      </c>
      <c r="B293" s="2739" t="s">
        <v>2055</v>
      </c>
      <c r="C293" s="2739" t="s">
        <v>2055</v>
      </c>
      <c r="D293" s="2738" t="s">
        <v>2056</v>
      </c>
      <c r="E293" s="2861" t="s">
        <v>4120</v>
      </c>
      <c r="F293" s="2861" t="s">
        <v>2802</v>
      </c>
      <c r="G293" s="2862" t="s">
        <v>3481</v>
      </c>
      <c r="H293" s="2933" t="str">
        <f>HLOOKUP(Non_UN,'Other Translations'!$A:$L,1+translations!J293,)</f>
        <v>Grundfläche</v>
      </c>
      <c r="J293" s="2936">
        <v>292</v>
      </c>
    </row>
    <row r="294" spans="1:10" s="2948" customFormat="1">
      <c r="A294" s="2935" t="s">
        <v>2015</v>
      </c>
      <c r="B294" s="2739" t="s">
        <v>2059</v>
      </c>
      <c r="C294" s="2739" t="s">
        <v>2058</v>
      </c>
      <c r="D294" s="2738" t="s">
        <v>4900</v>
      </c>
      <c r="E294" s="2861" t="s">
        <v>4121</v>
      </c>
      <c r="F294" s="2861" t="s">
        <v>2803</v>
      </c>
      <c r="G294" s="2862" t="s">
        <v>3482</v>
      </c>
      <c r="H294" s="2933" t="str">
        <f>HLOOKUP(Non_UN,'Other Translations'!$A:$L,1+translations!J294,)</f>
        <v>Bewässerungssysteme (ha)</v>
      </c>
      <c r="J294" s="2936">
        <v>293</v>
      </c>
    </row>
    <row r="295" spans="1:10" s="2948" customFormat="1">
      <c r="A295" s="2935" t="s">
        <v>2015</v>
      </c>
      <c r="B295" s="2739" t="s">
        <v>2060</v>
      </c>
      <c r="C295" s="2739" t="s">
        <v>2057</v>
      </c>
      <c r="D295" s="2738" t="s">
        <v>4901</v>
      </c>
      <c r="E295" s="2861" t="s">
        <v>4122</v>
      </c>
      <c r="F295" s="2861" t="s">
        <v>2804</v>
      </c>
      <c r="G295" s="2862" t="s">
        <v>3483</v>
      </c>
      <c r="H295" s="2933" t="str">
        <f>HLOOKUP(Non_UN,'Other Translations'!$A:$L,1+translations!J295,)</f>
        <v>Gebäude und Strassen (m2)</v>
      </c>
      <c r="J295" s="2936">
        <v>294</v>
      </c>
    </row>
    <row r="296" spans="1:10" s="2948" customFormat="1" ht="26.4">
      <c r="A296" s="2935" t="s">
        <v>2015</v>
      </c>
      <c r="B296" s="2739" t="s">
        <v>2940</v>
      </c>
      <c r="C296" s="2738" t="s">
        <v>2939</v>
      </c>
      <c r="D296" s="2738" t="s">
        <v>4902</v>
      </c>
      <c r="E296" s="2861" t="s">
        <v>4123</v>
      </c>
      <c r="F296" s="2861" t="s">
        <v>2805</v>
      </c>
      <c r="G296" s="2862" t="s">
        <v>3484</v>
      </c>
      <c r="H296" s="2933" t="str">
        <f>HLOOKUP(Non_UN,'Other Translations'!$A:$L,1+translations!J296,)</f>
        <v>*IRSS = Irrigation Runoff Return System</v>
      </c>
      <c r="J296" s="2936">
        <v>295</v>
      </c>
    </row>
    <row r="297" spans="1:10" s="2948" customFormat="1">
      <c r="A297" s="2935" t="s">
        <v>2015</v>
      </c>
      <c r="B297" s="2739" t="s">
        <v>6176</v>
      </c>
      <c r="C297" s="2739" t="s">
        <v>2085</v>
      </c>
      <c r="D297" s="2738" t="s">
        <v>4903</v>
      </c>
      <c r="E297" s="2861" t="s">
        <v>4124</v>
      </c>
      <c r="F297" s="2861" t="s">
        <v>2806</v>
      </c>
      <c r="G297" s="2862" t="s">
        <v>3485</v>
      </c>
      <c r="H297" s="2933" t="str">
        <f>HLOOKUP(Non_UN,'Other Translations'!$A:$L,1+translations!J297,)</f>
        <v>Gesamt: Bau von Infrastruktur</v>
      </c>
      <c r="J297" s="2936">
        <v>296</v>
      </c>
    </row>
    <row r="298" spans="1:10" s="2948" customFormat="1">
      <c r="A298" s="2935" t="s">
        <v>2015</v>
      </c>
      <c r="B298" s="2739" t="s">
        <v>1578</v>
      </c>
      <c r="C298" s="2739" t="s">
        <v>2086</v>
      </c>
      <c r="D298" s="2738" t="s">
        <v>4904</v>
      </c>
      <c r="E298" s="2861" t="s">
        <v>4125</v>
      </c>
      <c r="F298" s="2861" t="s">
        <v>2807</v>
      </c>
      <c r="G298" s="2862" t="s">
        <v>3486</v>
      </c>
      <c r="H298" s="2933" t="str">
        <f>HLOOKUP(Non_UN,'Other Translations'!$A:$L,1+translations!J298,)</f>
        <v>Emissionsfaktoren</v>
      </c>
      <c r="J298" s="2936">
        <v>297</v>
      </c>
    </row>
    <row r="299" spans="1:10" s="2948" customFormat="1">
      <c r="A299" s="2935" t="s">
        <v>2015</v>
      </c>
      <c r="B299" s="2739" t="s">
        <v>1482</v>
      </c>
      <c r="C299" s="2739" t="s">
        <v>2038</v>
      </c>
      <c r="D299" s="2738" t="s">
        <v>4884</v>
      </c>
      <c r="E299" s="2861" t="s">
        <v>4101</v>
      </c>
      <c r="F299" s="2861" t="s">
        <v>2783</v>
      </c>
      <c r="G299" s="2862" t="s">
        <v>3462</v>
      </c>
      <c r="H299" s="2933" t="str">
        <f>HLOOKUP(Non_UN,'Other Translations'!$A:$L,1+translations!J299,)</f>
        <v>CO2 Emissionen</v>
      </c>
      <c r="J299" s="2936">
        <v>298</v>
      </c>
    </row>
    <row r="300" spans="1:10" s="2948" customFormat="1">
      <c r="A300" s="2935" t="s">
        <v>2015</v>
      </c>
      <c r="B300" s="2739" t="s">
        <v>1483</v>
      </c>
      <c r="C300" s="2739" t="s">
        <v>2039</v>
      </c>
      <c r="D300" s="2738" t="s">
        <v>4885</v>
      </c>
      <c r="E300" s="2861" t="s">
        <v>4102</v>
      </c>
      <c r="F300" s="2861" t="s">
        <v>2784</v>
      </c>
      <c r="G300" s="2862" t="s">
        <v>3463</v>
      </c>
      <c r="H300" s="2933" t="str">
        <f>HLOOKUP(Non_UN,'Other Translations'!$A:$L,1+translations!J300,)</f>
        <v>N2O Emissionen</v>
      </c>
      <c r="J300" s="2936">
        <v>299</v>
      </c>
    </row>
    <row r="301" spans="1:10" s="2948" customFormat="1">
      <c r="A301" s="2935" t="s">
        <v>2015</v>
      </c>
      <c r="B301" s="2738" t="s">
        <v>1582</v>
      </c>
      <c r="C301" s="2739" t="s">
        <v>2087</v>
      </c>
      <c r="D301" s="2738" t="s">
        <v>4905</v>
      </c>
      <c r="E301" s="2861" t="s">
        <v>4126</v>
      </c>
      <c r="F301" s="2861" t="s">
        <v>2808</v>
      </c>
      <c r="G301" s="2862" t="s">
        <v>3487</v>
      </c>
      <c r="H301" s="2933" t="str">
        <f>HLOOKUP(Non_UN,'Other Translations'!$A:$L,1+translations!J301,)</f>
        <v xml:space="preserve">Feldemissionen </v>
      </c>
      <c r="J301" s="2936">
        <v>300</v>
      </c>
    </row>
    <row r="302" spans="1:10" s="2948" customFormat="1" ht="26.4">
      <c r="A302" s="2935" t="s">
        <v>2015</v>
      </c>
      <c r="B302" s="2738" t="s">
        <v>1583</v>
      </c>
      <c r="C302" s="2739" t="s">
        <v>2088</v>
      </c>
      <c r="D302" s="2738" t="s">
        <v>4906</v>
      </c>
      <c r="E302" s="2861" t="s">
        <v>4127</v>
      </c>
      <c r="F302" s="2861" t="s">
        <v>2809</v>
      </c>
      <c r="G302" s="2862" t="s">
        <v>3488</v>
      </c>
      <c r="H302" s="2933" t="str">
        <f>HLOOKUP(Non_UN,'Other Translations'!$A:$L,1+translations!J302,)</f>
        <v>Emissionen von Produktion, Transport, Lagerung und Anwendung</v>
      </c>
      <c r="J302" s="2936">
        <v>301</v>
      </c>
    </row>
    <row r="303" spans="1:10" s="2948" customFormat="1">
      <c r="A303" s="2935" t="s">
        <v>2015</v>
      </c>
      <c r="B303" s="2739" t="s">
        <v>1579</v>
      </c>
      <c r="C303" s="2739" t="s">
        <v>2089</v>
      </c>
      <c r="D303" s="2738" t="s">
        <v>4907</v>
      </c>
      <c r="E303" s="2861" t="s">
        <v>4128</v>
      </c>
      <c r="F303" s="2861" t="s">
        <v>2810</v>
      </c>
      <c r="G303" s="2862" t="s">
        <v>3489</v>
      </c>
      <c r="H303" s="2933" t="str">
        <f>HLOOKUP(Non_UN,'Other Translations'!$A:$L,1+translations!J303,)</f>
        <v>Masseinheit</v>
      </c>
      <c r="J303" s="2936">
        <v>302</v>
      </c>
    </row>
    <row r="304" spans="1:10" s="2948" customFormat="1">
      <c r="A304" s="2935" t="s">
        <v>2015</v>
      </c>
      <c r="B304" s="2949" t="s">
        <v>1580</v>
      </c>
      <c r="C304" s="2739" t="s">
        <v>2090</v>
      </c>
      <c r="D304" s="2738" t="s">
        <v>4908</v>
      </c>
      <c r="E304" s="2861" t="s">
        <v>4129</v>
      </c>
      <c r="F304" s="2861" t="s">
        <v>3178</v>
      </c>
      <c r="G304" s="2862" t="s">
        <v>3490</v>
      </c>
      <c r="H304" s="2933" t="str">
        <f>HLOOKUP(Non_UN,'Other Translations'!$A:$L,1+translations!J304,)</f>
        <v>tC/t Kalk</v>
      </c>
      <c r="J304" s="2936">
        <v>303</v>
      </c>
    </row>
    <row r="305" spans="1:10" s="2948" customFormat="1">
      <c r="A305" s="2935" t="s">
        <v>2015</v>
      </c>
      <c r="B305" s="2738" t="s">
        <v>2091</v>
      </c>
      <c r="C305" s="2739" t="s">
        <v>2091</v>
      </c>
      <c r="D305" s="2738" t="s">
        <v>2091</v>
      </c>
      <c r="E305" s="2861" t="s">
        <v>4130</v>
      </c>
      <c r="F305" s="2861" t="s">
        <v>3179</v>
      </c>
      <c r="G305" s="2862" t="s">
        <v>3491</v>
      </c>
      <c r="H305" s="2933" t="str">
        <f>HLOOKUP(Non_UN,'Other Translations'!$A:$L,1+translations!J305,)</f>
        <v>tCO2/t CaCO3</v>
      </c>
      <c r="J305" s="2936">
        <v>304</v>
      </c>
    </row>
    <row r="306" spans="1:10" s="2948" customFormat="1">
      <c r="A306" s="2935" t="s">
        <v>2015</v>
      </c>
      <c r="B306" s="2738" t="s">
        <v>1581</v>
      </c>
      <c r="C306" s="2739" t="s">
        <v>2093</v>
      </c>
      <c r="D306" s="2738" t="s">
        <v>1581</v>
      </c>
      <c r="E306" s="2861" t="s">
        <v>4131</v>
      </c>
      <c r="F306" s="2861" t="s">
        <v>3180</v>
      </c>
      <c r="G306" s="2862" t="s">
        <v>3492</v>
      </c>
      <c r="H306" s="2933" t="str">
        <f>HLOOKUP(Non_UN,'Other Translations'!$A:$L,1+translations!J306,)</f>
        <v>tC/t Urea</v>
      </c>
      <c r="J306" s="2936">
        <v>305</v>
      </c>
    </row>
    <row r="307" spans="1:10" s="2948" customFormat="1">
      <c r="A307" s="2935" t="s">
        <v>2015</v>
      </c>
      <c r="B307" s="2738" t="s">
        <v>2094</v>
      </c>
      <c r="C307" s="2738" t="s">
        <v>2094</v>
      </c>
      <c r="D307" s="2738" t="s">
        <v>2094</v>
      </c>
      <c r="E307" s="2861" t="s">
        <v>4132</v>
      </c>
      <c r="F307" s="2861" t="s">
        <v>2811</v>
      </c>
      <c r="G307" s="2862" t="s">
        <v>3493</v>
      </c>
      <c r="H307" s="2933" t="str">
        <f>HLOOKUP(Non_UN,'Other Translations'!$A:$L,1+translations!J307,)</f>
        <v>kg N-N2O/kg N</v>
      </c>
      <c r="J307" s="2936">
        <v>306</v>
      </c>
    </row>
    <row r="308" spans="1:10" s="2948" customFormat="1">
      <c r="A308" s="2935" t="s">
        <v>2015</v>
      </c>
      <c r="B308" s="2738" t="s">
        <v>2095</v>
      </c>
      <c r="C308" s="2739" t="s">
        <v>2095</v>
      </c>
      <c r="D308" s="2738" t="s">
        <v>2095</v>
      </c>
      <c r="E308" s="2861" t="s">
        <v>4133</v>
      </c>
      <c r="F308" s="2861" t="s">
        <v>2812</v>
      </c>
      <c r="G308" s="2862" t="s">
        <v>3494</v>
      </c>
      <c r="H308" s="2933" t="str">
        <f>HLOOKUP(Non_UN,'Other Translations'!$A:$L,1+translations!J308,)</f>
        <v>tCO2/t N</v>
      </c>
      <c r="J308" s="2936">
        <v>307</v>
      </c>
    </row>
    <row r="309" spans="1:10" s="2948" customFormat="1">
      <c r="A309" s="2935" t="s">
        <v>2015</v>
      </c>
      <c r="B309" s="2738" t="s">
        <v>2096</v>
      </c>
      <c r="C309" s="2738" t="s">
        <v>2096</v>
      </c>
      <c r="D309" s="2738" t="s">
        <v>2096</v>
      </c>
      <c r="E309" s="2861" t="s">
        <v>4134</v>
      </c>
      <c r="F309" s="2861" t="s">
        <v>2813</v>
      </c>
      <c r="G309" s="2862" t="s">
        <v>3495</v>
      </c>
      <c r="H309" s="2933" t="str">
        <f>HLOOKUP(Non_UN,'Other Translations'!$A:$L,1+translations!J309,)</f>
        <v>tCO2/t P2O5</v>
      </c>
      <c r="J309" s="2936">
        <v>308</v>
      </c>
    </row>
    <row r="310" spans="1:10" s="2948" customFormat="1">
      <c r="A310" s="2935" t="s">
        <v>2015</v>
      </c>
      <c r="B310" s="2738" t="s">
        <v>2097</v>
      </c>
      <c r="C310" s="2738" t="s">
        <v>2097</v>
      </c>
      <c r="D310" s="2738" t="s">
        <v>2097</v>
      </c>
      <c r="E310" s="2861" t="s">
        <v>4135</v>
      </c>
      <c r="F310" s="2861" t="s">
        <v>2814</v>
      </c>
      <c r="G310" s="2862" t="s">
        <v>3496</v>
      </c>
      <c r="H310" s="2933" t="str">
        <f>HLOOKUP(Non_UN,'Other Translations'!$A:$L,1+translations!J310,)</f>
        <v>tCO2/t K2O</v>
      </c>
      <c r="J310" s="2936">
        <v>309</v>
      </c>
    </row>
    <row r="311" spans="1:10" s="2948" customFormat="1">
      <c r="A311" s="2935" t="s">
        <v>2015</v>
      </c>
      <c r="B311" s="2738" t="s">
        <v>2098</v>
      </c>
      <c r="C311" s="2739" t="s">
        <v>2099</v>
      </c>
      <c r="D311" s="2738" t="s">
        <v>4909</v>
      </c>
      <c r="E311" s="2861" t="s">
        <v>4136</v>
      </c>
      <c r="F311" s="2861" t="s">
        <v>2815</v>
      </c>
      <c r="G311" s="2862" t="s">
        <v>3497</v>
      </c>
      <c r="H311" s="2933" t="str">
        <f>HLOOKUP(Non_UN,'Other Translations'!$A:$L,1+translations!J311,)</f>
        <v>tCO2/t aktiver Wirkstoff</v>
      </c>
      <c r="J311" s="2936">
        <v>310</v>
      </c>
    </row>
    <row r="312" spans="1:10" s="2948" customFormat="1" ht="52.8">
      <c r="A312" s="2935" t="s">
        <v>2015</v>
      </c>
      <c r="B312" s="2739" t="s">
        <v>4920</v>
      </c>
      <c r="C312" s="2739" t="s">
        <v>2100</v>
      </c>
      <c r="D312" s="2738" t="s">
        <v>4910</v>
      </c>
      <c r="E312" s="2861" t="s">
        <v>4137</v>
      </c>
      <c r="F312" s="2861" t="s">
        <v>2816</v>
      </c>
      <c r="G312" s="2861" t="s">
        <v>3498</v>
      </c>
      <c r="H312" s="2933" t="str">
        <f>HLOOKUP(Non_UN,'Other Translations'!$A:$L,1+translations!J312,)</f>
        <v>CO2-Bindung während der Harnstoff Produktion wird innerhalb des Sektors Industrieprozesse und Produktnutzungssektor des produzierenden Landes bilanziert.</v>
      </c>
      <c r="J312" s="2936">
        <v>311</v>
      </c>
    </row>
    <row r="313" spans="1:10" s="2948" customFormat="1" ht="39.6">
      <c r="A313" s="2935" t="s">
        <v>2015</v>
      </c>
      <c r="B313" s="2739" t="s">
        <v>4921</v>
      </c>
      <c r="C313" s="2739" t="s">
        <v>2101</v>
      </c>
      <c r="D313" s="2738" t="s">
        <v>5227</v>
      </c>
      <c r="E313" s="2861" t="s">
        <v>4138</v>
      </c>
      <c r="F313" s="2861" t="s">
        <v>2817</v>
      </c>
      <c r="G313" s="2861" t="s">
        <v>3499</v>
      </c>
      <c r="H313" s="2933" t="str">
        <f>HLOOKUP(Non_UN,'Other Translations'!$A:$L,1+translations!J313,)</f>
        <v>Die Standardeinstellung in EX-ACT geht davon aus, dass Harnstoff importiert wird und berücksichtig dementsprechend die entstehende Kohlenstoff-Bindung nicht. Sie können dies jedoch manuell umstellen.</v>
      </c>
      <c r="J313" s="2936">
        <v>312</v>
      </c>
    </row>
    <row r="314" spans="1:10" s="2948" customFormat="1">
      <c r="A314" s="2935" t="s">
        <v>2015</v>
      </c>
      <c r="B314" s="2738" t="s">
        <v>1622</v>
      </c>
      <c r="C314" s="2739" t="s">
        <v>2102</v>
      </c>
      <c r="D314" s="2738" t="s">
        <v>4911</v>
      </c>
      <c r="E314" s="2861" t="s">
        <v>4139</v>
      </c>
      <c r="F314" s="2861" t="s">
        <v>2818</v>
      </c>
      <c r="G314" s="2862" t="s">
        <v>3500</v>
      </c>
      <c r="H314" s="2933" t="str">
        <f>HLOOKUP(Non_UN,'Other Translations'!$A:$L,1+translations!J314,)</f>
        <v>Kohlenstoffbindung der Harnstoff Produktion berücksichtigen?</v>
      </c>
      <c r="J314" s="2936">
        <v>313</v>
      </c>
    </row>
    <row r="315" spans="1:10" s="2948" customFormat="1">
      <c r="A315" s="2935" t="s">
        <v>2015</v>
      </c>
      <c r="B315" s="2739" t="s">
        <v>378</v>
      </c>
      <c r="C315" s="2739" t="s">
        <v>2103</v>
      </c>
      <c r="D315" s="2738" t="s">
        <v>378</v>
      </c>
      <c r="E315" s="2861" t="s">
        <v>4140</v>
      </c>
      <c r="F315" s="2861" t="s">
        <v>2819</v>
      </c>
      <c r="G315" s="2862" t="s">
        <v>3501</v>
      </c>
      <c r="H315" s="2933" t="str">
        <f>HLOOKUP(Non_UN,'Other Translations'!$A:$L,1+translations!J315,)</f>
        <v xml:space="preserve">Harnstoff  </v>
      </c>
      <c r="J315" s="2936">
        <v>314</v>
      </c>
    </row>
    <row r="316" spans="1:10" s="2948" customFormat="1">
      <c r="A316" s="2935" t="s">
        <v>2015</v>
      </c>
      <c r="B316" s="2738" t="s">
        <v>1584</v>
      </c>
      <c r="C316" s="2739" t="s">
        <v>2105</v>
      </c>
      <c r="D316" s="2738" t="s">
        <v>4912</v>
      </c>
      <c r="E316" s="2861" t="s">
        <v>4141</v>
      </c>
      <c r="F316" s="2861" t="s">
        <v>2820</v>
      </c>
      <c r="G316" s="2862" t="s">
        <v>3502</v>
      </c>
      <c r="H316" s="2933" t="str">
        <f>HLOOKUP(Non_UN,'Other Translations'!$A:$L,1+translations!J316,)</f>
        <v>Emissionsfaktor des ausgewählten Landes</v>
      </c>
      <c r="J316" s="2936">
        <v>315</v>
      </c>
    </row>
    <row r="317" spans="1:10" s="2948" customFormat="1">
      <c r="A317" s="2935" t="s">
        <v>2015</v>
      </c>
      <c r="B317" s="2738" t="s">
        <v>913</v>
      </c>
      <c r="C317" s="2739" t="s">
        <v>2106</v>
      </c>
      <c r="D317" s="2738" t="s">
        <v>4913</v>
      </c>
      <c r="E317" s="2861" t="s">
        <v>4142</v>
      </c>
      <c r="F317" s="2861" t="s">
        <v>2821</v>
      </c>
      <c r="G317" s="2862" t="s">
        <v>3503</v>
      </c>
      <c r="H317" s="2933" t="str">
        <f>HLOOKUP(Non_UN,'Other Translations'!$A:$L,1+translations!J317,)</f>
        <v>Elektrizitätsverluste durch Transport</v>
      </c>
      <c r="J317" s="2936">
        <v>316</v>
      </c>
    </row>
    <row r="318" spans="1:10" s="2948" customFormat="1">
      <c r="A318" s="2935" t="s">
        <v>2015</v>
      </c>
      <c r="B318" s="2950" t="s">
        <v>5539</v>
      </c>
      <c r="C318" s="2739" t="s">
        <v>5540</v>
      </c>
      <c r="D318" s="2738" t="s">
        <v>5541</v>
      </c>
      <c r="E318" s="2861" t="s">
        <v>5542</v>
      </c>
      <c r="F318" s="2861" t="s">
        <v>5543</v>
      </c>
      <c r="G318" s="2984" t="s">
        <v>3504</v>
      </c>
      <c r="H318" s="2933" t="str">
        <f>HLOOKUP(Non_UN,'Other Translations'!$A:$L,1+translations!J318,)</f>
        <v>MWh/Jahr</v>
      </c>
      <c r="J318" s="2936">
        <v>317</v>
      </c>
    </row>
    <row r="319" spans="1:10" s="2948" customFormat="1">
      <c r="A319" s="2935" t="s">
        <v>2015</v>
      </c>
      <c r="B319" s="2950" t="s">
        <v>96</v>
      </c>
      <c r="C319" s="2738" t="s">
        <v>96</v>
      </c>
      <c r="D319" s="2738" t="s">
        <v>96</v>
      </c>
      <c r="E319" s="2861" t="s">
        <v>4143</v>
      </c>
      <c r="F319" s="2861" t="s">
        <v>96</v>
      </c>
      <c r="G319" s="2862" t="s">
        <v>3505</v>
      </c>
      <c r="H319" s="2933" t="str">
        <f>HLOOKUP(Non_UN,'Other Translations'!$A:$L,1+translations!J319,)</f>
        <v>%</v>
      </c>
      <c r="J319" s="2936">
        <v>318</v>
      </c>
    </row>
    <row r="320" spans="1:10" s="2948" customFormat="1">
      <c r="A320" s="2935" t="s">
        <v>2015</v>
      </c>
      <c r="B320" s="2738" t="s">
        <v>943</v>
      </c>
      <c r="C320" s="2738" t="s">
        <v>943</v>
      </c>
      <c r="D320" s="2738" t="s">
        <v>4914</v>
      </c>
      <c r="E320" s="2861" t="s">
        <v>4144</v>
      </c>
      <c r="F320" s="2861" t="s">
        <v>2822</v>
      </c>
      <c r="G320" s="2862" t="s">
        <v>3506</v>
      </c>
      <c r="H320" s="2933" t="str">
        <f>HLOOKUP(Non_UN,'Other Translations'!$A:$L,1+translations!J320,)</f>
        <v>t CO2 /m3</v>
      </c>
      <c r="J320" s="2936">
        <v>319</v>
      </c>
    </row>
    <row r="321" spans="1:10" s="2948" customFormat="1">
      <c r="A321" s="2935" t="s">
        <v>2015</v>
      </c>
      <c r="B321" s="2738" t="s">
        <v>1641</v>
      </c>
      <c r="C321" s="2739" t="s">
        <v>2107</v>
      </c>
      <c r="D321" s="2738" t="s">
        <v>4915</v>
      </c>
      <c r="E321" s="2861" t="s">
        <v>4145</v>
      </c>
      <c r="F321" s="2861" t="s">
        <v>2823</v>
      </c>
      <c r="G321" s="2862" t="s">
        <v>3507</v>
      </c>
      <c r="H321" s="2933" t="str">
        <f>HLOOKUP(Non_UN,'Other Translations'!$A:$L,1+translations!J321,)</f>
        <v>Bitte spezifizieren</v>
      </c>
      <c r="J321" s="2936">
        <v>320</v>
      </c>
    </row>
    <row r="322" spans="1:10" s="2948" customFormat="1">
      <c r="A322" s="2935" t="s">
        <v>2015</v>
      </c>
      <c r="B322" s="2738" t="s">
        <v>1643</v>
      </c>
      <c r="C322" s="2739" t="s">
        <v>2108</v>
      </c>
      <c r="D322" s="2738" t="s">
        <v>4916</v>
      </c>
      <c r="E322" s="2861" t="s">
        <v>4146</v>
      </c>
      <c r="F322" s="2861" t="s">
        <v>3181</v>
      </c>
      <c r="G322" s="2862" t="s">
        <v>3508</v>
      </c>
      <c r="H322" s="2933" t="str">
        <f>HLOOKUP(Non_UN,'Other Translations'!$A:$L,1+translations!J322,)</f>
        <v>Masseinheit</v>
      </c>
      <c r="J322" s="2936">
        <v>321</v>
      </c>
    </row>
    <row r="323" spans="1:10" s="2948" customFormat="1">
      <c r="A323" s="2935" t="s">
        <v>2015</v>
      </c>
      <c r="B323" s="2738" t="s">
        <v>124</v>
      </c>
      <c r="C323" s="2739" t="s">
        <v>2109</v>
      </c>
      <c r="D323" s="2738" t="s">
        <v>4917</v>
      </c>
      <c r="E323" s="2861" t="s">
        <v>4147</v>
      </c>
      <c r="F323" s="2861" t="s">
        <v>2824</v>
      </c>
      <c r="G323" s="2862" t="s">
        <v>3509</v>
      </c>
      <c r="H323" s="2933" t="str">
        <f>HLOOKUP(Non_UN,'Other Translations'!$A:$L,1+translations!J323,)</f>
        <v>t CO2/t Trockenmasse</v>
      </c>
      <c r="J323" s="2936">
        <v>322</v>
      </c>
    </row>
    <row r="324" spans="1:10" s="2948" customFormat="1">
      <c r="A324" s="2935" t="s">
        <v>2015</v>
      </c>
      <c r="B324" s="2739" t="s">
        <v>1585</v>
      </c>
      <c r="C324" s="2739" t="s">
        <v>2110</v>
      </c>
      <c r="D324" s="2738" t="s">
        <v>4918</v>
      </c>
      <c r="E324" s="2861" t="s">
        <v>4121</v>
      </c>
      <c r="F324" s="2861" t="s">
        <v>2825</v>
      </c>
      <c r="G324" s="2862" t="s">
        <v>3510</v>
      </c>
      <c r="H324" s="2933" t="str">
        <f>HLOOKUP(Non_UN,'Other Translations'!$A:$L,1+translations!J324,)</f>
        <v xml:space="preserve">Bewässerungssystem  </v>
      </c>
      <c r="J324" s="2936">
        <v>323</v>
      </c>
    </row>
    <row r="325" spans="1:10" s="2948" customFormat="1">
      <c r="A325" s="2935" t="s">
        <v>2015</v>
      </c>
      <c r="B325" s="2739" t="s">
        <v>1586</v>
      </c>
      <c r="C325" s="2739" t="s">
        <v>2111</v>
      </c>
      <c r="D325" s="2738" t="s">
        <v>4919</v>
      </c>
      <c r="E325" s="2861" t="s">
        <v>4148</v>
      </c>
      <c r="F325" s="2861" t="s">
        <v>2826</v>
      </c>
      <c r="G325" s="2862" t="s">
        <v>3511</v>
      </c>
      <c r="H325" s="2933" t="str">
        <f>HLOOKUP(Non_UN,'Other Translations'!$A:$L,1+translations!J325,)</f>
        <v>Gebäude und Strassen</v>
      </c>
      <c r="J325" s="2936">
        <v>324</v>
      </c>
    </row>
    <row r="326" spans="1:10" s="2948" customFormat="1">
      <c r="A326" s="2935" t="s">
        <v>2015</v>
      </c>
      <c r="B326" s="2738" t="s">
        <v>962</v>
      </c>
      <c r="C326" s="2738" t="s">
        <v>962</v>
      </c>
      <c r="D326" s="2738" t="s">
        <v>962</v>
      </c>
      <c r="E326" s="2861" t="s">
        <v>4149</v>
      </c>
      <c r="F326" s="2861" t="s">
        <v>3182</v>
      </c>
      <c r="G326" s="2862" t="s">
        <v>3512</v>
      </c>
      <c r="H326" s="2933" t="str">
        <f>HLOOKUP(Non_UN,'Other Translations'!$A:$L,1+translations!J326,)</f>
        <v>kgCO2/ha</v>
      </c>
      <c r="J326" s="2936">
        <v>325</v>
      </c>
    </row>
    <row r="327" spans="1:10" s="2948" customFormat="1">
      <c r="A327" s="2935" t="s">
        <v>2015</v>
      </c>
      <c r="B327" s="2738" t="s">
        <v>2104</v>
      </c>
      <c r="C327" s="2738" t="s">
        <v>2104</v>
      </c>
      <c r="D327" s="2738" t="s">
        <v>2104</v>
      </c>
      <c r="E327" s="2861" t="s">
        <v>4150</v>
      </c>
      <c r="F327" s="2861" t="s">
        <v>2827</v>
      </c>
      <c r="G327" s="2951" t="s">
        <v>3513</v>
      </c>
      <c r="H327" s="2933" t="str">
        <f>HLOOKUP(Non_UN,'Other Translations'!$A:$L,1+translations!J327,)</f>
        <v>t CO2/m2</v>
      </c>
      <c r="J327" s="2936">
        <v>326</v>
      </c>
    </row>
    <row r="328" spans="1:10" s="2948" customFormat="1">
      <c r="A328" s="2935" t="s">
        <v>2015</v>
      </c>
      <c r="B328" s="2738"/>
      <c r="C328" s="2738"/>
      <c r="D328" s="2738"/>
      <c r="E328" s="2861"/>
      <c r="F328" s="2861"/>
      <c r="G328" s="2862"/>
      <c r="H328" s="2933">
        <f>HLOOKUP(Non_UN,'Other Translations'!$A:$L,1+translations!J328,)</f>
        <v>0</v>
      </c>
      <c r="J328" s="2936">
        <v>327</v>
      </c>
    </row>
    <row r="329" spans="1:10" s="2948" customFormat="1">
      <c r="A329" s="2935" t="s">
        <v>2015</v>
      </c>
      <c r="B329" s="2738"/>
      <c r="C329" s="2738"/>
      <c r="D329" s="2738"/>
      <c r="E329" s="2861"/>
      <c r="F329" s="2861"/>
      <c r="G329" s="2862"/>
      <c r="H329" s="2933">
        <f>HLOOKUP(Non_UN,'Other Translations'!$A:$L,1+translations!J329,)</f>
        <v>0</v>
      </c>
      <c r="J329" s="2936">
        <v>328</v>
      </c>
    </row>
    <row r="330" spans="1:10" s="2948" customFormat="1">
      <c r="A330" s="2935" t="s">
        <v>2015</v>
      </c>
      <c r="B330" s="2738"/>
      <c r="C330" s="2738"/>
      <c r="D330" s="2738"/>
      <c r="E330" s="2861"/>
      <c r="F330" s="2861"/>
      <c r="G330" s="2862"/>
      <c r="H330" s="2933">
        <f>HLOOKUP(Non_UN,'Other Translations'!$A:$L,1+translations!J330,)</f>
        <v>0</v>
      </c>
      <c r="J330" s="2936">
        <v>329</v>
      </c>
    </row>
    <row r="331" spans="1:10" s="2948" customFormat="1">
      <c r="A331" s="2935" t="s">
        <v>2015</v>
      </c>
      <c r="B331" s="2738"/>
      <c r="C331" s="2738"/>
      <c r="D331" s="2738"/>
      <c r="E331" s="2861"/>
      <c r="F331" s="2861"/>
      <c r="G331" s="2862"/>
      <c r="H331" s="2933">
        <f>HLOOKUP(Non_UN,'Other Translations'!$A:$L,1+translations!J331,)</f>
        <v>0</v>
      </c>
      <c r="J331" s="2936">
        <v>330</v>
      </c>
    </row>
    <row r="332" spans="1:10" s="2948" customFormat="1">
      <c r="A332" s="2935" t="s">
        <v>2015</v>
      </c>
      <c r="B332" s="2738"/>
      <c r="C332" s="2738"/>
      <c r="D332" s="2738"/>
      <c r="E332" s="2861"/>
      <c r="F332" s="2861"/>
      <c r="G332" s="2862"/>
      <c r="H332" s="2933">
        <f>HLOOKUP(Non_UN,'Other Translations'!$A:$L,1+translations!J332,)</f>
        <v>0</v>
      </c>
      <c r="J332" s="2936">
        <v>331</v>
      </c>
    </row>
    <row r="333" spans="1:10" s="2948" customFormat="1">
      <c r="A333" s="2935" t="s">
        <v>2015</v>
      </c>
      <c r="B333" s="2738"/>
      <c r="C333" s="2738"/>
      <c r="D333" s="2738"/>
      <c r="E333" s="2861"/>
      <c r="F333" s="2861"/>
      <c r="G333" s="2862"/>
      <c r="H333" s="2933">
        <f>HLOOKUP(Non_UN,'Other Translations'!$A:$L,1+translations!J333,)</f>
        <v>0</v>
      </c>
      <c r="J333" s="2936">
        <v>332</v>
      </c>
    </row>
    <row r="334" spans="1:10" s="2948" customFormat="1">
      <c r="A334" s="2935" t="s">
        <v>2015</v>
      </c>
      <c r="B334" s="2738"/>
      <c r="C334" s="2738"/>
      <c r="D334" s="2738"/>
      <c r="E334" s="2861"/>
      <c r="F334" s="2861"/>
      <c r="G334" s="2862"/>
      <c r="H334" s="2933">
        <f>HLOOKUP(Non_UN,'Other Translations'!$A:$L,1+translations!J334,)</f>
        <v>0</v>
      </c>
      <c r="J334" s="2936">
        <v>333</v>
      </c>
    </row>
    <row r="335" spans="1:10" s="2948" customFormat="1">
      <c r="A335" s="2935" t="s">
        <v>2015</v>
      </c>
      <c r="B335" s="2738"/>
      <c r="C335" s="2738"/>
      <c r="D335" s="2738"/>
      <c r="E335" s="2861"/>
      <c r="F335" s="2861"/>
      <c r="G335" s="2862"/>
      <c r="H335" s="2933">
        <f>HLOOKUP(Non_UN,'Other Translations'!$A:$L,1+translations!J335,)</f>
        <v>0</v>
      </c>
      <c r="J335" s="2936">
        <v>334</v>
      </c>
    </row>
    <row r="336" spans="1:10" s="2948" customFormat="1">
      <c r="A336" s="2935" t="s">
        <v>2015</v>
      </c>
      <c r="B336" s="2738"/>
      <c r="C336" s="2738"/>
      <c r="D336" s="2738"/>
      <c r="E336" s="2861"/>
      <c r="F336" s="2861"/>
      <c r="G336" s="2862"/>
      <c r="H336" s="2933">
        <f>HLOOKUP(Non_UN,'Other Translations'!$A:$L,1+translations!J336,)</f>
        <v>0</v>
      </c>
      <c r="J336" s="2936">
        <v>335</v>
      </c>
    </row>
    <row r="337" spans="1:10" s="2948" customFormat="1">
      <c r="A337" s="2935" t="s">
        <v>2015</v>
      </c>
      <c r="B337" s="2738"/>
      <c r="C337" s="2738"/>
      <c r="D337" s="2738"/>
      <c r="E337" s="2861"/>
      <c r="F337" s="2861"/>
      <c r="G337" s="2862"/>
      <c r="H337" s="2933">
        <f>HLOOKUP(Non_UN,'Other Translations'!$A:$L,1+translations!J337,)</f>
        <v>0</v>
      </c>
      <c r="J337" s="2936">
        <v>336</v>
      </c>
    </row>
    <row r="338" spans="1:10" s="2948" customFormat="1">
      <c r="A338" s="2935" t="s">
        <v>2015</v>
      </c>
      <c r="B338" s="2738"/>
      <c r="C338" s="2738"/>
      <c r="D338" s="2738"/>
      <c r="E338" s="2861"/>
      <c r="F338" s="2861"/>
      <c r="G338" s="2862"/>
      <c r="H338" s="2933">
        <f>HLOOKUP(Non_UN,'Other Translations'!$A:$L,1+translations!J338,)</f>
        <v>0</v>
      </c>
      <c r="J338" s="2936">
        <v>337</v>
      </c>
    </row>
    <row r="339" spans="1:10" s="2948" customFormat="1">
      <c r="A339" s="2935" t="s">
        <v>2015</v>
      </c>
      <c r="B339" s="2738"/>
      <c r="C339" s="2738"/>
      <c r="D339" s="2738"/>
      <c r="E339" s="2861"/>
      <c r="F339" s="2861"/>
      <c r="G339" s="2862"/>
      <c r="H339" s="2933">
        <f>HLOOKUP(Non_UN,'Other Translations'!$A:$L,1+translations!J339,)</f>
        <v>0</v>
      </c>
      <c r="J339" s="2936">
        <v>338</v>
      </c>
    </row>
    <row r="340" spans="1:10" s="2948" customFormat="1">
      <c r="A340" s="2935" t="s">
        <v>2015</v>
      </c>
      <c r="B340" s="2738"/>
      <c r="C340" s="2738"/>
      <c r="D340" s="2738"/>
      <c r="E340" s="2861"/>
      <c r="F340" s="2861"/>
      <c r="G340" s="2862"/>
      <c r="H340" s="2933">
        <f>HLOOKUP(Non_UN,'Other Translations'!$A:$L,1+translations!J340,)</f>
        <v>0</v>
      </c>
      <c r="J340" s="2936">
        <v>339</v>
      </c>
    </row>
    <row r="341" spans="1:10" s="2641" customFormat="1">
      <c r="A341" s="2641" t="s">
        <v>1670</v>
      </c>
      <c r="B341" s="2640" t="s">
        <v>1647</v>
      </c>
      <c r="C341" s="2640" t="s">
        <v>1648</v>
      </c>
      <c r="D341" s="2640" t="s">
        <v>1649</v>
      </c>
      <c r="E341" s="2640" t="str">
        <f>E1</f>
        <v>中文</v>
      </c>
      <c r="F341" s="2640" t="str">
        <f>F1</f>
        <v>Русский</v>
      </c>
      <c r="G341" s="2641" t="str">
        <f>G1</f>
        <v>عربي</v>
      </c>
      <c r="H341" s="2641" t="str">
        <f>HLOOKUP(Non_UN,'Other Translations'!$A:$L,1+translations!J341,)</f>
        <v>Deutsch</v>
      </c>
      <c r="J341" s="2936">
        <v>340</v>
      </c>
    </row>
    <row r="342" spans="1:10" s="2754" customFormat="1">
      <c r="A342" s="2952" t="s">
        <v>2112</v>
      </c>
      <c r="B342" s="2753" t="s">
        <v>1501</v>
      </c>
      <c r="C342" s="2759" t="s">
        <v>2113</v>
      </c>
      <c r="D342" s="2753" t="s">
        <v>4922</v>
      </c>
      <c r="E342" s="2861" t="s">
        <v>4151</v>
      </c>
      <c r="F342" s="2861" t="s">
        <v>2828</v>
      </c>
      <c r="G342" s="2862" t="s">
        <v>3514</v>
      </c>
      <c r="H342" s="2933" t="str">
        <f>HLOOKUP(Non_UN,'Other Translations'!$A:$L,1+translations!J342,)</f>
        <v>Gesamtfläche (ha)</v>
      </c>
      <c r="J342" s="2936">
        <v>341</v>
      </c>
    </row>
    <row r="343" spans="1:10" s="2754" customFormat="1">
      <c r="A343" s="2952" t="s">
        <v>2112</v>
      </c>
      <c r="B343" s="2759" t="s">
        <v>2115</v>
      </c>
      <c r="C343" s="2759" t="s">
        <v>2114</v>
      </c>
      <c r="D343" s="2753" t="s">
        <v>4923</v>
      </c>
      <c r="E343" s="2861" t="s">
        <v>4152</v>
      </c>
      <c r="F343" s="2861" t="s">
        <v>2829</v>
      </c>
      <c r="G343" s="2862" t="s">
        <v>3515</v>
      </c>
      <c r="H343" s="2933" t="str">
        <f>HLOOKUP(Non_UN,'Other Translations'!$A:$L,1+translations!J343,)</f>
        <v>Projektkomponenten</v>
      </c>
      <c r="J343" s="2936">
        <v>342</v>
      </c>
    </row>
    <row r="344" spans="1:10" s="2754" customFormat="1">
      <c r="A344" s="2952" t="s">
        <v>2112</v>
      </c>
      <c r="B344" s="2759" t="s">
        <v>1500</v>
      </c>
      <c r="C344" s="2759" t="s">
        <v>2116</v>
      </c>
      <c r="D344" s="2753" t="s">
        <v>4924</v>
      </c>
      <c r="E344" s="2861" t="s">
        <v>4153</v>
      </c>
      <c r="F344" s="2861" t="s">
        <v>2830</v>
      </c>
      <c r="G344" s="2862" t="s">
        <v>3516</v>
      </c>
      <c r="H344" s="2933" t="str">
        <f>HLOOKUP(Non_UN,'Other Translations'!$A:$L,1+translations!J344,)</f>
        <v>Brutto-Emissionsflüsse</v>
      </c>
      <c r="J344" s="2936">
        <v>343</v>
      </c>
    </row>
    <row r="345" spans="1:10" s="2754" customFormat="1">
      <c r="A345" s="2952" t="s">
        <v>2112</v>
      </c>
      <c r="B345" s="2753" t="s">
        <v>61</v>
      </c>
      <c r="C345" s="2759" t="s">
        <v>2117</v>
      </c>
      <c r="D345" s="2753" t="s">
        <v>4925</v>
      </c>
      <c r="E345" s="2861" t="s">
        <v>4154</v>
      </c>
      <c r="F345" s="2861" t="s">
        <v>3183</v>
      </c>
      <c r="G345" s="2862" t="s">
        <v>3517</v>
      </c>
      <c r="H345" s="2933" t="str">
        <f>HLOOKUP(Non_UN,'Other Translations'!$A:$L,1+translations!J345,)</f>
        <v>Alle GHG in tCO2-eq</v>
      </c>
      <c r="J345" s="2936">
        <v>344</v>
      </c>
    </row>
    <row r="346" spans="1:10" s="2754" customFormat="1">
      <c r="A346" s="2952" t="s">
        <v>2112</v>
      </c>
      <c r="B346" s="2753" t="s">
        <v>1495</v>
      </c>
      <c r="C346" s="2759" t="s">
        <v>2118</v>
      </c>
      <c r="D346" s="2753" t="s">
        <v>4926</v>
      </c>
      <c r="E346" s="2861" t="s">
        <v>4155</v>
      </c>
      <c r="F346" s="2861" t="s">
        <v>2831</v>
      </c>
      <c r="G346" s="2862" t="s">
        <v>3518</v>
      </c>
      <c r="H346" s="2933" t="str">
        <f>HLOOKUP(Non_UN,'Other Translations'!$A:$L,1+translations!J346,)</f>
        <v>Positiv = Emissionsquelle / negativ = Sequestration</v>
      </c>
      <c r="J346" s="2936">
        <v>345</v>
      </c>
    </row>
    <row r="347" spans="1:10" s="2754" customFormat="1">
      <c r="A347" s="2952" t="s">
        <v>2112</v>
      </c>
      <c r="B347" s="2753" t="s">
        <v>1503</v>
      </c>
      <c r="C347" s="2759" t="s">
        <v>2119</v>
      </c>
      <c r="D347" s="2759" t="s">
        <v>5230</v>
      </c>
      <c r="E347" s="2861" t="s">
        <v>4156</v>
      </c>
      <c r="F347" s="2861" t="s">
        <v>3184</v>
      </c>
      <c r="G347" s="2862" t="s">
        <v>3519</v>
      </c>
      <c r="H347" s="2933" t="str">
        <f>HLOOKUP(Non_UN,'Other Translations'!$A:$L,1+translations!J347,)</f>
        <v xml:space="preserve">Anteil der GHG Bilanz per GHG </v>
      </c>
      <c r="J347" s="2936">
        <v>346</v>
      </c>
    </row>
    <row r="348" spans="1:10" s="2754" customFormat="1">
      <c r="A348" s="2952" t="s">
        <v>2112</v>
      </c>
      <c r="B348" s="2759" t="s">
        <v>550</v>
      </c>
      <c r="C348" s="2759" t="s">
        <v>2120</v>
      </c>
      <c r="D348" s="2753" t="s">
        <v>4927</v>
      </c>
      <c r="E348" s="2861" t="s">
        <v>4157</v>
      </c>
      <c r="F348" s="2861" t="s">
        <v>2832</v>
      </c>
      <c r="G348" s="2862" t="s">
        <v>3520</v>
      </c>
      <c r="H348" s="2933" t="str">
        <f>HLOOKUP(Non_UN,'Other Translations'!$A:$L,1+translations!J348,)</f>
        <v>Biomasse</v>
      </c>
      <c r="J348" s="2936">
        <v>347</v>
      </c>
    </row>
    <row r="349" spans="1:10" s="2754" customFormat="1">
      <c r="A349" s="2952" t="s">
        <v>2112</v>
      </c>
      <c r="B349" s="2759" t="s">
        <v>555</v>
      </c>
      <c r="C349" s="2759" t="s">
        <v>2121</v>
      </c>
      <c r="D349" s="2753" t="s">
        <v>4928</v>
      </c>
      <c r="E349" s="2861" t="s">
        <v>4158</v>
      </c>
      <c r="F349" s="2861" t="s">
        <v>2833</v>
      </c>
      <c r="G349" s="2862" t="s">
        <v>3521</v>
      </c>
      <c r="H349" s="2933" t="str">
        <f>HLOOKUP(Non_UN,'Other Translations'!$A:$L,1+translations!J349,)</f>
        <v>Boden</v>
      </c>
      <c r="J349" s="2936">
        <v>348</v>
      </c>
    </row>
    <row r="350" spans="1:10" s="2754" customFormat="1">
      <c r="A350" s="2952" t="s">
        <v>2112</v>
      </c>
      <c r="B350" s="2759" t="s">
        <v>393</v>
      </c>
      <c r="C350" s="2759" t="s">
        <v>1966</v>
      </c>
      <c r="D350" s="2753" t="s">
        <v>4834</v>
      </c>
      <c r="E350" s="2861" t="s">
        <v>4159</v>
      </c>
      <c r="F350" s="2861" t="s">
        <v>2834</v>
      </c>
      <c r="G350" s="2862" t="s">
        <v>3406</v>
      </c>
      <c r="H350" s="2933" t="str">
        <f>HLOOKUP(Non_UN,'Other Translations'!$A:$L,1+translations!J350,)</f>
        <v>Andere</v>
      </c>
      <c r="J350" s="2936">
        <v>349</v>
      </c>
    </row>
    <row r="351" spans="1:10" s="2754" customFormat="1">
      <c r="A351" s="2952" t="s">
        <v>2112</v>
      </c>
      <c r="B351" s="2759" t="s">
        <v>2122</v>
      </c>
      <c r="C351" s="2759" t="s">
        <v>2135</v>
      </c>
      <c r="D351" s="2753" t="s">
        <v>4929</v>
      </c>
      <c r="E351" s="2861" t="s">
        <v>4160</v>
      </c>
      <c r="F351" s="2861" t="s">
        <v>2835</v>
      </c>
      <c r="G351" s="2862" t="s">
        <v>3522</v>
      </c>
      <c r="H351" s="2933" t="str">
        <f>HLOOKUP(Non_UN,'Other Translations'!$A:$L,1+translations!J351,)</f>
        <v>Ergebnis per Jahr</v>
      </c>
      <c r="J351" s="2936">
        <v>350</v>
      </c>
    </row>
    <row r="352" spans="1:10" s="2754" customFormat="1">
      <c r="A352" s="2952" t="s">
        <v>2112</v>
      </c>
      <c r="B352" s="2759" t="s">
        <v>2136</v>
      </c>
      <c r="C352" s="2759" t="s">
        <v>2140</v>
      </c>
      <c r="D352" s="2753" t="s">
        <v>4930</v>
      </c>
      <c r="E352" s="2861" t="s">
        <v>4161</v>
      </c>
      <c r="F352" s="2861" t="s">
        <v>2836</v>
      </c>
      <c r="G352" s="2862" t="s">
        <v>3523</v>
      </c>
      <c r="H352" s="2933" t="str">
        <f>HLOOKUP(Non_UN,'Other Translations'!$A:$L,1+translations!J352,)</f>
        <v>Landnutzungsänderung</v>
      </c>
      <c r="J352" s="2936">
        <v>351</v>
      </c>
    </row>
    <row r="353" spans="1:10" s="2754" customFormat="1">
      <c r="A353" s="2952" t="s">
        <v>2112</v>
      </c>
      <c r="B353" s="2753" t="s">
        <v>1496</v>
      </c>
      <c r="C353" s="2759" t="s">
        <v>2137</v>
      </c>
      <c r="D353" s="2753" t="s">
        <v>4931</v>
      </c>
      <c r="E353" s="2861" t="s">
        <v>4162</v>
      </c>
      <c r="F353" s="2861" t="s">
        <v>2837</v>
      </c>
      <c r="G353" s="2862" t="s">
        <v>3524</v>
      </c>
      <c r="H353" s="2933" t="str">
        <f>HLOOKUP(Non_UN,'Other Translations'!$A:$L,1+translations!J353,)</f>
        <v>Abholzung</v>
      </c>
      <c r="J353" s="2936">
        <v>352</v>
      </c>
    </row>
    <row r="354" spans="1:10" s="2754" customFormat="1">
      <c r="A354" s="2952" t="s">
        <v>2112</v>
      </c>
      <c r="B354" s="2753" t="s">
        <v>1497</v>
      </c>
      <c r="C354" s="2759" t="s">
        <v>2138</v>
      </c>
      <c r="D354" s="2753" t="s">
        <v>4932</v>
      </c>
      <c r="E354" s="2861" t="s">
        <v>4163</v>
      </c>
      <c r="F354" s="2861" t="s">
        <v>2838</v>
      </c>
      <c r="G354" s="2862" t="s">
        <v>3525</v>
      </c>
      <c r="H354" s="2933" t="str">
        <f>HLOOKUP(Non_UN,'Other Translations'!$A:$L,1+translations!J354,)</f>
        <v>Aufforstung</v>
      </c>
      <c r="J354" s="2936">
        <v>353</v>
      </c>
    </row>
    <row r="355" spans="1:10" s="2754" customFormat="1">
      <c r="A355" s="2952" t="s">
        <v>2112</v>
      </c>
      <c r="B355" s="2759" t="s">
        <v>6156</v>
      </c>
      <c r="C355" s="2759" t="s">
        <v>5561</v>
      </c>
      <c r="D355" s="2753" t="s">
        <v>4933</v>
      </c>
      <c r="E355" s="2861" t="s">
        <v>4159</v>
      </c>
      <c r="F355" s="2861" t="s">
        <v>2734</v>
      </c>
      <c r="G355" s="2862" t="s">
        <v>3406</v>
      </c>
      <c r="H355" s="2933" t="str">
        <f>HLOOKUP(Non_UN,'Other Translations'!$A:$L,1+translations!J355,)</f>
        <v>Andere Landnutzungsän.</v>
      </c>
      <c r="J355" s="2936">
        <v>354</v>
      </c>
    </row>
    <row r="356" spans="1:10" s="2754" customFormat="1">
      <c r="A356" s="2952" t="s">
        <v>2112</v>
      </c>
      <c r="B356" s="2759" t="s">
        <v>333</v>
      </c>
      <c r="C356" s="2759" t="s">
        <v>333</v>
      </c>
      <c r="D356" s="2753" t="s">
        <v>4934</v>
      </c>
      <c r="E356" s="2861" t="s">
        <v>4164</v>
      </c>
      <c r="F356" s="2861" t="s">
        <v>2839</v>
      </c>
      <c r="G356" s="2862" t="s">
        <v>3526</v>
      </c>
      <c r="H356" s="2933" t="str">
        <f>HLOOKUP(Non_UN,'Other Translations'!$A:$L,1+translations!J356,)</f>
        <v>Landwirtschaft</v>
      </c>
      <c r="J356" s="2936">
        <v>355</v>
      </c>
    </row>
    <row r="357" spans="1:10" s="2754" customFormat="1">
      <c r="A357" s="2952" t="s">
        <v>2112</v>
      </c>
      <c r="B357" s="2753" t="s">
        <v>1110</v>
      </c>
      <c r="C357" s="2759" t="s">
        <v>2141</v>
      </c>
      <c r="D357" s="2753" t="s">
        <v>4935</v>
      </c>
      <c r="E357" s="2861" t="s">
        <v>4160</v>
      </c>
      <c r="F357" s="2861" t="s">
        <v>2747</v>
      </c>
      <c r="G357" s="2862" t="s">
        <v>3425</v>
      </c>
      <c r="H357" s="2933" t="str">
        <f>HLOOKUP(Non_UN,'Other Translations'!$A:$L,1+translations!J357,)</f>
        <v>Einjährige Kulturpflanzen</v>
      </c>
      <c r="J357" s="2936">
        <v>356</v>
      </c>
    </row>
    <row r="358" spans="1:10" s="2754" customFormat="1">
      <c r="A358" s="2952" t="s">
        <v>2112</v>
      </c>
      <c r="B358" s="2753" t="s">
        <v>1111</v>
      </c>
      <c r="C358" s="2759" t="s">
        <v>2142</v>
      </c>
      <c r="D358" s="2753" t="s">
        <v>4936</v>
      </c>
      <c r="E358" s="2861" t="s">
        <v>4165</v>
      </c>
      <c r="F358" s="2861" t="s">
        <v>2748</v>
      </c>
      <c r="G358" s="2862" t="s">
        <v>3426</v>
      </c>
      <c r="H358" s="2933" t="str">
        <f>HLOOKUP(Non_UN,'Other Translations'!$A:$L,1+translations!J358,)</f>
        <v>Mehrjährige Kulturpflanzen</v>
      </c>
      <c r="J358" s="2936">
        <v>357</v>
      </c>
    </row>
    <row r="359" spans="1:10" s="2754" customFormat="1">
      <c r="A359" s="2952" t="s">
        <v>2112</v>
      </c>
      <c r="B359" s="2753" t="s">
        <v>1112</v>
      </c>
      <c r="C359" s="2759" t="s">
        <v>2143</v>
      </c>
      <c r="D359" s="2753" t="s">
        <v>4937</v>
      </c>
      <c r="E359" s="2861" t="s">
        <v>4166</v>
      </c>
      <c r="F359" s="2861" t="s">
        <v>2840</v>
      </c>
      <c r="G359" s="2862" t="s">
        <v>3527</v>
      </c>
      <c r="H359" s="2933" t="str">
        <f>HLOOKUP(Non_UN,'Other Translations'!$A:$L,1+translations!J359,)</f>
        <v>Nassreis</v>
      </c>
      <c r="J359" s="2936">
        <v>358</v>
      </c>
    </row>
    <row r="360" spans="1:10" s="2754" customFormat="1">
      <c r="A360" s="2952" t="s">
        <v>2112</v>
      </c>
      <c r="B360" s="2753" t="s">
        <v>1498</v>
      </c>
      <c r="C360" s="2759" t="s">
        <v>2144</v>
      </c>
      <c r="D360" s="2753" t="s">
        <v>4938</v>
      </c>
      <c r="E360" s="2861" t="s">
        <v>4167</v>
      </c>
      <c r="F360" s="2861" t="s">
        <v>2841</v>
      </c>
      <c r="G360" s="2862" t="s">
        <v>3528</v>
      </c>
      <c r="H360" s="2933" t="str">
        <f>HLOOKUP(Non_UN,'Other Translations'!$A:$L,1+translations!J360,)</f>
        <v>Weideland &amp; Viehwirtschaft</v>
      </c>
      <c r="J360" s="2936">
        <v>359</v>
      </c>
    </row>
    <row r="361" spans="1:10" s="2754" customFormat="1">
      <c r="A361" s="2952" t="s">
        <v>2112</v>
      </c>
      <c r="B361" s="2759" t="s">
        <v>334</v>
      </c>
      <c r="C361" s="2759" t="s">
        <v>2145</v>
      </c>
      <c r="D361" s="2753" t="s">
        <v>4939</v>
      </c>
      <c r="E361" s="2861" t="s">
        <v>4168</v>
      </c>
      <c r="F361" s="2861" t="s">
        <v>2749</v>
      </c>
      <c r="G361" s="2862" t="s">
        <v>3427</v>
      </c>
      <c r="H361" s="2933" t="str">
        <f>HLOOKUP(Non_UN,'Other Translations'!$A:$L,1+translations!J361,)</f>
        <v>Weideland</v>
      </c>
      <c r="J361" s="2936">
        <v>360</v>
      </c>
    </row>
    <row r="362" spans="1:10" s="2754" customFormat="1">
      <c r="A362" s="2952" t="s">
        <v>2112</v>
      </c>
      <c r="B362" s="2759" t="s">
        <v>1033</v>
      </c>
      <c r="C362" s="2759" t="s">
        <v>2146</v>
      </c>
      <c r="D362" s="2753" t="s">
        <v>4940</v>
      </c>
      <c r="E362" s="2861" t="s">
        <v>4169</v>
      </c>
      <c r="F362" s="2861" t="s">
        <v>2842</v>
      </c>
      <c r="G362" s="2862" t="s">
        <v>3529</v>
      </c>
      <c r="H362" s="2933" t="str">
        <f>HLOOKUP(Non_UN,'Other Translations'!$A:$L,1+translations!J362,)</f>
        <v>Viehwirtschaft</v>
      </c>
      <c r="J362" s="2936">
        <v>361</v>
      </c>
    </row>
    <row r="363" spans="1:10" s="2754" customFormat="1">
      <c r="A363" s="2952" t="s">
        <v>2112</v>
      </c>
      <c r="B363" s="2759" t="s">
        <v>2147</v>
      </c>
      <c r="C363" s="2759" t="s">
        <v>2148</v>
      </c>
      <c r="D363" s="2753" t="s">
        <v>4941</v>
      </c>
      <c r="E363" s="2861" t="s">
        <v>4170</v>
      </c>
      <c r="F363" s="2861" t="s">
        <v>2843</v>
      </c>
      <c r="G363" s="2862" t="s">
        <v>3530</v>
      </c>
      <c r="H363" s="2933" t="str">
        <f>HLOOKUP(Non_UN,'Other Translations'!$A:$L,1+translations!J363,)</f>
        <v>Landdegradierung/Mgmt.</v>
      </c>
      <c r="J363" s="2936">
        <v>362</v>
      </c>
    </row>
    <row r="364" spans="1:10" s="2754" customFormat="1">
      <c r="A364" s="2952" t="s">
        <v>2112</v>
      </c>
      <c r="B364" s="2753" t="s">
        <v>1499</v>
      </c>
      <c r="C364" s="2759" t="s">
        <v>2149</v>
      </c>
      <c r="D364" s="2753" t="s">
        <v>4942</v>
      </c>
      <c r="E364" s="2861" t="s">
        <v>4171</v>
      </c>
      <c r="F364" s="2861" t="s">
        <v>2844</v>
      </c>
      <c r="G364" s="2862" t="s">
        <v>3531</v>
      </c>
      <c r="H364" s="2933" t="str">
        <f>HLOOKUP(Non_UN,'Other Translations'!$A:$L,1+translations!J364,)</f>
        <v>Inputs &amp; Infrastruktur</v>
      </c>
      <c r="J364" s="2936">
        <v>363</v>
      </c>
    </row>
    <row r="365" spans="1:10" s="2754" customFormat="1">
      <c r="A365" s="2952" t="s">
        <v>2112</v>
      </c>
      <c r="B365" s="2759" t="s">
        <v>531</v>
      </c>
      <c r="C365" s="2759" t="s">
        <v>531</v>
      </c>
      <c r="D365" s="2753" t="s">
        <v>531</v>
      </c>
      <c r="E365" s="2861" t="s">
        <v>4172</v>
      </c>
      <c r="F365" s="2861" t="s">
        <v>2845</v>
      </c>
      <c r="G365" s="2862" t="s">
        <v>3532</v>
      </c>
      <c r="H365" s="2933" t="str">
        <f>HLOOKUP(Non_UN,'Other Translations'!$A:$L,1+translations!J365,)</f>
        <v>Gesamt</v>
      </c>
      <c r="J365" s="2936">
        <v>364</v>
      </c>
    </row>
    <row r="366" spans="1:10" s="2754" customFormat="1">
      <c r="A366" s="2952" t="s">
        <v>2112</v>
      </c>
      <c r="B366" s="2759" t="s">
        <v>1502</v>
      </c>
      <c r="C366" s="2759" t="s">
        <v>2150</v>
      </c>
      <c r="D366" s="2753" t="s">
        <v>4943</v>
      </c>
      <c r="E366" s="2861" t="s">
        <v>4173</v>
      </c>
      <c r="F366" s="2861" t="s">
        <v>2846</v>
      </c>
      <c r="G366" s="2862" t="s">
        <v>3533</v>
      </c>
      <c r="H366" s="2933" t="str">
        <f>HLOOKUP(Non_UN,'Other Translations'!$A:$L,1+translations!J366,)</f>
        <v>Pro Hektar</v>
      </c>
      <c r="J366" s="2936">
        <v>365</v>
      </c>
    </row>
    <row r="367" spans="1:10" s="2754" customFormat="1">
      <c r="A367" s="2952" t="s">
        <v>2112</v>
      </c>
      <c r="B367" s="2759" t="s">
        <v>1507</v>
      </c>
      <c r="C367" s="2759" t="s">
        <v>2151</v>
      </c>
      <c r="D367" s="2753" t="s">
        <v>4944</v>
      </c>
      <c r="E367" s="2861" t="s">
        <v>4174</v>
      </c>
      <c r="F367" s="2861" t="s">
        <v>2847</v>
      </c>
      <c r="G367" s="2862" t="s">
        <v>3534</v>
      </c>
      <c r="H367" s="2933" t="str">
        <f>HLOOKUP(Non_UN,'Other Translations'!$A:$L,1+translations!J367,)</f>
        <v>Pro Hektar pro Jahr</v>
      </c>
      <c r="J367" s="2936">
        <v>366</v>
      </c>
    </row>
    <row r="368" spans="1:10" s="2754" customFormat="1">
      <c r="A368" s="2952" t="s">
        <v>2112</v>
      </c>
      <c r="B368" s="2759" t="s">
        <v>1508</v>
      </c>
      <c r="C368" s="2759" t="s">
        <v>2152</v>
      </c>
      <c r="D368" s="2753" t="s">
        <v>4945</v>
      </c>
      <c r="E368" s="2861" t="s">
        <v>4175</v>
      </c>
      <c r="F368" s="2861" t="s">
        <v>2848</v>
      </c>
      <c r="G368" s="2862" t="s">
        <v>3535</v>
      </c>
      <c r="H368" s="2933" t="str">
        <f>HLOOKUP(Non_UN,'Other Translations'!$A:$L,1+translations!J368,)</f>
        <v>CO2-Biomasse</v>
      </c>
      <c r="J368" s="2936">
        <v>367</v>
      </c>
    </row>
    <row r="369" spans="1:10" s="2754" customFormat="1">
      <c r="A369" s="2952" t="s">
        <v>2112</v>
      </c>
      <c r="B369" s="2759" t="s">
        <v>1509</v>
      </c>
      <c r="C369" s="2759" t="s">
        <v>2153</v>
      </c>
      <c r="D369" s="2753" t="s">
        <v>4946</v>
      </c>
      <c r="E369" s="2861" t="s">
        <v>4176</v>
      </c>
      <c r="F369" s="2861" t="s">
        <v>2849</v>
      </c>
      <c r="G369" s="2862" t="s">
        <v>3536</v>
      </c>
      <c r="H369" s="2933" t="str">
        <f>HLOOKUP(Non_UN,'Other Translations'!$A:$L,1+translations!J369,)</f>
        <v>CO2-Boden</v>
      </c>
      <c r="J369" s="2936">
        <v>368</v>
      </c>
    </row>
    <row r="370" spans="1:10" s="2754" customFormat="1">
      <c r="A370" s="2952" t="s">
        <v>2112</v>
      </c>
      <c r="B370" s="2759" t="s">
        <v>1510</v>
      </c>
      <c r="C370" s="2759" t="s">
        <v>2154</v>
      </c>
      <c r="D370" s="2753" t="s">
        <v>4947</v>
      </c>
      <c r="E370" s="2861" t="s">
        <v>4177</v>
      </c>
      <c r="F370" s="2861" t="s">
        <v>2850</v>
      </c>
      <c r="G370" s="2862" t="s">
        <v>3537</v>
      </c>
      <c r="H370" s="2933" t="str">
        <f>HLOOKUP(Non_UN,'Other Translations'!$A:$L,1+translations!J370,)</f>
        <v>CO2-Andere</v>
      </c>
      <c r="J370" s="2936">
        <v>369</v>
      </c>
    </row>
    <row r="371" spans="1:10" s="2754" customFormat="1">
      <c r="A371" s="2952" t="s">
        <v>2112</v>
      </c>
      <c r="B371" s="2753" t="s">
        <v>2155</v>
      </c>
      <c r="C371" s="2759" t="s">
        <v>2156</v>
      </c>
      <c r="D371" s="2753" t="s">
        <v>5228</v>
      </c>
      <c r="E371" s="2861" t="s">
        <v>4178</v>
      </c>
      <c r="F371" s="2861" t="s">
        <v>3185</v>
      </c>
      <c r="G371" s="2862" t="s">
        <v>3538</v>
      </c>
      <c r="H371" s="2933" t="str">
        <f>HLOOKUP(Non_UN,'Other Translations'!$A:$L,1+translations!J371,)</f>
        <v>Analyse einer einfachen Wertschöpfungskette</v>
      </c>
      <c r="J371" s="2936">
        <v>370</v>
      </c>
    </row>
    <row r="372" spans="1:10" s="2754" customFormat="1">
      <c r="A372" s="2952" t="s">
        <v>2112</v>
      </c>
      <c r="B372" s="2759" t="s">
        <v>2159</v>
      </c>
      <c r="C372" s="2759" t="s">
        <v>2158</v>
      </c>
      <c r="D372" s="2753" t="s">
        <v>4948</v>
      </c>
      <c r="E372" s="2861" t="s">
        <v>4179</v>
      </c>
      <c r="F372" s="2861" t="s">
        <v>2851</v>
      </c>
      <c r="G372" s="2862" t="s">
        <v>3539</v>
      </c>
      <c r="H372" s="2933" t="str">
        <f>HLOOKUP(Non_UN,'Other Translations'!$A:$L,1+translations!J372,)</f>
        <v>Emissionsflüsse per Projektkomponente</v>
      </c>
      <c r="J372" s="2936">
        <v>371</v>
      </c>
    </row>
    <row r="373" spans="1:10" s="2754" customFormat="1">
      <c r="A373" s="2952" t="s">
        <v>2112</v>
      </c>
      <c r="B373" s="2759" t="s">
        <v>2160</v>
      </c>
      <c r="C373" s="2759" t="s">
        <v>2161</v>
      </c>
      <c r="D373" s="2753" t="s">
        <v>4949</v>
      </c>
      <c r="E373" s="2861" t="s">
        <v>4180</v>
      </c>
      <c r="F373" s="2861" t="s">
        <v>2852</v>
      </c>
      <c r="G373" s="2862" t="s">
        <v>3540</v>
      </c>
      <c r="H373" s="2933" t="str">
        <f>HLOOKUP(Non_UN,'Other Translations'!$A:$L,1+translations!J373,)</f>
        <v>Emissionsbilanz per Projektkomponente</v>
      </c>
      <c r="J373" s="2936">
        <v>372</v>
      </c>
    </row>
    <row r="374" spans="1:10" s="2754" customFormat="1">
      <c r="A374" s="2952" t="s">
        <v>2112</v>
      </c>
      <c r="B374" s="2753" t="s">
        <v>1511</v>
      </c>
      <c r="C374" s="2759" t="s">
        <v>2163</v>
      </c>
      <c r="D374" s="2753" t="s">
        <v>4950</v>
      </c>
      <c r="E374" s="2861" t="s">
        <v>4181</v>
      </c>
      <c r="F374" s="2861" t="s">
        <v>2853</v>
      </c>
      <c r="G374" s="2862" t="s">
        <v>3541</v>
      </c>
      <c r="H374" s="2933" t="str">
        <f>HLOOKUP(Non_UN,'Other Translations'!$A:$L,1+translations!J374,)</f>
        <v>Gesamtergebnisse: "Ohne Projekt", "Mit Projekt", sowie Projektbilanz</v>
      </c>
      <c r="J374" s="2936">
        <v>373</v>
      </c>
    </row>
    <row r="375" spans="1:10" s="2754" customFormat="1" ht="26.4">
      <c r="A375" s="2952" t="s">
        <v>2112</v>
      </c>
      <c r="B375" s="2753" t="s">
        <v>2162</v>
      </c>
      <c r="C375" s="2759" t="s">
        <v>2164</v>
      </c>
      <c r="D375" s="2753" t="s">
        <v>4951</v>
      </c>
      <c r="E375" s="2861" t="s">
        <v>4182</v>
      </c>
      <c r="F375" s="2861" t="s">
        <v>3186</v>
      </c>
      <c r="G375" s="2862" t="s">
        <v>3542</v>
      </c>
      <c r="H375" s="2933" t="str">
        <f>HLOOKUP(Non_UN,'Other Translations'!$A:$L,1+translations!J375,)</f>
        <v>Anteil jedes GHG an der Emissionsbilanz (sowie CO2 Quelle)</v>
      </c>
      <c r="J375" s="2936">
        <v>374</v>
      </c>
    </row>
    <row r="376" spans="1:10" s="2754" customFormat="1" ht="26.4">
      <c r="A376" s="2952" t="s">
        <v>2112</v>
      </c>
      <c r="B376" s="2753" t="s">
        <v>5575</v>
      </c>
      <c r="C376" s="2759" t="s">
        <v>5576</v>
      </c>
      <c r="D376" s="2753" t="s">
        <v>5577</v>
      </c>
      <c r="E376" s="2861" t="s">
        <v>4183</v>
      </c>
      <c r="F376" s="2861" t="s">
        <v>2854</v>
      </c>
      <c r="G376" s="2862" t="s">
        <v>3543</v>
      </c>
      <c r="H376" s="2933" t="str">
        <f>HLOOKUP(Non_UN,'Other Translations'!$A:$L,1+translations!J376,)</f>
        <v>Landnutzungsevolution (Hektar - ha)</v>
      </c>
      <c r="J376" s="2936">
        <v>375</v>
      </c>
    </row>
    <row r="377" spans="1:10" s="2754" customFormat="1">
      <c r="A377" s="2952" t="s">
        <v>2112</v>
      </c>
      <c r="B377" s="2753" t="s">
        <v>1114</v>
      </c>
      <c r="C377" s="2759" t="s">
        <v>2166</v>
      </c>
      <c r="D377" s="2753" t="s">
        <v>4952</v>
      </c>
      <c r="E377" s="2861" t="s">
        <v>4184</v>
      </c>
      <c r="F377" s="2861" t="s">
        <v>3187</v>
      </c>
      <c r="G377" s="2862" t="s">
        <v>3544</v>
      </c>
      <c r="H377" s="2933" t="str">
        <f>HLOOKUP(Non_UN,'Other Translations'!$A:$L,1+translations!J377,)</f>
        <v>Wald/Baumplantagen</v>
      </c>
      <c r="J377" s="2936">
        <v>376</v>
      </c>
    </row>
    <row r="378" spans="1:10" s="2754" customFormat="1">
      <c r="A378" s="2952" t="s">
        <v>2112</v>
      </c>
      <c r="B378" s="2759" t="s">
        <v>2165</v>
      </c>
      <c r="C378" s="2759" t="s">
        <v>2167</v>
      </c>
      <c r="D378" s="2753" t="s">
        <v>4953</v>
      </c>
      <c r="E378" s="2861" t="s">
        <v>4185</v>
      </c>
      <c r="F378" s="2861" t="s">
        <v>2855</v>
      </c>
      <c r="G378" s="2862" t="s">
        <v>3545</v>
      </c>
      <c r="H378" s="2933" t="str">
        <f>HLOOKUP(Non_UN,'Other Translations'!$A:$L,1+translations!J378,)</f>
        <v>Andere Landnutzung</v>
      </c>
      <c r="J378" s="2936">
        <v>377</v>
      </c>
    </row>
    <row r="379" spans="1:10" s="2754" customFormat="1">
      <c r="A379" s="2952" t="s">
        <v>2112</v>
      </c>
      <c r="B379" s="2759" t="s">
        <v>1207</v>
      </c>
      <c r="C379" s="2759" t="s">
        <v>2168</v>
      </c>
      <c r="D379" s="2753" t="s">
        <v>4954</v>
      </c>
      <c r="E379" s="2861" t="s">
        <v>4186</v>
      </c>
      <c r="F379" s="2861" t="s">
        <v>2856</v>
      </c>
      <c r="G379" s="2862" t="s">
        <v>3546</v>
      </c>
      <c r="H379" s="2933" t="str">
        <f>HLOOKUP(Non_UN,'Other Translations'!$A:$L,1+translations!J379,)</f>
        <v>Degradiert</v>
      </c>
      <c r="J379" s="2936">
        <v>378</v>
      </c>
    </row>
    <row r="380" spans="1:10" s="2754" customFormat="1">
      <c r="A380" s="2952" t="s">
        <v>2112</v>
      </c>
      <c r="B380" s="2759" t="s">
        <v>393</v>
      </c>
      <c r="C380" s="2759" t="s">
        <v>2139</v>
      </c>
      <c r="D380" s="2753" t="s">
        <v>4834</v>
      </c>
      <c r="E380" s="2861" t="s">
        <v>4045</v>
      </c>
      <c r="F380" s="2861" t="s">
        <v>2834</v>
      </c>
      <c r="G380" s="2862" t="s">
        <v>3406</v>
      </c>
      <c r="H380" s="2933" t="str">
        <f>HLOOKUP(Non_UN,'Other Translations'!$A:$L,1+translations!J380,)</f>
        <v>Andere</v>
      </c>
      <c r="J380" s="2936">
        <v>379</v>
      </c>
    </row>
    <row r="381" spans="1:10" s="2754" customFormat="1">
      <c r="A381" s="2952" t="s">
        <v>2112</v>
      </c>
      <c r="B381" s="2759" t="s">
        <v>2170</v>
      </c>
      <c r="C381" s="2759" t="s">
        <v>2169</v>
      </c>
      <c r="D381" s="2753" t="s">
        <v>4955</v>
      </c>
      <c r="E381" s="2861" t="s">
        <v>4187</v>
      </c>
      <c r="F381" s="2861" t="s">
        <v>2857</v>
      </c>
      <c r="G381" s="2862" t="s">
        <v>3547</v>
      </c>
      <c r="H381" s="2933" t="str">
        <f>HLOOKUP(Non_UN,'Other Translations'!$A:$L,1+translations!J381,)</f>
        <v>Feuchtgebiete</v>
      </c>
      <c r="J381" s="2936">
        <v>380</v>
      </c>
    </row>
    <row r="382" spans="1:10" s="2754" customFormat="1">
      <c r="A382" s="2952" t="s">
        <v>2112</v>
      </c>
      <c r="B382" s="2759" t="s">
        <v>1521</v>
      </c>
      <c r="C382" s="2759" t="s">
        <v>2171</v>
      </c>
      <c r="D382" s="2753" t="s">
        <v>4956</v>
      </c>
      <c r="E382" s="2861" t="s">
        <v>4188</v>
      </c>
      <c r="F382" s="2861" t="s">
        <v>2858</v>
      </c>
      <c r="G382" s="2862" t="s">
        <v>3548</v>
      </c>
      <c r="H382" s="2933" t="str">
        <f>HLOOKUP(Non_UN,'Other Translations'!$A:$L,1+translations!J382,)</f>
        <v>Uncertainty Level</v>
      </c>
      <c r="J382" s="2936">
        <v>381</v>
      </c>
    </row>
    <row r="383" spans="1:10" s="2754" customFormat="1">
      <c r="A383" s="2952" t="s">
        <v>2112</v>
      </c>
      <c r="B383" s="2753" t="s">
        <v>1522</v>
      </c>
      <c r="C383" s="2759" t="s">
        <v>2172</v>
      </c>
      <c r="D383" s="2753" t="s">
        <v>4957</v>
      </c>
      <c r="E383" s="2861" t="s">
        <v>4189</v>
      </c>
      <c r="F383" s="2861" t="s">
        <v>2859</v>
      </c>
      <c r="G383" s="2862" t="s">
        <v>3549</v>
      </c>
      <c r="H383" s="2933" t="str">
        <f>HLOOKUP(Non_UN,'Other Translations'!$A:$L,1+translations!J383,)</f>
        <v>Netto Bilanz</v>
      </c>
      <c r="J383" s="2936">
        <v>382</v>
      </c>
    </row>
    <row r="384" spans="1:10" s="2754" customFormat="1">
      <c r="A384" s="2952" t="s">
        <v>2112</v>
      </c>
      <c r="B384" s="2753" t="s">
        <v>1524</v>
      </c>
      <c r="C384" s="2759" t="s">
        <v>2174</v>
      </c>
      <c r="D384" s="2753" t="s">
        <v>4958</v>
      </c>
      <c r="E384" s="2861" t="s">
        <v>4190</v>
      </c>
      <c r="F384" s="2861" t="s">
        <v>2860</v>
      </c>
      <c r="G384" s="2862" t="s">
        <v>3550</v>
      </c>
      <c r="H384" s="2933" t="str">
        <f>HLOOKUP(Non_UN,'Other Translations'!$A:$L,1+translations!J384,)</f>
        <v>Gesamt-Uncertainty</v>
      </c>
      <c r="J384" s="2936">
        <v>383</v>
      </c>
    </row>
    <row r="385" spans="1:10" s="2754" customFormat="1">
      <c r="A385" s="2952" t="s">
        <v>2112</v>
      </c>
      <c r="B385" s="2753" t="s">
        <v>1523</v>
      </c>
      <c r="C385" s="2759" t="s">
        <v>2173</v>
      </c>
      <c r="D385" s="2753" t="s">
        <v>4959</v>
      </c>
      <c r="E385" s="2861" t="s">
        <v>4191</v>
      </c>
      <c r="F385" s="2861" t="s">
        <v>2861</v>
      </c>
      <c r="G385" s="2862" t="s">
        <v>3551</v>
      </c>
      <c r="H385" s="2933" t="str">
        <f>HLOOKUP(Non_UN,'Other Translations'!$A:$L,1+translations!J385,)</f>
        <v>% der Gesamt-Uncertainty</v>
      </c>
      <c r="J385" s="2936">
        <v>384</v>
      </c>
    </row>
    <row r="386" spans="1:10" s="2754" customFormat="1">
      <c r="A386" s="2952" t="s">
        <v>2112</v>
      </c>
      <c r="B386" s="2753" t="s">
        <v>2175</v>
      </c>
      <c r="C386" s="2753" t="s">
        <v>2176</v>
      </c>
      <c r="D386" s="2753" t="s">
        <v>4960</v>
      </c>
      <c r="E386" s="2861" t="s">
        <v>4192</v>
      </c>
      <c r="F386" s="2861" t="s">
        <v>2862</v>
      </c>
      <c r="G386" s="2862" t="s">
        <v>3552</v>
      </c>
      <c r="H386" s="2933" t="str">
        <f>HLOOKUP(Non_UN,'Other Translations'!$A:$L,1+translations!J386,)</f>
        <v>Detaillierte Landnutzungs-Matrix</v>
      </c>
      <c r="J386" s="2936">
        <v>385</v>
      </c>
    </row>
    <row r="387" spans="1:10" s="2754" customFormat="1" ht="26.4">
      <c r="A387" s="2952" t="s">
        <v>2112</v>
      </c>
      <c r="B387" s="2753" t="s">
        <v>2177</v>
      </c>
      <c r="C387" s="2759" t="s">
        <v>2178</v>
      </c>
      <c r="D387" s="2753" t="s">
        <v>4961</v>
      </c>
      <c r="E387" s="2861" t="s">
        <v>4193</v>
      </c>
      <c r="F387" s="2861" t="s">
        <v>2863</v>
      </c>
      <c r="G387" s="2862" t="s">
        <v>3553</v>
      </c>
      <c r="H387" s="2933" t="str">
        <f>HLOOKUP(Non_UN,'Other Translations'!$A:$L,1+translations!J387,)</f>
        <v>Die Gesamtfläche aller Scenarios muss einander entsprächen: Bitte überprüfen Sie die einzelnen Projektkomponenten</v>
      </c>
      <c r="J387" s="2936">
        <v>386</v>
      </c>
    </row>
    <row r="388" spans="1:10" s="2754" customFormat="1">
      <c r="A388" s="2952" t="s">
        <v>2112</v>
      </c>
      <c r="B388" s="2759" t="s">
        <v>2179</v>
      </c>
      <c r="C388" s="2759" t="s">
        <v>2180</v>
      </c>
      <c r="D388" s="2753" t="s">
        <v>4962</v>
      </c>
      <c r="E388" s="2861" t="s">
        <v>4194</v>
      </c>
      <c r="F388" s="2861" t="s">
        <v>2864</v>
      </c>
      <c r="G388" s="2862" t="s">
        <v>3554</v>
      </c>
      <c r="H388" s="2933" t="str">
        <f>HLOOKUP(Non_UN,'Other Translations'!$A:$L,1+translations!J388,)</f>
        <v>Weitere Indikatoren</v>
      </c>
      <c r="J388" s="2936">
        <v>387</v>
      </c>
    </row>
    <row r="389" spans="1:10" s="2754" customFormat="1">
      <c r="A389" s="2952" t="s">
        <v>2112</v>
      </c>
      <c r="B389" s="2753" t="s">
        <v>1592</v>
      </c>
      <c r="C389" s="2759" t="s">
        <v>2185</v>
      </c>
      <c r="D389" s="2753" t="s">
        <v>4963</v>
      </c>
      <c r="E389" s="2861" t="s">
        <v>4195</v>
      </c>
      <c r="F389" s="2861" t="s">
        <v>2865</v>
      </c>
      <c r="G389" s="2862" t="s">
        <v>3555</v>
      </c>
      <c r="H389" s="2933" t="str">
        <f>HLOOKUP(Non_UN,'Other Translations'!$A:$L,1+translations!J389,)</f>
        <v>Bewässertes Anbaugebiet</v>
      </c>
      <c r="J389" s="2936">
        <v>388</v>
      </c>
    </row>
    <row r="390" spans="1:10" s="2754" customFormat="1">
      <c r="A390" s="2952" t="s">
        <v>2112</v>
      </c>
      <c r="B390" s="2759" t="s">
        <v>2181</v>
      </c>
      <c r="C390" s="2759" t="s">
        <v>2182</v>
      </c>
      <c r="D390" s="2753" t="s">
        <v>4964</v>
      </c>
      <c r="E390" s="2861" t="s">
        <v>4196</v>
      </c>
      <c r="F390" s="2861" t="s">
        <v>2866</v>
      </c>
      <c r="G390" s="2862" t="s">
        <v>3556</v>
      </c>
      <c r="H390" s="2933" t="str">
        <f>HLOOKUP(Non_UN,'Other Translations'!$A:$L,1+translations!J390,)</f>
        <v>Nassreis</v>
      </c>
      <c r="J390" s="2936">
        <v>389</v>
      </c>
    </row>
    <row r="391" spans="1:10" s="2754" customFormat="1">
      <c r="A391" s="2952" t="s">
        <v>2112</v>
      </c>
      <c r="B391" s="2759" t="s">
        <v>2183</v>
      </c>
      <c r="C391" s="2759" t="s">
        <v>2184</v>
      </c>
      <c r="D391" s="2753" t="s">
        <v>4935</v>
      </c>
      <c r="E391" s="2861" t="s">
        <v>4197</v>
      </c>
      <c r="F391" s="2861" t="s">
        <v>2867</v>
      </c>
      <c r="G391" s="2862" t="s">
        <v>3557</v>
      </c>
      <c r="H391" s="2933" t="str">
        <f>HLOOKUP(Non_UN,'Other Translations'!$A:$L,1+translations!J391,)</f>
        <v>Einjährige Kulturpflanzen</v>
      </c>
      <c r="J391" s="2936">
        <v>390</v>
      </c>
    </row>
    <row r="392" spans="1:10" s="2754" customFormat="1" ht="14.4">
      <c r="A392" s="2952" t="s">
        <v>2112</v>
      </c>
      <c r="B392" s="2753" t="s">
        <v>1600</v>
      </c>
      <c r="C392" s="2759" t="s">
        <v>2186</v>
      </c>
      <c r="D392" s="2753" t="s">
        <v>4965</v>
      </c>
      <c r="E392" s="2861" t="s">
        <v>4198</v>
      </c>
      <c r="F392" s="2859" t="s">
        <v>3188</v>
      </c>
      <c r="G392" s="2862" t="s">
        <v>3558</v>
      </c>
      <c r="H392" s="2933" t="str">
        <f>HLOOKUP(Non_UN,'Other Translations'!$A:$L,1+translations!J392,)</f>
        <v>Gesamtgebiete: Feuernutzung</v>
      </c>
      <c r="J392" s="2936">
        <v>391</v>
      </c>
    </row>
    <row r="393" spans="1:10" s="2754" customFormat="1">
      <c r="A393" s="2952" t="s">
        <v>2112</v>
      </c>
      <c r="B393" s="2753" t="s">
        <v>1593</v>
      </c>
      <c r="C393" s="2759" t="s">
        <v>2187</v>
      </c>
      <c r="D393" s="2753" t="s">
        <v>4966</v>
      </c>
      <c r="E393" s="2861" t="s">
        <v>4199</v>
      </c>
      <c r="F393" s="2861" t="s">
        <v>2868</v>
      </c>
      <c r="G393" s="2862" t="s">
        <v>3559</v>
      </c>
      <c r="H393" s="2933" t="str">
        <f>HLOOKUP(Non_UN,'Other Translations'!$A:$L,1+translations!J393,)</f>
        <v>Aufgrund von Abholzung</v>
      </c>
      <c r="J393" s="2936">
        <v>392</v>
      </c>
    </row>
    <row r="394" spans="1:10" s="2754" customFormat="1">
      <c r="A394" s="2952" t="s">
        <v>2112</v>
      </c>
      <c r="B394" s="2753" t="s">
        <v>1594</v>
      </c>
      <c r="C394" s="2759" t="s">
        <v>2188</v>
      </c>
      <c r="D394" s="2753" t="s">
        <v>4967</v>
      </c>
      <c r="E394" s="2861" t="s">
        <v>4200</v>
      </c>
      <c r="F394" s="2861" t="s">
        <v>2869</v>
      </c>
      <c r="G394" s="2862" t="s">
        <v>3560</v>
      </c>
      <c r="H394" s="2933" t="str">
        <f>HLOOKUP(Non_UN,'Other Translations'!$A:$L,1+translations!J394,)</f>
        <v>Als Teil von Landdegradierung</v>
      </c>
      <c r="J394" s="2936">
        <v>393</v>
      </c>
    </row>
    <row r="395" spans="1:10" s="2754" customFormat="1">
      <c r="A395" s="2952" t="s">
        <v>2112</v>
      </c>
      <c r="B395" s="2753" t="s">
        <v>2157</v>
      </c>
      <c r="C395" s="2759" t="s">
        <v>2189</v>
      </c>
      <c r="D395" s="2753" t="s">
        <v>4968</v>
      </c>
      <c r="E395" s="2861" t="s">
        <v>4201</v>
      </c>
      <c r="F395" s="2861" t="s">
        <v>2870</v>
      </c>
      <c r="G395" s="2862" t="s">
        <v>3561</v>
      </c>
      <c r="H395" s="2933" t="str">
        <f>HLOOKUP(Non_UN,'Other Translations'!$A:$L,1+translations!J395,)</f>
        <v>Zurück zu "Gesamtergebnisse"</v>
      </c>
      <c r="J395" s="2936">
        <v>394</v>
      </c>
    </row>
    <row r="396" spans="1:10" s="2754" customFormat="1">
      <c r="A396" s="2952" t="s">
        <v>2112</v>
      </c>
      <c r="B396" s="2753" t="s">
        <v>1515</v>
      </c>
      <c r="C396" s="2759" t="s">
        <v>1515</v>
      </c>
      <c r="D396" s="2753" t="s">
        <v>4969</v>
      </c>
      <c r="E396" s="2861" t="s">
        <v>4202</v>
      </c>
      <c r="F396" s="2861" t="s">
        <v>2871</v>
      </c>
      <c r="G396" s="2862" t="s">
        <v>3562</v>
      </c>
      <c r="H396" s="2933" t="str">
        <f>HLOOKUP(Non_UN,'Other Translations'!$A:$L,1+translations!J396,)</f>
        <v xml:space="preserve">Produktion  </v>
      </c>
      <c r="J396" s="2936">
        <v>395</v>
      </c>
    </row>
    <row r="397" spans="1:10" s="2754" customFormat="1">
      <c r="A397" s="2952" t="s">
        <v>2112</v>
      </c>
      <c r="B397" s="2753" t="s">
        <v>1516</v>
      </c>
      <c r="C397" s="2759" t="s">
        <v>2190</v>
      </c>
      <c r="D397" s="2753" t="s">
        <v>4970</v>
      </c>
      <c r="E397" s="2861" t="s">
        <v>4203</v>
      </c>
      <c r="F397" s="2861" t="s">
        <v>2872</v>
      </c>
      <c r="G397" s="2862" t="s">
        <v>3563</v>
      </c>
      <c r="H397" s="2933" t="str">
        <f>HLOOKUP(Non_UN,'Other Translations'!$A:$L,1+translations!J397,)</f>
        <v>t Produkt</v>
      </c>
      <c r="J397" s="2936">
        <v>396</v>
      </c>
    </row>
    <row r="398" spans="1:10" s="2754" customFormat="1">
      <c r="A398" s="2952" t="s">
        <v>2112</v>
      </c>
      <c r="B398" s="2753" t="s">
        <v>2192</v>
      </c>
      <c r="C398" s="2753" t="s">
        <v>2193</v>
      </c>
      <c r="D398" s="2753" t="s">
        <v>4971</v>
      </c>
      <c r="E398" s="2861" t="s">
        <v>4204</v>
      </c>
      <c r="F398" s="2861" t="s">
        <v>3189</v>
      </c>
      <c r="G398" s="2862" t="s">
        <v>3564</v>
      </c>
      <c r="H398" s="2933" t="str">
        <f>HLOOKUP(Non_UN,'Other Translations'!$A:$L,1+translations!J398,)</f>
        <v>Brutto-Emissionsintensität</v>
      </c>
      <c r="J398" s="2936">
        <v>397</v>
      </c>
    </row>
    <row r="399" spans="1:10" s="2754" customFormat="1">
      <c r="A399" s="2952" t="s">
        <v>2112</v>
      </c>
      <c r="B399" s="2753" t="s">
        <v>2191</v>
      </c>
      <c r="C399" s="2753" t="s">
        <v>2194</v>
      </c>
      <c r="D399" s="2753" t="s">
        <v>4972</v>
      </c>
      <c r="E399" s="2861" t="s">
        <v>4205</v>
      </c>
      <c r="F399" s="2861" t="s">
        <v>3190</v>
      </c>
      <c r="G399" s="2862" t="s">
        <v>3565</v>
      </c>
      <c r="H399" s="2933" t="str">
        <f>HLOOKUP(Non_UN,'Other Translations'!$A:$L,1+translations!J399,)</f>
        <v>tCO2-eq per t Produkt</v>
      </c>
      <c r="J399" s="2936">
        <v>398</v>
      </c>
    </row>
    <row r="400" spans="1:10" s="2754" customFormat="1">
      <c r="A400" s="2952" t="s">
        <v>2112</v>
      </c>
      <c r="B400" s="2753" t="s">
        <v>1605</v>
      </c>
      <c r="C400" s="2753" t="s">
        <v>2195</v>
      </c>
      <c r="D400" s="2753" t="s">
        <v>4973</v>
      </c>
      <c r="E400" s="2861" t="s">
        <v>4206</v>
      </c>
      <c r="F400" s="2861" t="s">
        <v>2873</v>
      </c>
      <c r="G400" s="2862" t="s">
        <v>3566</v>
      </c>
      <c r="H400" s="2933" t="str">
        <f>HLOOKUP(Non_UN,'Other Translations'!$A:$L,1+translations!J400,)</f>
        <v>Prozentanteil zur menschlichen Nutzung</v>
      </c>
      <c r="J400" s="2936">
        <v>399</v>
      </c>
    </row>
    <row r="401" spans="1:10" s="2754" customFormat="1">
      <c r="A401" s="2952" t="s">
        <v>2112</v>
      </c>
      <c r="B401" s="2753" t="s">
        <v>1610</v>
      </c>
      <c r="C401" s="2753" t="s">
        <v>2196</v>
      </c>
      <c r="D401" s="2753" t="s">
        <v>4974</v>
      </c>
      <c r="E401" s="2861" t="s">
        <v>4207</v>
      </c>
      <c r="F401" s="2861" t="s">
        <v>2874</v>
      </c>
      <c r="G401" s="2862" t="s">
        <v>3567</v>
      </c>
      <c r="H401" s="2933" t="str">
        <f>HLOOKUP(Non_UN,'Other Translations'!$A:$L,1+translations!J401,)</f>
        <v>Entsprechend genutzte Menge</v>
      </c>
      <c r="J401" s="2936">
        <v>400</v>
      </c>
    </row>
    <row r="402" spans="1:10" s="2754" customFormat="1">
      <c r="A402" s="2952" t="s">
        <v>2112</v>
      </c>
      <c r="B402" s="2759" t="s">
        <v>1619</v>
      </c>
      <c r="C402" s="2759" t="s">
        <v>2197</v>
      </c>
      <c r="D402" s="2753" t="s">
        <v>4975</v>
      </c>
      <c r="E402" s="2861" t="s">
        <v>4208</v>
      </c>
      <c r="F402" s="2861" t="s">
        <v>2875</v>
      </c>
      <c r="G402" s="2862" t="s">
        <v>3568</v>
      </c>
      <c r="H402" s="2933" t="str">
        <f>HLOOKUP(Non_UN,'Other Translations'!$A:$L,1+translations!J402,)</f>
        <v>Gesamte Landnutzungsänderung</v>
      </c>
      <c r="J402" s="2936">
        <v>401</v>
      </c>
    </row>
    <row r="403" spans="1:10" s="2754" customFormat="1" ht="39.6">
      <c r="A403" s="2952" t="s">
        <v>2112</v>
      </c>
      <c r="B403" s="2753" t="s">
        <v>2198</v>
      </c>
      <c r="C403" s="2759" t="s">
        <v>2199</v>
      </c>
      <c r="D403" s="2753" t="s">
        <v>4976</v>
      </c>
      <c r="E403" s="2861" t="s">
        <v>4209</v>
      </c>
      <c r="F403" s="2861" t="s">
        <v>3191</v>
      </c>
      <c r="G403" s="2862" t="s">
        <v>3569</v>
      </c>
      <c r="H403" s="2933" t="str">
        <f>HLOOKUP(Non_UN,'Other Translations'!$A:$L,1+translations!J403,)</f>
        <v>Detaillierte Emissionen in t CO2-eq der unterschiedlichen Segmente der Wertschöpfungskette</v>
      </c>
      <c r="J403" s="2936">
        <v>402</v>
      </c>
    </row>
    <row r="404" spans="1:10" s="2754" customFormat="1">
      <c r="A404" s="2952" t="s">
        <v>2112</v>
      </c>
      <c r="B404" s="2753" t="s">
        <v>2200</v>
      </c>
      <c r="C404" s="2759" t="s">
        <v>2201</v>
      </c>
      <c r="D404" s="2753" t="s">
        <v>4977</v>
      </c>
      <c r="E404" s="2861" t="s">
        <v>4210</v>
      </c>
      <c r="F404" s="2861" t="s">
        <v>3192</v>
      </c>
      <c r="G404" s="2862" t="s">
        <v>3570</v>
      </c>
      <c r="H404" s="2933" t="str">
        <f>HLOOKUP(Non_UN,'Other Translations'!$A:$L,1+translations!J404,)</f>
        <v>Emissionen (tCO2/t Produkt)</v>
      </c>
      <c r="J404" s="2936">
        <v>403</v>
      </c>
    </row>
    <row r="405" spans="1:10" s="2754" customFormat="1" ht="39.6">
      <c r="A405" s="2952" t="s">
        <v>2112</v>
      </c>
      <c r="B405" s="2753" t="s">
        <v>1611</v>
      </c>
      <c r="C405" s="2759" t="s">
        <v>2202</v>
      </c>
      <c r="D405" s="2753" t="s">
        <v>4978</v>
      </c>
      <c r="E405" s="2861" t="s">
        <v>4211</v>
      </c>
      <c r="F405" s="2859" t="s">
        <v>2876</v>
      </c>
      <c r="G405" s="2862" t="s">
        <v>3571</v>
      </c>
      <c r="H405" s="2933" t="str">
        <f>HLOOKUP(Non_UN,'Other Translations'!$A:$L,1+translations!J405,)</f>
        <v>Produktionssegment (Emissionenwert kalkuliert als Prozent der genutzten Gesamtmenge)</v>
      </c>
      <c r="J405" s="2936">
        <v>404</v>
      </c>
    </row>
    <row r="406" spans="1:10" s="2754" customFormat="1" ht="39.6">
      <c r="A406" s="2952" t="s">
        <v>2112</v>
      </c>
      <c r="B406" s="2753" t="s">
        <v>1612</v>
      </c>
      <c r="C406" s="2759" t="s">
        <v>2203</v>
      </c>
      <c r="D406" s="2753" t="s">
        <v>4979</v>
      </c>
      <c r="E406" s="2861" t="s">
        <v>4212</v>
      </c>
      <c r="F406" s="2859" t="s">
        <v>2877</v>
      </c>
      <c r="G406" s="2862" t="s">
        <v>3572</v>
      </c>
      <c r="H406" s="2933" t="str">
        <f>HLOOKUP(Non_UN,'Other Translations'!$A:$L,1+translations!J406,)</f>
        <v>Dirkete und indirekte Emissionen (induzierte LUC, Landdegradierung, Inputs &amp; Infrastrukturmassnahmen)</v>
      </c>
      <c r="J406" s="2936">
        <v>405</v>
      </c>
    </row>
    <row r="407" spans="1:10" s="2754" customFormat="1" ht="26.4">
      <c r="A407" s="2952" t="s">
        <v>2112</v>
      </c>
      <c r="B407" s="2759" t="s">
        <v>1613</v>
      </c>
      <c r="C407" s="2759" t="s">
        <v>2204</v>
      </c>
      <c r="D407" s="2753" t="s">
        <v>5229</v>
      </c>
      <c r="E407" s="2861" t="s">
        <v>4213</v>
      </c>
      <c r="F407" s="2859" t="s">
        <v>2878</v>
      </c>
      <c r="G407" s="2862" t="s">
        <v>3573</v>
      </c>
      <c r="H407" s="2933" t="str">
        <f>HLOOKUP(Non_UN,'Other Translations'!$A:$L,1+translations!J407,)</f>
        <v>Verarbeitungssegment (bitte alle relevanten Inputs und Prozesse aufführen)</v>
      </c>
      <c r="J407" s="2936">
        <v>406</v>
      </c>
    </row>
    <row r="408" spans="1:10" s="2754" customFormat="1" ht="14.4">
      <c r="A408" s="2952" t="s">
        <v>2112</v>
      </c>
      <c r="B408" s="2759" t="s">
        <v>2205</v>
      </c>
      <c r="C408" s="2759" t="s">
        <v>2206</v>
      </c>
      <c r="D408" s="2753" t="s">
        <v>4980</v>
      </c>
      <c r="E408" s="2861" t="s">
        <v>4214</v>
      </c>
      <c r="F408" s="2859" t="s">
        <v>2879</v>
      </c>
      <c r="G408" s="2862" t="s">
        <v>3574</v>
      </c>
      <c r="H408" s="2933" t="str">
        <f>HLOOKUP(Non_UN,'Other Translations'!$A:$L,1+translations!J408,)</f>
        <v>Name des Inputs/Prozesses</v>
      </c>
      <c r="J408" s="2936">
        <v>407</v>
      </c>
    </row>
    <row r="409" spans="1:10" s="2754" customFormat="1" ht="14.4">
      <c r="A409" s="2952" t="s">
        <v>2112</v>
      </c>
      <c r="B409" s="2753" t="s">
        <v>1614</v>
      </c>
      <c r="C409" s="2759" t="s">
        <v>2207</v>
      </c>
      <c r="D409" s="2753" t="s">
        <v>4981</v>
      </c>
      <c r="E409" s="2861" t="s">
        <v>4215</v>
      </c>
      <c r="F409" s="2859" t="s">
        <v>2880</v>
      </c>
      <c r="G409" s="2862" t="s">
        <v>3575</v>
      </c>
      <c r="H409" s="2933" t="str">
        <f>HLOOKUP(Non_UN,'Other Translations'!$A:$L,1+translations!J409,)</f>
        <v>Emissionen per input</v>
      </c>
      <c r="J409" s="2936">
        <v>408</v>
      </c>
    </row>
    <row r="410" spans="1:10" s="2754" customFormat="1" ht="14.4">
      <c r="A410" s="2952" t="s">
        <v>2112</v>
      </c>
      <c r="B410" s="2754" t="s">
        <v>1615</v>
      </c>
      <c r="C410" s="2759" t="s">
        <v>2208</v>
      </c>
      <c r="D410" s="2753" t="s">
        <v>4982</v>
      </c>
      <c r="E410" s="2861" t="s">
        <v>4216</v>
      </c>
      <c r="F410" s="2859" t="s">
        <v>3193</v>
      </c>
      <c r="G410" s="2862" t="s">
        <v>3576</v>
      </c>
      <c r="H410" s="2933" t="str">
        <f>HLOOKUP(Non_UN,'Other Translations'!$A:$L,1+translations!J410,)</f>
        <v>Inputmenge per t des Endproduktes</v>
      </c>
      <c r="J410" s="2936">
        <v>409</v>
      </c>
    </row>
    <row r="411" spans="1:10" s="2754" customFormat="1">
      <c r="A411" s="2952" t="s">
        <v>2112</v>
      </c>
      <c r="B411" s="2759" t="s">
        <v>2221</v>
      </c>
      <c r="C411" s="2759" t="s">
        <v>2209</v>
      </c>
      <c r="D411" s="2753" t="s">
        <v>4983</v>
      </c>
      <c r="E411" s="2861" t="s">
        <v>4217</v>
      </c>
      <c r="F411" s="2861" t="s">
        <v>2881</v>
      </c>
      <c r="G411" s="2862" t="s">
        <v>3577</v>
      </c>
      <c r="H411" s="2933" t="str">
        <f>HLOOKUP(Non_UN,'Other Translations'!$A:$L,1+translations!J411,)</f>
        <v>Gesamt: Verarbeitungssegment</v>
      </c>
      <c r="J411" s="2936">
        <v>410</v>
      </c>
    </row>
    <row r="412" spans="1:10" s="2754" customFormat="1" ht="26.4">
      <c r="A412" s="2952" t="s">
        <v>2112</v>
      </c>
      <c r="B412" s="2759" t="s">
        <v>2212</v>
      </c>
      <c r="C412" s="2759" t="s">
        <v>2213</v>
      </c>
      <c r="D412" s="2753" t="s">
        <v>4984</v>
      </c>
      <c r="E412" s="2861" t="s">
        <v>4218</v>
      </c>
      <c r="F412" s="2861" t="s">
        <v>2882</v>
      </c>
      <c r="G412" s="2862" t="s">
        <v>3578</v>
      </c>
      <c r="H412" s="2933" t="str">
        <f>HLOOKUP(Non_UN,'Other Translations'!$A:$L,1+translations!J412,)</f>
        <v>Transportsegment (bitte alle relevanten Inputs und Prozesse aufführen)</v>
      </c>
      <c r="J412" s="2936">
        <v>411</v>
      </c>
    </row>
    <row r="413" spans="1:10" s="2754" customFormat="1">
      <c r="A413" s="2952" t="s">
        <v>2112</v>
      </c>
      <c r="B413" s="2759" t="s">
        <v>2214</v>
      </c>
      <c r="C413" s="2759" t="s">
        <v>2215</v>
      </c>
      <c r="D413" s="2753" t="s">
        <v>4985</v>
      </c>
      <c r="E413" s="2861" t="s">
        <v>4219</v>
      </c>
      <c r="F413" s="2861" t="s">
        <v>2883</v>
      </c>
      <c r="G413" s="2862" t="s">
        <v>3579</v>
      </c>
      <c r="H413" s="2933" t="str">
        <f>HLOOKUP(Non_UN,'Other Translations'!$A:$L,1+translations!J413,)</f>
        <v>Gesamt: Transport</v>
      </c>
      <c r="J413" s="2936">
        <v>412</v>
      </c>
    </row>
    <row r="414" spans="1:10" s="2754" customFormat="1">
      <c r="A414" s="2952" t="s">
        <v>2112</v>
      </c>
      <c r="B414" s="2759" t="s">
        <v>2210</v>
      </c>
      <c r="C414" s="2759" t="s">
        <v>2211</v>
      </c>
      <c r="D414" s="2753" t="s">
        <v>4986</v>
      </c>
      <c r="E414" s="2861" t="s">
        <v>4220</v>
      </c>
      <c r="F414" s="2861" t="s">
        <v>2884</v>
      </c>
      <c r="G414" s="2862" t="s">
        <v>3580</v>
      </c>
      <c r="H414" s="2933" t="str">
        <f>HLOOKUP(Non_UN,'Other Translations'!$A:$L,1+translations!J414,)</f>
        <v>Spezifizieren Sie den Input/Prozesse hier</v>
      </c>
      <c r="J414" s="2936">
        <v>413</v>
      </c>
    </row>
    <row r="415" spans="1:10" s="2754" customFormat="1" ht="26.4">
      <c r="A415" s="2952" t="s">
        <v>2112</v>
      </c>
      <c r="B415" s="2753" t="s">
        <v>1616</v>
      </c>
      <c r="C415" s="2759" t="s">
        <v>2216</v>
      </c>
      <c r="D415" s="2753" t="s">
        <v>4987</v>
      </c>
      <c r="E415" s="2861" t="s">
        <v>4221</v>
      </c>
      <c r="F415" s="2861" t="s">
        <v>3194</v>
      </c>
      <c r="G415" s="2862" t="s">
        <v>3581</v>
      </c>
      <c r="H415" s="2933" t="str">
        <f>HLOOKUP(Non_UN,'Other Translations'!$A:$L,1+translations!J415,)</f>
        <v>Nutzungs- und Gebrauchsegment (bitte alle relevanten Inputs und Prozesse aufführen)</v>
      </c>
      <c r="J415" s="2936">
        <v>414</v>
      </c>
    </row>
    <row r="416" spans="1:10" s="2754" customFormat="1">
      <c r="A416" s="2952" t="s">
        <v>2112</v>
      </c>
      <c r="B416" s="2952" t="s">
        <v>2220</v>
      </c>
      <c r="C416" s="2759" t="s">
        <v>2217</v>
      </c>
      <c r="D416" s="2753" t="s">
        <v>4988</v>
      </c>
      <c r="E416" s="2861" t="s">
        <v>4222</v>
      </c>
      <c r="F416" s="2861" t="s">
        <v>2885</v>
      </c>
      <c r="G416" s="2862" t="s">
        <v>3582</v>
      </c>
      <c r="H416" s="2933" t="str">
        <f>HLOOKUP(Non_UN,'Other Translations'!$A:$L,1+translations!J416,)</f>
        <v xml:space="preserve">Gesamt: Nutzungs- und Gebrauchsegment </v>
      </c>
      <c r="J416" s="2936">
        <v>415</v>
      </c>
    </row>
    <row r="417" spans="1:10" s="2754" customFormat="1" ht="26.4">
      <c r="A417" s="2952" t="s">
        <v>2112</v>
      </c>
      <c r="B417" s="2753" t="s">
        <v>1617</v>
      </c>
      <c r="C417" s="2759" t="s">
        <v>2218</v>
      </c>
      <c r="D417" s="2753" t="s">
        <v>4989</v>
      </c>
      <c r="E417" s="2861" t="s">
        <v>4223</v>
      </c>
      <c r="F417" s="2861" t="s">
        <v>3195</v>
      </c>
      <c r="G417" s="2862" t="s">
        <v>3583</v>
      </c>
      <c r="H417" s="2933" t="str">
        <f>HLOOKUP(Non_UN,'Other Translations'!$A:$L,1+translations!J417,)</f>
        <v>Abfall- und Recyclingsegment (bitte alle relevanten Inputs und Prozesse aufführen)</v>
      </c>
      <c r="J417" s="2936">
        <v>416</v>
      </c>
    </row>
    <row r="418" spans="1:10" s="2754" customFormat="1">
      <c r="A418" s="2952" t="s">
        <v>2112</v>
      </c>
      <c r="B418" s="2759" t="s">
        <v>2219</v>
      </c>
      <c r="C418" s="2759" t="s">
        <v>2222</v>
      </c>
      <c r="D418" s="2753" t="s">
        <v>4990</v>
      </c>
      <c r="E418" s="2861" t="s">
        <v>4224</v>
      </c>
      <c r="F418" s="2861" t="s">
        <v>2886</v>
      </c>
      <c r="G418" s="2862" t="s">
        <v>3584</v>
      </c>
      <c r="H418" s="2933" t="str">
        <f>HLOOKUP(Non_UN,'Other Translations'!$A:$L,1+translations!J418,)</f>
        <v>Gesamt: Abfall- und Recyclingsegment</v>
      </c>
      <c r="J418" s="2936">
        <v>417</v>
      </c>
    </row>
    <row r="419" spans="1:10" s="2754" customFormat="1" ht="26.4">
      <c r="A419" s="2952" t="s">
        <v>2112</v>
      </c>
      <c r="B419" s="2753" t="s">
        <v>2223</v>
      </c>
      <c r="C419" s="2759" t="s">
        <v>2224</v>
      </c>
      <c r="D419" s="2753" t="s">
        <v>4991</v>
      </c>
      <c r="E419" s="2861" t="s">
        <v>4225</v>
      </c>
      <c r="F419" s="2861" t="s">
        <v>3196</v>
      </c>
      <c r="G419" s="2862" t="s">
        <v>3585</v>
      </c>
      <c r="H419" s="2933" t="str">
        <f>HLOOKUP(Non_UN,'Other Translations'!$A:$L,1+translations!J419,)</f>
        <v>Gesamtemissionen in t CO2-eq aller Wertschöpfungssegmente</v>
      </c>
      <c r="J419" s="2936">
        <v>418</v>
      </c>
    </row>
    <row r="420" spans="1:10" s="2754" customFormat="1">
      <c r="A420" s="2952" t="s">
        <v>2112</v>
      </c>
      <c r="B420" s="2753" t="s">
        <v>1618</v>
      </c>
      <c r="C420" s="2759" t="s">
        <v>1618</v>
      </c>
      <c r="D420" s="2753" t="s">
        <v>4992</v>
      </c>
      <c r="E420" s="2861" t="s">
        <v>4226</v>
      </c>
      <c r="F420" s="2861" t="s">
        <v>2887</v>
      </c>
      <c r="G420" s="2862" t="s">
        <v>3586</v>
      </c>
      <c r="H420" s="2933" t="str">
        <f>HLOOKUP(Non_UN,'Other Translations'!$A:$L,1+translations!J420,)</f>
        <v>Produktion</v>
      </c>
      <c r="J420" s="2936">
        <v>419</v>
      </c>
    </row>
    <row r="421" spans="1:10" s="2754" customFormat="1">
      <c r="A421" s="2952" t="s">
        <v>2112</v>
      </c>
      <c r="B421" s="2753" t="s">
        <v>1606</v>
      </c>
      <c r="C421" s="2759" t="s">
        <v>2225</v>
      </c>
      <c r="D421" s="2753" t="s">
        <v>4993</v>
      </c>
      <c r="E421" s="2861" t="s">
        <v>4227</v>
      </c>
      <c r="F421" s="2861" t="s">
        <v>2888</v>
      </c>
      <c r="G421" s="2862" t="s">
        <v>3587</v>
      </c>
      <c r="H421" s="2933" t="str">
        <f>HLOOKUP(Non_UN,'Other Translations'!$A:$L,1+translations!J421,)</f>
        <v>Verarbeitung</v>
      </c>
      <c r="J421" s="2936">
        <v>420</v>
      </c>
    </row>
    <row r="422" spans="1:10" s="2754" customFormat="1">
      <c r="A422" s="2952" t="s">
        <v>2112</v>
      </c>
      <c r="B422" s="2753" t="s">
        <v>1607</v>
      </c>
      <c r="C422" s="2759" t="s">
        <v>1607</v>
      </c>
      <c r="D422" s="2753" t="s">
        <v>4994</v>
      </c>
      <c r="E422" s="2861" t="s">
        <v>4228</v>
      </c>
      <c r="F422" s="2861" t="s">
        <v>2889</v>
      </c>
      <c r="G422" s="2862" t="s">
        <v>3588</v>
      </c>
      <c r="H422" s="2933" t="str">
        <f>HLOOKUP(Non_UN,'Other Translations'!$A:$L,1+translations!J422,)</f>
        <v xml:space="preserve">Transport </v>
      </c>
      <c r="J422" s="2936">
        <v>421</v>
      </c>
    </row>
    <row r="423" spans="1:10" s="2754" customFormat="1">
      <c r="A423" s="2952" t="s">
        <v>2112</v>
      </c>
      <c r="B423" s="2753" t="s">
        <v>1608</v>
      </c>
      <c r="C423" s="2759" t="s">
        <v>2226</v>
      </c>
      <c r="D423" s="2753" t="s">
        <v>4995</v>
      </c>
      <c r="E423" s="2861" t="s">
        <v>4229</v>
      </c>
      <c r="F423" s="2861" t="s">
        <v>2890</v>
      </c>
      <c r="G423" s="2862" t="s">
        <v>3589</v>
      </c>
      <c r="H423" s="2933" t="str">
        <f>HLOOKUP(Non_UN,'Other Translations'!$A:$L,1+translations!J423,)</f>
        <v>Nutzung und Gebrauch</v>
      </c>
      <c r="J423" s="2936">
        <v>422</v>
      </c>
    </row>
    <row r="424" spans="1:10" s="2754" customFormat="1">
      <c r="A424" s="2952" t="s">
        <v>2112</v>
      </c>
      <c r="B424" s="2753" t="s">
        <v>1609</v>
      </c>
      <c r="C424" s="2759" t="s">
        <v>2227</v>
      </c>
      <c r="D424" s="2753" t="s">
        <v>4996</v>
      </c>
      <c r="E424" s="2861" t="s">
        <v>4230</v>
      </c>
      <c r="F424" s="2861" t="s">
        <v>2891</v>
      </c>
      <c r="G424" s="2862" t="s">
        <v>3590</v>
      </c>
      <c r="H424" s="2933" t="str">
        <f>HLOOKUP(Non_UN,'Other Translations'!$A:$L,1+translations!J424,)</f>
        <v>Abfall und Recycling</v>
      </c>
      <c r="J424" s="2936">
        <v>423</v>
      </c>
    </row>
    <row r="425" spans="1:10" s="2754" customFormat="1">
      <c r="A425" s="2952" t="s">
        <v>2112</v>
      </c>
      <c r="B425" s="2753" t="s">
        <v>1620</v>
      </c>
      <c r="C425" s="2759" t="s">
        <v>2228</v>
      </c>
      <c r="D425" s="2753" t="s">
        <v>4997</v>
      </c>
      <c r="E425" s="2861" t="s">
        <v>4231</v>
      </c>
      <c r="F425" s="2861" t="s">
        <v>2892</v>
      </c>
      <c r="G425" s="2862" t="s">
        <v>3591</v>
      </c>
      <c r="H425" s="2933" t="str">
        <f>HLOOKUP(Non_UN,'Other Translations'!$A:$L,1+translations!J425,)</f>
        <v>Landnutzungs-Matrix</v>
      </c>
      <c r="J425" s="2936">
        <v>424</v>
      </c>
    </row>
    <row r="426" spans="1:10" s="2754" customFormat="1">
      <c r="A426" s="2952" t="s">
        <v>2112</v>
      </c>
      <c r="B426" s="2759" t="s">
        <v>1621</v>
      </c>
      <c r="C426" s="2759" t="s">
        <v>2229</v>
      </c>
      <c r="D426" s="2753" t="s">
        <v>4998</v>
      </c>
      <c r="E426" s="2861" t="s">
        <v>4232</v>
      </c>
      <c r="F426" s="2861" t="s">
        <v>2893</v>
      </c>
      <c r="G426" s="2862" t="s">
        <v>3592</v>
      </c>
      <c r="H426" s="2933" t="str">
        <f>HLOOKUP(Non_UN,'Other Translations'!$A:$L,1+translations!J426,)</f>
        <v>Mineralböden (ha)</v>
      </c>
      <c r="J426" s="2936">
        <v>425</v>
      </c>
    </row>
    <row r="427" spans="1:10" s="2754" customFormat="1">
      <c r="A427" s="2952" t="s">
        <v>2112</v>
      </c>
      <c r="B427" s="2759" t="s">
        <v>2230</v>
      </c>
      <c r="C427" s="2759" t="s">
        <v>2231</v>
      </c>
      <c r="D427" s="2753" t="s">
        <v>4999</v>
      </c>
      <c r="E427" s="2861" t="s">
        <v>4233</v>
      </c>
      <c r="F427" s="2861" t="s">
        <v>2894</v>
      </c>
      <c r="G427" s="2862" t="s">
        <v>3593</v>
      </c>
      <c r="H427" s="2933" t="str">
        <f>HLOOKUP(Non_UN,'Other Translations'!$A:$L,1+translations!J427,)</f>
        <v>Organische Böden (ha)</v>
      </c>
      <c r="J427" s="2936">
        <v>426</v>
      </c>
    </row>
    <row r="428" spans="1:10" s="2754" customFormat="1">
      <c r="A428" s="2952" t="s">
        <v>2112</v>
      </c>
      <c r="B428" s="2759" t="s">
        <v>1108</v>
      </c>
      <c r="C428" s="2759" t="s">
        <v>2232</v>
      </c>
      <c r="D428" s="2753" t="s">
        <v>5000</v>
      </c>
      <c r="E428" s="2861" t="s">
        <v>4234</v>
      </c>
      <c r="F428" s="2861" t="s">
        <v>2895</v>
      </c>
      <c r="G428" s="2862" t="s">
        <v>3594</v>
      </c>
      <c r="H428" s="2933" t="str">
        <f>HLOOKUP(Non_UN,'Other Translations'!$A:$L,1+translations!J428,)</f>
        <v>Start</v>
      </c>
      <c r="J428" s="2936">
        <v>427</v>
      </c>
    </row>
    <row r="429" spans="1:10" s="2754" customFormat="1">
      <c r="A429" s="2952" t="s">
        <v>2112</v>
      </c>
      <c r="B429" s="2759" t="s">
        <v>1105</v>
      </c>
      <c r="C429" s="2759" t="s">
        <v>2233</v>
      </c>
      <c r="D429" s="2753" t="s">
        <v>1105</v>
      </c>
      <c r="E429" s="2861" t="s">
        <v>4235</v>
      </c>
      <c r="F429" s="2861" t="s">
        <v>2896</v>
      </c>
      <c r="G429" s="2862" t="s">
        <v>3595</v>
      </c>
      <c r="H429" s="2933" t="str">
        <f>HLOOKUP(Non_UN,'Other Translations'!$A:$L,1+translations!J429,)</f>
        <v>Final</v>
      </c>
      <c r="J429" s="2936">
        <v>428</v>
      </c>
    </row>
    <row r="430" spans="1:10" s="2754" customFormat="1">
      <c r="A430" s="2952" t="s">
        <v>2112</v>
      </c>
      <c r="B430" s="2759" t="s">
        <v>1117</v>
      </c>
      <c r="C430" s="2759" t="s">
        <v>2235</v>
      </c>
      <c r="D430" s="2753" t="s">
        <v>5001</v>
      </c>
      <c r="E430" s="2861" t="s">
        <v>4236</v>
      </c>
      <c r="F430" s="2861" t="s">
        <v>3197</v>
      </c>
      <c r="G430" s="2862" t="s">
        <v>3596</v>
      </c>
      <c r="H430" s="2933" t="str">
        <f>HLOOKUP(Non_UN,'Other Translations'!$A:$L,1+translations!J430,)</f>
        <v>Gesamt: Start</v>
      </c>
      <c r="J430" s="2936">
        <v>429</v>
      </c>
    </row>
    <row r="431" spans="1:10" s="2754" customFormat="1">
      <c r="A431" s="2952" t="s">
        <v>2112</v>
      </c>
      <c r="B431" s="2759" t="s">
        <v>1118</v>
      </c>
      <c r="C431" s="2759" t="s">
        <v>2234</v>
      </c>
      <c r="D431" s="2753" t="s">
        <v>5002</v>
      </c>
      <c r="E431" s="2861" t="s">
        <v>4237</v>
      </c>
      <c r="F431" s="2861" t="s">
        <v>3198</v>
      </c>
      <c r="G431" s="2862" t="s">
        <v>3597</v>
      </c>
      <c r="H431" s="2933" t="str">
        <f>HLOOKUP(Non_UN,'Other Translations'!$A:$L,1+translations!J431,)</f>
        <v>Gesamt: Final</v>
      </c>
      <c r="J431" s="2936">
        <v>430</v>
      </c>
    </row>
    <row r="432" spans="1:10" s="2754" customFormat="1">
      <c r="A432" s="2952" t="s">
        <v>2112</v>
      </c>
      <c r="B432" s="2753" t="s">
        <v>1576</v>
      </c>
      <c r="C432" s="2759" t="s">
        <v>2238</v>
      </c>
      <c r="D432" s="2753" t="s">
        <v>5003</v>
      </c>
      <c r="E432" s="2861" t="s">
        <v>4238</v>
      </c>
      <c r="F432" s="2861" t="s">
        <v>3199</v>
      </c>
      <c r="G432" s="2862" t="s">
        <v>3598</v>
      </c>
      <c r="H432" s="2933" t="str">
        <f>HLOOKUP(Non_UN,'Other Translations'!$A:$L,1+translations!J432,)</f>
        <v>GWP Standard für Berechnungen</v>
      </c>
      <c r="J432" s="2936">
        <v>431</v>
      </c>
    </row>
    <row r="433" spans="1:10" s="2754" customFormat="1">
      <c r="A433" s="2952" t="s">
        <v>2112</v>
      </c>
      <c r="B433" s="2753"/>
      <c r="C433" s="2753"/>
      <c r="D433" s="2753"/>
      <c r="E433" s="2861"/>
      <c r="F433" s="2861"/>
      <c r="G433" s="2862"/>
      <c r="H433" s="2933">
        <f>HLOOKUP(Non_UN,'Other Translations'!$A:$L,1+translations!J433,)</f>
        <v>0</v>
      </c>
      <c r="J433" s="2936">
        <v>432</v>
      </c>
    </row>
    <row r="434" spans="1:10" s="2754" customFormat="1">
      <c r="A434" s="2952" t="s">
        <v>2112</v>
      </c>
      <c r="B434" s="2753"/>
      <c r="C434" s="2753"/>
      <c r="D434" s="2753"/>
      <c r="E434" s="2861"/>
      <c r="F434" s="2861"/>
      <c r="G434" s="2862"/>
      <c r="H434" s="2933">
        <f>HLOOKUP(Non_UN,'Other Translations'!$A:$L,1+translations!J434,)</f>
        <v>0</v>
      </c>
      <c r="J434" s="2936">
        <v>433</v>
      </c>
    </row>
    <row r="435" spans="1:10" s="2754" customFormat="1">
      <c r="A435" s="2952" t="s">
        <v>2112</v>
      </c>
      <c r="B435" s="2753"/>
      <c r="C435" s="2753"/>
      <c r="D435" s="2753"/>
      <c r="E435" s="2861"/>
      <c r="F435" s="2861"/>
      <c r="G435" s="2862"/>
      <c r="H435" s="2933">
        <f>HLOOKUP(Non_UN,'Other Translations'!$A:$L,1+translations!J435,)</f>
        <v>0</v>
      </c>
      <c r="J435" s="2936">
        <v>434</v>
      </c>
    </row>
    <row r="436" spans="1:10" s="2641" customFormat="1">
      <c r="A436" s="2641" t="s">
        <v>1670</v>
      </c>
      <c r="B436" s="2640" t="s">
        <v>1647</v>
      </c>
      <c r="C436" s="2640" t="s">
        <v>1648</v>
      </c>
      <c r="D436" s="2640" t="s">
        <v>1649</v>
      </c>
      <c r="E436" s="2640" t="str">
        <f>E1</f>
        <v>中文</v>
      </c>
      <c r="F436" s="2640" t="str">
        <f>F1</f>
        <v>Русский</v>
      </c>
      <c r="G436" s="2641" t="str">
        <f>G1</f>
        <v>عربي</v>
      </c>
      <c r="H436" s="2641" t="str">
        <f>HLOOKUP(Non_UN,'Other Translations'!$A:$L,1+translations!J436,)</f>
        <v>Deutsch</v>
      </c>
      <c r="J436" s="2936">
        <v>435</v>
      </c>
    </row>
    <row r="437" spans="1:10" s="2933" customFormat="1" ht="52.8">
      <c r="A437" s="2932" t="s">
        <v>2236</v>
      </c>
      <c r="B437" s="2643" t="s">
        <v>1765</v>
      </c>
      <c r="C437" s="2643" t="s">
        <v>2237</v>
      </c>
      <c r="D437" s="2642" t="s">
        <v>5547</v>
      </c>
      <c r="E437" s="2861"/>
      <c r="F437" s="2861" t="s">
        <v>3200</v>
      </c>
      <c r="G437" s="2862"/>
      <c r="H437" s="2933" t="str">
        <f>HLOOKUP(Non_UN,'Other Translations'!$A:$L,1+translations!J437,)</f>
        <v>Übersetzung der Menuleiste: "Start", "Kontext", "Landnutzungsänderung", "Ackerbau", "Weideland/Viehzucht", "Landdegradierung", "Inputs und Investitionen", "Ergebnisse"</v>
      </c>
      <c r="J437" s="2936">
        <v>436</v>
      </c>
    </row>
    <row r="438" spans="1:10" s="2933" customFormat="1">
      <c r="A438" s="2932" t="s">
        <v>2236</v>
      </c>
      <c r="B438" s="2642"/>
      <c r="C438" s="2643"/>
      <c r="D438" s="2642"/>
      <c r="E438" s="2861"/>
      <c r="F438" s="2861"/>
      <c r="G438" s="2862"/>
      <c r="H438" s="2933">
        <f>HLOOKUP(Non_UN,'Other Translations'!$A:$L,1+translations!J438,)</f>
        <v>0</v>
      </c>
      <c r="J438" s="2936">
        <v>437</v>
      </c>
    </row>
    <row r="439" spans="1:10" s="2933" customFormat="1">
      <c r="A439" s="2932" t="s">
        <v>2236</v>
      </c>
      <c r="B439" s="2642"/>
      <c r="C439" s="2642"/>
      <c r="D439" s="2642"/>
      <c r="E439" s="2861"/>
      <c r="F439" s="2861"/>
      <c r="G439" s="2862"/>
      <c r="H439" s="2933">
        <f>HLOOKUP(Non_UN,'Other Translations'!$A:$L,1+translations!J439,)</f>
        <v>0</v>
      </c>
      <c r="J439" s="2936">
        <v>438</v>
      </c>
    </row>
    <row r="440" spans="1:10" s="2933" customFormat="1">
      <c r="A440" s="2932" t="s">
        <v>2236</v>
      </c>
      <c r="B440" s="2642"/>
      <c r="C440" s="2642"/>
      <c r="D440" s="2642"/>
      <c r="E440" s="2861"/>
      <c r="F440" s="2861"/>
      <c r="G440" s="2862"/>
      <c r="H440" s="2933">
        <f>HLOOKUP(Non_UN,'Other Translations'!$A:$L,1+translations!J440,)</f>
        <v>0</v>
      </c>
      <c r="J440" s="2936">
        <v>439</v>
      </c>
    </row>
    <row r="441" spans="1:10" s="2933" customFormat="1">
      <c r="A441" s="2932" t="s">
        <v>2236</v>
      </c>
      <c r="B441" s="2642"/>
      <c r="C441" s="2642"/>
      <c r="D441" s="2642"/>
      <c r="E441" s="2861"/>
      <c r="F441" s="2861"/>
      <c r="G441" s="2862"/>
      <c r="H441" s="2933">
        <f>HLOOKUP(Non_UN,'Other Translations'!$A:$L,1+translations!J441,)</f>
        <v>0</v>
      </c>
      <c r="J441" s="2936">
        <v>440</v>
      </c>
    </row>
    <row r="442" spans="1:10" s="2933" customFormat="1">
      <c r="A442" s="2932" t="s">
        <v>2236</v>
      </c>
      <c r="B442" s="2642"/>
      <c r="C442" s="2642"/>
      <c r="D442" s="2642"/>
      <c r="E442" s="2861"/>
      <c r="F442" s="2861"/>
      <c r="G442" s="2862"/>
      <c r="H442" s="2933">
        <f>HLOOKUP(Non_UN,'Other Translations'!$A:$L,1+translations!J442,)</f>
        <v>0</v>
      </c>
      <c r="J442" s="2936">
        <v>441</v>
      </c>
    </row>
    <row r="443" spans="1:10" s="2933" customFormat="1">
      <c r="A443" s="2932" t="s">
        <v>2236</v>
      </c>
      <c r="B443" s="2642"/>
      <c r="C443" s="2642"/>
      <c r="D443" s="2642"/>
      <c r="E443" s="2861"/>
      <c r="F443" s="2861"/>
      <c r="G443" s="2862"/>
      <c r="H443" s="2933">
        <f>HLOOKUP(Non_UN,'Other Translations'!$A:$L,1+translations!J443,)</f>
        <v>0</v>
      </c>
      <c r="J443" s="2936">
        <v>442</v>
      </c>
    </row>
    <row r="444" spans="1:10" s="2933" customFormat="1">
      <c r="A444" s="2932" t="s">
        <v>2236</v>
      </c>
      <c r="B444" s="2642"/>
      <c r="C444" s="2642"/>
      <c r="D444" s="2642"/>
      <c r="E444" s="2861"/>
      <c r="F444" s="2861"/>
      <c r="G444" s="2862"/>
      <c r="H444" s="2933">
        <f>HLOOKUP(Non_UN,'Other Translations'!$A:$L,1+translations!J444,)</f>
        <v>0</v>
      </c>
      <c r="J444" s="2936">
        <v>443</v>
      </c>
    </row>
    <row r="445" spans="1:10" s="2641" customFormat="1">
      <c r="A445" s="2641" t="s">
        <v>1670</v>
      </c>
      <c r="B445" s="2640" t="s">
        <v>1647</v>
      </c>
      <c r="C445" s="2640" t="s">
        <v>1648</v>
      </c>
      <c r="D445" s="2640" t="s">
        <v>1649</v>
      </c>
      <c r="E445" s="2640" t="str">
        <f>E1</f>
        <v>中文</v>
      </c>
      <c r="F445" s="2640" t="str">
        <f>F1</f>
        <v>Русский</v>
      </c>
      <c r="G445" s="2641" t="str">
        <f>G436</f>
        <v>عربي</v>
      </c>
      <c r="H445" s="2641" t="str">
        <f>H436</f>
        <v>Deutsch</v>
      </c>
      <c r="J445" s="2936">
        <v>444</v>
      </c>
    </row>
    <row r="446" spans="1:10" s="2933" customFormat="1">
      <c r="A446" s="2932" t="s">
        <v>2243</v>
      </c>
      <c r="B446" s="2643" t="s">
        <v>555</v>
      </c>
      <c r="C446" s="2643" t="s">
        <v>2121</v>
      </c>
      <c r="D446" s="2642" t="s">
        <v>4928</v>
      </c>
      <c r="E446" s="2861" t="s">
        <v>4158</v>
      </c>
      <c r="F446" s="2861" t="s">
        <v>2833</v>
      </c>
      <c r="G446" s="2862" t="s">
        <v>3521</v>
      </c>
      <c r="H446" s="2933" t="str">
        <f>HLOOKUP(Non_UN,'Other Translations'!$A:$L,1+translations!J446,)</f>
        <v>Boden</v>
      </c>
      <c r="J446" s="2936">
        <v>445</v>
      </c>
    </row>
    <row r="447" spans="1:10" s="2933" customFormat="1">
      <c r="A447" s="2932" t="s">
        <v>2243</v>
      </c>
      <c r="B447" s="2643" t="s">
        <v>2248</v>
      </c>
      <c r="C447" s="2643" t="s">
        <v>2249</v>
      </c>
      <c r="D447" s="2642" t="s">
        <v>5004</v>
      </c>
      <c r="E447" s="2861" t="s">
        <v>4239</v>
      </c>
      <c r="F447" s="2861" t="s">
        <v>2897</v>
      </c>
      <c r="G447" s="2862" t="s">
        <v>3599</v>
      </c>
      <c r="H447" s="2933" t="str">
        <f>HLOOKUP(Non_UN,'Other Translations'!$A:$L,1+translations!J447,)</f>
        <v>Bodenklassifikation</v>
      </c>
      <c r="J447" s="2936">
        <v>446</v>
      </c>
    </row>
    <row r="448" spans="1:10" s="2933" customFormat="1">
      <c r="A448" s="2932" t="s">
        <v>2243</v>
      </c>
      <c r="B448" s="2643" t="s">
        <v>1070</v>
      </c>
      <c r="C448" s="2643" t="s">
        <v>1070</v>
      </c>
      <c r="D448" s="2642" t="s">
        <v>1070</v>
      </c>
      <c r="E448" s="2861" t="s">
        <v>4240</v>
      </c>
      <c r="F448" s="2861" t="s">
        <v>2898</v>
      </c>
      <c r="G448" s="2862" t="s">
        <v>3600</v>
      </c>
      <c r="H448" s="2933" t="str">
        <f>HLOOKUP(Non_UN,'Other Translations'!$A:$L,1+translations!J448,)</f>
        <v>WRB-2006</v>
      </c>
      <c r="J448" s="2936">
        <v>447</v>
      </c>
    </row>
    <row r="449" spans="1:10" s="2933" customFormat="1">
      <c r="A449" s="2932" t="s">
        <v>2243</v>
      </c>
      <c r="B449" s="2643" t="s">
        <v>342</v>
      </c>
      <c r="C449" s="2643" t="s">
        <v>2250</v>
      </c>
      <c r="D449" s="2642" t="s">
        <v>342</v>
      </c>
      <c r="E449" s="2861" t="s">
        <v>4241</v>
      </c>
      <c r="F449" s="2861" t="s">
        <v>2899</v>
      </c>
      <c r="G449" s="2862" t="s">
        <v>3601</v>
      </c>
      <c r="H449" s="2933" t="str">
        <f>HLOOKUP(Non_UN,'Other Translations'!$A:$L,1+translations!J449,)</f>
        <v>IPCC</v>
      </c>
      <c r="J449" s="2936">
        <v>448</v>
      </c>
    </row>
    <row r="450" spans="1:10" s="2933" customFormat="1">
      <c r="A450" s="2932" t="s">
        <v>2243</v>
      </c>
      <c r="B450" s="2643" t="s">
        <v>298</v>
      </c>
      <c r="C450" s="2643" t="s">
        <v>2251</v>
      </c>
      <c r="D450" s="2642" t="s">
        <v>4688</v>
      </c>
      <c r="E450" s="2861" t="s">
        <v>4242</v>
      </c>
      <c r="F450" s="2861" t="s">
        <v>2576</v>
      </c>
      <c r="G450" s="2862" t="s">
        <v>3234</v>
      </c>
      <c r="H450" s="2933" t="str">
        <f>HLOOKUP(Non_UN,'Other Translations'!$A:$L,1+translations!J450,)</f>
        <v>Klimat</v>
      </c>
      <c r="J450" s="2936">
        <v>449</v>
      </c>
    </row>
    <row r="451" spans="1:10" s="2933" customFormat="1" ht="26.4">
      <c r="A451" s="2932" t="s">
        <v>2243</v>
      </c>
      <c r="B451" s="2642" t="s">
        <v>2252</v>
      </c>
      <c r="C451" s="2643" t="s">
        <v>2259</v>
      </c>
      <c r="D451" s="2642" t="s">
        <v>5231</v>
      </c>
      <c r="E451" s="2861" t="s">
        <v>4243</v>
      </c>
      <c r="F451" s="2861" t="s">
        <v>3201</v>
      </c>
      <c r="G451" s="2862" t="s">
        <v>3602</v>
      </c>
      <c r="H451" s="2933" t="str">
        <f>HLOOKUP(Non_UN,'Other Translations'!$A:$L,1+translations!J451,)</f>
        <v>Klimat-Hilfe: Orientierung zur Auswahl der Klimaregion basierend auf MAT und MAP</v>
      </c>
      <c r="J451" s="2936">
        <v>450</v>
      </c>
    </row>
    <row r="452" spans="1:10" s="2933" customFormat="1">
      <c r="A452" s="2932" t="s">
        <v>2243</v>
      </c>
      <c r="B452" s="2643" t="s">
        <v>299</v>
      </c>
      <c r="C452" s="2643" t="s">
        <v>2258</v>
      </c>
      <c r="D452" s="2642" t="s">
        <v>2258</v>
      </c>
      <c r="E452" s="2861" t="s">
        <v>4244</v>
      </c>
      <c r="F452" s="2861" t="s">
        <v>3202</v>
      </c>
      <c r="G452" s="2862" t="s">
        <v>299</v>
      </c>
      <c r="H452" s="2933" t="str">
        <f>HLOOKUP(Non_UN,'Other Translations'!$A:$L,1+translations!J452,)</f>
        <v>Jahresdurchschnittstemperatur (MAT)</v>
      </c>
      <c r="J452" s="2936">
        <v>451</v>
      </c>
    </row>
    <row r="453" spans="1:10" s="2933" customFormat="1">
      <c r="A453" s="2932" t="s">
        <v>2243</v>
      </c>
      <c r="B453" s="2643" t="s">
        <v>300</v>
      </c>
      <c r="C453" s="2643" t="s">
        <v>2253</v>
      </c>
      <c r="D453" s="2642" t="s">
        <v>2253</v>
      </c>
      <c r="E453" s="2861" t="s">
        <v>4245</v>
      </c>
      <c r="F453" s="2861" t="s">
        <v>3203</v>
      </c>
      <c r="G453" s="2862" t="s">
        <v>300</v>
      </c>
      <c r="H453" s="2933" t="str">
        <f>HLOOKUP(Non_UN,'Other Translations'!$A:$L,1+translations!J453,)</f>
        <v>Durchschnittlicher Jahresniederschlag (MAP)</v>
      </c>
      <c r="J453" s="2936">
        <v>452</v>
      </c>
    </row>
    <row r="454" spans="1:10" s="2933" customFormat="1">
      <c r="A454" s="2932" t="s">
        <v>2243</v>
      </c>
      <c r="B454" s="2642" t="s">
        <v>2254</v>
      </c>
      <c r="C454" s="2643" t="s">
        <v>2257</v>
      </c>
      <c r="D454" s="2642" t="s">
        <v>5232</v>
      </c>
      <c r="E454" s="2861" t="s">
        <v>4246</v>
      </c>
      <c r="F454" s="2861" t="s">
        <v>2900</v>
      </c>
      <c r="G454" s="2862" t="s">
        <v>3603</v>
      </c>
      <c r="H454" s="2933" t="str">
        <f>HLOOKUP(Non_UN,'Other Translations'!$A:$L,1+translations!J454,)</f>
        <v>Jahresdurchschnittstemperatur in °C</v>
      </c>
      <c r="J454" s="2936">
        <v>453</v>
      </c>
    </row>
    <row r="455" spans="1:10" s="2933" customFormat="1">
      <c r="A455" s="2932" t="s">
        <v>2243</v>
      </c>
      <c r="B455" s="2643" t="s">
        <v>2255</v>
      </c>
      <c r="C455" s="2643" t="s">
        <v>2256</v>
      </c>
      <c r="D455" s="2642" t="s">
        <v>5005</v>
      </c>
      <c r="E455" s="2861" t="s">
        <v>4247</v>
      </c>
      <c r="F455" s="2861" t="s">
        <v>3204</v>
      </c>
      <c r="G455" s="2862" t="s">
        <v>3604</v>
      </c>
      <c r="H455" s="2933" t="str">
        <f>HLOOKUP(Non_UN,'Other Translations'!$A:$L,1+translations!J455,)</f>
        <v>Durchschnittlicher Jahresniederschlag in mm</v>
      </c>
      <c r="J455" s="2936">
        <v>454</v>
      </c>
    </row>
    <row r="456" spans="1:10" s="2933" customFormat="1">
      <c r="A456" s="2932" t="s">
        <v>2243</v>
      </c>
      <c r="B456" s="2642" t="s">
        <v>2260</v>
      </c>
      <c r="C456" s="2643" t="s">
        <v>2261</v>
      </c>
      <c r="D456" s="2642" t="s">
        <v>5006</v>
      </c>
      <c r="E456" s="2861" t="s">
        <v>4248</v>
      </c>
      <c r="F456" s="2861" t="s">
        <v>3205</v>
      </c>
      <c r="G456" s="2862" t="s">
        <v>3605</v>
      </c>
      <c r="H456" s="2933" t="str">
        <f>HLOOKUP(Non_UN,'Other Translations'!$A:$L,1+translations!J456,)</f>
        <v>Feuchtes Klima wenn MAP&gt;PET und Trockenes Klima wenn PET&gt;MAP</v>
      </c>
      <c r="J456" s="2936">
        <v>455</v>
      </c>
    </row>
    <row r="457" spans="1:10" s="2933" customFormat="1">
      <c r="A457" s="2932" t="s">
        <v>2243</v>
      </c>
      <c r="B457" s="2642" t="s">
        <v>2262</v>
      </c>
      <c r="C457" s="2643" t="s">
        <v>2263</v>
      </c>
      <c r="D457" s="2642" t="s">
        <v>5007</v>
      </c>
      <c r="E457" s="2861" t="s">
        <v>4249</v>
      </c>
      <c r="F457" s="2861" t="s">
        <v>2901</v>
      </c>
      <c r="G457" s="2862" t="s">
        <v>3606</v>
      </c>
      <c r="H457" s="2933" t="str">
        <f>HLOOKUP(Non_UN,'Other Translations'!$A:$L,1+translations!J457,)</f>
        <v>PET=Potential EvapoTranspiration</v>
      </c>
      <c r="J457" s="2936">
        <v>456</v>
      </c>
    </row>
    <row r="458" spans="1:10" s="2933" customFormat="1">
      <c r="A458" s="2932" t="s">
        <v>2243</v>
      </c>
      <c r="B458" s="2642" t="s">
        <v>327</v>
      </c>
      <c r="C458" s="2643" t="s">
        <v>2264</v>
      </c>
      <c r="D458" s="2642" t="s">
        <v>5233</v>
      </c>
      <c r="E458" s="2861" t="s">
        <v>4250</v>
      </c>
      <c r="F458" s="2861" t="s">
        <v>3206</v>
      </c>
      <c r="G458" s="2862" t="s">
        <v>3607</v>
      </c>
      <c r="H458" s="2933" t="str">
        <f>HLOOKUP(Non_UN,'Other Translations'!$A:$L,1+translations!J458,)</f>
        <v>MAT und Klimakategorie</v>
      </c>
      <c r="J458" s="2936">
        <v>457</v>
      </c>
    </row>
    <row r="459" spans="1:10" s="2933" customFormat="1">
      <c r="A459" s="2932" t="s">
        <v>2243</v>
      </c>
      <c r="B459" s="2642" t="s">
        <v>326</v>
      </c>
      <c r="C459" s="2643" t="s">
        <v>2265</v>
      </c>
      <c r="D459" s="2642" t="s">
        <v>2265</v>
      </c>
      <c r="E459" s="2861" t="s">
        <v>4251</v>
      </c>
      <c r="F459" s="2861" t="s">
        <v>3207</v>
      </c>
      <c r="G459" s="2862" t="s">
        <v>3608</v>
      </c>
      <c r="H459" s="2933" t="str">
        <f>HLOOKUP(Non_UN,'Other Translations'!$A:$L,1+translations!J459,)</f>
        <v>MAT &gt; 18</v>
      </c>
      <c r="J459" s="2936">
        <v>458</v>
      </c>
    </row>
    <row r="460" spans="1:10" s="2933" customFormat="1">
      <c r="A460" s="2932" t="s">
        <v>2243</v>
      </c>
      <c r="B460" s="2643" t="s">
        <v>2267</v>
      </c>
      <c r="C460" s="2643" t="s">
        <v>2266</v>
      </c>
      <c r="D460" s="2642" t="s">
        <v>2266</v>
      </c>
      <c r="E460" s="2861" t="s">
        <v>4252</v>
      </c>
      <c r="F460" s="2861" t="s">
        <v>3208</v>
      </c>
      <c r="G460" s="2862" t="s">
        <v>3609</v>
      </c>
      <c r="H460" s="2933" t="str">
        <f>HLOOKUP(Non_UN,'Other Translations'!$A:$L,1+translations!J460,)</f>
        <v>10 &gt; MAT &gt; 18</v>
      </c>
      <c r="J460" s="2936">
        <v>459</v>
      </c>
    </row>
    <row r="461" spans="1:10" s="2933" customFormat="1">
      <c r="A461" s="2932" t="s">
        <v>2243</v>
      </c>
      <c r="B461" s="2643" t="s">
        <v>2269</v>
      </c>
      <c r="C461" s="2643" t="s">
        <v>2268</v>
      </c>
      <c r="D461" s="2642" t="s">
        <v>2268</v>
      </c>
      <c r="E461" s="2861" t="s">
        <v>4253</v>
      </c>
      <c r="F461" s="2861" t="s">
        <v>3209</v>
      </c>
      <c r="G461" s="2862" t="s">
        <v>3610</v>
      </c>
      <c r="H461" s="2933" t="str">
        <f>HLOOKUP(Non_UN,'Other Translations'!$A:$L,1+translations!J461,)</f>
        <v>0 &gt; MAT &gt; 10</v>
      </c>
      <c r="J461" s="2936">
        <v>460</v>
      </c>
    </row>
    <row r="462" spans="1:10" s="2933" customFormat="1">
      <c r="A462" s="2932" t="s">
        <v>2243</v>
      </c>
      <c r="B462" s="2642" t="s">
        <v>80</v>
      </c>
      <c r="C462" s="2643" t="s">
        <v>2270</v>
      </c>
      <c r="D462" s="2642" t="s">
        <v>5234</v>
      </c>
      <c r="E462" s="2861" t="s">
        <v>4254</v>
      </c>
      <c r="F462" s="2861" t="s">
        <v>3210</v>
      </c>
      <c r="G462" s="2862" t="s">
        <v>3611</v>
      </c>
      <c r="H462" s="2933" t="str">
        <f>HLOOKUP(Non_UN,'Other Translations'!$A:$L,1+translations!J462,)</f>
        <v>MAT &lt; 0</v>
      </c>
      <c r="J462" s="2936">
        <v>461</v>
      </c>
    </row>
    <row r="463" spans="1:10" s="2933" customFormat="1">
      <c r="A463" s="2932" t="s">
        <v>2243</v>
      </c>
      <c r="B463" s="2643" t="s">
        <v>2271</v>
      </c>
      <c r="C463" s="2643" t="s">
        <v>2272</v>
      </c>
      <c r="D463" s="2642" t="s">
        <v>5008</v>
      </c>
      <c r="E463" s="2861" t="s">
        <v>4255</v>
      </c>
      <c r="F463" s="2861" t="s">
        <v>2902</v>
      </c>
      <c r="G463" s="2862" t="s">
        <v>3612</v>
      </c>
      <c r="H463" s="2933" t="str">
        <f>HLOOKUP(Non_UN,'Other Translations'!$A:$L,1+translations!J463,)</f>
        <v>Hinweis: Tropisches Bergklima ist gewöhnlich "trocken"</v>
      </c>
      <c r="J463" s="2936">
        <v>462</v>
      </c>
    </row>
    <row r="464" spans="1:10" s="2933" customFormat="1">
      <c r="A464" s="2932" t="s">
        <v>2243</v>
      </c>
      <c r="B464" s="2643" t="s">
        <v>2273</v>
      </c>
      <c r="C464" s="2643" t="s">
        <v>2274</v>
      </c>
      <c r="D464" s="2642" t="s">
        <v>5009</v>
      </c>
      <c r="E464" s="2861" t="s">
        <v>4256</v>
      </c>
      <c r="F464" s="2861" t="s">
        <v>2903</v>
      </c>
      <c r="G464" s="2862" t="s">
        <v>3613</v>
      </c>
      <c r="H464" s="2933" t="str">
        <f>HLOOKUP(Non_UN,'Other Translations'!$A:$L,1+translations!J464,)</f>
        <v>IPCC Klimazonen</v>
      </c>
      <c r="J464" s="2936">
        <v>463</v>
      </c>
    </row>
    <row r="465" spans="1:10" s="2933" customFormat="1">
      <c r="A465" s="2932" t="s">
        <v>2243</v>
      </c>
      <c r="B465" s="2643" t="s">
        <v>2275</v>
      </c>
      <c r="C465" s="2643" t="s">
        <v>2276</v>
      </c>
      <c r="D465" s="2642" t="s">
        <v>5010</v>
      </c>
      <c r="E465" s="2861" t="s">
        <v>4257</v>
      </c>
      <c r="F465" s="2861" t="s">
        <v>2904</v>
      </c>
      <c r="G465" s="2862" t="s">
        <v>3614</v>
      </c>
      <c r="H465" s="2933" t="str">
        <f>HLOOKUP(Non_UN,'Other Translations'!$A:$L,1+translations!J465,)</f>
        <v>Keine Daten</v>
      </c>
      <c r="J465" s="2936">
        <v>464</v>
      </c>
    </row>
    <row r="466" spans="1:10" s="2933" customFormat="1">
      <c r="A466" s="2932" t="s">
        <v>2243</v>
      </c>
      <c r="B466" s="2642" t="s">
        <v>83</v>
      </c>
      <c r="C466" s="2643" t="s">
        <v>2277</v>
      </c>
      <c r="D466" s="2642" t="s">
        <v>5235</v>
      </c>
      <c r="E466" s="2861" t="s">
        <v>4258</v>
      </c>
      <c r="F466" s="2861" t="s">
        <v>3211</v>
      </c>
      <c r="G466" s="2862" t="s">
        <v>3615</v>
      </c>
      <c r="H466" s="2933" t="str">
        <f>HLOOKUP(Non_UN,'Other Translations'!$A:$L,1+translations!J466,)</f>
        <v>Standard MAT</v>
      </c>
      <c r="J466" s="2936">
        <v>465</v>
      </c>
    </row>
    <row r="467" spans="1:10" s="2933" customFormat="1">
      <c r="A467" s="2932" t="s">
        <v>2243</v>
      </c>
      <c r="B467" s="2643" t="s">
        <v>2278</v>
      </c>
      <c r="C467" s="2643" t="s">
        <v>2279</v>
      </c>
      <c r="D467" s="2642" t="s">
        <v>5011</v>
      </c>
      <c r="E467" s="2861" t="s">
        <v>4259</v>
      </c>
      <c r="F467" s="2861" t="s">
        <v>2905</v>
      </c>
      <c r="G467" s="2862" t="s">
        <v>3616</v>
      </c>
      <c r="H467" s="2933" t="str">
        <f>HLOOKUP(Non_UN,'Other Translations'!$A:$L,1+translations!J467,)</f>
        <v>Vereinfachte IPCC Klimazonen</v>
      </c>
      <c r="J467" s="2936">
        <v>466</v>
      </c>
    </row>
    <row r="468" spans="1:10" s="2933" customFormat="1">
      <c r="A468" s="2932" t="s">
        <v>2243</v>
      </c>
      <c r="B468" s="2643" t="s">
        <v>2280</v>
      </c>
      <c r="C468" s="2643" t="s">
        <v>2282</v>
      </c>
      <c r="D468" s="2642" t="s">
        <v>5012</v>
      </c>
      <c r="E468" s="2861" t="s">
        <v>4260</v>
      </c>
      <c r="F468" s="2861" t="s">
        <v>2906</v>
      </c>
      <c r="G468" s="2862" t="s">
        <v>3617</v>
      </c>
      <c r="H468" s="2933" t="str">
        <f>HLOOKUP(Non_UN,'Other Translations'!$A:$L,1+translations!J468,)</f>
        <v>Kalt</v>
      </c>
      <c r="J468" s="2936">
        <v>467</v>
      </c>
    </row>
    <row r="469" spans="1:10" s="2933" customFormat="1">
      <c r="A469" s="2932" t="s">
        <v>2243</v>
      </c>
      <c r="B469" s="2643" t="s">
        <v>2281</v>
      </c>
      <c r="C469" s="2643" t="s">
        <v>2283</v>
      </c>
      <c r="D469" s="2642" t="s">
        <v>5013</v>
      </c>
      <c r="E469" s="2861" t="s">
        <v>4261</v>
      </c>
      <c r="F469" s="2861" t="s">
        <v>2907</v>
      </c>
      <c r="G469" s="2862" t="s">
        <v>3618</v>
      </c>
      <c r="H469" s="2933" t="str">
        <f>HLOOKUP(Non_UN,'Other Translations'!$A:$L,1+translations!J469,)</f>
        <v>Warm</v>
      </c>
      <c r="J469" s="2936">
        <v>468</v>
      </c>
    </row>
    <row r="470" spans="1:10" s="2933" customFormat="1">
      <c r="A470" s="2932" t="s">
        <v>2243</v>
      </c>
      <c r="B470" s="2643" t="s">
        <v>396</v>
      </c>
      <c r="C470" s="2643" t="s">
        <v>1737</v>
      </c>
      <c r="D470" s="2642" t="s">
        <v>5014</v>
      </c>
      <c r="E470" s="2861" t="s">
        <v>4262</v>
      </c>
      <c r="F470" s="2861" t="s">
        <v>2908</v>
      </c>
      <c r="G470" s="2862" t="s">
        <v>3619</v>
      </c>
      <c r="H470" s="2933" t="str">
        <f>HLOOKUP(Non_UN,'Other Translations'!$A:$L,1+translations!J470,)</f>
        <v>Boreal</v>
      </c>
      <c r="J470" s="2936">
        <v>469</v>
      </c>
    </row>
    <row r="471" spans="1:10" s="2933" customFormat="1">
      <c r="A471" s="2932" t="s">
        <v>2243</v>
      </c>
      <c r="B471" s="2643" t="s">
        <v>2284</v>
      </c>
      <c r="C471" s="2643" t="s">
        <v>2285</v>
      </c>
      <c r="D471" s="2642" t="s">
        <v>5015</v>
      </c>
      <c r="E471" s="2861" t="s">
        <v>4263</v>
      </c>
      <c r="F471" s="2861" t="s">
        <v>2909</v>
      </c>
      <c r="G471" s="2862" t="s">
        <v>3620</v>
      </c>
      <c r="H471" s="2933" t="str">
        <f>HLOOKUP(Non_UN,'Other Translations'!$A:$L,1+translations!J471,)</f>
        <v>(oder Polar)</v>
      </c>
      <c r="J471" s="2936">
        <v>470</v>
      </c>
    </row>
    <row r="472" spans="1:10" s="2933" customFormat="1">
      <c r="A472" s="2932" t="s">
        <v>2243</v>
      </c>
      <c r="B472" s="2642" t="s">
        <v>1060</v>
      </c>
      <c r="C472" s="2643" t="s">
        <v>2291</v>
      </c>
      <c r="D472" s="2642" t="s">
        <v>5016</v>
      </c>
      <c r="E472" s="2861" t="s">
        <v>4264</v>
      </c>
      <c r="F472" s="2861" t="s">
        <v>2910</v>
      </c>
      <c r="G472" s="2862" t="s">
        <v>3621</v>
      </c>
      <c r="H472" s="2933" t="str">
        <f>HLOOKUP(Non_UN,'Other Translations'!$A:$L,1+translations!J472,)</f>
        <v>FAO Material:</v>
      </c>
      <c r="J472" s="2936">
        <v>471</v>
      </c>
    </row>
    <row r="473" spans="1:10" s="2933" customFormat="1">
      <c r="A473" s="2932" t="s">
        <v>2243</v>
      </c>
      <c r="B473" s="2643" t="s">
        <v>2289</v>
      </c>
      <c r="C473" s="2643" t="s">
        <v>2290</v>
      </c>
      <c r="D473" s="2642" t="s">
        <v>5236</v>
      </c>
      <c r="E473" s="2861" t="s">
        <v>4265</v>
      </c>
      <c r="F473" s="2861" t="s">
        <v>3212</v>
      </c>
      <c r="G473" s="2862" t="s">
        <v>3622</v>
      </c>
      <c r="H473" s="2933" t="str">
        <f>HLOOKUP(Non_UN,'Other Translations'!$A:$L,1+translations!J473,)</f>
        <v>MAP und MAT Karten</v>
      </c>
      <c r="J473" s="2936">
        <v>472</v>
      </c>
    </row>
    <row r="474" spans="1:10" s="2933" customFormat="1" ht="26.4">
      <c r="A474" s="2932" t="s">
        <v>2243</v>
      </c>
      <c r="B474" s="2642" t="s">
        <v>1064</v>
      </c>
      <c r="C474" s="2642" t="s">
        <v>2286</v>
      </c>
      <c r="D474" s="2642" t="s">
        <v>5017</v>
      </c>
      <c r="E474" s="2861" t="s">
        <v>4266</v>
      </c>
      <c r="F474" s="2861" t="s">
        <v>2911</v>
      </c>
      <c r="G474" s="2862" t="s">
        <v>3623</v>
      </c>
      <c r="H474" s="2933" t="str">
        <f>HLOOKUP(Non_UN,'Other Translations'!$A:$L,1+translations!J474,)</f>
        <v>Vergleiche die Globale Klimakarte der FAO</v>
      </c>
      <c r="J474" s="2936">
        <v>473</v>
      </c>
    </row>
    <row r="475" spans="1:10" s="2933" customFormat="1">
      <c r="A475" s="2932" t="s">
        <v>2243</v>
      </c>
      <c r="B475" s="2642" t="s">
        <v>1065</v>
      </c>
      <c r="C475" s="2642" t="s">
        <v>2287</v>
      </c>
      <c r="D475" s="2642" t="s">
        <v>5018</v>
      </c>
      <c r="E475" s="2861" t="s">
        <v>4267</v>
      </c>
      <c r="F475" s="2861" t="s">
        <v>3213</v>
      </c>
      <c r="G475" s="2862" t="s">
        <v>3624</v>
      </c>
      <c r="H475" s="2933" t="str">
        <f>HLOOKUP(Non_UN,'Other Translations'!$A:$L,1+translations!J475,)</f>
        <v>Durchschnittlicher jährlicher Gesamtniederschlag</v>
      </c>
      <c r="J475" s="2936">
        <v>474</v>
      </c>
    </row>
    <row r="476" spans="1:10" s="2933" customFormat="1">
      <c r="A476" s="2932" t="s">
        <v>2243</v>
      </c>
      <c r="B476" s="2642" t="s">
        <v>1066</v>
      </c>
      <c r="C476" s="2642" t="s">
        <v>2288</v>
      </c>
      <c r="D476" s="2642" t="s">
        <v>5019</v>
      </c>
      <c r="E476" s="2861" t="s">
        <v>4268</v>
      </c>
      <c r="F476" s="2861" t="s">
        <v>2912</v>
      </c>
      <c r="G476" s="2862" t="s">
        <v>3625</v>
      </c>
      <c r="H476" s="2933" t="str">
        <f>HLOOKUP(Non_UN,'Other Translations'!$A:$L,1+translations!J476,)</f>
        <v>Jahresdurchschnittstemperatur</v>
      </c>
      <c r="J476" s="2936">
        <v>475</v>
      </c>
    </row>
    <row r="477" spans="1:10" s="2933" customFormat="1">
      <c r="A477" s="2932" t="s">
        <v>2243</v>
      </c>
      <c r="B477" s="2642" t="s">
        <v>1061</v>
      </c>
      <c r="C477" s="2642" t="s">
        <v>1061</v>
      </c>
      <c r="D477" s="2642" t="s">
        <v>1061</v>
      </c>
      <c r="E477" s="2861" t="s">
        <v>4269</v>
      </c>
      <c r="F477" s="2861" t="s">
        <v>1061</v>
      </c>
      <c r="G477" s="2862" t="s">
        <v>3626</v>
      </c>
      <c r="H477" s="2933" t="str">
        <f>HLOOKUP(Non_UN,'Other Translations'!$A:$L,1+translations!J477,)</f>
        <v>LocClim</v>
      </c>
      <c r="J477" s="2936">
        <v>476</v>
      </c>
    </row>
    <row r="478" spans="1:10" s="2933" customFormat="1">
      <c r="A478" s="2932" t="s">
        <v>2243</v>
      </c>
      <c r="B478" s="2642" t="s">
        <v>1062</v>
      </c>
      <c r="C478" s="2642" t="s">
        <v>1062</v>
      </c>
      <c r="D478" s="2642" t="s">
        <v>1062</v>
      </c>
      <c r="E478" s="2861" t="s">
        <v>4270</v>
      </c>
      <c r="F478" s="2861" t="s">
        <v>2913</v>
      </c>
      <c r="G478" s="2862" t="s">
        <v>3627</v>
      </c>
      <c r="H478" s="2933" t="str">
        <f>HLOOKUP(Non_UN,'Other Translations'!$A:$L,1+translations!J478,)</f>
        <v>Web LocClim</v>
      </c>
      <c r="J478" s="2936">
        <v>477</v>
      </c>
    </row>
    <row r="479" spans="1:10" s="2933" customFormat="1" ht="66">
      <c r="A479" s="2932" t="s">
        <v>2243</v>
      </c>
      <c r="B479" s="2643" t="s">
        <v>2293</v>
      </c>
      <c r="C479" s="2643" t="s">
        <v>2295</v>
      </c>
      <c r="D479" s="2642" t="s">
        <v>5020</v>
      </c>
      <c r="E479" s="2861" t="s">
        <v>4271</v>
      </c>
      <c r="F479" s="2861" t="s">
        <v>2914</v>
      </c>
      <c r="G479" s="2861" t="s">
        <v>3628</v>
      </c>
      <c r="H479" s="2933" t="str">
        <f>HLOOKUP(Non_UN,'Other Translations'!$A:$L,1+translations!J479,)</f>
        <v>LocClim wurde entwickelt um Einschätzungen von Klimabedingungen zu ermöglichen, auch wenn keine Primärdaten verfügbar sind. Das Programm nutzt Daten von 28800 Klimastationen.</v>
      </c>
      <c r="J479" s="2936">
        <v>478</v>
      </c>
    </row>
    <row r="480" spans="1:10" s="2933" customFormat="1">
      <c r="A480" s="2932" t="s">
        <v>2243</v>
      </c>
      <c r="B480" s="2642" t="s">
        <v>1063</v>
      </c>
      <c r="C480" s="2642" t="s">
        <v>2294</v>
      </c>
      <c r="D480" s="2642" t="s">
        <v>5021</v>
      </c>
      <c r="E480" s="2861" t="s">
        <v>4272</v>
      </c>
      <c r="F480" s="2861" t="s">
        <v>2915</v>
      </c>
      <c r="G480" s="2862" t="s">
        <v>3629</v>
      </c>
      <c r="H480" s="2933" t="str">
        <f>HLOOKUP(Non_UN,'Other Translations'!$A:$L,1+translations!J480,)</f>
        <v>Klicken Sie hier um zur Anwendung zu gelangen.</v>
      </c>
      <c r="J480" s="2936">
        <v>479</v>
      </c>
    </row>
    <row r="481" spans="1:10" s="2933" customFormat="1" ht="39.6">
      <c r="A481" s="2932" t="s">
        <v>2243</v>
      </c>
      <c r="B481" s="2643" t="s">
        <v>2296</v>
      </c>
      <c r="C481" s="2643" t="s">
        <v>2298</v>
      </c>
      <c r="D481" s="2642" t="s">
        <v>5237</v>
      </c>
      <c r="E481" s="2861" t="s">
        <v>4273</v>
      </c>
      <c r="F481" s="2861" t="s">
        <v>3214</v>
      </c>
      <c r="G481" s="2861" t="s">
        <v>3630</v>
      </c>
      <c r="H481" s="2933" t="str">
        <f>HLOOKUP(Non_UN,'Other Translations'!$A:$L,1+translations!J481,)</f>
        <v>Für online verfügbare Klimadaten kann ebenso das monatliche Klima-tool Web LocClim genutzt werden.</v>
      </c>
      <c r="J481" s="2936">
        <v>480</v>
      </c>
    </row>
    <row r="482" spans="1:10" s="2933" customFormat="1">
      <c r="A482" s="2932" t="s">
        <v>2243</v>
      </c>
      <c r="B482" s="2642" t="s">
        <v>1059</v>
      </c>
      <c r="C482" s="2642" t="s">
        <v>2297</v>
      </c>
      <c r="D482" s="2642" t="s">
        <v>5022</v>
      </c>
      <c r="E482" s="2861" t="s">
        <v>4274</v>
      </c>
      <c r="F482" s="2861" t="s">
        <v>2916</v>
      </c>
      <c r="G482" s="2862" t="s">
        <v>3631</v>
      </c>
      <c r="H482" s="2933" t="str">
        <f>HLOOKUP(Non_UN,'Other Translations'!$A:$L,1+translations!J482,)</f>
        <v>Web LocClim aufrufen</v>
      </c>
      <c r="J482" s="2936">
        <v>481</v>
      </c>
    </row>
    <row r="483" spans="1:10" s="2933" customFormat="1">
      <c r="A483" s="2932" t="s">
        <v>2243</v>
      </c>
      <c r="B483" s="2642" t="s">
        <v>2299</v>
      </c>
      <c r="C483" s="2932" t="s">
        <v>2301</v>
      </c>
      <c r="D483" s="2642" t="s">
        <v>5023</v>
      </c>
      <c r="E483" s="2861" t="s">
        <v>4275</v>
      </c>
      <c r="F483" s="2861" t="s">
        <v>2917</v>
      </c>
      <c r="G483" s="2862" t="s">
        <v>3632</v>
      </c>
      <c r="H483" s="2933" t="str">
        <f>HLOOKUP(Non_UN,'Other Translations'!$A:$L,1+translations!J483,)</f>
        <v>Globale Ökologische Regionen</v>
      </c>
      <c r="J483" s="2936">
        <v>482</v>
      </c>
    </row>
    <row r="484" spans="1:10" s="2933" customFormat="1" ht="52.8">
      <c r="A484" s="2932" t="s">
        <v>2243</v>
      </c>
      <c r="B484" s="2642" t="s">
        <v>581</v>
      </c>
      <c r="C484" s="2642" t="s">
        <v>2300</v>
      </c>
      <c r="D484" s="2642" t="s">
        <v>5024</v>
      </c>
      <c r="E484" s="2861" t="s">
        <v>4276</v>
      </c>
      <c r="F484" s="2861" t="s">
        <v>2918</v>
      </c>
      <c r="G484" s="2861" t="s">
        <v>3633</v>
      </c>
      <c r="H484" s="2933" t="str">
        <f>HLOOKUP(Non_UN,'Other Translations'!$A:$L,1+translations!J484,)</f>
        <v>Die Globale Ökologische Regionen Karte basiert auf Klima- und Vegetationsinformationen (FAO, 2011). Primärdaten sind verfügbar auf: http://www.fao.org.</v>
      </c>
      <c r="J484" s="2936">
        <v>483</v>
      </c>
    </row>
    <row r="485" spans="1:10" s="2933" customFormat="1">
      <c r="A485" s="2932" t="s">
        <v>2243</v>
      </c>
      <c r="B485" s="2643" t="s">
        <v>2302</v>
      </c>
      <c r="C485" s="2643" t="s">
        <v>2303</v>
      </c>
      <c r="D485" s="2642" t="s">
        <v>5025</v>
      </c>
      <c r="E485" s="2861" t="s">
        <v>4277</v>
      </c>
      <c r="F485" s="2861" t="s">
        <v>2919</v>
      </c>
      <c r="G485" s="2862" t="s">
        <v>3634</v>
      </c>
      <c r="H485" s="2933" t="str">
        <f>HLOOKUP(Non_UN,'Other Translations'!$A:$L,1+translations!J485,)</f>
        <v>Tropische Wüste</v>
      </c>
      <c r="J485" s="2936">
        <v>484</v>
      </c>
    </row>
    <row r="486" spans="1:10" s="2933" customFormat="1">
      <c r="A486" s="2932" t="s">
        <v>2243</v>
      </c>
      <c r="B486" s="2643" t="s">
        <v>5427</v>
      </c>
      <c r="C486" s="2643" t="s">
        <v>2304</v>
      </c>
      <c r="D486" s="2642" t="s">
        <v>5026</v>
      </c>
      <c r="E486" s="2861" t="s">
        <v>4278</v>
      </c>
      <c r="F486" s="2861" t="s">
        <v>2920</v>
      </c>
      <c r="G486" s="2862" t="s">
        <v>3635</v>
      </c>
      <c r="H486" s="2933" t="str">
        <f>HLOOKUP(Non_UN,'Other Translations'!$A:$L,1+translations!J486,)</f>
        <v>Subtropische Wüste</v>
      </c>
      <c r="J486" s="2936">
        <v>485</v>
      </c>
    </row>
    <row r="487" spans="1:10" s="2933" customFormat="1">
      <c r="A487" s="2932" t="s">
        <v>2243</v>
      </c>
      <c r="B487" s="2643" t="s">
        <v>2307</v>
      </c>
      <c r="C487" s="2643" t="s">
        <v>2310</v>
      </c>
      <c r="D487" s="2642" t="s">
        <v>5027</v>
      </c>
      <c r="E487" s="2861" t="s">
        <v>4279</v>
      </c>
      <c r="F487" s="2861" t="s">
        <v>2921</v>
      </c>
      <c r="G487" s="2862" t="s">
        <v>3636</v>
      </c>
      <c r="H487" s="2933" t="str">
        <f>HLOOKUP(Non_UN,'Other Translations'!$A:$L,1+translations!J487,)</f>
        <v>Warmgemässigte Steppe</v>
      </c>
      <c r="J487" s="2936">
        <v>486</v>
      </c>
    </row>
    <row r="488" spans="1:10" s="2933" customFormat="1">
      <c r="A488" s="2932" t="s">
        <v>2243</v>
      </c>
      <c r="B488" s="2643" t="s">
        <v>2308</v>
      </c>
      <c r="C488" s="2643" t="s">
        <v>2309</v>
      </c>
      <c r="D488" s="2642" t="s">
        <v>5028</v>
      </c>
      <c r="E488" s="2861" t="s">
        <v>4280</v>
      </c>
      <c r="F488" s="2861" t="s">
        <v>2922</v>
      </c>
      <c r="G488" s="2862" t="s">
        <v>3637</v>
      </c>
      <c r="H488" s="2933" t="str">
        <f>HLOOKUP(Non_UN,'Other Translations'!$A:$L,1+translations!J488,)</f>
        <v>Warmgemässigte Wüste</v>
      </c>
      <c r="J488" s="2936">
        <v>487</v>
      </c>
    </row>
    <row r="489" spans="1:10" s="2933" customFormat="1">
      <c r="A489" s="2932" t="s">
        <v>2243</v>
      </c>
      <c r="B489" s="2643" t="s">
        <v>2305</v>
      </c>
      <c r="C489" s="2643" t="s">
        <v>2306</v>
      </c>
      <c r="D489" s="2642" t="s">
        <v>2305</v>
      </c>
      <c r="E489" s="2861" t="s">
        <v>4281</v>
      </c>
      <c r="F489" s="2861" t="s">
        <v>2923</v>
      </c>
      <c r="G489" s="2862" t="s">
        <v>3638</v>
      </c>
      <c r="H489" s="2933" t="str">
        <f>HLOOKUP(Non_UN,'Other Translations'!$A:$L,1+translations!J489,)</f>
        <v>Polar</v>
      </c>
      <c r="J489" s="2936">
        <v>488</v>
      </c>
    </row>
    <row r="490" spans="1:10" s="2933" customFormat="1">
      <c r="A490" s="2932" t="s">
        <v>2243</v>
      </c>
      <c r="B490" s="2642"/>
      <c r="C490" s="2642"/>
      <c r="D490" s="2642"/>
      <c r="E490" s="2861"/>
      <c r="F490" s="2861"/>
      <c r="G490" s="2862"/>
      <c r="H490" s="2933">
        <f>HLOOKUP(Non_UN,'Other Translations'!$A:$L,1+translations!J490,)</f>
        <v>0</v>
      </c>
      <c r="J490" s="2936">
        <v>489</v>
      </c>
    </row>
    <row r="491" spans="1:10" s="2641" customFormat="1">
      <c r="A491" s="2641" t="s">
        <v>1670</v>
      </c>
      <c r="B491" s="2640" t="s">
        <v>1647</v>
      </c>
      <c r="C491" s="2640" t="s">
        <v>1648</v>
      </c>
      <c r="D491" s="2640" t="s">
        <v>1649</v>
      </c>
      <c r="E491" s="2640" t="str">
        <f>E1</f>
        <v>中文</v>
      </c>
      <c r="F491" s="2640" t="str">
        <f>F1</f>
        <v>Русский</v>
      </c>
      <c r="G491" s="2641" t="str">
        <f>G1</f>
        <v>عربي</v>
      </c>
      <c r="H491" s="2641" t="str">
        <f>Non_UN</f>
        <v>Deutsch</v>
      </c>
      <c r="J491" s="2936">
        <v>490</v>
      </c>
    </row>
    <row r="492" spans="1:10" s="2944" customFormat="1">
      <c r="A492" s="2687" t="s">
        <v>1329</v>
      </c>
      <c r="B492" s="2715" t="s">
        <v>1329</v>
      </c>
      <c r="C492" s="2715" t="s">
        <v>1840</v>
      </c>
      <c r="D492" s="2685" t="s">
        <v>4746</v>
      </c>
      <c r="E492" s="2861" t="s">
        <v>4282</v>
      </c>
      <c r="F492" s="2861" t="s">
        <v>2924</v>
      </c>
      <c r="G492" s="2862" t="s">
        <v>3639</v>
      </c>
      <c r="H492" s="2944" t="str">
        <f>HLOOKUP(Non_UN,'Other Translations'!$A:$L,1+translations!J492,)</f>
        <v>Ernteertrag</v>
      </c>
      <c r="J492" s="2936">
        <v>491</v>
      </c>
    </row>
    <row r="493" spans="1:10" s="2944" customFormat="1">
      <c r="A493" s="2687" t="s">
        <v>1329</v>
      </c>
      <c r="B493" s="2715" t="s">
        <v>335</v>
      </c>
      <c r="C493" s="2715" t="s">
        <v>2311</v>
      </c>
      <c r="D493" s="2685" t="s">
        <v>5029</v>
      </c>
      <c r="E493" s="2861" t="s">
        <v>4283</v>
      </c>
      <c r="F493" s="2861" t="s">
        <v>2925</v>
      </c>
      <c r="G493" s="2862" t="s">
        <v>3640</v>
      </c>
      <c r="H493" s="2944" t="str">
        <f>HLOOKUP(Non_UN,'Other Translations'!$A:$L,1+translations!J493,)</f>
        <v>Region</v>
      </c>
      <c r="J493" s="2936">
        <v>492</v>
      </c>
    </row>
    <row r="494" spans="1:10" s="2944" customFormat="1">
      <c r="A494" s="2687" t="s">
        <v>1329</v>
      </c>
      <c r="B494" s="2715" t="s">
        <v>1333</v>
      </c>
      <c r="C494" s="2715" t="s">
        <v>1333</v>
      </c>
      <c r="D494" s="2685" t="s">
        <v>5030</v>
      </c>
      <c r="E494" s="2861" t="s">
        <v>4284</v>
      </c>
      <c r="F494" s="2861" t="s">
        <v>2926</v>
      </c>
      <c r="G494" s="2862" t="s">
        <v>3641</v>
      </c>
      <c r="H494" s="2944" t="str">
        <f>HLOOKUP(Non_UN,'Other Translations'!$A:$L,1+translations!J494,)</f>
        <v>Erzeugnis</v>
      </c>
      <c r="J494" s="2936">
        <v>493</v>
      </c>
    </row>
    <row r="495" spans="1:10" s="2944" customFormat="1">
      <c r="A495" s="2687" t="s">
        <v>1329</v>
      </c>
      <c r="B495" s="2685" t="s">
        <v>1332</v>
      </c>
      <c r="C495" s="2715" t="s">
        <v>2312</v>
      </c>
      <c r="D495" s="2685" t="s">
        <v>5031</v>
      </c>
      <c r="E495" s="2861" t="s">
        <v>4285</v>
      </c>
      <c r="F495" s="2861" t="s">
        <v>2927</v>
      </c>
      <c r="G495" s="2862" t="s">
        <v>3642</v>
      </c>
      <c r="H495" s="2944" t="str">
        <f>HLOOKUP(Non_UN,'Other Translations'!$A:$L,1+translations!J495,)</f>
        <v>(vgl. Karte)</v>
      </c>
      <c r="J495" s="2936">
        <v>494</v>
      </c>
    </row>
    <row r="496" spans="1:10" s="2944" customFormat="1">
      <c r="A496" s="2687" t="s">
        <v>1329</v>
      </c>
      <c r="B496" s="2715" t="s">
        <v>1334</v>
      </c>
      <c r="C496" s="2715" t="s">
        <v>2313</v>
      </c>
      <c r="D496" s="2685" t="s">
        <v>5032</v>
      </c>
      <c r="E496" s="2861" t="s">
        <v>4286</v>
      </c>
      <c r="F496" s="2861" t="s">
        <v>2928</v>
      </c>
      <c r="G496" s="2862" t="s">
        <v>3643</v>
      </c>
      <c r="H496" s="2944" t="str">
        <f>HLOOKUP(Non_UN,'Other Translations'!$A:$L,1+translations!J496,)</f>
        <v>Jahr</v>
      </c>
      <c r="J496" s="2936">
        <v>495</v>
      </c>
    </row>
    <row r="497" spans="1:10" s="2944" customFormat="1">
      <c r="A497" s="2687" t="s">
        <v>1329</v>
      </c>
      <c r="B497" s="2715" t="s">
        <v>1335</v>
      </c>
      <c r="C497" s="2715" t="s">
        <v>2314</v>
      </c>
      <c r="D497" s="2685" t="s">
        <v>5033</v>
      </c>
      <c r="E497" s="2861" t="s">
        <v>4287</v>
      </c>
      <c r="F497" s="2861" t="s">
        <v>2929</v>
      </c>
      <c r="G497" s="2862" t="s">
        <v>3644</v>
      </c>
      <c r="H497" s="2944" t="str">
        <f>HLOOKUP(Non_UN,'Other Translations'!$A:$L,1+translations!J497,)</f>
        <v>Ernteertrag (t/ha)</v>
      </c>
      <c r="J497" s="2936">
        <v>496</v>
      </c>
    </row>
    <row r="498" spans="1:10" s="2944" customFormat="1">
      <c r="A498" s="2687" t="s">
        <v>1329</v>
      </c>
      <c r="B498" s="2687" t="s">
        <v>1680</v>
      </c>
      <c r="C498" s="2687" t="s">
        <v>2390</v>
      </c>
      <c r="D498" s="2685" t="s">
        <v>5034</v>
      </c>
      <c r="E498" s="2861" t="s">
        <v>4288</v>
      </c>
      <c r="F498" s="2861" t="s">
        <v>2930</v>
      </c>
      <c r="G498" s="2862" t="s">
        <v>3645</v>
      </c>
      <c r="H498" s="2944" t="str">
        <f>HLOOKUP(Non_UN,'Other Translations'!$A:$L,1+translations!J498,)</f>
        <v>Zeitspanne</v>
      </c>
      <c r="J498" s="2936">
        <v>497</v>
      </c>
    </row>
    <row r="499" spans="1:10" s="2944" customFormat="1">
      <c r="A499" s="2687" t="s">
        <v>1329</v>
      </c>
      <c r="B499" s="2687" t="s">
        <v>1681</v>
      </c>
      <c r="C499" s="2687" t="s">
        <v>2391</v>
      </c>
      <c r="D499" s="2685" t="s">
        <v>5035</v>
      </c>
      <c r="E499" s="2861" t="s">
        <v>4289</v>
      </c>
      <c r="F499" s="2861" t="s">
        <v>2931</v>
      </c>
      <c r="G499" s="2862" t="s">
        <v>3646</v>
      </c>
      <c r="H499" s="2944" t="str">
        <f>HLOOKUP(Non_UN,'Other Translations'!$A:$L,1+translations!J499,)</f>
        <v>Durchschnitt</v>
      </c>
      <c r="J499" s="2936">
        <v>498</v>
      </c>
    </row>
    <row r="500" spans="1:10" s="2944" customFormat="1">
      <c r="A500" s="2687" t="s">
        <v>1329</v>
      </c>
      <c r="B500" s="2687" t="s">
        <v>174</v>
      </c>
      <c r="C500" s="2687" t="s">
        <v>2389</v>
      </c>
      <c r="D500" s="2685" t="s">
        <v>5036</v>
      </c>
      <c r="E500" s="2861" t="s">
        <v>4290</v>
      </c>
      <c r="F500" s="2861" t="s">
        <v>2932</v>
      </c>
      <c r="G500" s="2862" t="s">
        <v>3647</v>
      </c>
      <c r="H500" s="2944" t="str">
        <f>HLOOKUP(Non_UN,'Other Translations'!$A:$L,1+translations!J500,)</f>
        <v>Anteil (%)</v>
      </c>
      <c r="J500" s="2936">
        <v>499</v>
      </c>
    </row>
    <row r="501" spans="1:10" s="2944" customFormat="1">
      <c r="A501" s="2687" t="s">
        <v>1329</v>
      </c>
      <c r="B501" s="2687" t="s">
        <v>1336</v>
      </c>
      <c r="C501" s="2687" t="s">
        <v>1336</v>
      </c>
      <c r="D501" s="2685" t="s">
        <v>5037</v>
      </c>
      <c r="E501" s="2861" t="s">
        <v>4291</v>
      </c>
      <c r="F501" s="2861" t="s">
        <v>2933</v>
      </c>
      <c r="G501" s="2862" t="s">
        <v>3648</v>
      </c>
      <c r="H501" s="2944" t="str">
        <f>HLOOKUP(Non_UN,'Other Translations'!$A:$L,1+translations!J501,)</f>
        <v>Projektion</v>
      </c>
      <c r="J501" s="2936">
        <v>500</v>
      </c>
    </row>
    <row r="502" spans="1:10" s="2944" customFormat="1">
      <c r="A502" s="2687" t="s">
        <v>1329</v>
      </c>
      <c r="B502" s="2944" t="s">
        <v>1337</v>
      </c>
      <c r="C502" s="2687" t="s">
        <v>2392</v>
      </c>
      <c r="D502" s="2685" t="s">
        <v>5038</v>
      </c>
      <c r="E502" s="2861" t="s">
        <v>4292</v>
      </c>
      <c r="F502" s="2861" t="s">
        <v>2934</v>
      </c>
      <c r="G502" s="2862" t="s">
        <v>3649</v>
      </c>
      <c r="H502" s="2944" t="str">
        <f>HLOOKUP(Non_UN,'Other Translations'!$A:$L,1+translations!J502,)</f>
        <v>Letzten 5 Jahre (2006-2010)</v>
      </c>
      <c r="J502" s="2936">
        <v>501</v>
      </c>
    </row>
    <row r="503" spans="1:10" s="2944" customFormat="1">
      <c r="A503" s="2687" t="s">
        <v>1329</v>
      </c>
      <c r="B503" s="2944" t="s">
        <v>5443</v>
      </c>
      <c r="C503" s="2687" t="s">
        <v>2393</v>
      </c>
      <c r="D503" s="2685" t="s">
        <v>5039</v>
      </c>
      <c r="E503" s="2861" t="s">
        <v>4293</v>
      </c>
      <c r="F503" s="2861" t="s">
        <v>2935</v>
      </c>
      <c r="G503" s="2862" t="s">
        <v>3650</v>
      </c>
      <c r="H503" s="2944" t="str">
        <f>HLOOKUP(Non_UN,'Other Translations'!$A:$L,1+translations!J503,)</f>
        <v>Letzten 10 Jahre (2001-2010)</v>
      </c>
      <c r="J503" s="2936">
        <v>502</v>
      </c>
    </row>
    <row r="504" spans="1:10" s="2944" customFormat="1">
      <c r="A504" s="2687" t="s">
        <v>1329</v>
      </c>
      <c r="B504" s="2944" t="s">
        <v>1338</v>
      </c>
      <c r="C504" s="2687" t="s">
        <v>2394</v>
      </c>
      <c r="D504" s="2685" t="s">
        <v>5040</v>
      </c>
      <c r="E504" s="2861" t="s">
        <v>4294</v>
      </c>
      <c r="F504" s="2861" t="s">
        <v>2936</v>
      </c>
      <c r="G504" s="2862" t="s">
        <v>3651</v>
      </c>
      <c r="H504" s="2944" t="str">
        <f>HLOOKUP(Non_UN,'Other Translations'!$A:$L,1+translations!J504,)</f>
        <v>Letzten 20 Jahre (1991-2010)</v>
      </c>
      <c r="J504" s="2936">
        <v>503</v>
      </c>
    </row>
    <row r="505" spans="1:10" s="2944" customFormat="1">
      <c r="A505" s="2687" t="s">
        <v>1329</v>
      </c>
      <c r="B505" s="2944" t="s">
        <v>1339</v>
      </c>
      <c r="C505" s="2687" t="s">
        <v>2395</v>
      </c>
      <c r="D505" s="2685" t="s">
        <v>5041</v>
      </c>
      <c r="E505" s="2861" t="s">
        <v>4295</v>
      </c>
      <c r="F505" s="2861" t="s">
        <v>2937</v>
      </c>
      <c r="G505" s="2862" t="s">
        <v>3652</v>
      </c>
      <c r="H505" s="2944" t="str">
        <f>HLOOKUP(Non_UN,'Other Translations'!$A:$L,1+translations!J505,)</f>
        <v>Letzten 25 Jahre (1986-2010)</v>
      </c>
      <c r="J505" s="2936">
        <v>504</v>
      </c>
    </row>
    <row r="506" spans="1:10" s="2944" customFormat="1" ht="39.6">
      <c r="A506" s="2687" t="s">
        <v>1329</v>
      </c>
      <c r="B506" s="2685" t="s">
        <v>5579</v>
      </c>
      <c r="C506" s="2715" t="s">
        <v>2396</v>
      </c>
      <c r="D506" s="2685" t="s">
        <v>5042</v>
      </c>
      <c r="E506" s="2861" t="s">
        <v>4296</v>
      </c>
      <c r="F506" s="2861" t="s">
        <v>2938</v>
      </c>
      <c r="G506" s="2861" t="s">
        <v>3653</v>
      </c>
      <c r="H506" s="2944" t="str">
        <f>HLOOKUP(Non_UN,'Other Translations'!$A:$L,1+translations!J506,)</f>
        <v>Daten von FAOSTAT. Bei Benötigung detaillierterer Informationen, konsultieren Sie bitte die FAO website.</v>
      </c>
      <c r="J506" s="2936">
        <v>505</v>
      </c>
    </row>
    <row r="507" spans="1:10" s="2944" customFormat="1">
      <c r="A507" s="2687" t="s">
        <v>1329</v>
      </c>
      <c r="C507" s="2685"/>
      <c r="D507" s="2685"/>
      <c r="E507" s="2861"/>
      <c r="F507" s="2861"/>
      <c r="G507" s="2685"/>
      <c r="H507" s="2944">
        <f>HLOOKUP(Non_UN,'Other Translations'!$A:$L,1+translations!J507,)</f>
        <v>0</v>
      </c>
      <c r="J507" s="2936">
        <v>506</v>
      </c>
    </row>
    <row r="508" spans="1:10" s="2944" customFormat="1">
      <c r="A508" s="2687" t="s">
        <v>1329</v>
      </c>
      <c r="C508" s="2685"/>
      <c r="D508" s="2685"/>
      <c r="E508" s="2861"/>
      <c r="F508" s="2861"/>
      <c r="G508" s="2685"/>
      <c r="H508" s="2944">
        <f>HLOOKUP(Non_UN,'Other Translations'!$A:$L,1+translations!J508,)</f>
        <v>0</v>
      </c>
      <c r="J508" s="2936">
        <v>507</v>
      </c>
    </row>
    <row r="509" spans="1:10" s="2944" customFormat="1">
      <c r="A509" s="2687" t="s">
        <v>1329</v>
      </c>
      <c r="C509" s="2685"/>
      <c r="D509" s="2685"/>
      <c r="E509" s="2861"/>
      <c r="F509" s="2861"/>
      <c r="G509" s="2685"/>
      <c r="H509" s="2944">
        <f>HLOOKUP(Non_UN,'Other Translations'!$A:$L,1+translations!J509,)</f>
        <v>0</v>
      </c>
      <c r="J509" s="2936">
        <v>508</v>
      </c>
    </row>
    <row r="510" spans="1:10" s="2944" customFormat="1">
      <c r="A510" s="2687" t="s">
        <v>1329</v>
      </c>
      <c r="C510" s="2685"/>
      <c r="D510" s="2685"/>
      <c r="E510" s="2861"/>
      <c r="F510" s="2861"/>
      <c r="G510" s="2685"/>
      <c r="H510" s="2944">
        <f>HLOOKUP(Non_UN,'Other Translations'!$A:$L,1+translations!J510,)</f>
        <v>0</v>
      </c>
      <c r="J510" s="2936">
        <v>509</v>
      </c>
    </row>
    <row r="511" spans="1:10" s="2641" customFormat="1">
      <c r="A511" s="2641" t="s">
        <v>1670</v>
      </c>
      <c r="B511" s="2640" t="s">
        <v>1647</v>
      </c>
      <c r="C511" s="2640" t="s">
        <v>1648</v>
      </c>
      <c r="D511" s="2640" t="s">
        <v>1649</v>
      </c>
      <c r="E511" s="2640" t="str">
        <f>E21</f>
        <v>森林砍伐</v>
      </c>
      <c r="F511" s="2640" t="str">
        <f>F21</f>
        <v>2.1. Обезлесение</v>
      </c>
      <c r="G511" s="2641" t="str">
        <f>G21</f>
        <v>2-1 إزالة الغابات</v>
      </c>
      <c r="H511" s="2641" t="str">
        <f>HLOOKUP(Non_UN,'Other Translations'!$A:$L,1+translations!J511,)</f>
        <v>Deutsch</v>
      </c>
      <c r="J511" s="2641">
        <v>510</v>
      </c>
    </row>
    <row r="512" spans="1:10" ht="39.6">
      <c r="A512" s="2636" t="s">
        <v>1106</v>
      </c>
      <c r="B512" s="2829" t="s">
        <v>6233</v>
      </c>
      <c r="C512" s="2829" t="s">
        <v>6227</v>
      </c>
      <c r="D512" s="2829" t="s">
        <v>6234</v>
      </c>
      <c r="E512" s="3051" t="str">
        <f>B512</f>
        <v>Daily emission factor for Rice  (EF) = EF-Basis × EF-Before × EF-During × EF-Org. Amendment</v>
      </c>
      <c r="F512" s="3052" t="str">
        <f>E512</f>
        <v>Daily emission factor for Rice  (EF) = EF-Basis × EF-Before × EF-During × EF-Org. Amendment</v>
      </c>
      <c r="G512" s="3052" t="str">
        <f>F512</f>
        <v>Daily emission factor for Rice  (EF) = EF-Basis × EF-Before × EF-During × EF-Org. Amendment</v>
      </c>
      <c r="H512" s="3050" t="str">
        <f>HLOOKUP(Non_UN,'Other Translations'!$A:$L,1+translations!J512,)</f>
        <v>Tägliocher Emissionfaktor (EF) für Nassreis= EF-Baseline x EF-Vorsaison x EF-Anbausaison x EF-organische Inputs</v>
      </c>
      <c r="J512" s="2936">
        <v>511</v>
      </c>
    </row>
    <row r="513" spans="1:10" ht="16.2" customHeight="1">
      <c r="A513" s="2636" t="s">
        <v>1106</v>
      </c>
      <c r="B513" s="2637" t="s">
        <v>6218</v>
      </c>
      <c r="C513" s="2829" t="s">
        <v>6235</v>
      </c>
      <c r="D513" s="2829" t="s">
        <v>6243</v>
      </c>
      <c r="E513" s="3051" t="str">
        <f t="shared" ref="E513:E518" si="1">B513</f>
        <v>(EF are in kg CH4 per ha per day)</v>
      </c>
      <c r="F513" s="3052" t="str">
        <f t="shared" ref="F513:G518" si="2">E513</f>
        <v>(EF are in kg CH4 per ha per day)</v>
      </c>
      <c r="G513" s="3052" t="str">
        <f t="shared" si="2"/>
        <v>(EF are in kg CH4 per ha per day)</v>
      </c>
      <c r="H513" s="3050" t="str">
        <f>HLOOKUP(Non_UN,'Other Translations'!$A:$L,1+translations!J513,)</f>
        <v>(Täglicher EF in kg CH4 per ha)</v>
      </c>
      <c r="J513" s="2936">
        <v>512</v>
      </c>
    </row>
    <row r="514" spans="1:10">
      <c r="A514" s="2636" t="s">
        <v>1106</v>
      </c>
      <c r="B514" s="2637" t="s">
        <v>6232</v>
      </c>
      <c r="C514" s="2829" t="s">
        <v>6221</v>
      </c>
      <c r="D514" s="2829" t="s">
        <v>6221</v>
      </c>
      <c r="E514" s="3051" t="str">
        <f t="shared" si="1"/>
        <v>EF-Basis</v>
      </c>
      <c r="F514" s="3052" t="str">
        <f t="shared" si="2"/>
        <v>EF-Basis</v>
      </c>
      <c r="G514" s="3052" t="str">
        <f t="shared" si="2"/>
        <v>EF-Basis</v>
      </c>
      <c r="H514" s="3050" t="str">
        <f>HLOOKUP(Non_UN,'Other Translations'!$A:$L,1+translations!J514,)</f>
        <v>EF-Baseline</v>
      </c>
      <c r="J514" s="2936">
        <v>513</v>
      </c>
    </row>
    <row r="515" spans="1:10">
      <c r="A515" s="2636" t="s">
        <v>1106</v>
      </c>
      <c r="B515" s="2637" t="s">
        <v>6216</v>
      </c>
      <c r="C515" s="2829" t="s">
        <v>6220</v>
      </c>
      <c r="D515" s="2829" t="s">
        <v>6228</v>
      </c>
      <c r="E515" s="3051" t="str">
        <f t="shared" si="1"/>
        <v>EF-Before</v>
      </c>
      <c r="F515" s="3052" t="str">
        <f t="shared" si="2"/>
        <v>EF-Before</v>
      </c>
      <c r="G515" s="3052" t="str">
        <f t="shared" si="2"/>
        <v>EF-Before</v>
      </c>
      <c r="H515" s="3050" t="str">
        <f>HLOOKUP(Non_UN,'Other Translations'!$A:$L,1+translations!J515,)</f>
        <v>EF-vor Saisonbeginn</v>
      </c>
      <c r="J515" s="2936">
        <v>514</v>
      </c>
    </row>
    <row r="516" spans="1:10">
      <c r="A516" s="2636" t="s">
        <v>1106</v>
      </c>
      <c r="B516" s="2637" t="s">
        <v>6217</v>
      </c>
      <c r="C516" s="2829" t="s">
        <v>6219</v>
      </c>
      <c r="D516" s="2829" t="s">
        <v>6226</v>
      </c>
      <c r="E516" s="3051" t="str">
        <f t="shared" si="1"/>
        <v>EF-During</v>
      </c>
      <c r="F516" s="3052" t="str">
        <f t="shared" si="2"/>
        <v>EF-During</v>
      </c>
      <c r="G516" s="3052" t="str">
        <f t="shared" si="2"/>
        <v>EF-During</v>
      </c>
      <c r="H516" s="3050" t="str">
        <f>HLOOKUP(Non_UN,'Other Translations'!$A:$L,1+translations!J516,)</f>
        <v>EF- während der Anbausaison</v>
      </c>
      <c r="J516" s="2936">
        <v>515</v>
      </c>
    </row>
    <row r="517" spans="1:10">
      <c r="A517" s="2636" t="s">
        <v>1106</v>
      </c>
      <c r="B517" s="2829" t="s">
        <v>6224</v>
      </c>
      <c r="C517" s="2829" t="s">
        <v>6223</v>
      </c>
      <c r="D517" s="2829" t="s">
        <v>6225</v>
      </c>
      <c r="E517" s="3051" t="str">
        <f t="shared" si="1"/>
        <v>EF-Org. Amendement</v>
      </c>
      <c r="F517" s="3052" t="str">
        <f t="shared" si="2"/>
        <v>EF-Org. Amendement</v>
      </c>
      <c r="G517" s="3052" t="str">
        <f t="shared" si="2"/>
        <v>EF-Org. Amendement</v>
      </c>
      <c r="H517" s="3050" t="str">
        <f>HLOOKUP(Non_UN,'Other Translations'!$A:$L,1+translations!J517,)</f>
        <v>EF- organische Inputs</v>
      </c>
      <c r="J517" s="2936">
        <v>516</v>
      </c>
    </row>
    <row r="518" spans="1:10">
      <c r="A518" s="2636" t="s">
        <v>1106</v>
      </c>
      <c r="B518" s="2829" t="s">
        <v>6215</v>
      </c>
      <c r="C518" s="2829" t="s">
        <v>6222</v>
      </c>
      <c r="D518" s="2829" t="s">
        <v>6222</v>
      </c>
      <c r="E518" s="3051" t="str">
        <f t="shared" si="1"/>
        <v>EF</v>
      </c>
      <c r="F518" s="3052" t="str">
        <f t="shared" si="2"/>
        <v>EF</v>
      </c>
      <c r="G518" s="3052" t="str">
        <f t="shared" si="2"/>
        <v>EF</v>
      </c>
      <c r="H518" s="3050" t="str">
        <f>HLOOKUP(Non_UN,'Other Translations'!$A:$L,1+translations!J518,)</f>
        <v>EF</v>
      </c>
      <c r="J518" s="2936">
        <v>517</v>
      </c>
    </row>
  </sheetData>
  <pageMargins left="0.7" right="0.7" top="0.75" bottom="0.75"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256"/>
  <sheetViews>
    <sheetView workbookViewId="0">
      <pane xSplit="1" ySplit="1" topLeftCell="F232" activePane="bottomRight" state="frozen"/>
      <selection activeCell="D19" sqref="D19"/>
      <selection pane="topRight" activeCell="D19" sqref="D19"/>
      <selection pane="bottomLeft" activeCell="D19" sqref="D19"/>
      <selection pane="bottomRight" activeCell="H247" sqref="H247"/>
    </sheetView>
  </sheetViews>
  <sheetFormatPr baseColWidth="10" defaultColWidth="11.5546875" defaultRowHeight="13.2"/>
  <cols>
    <col min="1" max="1" width="36.33203125" style="2648" customWidth="1"/>
    <col min="2" max="2" width="3.5546875" style="2648" customWidth="1"/>
    <col min="3" max="3" width="34.44140625" style="2918" customWidth="1"/>
    <col min="4" max="4" width="40.6640625" style="2918" customWidth="1"/>
    <col min="5" max="5" width="43.33203125" customWidth="1"/>
    <col min="6" max="6" width="41" customWidth="1"/>
    <col min="7" max="7" width="48.109375" customWidth="1"/>
    <col min="9" max="9" width="18.88671875" customWidth="1"/>
  </cols>
  <sheetData>
    <row r="1" spans="1:10" s="2078" customFormat="1">
      <c r="A1" s="2640" t="s">
        <v>1647</v>
      </c>
      <c r="B1" s="2640"/>
      <c r="C1" s="2640" t="s">
        <v>1648</v>
      </c>
      <c r="D1" s="2917" t="s">
        <v>1649</v>
      </c>
      <c r="E1" s="2641" t="str">
        <f>translations!E1</f>
        <v>中文</v>
      </c>
      <c r="F1" s="2641" t="str">
        <f>translations!F1</f>
        <v>Русский</v>
      </c>
      <c r="G1" s="2641" t="str">
        <f>translations!G1</f>
        <v>عربي</v>
      </c>
      <c r="H1" s="2078" t="str">
        <f>Non_UN</f>
        <v>Deutsch</v>
      </c>
      <c r="J1" s="2641" t="s">
        <v>2242</v>
      </c>
    </row>
    <row r="2" spans="1:10" s="2078" customFormat="1">
      <c r="A2" s="2648" t="s">
        <v>4</v>
      </c>
      <c r="B2" s="2648"/>
      <c r="C2" s="2918" t="s">
        <v>1722</v>
      </c>
      <c r="D2" s="2931" t="s">
        <v>5043</v>
      </c>
      <c r="E2" s="2872" t="s">
        <v>4298</v>
      </c>
      <c r="F2" s="2855" t="s">
        <v>2941</v>
      </c>
      <c r="G2" s="2860" t="s">
        <v>3654</v>
      </c>
      <c r="H2" s="2078" t="str">
        <f>HLOOKUP(Non_UN,'Other translations2'!$A:$L,1+J2,)</f>
        <v>Bitte auswählen</v>
      </c>
      <c r="J2" s="2078">
        <v>1</v>
      </c>
    </row>
    <row r="3" spans="1:10" s="2078" customFormat="1">
      <c r="A3" s="2648" t="s">
        <v>302</v>
      </c>
      <c r="B3" s="2648"/>
      <c r="C3" s="2918" t="s">
        <v>1723</v>
      </c>
      <c r="D3" s="2931" t="s">
        <v>302</v>
      </c>
      <c r="E3" s="2872" t="s">
        <v>4299</v>
      </c>
      <c r="F3" s="2855" t="s">
        <v>2942</v>
      </c>
      <c r="G3" s="2860" t="s">
        <v>3655</v>
      </c>
      <c r="H3" s="2078" t="str">
        <f>HLOOKUP(Non_UN,'Other translations2'!$A:$L,1+J3,)</f>
        <v>Afrika</v>
      </c>
      <c r="J3" s="2078">
        <v>2</v>
      </c>
    </row>
    <row r="4" spans="1:10" s="2078" customFormat="1">
      <c r="A4" s="2648" t="s">
        <v>303</v>
      </c>
      <c r="B4" s="2648"/>
      <c r="C4" s="2918" t="s">
        <v>1724</v>
      </c>
      <c r="D4" s="2931" t="s">
        <v>303</v>
      </c>
      <c r="E4" s="2872" t="s">
        <v>4300</v>
      </c>
      <c r="F4" s="2855" t="s">
        <v>2943</v>
      </c>
      <c r="G4" s="2860" t="s">
        <v>3656</v>
      </c>
      <c r="H4" s="2078" t="str">
        <f>HLOOKUP(Non_UN,'Other translations2'!$A:$L,1+J4,)</f>
        <v>Asien (Kontinental)</v>
      </c>
      <c r="J4" s="2078">
        <v>3</v>
      </c>
    </row>
    <row r="5" spans="1:10" s="2078" customFormat="1">
      <c r="A5" s="2648" t="s">
        <v>301</v>
      </c>
      <c r="B5" s="2648"/>
      <c r="C5" s="2918" t="s">
        <v>1725</v>
      </c>
      <c r="D5" s="2931" t="s">
        <v>5044</v>
      </c>
      <c r="E5" s="2872" t="s">
        <v>4301</v>
      </c>
      <c r="F5" s="2855" t="s">
        <v>2944</v>
      </c>
      <c r="G5" s="2860" t="s">
        <v>3657</v>
      </c>
      <c r="H5" s="2078" t="str">
        <f>HLOOKUP(Non_UN,'Other translations2'!$A:$L,1+J5,)</f>
        <v>Asien (Indischer Subkontinent)</v>
      </c>
      <c r="J5" s="2078">
        <v>4</v>
      </c>
    </row>
    <row r="6" spans="1:10" s="2078" customFormat="1">
      <c r="A6" s="2648" t="s">
        <v>304</v>
      </c>
      <c r="B6" s="2648"/>
      <c r="C6" s="2918" t="s">
        <v>1726</v>
      </c>
      <c r="D6" s="2931" t="s">
        <v>304</v>
      </c>
      <c r="E6" s="2872" t="s">
        <v>4302</v>
      </c>
      <c r="F6" s="2855" t="s">
        <v>2945</v>
      </c>
      <c r="G6" s="2860" t="s">
        <v>3658</v>
      </c>
      <c r="H6" s="2078" t="str">
        <f>HLOOKUP(Non_UN,'Other translations2'!$A:$L,1+J6,)</f>
        <v>Asien (Insular)</v>
      </c>
      <c r="J6" s="2078">
        <v>5</v>
      </c>
    </row>
    <row r="7" spans="1:10" s="2078" customFormat="1">
      <c r="A7" s="2648" t="s">
        <v>305</v>
      </c>
      <c r="B7" s="2648"/>
      <c r="C7" s="2918" t="s">
        <v>1727</v>
      </c>
      <c r="D7" s="2931" t="s">
        <v>5045</v>
      </c>
      <c r="E7" s="2872" t="s">
        <v>4303</v>
      </c>
      <c r="F7" s="2855" t="s">
        <v>2946</v>
      </c>
      <c r="G7" s="2860" t="s">
        <v>3659</v>
      </c>
      <c r="H7" s="2078" t="str">
        <f>HLOOKUP(Non_UN,'Other translations2'!$A:$L,1+J7,)</f>
        <v>Mittlerer Osten</v>
      </c>
      <c r="J7" s="2078">
        <v>6</v>
      </c>
    </row>
    <row r="8" spans="1:10" s="2078" customFormat="1">
      <c r="A8" s="2648" t="s">
        <v>306</v>
      </c>
      <c r="B8" s="2648"/>
      <c r="C8" s="2918" t="s">
        <v>1728</v>
      </c>
      <c r="D8" s="2931" t="s">
        <v>5046</v>
      </c>
      <c r="E8" s="2872" t="s">
        <v>4304</v>
      </c>
      <c r="F8" s="2855" t="s">
        <v>2947</v>
      </c>
      <c r="G8" s="2860" t="s">
        <v>3660</v>
      </c>
      <c r="H8" s="2078" t="str">
        <f>HLOOKUP(Non_UN,'Other translations2'!$A:$L,1+J8,)</f>
        <v>Westeuropa</v>
      </c>
      <c r="J8" s="2078">
        <v>7</v>
      </c>
    </row>
    <row r="9" spans="1:10" s="2078" customFormat="1">
      <c r="A9" s="2648" t="s">
        <v>307</v>
      </c>
      <c r="B9" s="2648"/>
      <c r="C9" s="2918" t="s">
        <v>1729</v>
      </c>
      <c r="D9" s="2931" t="s">
        <v>5047</v>
      </c>
      <c r="E9" s="2872" t="s">
        <v>4305</v>
      </c>
      <c r="F9" s="2855" t="s">
        <v>2948</v>
      </c>
      <c r="G9" s="2860" t="s">
        <v>3661</v>
      </c>
      <c r="H9" s="2078" t="str">
        <f>HLOOKUP(Non_UN,'Other translations2'!$A:$L,1+J9,)</f>
        <v>Osteuropa</v>
      </c>
      <c r="J9" s="2078">
        <v>8</v>
      </c>
    </row>
    <row r="10" spans="1:10" s="2078" customFormat="1">
      <c r="A10" s="2648" t="s">
        <v>308</v>
      </c>
      <c r="B10" s="2648"/>
      <c r="C10" s="2918" t="s">
        <v>1730</v>
      </c>
      <c r="D10" s="2931" t="s">
        <v>308</v>
      </c>
      <c r="E10" s="2872" t="s">
        <v>4306</v>
      </c>
      <c r="F10" s="2855" t="s">
        <v>2949</v>
      </c>
      <c r="G10" s="2860" t="s">
        <v>3662</v>
      </c>
      <c r="H10" s="2078" t="str">
        <f>HLOOKUP(Non_UN,'Other translations2'!$A:$L,1+J10,)</f>
        <v>Ozeanien</v>
      </c>
      <c r="J10" s="2078">
        <v>9</v>
      </c>
    </row>
    <row r="11" spans="1:10" s="2078" customFormat="1">
      <c r="A11" s="2648" t="s">
        <v>309</v>
      </c>
      <c r="B11" s="2648"/>
      <c r="C11" s="2918" t="s">
        <v>1731</v>
      </c>
      <c r="D11" s="2931" t="s">
        <v>5048</v>
      </c>
      <c r="E11" s="2872" t="s">
        <v>4307</v>
      </c>
      <c r="F11" s="2855" t="s">
        <v>2950</v>
      </c>
      <c r="G11" s="2860" t="s">
        <v>3663</v>
      </c>
      <c r="H11" s="2078" t="str">
        <f>HLOOKUP(Non_UN,'Other translations2'!$A:$L,1+J11,)</f>
        <v>Nordamerika</v>
      </c>
      <c r="J11" s="2078">
        <v>10</v>
      </c>
    </row>
    <row r="12" spans="1:10" s="2078" customFormat="1">
      <c r="A12" s="2648" t="s">
        <v>310</v>
      </c>
      <c r="B12" s="2648"/>
      <c r="C12" s="2918" t="s">
        <v>1732</v>
      </c>
      <c r="D12" s="2931" t="s">
        <v>5049</v>
      </c>
      <c r="E12" s="2872" t="s">
        <v>4308</v>
      </c>
      <c r="F12" s="2855" t="s">
        <v>2951</v>
      </c>
      <c r="G12" s="2860" t="s">
        <v>3664</v>
      </c>
      <c r="H12" s="2078" t="str">
        <f>HLOOKUP(Non_UN,'Other translations2'!$A:$L,1+J12,)</f>
        <v>Zentralamerika</v>
      </c>
      <c r="J12" s="2078">
        <v>11</v>
      </c>
    </row>
    <row r="13" spans="1:10" s="2078" customFormat="1">
      <c r="A13" s="2648" t="s">
        <v>311</v>
      </c>
      <c r="B13" s="2648"/>
      <c r="C13" s="2918" t="s">
        <v>1733</v>
      </c>
      <c r="D13" s="2931" t="s">
        <v>5050</v>
      </c>
      <c r="E13" s="2872" t="s">
        <v>4309</v>
      </c>
      <c r="F13" s="2855" t="s">
        <v>2952</v>
      </c>
      <c r="G13" s="2860" t="s">
        <v>3665</v>
      </c>
      <c r="H13" s="2078" t="str">
        <f>HLOOKUP(Non_UN,'Other translations2'!$A:$L,1+J13,)</f>
        <v>Südamerika</v>
      </c>
      <c r="J13" s="2078">
        <v>12</v>
      </c>
    </row>
    <row r="14" spans="1:10" s="2078" customFormat="1">
      <c r="A14" s="2648" t="str">
        <f>A2</f>
        <v>Please select</v>
      </c>
      <c r="B14" s="2648"/>
      <c r="C14" s="2919" t="str">
        <f>C2</f>
        <v>Merci de choisir</v>
      </c>
      <c r="D14" s="2931" t="s">
        <v>5043</v>
      </c>
      <c r="E14" s="2872" t="s">
        <v>4298</v>
      </c>
      <c r="F14" s="2855" t="s">
        <v>2941</v>
      </c>
      <c r="G14" s="2860" t="s">
        <v>3654</v>
      </c>
      <c r="H14" s="2078" t="str">
        <f>HLOOKUP(Non_UN,'Other translations2'!$A:$L,1+J14,)</f>
        <v>Bitte auswählen</v>
      </c>
      <c r="J14" s="2078">
        <v>13</v>
      </c>
    </row>
    <row r="15" spans="1:10" s="2078" customFormat="1">
      <c r="A15" s="2648" t="s">
        <v>396</v>
      </c>
      <c r="B15" s="2648"/>
      <c r="C15" s="2919" t="s">
        <v>1737</v>
      </c>
      <c r="D15" s="2931" t="s">
        <v>396</v>
      </c>
      <c r="E15" s="2872" t="s">
        <v>4262</v>
      </c>
      <c r="F15" s="2855" t="s">
        <v>2908</v>
      </c>
      <c r="G15" s="2860" t="s">
        <v>3619</v>
      </c>
      <c r="H15" s="2078" t="str">
        <f>HLOOKUP(Non_UN,'Other translations2'!$A:$L,1+J15,)</f>
        <v>Boreal</v>
      </c>
      <c r="J15" s="2078">
        <v>14</v>
      </c>
    </row>
    <row r="16" spans="1:10" s="2078" customFormat="1">
      <c r="A16" s="2648" t="s">
        <v>290</v>
      </c>
      <c r="B16" s="2921"/>
      <c r="C16" s="2922" t="s">
        <v>1738</v>
      </c>
      <c r="D16" s="2931" t="s">
        <v>5051</v>
      </c>
      <c r="E16" s="2872" t="s">
        <v>4310</v>
      </c>
      <c r="F16" s="2855" t="s">
        <v>2953</v>
      </c>
      <c r="G16" s="2860" t="s">
        <v>3666</v>
      </c>
      <c r="H16" s="2078" t="str">
        <f>HLOOKUP(Non_UN,'Other translations2'!$A:$L,1+J16,)</f>
        <v>Kühl-gemässigt</v>
      </c>
      <c r="J16" s="2078">
        <v>15</v>
      </c>
    </row>
    <row r="17" spans="1:10" s="2078" customFormat="1">
      <c r="A17" s="2648" t="s">
        <v>292</v>
      </c>
      <c r="B17" s="2921"/>
      <c r="C17" s="2922" t="s">
        <v>1739</v>
      </c>
      <c r="D17" s="2931" t="s">
        <v>5052</v>
      </c>
      <c r="E17" s="2872" t="s">
        <v>4311</v>
      </c>
      <c r="F17" s="2855" t="s">
        <v>2954</v>
      </c>
      <c r="G17" s="2860" t="s">
        <v>3667</v>
      </c>
      <c r="H17" s="2078" t="str">
        <f>HLOOKUP(Non_UN,'Other translations2'!$A:$L,1+J17,)</f>
        <v>Warm-gemässigt</v>
      </c>
      <c r="J17" s="2078">
        <v>16</v>
      </c>
    </row>
    <row r="18" spans="1:10" s="2078" customFormat="1">
      <c r="A18" s="2648" t="s">
        <v>294</v>
      </c>
      <c r="B18" s="2921"/>
      <c r="C18" s="2922" t="s">
        <v>294</v>
      </c>
      <c r="D18" s="2931" t="s">
        <v>294</v>
      </c>
      <c r="E18" s="2872" t="s">
        <v>4312</v>
      </c>
      <c r="F18" s="2855" t="s">
        <v>2955</v>
      </c>
      <c r="G18" s="2860" t="s">
        <v>3668</v>
      </c>
      <c r="H18" s="2078" t="str">
        <f>HLOOKUP(Non_UN,'Other translations2'!$A:$L,1+J18,)</f>
        <v>Tropisch</v>
      </c>
      <c r="J18" s="2078">
        <v>17</v>
      </c>
    </row>
    <row r="19" spans="1:10" s="2078" customFormat="1">
      <c r="A19" s="2648" t="s">
        <v>295</v>
      </c>
      <c r="B19" s="2921"/>
      <c r="C19" s="2922" t="s">
        <v>1740</v>
      </c>
      <c r="D19" s="2931" t="s">
        <v>5053</v>
      </c>
      <c r="E19" s="2872" t="s">
        <v>4313</v>
      </c>
      <c r="F19" s="2855" t="s">
        <v>2956</v>
      </c>
      <c r="G19" s="2860" t="s">
        <v>3669</v>
      </c>
      <c r="H19" s="2078" t="str">
        <f>HLOOKUP(Non_UN,'Other translations2'!$A:$L,1+J19,)</f>
        <v>Tropisch-bergig</v>
      </c>
      <c r="J19" s="2078">
        <v>18</v>
      </c>
    </row>
    <row r="20" spans="1:10" s="2078" customFormat="1">
      <c r="A20" s="2648" t="s">
        <v>289</v>
      </c>
      <c r="B20" s="2648"/>
      <c r="C20" s="2922" t="s">
        <v>1741</v>
      </c>
      <c r="D20" s="2931" t="s">
        <v>2460</v>
      </c>
      <c r="E20" s="2872" t="s">
        <v>4314</v>
      </c>
      <c r="F20" s="2855" t="s">
        <v>2957</v>
      </c>
      <c r="G20" s="2860" t="s">
        <v>3670</v>
      </c>
      <c r="H20" s="2078" t="str">
        <f>HLOOKUP(Non_UN,'Other translations2'!$A:$L,1+J20,)</f>
        <v>Trocken</v>
      </c>
      <c r="J20" s="2078">
        <v>19</v>
      </c>
    </row>
    <row r="21" spans="1:10" s="2078" customFormat="1">
      <c r="A21" s="2648" t="s">
        <v>291</v>
      </c>
      <c r="B21" s="2648"/>
      <c r="C21" s="2922" t="s">
        <v>1742</v>
      </c>
      <c r="D21" s="2931" t="s">
        <v>5054</v>
      </c>
      <c r="E21" s="2872" t="s">
        <v>4315</v>
      </c>
      <c r="F21" s="2855" t="s">
        <v>2958</v>
      </c>
      <c r="G21" s="2860" t="s">
        <v>3671</v>
      </c>
      <c r="H21" s="2078" t="str">
        <f>HLOOKUP(Non_UN,'Other translations2'!$A:$L,1+J21,)</f>
        <v>Feucht</v>
      </c>
      <c r="J21" s="2078">
        <v>20</v>
      </c>
    </row>
    <row r="22" spans="1:10" s="2078" customFormat="1">
      <c r="A22" s="2648" t="s">
        <v>293</v>
      </c>
      <c r="B22" s="2648"/>
      <c r="C22" s="2922" t="s">
        <v>1743</v>
      </c>
      <c r="D22" s="2931" t="s">
        <v>5055</v>
      </c>
      <c r="E22" s="2872" t="s">
        <v>4316</v>
      </c>
      <c r="F22" s="2855" t="s">
        <v>2959</v>
      </c>
      <c r="G22" s="2860" t="s">
        <v>3672</v>
      </c>
      <c r="H22" s="2078" t="str">
        <f>HLOOKUP(Non_UN,'Other translations2'!$A:$L,1+J22,)</f>
        <v>Nass</v>
      </c>
      <c r="J22" s="2078">
        <v>21</v>
      </c>
    </row>
    <row r="23" spans="1:10" s="2078" customFormat="1">
      <c r="A23" s="2648" t="s">
        <v>471</v>
      </c>
      <c r="B23" s="2648"/>
      <c r="C23" s="2922" t="s">
        <v>1744</v>
      </c>
      <c r="D23" s="2931" t="s">
        <v>5056</v>
      </c>
      <c r="E23" s="2872" t="s">
        <v>4317</v>
      </c>
      <c r="F23" s="2855" t="s">
        <v>3215</v>
      </c>
      <c r="G23" s="2860" t="s">
        <v>3673</v>
      </c>
      <c r="H23" s="2078" t="str">
        <f>HLOOKUP(Non_UN,'Other translations2'!$A:$L,1+J23,)</f>
        <v>HAC Böden</v>
      </c>
      <c r="J23" s="2078">
        <v>22</v>
      </c>
    </row>
    <row r="24" spans="1:10" s="2078" customFormat="1">
      <c r="A24" s="2648" t="s">
        <v>472</v>
      </c>
      <c r="B24" s="2648"/>
      <c r="C24" s="2922" t="s">
        <v>1745</v>
      </c>
      <c r="D24" s="2931" t="s">
        <v>5057</v>
      </c>
      <c r="E24" s="2872" t="s">
        <v>4318</v>
      </c>
      <c r="F24" s="2855" t="s">
        <v>3216</v>
      </c>
      <c r="G24" s="2860" t="s">
        <v>3674</v>
      </c>
      <c r="H24" s="2078" t="str">
        <f>HLOOKUP(Non_UN,'Other translations2'!$A:$L,1+J24,)</f>
        <v>LAC Böden</v>
      </c>
      <c r="J24" s="2078">
        <v>23</v>
      </c>
    </row>
    <row r="25" spans="1:10" s="2078" customFormat="1">
      <c r="A25" s="2648" t="s">
        <v>473</v>
      </c>
      <c r="B25" s="2648"/>
      <c r="C25" s="2922" t="s">
        <v>1746</v>
      </c>
      <c r="D25" s="2931" t="s">
        <v>5058</v>
      </c>
      <c r="E25" s="2872" t="s">
        <v>4319</v>
      </c>
      <c r="F25" s="2855" t="s">
        <v>2960</v>
      </c>
      <c r="G25" s="2860" t="s">
        <v>3675</v>
      </c>
      <c r="H25" s="2078" t="str">
        <f>HLOOKUP(Non_UN,'Other translations2'!$A:$L,1+J25,)</f>
        <v>Sandböden</v>
      </c>
      <c r="J25" s="2078">
        <v>24</v>
      </c>
    </row>
    <row r="26" spans="1:10" s="2078" customFormat="1" ht="14.4">
      <c r="A26" s="2648" t="s">
        <v>474</v>
      </c>
      <c r="B26" s="2648"/>
      <c r="C26" s="2922" t="s">
        <v>1747</v>
      </c>
      <c r="D26" s="2931" t="s">
        <v>5059</v>
      </c>
      <c r="E26" s="2874" t="s">
        <v>4320</v>
      </c>
      <c r="F26" s="2855" t="s">
        <v>2961</v>
      </c>
      <c r="G26" s="2860" t="s">
        <v>3676</v>
      </c>
      <c r="H26" s="2078" t="str">
        <f>HLOOKUP(Non_UN,'Other translations2'!$A:$L,1+J26,)</f>
        <v>Spodische Böden (Spodic Soils)</v>
      </c>
      <c r="J26" s="2078">
        <v>25</v>
      </c>
    </row>
    <row r="27" spans="1:10" s="2078" customFormat="1">
      <c r="A27" s="2648" t="s">
        <v>519</v>
      </c>
      <c r="B27" s="2648"/>
      <c r="C27" s="2922" t="s">
        <v>1748</v>
      </c>
      <c r="D27" s="2931" t="s">
        <v>5060</v>
      </c>
      <c r="E27" s="2872" t="s">
        <v>4321</v>
      </c>
      <c r="F27" s="2855" t="s">
        <v>2962</v>
      </c>
      <c r="G27" s="2860" t="s">
        <v>3677</v>
      </c>
      <c r="H27" s="2078" t="str">
        <f>HLOOKUP(Non_UN,'Other translations2'!$A:$L,1+J27,)</f>
        <v>Vulkanische Böden</v>
      </c>
      <c r="J27" s="2078">
        <v>26</v>
      </c>
    </row>
    <row r="28" spans="1:10" s="2078" customFormat="1">
      <c r="A28" s="2648" t="s">
        <v>520</v>
      </c>
      <c r="B28" s="2648"/>
      <c r="C28" s="2922" t="s">
        <v>1749</v>
      </c>
      <c r="D28" s="2931" t="s">
        <v>5061</v>
      </c>
      <c r="E28" s="2872" t="s">
        <v>4322</v>
      </c>
      <c r="F28" s="2855" t="s">
        <v>2963</v>
      </c>
      <c r="G28" s="2860" t="s">
        <v>3678</v>
      </c>
      <c r="H28" s="2078" t="str">
        <f>HLOOKUP(Non_UN,'Other translations2'!$A:$L,1+J28,)</f>
        <v>Feuchtgebiete</v>
      </c>
      <c r="J28" s="2078">
        <v>27</v>
      </c>
    </row>
    <row r="29" spans="1:10" s="2078" customFormat="1">
      <c r="A29" s="2648" t="s">
        <v>273</v>
      </c>
      <c r="B29" s="2648"/>
      <c r="C29" s="2922" t="s">
        <v>1750</v>
      </c>
      <c r="D29" s="2931" t="s">
        <v>5062</v>
      </c>
      <c r="E29" s="2872" t="s">
        <v>4323</v>
      </c>
      <c r="F29" s="2855" t="s">
        <v>2964</v>
      </c>
      <c r="G29" s="2860" t="s">
        <v>3679</v>
      </c>
      <c r="H29" s="2078" t="str">
        <f>HLOOKUP(Non_UN,'Other translations2'!$A:$L,1+J29,)</f>
        <v>Andere Bodenarten</v>
      </c>
      <c r="J29" s="2078">
        <v>28</v>
      </c>
    </row>
    <row r="30" spans="1:10" ht="26.4">
      <c r="A30" s="2648" t="str">
        <f>' IPCC'!G8</f>
        <v>Please specify the climate</v>
      </c>
      <c r="C30" s="2919" t="s">
        <v>1752</v>
      </c>
      <c r="D30" s="2931" t="s">
        <v>5063</v>
      </c>
      <c r="E30" s="2872" t="s">
        <v>4324</v>
      </c>
      <c r="F30" s="2855" t="s">
        <v>2965</v>
      </c>
      <c r="G30" s="2860" t="s">
        <v>3680</v>
      </c>
      <c r="H30" s="2078" t="str">
        <f>HLOOKUP(Non_UN,'Other translations2'!$A:$L,1+J30,)</f>
        <v>Bitte wählen Sie den Klimatyp</v>
      </c>
      <c r="J30" s="2078">
        <v>29</v>
      </c>
    </row>
    <row r="31" spans="1:10">
      <c r="A31" s="2648" t="s">
        <v>398</v>
      </c>
      <c r="C31" s="2918" t="s">
        <v>1687</v>
      </c>
      <c r="D31" s="2931" t="s">
        <v>5064</v>
      </c>
      <c r="E31" s="2872" t="s">
        <v>4325</v>
      </c>
      <c r="F31" s="2855" t="s">
        <v>2966</v>
      </c>
      <c r="G31" s="2860" t="s">
        <v>3681</v>
      </c>
      <c r="H31" s="2078" t="str">
        <f>HLOOKUP(Non_UN,'Other translations2'!$A:$L,1+J31,)</f>
        <v>Tropischer Regenwald</v>
      </c>
      <c r="J31" s="2078">
        <v>30</v>
      </c>
    </row>
    <row r="32" spans="1:10">
      <c r="A32" s="2648" t="s">
        <v>404</v>
      </c>
      <c r="C32" s="2918" t="s">
        <v>1692</v>
      </c>
      <c r="D32" s="2931" t="s">
        <v>5065</v>
      </c>
      <c r="E32" s="2872" t="s">
        <v>4326</v>
      </c>
      <c r="F32" s="2855" t="s">
        <v>2967</v>
      </c>
      <c r="G32" s="2860" t="s">
        <v>3682</v>
      </c>
      <c r="H32" s="2078" t="str">
        <f>HLOOKUP(Non_UN,'Other translations2'!$A:$L,1+J32,)</f>
        <v>Tropisch-feuchter Laubwald</v>
      </c>
      <c r="J32" s="2078">
        <v>31</v>
      </c>
    </row>
    <row r="33" spans="1:10">
      <c r="A33" s="2648" t="s">
        <v>409</v>
      </c>
      <c r="C33" s="2918" t="s">
        <v>1695</v>
      </c>
      <c r="D33" s="2931" t="s">
        <v>5066</v>
      </c>
      <c r="E33" s="2872" t="s">
        <v>4327</v>
      </c>
      <c r="F33" s="2855" t="s">
        <v>2968</v>
      </c>
      <c r="G33" s="2860" t="s">
        <v>3683</v>
      </c>
      <c r="H33" s="2078" t="str">
        <f>HLOOKUP(Non_UN,'Other translations2'!$A:$L,1+J33,)</f>
        <v>Tropischer Trockenwald</v>
      </c>
      <c r="J33" s="2078">
        <v>32</v>
      </c>
    </row>
    <row r="34" spans="1:10" ht="26.4">
      <c r="A34" s="2648" t="s">
        <v>414</v>
      </c>
      <c r="C34" s="2918" t="s">
        <v>1698</v>
      </c>
      <c r="D34" s="2931" t="s">
        <v>5067</v>
      </c>
      <c r="E34" s="2872" t="s">
        <v>4328</v>
      </c>
      <c r="F34" s="2855" t="s">
        <v>2969</v>
      </c>
      <c r="G34" s="2860" t="s">
        <v>3684</v>
      </c>
      <c r="H34" s="2078" t="str">
        <f>HLOOKUP(Non_UN,'Other translations2'!$A:$L,1+J34,)</f>
        <v>Tropisches Buschland</v>
      </c>
      <c r="J34" s="2078">
        <v>33</v>
      </c>
    </row>
    <row r="35" spans="1:10">
      <c r="A35" s="2648" t="s">
        <v>399</v>
      </c>
      <c r="C35" s="2918" t="s">
        <v>1688</v>
      </c>
      <c r="D35" s="2931" t="s">
        <v>5068</v>
      </c>
      <c r="E35" s="2872" t="s">
        <v>4329</v>
      </c>
      <c r="F35" s="2855" t="s">
        <v>2970</v>
      </c>
      <c r="G35" s="2860" t="s">
        <v>3685</v>
      </c>
      <c r="H35" s="2078" t="str">
        <f>HLOOKUP(Non_UN,'Other translations2'!$A:$L,1+J35,)</f>
        <v>Subtropischer Feuchtwald</v>
      </c>
      <c r="J35" s="2078">
        <v>34</v>
      </c>
    </row>
    <row r="36" spans="1:10">
      <c r="A36" s="2648" t="s">
        <v>405</v>
      </c>
      <c r="C36" s="2918" t="s">
        <v>1693</v>
      </c>
      <c r="D36" s="2931" t="s">
        <v>5069</v>
      </c>
      <c r="E36" s="2872" t="s">
        <v>4330</v>
      </c>
      <c r="F36" s="2855" t="s">
        <v>2971</v>
      </c>
      <c r="G36" s="2860" t="s">
        <v>3686</v>
      </c>
      <c r="H36" s="2078" t="str">
        <f>HLOOKUP(Non_UN,'Other translations2'!$A:$L,1+J36,)</f>
        <v>Subtropischer Trockenwald</v>
      </c>
      <c r="J36" s="2078">
        <v>35</v>
      </c>
    </row>
    <row r="37" spans="1:10">
      <c r="A37" s="2648" t="s">
        <v>410</v>
      </c>
      <c r="C37" s="2918" t="s">
        <v>1696</v>
      </c>
      <c r="D37" s="2931" t="s">
        <v>5070</v>
      </c>
      <c r="E37" s="2872" t="s">
        <v>4331</v>
      </c>
      <c r="F37" s="2855" t="s">
        <v>2972</v>
      </c>
      <c r="G37" s="2860" t="s">
        <v>3687</v>
      </c>
      <c r="H37" s="2078" t="str">
        <f>HLOOKUP(Non_UN,'Other translations2'!$A:$L,1+J37,)</f>
        <v>Subtropische Steppe</v>
      </c>
      <c r="J37" s="2078">
        <v>36</v>
      </c>
    </row>
    <row r="38" spans="1:10">
      <c r="A38" s="2648" t="s">
        <v>415</v>
      </c>
      <c r="C38" s="2918" t="s">
        <v>1699</v>
      </c>
      <c r="D38" s="2931" t="s">
        <v>5238</v>
      </c>
      <c r="E38" s="2872" t="s">
        <v>4332</v>
      </c>
      <c r="F38" s="2855" t="s">
        <v>2973</v>
      </c>
      <c r="G38" s="2860" t="s">
        <v>3688</v>
      </c>
      <c r="H38" s="2078" t="str">
        <f>HLOOKUP(Non_UN,'Other translations2'!$A:$L,1+J38,)</f>
        <v>Subtropisches Bergklima</v>
      </c>
      <c r="J38" s="2078">
        <v>37</v>
      </c>
    </row>
    <row r="39" spans="1:10">
      <c r="A39" s="2648" t="s">
        <v>400</v>
      </c>
      <c r="C39" s="2918" t="s">
        <v>1689</v>
      </c>
      <c r="D39" s="2931" t="s">
        <v>5071</v>
      </c>
      <c r="E39" s="2872" t="s">
        <v>4333</v>
      </c>
      <c r="F39" s="2855" t="s">
        <v>2974</v>
      </c>
      <c r="G39" s="2860" t="s">
        <v>3689</v>
      </c>
      <c r="H39" s="2078" t="str">
        <f>HLOOKUP(Non_UN,'Other translations2'!$A:$L,1+J39,)</f>
        <v>Gemässigt ozeanischer Wald</v>
      </c>
      <c r="J39" s="2078">
        <v>38</v>
      </c>
    </row>
    <row r="40" spans="1:10">
      <c r="A40" s="2648" t="s">
        <v>406</v>
      </c>
      <c r="C40" s="2918" t="s">
        <v>1694</v>
      </c>
      <c r="D40" s="2931" t="s">
        <v>5072</v>
      </c>
      <c r="E40" s="2872" t="s">
        <v>4334</v>
      </c>
      <c r="F40" s="2855" t="s">
        <v>2975</v>
      </c>
      <c r="G40" s="2860" t="s">
        <v>3690</v>
      </c>
      <c r="H40" s="2078" t="str">
        <f>HLOOKUP(Non_UN,'Other translations2'!$A:$L,1+J40,)</f>
        <v>Gemässigt kontinentaler Wald</v>
      </c>
      <c r="J40" s="2078">
        <v>39</v>
      </c>
    </row>
    <row r="41" spans="1:10">
      <c r="A41" s="2648" t="s">
        <v>411</v>
      </c>
      <c r="C41" s="2918" t="s">
        <v>1697</v>
      </c>
      <c r="D41" s="2931" t="s">
        <v>5073</v>
      </c>
      <c r="E41" s="2872" t="s">
        <v>4335</v>
      </c>
      <c r="F41" s="2855" t="s">
        <v>2976</v>
      </c>
      <c r="G41" s="2860" t="s">
        <v>3691</v>
      </c>
      <c r="H41" s="2078" t="str">
        <f>HLOOKUP(Non_UN,'Other translations2'!$A:$L,1+J41,)</f>
        <v>Gemässigtes Bergklima</v>
      </c>
      <c r="J41" s="2078">
        <v>40</v>
      </c>
    </row>
    <row r="42" spans="1:10">
      <c r="A42" s="2648" t="s">
        <v>401</v>
      </c>
      <c r="C42" s="2918" t="s">
        <v>1690</v>
      </c>
      <c r="D42" s="2931" t="s">
        <v>5074</v>
      </c>
      <c r="E42" s="2872" t="s">
        <v>4336</v>
      </c>
      <c r="F42" s="2855" t="s">
        <v>2977</v>
      </c>
      <c r="G42" s="2860" t="s">
        <v>3692</v>
      </c>
      <c r="H42" s="2078" t="str">
        <f>HLOOKUP(Non_UN,'Other translations2'!$A:$L,1+J42,)</f>
        <v>Borealer Nadelwald</v>
      </c>
      <c r="J42" s="2078">
        <v>41</v>
      </c>
    </row>
    <row r="43" spans="1:10">
      <c r="A43" s="2648" t="s">
        <v>407</v>
      </c>
      <c r="C43" s="2918" t="s">
        <v>1700</v>
      </c>
      <c r="D43" s="2931" t="s">
        <v>5075</v>
      </c>
      <c r="E43" s="2872" t="s">
        <v>4337</v>
      </c>
      <c r="F43" s="2855" t="s">
        <v>2978</v>
      </c>
      <c r="G43" s="2860" t="s">
        <v>3693</v>
      </c>
      <c r="H43" s="2078" t="str">
        <f>HLOOKUP(Non_UN,'Other translations2'!$A:$L,1+J43,)</f>
        <v>Borealer Tundra Wald</v>
      </c>
      <c r="J43" s="2078">
        <v>42</v>
      </c>
    </row>
    <row r="44" spans="1:10">
      <c r="A44" s="2648" t="s">
        <v>412</v>
      </c>
      <c r="C44" s="2918" t="s">
        <v>1701</v>
      </c>
      <c r="D44" s="2931" t="s">
        <v>5076</v>
      </c>
      <c r="E44" s="2872" t="s">
        <v>4338</v>
      </c>
      <c r="F44" s="2855" t="s">
        <v>2979</v>
      </c>
      <c r="G44" s="2860" t="s">
        <v>3694</v>
      </c>
      <c r="H44" s="2078" t="str">
        <f>HLOOKUP(Non_UN,'Other translations2'!$A:$L,1+J44,)</f>
        <v>Boreales Bergklima</v>
      </c>
      <c r="J44" s="2078">
        <v>43</v>
      </c>
    </row>
    <row r="45" spans="1:10">
      <c r="A45" s="2648" t="s">
        <v>402</v>
      </c>
      <c r="C45" s="2918" t="s">
        <v>1691</v>
      </c>
      <c r="D45" s="2931" t="s">
        <v>5077</v>
      </c>
      <c r="E45" s="2872" t="s">
        <v>4339</v>
      </c>
      <c r="F45" s="2855" t="s">
        <v>2980</v>
      </c>
      <c r="G45" s="2860" t="s">
        <v>3695</v>
      </c>
      <c r="H45" s="2078" t="str">
        <f>HLOOKUP(Non_UN,'Other translations2'!$A:$L,1+J45,)</f>
        <v>Tropisches Bergklima</v>
      </c>
      <c r="J45" s="2078">
        <v>44</v>
      </c>
    </row>
    <row r="46" spans="1:10">
      <c r="A46" s="2665" t="s">
        <v>1301</v>
      </c>
      <c r="C46" s="2829" t="s">
        <v>1756</v>
      </c>
      <c r="D46" s="2931" t="s">
        <v>5078</v>
      </c>
      <c r="E46" s="2872" t="s">
        <v>4340</v>
      </c>
      <c r="F46" s="2855" t="s">
        <v>2981</v>
      </c>
      <c r="G46" s="2860" t="s">
        <v>3696</v>
      </c>
      <c r="H46" s="2078" t="str">
        <f>HLOOKUP(Non_UN,'Other translations2'!$A:$L,1+J46,)</f>
        <v>Waldtyp 1</v>
      </c>
      <c r="J46" s="2078">
        <v>45</v>
      </c>
    </row>
    <row r="47" spans="1:10">
      <c r="A47" s="2665" t="s">
        <v>1302</v>
      </c>
      <c r="C47" s="2829" t="s">
        <v>1757</v>
      </c>
      <c r="D47" s="2931" t="s">
        <v>5079</v>
      </c>
      <c r="E47" s="2872" t="s">
        <v>4341</v>
      </c>
      <c r="F47" s="2855" t="s">
        <v>2982</v>
      </c>
      <c r="G47" s="2860" t="s">
        <v>3697</v>
      </c>
      <c r="H47" s="2078" t="str">
        <f>HLOOKUP(Non_UN,'Other translations2'!$A:$L,1+J47,)</f>
        <v>Waldtyp 2</v>
      </c>
      <c r="J47" s="2078">
        <v>46</v>
      </c>
    </row>
    <row r="48" spans="1:10">
      <c r="A48" s="2665" t="s">
        <v>1303</v>
      </c>
      <c r="C48" s="2829" t="s">
        <v>1758</v>
      </c>
      <c r="D48" s="2931" t="s">
        <v>5080</v>
      </c>
      <c r="E48" s="2872" t="s">
        <v>4342</v>
      </c>
      <c r="F48" s="2855" t="s">
        <v>2983</v>
      </c>
      <c r="G48" s="2860" t="s">
        <v>3698</v>
      </c>
      <c r="H48" s="2078" t="str">
        <f>HLOOKUP(Non_UN,'Other translations2'!$A:$L,1+J48,)</f>
        <v>Waldtyp 3</v>
      </c>
      <c r="J48" s="2078">
        <v>47</v>
      </c>
    </row>
    <row r="49" spans="1:10">
      <c r="A49" s="2665" t="s">
        <v>1304</v>
      </c>
      <c r="C49" s="2829" t="s">
        <v>1759</v>
      </c>
      <c r="D49" s="2931" t="s">
        <v>5081</v>
      </c>
      <c r="E49" s="2872" t="s">
        <v>4343</v>
      </c>
      <c r="F49" s="2855" t="s">
        <v>2984</v>
      </c>
      <c r="G49" s="2860" t="s">
        <v>3699</v>
      </c>
      <c r="H49" s="2078" t="str">
        <f>HLOOKUP(Non_UN,'Other translations2'!$A:$L,1+J49,)</f>
        <v>Waldtyp 4</v>
      </c>
      <c r="J49" s="2078">
        <v>48</v>
      </c>
    </row>
    <row r="50" spans="1:10">
      <c r="A50" s="2665" t="s">
        <v>1305</v>
      </c>
      <c r="C50" s="2829" t="s">
        <v>1760</v>
      </c>
      <c r="D50" s="2931" t="s">
        <v>5082</v>
      </c>
      <c r="E50" s="2872" t="s">
        <v>4344</v>
      </c>
      <c r="F50" s="2855" t="s">
        <v>2985</v>
      </c>
      <c r="G50" s="2860" t="s">
        <v>3700</v>
      </c>
      <c r="H50" s="2078" t="str">
        <f>HLOOKUP(Non_UN,'Other translations2'!$A:$L,1+J50,)</f>
        <v>Baumplantagentyp 1</v>
      </c>
      <c r="J50" s="2078">
        <v>49</v>
      </c>
    </row>
    <row r="51" spans="1:10">
      <c r="A51" s="2665" t="s">
        <v>1306</v>
      </c>
      <c r="C51" s="2829" t="s">
        <v>1761</v>
      </c>
      <c r="D51" s="2931" t="s">
        <v>5083</v>
      </c>
      <c r="E51" s="2872" t="s">
        <v>4345</v>
      </c>
      <c r="F51" s="2855" t="s">
        <v>2986</v>
      </c>
      <c r="G51" s="2860" t="s">
        <v>3701</v>
      </c>
      <c r="H51" s="2078" t="str">
        <f>HLOOKUP(Non_UN,'Other translations2'!$A:$L,1+J51,)</f>
        <v>Baumplantagentyp 2</v>
      </c>
      <c r="J51" s="2078">
        <v>50</v>
      </c>
    </row>
    <row r="52" spans="1:10">
      <c r="A52" s="2665" t="s">
        <v>1307</v>
      </c>
      <c r="C52" s="2829" t="s">
        <v>1762</v>
      </c>
      <c r="D52" s="2931" t="s">
        <v>5084</v>
      </c>
      <c r="E52" s="2872" t="s">
        <v>4346</v>
      </c>
      <c r="F52" s="2855" t="s">
        <v>2987</v>
      </c>
      <c r="G52" s="2860" t="s">
        <v>3702</v>
      </c>
      <c r="H52" s="2078" t="str">
        <f>HLOOKUP(Non_UN,'Other translations2'!$A:$L,1+J52,)</f>
        <v>Baumplantagentyp 3</v>
      </c>
      <c r="J52" s="2078">
        <v>51</v>
      </c>
    </row>
    <row r="53" spans="1:10">
      <c r="A53" s="2665" t="s">
        <v>1308</v>
      </c>
      <c r="C53" s="2829" t="s">
        <v>1763</v>
      </c>
      <c r="D53" s="2931" t="s">
        <v>5085</v>
      </c>
      <c r="E53" s="2872" t="s">
        <v>4347</v>
      </c>
      <c r="F53" s="2855" t="s">
        <v>2988</v>
      </c>
      <c r="G53" s="2860" t="s">
        <v>3703</v>
      </c>
      <c r="H53" s="2078" t="str">
        <f>HLOOKUP(Non_UN,'Other translations2'!$A:$L,1+J53,)</f>
        <v>Baumplantagentyp 4</v>
      </c>
      <c r="J53" s="2078">
        <v>52</v>
      </c>
    </row>
    <row r="54" spans="1:10">
      <c r="A54" s="2665" t="s">
        <v>1517</v>
      </c>
      <c r="C54" s="2829" t="s">
        <v>1764</v>
      </c>
      <c r="D54" s="2931" t="s">
        <v>5086</v>
      </c>
      <c r="E54" s="2872" t="s">
        <v>4348</v>
      </c>
      <c r="F54" s="2855" t="s">
        <v>2989</v>
      </c>
      <c r="G54" s="2860" t="s">
        <v>3704</v>
      </c>
      <c r="H54" s="2078" t="str">
        <f>HLOOKUP(Non_UN,'Other translations2'!$A:$L,1+J54,)</f>
        <v>Wählen Sie die Vegetation</v>
      </c>
      <c r="J54" s="2078">
        <v>53</v>
      </c>
    </row>
    <row r="55" spans="1:10">
      <c r="A55" s="2665" t="s">
        <v>359</v>
      </c>
      <c r="C55" s="2829" t="s">
        <v>1766</v>
      </c>
      <c r="D55" s="2931" t="s">
        <v>359</v>
      </c>
      <c r="E55" s="2872" t="s">
        <v>4349</v>
      </c>
      <c r="F55" s="2855" t="s">
        <v>2990</v>
      </c>
      <c r="G55" s="2860" t="s">
        <v>3705</v>
      </c>
      <c r="H55" s="2078" t="str">
        <f>HLOOKUP(Non_UN,'Other translations2'!$A:$L,1+J55,)</f>
        <v>Nein</v>
      </c>
      <c r="J55" s="2078">
        <v>54</v>
      </c>
    </row>
    <row r="56" spans="1:10">
      <c r="A56" s="2665" t="s">
        <v>20</v>
      </c>
      <c r="C56" s="2829" t="s">
        <v>1767</v>
      </c>
      <c r="D56" s="2931" t="s">
        <v>5087</v>
      </c>
      <c r="E56" s="2872" t="s">
        <v>4350</v>
      </c>
      <c r="F56" s="2855" t="s">
        <v>2991</v>
      </c>
      <c r="G56" s="2860" t="s">
        <v>3706</v>
      </c>
      <c r="H56" s="2078" t="str">
        <f>HLOOKUP(Non_UN,'Other translations2'!$A:$L,1+J56,)</f>
        <v xml:space="preserve">Ja </v>
      </c>
      <c r="J56" s="2078">
        <v>55</v>
      </c>
    </row>
    <row r="57" spans="1:10" ht="26.4">
      <c r="A57" s="2648" t="s">
        <v>13</v>
      </c>
      <c r="C57" s="2918" t="s">
        <v>1776</v>
      </c>
      <c r="D57" s="2931" t="s">
        <v>5088</v>
      </c>
      <c r="E57" s="2872" t="s">
        <v>4351</v>
      </c>
      <c r="F57" s="2855" t="s">
        <v>2992</v>
      </c>
      <c r="G57" s="2860" t="s">
        <v>3707</v>
      </c>
      <c r="H57" s="2078" t="str">
        <f>HLOOKUP(Non_UN,'Other translations2'!$A:$L,1+J57,)</f>
        <v>Wählen Sie die Nutzung nach der Rodung</v>
      </c>
      <c r="J57" s="2078">
        <v>56</v>
      </c>
    </row>
    <row r="58" spans="1:10">
      <c r="A58" s="2648" t="s">
        <v>676</v>
      </c>
      <c r="C58" s="2918" t="s">
        <v>1772</v>
      </c>
      <c r="D58" s="2931" t="s">
        <v>5089</v>
      </c>
      <c r="E58" s="2872" t="s">
        <v>4352</v>
      </c>
      <c r="F58" s="2855" t="s">
        <v>2993</v>
      </c>
      <c r="G58" s="2860" t="s">
        <v>3708</v>
      </c>
      <c r="H58" s="2078" t="str">
        <f>HLOOKUP(Non_UN,'Other translations2'!$A:$L,1+J58,)</f>
        <v>Einjährige Kulturpflanze</v>
      </c>
      <c r="J58" s="2078">
        <v>57</v>
      </c>
    </row>
    <row r="59" spans="1:10">
      <c r="A59" s="2648" t="s">
        <v>673</v>
      </c>
      <c r="C59" s="2918" t="s">
        <v>1773</v>
      </c>
      <c r="D59" s="2931" t="s">
        <v>5090</v>
      </c>
      <c r="E59" s="2872" t="s">
        <v>4353</v>
      </c>
      <c r="F59" s="2855" t="s">
        <v>2994</v>
      </c>
      <c r="G59" s="2860" t="s">
        <v>3709</v>
      </c>
      <c r="H59" s="2078" t="str">
        <f>HLOOKUP(Non_UN,'Other translations2'!$A:$L,1+J59,)</f>
        <v>Mehrjährige Kulturpflanze</v>
      </c>
      <c r="J59" s="2078">
        <v>58</v>
      </c>
    </row>
    <row r="60" spans="1:10">
      <c r="A60" s="2648" t="s">
        <v>1637</v>
      </c>
      <c r="C60" s="2918" t="s">
        <v>1774</v>
      </c>
      <c r="D60" s="2931" t="s">
        <v>5239</v>
      </c>
      <c r="E60" s="2872" t="s">
        <v>4354</v>
      </c>
      <c r="F60" s="2855" t="s">
        <v>2995</v>
      </c>
      <c r="G60" s="2860" t="s">
        <v>3710</v>
      </c>
      <c r="H60" s="2078" t="str">
        <f>HLOOKUP(Non_UN,'Other translations2'!$A:$L,1+J60,)</f>
        <v>Nassreis</v>
      </c>
      <c r="J60" s="2078">
        <v>59</v>
      </c>
    </row>
    <row r="61" spans="1:10">
      <c r="A61" s="2648" t="s">
        <v>675</v>
      </c>
      <c r="C61" s="2918" t="s">
        <v>1768</v>
      </c>
      <c r="D61" s="2931" t="s">
        <v>5091</v>
      </c>
      <c r="E61" s="2872" t="s">
        <v>4355</v>
      </c>
      <c r="F61" s="2855" t="s">
        <v>2996</v>
      </c>
      <c r="G61" s="2860" t="s">
        <v>3711</v>
      </c>
      <c r="H61" s="2078" t="str">
        <f>HLOOKUP(Non_UN,'Other translations2'!$A:$L,1+J61,)</f>
        <v>Stilllegungsflächen</v>
      </c>
      <c r="J61" s="2078">
        <v>60</v>
      </c>
    </row>
    <row r="62" spans="1:10">
      <c r="A62" s="2648" t="s">
        <v>334</v>
      </c>
      <c r="C62" s="2918" t="s">
        <v>1775</v>
      </c>
      <c r="D62" s="2931" t="s">
        <v>4852</v>
      </c>
      <c r="E62" s="2872" t="s">
        <v>4356</v>
      </c>
      <c r="F62" s="2855" t="s">
        <v>2997</v>
      </c>
      <c r="G62" s="2860" t="s">
        <v>3427</v>
      </c>
      <c r="H62" s="2078" t="str">
        <f>HLOOKUP(Non_UN,'Other translations2'!$A:$L,1+J62,)</f>
        <v>Weideland</v>
      </c>
      <c r="J62" s="2078">
        <v>61</v>
      </c>
    </row>
    <row r="63" spans="1:10" ht="14.4">
      <c r="A63" s="2648" t="s">
        <v>1207</v>
      </c>
      <c r="C63" s="2918" t="s">
        <v>1769</v>
      </c>
      <c r="D63" s="2931" t="s">
        <v>5092</v>
      </c>
      <c r="E63" s="2872" t="s">
        <v>4357</v>
      </c>
      <c r="F63" s="2856" t="s">
        <v>2856</v>
      </c>
      <c r="G63" s="2860" t="s">
        <v>3546</v>
      </c>
      <c r="H63" s="2078" t="str">
        <f>HLOOKUP(Non_UN,'Other translations2'!$A:$L,1+J63,)</f>
        <v>Degradiert</v>
      </c>
      <c r="J63" s="2078">
        <v>62</v>
      </c>
    </row>
    <row r="64" spans="1:10">
      <c r="A64" s="2648" t="s">
        <v>132</v>
      </c>
      <c r="C64" s="2918" t="s">
        <v>1770</v>
      </c>
      <c r="D64" s="2931" t="s">
        <v>5093</v>
      </c>
      <c r="E64" s="2872" t="s">
        <v>4358</v>
      </c>
      <c r="F64" s="2855" t="s">
        <v>2998</v>
      </c>
      <c r="G64" s="2860" t="s">
        <v>3712</v>
      </c>
      <c r="H64" s="2078" t="str">
        <f>HLOOKUP(Non_UN,'Other translations2'!$A:$L,1+J64,)</f>
        <v>Andere (nominal)</v>
      </c>
      <c r="J64" s="2078">
        <v>63</v>
      </c>
    </row>
    <row r="65" spans="1:10">
      <c r="A65" s="2648" t="s">
        <v>133</v>
      </c>
      <c r="C65" s="2918" t="s">
        <v>1771</v>
      </c>
      <c r="D65" s="2931" t="s">
        <v>5094</v>
      </c>
      <c r="E65" s="2872" t="s">
        <v>4359</v>
      </c>
      <c r="F65" s="2855" t="s">
        <v>2999</v>
      </c>
      <c r="G65" s="2860" t="s">
        <v>3713</v>
      </c>
      <c r="H65" s="2078" t="str">
        <f>HLOOKUP(Non_UN,'Other translations2'!$A:$L,1+J65,)</f>
        <v>Andere (degradiert)</v>
      </c>
      <c r="J65" s="2078">
        <v>64</v>
      </c>
    </row>
    <row r="66" spans="1:10">
      <c r="A66" s="2648" t="s">
        <v>15</v>
      </c>
      <c r="C66" s="2918" t="s">
        <v>1780</v>
      </c>
      <c r="D66" s="2931" t="s">
        <v>5095</v>
      </c>
      <c r="E66" s="2872" t="s">
        <v>4360</v>
      </c>
      <c r="F66" s="2855" t="s">
        <v>3000</v>
      </c>
      <c r="G66" s="2860" t="s">
        <v>3714</v>
      </c>
      <c r="H66" s="2078" t="str">
        <f>HLOOKUP(Non_UN,'Other translations2'!$A:$L,1+J66,)</f>
        <v>Wählen Sie die vorherige Landnutzung</v>
      </c>
      <c r="J66" s="2078">
        <v>65</v>
      </c>
    </row>
    <row r="67" spans="1:10">
      <c r="A67" s="2648" t="s">
        <v>676</v>
      </c>
      <c r="C67" s="2920" t="s">
        <v>1772</v>
      </c>
      <c r="D67" s="2931" t="s">
        <v>5089</v>
      </c>
      <c r="E67" s="2872" t="s">
        <v>4352</v>
      </c>
      <c r="F67" s="2855" t="s">
        <v>2993</v>
      </c>
      <c r="G67" s="2860" t="s">
        <v>3708</v>
      </c>
      <c r="H67" s="2078" t="str">
        <f>HLOOKUP(Non_UN,'Other translations2'!$A:$L,1+J67,)</f>
        <v>Einjährige Kulturpflanze</v>
      </c>
      <c r="J67" s="2078">
        <v>66</v>
      </c>
    </row>
    <row r="68" spans="1:10">
      <c r="A68" s="2648" t="s">
        <v>1001</v>
      </c>
      <c r="C68" s="2920" t="s">
        <v>1781</v>
      </c>
      <c r="D68" s="2931" t="s">
        <v>5096</v>
      </c>
      <c r="E68" s="2872" t="s">
        <v>4361</v>
      </c>
      <c r="F68" s="2855" t="s">
        <v>3001</v>
      </c>
      <c r="G68" s="2860" t="s">
        <v>3715</v>
      </c>
      <c r="H68" s="2078" t="str">
        <f>HLOOKUP(Non_UN,'Other translations2'!$A:$L,1+J68,)</f>
        <v>Mehrjährige Kulturpflanze/Baumplantage (&lt;5 Jahre)</v>
      </c>
      <c r="J68" s="2078">
        <v>67</v>
      </c>
    </row>
    <row r="69" spans="1:10" ht="26.4">
      <c r="A69" s="2648" t="s">
        <v>1003</v>
      </c>
      <c r="C69" s="2920" t="s">
        <v>1782</v>
      </c>
      <c r="D69" s="2931" t="s">
        <v>5097</v>
      </c>
      <c r="E69" s="2872" t="s">
        <v>4362</v>
      </c>
      <c r="F69" s="2855" t="s">
        <v>3002</v>
      </c>
      <c r="G69" s="2860" t="s">
        <v>3716</v>
      </c>
      <c r="H69" s="2078" t="str">
        <f>HLOOKUP(Non_UN,'Other translations2'!$A:$L,1+J69,)</f>
        <v>Mehrjährige Kulturpflanze/Baumplantage (6-10 Jahre)</v>
      </c>
      <c r="J69" s="2078">
        <v>68</v>
      </c>
    </row>
    <row r="70" spans="1:10" ht="26.4">
      <c r="A70" s="2648" t="s">
        <v>1004</v>
      </c>
      <c r="C70" s="2920" t="s">
        <v>1783</v>
      </c>
      <c r="D70" s="2931" t="s">
        <v>5098</v>
      </c>
      <c r="E70" s="2872" t="s">
        <v>4363</v>
      </c>
      <c r="F70" s="2855" t="s">
        <v>3003</v>
      </c>
      <c r="G70" s="2860" t="s">
        <v>3717</v>
      </c>
      <c r="H70" s="2078" t="str">
        <f>HLOOKUP(Non_UN,'Other translations2'!$A:$L,1+J70,)</f>
        <v>Mehrjährige Kulturpflanze/Baumplantage (&gt;10 Jahre)</v>
      </c>
      <c r="J70" s="2078">
        <v>69</v>
      </c>
    </row>
    <row r="71" spans="1:10">
      <c r="A71" s="2648" t="s">
        <v>1637</v>
      </c>
      <c r="C71" s="2918" t="str">
        <f>C60</f>
        <v>Riz "Paddy" ou riz irrigué</v>
      </c>
      <c r="D71" s="2931" t="s">
        <v>5239</v>
      </c>
      <c r="E71" s="2872" t="s">
        <v>4354</v>
      </c>
      <c r="F71" s="2855" t="s">
        <v>2995</v>
      </c>
      <c r="G71" s="2860" t="s">
        <v>3710</v>
      </c>
      <c r="H71" s="2078" t="str">
        <f>HLOOKUP(Non_UN,'Other translations2'!$A:$L,1+J71,)</f>
        <v>Nassreis</v>
      </c>
      <c r="J71" s="2078">
        <v>70</v>
      </c>
    </row>
    <row r="72" spans="1:10">
      <c r="A72" s="2648" t="s">
        <v>674</v>
      </c>
      <c r="C72" s="2918" t="s">
        <v>1768</v>
      </c>
      <c r="D72" s="2931" t="s">
        <v>5091</v>
      </c>
      <c r="E72" s="2872" t="s">
        <v>4355</v>
      </c>
      <c r="F72" s="2855" t="s">
        <v>2996</v>
      </c>
      <c r="G72" s="2860" t="s">
        <v>3711</v>
      </c>
      <c r="H72" s="2078" t="str">
        <f>HLOOKUP(Non_UN,'Other translations2'!$A:$L,1+J72,)</f>
        <v>Stilllegungsflächen</v>
      </c>
      <c r="J72" s="2078">
        <v>71</v>
      </c>
    </row>
    <row r="73" spans="1:10">
      <c r="A73" s="2648" t="s">
        <v>334</v>
      </c>
      <c r="C73" s="2918" t="str">
        <f>C62</f>
        <v>Prairies ou Paturages</v>
      </c>
      <c r="D73" s="2931" t="s">
        <v>4852</v>
      </c>
      <c r="E73" s="2872" t="s">
        <v>4356</v>
      </c>
      <c r="F73" s="2855" t="s">
        <v>2997</v>
      </c>
      <c r="G73" s="2860" t="s">
        <v>3427</v>
      </c>
      <c r="H73" s="2078" t="str">
        <f>HLOOKUP(Non_UN,'Other translations2'!$A:$L,1+J73,)</f>
        <v>Weideland</v>
      </c>
      <c r="J73" s="2078">
        <v>72</v>
      </c>
    </row>
    <row r="74" spans="1:10">
      <c r="A74" s="2648" t="s">
        <v>998</v>
      </c>
      <c r="C74" s="2918" t="s">
        <v>1769</v>
      </c>
      <c r="D74" s="2931" t="s">
        <v>5092</v>
      </c>
      <c r="E74" s="2872" t="s">
        <v>4364</v>
      </c>
      <c r="F74" s="2855" t="s">
        <v>3004</v>
      </c>
      <c r="G74" s="2860" t="s">
        <v>3718</v>
      </c>
      <c r="H74" s="2078" t="str">
        <f>HLOOKUP(Non_UN,'Other translations2'!$A:$L,1+J74,)</f>
        <v>Degradiertes Land</v>
      </c>
      <c r="J74" s="2078">
        <v>73</v>
      </c>
    </row>
    <row r="75" spans="1:10">
      <c r="A75" s="2648" t="s">
        <v>16</v>
      </c>
      <c r="C75" s="2918" t="s">
        <v>1807</v>
      </c>
      <c r="D75" s="2931" t="s">
        <v>5099</v>
      </c>
      <c r="E75" s="2872" t="s">
        <v>4365</v>
      </c>
      <c r="F75" s="2855" t="s">
        <v>3005</v>
      </c>
      <c r="G75" s="2860" t="s">
        <v>3719</v>
      </c>
      <c r="H75" s="2078" t="str">
        <f>HLOOKUP(Non_UN,'Other translations2'!$A:$L,1+J75,)</f>
        <v>Wählen Sie die ursprüngliche Landnutzung</v>
      </c>
      <c r="J75" s="2078">
        <v>74</v>
      </c>
    </row>
    <row r="76" spans="1:10">
      <c r="A76" s="2648" t="s">
        <v>676</v>
      </c>
      <c r="C76" s="2918" t="s">
        <v>1808</v>
      </c>
      <c r="D76" s="2931" t="s">
        <v>5089</v>
      </c>
      <c r="E76" s="2872" t="s">
        <v>4352</v>
      </c>
      <c r="F76" s="2855" t="s">
        <v>2993</v>
      </c>
      <c r="G76" s="2860" t="s">
        <v>3708</v>
      </c>
      <c r="H76" s="2078" t="str">
        <f>HLOOKUP(Non_UN,'Other translations2'!$A:$L,1+J76,)</f>
        <v>Einjährige Kulturpflanze</v>
      </c>
      <c r="J76" s="2078">
        <v>75</v>
      </c>
    </row>
    <row r="77" spans="1:10">
      <c r="A77" s="2648" t="s">
        <v>1001</v>
      </c>
      <c r="C77" s="2918" t="s">
        <v>1809</v>
      </c>
      <c r="D77" s="2931" t="s">
        <v>5096</v>
      </c>
      <c r="E77" s="2872" t="s">
        <v>4361</v>
      </c>
      <c r="F77" s="2855" t="s">
        <v>3001</v>
      </c>
      <c r="G77" s="2860" t="s">
        <v>3715</v>
      </c>
      <c r="H77" s="2078" t="str">
        <f>HLOOKUP(Non_UN,'Other translations2'!$A:$L,1+J77,)</f>
        <v>Mehrjährige Kulturpflanze/Baumplantage (&lt;5 Jahre)</v>
      </c>
      <c r="J77" s="2078">
        <v>76</v>
      </c>
    </row>
    <row r="78" spans="1:10">
      <c r="A78" s="2648" t="s">
        <v>1003</v>
      </c>
      <c r="C78" s="2918" t="s">
        <v>1810</v>
      </c>
      <c r="D78" s="2931" t="s">
        <v>5097</v>
      </c>
      <c r="E78" s="2872" t="s">
        <v>4366</v>
      </c>
      <c r="F78" s="2855" t="s">
        <v>3002</v>
      </c>
      <c r="G78" s="2860" t="s">
        <v>3716</v>
      </c>
      <c r="H78" s="2078" t="str">
        <f>HLOOKUP(Non_UN,'Other translations2'!$A:$L,1+J78,)</f>
        <v>Mehrjährige Kulturpflanze/Baumplantage (6-10 Jahre)</v>
      </c>
      <c r="J78" s="2078">
        <v>77</v>
      </c>
    </row>
    <row r="79" spans="1:10">
      <c r="A79" s="2648" t="s">
        <v>1004</v>
      </c>
      <c r="C79" s="2918" t="s">
        <v>1811</v>
      </c>
      <c r="D79" s="2931" t="s">
        <v>5098</v>
      </c>
      <c r="E79" s="2872" t="s">
        <v>4367</v>
      </c>
      <c r="F79" s="2855" t="s">
        <v>3003</v>
      </c>
      <c r="G79" s="2860" t="s">
        <v>3717</v>
      </c>
      <c r="H79" s="2078" t="str">
        <f>HLOOKUP(Non_UN,'Other translations2'!$A:$L,1+J79,)</f>
        <v>Mehrjährige Kulturpflanze/Baumplantage (&gt;10 Jahre)</v>
      </c>
      <c r="J79" s="2078">
        <v>78</v>
      </c>
    </row>
    <row r="80" spans="1:10">
      <c r="A80" s="2648" t="s">
        <v>1637</v>
      </c>
      <c r="C80" s="2918" t="s">
        <v>1812</v>
      </c>
      <c r="D80" s="2931" t="s">
        <v>5239</v>
      </c>
      <c r="E80" s="2872" t="s">
        <v>4354</v>
      </c>
      <c r="F80" s="2855" t="s">
        <v>2995</v>
      </c>
      <c r="G80" s="2860" t="s">
        <v>3710</v>
      </c>
      <c r="H80" s="2078" t="str">
        <f>HLOOKUP(Non_UN,'Other translations2'!$A:$L,1+J80,)</f>
        <v>Nassreis</v>
      </c>
      <c r="J80" s="2078">
        <v>79</v>
      </c>
    </row>
    <row r="81" spans="1:10">
      <c r="A81" s="2648" t="s">
        <v>674</v>
      </c>
      <c r="C81" s="2918" t="s">
        <v>1768</v>
      </c>
      <c r="D81" s="2931" t="s">
        <v>5091</v>
      </c>
      <c r="E81" s="2872" t="s">
        <v>4355</v>
      </c>
      <c r="F81" s="2855" t="s">
        <v>2996</v>
      </c>
      <c r="G81" s="2860" t="s">
        <v>3711</v>
      </c>
      <c r="H81" s="2078" t="str">
        <f>HLOOKUP(Non_UN,'Other translations2'!$A:$L,1+J81,)</f>
        <v>Stilllegungsflächen</v>
      </c>
      <c r="J81" s="2078">
        <v>80</v>
      </c>
    </row>
    <row r="82" spans="1:10">
      <c r="A82" s="2648" t="s">
        <v>334</v>
      </c>
      <c r="C82" s="2918" t="s">
        <v>1813</v>
      </c>
      <c r="D82" s="2931" t="s">
        <v>4852</v>
      </c>
      <c r="E82" s="2872" t="s">
        <v>4356</v>
      </c>
      <c r="F82" s="2855" t="s">
        <v>2997</v>
      </c>
      <c r="G82" s="2860" t="s">
        <v>3427</v>
      </c>
      <c r="H82" s="2078" t="str">
        <f>HLOOKUP(Non_UN,'Other translations2'!$A:$L,1+J82,)</f>
        <v>Weideland</v>
      </c>
      <c r="J82" s="2078">
        <v>81</v>
      </c>
    </row>
    <row r="83" spans="1:10">
      <c r="A83" s="2648" t="s">
        <v>998</v>
      </c>
      <c r="C83" s="2918" t="s">
        <v>1769</v>
      </c>
      <c r="D83" s="2931" t="s">
        <v>5092</v>
      </c>
      <c r="E83" s="2872" t="s">
        <v>4364</v>
      </c>
      <c r="F83" s="2855" t="s">
        <v>3004</v>
      </c>
      <c r="G83" s="2860" t="s">
        <v>3718</v>
      </c>
      <c r="H83" s="2078" t="str">
        <f>HLOOKUP(Non_UN,'Other translations2'!$A:$L,1+J83,)</f>
        <v>Degradiertes Land</v>
      </c>
      <c r="J83" s="2078">
        <v>82</v>
      </c>
    </row>
    <row r="84" spans="1:10">
      <c r="A84" s="2648" t="s">
        <v>1107</v>
      </c>
      <c r="C84" s="2918" t="s">
        <v>1814</v>
      </c>
      <c r="D84" s="2931" t="s">
        <v>5100</v>
      </c>
      <c r="E84" s="2872" t="s">
        <v>4185</v>
      </c>
      <c r="F84" s="2855" t="s">
        <v>3006</v>
      </c>
      <c r="G84" s="2863" t="s">
        <v>3545</v>
      </c>
      <c r="H84" s="2078" t="str">
        <f>HLOOKUP(Non_UN,'Other translations2'!$A:$L,1+J84,)</f>
        <v>Andere Landnutzung</v>
      </c>
      <c r="J84" s="2078">
        <v>83</v>
      </c>
    </row>
    <row r="85" spans="1:10">
      <c r="A85" s="2648" t="s">
        <v>18</v>
      </c>
      <c r="C85" s="2918" t="s">
        <v>1815</v>
      </c>
      <c r="D85" s="2931" t="s">
        <v>5101</v>
      </c>
      <c r="E85" s="2872" t="s">
        <v>4368</v>
      </c>
      <c r="F85" s="2855" t="s">
        <v>3007</v>
      </c>
      <c r="G85" s="2860" t="s">
        <v>3719</v>
      </c>
      <c r="H85" s="2078" t="str">
        <f>HLOOKUP(Non_UN,'Other translations2'!$A:$L,1+J85,)</f>
        <v>Wählen Sie die finale Landnutzung</v>
      </c>
      <c r="J85" s="2078">
        <v>84</v>
      </c>
    </row>
    <row r="86" spans="1:10">
      <c r="A86" s="2648" t="s">
        <v>676</v>
      </c>
      <c r="C86" s="2918" t="s">
        <v>1808</v>
      </c>
      <c r="D86" s="2931" t="s">
        <v>5089</v>
      </c>
      <c r="E86" s="2872" t="s">
        <v>4352</v>
      </c>
      <c r="F86" s="2855" t="s">
        <v>2993</v>
      </c>
      <c r="G86" s="2860" t="s">
        <v>3708</v>
      </c>
      <c r="H86" s="2078" t="str">
        <f>HLOOKUP(Non_UN,'Other translations2'!$A:$L,1+J86,)</f>
        <v>Einjährige Kulturpflanze</v>
      </c>
      <c r="J86" s="2078">
        <v>85</v>
      </c>
    </row>
    <row r="87" spans="1:10">
      <c r="A87" s="2648" t="s">
        <v>673</v>
      </c>
      <c r="C87" s="2918" t="s">
        <v>1816</v>
      </c>
      <c r="D87" s="2931" t="s">
        <v>5090</v>
      </c>
      <c r="E87" s="2872" t="s">
        <v>4353</v>
      </c>
      <c r="F87" s="2855" t="s">
        <v>2994</v>
      </c>
      <c r="G87" s="2860" t="s">
        <v>3709</v>
      </c>
      <c r="H87" s="2078" t="str">
        <f>HLOOKUP(Non_UN,'Other translations2'!$A:$L,1+J87,)</f>
        <v>Mehrjährige Kulturpflanze/Baumplantage</v>
      </c>
      <c r="J87" s="2078">
        <v>86</v>
      </c>
    </row>
    <row r="88" spans="1:10">
      <c r="A88" s="2648" t="s">
        <v>1637</v>
      </c>
      <c r="C88" s="2918" t="s">
        <v>1812</v>
      </c>
      <c r="D88" s="2931" t="s">
        <v>5239</v>
      </c>
      <c r="E88" s="2872" t="s">
        <v>4354</v>
      </c>
      <c r="F88" s="2855" t="s">
        <v>2995</v>
      </c>
      <c r="G88" s="2860" t="s">
        <v>3710</v>
      </c>
      <c r="H88" s="2078" t="str">
        <f>HLOOKUP(Non_UN,'Other translations2'!$A:$L,1+J88,)</f>
        <v>Nassreis</v>
      </c>
      <c r="J88" s="2078">
        <v>87</v>
      </c>
    </row>
    <row r="89" spans="1:10">
      <c r="A89" s="2648" t="s">
        <v>675</v>
      </c>
      <c r="C89" s="2918" t="s">
        <v>1768</v>
      </c>
      <c r="D89" s="2931" t="s">
        <v>5091</v>
      </c>
      <c r="E89" s="2872" t="s">
        <v>4355</v>
      </c>
      <c r="F89" s="2855" t="s">
        <v>2996</v>
      </c>
      <c r="G89" s="2860" t="s">
        <v>3711</v>
      </c>
      <c r="H89" s="2078" t="str">
        <f>HLOOKUP(Non_UN,'Other translations2'!$A:$L,1+J89,)</f>
        <v>Stilllegungsflächen</v>
      </c>
      <c r="J89" s="2078">
        <v>88</v>
      </c>
    </row>
    <row r="90" spans="1:10" ht="14.4">
      <c r="A90" s="2648" t="s">
        <v>334</v>
      </c>
      <c r="C90" s="2918" t="s">
        <v>1813</v>
      </c>
      <c r="D90" s="2931" t="s">
        <v>4852</v>
      </c>
      <c r="E90" s="2872" t="s">
        <v>4356</v>
      </c>
      <c r="F90" s="2857" t="s">
        <v>2997</v>
      </c>
      <c r="G90" s="2860" t="s">
        <v>3427</v>
      </c>
      <c r="H90" s="2078" t="str">
        <f>HLOOKUP(Non_UN,'Other translations2'!$A:$L,1+J90,)</f>
        <v>Weideland</v>
      </c>
      <c r="J90" s="2078">
        <v>89</v>
      </c>
    </row>
    <row r="91" spans="1:10" ht="14.4">
      <c r="A91" s="2648" t="s">
        <v>1207</v>
      </c>
      <c r="C91" s="2918" t="s">
        <v>1769</v>
      </c>
      <c r="D91" s="2931" t="s">
        <v>5092</v>
      </c>
      <c r="E91" s="2872" t="s">
        <v>4357</v>
      </c>
      <c r="F91" s="2857" t="s">
        <v>3008</v>
      </c>
      <c r="G91" s="2860" t="s">
        <v>3546</v>
      </c>
      <c r="H91" s="2078" t="str">
        <f>HLOOKUP(Non_UN,'Other translations2'!$A:$L,1+J91,)</f>
        <v>Degradiert</v>
      </c>
      <c r="J91" s="2078">
        <v>90</v>
      </c>
    </row>
    <row r="92" spans="1:10">
      <c r="A92" s="2648" t="s">
        <v>132</v>
      </c>
      <c r="C92" s="2918" t="s">
        <v>1770</v>
      </c>
      <c r="D92" s="2931" t="s">
        <v>5093</v>
      </c>
      <c r="E92" s="2872" t="s">
        <v>4358</v>
      </c>
      <c r="F92" s="2855" t="s">
        <v>2998</v>
      </c>
      <c r="G92" s="2860" t="s">
        <v>3712</v>
      </c>
      <c r="H92" s="2078" t="str">
        <f>HLOOKUP(Non_UN,'Other translations2'!$A:$L,1+J92,)</f>
        <v>Andere (nominal)</v>
      </c>
      <c r="J92" s="2078">
        <v>91</v>
      </c>
    </row>
    <row r="93" spans="1:10">
      <c r="A93" s="2648" t="s">
        <v>133</v>
      </c>
      <c r="C93" s="2918" t="s">
        <v>1771</v>
      </c>
      <c r="D93" s="2931" t="s">
        <v>5094</v>
      </c>
      <c r="E93" s="2872" t="s">
        <v>4359</v>
      </c>
      <c r="F93" s="2855" t="s">
        <v>2999</v>
      </c>
      <c r="G93" s="2860" t="s">
        <v>3713</v>
      </c>
      <c r="H93" s="2078" t="str">
        <f>HLOOKUP(Non_UN,'Other translations2'!$A:$L,1+J93,)</f>
        <v>Andere (degradiert)</v>
      </c>
      <c r="J93" s="2078">
        <v>92</v>
      </c>
    </row>
    <row r="94" spans="1:10">
      <c r="A94" s="2648" t="s">
        <v>1634</v>
      </c>
      <c r="C94" s="2918" t="s">
        <v>1817</v>
      </c>
      <c r="D94" s="2931" t="s">
        <v>5102</v>
      </c>
      <c r="E94" s="2872" t="s">
        <v>4369</v>
      </c>
      <c r="F94" s="2855" t="s">
        <v>3009</v>
      </c>
      <c r="G94" s="2860" t="s">
        <v>3720</v>
      </c>
      <c r="H94" s="2078" t="str">
        <f>HLOOKUP(Non_UN,'Other translations2'!$A:$L,1+J94,)</f>
        <v>Ursprüngliche Landnutzung</v>
      </c>
      <c r="J94" s="2078">
        <v>93</v>
      </c>
    </row>
    <row r="95" spans="1:10">
      <c r="A95" s="2648" t="s">
        <v>1635</v>
      </c>
      <c r="C95" s="2918" t="s">
        <v>1818</v>
      </c>
      <c r="D95" s="2931" t="s">
        <v>5103</v>
      </c>
      <c r="E95" s="2872" t="s">
        <v>4370</v>
      </c>
      <c r="F95" s="2855" t="s">
        <v>3010</v>
      </c>
      <c r="G95" s="2860" t="s">
        <v>3721</v>
      </c>
      <c r="H95" s="2078" t="str">
        <f>HLOOKUP(Non_UN,'Other translations2'!$A:$L,1+J95,)</f>
        <v>Finale Landnutzung</v>
      </c>
      <c r="J95" s="2078">
        <v>94</v>
      </c>
    </row>
    <row r="96" spans="1:10" ht="14.4">
      <c r="A96" s="2648" t="s">
        <v>1636</v>
      </c>
      <c r="C96" s="2918" t="s">
        <v>1819</v>
      </c>
      <c r="D96" s="2931" t="s">
        <v>5104</v>
      </c>
      <c r="E96" s="2874" t="s">
        <v>4371</v>
      </c>
      <c r="F96" s="2855" t="s">
        <v>3011</v>
      </c>
      <c r="G96" s="2860" t="s">
        <v>3722</v>
      </c>
      <c r="H96" s="2078" t="str">
        <f>HLOOKUP(Non_UN,'Other translations2'!$A:$L,1+J96,)</f>
        <v>Ursprünglich=Final: Korrektur erforderlich.</v>
      </c>
      <c r="J96" s="2078">
        <v>95</v>
      </c>
    </row>
    <row r="97" spans="1:10">
      <c r="A97" s="2648" t="s">
        <v>76</v>
      </c>
      <c r="C97" s="2918" t="s">
        <v>1888</v>
      </c>
      <c r="D97" s="2931" t="s">
        <v>5105</v>
      </c>
      <c r="E97" s="2872" t="s">
        <v>4372</v>
      </c>
      <c r="F97" s="2855" t="s">
        <v>3012</v>
      </c>
      <c r="G97" s="2860" t="s">
        <v>3723</v>
      </c>
      <c r="H97" s="2078" t="str">
        <f>HLOOKUP(Non_UN,'Other translations2'!$A:$L,1+J97,)</f>
        <v>Bewässerungsmethode</v>
      </c>
      <c r="J97" s="2078">
        <v>96</v>
      </c>
    </row>
    <row r="98" spans="1:10">
      <c r="A98" s="2648" t="s">
        <v>633</v>
      </c>
      <c r="C98" s="2918" t="s">
        <v>1889</v>
      </c>
      <c r="D98" s="2931" t="s">
        <v>5106</v>
      </c>
      <c r="E98" s="2872" t="s">
        <v>4373</v>
      </c>
      <c r="F98" s="2855" t="s">
        <v>3013</v>
      </c>
      <c r="G98" s="2860" t="s">
        <v>3724</v>
      </c>
      <c r="H98" s="2078" t="str">
        <f>HLOOKUP(Non_UN,'Other translations2'!$A:$L,1+J98,)</f>
        <v>Bewässert - kontinuierliche Überflutung</v>
      </c>
      <c r="J98" s="2078">
        <v>97</v>
      </c>
    </row>
    <row r="99" spans="1:10">
      <c r="A99" s="2648" t="s">
        <v>634</v>
      </c>
      <c r="C99" s="2918" t="s">
        <v>1890</v>
      </c>
      <c r="D99" s="2931" t="s">
        <v>5107</v>
      </c>
      <c r="E99" s="2872" t="s">
        <v>4374</v>
      </c>
      <c r="F99" s="2855" t="s">
        <v>3014</v>
      </c>
      <c r="G99" s="2860" t="s">
        <v>3725</v>
      </c>
      <c r="H99" s="2078" t="str">
        <f>HLOOKUP(Non_UN,'Other translations2'!$A:$L,1+J99,)</f>
        <v>Bewässert - zwischenzeitliche Überflutung</v>
      </c>
      <c r="J99" s="2078">
        <v>98</v>
      </c>
    </row>
    <row r="100" spans="1:10">
      <c r="A100" s="2648" t="s">
        <v>635</v>
      </c>
      <c r="C100" s="2918" t="s">
        <v>1891</v>
      </c>
      <c r="D100" s="2931" t="s">
        <v>5108</v>
      </c>
      <c r="E100" s="2872" t="s">
        <v>4375</v>
      </c>
      <c r="F100" s="2855" t="s">
        <v>3015</v>
      </c>
      <c r="G100" s="2860" t="s">
        <v>3726</v>
      </c>
      <c r="H100" s="2078" t="str">
        <f>HLOOKUP(Non_UN,'Other translations2'!$A:$L,1+J100,)</f>
        <v>Regenalimentiert - kontinuierliche Überflutung</v>
      </c>
      <c r="J100" s="2078">
        <v>99</v>
      </c>
    </row>
    <row r="101" spans="1:10" ht="26.4">
      <c r="A101" s="2648" t="s">
        <v>75</v>
      </c>
      <c r="C101" s="2918" t="s">
        <v>1892</v>
      </c>
      <c r="D101" s="2931" t="s">
        <v>5109</v>
      </c>
      <c r="E101" s="2872" t="s">
        <v>4376</v>
      </c>
      <c r="F101" s="2855" t="s">
        <v>3016</v>
      </c>
      <c r="G101" s="2860" t="s">
        <v>3727</v>
      </c>
      <c r="H101" s="2078" t="str">
        <f>HLOOKUP(Non_UN,'Other translations2'!$A:$L,1+J101,)</f>
        <v>Bewässerungsmethode der Vorsaison</v>
      </c>
      <c r="J101" s="2078">
        <v>100</v>
      </c>
    </row>
    <row r="102" spans="1:10">
      <c r="A102" s="2648" t="s">
        <v>644</v>
      </c>
      <c r="C102" s="2918" t="s">
        <v>1893</v>
      </c>
      <c r="D102" s="2931" t="s">
        <v>5110</v>
      </c>
      <c r="E102" s="2872" t="s">
        <v>4377</v>
      </c>
      <c r="F102" s="2855" t="s">
        <v>3017</v>
      </c>
      <c r="G102" s="2860" t="s">
        <v>3728</v>
      </c>
      <c r="H102" s="2078" t="str">
        <f>HLOOKUP(Non_UN,'Other translations2'!$A:$L,1+J102,)</f>
        <v>Nicht überflutete Vorsaison &lt;180 Tage</v>
      </c>
      <c r="J102" s="2078">
        <v>101</v>
      </c>
    </row>
    <row r="103" spans="1:10">
      <c r="A103" s="2648" t="s">
        <v>645</v>
      </c>
      <c r="C103" s="2918" t="s">
        <v>1894</v>
      </c>
      <c r="D103" s="2931" t="s">
        <v>5111</v>
      </c>
      <c r="E103" s="2872" t="s">
        <v>4378</v>
      </c>
      <c r="F103" s="2855" t="s">
        <v>3018</v>
      </c>
      <c r="G103" s="2860" t="s">
        <v>3729</v>
      </c>
      <c r="H103" s="2078" t="str">
        <f>HLOOKUP(Non_UN,'Other translations2'!$A:$L,1+J103,)</f>
        <v>Nicht überflutete Vorsaison &gt;180 Tage</v>
      </c>
      <c r="J103" s="2078">
        <v>102</v>
      </c>
    </row>
    <row r="104" spans="1:10">
      <c r="A104" s="2648" t="s">
        <v>646</v>
      </c>
      <c r="C104" s="2918" t="s">
        <v>1895</v>
      </c>
      <c r="D104" s="2931" t="s">
        <v>4782</v>
      </c>
      <c r="E104" s="2872" t="s">
        <v>3985</v>
      </c>
      <c r="F104" s="2855" t="s">
        <v>3019</v>
      </c>
      <c r="G104" s="2860" t="s">
        <v>3730</v>
      </c>
      <c r="H104" s="2078" t="str">
        <f>HLOOKUP(Non_UN,'Other translations2'!$A:$L,1+J104,)</f>
        <v>Vorsaison mit Überflutung (&gt;30 Tage)</v>
      </c>
      <c r="J104" s="2078">
        <v>103</v>
      </c>
    </row>
    <row r="105" spans="1:10" ht="26.4">
      <c r="A105" s="2648" t="s">
        <v>74</v>
      </c>
      <c r="C105" s="2918" t="s">
        <v>1896</v>
      </c>
      <c r="D105" s="2931" t="s">
        <v>5112</v>
      </c>
      <c r="E105" s="2872" t="s">
        <v>4379</v>
      </c>
      <c r="F105" s="2855" t="s">
        <v>3020</v>
      </c>
      <c r="G105" s="2860" t="s">
        <v>3731</v>
      </c>
      <c r="H105" s="2078" t="str">
        <f>HLOOKUP(Non_UN,'Other translations2'!$A:$L,1+J105,)</f>
        <v>Bitte wählen Sie den organischen Dünger</v>
      </c>
      <c r="J105" s="2078">
        <v>104</v>
      </c>
    </row>
    <row r="106" spans="1:10">
      <c r="A106" s="2648" t="s">
        <v>1172</v>
      </c>
      <c r="C106" s="2918" t="s">
        <v>1897</v>
      </c>
      <c r="D106" s="2931" t="s">
        <v>5113</v>
      </c>
      <c r="E106" s="2872" t="s">
        <v>4380</v>
      </c>
      <c r="F106" s="2855" t="s">
        <v>3021</v>
      </c>
      <c r="G106" s="2860" t="s">
        <v>3732</v>
      </c>
      <c r="H106" s="2078" t="str">
        <f>HLOOKUP(Non_UN,'Other translations2'!$A:$L,1+J106,)</f>
        <v>Stroh verbrannt</v>
      </c>
      <c r="J106" s="2078">
        <v>105</v>
      </c>
    </row>
    <row r="107" spans="1:10">
      <c r="A107" s="2648" t="s">
        <v>1174</v>
      </c>
      <c r="C107" s="2918" t="s">
        <v>1898</v>
      </c>
      <c r="D107" s="2931" t="s">
        <v>5114</v>
      </c>
      <c r="E107" s="2872" t="s">
        <v>4381</v>
      </c>
      <c r="F107" s="2855" t="s">
        <v>3217</v>
      </c>
      <c r="G107" s="2860" t="s">
        <v>3733</v>
      </c>
      <c r="H107" s="2078" t="str">
        <f>HLOOKUP(Non_UN,'Other translations2'!$A:$L,1+J107,)</f>
        <v>Stroh abgetragen</v>
      </c>
      <c r="J107" s="2078">
        <v>106</v>
      </c>
    </row>
    <row r="108" spans="1:10" ht="26.4">
      <c r="A108" s="2923" t="s">
        <v>5209</v>
      </c>
      <c r="C108" s="2918" t="s">
        <v>1899</v>
      </c>
      <c r="D108" s="2931" t="s">
        <v>5115</v>
      </c>
      <c r="E108" s="2872" t="s">
        <v>4382</v>
      </c>
      <c r="F108" s="2855" t="s">
        <v>3022</v>
      </c>
      <c r="G108" s="2860" t="s">
        <v>3734</v>
      </c>
      <c r="H108" s="2078" t="str">
        <f>HLOOKUP(Non_UN,'Other translations2'!$A:$L,1+J108,)</f>
        <v>Stroh eingearbeitet (&lt;30 Tage vor der Kultivation)</v>
      </c>
      <c r="J108" s="2078">
        <v>107</v>
      </c>
    </row>
    <row r="109" spans="1:10" ht="26.4">
      <c r="A109" s="2923" t="s">
        <v>5210</v>
      </c>
      <c r="C109" s="2918" t="s">
        <v>1900</v>
      </c>
      <c r="D109" s="2931" t="s">
        <v>5116</v>
      </c>
      <c r="E109" s="2872" t="s">
        <v>4383</v>
      </c>
      <c r="F109" s="2855" t="s">
        <v>3023</v>
      </c>
      <c r="G109" s="2860" t="s">
        <v>3735</v>
      </c>
      <c r="H109" s="2078" t="str">
        <f>HLOOKUP(Non_UN,'Other translations2'!$A:$L,1+J109,)</f>
        <v>Stroh eingearbeitet (&gt;30 Tage vor der Kultivation)</v>
      </c>
      <c r="J109" s="2078">
        <v>108</v>
      </c>
    </row>
    <row r="110" spans="1:10">
      <c r="A110" s="2648" t="s">
        <v>381</v>
      </c>
      <c r="C110" s="2918" t="s">
        <v>381</v>
      </c>
      <c r="D110" s="2931" t="s">
        <v>381</v>
      </c>
      <c r="E110" s="2872" t="s">
        <v>4384</v>
      </c>
      <c r="F110" s="2855" t="s">
        <v>3024</v>
      </c>
      <c r="G110" s="2860" t="s">
        <v>3736</v>
      </c>
      <c r="H110" s="2078" t="str">
        <f>HLOOKUP(Non_UN,'Other translations2'!$A:$L,1+J110,)</f>
        <v>Kompost</v>
      </c>
      <c r="J110" s="2078">
        <v>109</v>
      </c>
    </row>
    <row r="111" spans="1:10">
      <c r="A111" s="2648" t="s">
        <v>1173</v>
      </c>
      <c r="C111" s="2918" t="s">
        <v>1901</v>
      </c>
      <c r="D111" s="2931" t="s">
        <v>5117</v>
      </c>
      <c r="E111" s="2872" t="s">
        <v>4385</v>
      </c>
      <c r="F111" s="2855" t="s">
        <v>3025</v>
      </c>
      <c r="G111" s="2860" t="s">
        <v>3737</v>
      </c>
      <c r="H111" s="2078" t="str">
        <f>HLOOKUP(Non_UN,'Other translations2'!$A:$L,1+J111,)</f>
        <v>Farm Mist</v>
      </c>
      <c r="J111" s="2078">
        <v>110</v>
      </c>
    </row>
    <row r="112" spans="1:10">
      <c r="A112" s="2648" t="s">
        <v>651</v>
      </c>
      <c r="C112" s="2918" t="s">
        <v>1902</v>
      </c>
      <c r="D112" s="2931" t="s">
        <v>5118</v>
      </c>
      <c r="E112" s="2872" t="s">
        <v>4386</v>
      </c>
      <c r="F112" s="2855" t="s">
        <v>3026</v>
      </c>
      <c r="G112" s="2860" t="s">
        <v>3738</v>
      </c>
      <c r="H112" s="2078" t="str">
        <f>HLOOKUP(Non_UN,'Other translations2'!$A:$L,1+J112,)</f>
        <v>Gründüngung</v>
      </c>
      <c r="J112" s="2078">
        <v>111</v>
      </c>
    </row>
    <row r="113" spans="1:10">
      <c r="A113" s="2648" t="s">
        <v>4</v>
      </c>
      <c r="C113" s="2918" t="s">
        <v>1940</v>
      </c>
      <c r="D113" s="2931" t="s">
        <v>5043</v>
      </c>
      <c r="E113" s="2872" t="s">
        <v>4387</v>
      </c>
      <c r="F113" s="2855" t="s">
        <v>2941</v>
      </c>
      <c r="G113" s="2860" t="s">
        <v>3739</v>
      </c>
      <c r="H113" s="2078" t="str">
        <f>HLOOKUP(Non_UN,'Other translations2'!$A:$L,1+J113,)</f>
        <v>Bitte auswählen</v>
      </c>
      <c r="J113" s="2078">
        <v>112</v>
      </c>
    </row>
    <row r="114" spans="1:10">
      <c r="A114" s="2648" t="s">
        <v>422</v>
      </c>
      <c r="C114" s="2918" t="s">
        <v>1941</v>
      </c>
      <c r="D114" s="2931" t="s">
        <v>5119</v>
      </c>
      <c r="E114" s="2872" t="s">
        <v>4388</v>
      </c>
      <c r="F114" s="2855" t="s">
        <v>3027</v>
      </c>
      <c r="G114" s="2860" t="s">
        <v>3740</v>
      </c>
      <c r="H114" s="2078" t="str">
        <f>HLOOKUP(Non_UN,'Other translations2'!$A:$L,1+J114,)</f>
        <v>Ziegen</v>
      </c>
      <c r="J114" s="2078">
        <v>113</v>
      </c>
    </row>
    <row r="115" spans="1:10">
      <c r="A115" s="2648" t="s">
        <v>423</v>
      </c>
      <c r="C115" s="2918" t="s">
        <v>1942</v>
      </c>
      <c r="D115" s="2931" t="s">
        <v>5120</v>
      </c>
      <c r="E115" s="2872" t="s">
        <v>4389</v>
      </c>
      <c r="F115" s="2855" t="s">
        <v>3028</v>
      </c>
      <c r="G115" s="2860" t="s">
        <v>3741</v>
      </c>
      <c r="H115" s="2078" t="str">
        <f>HLOOKUP(Non_UN,'Other translations2'!$A:$L,1+J115,)</f>
        <v>Kamele</v>
      </c>
      <c r="J115" s="2078">
        <v>114</v>
      </c>
    </row>
    <row r="116" spans="1:10">
      <c r="A116" s="2648" t="s">
        <v>424</v>
      </c>
      <c r="C116" s="2918" t="s">
        <v>1943</v>
      </c>
      <c r="D116" s="2931" t="s">
        <v>5121</v>
      </c>
      <c r="E116" s="2872" t="s">
        <v>4390</v>
      </c>
      <c r="F116" s="2855" t="s">
        <v>3029</v>
      </c>
      <c r="G116" s="2860" t="s">
        <v>3742</v>
      </c>
      <c r="H116" s="2078" t="str">
        <f>HLOOKUP(Non_UN,'Other translations2'!$A:$L,1+J116,)</f>
        <v>Pferde</v>
      </c>
      <c r="J116" s="2078">
        <v>115</v>
      </c>
    </row>
    <row r="117" spans="1:10">
      <c r="A117" s="2648" t="s">
        <v>365</v>
      </c>
      <c r="C117" s="2918" t="s">
        <v>1944</v>
      </c>
      <c r="D117" s="2931" t="s">
        <v>5122</v>
      </c>
      <c r="E117" s="2872" t="s">
        <v>4391</v>
      </c>
      <c r="F117" s="2855" t="s">
        <v>3030</v>
      </c>
      <c r="G117" s="2860" t="s">
        <v>3743</v>
      </c>
      <c r="H117" s="2078" t="str">
        <f>HLOOKUP(Non_UN,'Other translations2'!$A:$L,1+J117,)</f>
        <v>Maultiere und Esel</v>
      </c>
      <c r="J117" s="2078">
        <v>116</v>
      </c>
    </row>
    <row r="118" spans="1:10">
      <c r="A118" s="2648" t="s">
        <v>1179</v>
      </c>
      <c r="C118" s="2918" t="s">
        <v>1945</v>
      </c>
      <c r="D118" s="2931" t="s">
        <v>5123</v>
      </c>
      <c r="E118" s="2872" t="s">
        <v>4392</v>
      </c>
      <c r="F118" s="2855" t="s">
        <v>3031</v>
      </c>
      <c r="G118" s="2860" t="s">
        <v>3744</v>
      </c>
      <c r="H118" s="2078" t="str">
        <f>HLOOKUP(Non_UN,'Other translations2'!$A:$L,1+J118,)</f>
        <v>Geflügel</v>
      </c>
      <c r="J118" s="2078">
        <v>117</v>
      </c>
    </row>
    <row r="119" spans="1:10">
      <c r="A119" s="2648" t="s">
        <v>425</v>
      </c>
      <c r="C119" s="2918" t="s">
        <v>1946</v>
      </c>
      <c r="D119" s="2931" t="s">
        <v>5124</v>
      </c>
      <c r="E119" s="2872" t="s">
        <v>4393</v>
      </c>
      <c r="F119" s="2855" t="s">
        <v>3032</v>
      </c>
      <c r="G119" s="2860" t="s">
        <v>3745</v>
      </c>
      <c r="H119" s="2078" t="str">
        <f>HLOOKUP(Non_UN,'Other translations2'!$A:$L,1+J119,)</f>
        <v>Hirsche</v>
      </c>
      <c r="J119" s="2078">
        <v>118</v>
      </c>
    </row>
    <row r="120" spans="1:10">
      <c r="A120" s="2648" t="s">
        <v>426</v>
      </c>
      <c r="C120" s="2918" t="s">
        <v>426</v>
      </c>
      <c r="D120" s="2931" t="s">
        <v>426</v>
      </c>
      <c r="E120" s="2872" t="s">
        <v>4394</v>
      </c>
      <c r="F120" s="2855" t="s">
        <v>3033</v>
      </c>
      <c r="G120" s="2860" t="s">
        <v>3746</v>
      </c>
      <c r="H120" s="2078" t="str">
        <f>HLOOKUP(Non_UN,'Other translations2'!$A:$L,1+J120,)</f>
        <v>Alpacas</v>
      </c>
      <c r="J120" s="2078">
        <v>119</v>
      </c>
    </row>
    <row r="121" spans="1:10">
      <c r="A121" s="2734" t="s">
        <v>892</v>
      </c>
      <c r="C121" s="2918" t="s">
        <v>1949</v>
      </c>
      <c r="D121" s="2931" t="s">
        <v>4823</v>
      </c>
      <c r="E121" s="2872" t="s">
        <v>4395</v>
      </c>
      <c r="F121" s="2855" t="s">
        <v>3034</v>
      </c>
      <c r="G121" s="2860" t="s">
        <v>3391</v>
      </c>
      <c r="H121" s="2078" t="str">
        <f>HLOOKUP(Non_UN,'Other translations2'!$A:$L,1+J121,)</f>
        <v>Nicht degradiert</v>
      </c>
      <c r="J121" s="2078">
        <v>120</v>
      </c>
    </row>
    <row r="122" spans="1:10">
      <c r="A122" s="2734" t="s">
        <v>893</v>
      </c>
      <c r="C122" s="2918" t="s">
        <v>1951</v>
      </c>
      <c r="D122" s="2931" t="s">
        <v>4824</v>
      </c>
      <c r="E122" s="2872" t="s">
        <v>4396</v>
      </c>
      <c r="F122" s="2855" t="s">
        <v>3035</v>
      </c>
      <c r="G122" s="2860" t="s">
        <v>3392</v>
      </c>
      <c r="H122" s="2078" t="str">
        <f>HLOOKUP(Non_UN,'Other translations2'!$A:$L,1+J122,)</f>
        <v>Stark degradiert</v>
      </c>
      <c r="J122" s="2078">
        <v>121</v>
      </c>
    </row>
    <row r="123" spans="1:10">
      <c r="A123" s="2734" t="s">
        <v>894</v>
      </c>
      <c r="C123" s="2918" t="s">
        <v>1950</v>
      </c>
      <c r="D123" s="2931" t="s">
        <v>2541</v>
      </c>
      <c r="E123" s="2872" t="s">
        <v>4032</v>
      </c>
      <c r="F123" s="2855" t="s">
        <v>3036</v>
      </c>
      <c r="G123" s="2860" t="s">
        <v>3393</v>
      </c>
      <c r="H123" s="2078" t="str">
        <f>HLOOKUP(Non_UN,'Other translations2'!$A:$L,1+J123,)</f>
        <v>Mäßig degradiert</v>
      </c>
      <c r="J123" s="2078">
        <v>122</v>
      </c>
    </row>
    <row r="124" spans="1:10">
      <c r="A124" s="2736" t="s">
        <v>895</v>
      </c>
      <c r="C124" s="2920" t="s">
        <v>1980</v>
      </c>
      <c r="D124" s="2931" t="s">
        <v>4825</v>
      </c>
      <c r="E124" s="2872" t="s">
        <v>4397</v>
      </c>
      <c r="F124" s="2855" t="s">
        <v>3037</v>
      </c>
      <c r="G124" s="2860" t="s">
        <v>3394</v>
      </c>
      <c r="H124" s="2078" t="str">
        <f>HLOOKUP(Non_UN,'Other translations2'!$A:$L,1+J124,)</f>
        <v>Verbesserung/Rehabilitierung (ohne Inputs)</v>
      </c>
      <c r="J124" s="2078">
        <v>123</v>
      </c>
    </row>
    <row r="125" spans="1:10">
      <c r="A125" s="2734" t="s">
        <v>897</v>
      </c>
      <c r="C125" s="2920" t="s">
        <v>1981</v>
      </c>
      <c r="D125" s="2931" t="s">
        <v>4826</v>
      </c>
      <c r="E125" s="2872" t="s">
        <v>4398</v>
      </c>
      <c r="F125" s="2855" t="s">
        <v>3038</v>
      </c>
      <c r="G125" s="2860" t="s">
        <v>3395</v>
      </c>
      <c r="H125" s="2078" t="str">
        <f>HLOOKUP(Non_UN,'Other translations2'!$A:$L,1+J125,)</f>
        <v>Verbesserung/Rehabilitierung (mit Inputs)</v>
      </c>
      <c r="J125" s="2078">
        <v>124</v>
      </c>
    </row>
    <row r="126" spans="1:10">
      <c r="A126" s="2735" t="s">
        <v>79</v>
      </c>
      <c r="C126" s="2920" t="s">
        <v>1979</v>
      </c>
      <c r="D126" s="2931" t="s">
        <v>5125</v>
      </c>
      <c r="E126" s="2872" t="s">
        <v>4399</v>
      </c>
      <c r="F126" s="2855" t="s">
        <v>3039</v>
      </c>
      <c r="G126" s="2860" t="s">
        <v>3747</v>
      </c>
      <c r="H126" s="2078" t="str">
        <f>HLOOKUP(Non_UN,'Other translations2'!$A:$L,1+J126,)</f>
        <v>Wählen Sie den Zustand</v>
      </c>
      <c r="J126" s="2078">
        <v>125</v>
      </c>
    </row>
    <row r="127" spans="1:10">
      <c r="A127" s="2648" t="s">
        <v>214</v>
      </c>
      <c r="C127" s="2920" t="s">
        <v>1982</v>
      </c>
      <c r="D127" s="2931" t="s">
        <v>5126</v>
      </c>
      <c r="E127" s="2872" t="s">
        <v>4400</v>
      </c>
      <c r="F127" s="2855" t="s">
        <v>3040</v>
      </c>
      <c r="G127" s="2860" t="s">
        <v>3748</v>
      </c>
      <c r="H127" s="2078" t="str">
        <f>HLOOKUP(Non_UN,'Other translations2'!$A:$L,1+J127,)</f>
        <v>Wählen Sie das Ausmass</v>
      </c>
      <c r="J127" s="2078">
        <v>126</v>
      </c>
    </row>
    <row r="128" spans="1:10">
      <c r="A128" s="2648" t="s">
        <v>577</v>
      </c>
      <c r="C128" s="2920" t="s">
        <v>1983</v>
      </c>
      <c r="D128" s="2931" t="s">
        <v>5127</v>
      </c>
      <c r="E128" s="2872" t="s">
        <v>3899</v>
      </c>
      <c r="F128" s="2855" t="s">
        <v>3041</v>
      </c>
      <c r="G128" s="2860" t="s">
        <v>3749</v>
      </c>
      <c r="H128" s="2078" t="str">
        <f>HLOOKUP(Non_UN,'Other translations2'!$A:$L,1+J128,)</f>
        <v>Keine</v>
      </c>
      <c r="J128" s="2078">
        <v>127</v>
      </c>
    </row>
    <row r="129" spans="1:10">
      <c r="A129" s="2648" t="s">
        <v>171</v>
      </c>
      <c r="C129" s="2920" t="s">
        <v>1988</v>
      </c>
      <c r="D129" s="2931" t="s">
        <v>5128</v>
      </c>
      <c r="E129" s="2872" t="s">
        <v>4401</v>
      </c>
      <c r="F129" s="2855" t="s">
        <v>3042</v>
      </c>
      <c r="G129" s="2860" t="s">
        <v>3750</v>
      </c>
      <c r="H129" s="2078" t="str">
        <f>HLOOKUP(Non_UN,'Other translations2'!$A:$L,1+J129,)</f>
        <v>Sehr niedrig</v>
      </c>
      <c r="J129" s="2078">
        <v>128</v>
      </c>
    </row>
    <row r="130" spans="1:10">
      <c r="A130" s="2648" t="s">
        <v>566</v>
      </c>
      <c r="C130" s="2920" t="s">
        <v>1984</v>
      </c>
      <c r="D130" s="2931" t="s">
        <v>5129</v>
      </c>
      <c r="E130" s="2872" t="s">
        <v>4402</v>
      </c>
      <c r="F130" s="2855" t="s">
        <v>3043</v>
      </c>
      <c r="G130" s="2860" t="s">
        <v>3750</v>
      </c>
      <c r="H130" s="2078" t="str">
        <f>HLOOKUP(Non_UN,'Other translations2'!$A:$L,1+J130,)</f>
        <v>Niedrig</v>
      </c>
      <c r="J130" s="2078">
        <v>129</v>
      </c>
    </row>
    <row r="131" spans="1:10">
      <c r="A131" s="2648" t="s">
        <v>166</v>
      </c>
      <c r="C131" s="2920" t="s">
        <v>1985</v>
      </c>
      <c r="D131" s="2931" t="s">
        <v>2547</v>
      </c>
      <c r="E131" s="2872" t="s">
        <v>4403</v>
      </c>
      <c r="F131" s="2855" t="s">
        <v>3044</v>
      </c>
      <c r="G131" s="2860" t="s">
        <v>3646</v>
      </c>
      <c r="H131" s="2078" t="str">
        <f>HLOOKUP(Non_UN,'Other translations2'!$A:$L,1+J131,)</f>
        <v>Mäßig</v>
      </c>
      <c r="J131" s="2078">
        <v>130</v>
      </c>
    </row>
    <row r="132" spans="1:10">
      <c r="A132" s="2648" t="s">
        <v>167</v>
      </c>
      <c r="C132" s="2920" t="s">
        <v>1986</v>
      </c>
      <c r="D132" s="2931" t="s">
        <v>5130</v>
      </c>
      <c r="E132" s="2872" t="s">
        <v>4404</v>
      </c>
      <c r="F132" s="2855" t="s">
        <v>3045</v>
      </c>
      <c r="G132" s="2860" t="s">
        <v>3751</v>
      </c>
      <c r="H132" s="2078" t="str">
        <f>HLOOKUP(Non_UN,'Other translations2'!$A:$L,1+J132,)</f>
        <v xml:space="preserve">Stark  </v>
      </c>
      <c r="J132" s="2078">
        <v>131</v>
      </c>
    </row>
    <row r="133" spans="1:10">
      <c r="A133" s="2648" t="s">
        <v>168</v>
      </c>
      <c r="C133" s="2920" t="s">
        <v>1987</v>
      </c>
      <c r="D133" s="2931" t="s">
        <v>2548</v>
      </c>
      <c r="E133" s="2872" t="s">
        <v>4405</v>
      </c>
      <c r="F133" s="2855" t="s">
        <v>3046</v>
      </c>
      <c r="G133" s="2860" t="s">
        <v>3752</v>
      </c>
      <c r="H133" s="2078" t="str">
        <f>HLOOKUP(Non_UN,'Other translations2'!$A:$L,1+J133,)</f>
        <v>Extrem</v>
      </c>
      <c r="J133" s="2078">
        <v>132</v>
      </c>
    </row>
    <row r="134" spans="1:10">
      <c r="A134" s="2648" t="s">
        <v>4</v>
      </c>
      <c r="C134" s="2920" t="s">
        <v>1940</v>
      </c>
      <c r="D134" s="2931" t="s">
        <v>5043</v>
      </c>
      <c r="E134" s="2872" t="s">
        <v>4387</v>
      </c>
      <c r="F134" s="2855" t="s">
        <v>2941</v>
      </c>
      <c r="G134" s="2860" t="s">
        <v>3654</v>
      </c>
      <c r="H134" s="2078" t="str">
        <f>HLOOKUP(Non_UN,'Other translations2'!$A:$L,1+J134,)</f>
        <v>Bitte auswählen</v>
      </c>
      <c r="J134" s="2078">
        <v>133</v>
      </c>
    </row>
    <row r="135" spans="1:10">
      <c r="A135" s="2648" t="s">
        <v>3149</v>
      </c>
      <c r="C135" s="2918" t="s">
        <v>2061</v>
      </c>
      <c r="D135" s="2931" t="s">
        <v>5131</v>
      </c>
      <c r="E135" s="2872" t="s">
        <v>4406</v>
      </c>
      <c r="F135" s="2855" t="s">
        <v>3151</v>
      </c>
      <c r="G135" s="2860" t="s">
        <v>3753</v>
      </c>
      <c r="H135" s="2078" t="str">
        <f>HLOOKUP(Non_UN,'Other translations2'!$A:$L,1+J135,)</f>
        <v>Oberflächenbewässerung ohne IRSS</v>
      </c>
      <c r="J135" s="2078">
        <v>134</v>
      </c>
    </row>
    <row r="136" spans="1:10">
      <c r="A136" s="2648" t="s">
        <v>3150</v>
      </c>
      <c r="C136" s="2918" t="s">
        <v>2062</v>
      </c>
      <c r="D136" s="2931" t="s">
        <v>5132</v>
      </c>
      <c r="E136" s="2872" t="s">
        <v>4407</v>
      </c>
      <c r="F136" s="2855" t="s">
        <v>3152</v>
      </c>
      <c r="G136" s="2860" t="s">
        <v>3754</v>
      </c>
      <c r="H136" s="2078" t="str">
        <f>HLOOKUP(Non_UN,'Other translations2'!$A:$L,1+J136,)</f>
        <v>Oberflächenbewässerung  mit IRSS</v>
      </c>
      <c r="J136" s="2078">
        <v>135</v>
      </c>
    </row>
    <row r="137" spans="1:10" ht="26.4">
      <c r="A137" s="2648" t="s">
        <v>952</v>
      </c>
      <c r="C137" s="2918" t="s">
        <v>2063</v>
      </c>
      <c r="D137" s="2931" t="s">
        <v>5240</v>
      </c>
      <c r="E137" s="2872" t="s">
        <v>4408</v>
      </c>
      <c r="F137" s="2855" t="s">
        <v>3047</v>
      </c>
      <c r="G137" s="2860" t="s">
        <v>3755</v>
      </c>
      <c r="H137" s="2078" t="str">
        <f>HLOOKUP(Non_UN,'Other translations2'!$A:$L,1+J137,)</f>
        <v>Sprinklerbewässerung: Solid set sprinkle</v>
      </c>
      <c r="J137" s="2078">
        <v>136</v>
      </c>
    </row>
    <row r="138" spans="1:10" ht="26.4">
      <c r="A138" s="2648" t="s">
        <v>953</v>
      </c>
      <c r="C138" s="2918" t="s">
        <v>2064</v>
      </c>
      <c r="D138" s="2931" t="s">
        <v>5241</v>
      </c>
      <c r="E138" s="2872" t="s">
        <v>4409</v>
      </c>
      <c r="F138" s="2855" t="s">
        <v>3048</v>
      </c>
      <c r="G138" s="2860" t="s">
        <v>3756</v>
      </c>
      <c r="H138" s="2078" t="str">
        <f>HLOOKUP(Non_UN,'Other translations2'!$A:$L,1+J138,)</f>
        <v>Sprinklerbewässerung: Permanent sprinkle</v>
      </c>
      <c r="J138" s="2078">
        <v>137</v>
      </c>
    </row>
    <row r="139" spans="1:10" ht="26.4">
      <c r="A139" s="2648" t="s">
        <v>954</v>
      </c>
      <c r="C139" s="2918" t="s">
        <v>2065</v>
      </c>
      <c r="D139" s="2931" t="s">
        <v>5242</v>
      </c>
      <c r="E139" s="2872" t="s">
        <v>4410</v>
      </c>
      <c r="F139" s="2855" t="s">
        <v>3218</v>
      </c>
      <c r="G139" s="2860" t="s">
        <v>3757</v>
      </c>
      <c r="H139" s="2078" t="str">
        <f>HLOOKUP(Non_UN,'Other translations2'!$A:$L,1+J139,)</f>
        <v>Sprinklerbewässerung: Hand moved sprinkle</v>
      </c>
      <c r="J139" s="2078">
        <v>138</v>
      </c>
    </row>
    <row r="140" spans="1:10">
      <c r="A140" s="2648" t="s">
        <v>955</v>
      </c>
      <c r="C140" s="2918" t="s">
        <v>2066</v>
      </c>
      <c r="D140" s="2931" t="s">
        <v>5243</v>
      </c>
      <c r="E140" s="2872" t="s">
        <v>4411</v>
      </c>
      <c r="F140" s="2855" t="s">
        <v>3219</v>
      </c>
      <c r="G140" s="2860" t="s">
        <v>3758</v>
      </c>
      <c r="H140" s="2078" t="str">
        <f>HLOOKUP(Non_UN,'Other translations2'!$A:$L,1+J140,)</f>
        <v>Sprinklerbewässerung: Solid roll sprinkle</v>
      </c>
      <c r="J140" s="2078">
        <v>139</v>
      </c>
    </row>
    <row r="141" spans="1:10" ht="26.4">
      <c r="A141" s="2648" t="s">
        <v>956</v>
      </c>
      <c r="C141" s="2918" t="s">
        <v>2067</v>
      </c>
      <c r="D141" s="2931" t="s">
        <v>5244</v>
      </c>
      <c r="E141" s="2872" t="s">
        <v>4412</v>
      </c>
      <c r="F141" s="2855" t="s">
        <v>3049</v>
      </c>
      <c r="G141" s="2860" t="s">
        <v>3759</v>
      </c>
      <c r="H141" s="2078" t="str">
        <f>HLOOKUP(Non_UN,'Other translations2'!$A:$L,1+J141,)</f>
        <v>Sprinklerbewässerung: Center-pivot sprinkle</v>
      </c>
      <c r="J141" s="2078">
        <v>140</v>
      </c>
    </row>
    <row r="142" spans="1:10">
      <c r="A142" s="2648" t="s">
        <v>957</v>
      </c>
      <c r="C142" s="2918" t="s">
        <v>2068</v>
      </c>
      <c r="D142" s="2931" t="s">
        <v>5245</v>
      </c>
      <c r="E142" s="2872" t="s">
        <v>4413</v>
      </c>
      <c r="F142" s="2855" t="s">
        <v>3220</v>
      </c>
      <c r="G142" s="2860" t="s">
        <v>3760</v>
      </c>
      <c r="H142" s="2078" t="str">
        <f>HLOOKUP(Non_UN,'Other translations2'!$A:$L,1+J142,)</f>
        <v>Sprinklerbewässerung: Traveler sprinkle</v>
      </c>
      <c r="J142" s="2078">
        <v>141</v>
      </c>
    </row>
    <row r="143" spans="1:10">
      <c r="A143" s="2648" t="s">
        <v>958</v>
      </c>
      <c r="C143" s="2918" t="s">
        <v>2069</v>
      </c>
      <c r="D143" s="2931" t="s">
        <v>5246</v>
      </c>
      <c r="E143" s="2872" t="s">
        <v>4414</v>
      </c>
      <c r="F143" s="2855" t="s">
        <v>3050</v>
      </c>
      <c r="G143" s="2860" t="s">
        <v>3761</v>
      </c>
      <c r="H143" s="2078" t="str">
        <f>HLOOKUP(Non_UN,'Other translations2'!$A:$L,1+J143,)</f>
        <v>Tropfenbewässerung</v>
      </c>
      <c r="J143" s="2078">
        <v>142</v>
      </c>
    </row>
    <row r="144" spans="1:10">
      <c r="A144" s="2648" t="s">
        <v>4</v>
      </c>
      <c r="C144" s="2920" t="s">
        <v>1940</v>
      </c>
      <c r="D144" s="2931" t="s">
        <v>5043</v>
      </c>
      <c r="E144" s="2872" t="s">
        <v>4298</v>
      </c>
      <c r="F144" s="2855" t="s">
        <v>2941</v>
      </c>
      <c r="G144" s="2860" t="s">
        <v>3654</v>
      </c>
      <c r="H144" s="2078" t="str">
        <f>HLOOKUP(Non_UN,'Other translations2'!$A:$L,1+J144,)</f>
        <v>Bitte auswählen</v>
      </c>
      <c r="J144" s="2078">
        <v>143</v>
      </c>
    </row>
    <row r="145" spans="1:10">
      <c r="A145" s="2648" t="s">
        <v>968</v>
      </c>
      <c r="C145" s="2918" t="s">
        <v>2070</v>
      </c>
      <c r="D145" s="2931" t="s">
        <v>5133</v>
      </c>
      <c r="E145" s="2872" t="s">
        <v>4415</v>
      </c>
      <c r="F145" s="2855" t="s">
        <v>3051</v>
      </c>
      <c r="G145" s="2860" t="s">
        <v>3762</v>
      </c>
      <c r="H145" s="2078" t="str">
        <f>HLOOKUP(Non_UN,'Other translations2'!$A:$L,1+J145,)</f>
        <v>Wohngebäude (Beton)</v>
      </c>
      <c r="J145" s="2078">
        <v>144</v>
      </c>
    </row>
    <row r="146" spans="1:10">
      <c r="A146" s="2648" t="s">
        <v>969</v>
      </c>
      <c r="C146" s="2918" t="s">
        <v>2071</v>
      </c>
      <c r="D146" s="2931" t="s">
        <v>5247</v>
      </c>
      <c r="E146" s="2872" t="s">
        <v>4416</v>
      </c>
      <c r="F146" s="2855" t="s">
        <v>3052</v>
      </c>
      <c r="G146" s="2863" t="s">
        <v>3763</v>
      </c>
      <c r="H146" s="2078" t="str">
        <f>HLOOKUP(Non_UN,'Other translations2'!$A:$L,1+J146,)</f>
        <v>Landwirtschaftsgebäude (Beton)</v>
      </c>
      <c r="J146" s="2078">
        <v>145</v>
      </c>
    </row>
    <row r="147" spans="1:10">
      <c r="A147" s="2648" t="s">
        <v>970</v>
      </c>
      <c r="C147" s="2918" t="s">
        <v>2072</v>
      </c>
      <c r="D147" s="2931" t="s">
        <v>5248</v>
      </c>
      <c r="E147" s="2872" t="s">
        <v>4417</v>
      </c>
      <c r="F147" s="2855" t="s">
        <v>3053</v>
      </c>
      <c r="G147" s="2860" t="s">
        <v>3764</v>
      </c>
      <c r="H147" s="2078" t="str">
        <f>HLOOKUP(Non_UN,'Other translations2'!$A:$L,1+J147,)</f>
        <v>Landwirtschaftsgebäude (Metall)</v>
      </c>
      <c r="J147" s="2078">
        <v>146</v>
      </c>
    </row>
    <row r="148" spans="1:10">
      <c r="A148" s="2648" t="s">
        <v>971</v>
      </c>
      <c r="C148" s="2918" t="s">
        <v>2073</v>
      </c>
      <c r="D148" s="2931" t="s">
        <v>5134</v>
      </c>
      <c r="E148" s="2872" t="s">
        <v>4418</v>
      </c>
      <c r="F148" s="2855" t="s">
        <v>3054</v>
      </c>
      <c r="G148" s="2860" t="s">
        <v>3765</v>
      </c>
      <c r="H148" s="2078" t="str">
        <f>HLOOKUP(Non_UN,'Other translations2'!$A:$L,1+J148,)</f>
        <v>Industriegebäude (Beton)</v>
      </c>
      <c r="J148" s="2078">
        <v>147</v>
      </c>
    </row>
    <row r="149" spans="1:10">
      <c r="A149" s="2648" t="s">
        <v>972</v>
      </c>
      <c r="C149" s="2918" t="s">
        <v>2074</v>
      </c>
      <c r="D149" s="2931" t="s">
        <v>5135</v>
      </c>
      <c r="E149" s="2872" t="s">
        <v>4419</v>
      </c>
      <c r="F149" s="2855" t="s">
        <v>3055</v>
      </c>
      <c r="G149" s="2860" t="s">
        <v>3766</v>
      </c>
      <c r="H149" s="2078" t="str">
        <f>HLOOKUP(Non_UN,'Other translations2'!$A:$L,1+J149,)</f>
        <v>Industriegebäude (Metall)</v>
      </c>
      <c r="J149" s="2078">
        <v>148</v>
      </c>
    </row>
    <row r="150" spans="1:10">
      <c r="A150" s="2648" t="s">
        <v>973</v>
      </c>
      <c r="C150" s="2918" t="s">
        <v>2075</v>
      </c>
      <c r="D150" s="2931" t="s">
        <v>5249</v>
      </c>
      <c r="E150" s="2872" t="s">
        <v>4420</v>
      </c>
      <c r="F150" s="2855" t="s">
        <v>3056</v>
      </c>
      <c r="G150" s="2860" t="s">
        <v>3767</v>
      </c>
      <c r="H150" s="2078" t="str">
        <f>HLOOKUP(Non_UN,'Other translations2'!$A:$L,1+J150,)</f>
        <v>Garage (Beton)</v>
      </c>
      <c r="J150" s="2078">
        <v>149</v>
      </c>
    </row>
    <row r="151" spans="1:10">
      <c r="A151" s="2648" t="s">
        <v>974</v>
      </c>
      <c r="C151" s="2918" t="s">
        <v>2076</v>
      </c>
      <c r="D151" s="2931" t="s">
        <v>974</v>
      </c>
      <c r="E151" s="2872" t="s">
        <v>4421</v>
      </c>
      <c r="F151" s="2855" t="s">
        <v>3057</v>
      </c>
      <c r="G151" s="2860" t="s">
        <v>3768</v>
      </c>
      <c r="H151" s="2078" t="str">
        <f>HLOOKUP(Non_UN,'Other translations2'!$A:$L,1+J151,)</f>
        <v>Garage (Metall)</v>
      </c>
      <c r="J151" s="2078">
        <v>150</v>
      </c>
    </row>
    <row r="152" spans="1:10">
      <c r="A152" s="2648" t="s">
        <v>975</v>
      </c>
      <c r="C152" s="2918" t="s">
        <v>2077</v>
      </c>
      <c r="D152" s="2931" t="s">
        <v>5136</v>
      </c>
      <c r="E152" s="2872" t="s">
        <v>4422</v>
      </c>
      <c r="F152" s="2855" t="s">
        <v>3058</v>
      </c>
      <c r="G152" s="2860" t="s">
        <v>3769</v>
      </c>
      <c r="H152" s="2078" t="str">
        <f>HLOOKUP(Non_UN,'Other translations2'!$A:$L,1+J152,)</f>
        <v>Büros (Beton)</v>
      </c>
      <c r="J152" s="2078">
        <v>151</v>
      </c>
    </row>
    <row r="153" spans="1:10">
      <c r="A153" s="2648" t="s">
        <v>976</v>
      </c>
      <c r="C153" s="2918" t="s">
        <v>2078</v>
      </c>
      <c r="D153" s="2931" t="s">
        <v>5137</v>
      </c>
      <c r="E153" s="2872" t="s">
        <v>4423</v>
      </c>
      <c r="F153" s="2855" t="s">
        <v>3059</v>
      </c>
      <c r="G153" s="2860" t="s">
        <v>3770</v>
      </c>
      <c r="H153" s="2078" t="str">
        <f>HLOOKUP(Non_UN,'Other translations2'!$A:$L,1+J153,)</f>
        <v>Büros (Metall)</v>
      </c>
      <c r="J153" s="2078">
        <v>152</v>
      </c>
    </row>
    <row r="154" spans="1:10">
      <c r="A154" s="2648" t="s">
        <v>977</v>
      </c>
      <c r="C154" s="2918" t="s">
        <v>2079</v>
      </c>
      <c r="D154" s="2931" t="s">
        <v>5138</v>
      </c>
      <c r="E154" s="2872" t="s">
        <v>4424</v>
      </c>
      <c r="F154" s="2855" t="s">
        <v>3060</v>
      </c>
      <c r="G154" s="2860" t="s">
        <v>3771</v>
      </c>
      <c r="H154" s="2078" t="str">
        <f>HLOOKUP(Non_UN,'Other translations2'!$A:$L,1+J154,)</f>
        <v>Andere (Beton)</v>
      </c>
      <c r="J154" s="2078">
        <v>153</v>
      </c>
    </row>
    <row r="155" spans="1:10">
      <c r="A155" s="2648" t="s">
        <v>978</v>
      </c>
      <c r="C155" s="2918" t="s">
        <v>2080</v>
      </c>
      <c r="D155" s="2931" t="s">
        <v>5139</v>
      </c>
      <c r="E155" s="2872" t="s">
        <v>4425</v>
      </c>
      <c r="F155" s="2855" t="s">
        <v>3061</v>
      </c>
      <c r="G155" s="2860" t="s">
        <v>3772</v>
      </c>
      <c r="H155" s="2078" t="str">
        <f>HLOOKUP(Non_UN,'Other translations2'!$A:$L,1+J155,)</f>
        <v>Andere (Metall)</v>
      </c>
      <c r="J155" s="2078">
        <v>154</v>
      </c>
    </row>
    <row r="156" spans="1:10">
      <c r="A156" s="2648" t="s">
        <v>128</v>
      </c>
      <c r="C156" s="2918" t="s">
        <v>2081</v>
      </c>
      <c r="D156" s="2931" t="s">
        <v>5140</v>
      </c>
      <c r="E156" s="2872" t="s">
        <v>4426</v>
      </c>
      <c r="F156" s="2855" t="s">
        <v>3062</v>
      </c>
      <c r="G156" s="2860" t="s">
        <v>3773</v>
      </c>
      <c r="H156" s="2078" t="str">
        <f>HLOOKUP(Non_UN,'Other translations2'!$A:$L,1+J156,)</f>
        <v>Straße für mittelstarken Verkehr (Beton)</v>
      </c>
      <c r="J156" s="2078">
        <v>155</v>
      </c>
    </row>
    <row r="157" spans="1:10">
      <c r="A157" s="2648" t="s">
        <v>130</v>
      </c>
      <c r="C157" s="2918" t="s">
        <v>2082</v>
      </c>
      <c r="D157" s="2931" t="s">
        <v>5141</v>
      </c>
      <c r="E157" s="2872" t="s">
        <v>4427</v>
      </c>
      <c r="F157" s="2855" t="s">
        <v>3063</v>
      </c>
      <c r="G157" s="2860" t="s">
        <v>3774</v>
      </c>
      <c r="H157" s="2078" t="str">
        <f>HLOOKUP(Non_UN,'Other translations2'!$A:$L,1+J157,)</f>
        <v>Straße für mittelstarken Verkehr (Asphalt)</v>
      </c>
      <c r="J157" s="2078">
        <v>156</v>
      </c>
    </row>
    <row r="158" spans="1:10">
      <c r="A158" s="2648" t="s">
        <v>129</v>
      </c>
      <c r="C158" s="2918" t="s">
        <v>2083</v>
      </c>
      <c r="D158" s="2931" t="s">
        <v>5142</v>
      </c>
      <c r="E158" s="2872" t="s">
        <v>4428</v>
      </c>
      <c r="F158" s="2855" t="s">
        <v>3064</v>
      </c>
      <c r="G158" s="2860" t="s">
        <v>3775</v>
      </c>
      <c r="H158" s="2078" t="str">
        <f>HLOOKUP(Non_UN,'Other translations2'!$A:$L,1+J158,)</f>
        <v>Straße für intensiven Verkehr (Beton)</v>
      </c>
      <c r="J158" s="2078">
        <v>157</v>
      </c>
    </row>
    <row r="159" spans="1:10" ht="26.4">
      <c r="A159" s="2648" t="s">
        <v>131</v>
      </c>
      <c r="C159" s="2918" t="s">
        <v>2084</v>
      </c>
      <c r="D159" s="2931" t="s">
        <v>5143</v>
      </c>
      <c r="E159" s="2872" t="s">
        <v>4429</v>
      </c>
      <c r="F159" s="2855" t="s">
        <v>3065</v>
      </c>
      <c r="G159" s="2860" t="s">
        <v>3776</v>
      </c>
      <c r="H159" s="2078" t="str">
        <f>HLOOKUP(Non_UN,'Other translations2'!$A:$L,1+J159,)</f>
        <v>Straße für intensiven Verkehr (Asphalt)</v>
      </c>
      <c r="J159" s="2078">
        <v>158</v>
      </c>
    </row>
    <row r="160" spans="1:10" ht="26.4">
      <c r="A160" s="2648" t="s">
        <v>1644</v>
      </c>
      <c r="C160" s="2920" t="s">
        <v>2239</v>
      </c>
      <c r="D160" s="2931" t="s">
        <v>5144</v>
      </c>
      <c r="E160" s="2872" t="s">
        <v>4430</v>
      </c>
      <c r="F160" s="2855" t="s">
        <v>3066</v>
      </c>
      <c r="G160" s="2860" t="s">
        <v>3777</v>
      </c>
      <c r="H160" s="2078" t="str">
        <f>HLOOKUP(Non_UN,'Other translations2'!$A:$L,1+J160,)</f>
        <v>Offiziell (erster Inventar Zeitraum 2008-2012)</v>
      </c>
      <c r="J160" s="2078">
        <v>159</v>
      </c>
    </row>
    <row r="161" spans="1:10" ht="26.4">
      <c r="A161" s="2648" t="s">
        <v>1645</v>
      </c>
      <c r="C161" s="2920" t="s">
        <v>2240</v>
      </c>
      <c r="D161" s="2931" t="s">
        <v>5145</v>
      </c>
      <c r="E161" s="2872" t="s">
        <v>4431</v>
      </c>
      <c r="F161" s="2855" t="s">
        <v>3067</v>
      </c>
      <c r="G161" s="2860" t="s">
        <v>3778</v>
      </c>
      <c r="H161" s="2078" t="str">
        <f>HLOOKUP(Non_UN,'Other translations2'!$A:$L,1+J161,)</f>
        <v>Offiziell (zweiter Inventar Zeitraum 2013-2020)</v>
      </c>
      <c r="J161" s="2078">
        <v>160</v>
      </c>
    </row>
    <row r="162" spans="1:10" ht="26.4">
      <c r="A162" s="2648" t="s">
        <v>1646</v>
      </c>
      <c r="C162" s="2920" t="s">
        <v>2241</v>
      </c>
      <c r="D162" s="2931" t="s">
        <v>5146</v>
      </c>
      <c r="E162" s="2872" t="s">
        <v>4432</v>
      </c>
      <c r="F162" s="2855" t="s">
        <v>3221</v>
      </c>
      <c r="G162" s="2860" t="s">
        <v>3779</v>
      </c>
      <c r="H162" s="2078" t="str">
        <f>HLOOKUP(Non_UN,'Other translations2'!$A:$L,1+J162,)</f>
        <v>Letztes Update für GWP100 (IPCC 2013)</v>
      </c>
      <c r="J162" s="2078">
        <v>161</v>
      </c>
    </row>
    <row r="163" spans="1:10">
      <c r="A163" s="2923" t="s">
        <v>5580</v>
      </c>
      <c r="C163" s="2920" t="s">
        <v>2245</v>
      </c>
      <c r="D163" s="2931" t="s">
        <v>2244</v>
      </c>
      <c r="E163" s="2872" t="s">
        <v>4433</v>
      </c>
      <c r="F163" s="2855" t="s">
        <v>3068</v>
      </c>
      <c r="G163" s="2860" t="s">
        <v>3780</v>
      </c>
      <c r="H163" s="2078" t="str">
        <f>HLOOKUP(Non_UN,'Other translations2'!$A:$L,1+J163,)</f>
        <v>Kein dominanter</v>
      </c>
      <c r="I163" s="2078"/>
      <c r="J163" s="2078">
        <v>162</v>
      </c>
    </row>
    <row r="164" spans="1:10">
      <c r="A164" s="2923" t="s">
        <v>2246</v>
      </c>
      <c r="C164" s="2920" t="s">
        <v>2247</v>
      </c>
      <c r="D164" s="2931" t="s">
        <v>5250</v>
      </c>
      <c r="E164" s="2872" t="s">
        <v>4434</v>
      </c>
      <c r="F164" s="2855" t="s">
        <v>3069</v>
      </c>
      <c r="G164" s="2860" t="s">
        <v>3781</v>
      </c>
      <c r="H164" s="2078" t="str">
        <f>HLOOKUP(Non_UN,'Other translations2'!$A:$L,1+J164,)</f>
        <v>Non soil</v>
      </c>
      <c r="I164" s="2078"/>
      <c r="J164" s="2078">
        <v>163</v>
      </c>
    </row>
    <row r="165" spans="1:10" s="2661" customFormat="1">
      <c r="A165" s="2924" t="s">
        <v>5</v>
      </c>
      <c r="B165" s="2916"/>
      <c r="C165" s="2828" t="s">
        <v>5</v>
      </c>
      <c r="D165" s="2931" t="s">
        <v>5</v>
      </c>
      <c r="E165" s="2872" t="s">
        <v>4435</v>
      </c>
      <c r="F165" s="2855" t="s">
        <v>5</v>
      </c>
      <c r="G165" s="2860" t="s">
        <v>3782</v>
      </c>
      <c r="H165" s="2661" t="str">
        <f>HLOOKUP(Non_UN,'Other translations2'!$A:$L,1+J165,)</f>
        <v>?</v>
      </c>
      <c r="J165" s="2661">
        <v>164</v>
      </c>
    </row>
    <row r="166" spans="1:10" s="2661" customFormat="1">
      <c r="A166" s="2925" t="s">
        <v>302</v>
      </c>
      <c r="B166" s="2916"/>
      <c r="C166" s="2828" t="s">
        <v>1723</v>
      </c>
      <c r="D166" s="2931" t="s">
        <v>302</v>
      </c>
      <c r="E166" s="2872" t="s">
        <v>4436</v>
      </c>
      <c r="F166" s="2855" t="s">
        <v>2942</v>
      </c>
      <c r="G166" s="2860" t="s">
        <v>3655</v>
      </c>
      <c r="H166" s="2661" t="str">
        <f>HLOOKUP(Non_UN,'Other translations2'!$A:$L,1+J166,)</f>
        <v>Afrika</v>
      </c>
      <c r="J166" s="2661">
        <v>165</v>
      </c>
    </row>
    <row r="167" spans="1:10" s="2661" customFormat="1">
      <c r="A167" s="2925" t="s">
        <v>1411</v>
      </c>
      <c r="B167" s="2916"/>
      <c r="C167" s="2828" t="s">
        <v>2316</v>
      </c>
      <c r="D167" s="2931" t="s">
        <v>1411</v>
      </c>
      <c r="E167" s="2872" t="s">
        <v>4437</v>
      </c>
      <c r="F167" s="2855" t="s">
        <v>3070</v>
      </c>
      <c r="G167" s="2860" t="s">
        <v>3783</v>
      </c>
      <c r="H167" s="2661" t="str">
        <f>HLOOKUP(Non_UN,'Other translations2'!$A:$L,1+J167,)</f>
        <v>Americas</v>
      </c>
      <c r="J167" s="2661">
        <v>166</v>
      </c>
    </row>
    <row r="168" spans="1:10" s="2661" customFormat="1">
      <c r="A168" s="2925" t="s">
        <v>433</v>
      </c>
      <c r="B168" s="2916"/>
      <c r="C168" s="2828" t="s">
        <v>2317</v>
      </c>
      <c r="D168" s="2931" t="s">
        <v>433</v>
      </c>
      <c r="E168" s="2872" t="s">
        <v>4438</v>
      </c>
      <c r="F168" s="2855" t="s">
        <v>3071</v>
      </c>
      <c r="G168" s="2860" t="s">
        <v>3784</v>
      </c>
      <c r="H168" s="2661" t="str">
        <f>HLOOKUP(Non_UN,'Other translations2'!$A:$L,1+J168,)</f>
        <v>Asien</v>
      </c>
      <c r="J168" s="2661">
        <v>167</v>
      </c>
    </row>
    <row r="169" spans="1:10" s="2661" customFormat="1">
      <c r="A169" s="2925" t="s">
        <v>1357</v>
      </c>
      <c r="B169" s="2916"/>
      <c r="C169" s="2828" t="s">
        <v>2318</v>
      </c>
      <c r="D169" s="2931" t="s">
        <v>5147</v>
      </c>
      <c r="E169" s="2872" t="s">
        <v>4439</v>
      </c>
      <c r="F169" s="2855" t="s">
        <v>3072</v>
      </c>
      <c r="G169" s="2860" t="s">
        <v>3785</v>
      </c>
      <c r="H169" s="2661" t="str">
        <f>HLOOKUP(Non_UN,'Other translations2'!$A:$L,1+J169,)</f>
        <v>Australien &amp; Neuseeland</v>
      </c>
      <c r="J169" s="2661">
        <v>168</v>
      </c>
    </row>
    <row r="170" spans="1:10" s="2661" customFormat="1">
      <c r="A170" s="2925" t="s">
        <v>1415</v>
      </c>
      <c r="B170" s="2916"/>
      <c r="C170" s="2828" t="s">
        <v>2319</v>
      </c>
      <c r="D170" s="2931" t="s">
        <v>5148</v>
      </c>
      <c r="E170" s="2872" t="s">
        <v>4440</v>
      </c>
      <c r="F170" s="2855" t="s">
        <v>3073</v>
      </c>
      <c r="G170" s="2860" t="s">
        <v>3786</v>
      </c>
      <c r="H170" s="2661" t="str">
        <f>HLOOKUP(Non_UN,'Other translations2'!$A:$L,1+J170,)</f>
        <v>Karibik</v>
      </c>
      <c r="J170" s="2661">
        <v>169</v>
      </c>
    </row>
    <row r="171" spans="1:10" s="2661" customFormat="1">
      <c r="A171" s="2925" t="s">
        <v>310</v>
      </c>
      <c r="B171" s="2916"/>
      <c r="C171" s="2828" t="s">
        <v>1732</v>
      </c>
      <c r="D171" s="2931" t="s">
        <v>5049</v>
      </c>
      <c r="E171" s="2872" t="s">
        <v>4441</v>
      </c>
      <c r="F171" s="2855" t="s">
        <v>2951</v>
      </c>
      <c r="G171" s="2860" t="s">
        <v>3664</v>
      </c>
      <c r="H171" s="2661" t="str">
        <f>HLOOKUP(Non_UN,'Other translations2'!$A:$L,1+J171,)</f>
        <v>Mittelamerika</v>
      </c>
      <c r="J171" s="2661">
        <v>170</v>
      </c>
    </row>
    <row r="172" spans="1:10" s="2661" customFormat="1">
      <c r="A172" s="2925" t="s">
        <v>1360</v>
      </c>
      <c r="B172" s="2916"/>
      <c r="C172" s="2828" t="s">
        <v>2320</v>
      </c>
      <c r="D172" s="2931" t="s">
        <v>5149</v>
      </c>
      <c r="E172" s="2872" t="s">
        <v>4442</v>
      </c>
      <c r="F172" s="2855" t="s">
        <v>3074</v>
      </c>
      <c r="G172" s="2860" t="s">
        <v>3787</v>
      </c>
      <c r="H172" s="2661" t="str">
        <f>HLOOKUP(Non_UN,'Other translations2'!$A:$L,1+J172,)</f>
        <v>Zentralasien</v>
      </c>
      <c r="J172" s="2661">
        <v>171</v>
      </c>
    </row>
    <row r="173" spans="1:10" s="2661" customFormat="1">
      <c r="A173" s="2924" t="s">
        <v>1416</v>
      </c>
      <c r="B173" s="2916"/>
      <c r="C173" s="2828" t="s">
        <v>2321</v>
      </c>
      <c r="D173" s="2931" t="s">
        <v>5150</v>
      </c>
      <c r="E173" s="2872" t="s">
        <v>4443</v>
      </c>
      <c r="F173" s="2855" t="s">
        <v>3075</v>
      </c>
      <c r="G173" s="2860" t="s">
        <v>3788</v>
      </c>
      <c r="H173" s="2661" t="str">
        <f>HLOOKUP(Non_UN,'Other translations2'!$A:$L,1+J173,)</f>
        <v>Ostafrika</v>
      </c>
      <c r="J173" s="2661">
        <v>172</v>
      </c>
    </row>
    <row r="174" spans="1:10" s="2661" customFormat="1">
      <c r="A174" s="2925" t="s">
        <v>1354</v>
      </c>
      <c r="B174" s="2916"/>
      <c r="C174" s="2828" t="s">
        <v>2322</v>
      </c>
      <c r="D174" s="2931" t="s">
        <v>5151</v>
      </c>
      <c r="E174" s="2872" t="s">
        <v>4444</v>
      </c>
      <c r="F174" s="2855" t="s">
        <v>3076</v>
      </c>
      <c r="G174" s="2860" t="s">
        <v>3789</v>
      </c>
      <c r="H174" s="2661" t="str">
        <f>HLOOKUP(Non_UN,'Other translations2'!$A:$L,1+J174,)</f>
        <v>Ostasien</v>
      </c>
      <c r="J174" s="2661">
        <v>173</v>
      </c>
    </row>
    <row r="175" spans="1:10" s="2661" customFormat="1">
      <c r="A175" s="2925" t="s">
        <v>307</v>
      </c>
      <c r="B175" s="2916"/>
      <c r="C175" s="2828" t="s">
        <v>1729</v>
      </c>
      <c r="D175" s="2931" t="s">
        <v>5047</v>
      </c>
      <c r="E175" s="2872" t="s">
        <v>4445</v>
      </c>
      <c r="F175" s="2855" t="s">
        <v>2948</v>
      </c>
      <c r="G175" s="2860" t="s">
        <v>3661</v>
      </c>
      <c r="H175" s="2661" t="str">
        <f>HLOOKUP(Non_UN,'Other translations2'!$A:$L,1+J175,)</f>
        <v>Osteuropa</v>
      </c>
      <c r="J175" s="2661">
        <v>174</v>
      </c>
    </row>
    <row r="176" spans="1:10" s="2661" customFormat="1">
      <c r="A176" s="2925" t="s">
        <v>1413</v>
      </c>
      <c r="B176" s="2916"/>
      <c r="C176" s="2828" t="s">
        <v>1413</v>
      </c>
      <c r="D176" s="2931" t="s">
        <v>5152</v>
      </c>
      <c r="E176" s="2872" t="s">
        <v>4446</v>
      </c>
      <c r="F176" s="2855" t="s">
        <v>3077</v>
      </c>
      <c r="G176" s="2860" t="s">
        <v>3790</v>
      </c>
      <c r="H176" s="2661" t="str">
        <f>HLOOKUP(Non_UN,'Other translations2'!$A:$L,1+J176,)</f>
        <v>Europa</v>
      </c>
      <c r="J176" s="2661">
        <v>175</v>
      </c>
    </row>
    <row r="177" spans="1:10" s="2661" customFormat="1">
      <c r="A177" s="2925" t="s">
        <v>1417</v>
      </c>
      <c r="B177" s="2916"/>
      <c r="C177" s="2828" t="s">
        <v>2323</v>
      </c>
      <c r="D177" s="2931" t="s">
        <v>5251</v>
      </c>
      <c r="E177" s="2872" t="s">
        <v>4447</v>
      </c>
      <c r="F177" s="2855" t="s">
        <v>3078</v>
      </c>
      <c r="G177" s="2860" t="s">
        <v>3791</v>
      </c>
      <c r="H177" s="2661" t="str">
        <f>HLOOKUP(Non_UN,'Other translations2'!$A:$L,1+J177,)</f>
        <v>Europäische Union</v>
      </c>
      <c r="J177" s="2661">
        <v>176</v>
      </c>
    </row>
    <row r="178" spans="1:10" s="2661" customFormat="1">
      <c r="A178" s="2925" t="s">
        <v>1418</v>
      </c>
      <c r="B178" s="2916"/>
      <c r="C178" s="2828" t="s">
        <v>2324</v>
      </c>
      <c r="D178" s="2931" t="s">
        <v>1418</v>
      </c>
      <c r="E178" s="2872" t="s">
        <v>4448</v>
      </c>
      <c r="F178" s="2855" t="s">
        <v>3222</v>
      </c>
      <c r="G178" s="2860" t="s">
        <v>3792</v>
      </c>
      <c r="H178" s="2661" t="str">
        <f>HLOOKUP(Non_UN,'Other translations2'!$A:$L,1+J178,)</f>
        <v>Melanesien</v>
      </c>
      <c r="J178" s="2661">
        <v>177</v>
      </c>
    </row>
    <row r="179" spans="1:10" s="2661" customFormat="1">
      <c r="A179" s="2925" t="s">
        <v>1350</v>
      </c>
      <c r="B179" s="2916"/>
      <c r="C179" s="2828" t="s">
        <v>2325</v>
      </c>
      <c r="D179" s="2931" t="s">
        <v>1350</v>
      </c>
      <c r="E179" s="2872" t="s">
        <v>4449</v>
      </c>
      <c r="F179" s="2855" t="s">
        <v>3079</v>
      </c>
      <c r="G179" s="2860" t="s">
        <v>3793</v>
      </c>
      <c r="H179" s="2661" t="str">
        <f>HLOOKUP(Non_UN,'Other translations2'!$A:$L,1+J179,)</f>
        <v>Mikronesien</v>
      </c>
      <c r="J179" s="2661">
        <v>178</v>
      </c>
    </row>
    <row r="180" spans="1:10" s="2661" customFormat="1">
      <c r="A180" s="2925" t="s">
        <v>1348</v>
      </c>
      <c r="B180" s="2916"/>
      <c r="C180" s="2828" t="s">
        <v>2326</v>
      </c>
      <c r="D180" s="2931" t="s">
        <v>5252</v>
      </c>
      <c r="E180" s="2872" t="s">
        <v>4450</v>
      </c>
      <c r="F180" s="2855" t="s">
        <v>3080</v>
      </c>
      <c r="G180" s="2860" t="s">
        <v>3794</v>
      </c>
      <c r="H180" s="2661" t="str">
        <f>HLOOKUP(Non_UN,'Other translations2'!$A:$L,1+J180,)</f>
        <v>Zentralafrika</v>
      </c>
      <c r="J180" s="2661">
        <v>179</v>
      </c>
    </row>
    <row r="181" spans="1:10" s="2661" customFormat="1">
      <c r="A181" s="2925" t="s">
        <v>1419</v>
      </c>
      <c r="B181" s="2916"/>
      <c r="C181" s="2828" t="s">
        <v>2327</v>
      </c>
      <c r="D181" s="2931" t="s">
        <v>5153</v>
      </c>
      <c r="E181" s="2872" t="s">
        <v>4451</v>
      </c>
      <c r="F181" s="2855" t="s">
        <v>3081</v>
      </c>
      <c r="G181" s="2860" t="s">
        <v>3795</v>
      </c>
      <c r="H181" s="2661" t="str">
        <f>HLOOKUP(Non_UN,'Other translations2'!$A:$L,1+J181,)</f>
        <v>Nordafrika</v>
      </c>
      <c r="J181" s="2661">
        <v>180</v>
      </c>
    </row>
    <row r="182" spans="1:10" s="2661" customFormat="1">
      <c r="A182" s="2925" t="s">
        <v>1344</v>
      </c>
      <c r="B182" s="2916"/>
      <c r="C182" s="2828" t="s">
        <v>1731</v>
      </c>
      <c r="D182" s="2931" t="s">
        <v>5048</v>
      </c>
      <c r="E182" s="2872" t="s">
        <v>4452</v>
      </c>
      <c r="F182" s="2855" t="s">
        <v>2950</v>
      </c>
      <c r="G182" s="2860" t="s">
        <v>3663</v>
      </c>
      <c r="H182" s="2661" t="str">
        <f>HLOOKUP(Non_UN,'Other translations2'!$A:$L,1+J182,)</f>
        <v>Nordamerika</v>
      </c>
      <c r="J182" s="2661">
        <v>181</v>
      </c>
    </row>
    <row r="183" spans="1:10" s="2661" customFormat="1">
      <c r="A183" s="2925" t="s">
        <v>1346</v>
      </c>
      <c r="B183" s="2916"/>
      <c r="C183" s="2828" t="s">
        <v>2328</v>
      </c>
      <c r="D183" s="2931" t="s">
        <v>5154</v>
      </c>
      <c r="E183" s="2872" t="s">
        <v>4453</v>
      </c>
      <c r="F183" s="2855" t="s">
        <v>3082</v>
      </c>
      <c r="G183" s="2860" t="s">
        <v>3796</v>
      </c>
      <c r="H183" s="2661" t="str">
        <f>HLOOKUP(Non_UN,'Other translations2'!$A:$L,1+J183,)</f>
        <v>Nordeuropa</v>
      </c>
      <c r="J183" s="2661">
        <v>182</v>
      </c>
    </row>
    <row r="184" spans="1:10" s="2661" customFormat="1">
      <c r="A184" s="2925" t="s">
        <v>308</v>
      </c>
      <c r="B184" s="2916"/>
      <c r="C184" s="2828" t="s">
        <v>1730</v>
      </c>
      <c r="D184" s="2931" t="s">
        <v>308</v>
      </c>
      <c r="E184" s="2872" t="s">
        <v>4454</v>
      </c>
      <c r="F184" s="2855" t="s">
        <v>2949</v>
      </c>
      <c r="G184" s="2860" t="s">
        <v>3662</v>
      </c>
      <c r="H184" s="2661" t="str">
        <f>HLOOKUP(Non_UN,'Other translations2'!$A:$L,1+J184,)</f>
        <v>Ozeanien</v>
      </c>
      <c r="J184" s="2661">
        <v>183</v>
      </c>
    </row>
    <row r="185" spans="1:10" s="2661" customFormat="1">
      <c r="A185" s="2925" t="s">
        <v>1420</v>
      </c>
      <c r="B185" s="2916"/>
      <c r="C185" s="2828" t="s">
        <v>2329</v>
      </c>
      <c r="D185" s="2931" t="s">
        <v>5155</v>
      </c>
      <c r="E185" s="2872" t="s">
        <v>4455</v>
      </c>
      <c r="F185" s="2855" t="s">
        <v>3083</v>
      </c>
      <c r="G185" s="2860" t="s">
        <v>3797</v>
      </c>
      <c r="H185" s="2661" t="str">
        <f>HLOOKUP(Non_UN,'Other translations2'!$A:$L,1+J185,)</f>
        <v>Polynesien</v>
      </c>
      <c r="J185" s="2661">
        <v>184</v>
      </c>
    </row>
    <row r="186" spans="1:10" s="2661" customFormat="1">
      <c r="A186" s="2925" t="s">
        <v>311</v>
      </c>
      <c r="B186" s="2916"/>
      <c r="C186" s="2919" t="s">
        <v>1733</v>
      </c>
      <c r="D186" s="2931" t="s">
        <v>5050</v>
      </c>
      <c r="E186" s="2872" t="s">
        <v>4456</v>
      </c>
      <c r="F186" s="2855" t="s">
        <v>2952</v>
      </c>
      <c r="G186" s="2860" t="s">
        <v>3665</v>
      </c>
      <c r="H186" s="2661" t="str">
        <f>HLOOKUP(Non_UN,'Other translations2'!$A:$L,1+J186,)</f>
        <v>Südamerika</v>
      </c>
      <c r="J186" s="2661">
        <v>185</v>
      </c>
    </row>
    <row r="187" spans="1:10" s="2661" customFormat="1">
      <c r="A187" s="2925" t="s">
        <v>1421</v>
      </c>
      <c r="B187" s="2916"/>
      <c r="C187" s="2919" t="s">
        <v>2330</v>
      </c>
      <c r="D187" s="2931" t="s">
        <v>5156</v>
      </c>
      <c r="E187" s="2872" t="s">
        <v>4457</v>
      </c>
      <c r="F187" s="2855" t="s">
        <v>3084</v>
      </c>
      <c r="G187" s="2860" t="s">
        <v>3798</v>
      </c>
      <c r="H187" s="2661" t="str">
        <f>HLOOKUP(Non_UN,'Other translations2'!$A:$L,1+J187,)</f>
        <v>Süd-Ost-Asien</v>
      </c>
      <c r="J187" s="2661">
        <v>186</v>
      </c>
    </row>
    <row r="188" spans="1:10" s="2661" customFormat="1">
      <c r="A188" s="2925" t="s">
        <v>1422</v>
      </c>
      <c r="B188" s="2916"/>
      <c r="C188" s="2919" t="s">
        <v>2331</v>
      </c>
      <c r="D188" s="2931" t="s">
        <v>5157</v>
      </c>
      <c r="E188" s="2872" t="s">
        <v>4458</v>
      </c>
      <c r="F188" s="2855" t="s">
        <v>3085</v>
      </c>
      <c r="G188" s="2860" t="s">
        <v>3799</v>
      </c>
      <c r="H188" s="2661" t="str">
        <f>HLOOKUP(Non_UN,'Other translations2'!$A:$L,1+J188,)</f>
        <v>Südliches Afrika</v>
      </c>
      <c r="J188" s="2661">
        <v>187</v>
      </c>
    </row>
    <row r="189" spans="1:10" s="2661" customFormat="1">
      <c r="A189" s="2925" t="s">
        <v>1352</v>
      </c>
      <c r="B189" s="2916"/>
      <c r="C189" s="2919" t="s">
        <v>2332</v>
      </c>
      <c r="D189" s="2931" t="s">
        <v>5158</v>
      </c>
      <c r="E189" s="2872" t="s">
        <v>4459</v>
      </c>
      <c r="F189" s="2855" t="s">
        <v>3086</v>
      </c>
      <c r="G189" s="2860" t="s">
        <v>3800</v>
      </c>
      <c r="H189" s="2661" t="str">
        <f>HLOOKUP(Non_UN,'Other translations2'!$A:$L,1+J189,)</f>
        <v>Südasien</v>
      </c>
      <c r="J189" s="2661">
        <v>188</v>
      </c>
    </row>
    <row r="190" spans="1:10" s="2661" customFormat="1">
      <c r="A190" s="2925" t="s">
        <v>1423</v>
      </c>
      <c r="B190" s="2916"/>
      <c r="C190" s="2919" t="s">
        <v>2333</v>
      </c>
      <c r="D190" s="2931" t="s">
        <v>5159</v>
      </c>
      <c r="E190" s="2872" t="s">
        <v>4460</v>
      </c>
      <c r="F190" s="2855" t="s">
        <v>3087</v>
      </c>
      <c r="G190" s="2860" t="s">
        <v>3801</v>
      </c>
      <c r="H190" s="2661" t="str">
        <f>HLOOKUP(Non_UN,'Other translations2'!$A:$L,1+J190,)</f>
        <v>Südeuropa</v>
      </c>
      <c r="J190" s="2661">
        <v>189</v>
      </c>
    </row>
    <row r="191" spans="1:10" s="2661" customFormat="1">
      <c r="A191" s="2925" t="s">
        <v>1424</v>
      </c>
      <c r="B191" s="2916"/>
      <c r="C191" s="2919" t="s">
        <v>2334</v>
      </c>
      <c r="D191" s="2931" t="s">
        <v>5160</v>
      </c>
      <c r="E191" s="2872" t="s">
        <v>4461</v>
      </c>
      <c r="F191" s="2855" t="s">
        <v>3088</v>
      </c>
      <c r="G191" s="2860" t="s">
        <v>3802</v>
      </c>
      <c r="H191" s="2661" t="str">
        <f>HLOOKUP(Non_UN,'Other translations2'!$A:$L,1+J191,)</f>
        <v>Westafrika</v>
      </c>
      <c r="J191" s="2661">
        <v>190</v>
      </c>
    </row>
    <row r="192" spans="1:10" s="2661" customFormat="1">
      <c r="A192" s="2925" t="s">
        <v>1425</v>
      </c>
      <c r="B192" s="2916"/>
      <c r="C192" s="2919" t="s">
        <v>2335</v>
      </c>
      <c r="D192" s="2931" t="s">
        <v>5161</v>
      </c>
      <c r="E192" s="2872" t="s">
        <v>4462</v>
      </c>
      <c r="F192" s="2855" t="s">
        <v>3089</v>
      </c>
      <c r="G192" s="2860" t="s">
        <v>3803</v>
      </c>
      <c r="H192" s="2661" t="str">
        <f>HLOOKUP(Non_UN,'Other translations2'!$A:$L,1+J192,)</f>
        <v>Westasien</v>
      </c>
      <c r="J192" s="2661">
        <v>191</v>
      </c>
    </row>
    <row r="193" spans="1:10" s="2661" customFormat="1">
      <c r="A193" s="2925" t="s">
        <v>306</v>
      </c>
      <c r="B193" s="2916"/>
      <c r="C193" s="2919" t="s">
        <v>1728</v>
      </c>
      <c r="D193" s="2931" t="s">
        <v>5162</v>
      </c>
      <c r="E193" s="2872" t="s">
        <v>4463</v>
      </c>
      <c r="F193" s="2855" t="s">
        <v>2947</v>
      </c>
      <c r="G193" s="2860" t="s">
        <v>3660</v>
      </c>
      <c r="H193" s="2661" t="str">
        <f>HLOOKUP(Non_UN,'Other translations2'!$A:$L,1+J193,)</f>
        <v>Westeuropa</v>
      </c>
      <c r="J193" s="2661">
        <v>192</v>
      </c>
    </row>
    <row r="194" spans="1:10" s="2661" customFormat="1">
      <c r="A194" s="2925" t="s">
        <v>1414</v>
      </c>
      <c r="B194" s="2916"/>
      <c r="C194" s="2926" t="s">
        <v>2336</v>
      </c>
      <c r="D194" s="2931" t="s">
        <v>5163</v>
      </c>
      <c r="E194" s="2872" t="s">
        <v>4464</v>
      </c>
      <c r="F194" s="2855" t="s">
        <v>3090</v>
      </c>
      <c r="G194" s="2860" t="s">
        <v>3804</v>
      </c>
      <c r="H194" s="2661" t="str">
        <f>HLOOKUP(Non_UN,'Other translations2'!$A:$L,1+J194,)</f>
        <v>Welt</v>
      </c>
      <c r="J194" s="2661">
        <v>193</v>
      </c>
    </row>
    <row r="195" spans="1:10">
      <c r="A195" s="2927" t="s">
        <v>5</v>
      </c>
      <c r="C195" s="2920" t="s">
        <v>5</v>
      </c>
      <c r="D195" s="2931" t="s">
        <v>5</v>
      </c>
      <c r="E195" s="2872" t="s">
        <v>4465</v>
      </c>
      <c r="F195" s="2855" t="s">
        <v>5</v>
      </c>
      <c r="G195" s="2860" t="s">
        <v>3782</v>
      </c>
      <c r="H195" s="2661" t="str">
        <f>HLOOKUP(Non_UN,'Other translations2'!$A:$L,1+J195,)</f>
        <v>?</v>
      </c>
      <c r="I195" s="2661"/>
      <c r="J195" s="2661">
        <v>194</v>
      </c>
    </row>
    <row r="196" spans="1:10">
      <c r="A196" s="2928" t="s">
        <v>1362</v>
      </c>
      <c r="C196" s="2920" t="s">
        <v>2343</v>
      </c>
      <c r="D196" s="2931" t="s">
        <v>1362</v>
      </c>
      <c r="E196" s="2872" t="s">
        <v>4466</v>
      </c>
      <c r="F196" s="2855" t="s">
        <v>3091</v>
      </c>
      <c r="G196" s="2860" t="s">
        <v>3805</v>
      </c>
      <c r="H196" s="2661" t="str">
        <f>HLOOKUP(Non_UN,'Other translations2'!$A:$L,1+J196,)</f>
        <v>Bananen</v>
      </c>
      <c r="I196" s="2661"/>
      <c r="J196" s="2661">
        <v>195</v>
      </c>
    </row>
    <row r="197" spans="1:10">
      <c r="A197" s="2928" t="s">
        <v>1363</v>
      </c>
      <c r="C197" s="2920" t="s">
        <v>2342</v>
      </c>
      <c r="D197" s="2931" t="s">
        <v>5164</v>
      </c>
      <c r="E197" s="2872" t="s">
        <v>4467</v>
      </c>
      <c r="F197" s="2855" t="s">
        <v>3092</v>
      </c>
      <c r="G197" s="2860" t="s">
        <v>3806</v>
      </c>
      <c r="H197" s="2661" t="str">
        <f>HLOOKUP(Non_UN,'Other translations2'!$A:$L,1+J197,)</f>
        <v>Gerste</v>
      </c>
      <c r="I197" s="2661"/>
      <c r="J197" s="2661">
        <v>196</v>
      </c>
    </row>
    <row r="198" spans="1:10">
      <c r="A198" s="2928" t="s">
        <v>1364</v>
      </c>
      <c r="C198" s="2918" t="s">
        <v>2337</v>
      </c>
      <c r="D198" s="2931" t="s">
        <v>5165</v>
      </c>
      <c r="E198" s="2872" t="s">
        <v>4468</v>
      </c>
      <c r="F198" s="2855" t="s">
        <v>3223</v>
      </c>
      <c r="G198" s="2860" t="s">
        <v>3807</v>
      </c>
      <c r="H198" s="2661" t="str">
        <f>HLOOKUP(Non_UN,'Other translations2'!$A:$L,1+J198,)</f>
        <v>Bohnen, trocken</v>
      </c>
      <c r="I198" s="2661"/>
      <c r="J198" s="2661">
        <v>197</v>
      </c>
    </row>
    <row r="199" spans="1:10">
      <c r="A199" s="2928" t="s">
        <v>1365</v>
      </c>
      <c r="C199" s="2918" t="s">
        <v>2338</v>
      </c>
      <c r="D199" s="2931" t="s">
        <v>5166</v>
      </c>
      <c r="E199" s="2872" t="s">
        <v>4469</v>
      </c>
      <c r="F199" s="2855" t="s">
        <v>3093</v>
      </c>
      <c r="G199" s="2860" t="s">
        <v>3808</v>
      </c>
      <c r="H199" s="2661" t="str">
        <f>HLOOKUP(Non_UN,'Other translations2'!$A:$L,1+J199,)</f>
        <v>Bohnen, grüne</v>
      </c>
      <c r="I199" s="2661"/>
      <c r="J199" s="2661">
        <v>198</v>
      </c>
    </row>
    <row r="200" spans="1:10">
      <c r="A200" s="2928" t="s">
        <v>1366</v>
      </c>
      <c r="C200" s="2918" t="s">
        <v>2339</v>
      </c>
      <c r="D200" s="2931" t="s">
        <v>5253</v>
      </c>
      <c r="E200" s="2872" t="s">
        <v>4470</v>
      </c>
      <c r="F200" s="2855" t="s">
        <v>3094</v>
      </c>
      <c r="G200" s="2860" t="s">
        <v>3809</v>
      </c>
      <c r="H200" s="2661" t="str">
        <f>HLOOKUP(Non_UN,'Other translations2'!$A:$L,1+J200,)</f>
        <v>Karotten und Rüben</v>
      </c>
      <c r="I200" s="2661"/>
      <c r="J200" s="2661">
        <v>199</v>
      </c>
    </row>
    <row r="201" spans="1:10">
      <c r="A201" s="2928" t="s">
        <v>1367</v>
      </c>
      <c r="C201" s="2918" t="s">
        <v>2340</v>
      </c>
      <c r="D201" s="2931" t="s">
        <v>5167</v>
      </c>
      <c r="E201" s="2872" t="s">
        <v>4471</v>
      </c>
      <c r="F201" s="2855" t="s">
        <v>3095</v>
      </c>
      <c r="G201" s="2860" t="s">
        <v>3810</v>
      </c>
      <c r="H201" s="2661" t="str">
        <f>HLOOKUP(Non_UN,'Other translations2'!$A:$L,1+J201,)</f>
        <v>Cashew-Nüsse, mit Schale</v>
      </c>
      <c r="I201" s="2661"/>
      <c r="J201" s="2661">
        <v>200</v>
      </c>
    </row>
    <row r="202" spans="1:10">
      <c r="A202" s="2928" t="s">
        <v>1368</v>
      </c>
      <c r="C202" s="2920" t="s">
        <v>2344</v>
      </c>
      <c r="D202" s="2931" t="s">
        <v>5168</v>
      </c>
      <c r="E202" s="2872" t="s">
        <v>4472</v>
      </c>
      <c r="F202" s="2855" t="s">
        <v>3096</v>
      </c>
      <c r="G202" s="2860" t="s">
        <v>3811</v>
      </c>
      <c r="H202" s="2661" t="str">
        <f>HLOOKUP(Non_UN,'Other translations2'!$A:$L,1+J202,)</f>
        <v>Maniok</v>
      </c>
      <c r="I202" s="2661"/>
      <c r="J202" s="2661">
        <v>201</v>
      </c>
    </row>
    <row r="203" spans="1:10">
      <c r="A203" s="2928" t="s">
        <v>1369</v>
      </c>
      <c r="C203" s="2918" t="s">
        <v>2341</v>
      </c>
      <c r="D203" s="2931" t="s">
        <v>5169</v>
      </c>
      <c r="E203" s="2872" t="s">
        <v>4473</v>
      </c>
      <c r="F203" s="2855" t="s">
        <v>3097</v>
      </c>
      <c r="G203" s="2860" t="s">
        <v>3812</v>
      </c>
      <c r="H203" s="2661" t="str">
        <f>HLOOKUP(Non_UN,'Other translations2'!$A:$L,1+J203,)</f>
        <v>Blumenkohl und Brokkoli</v>
      </c>
      <c r="I203" s="2661"/>
      <c r="J203" s="2661">
        <v>202</v>
      </c>
    </row>
    <row r="204" spans="1:10" ht="26.4">
      <c r="A204" s="2927" t="s">
        <v>5487</v>
      </c>
      <c r="C204" s="2920" t="s">
        <v>2345</v>
      </c>
      <c r="D204" s="2931" t="s">
        <v>5170</v>
      </c>
      <c r="E204" s="2872" t="s">
        <v>4474</v>
      </c>
      <c r="F204" s="2855" t="s">
        <v>3098</v>
      </c>
      <c r="G204" s="2860" t="s">
        <v>3813</v>
      </c>
      <c r="H204" s="2661" t="str">
        <f>HLOOKUP(Non_UN,'Other translations2'!$A:$L,1+J204,)</f>
        <v>Getreide (Reis gemahlenes Eqv)</v>
      </c>
      <c r="I204" s="2661"/>
      <c r="J204" s="2661">
        <v>203</v>
      </c>
    </row>
    <row r="205" spans="1:10">
      <c r="A205" s="2928" t="s">
        <v>1370</v>
      </c>
      <c r="C205" s="2918" t="s">
        <v>2346</v>
      </c>
      <c r="D205" s="2930" t="s">
        <v>5254</v>
      </c>
      <c r="E205" s="2872" t="s">
        <v>4475</v>
      </c>
      <c r="F205" s="2855" t="s">
        <v>3099</v>
      </c>
      <c r="G205" s="2860" t="s">
        <v>3814</v>
      </c>
      <c r="H205" s="2661" t="str">
        <f>HLOOKUP(Non_UN,'Other translations2'!$A:$L,1+J205,)</f>
        <v>Getreide, andere</v>
      </c>
      <c r="I205" s="2661"/>
      <c r="J205" s="2661">
        <v>204</v>
      </c>
    </row>
    <row r="206" spans="1:10">
      <c r="A206" s="2928" t="s">
        <v>1371</v>
      </c>
      <c r="C206" s="2920" t="s">
        <v>2354</v>
      </c>
      <c r="D206" s="2931" t="s">
        <v>5171</v>
      </c>
      <c r="E206" s="2872" t="s">
        <v>4476</v>
      </c>
      <c r="F206" s="2855" t="s">
        <v>3100</v>
      </c>
      <c r="G206" s="2860" t="s">
        <v>3815</v>
      </c>
      <c r="H206" s="2661" t="str">
        <f>HLOOKUP(Non_UN,'Other translations2'!$A:$L,1+J206,)</f>
        <v>Kastanien</v>
      </c>
      <c r="I206" s="2661"/>
      <c r="J206" s="2661">
        <v>205</v>
      </c>
    </row>
    <row r="207" spans="1:10">
      <c r="A207" s="2928" t="s">
        <v>1372</v>
      </c>
      <c r="C207" s="2918" t="s">
        <v>2347</v>
      </c>
      <c r="D207" s="2931" t="s">
        <v>5255</v>
      </c>
      <c r="E207" s="2872" t="s">
        <v>4477</v>
      </c>
      <c r="F207" s="2855" t="s">
        <v>3101</v>
      </c>
      <c r="G207" s="2860" t="s">
        <v>3816</v>
      </c>
      <c r="H207" s="2661" t="str">
        <f>HLOOKUP(Non_UN,'Other translations2'!$A:$L,1+J207,)</f>
        <v>Zitrusfrüchte, andere</v>
      </c>
      <c r="I207" s="2661"/>
      <c r="J207" s="2661">
        <v>206</v>
      </c>
    </row>
    <row r="208" spans="1:10">
      <c r="A208" s="2928" t="s">
        <v>1373</v>
      </c>
      <c r="C208" s="2918" t="s">
        <v>2348</v>
      </c>
      <c r="D208" s="2931" t="s">
        <v>5172</v>
      </c>
      <c r="E208" s="2872" t="s">
        <v>4478</v>
      </c>
      <c r="F208" s="2855" t="s">
        <v>3102</v>
      </c>
      <c r="G208" s="2860" t="s">
        <v>3817</v>
      </c>
      <c r="H208" s="2661" t="str">
        <f>HLOOKUP(Non_UN,'Other translations2'!$A:$L,1+J208,)</f>
        <v>Kaffee, grün</v>
      </c>
      <c r="I208" s="2661"/>
      <c r="J208" s="2661">
        <v>207</v>
      </c>
    </row>
    <row r="209" spans="1:10" ht="26.4">
      <c r="A209" s="2928" t="s">
        <v>1355</v>
      </c>
      <c r="C209" s="2918" t="s">
        <v>2349</v>
      </c>
      <c r="D209" s="2931" t="s">
        <v>5173</v>
      </c>
      <c r="E209" s="2872" t="s">
        <v>4479</v>
      </c>
      <c r="F209" s="2855" t="s">
        <v>3103</v>
      </c>
      <c r="G209" s="2860" t="s">
        <v>3818</v>
      </c>
      <c r="H209" s="2661" t="str">
        <f>HLOOKUP(Non_UN,'Other translations2'!$A:$L,1+J209,)</f>
        <v>Kuhbohnen, Trocken</v>
      </c>
      <c r="I209" s="2661"/>
      <c r="J209" s="2661">
        <v>208</v>
      </c>
    </row>
    <row r="210" spans="1:10">
      <c r="A210" s="2928" t="s">
        <v>1374</v>
      </c>
      <c r="C210" s="2920" t="s">
        <v>1374</v>
      </c>
      <c r="D210" s="2931" t="s">
        <v>5174</v>
      </c>
      <c r="E210" s="2872" t="s">
        <v>4480</v>
      </c>
      <c r="F210" s="2855" t="s">
        <v>3104</v>
      </c>
      <c r="G210" s="2860" t="s">
        <v>3819</v>
      </c>
      <c r="H210" s="2661" t="str">
        <f>HLOOKUP(Non_UN,'Other translations2'!$A:$L,1+J210,)</f>
        <v>Datteln</v>
      </c>
      <c r="I210" s="2661"/>
      <c r="J210" s="2661">
        <v>209</v>
      </c>
    </row>
    <row r="211" spans="1:10">
      <c r="A211" s="2928" t="s">
        <v>1375</v>
      </c>
      <c r="C211" s="2918" t="s">
        <v>2350</v>
      </c>
      <c r="D211" s="2931" t="s">
        <v>5175</v>
      </c>
      <c r="E211" s="2872" t="s">
        <v>4481</v>
      </c>
      <c r="F211" s="2855" t="s">
        <v>3105</v>
      </c>
      <c r="G211" s="2860" t="s">
        <v>3820</v>
      </c>
      <c r="H211" s="2661" t="str">
        <f>HLOOKUP(Non_UN,'Other translations2'!$A:$L,1+J211,)</f>
        <v>Auberginen</v>
      </c>
      <c r="I211" s="2661"/>
      <c r="J211" s="2661">
        <v>210</v>
      </c>
    </row>
    <row r="212" spans="1:10" ht="26.4">
      <c r="A212" s="2928" t="s">
        <v>1376</v>
      </c>
      <c r="C212" s="2920" t="s">
        <v>2355</v>
      </c>
      <c r="D212" s="2931" t="s">
        <v>5256</v>
      </c>
      <c r="E212" s="2872" t="s">
        <v>4482</v>
      </c>
      <c r="F212" s="2855" t="s">
        <v>3106</v>
      </c>
      <c r="G212" s="2860" t="s">
        <v>3821</v>
      </c>
      <c r="H212" s="2661" t="str">
        <f>HLOOKUP(Non_UN,'Other translations2'!$A:$L,1+J212,)</f>
        <v>Faserpflanzen, andere</v>
      </c>
      <c r="I212" s="2661"/>
      <c r="J212" s="2661">
        <v>211</v>
      </c>
    </row>
    <row r="213" spans="1:10">
      <c r="A213" s="2928" t="s">
        <v>1377</v>
      </c>
      <c r="C213" s="2920" t="s">
        <v>2356</v>
      </c>
      <c r="D213" s="2931" t="s">
        <v>5257</v>
      </c>
      <c r="E213" s="2872" t="s">
        <v>4483</v>
      </c>
      <c r="F213" s="2855" t="s">
        <v>3107</v>
      </c>
      <c r="G213" s="2860" t="s">
        <v>3822</v>
      </c>
      <c r="H213" s="2661" t="str">
        <f>HLOOKUP(Non_UN,'Other translations2'!$A:$L,1+J213,)</f>
        <v>Grapefruit</v>
      </c>
      <c r="I213" s="2661"/>
      <c r="J213" s="2661">
        <v>212</v>
      </c>
    </row>
    <row r="214" spans="1:10">
      <c r="A214" s="2928" t="s">
        <v>1378</v>
      </c>
      <c r="C214" s="2920" t="s">
        <v>2357</v>
      </c>
      <c r="D214" s="2931" t="s">
        <v>5176</v>
      </c>
      <c r="E214" s="2872" t="s">
        <v>4484</v>
      </c>
      <c r="F214" s="2855" t="s">
        <v>3108</v>
      </c>
      <c r="G214" s="2860" t="s">
        <v>3823</v>
      </c>
      <c r="H214" s="2661" t="str">
        <f>HLOOKUP(Non_UN,'Other translations2'!$A:$L,1+J214,)</f>
        <v>Trauben</v>
      </c>
      <c r="I214" s="2661"/>
      <c r="J214" s="2661">
        <v>213</v>
      </c>
    </row>
    <row r="215" spans="1:10">
      <c r="A215" s="2928" t="s">
        <v>1379</v>
      </c>
      <c r="C215" s="2918" t="s">
        <v>2351</v>
      </c>
      <c r="D215" s="2931" t="s">
        <v>5177</v>
      </c>
      <c r="E215" s="2872" t="s">
        <v>4485</v>
      </c>
      <c r="F215" s="2855" t="s">
        <v>3109</v>
      </c>
      <c r="G215" s="2860" t="s">
        <v>3824</v>
      </c>
      <c r="H215" s="2661" t="str">
        <f>HLOOKUP(Non_UN,'Other translations2'!$A:$L,1+J215,)</f>
        <v>Erdnüsse mit Schale</v>
      </c>
      <c r="I215" s="2661"/>
      <c r="J215" s="2661">
        <v>214</v>
      </c>
    </row>
    <row r="216" spans="1:10">
      <c r="A216" s="2928" t="s">
        <v>1380</v>
      </c>
      <c r="C216" s="2918" t="s">
        <v>2352</v>
      </c>
      <c r="D216" s="2931" t="s">
        <v>5258</v>
      </c>
      <c r="E216" s="2872" t="s">
        <v>4486</v>
      </c>
      <c r="F216" s="2855" t="s">
        <v>3110</v>
      </c>
      <c r="G216" s="2860" t="s">
        <v>3825</v>
      </c>
      <c r="H216" s="2661" t="str">
        <f>HLOOKUP(Non_UN,'Other translations2'!$A:$L,1+J216,)</f>
        <v>Hülsenfrüchte, andere</v>
      </c>
      <c r="I216" s="2661"/>
      <c r="J216" s="2661">
        <v>215</v>
      </c>
    </row>
    <row r="217" spans="1:10">
      <c r="A217" s="2928" t="s">
        <v>1381</v>
      </c>
      <c r="C217" s="2920" t="s">
        <v>2358</v>
      </c>
      <c r="D217" s="2931" t="s">
        <v>5178</v>
      </c>
      <c r="E217" s="2872" t="s">
        <v>4487</v>
      </c>
      <c r="F217" s="2855" t="s">
        <v>3111</v>
      </c>
      <c r="G217" s="2860" t="s">
        <v>3826</v>
      </c>
      <c r="H217" s="2661" t="str">
        <f>HLOOKUP(Non_UN,'Other translations2'!$A:$L,1+J217,)</f>
        <v>Leinsamen</v>
      </c>
      <c r="I217" s="2661"/>
      <c r="J217" s="2661">
        <v>216</v>
      </c>
    </row>
    <row r="218" spans="1:10">
      <c r="A218" s="2928" t="s">
        <v>1382</v>
      </c>
      <c r="C218" s="2920" t="s">
        <v>2359</v>
      </c>
      <c r="D218" s="2931" t="s">
        <v>5179</v>
      </c>
      <c r="E218" s="2872" t="s">
        <v>4488</v>
      </c>
      <c r="F218" s="2855" t="s">
        <v>3112</v>
      </c>
      <c r="G218" s="2860" t="s">
        <v>3827</v>
      </c>
      <c r="H218" s="2661" t="str">
        <f>HLOOKUP(Non_UN,'Other translations2'!$A:$L,1+J218,)</f>
        <v>Mais</v>
      </c>
      <c r="I218" s="2661"/>
      <c r="J218" s="2661">
        <v>217</v>
      </c>
    </row>
    <row r="219" spans="1:10">
      <c r="A219" s="2928" t="s">
        <v>1383</v>
      </c>
      <c r="C219" s="2918" t="s">
        <v>2353</v>
      </c>
      <c r="D219" s="2931" t="s">
        <v>5180</v>
      </c>
      <c r="E219" s="2872" t="s">
        <v>4489</v>
      </c>
      <c r="F219" s="2855" t="s">
        <v>3113</v>
      </c>
      <c r="G219" s="2860" t="s">
        <v>3828</v>
      </c>
      <c r="H219" s="2661" t="str">
        <f>HLOOKUP(Non_UN,'Other translations2'!$A:$L,1+J219,)</f>
        <v>Mais, grün</v>
      </c>
      <c r="I219" s="2661"/>
      <c r="J219" s="2661">
        <v>218</v>
      </c>
    </row>
    <row r="220" spans="1:10">
      <c r="A220" s="2927" t="s">
        <v>1384</v>
      </c>
      <c r="C220" s="2918" t="s">
        <v>2360</v>
      </c>
      <c r="D220" s="2931" t="s">
        <v>5181</v>
      </c>
      <c r="E220" s="2872" t="s">
        <v>4490</v>
      </c>
      <c r="F220" s="2855" t="s">
        <v>3114</v>
      </c>
      <c r="G220" s="2860" t="s">
        <v>3829</v>
      </c>
      <c r="H220" s="2661" t="str">
        <f>HLOOKUP(Non_UN,'Other translations2'!$A:$L,1+J220,)</f>
        <v>Mangos, Mangostanfrüchte , Guaven</v>
      </c>
      <c r="I220" s="2661"/>
      <c r="J220" s="2661">
        <v>219</v>
      </c>
    </row>
    <row r="221" spans="1:10">
      <c r="A221" s="2927" t="s">
        <v>2315</v>
      </c>
      <c r="C221" s="2920" t="s">
        <v>2315</v>
      </c>
      <c r="D221" s="2931" t="s">
        <v>5182</v>
      </c>
      <c r="E221" s="2872" t="s">
        <v>4491</v>
      </c>
      <c r="F221" s="2855" t="s">
        <v>3224</v>
      </c>
      <c r="G221" s="2860" t="s">
        <v>3830</v>
      </c>
      <c r="H221" s="2661" t="str">
        <f>HLOOKUP(Non_UN,'Other translations2'!$A:$L,1+J221,)</f>
        <v>Maté</v>
      </c>
      <c r="I221" s="2661"/>
      <c r="J221" s="2661">
        <v>220</v>
      </c>
    </row>
    <row r="222" spans="1:10">
      <c r="A222" s="2928" t="s">
        <v>1385</v>
      </c>
      <c r="C222" s="2920" t="s">
        <v>1385</v>
      </c>
      <c r="D222" s="2931" t="s">
        <v>5183</v>
      </c>
      <c r="E222" s="2872" t="s">
        <v>4492</v>
      </c>
      <c r="F222" s="2855" t="s">
        <v>3115</v>
      </c>
      <c r="G222" s="2860" t="s">
        <v>3831</v>
      </c>
      <c r="H222" s="2661" t="str">
        <f>HLOOKUP(Non_UN,'Other translations2'!$A:$L,1+J222,)</f>
        <v>Hirse</v>
      </c>
      <c r="I222" s="2661"/>
      <c r="J222" s="2661">
        <v>221</v>
      </c>
    </row>
    <row r="223" spans="1:10">
      <c r="A223" s="2928" t="s">
        <v>1349</v>
      </c>
      <c r="C223" s="2920" t="s">
        <v>2371</v>
      </c>
      <c r="D223" s="2931" t="s">
        <v>5184</v>
      </c>
      <c r="E223" s="2872" t="s">
        <v>4493</v>
      </c>
      <c r="F223" s="2855" t="s">
        <v>3116</v>
      </c>
      <c r="G223" s="2860" t="s">
        <v>3832</v>
      </c>
      <c r="H223" s="2661" t="str">
        <f>HLOOKUP(Non_UN,'Other translations2'!$A:$L,1+J223,)</f>
        <v>Hafer</v>
      </c>
      <c r="I223" s="2661"/>
      <c r="J223" s="2661">
        <v>222</v>
      </c>
    </row>
    <row r="224" spans="1:10">
      <c r="A224" s="2928" t="s">
        <v>1386</v>
      </c>
      <c r="C224" s="2920" t="s">
        <v>2372</v>
      </c>
      <c r="D224" s="2931" t="s">
        <v>5185</v>
      </c>
      <c r="E224" s="2872" t="s">
        <v>4494</v>
      </c>
      <c r="F224" s="2855" t="s">
        <v>3225</v>
      </c>
      <c r="G224" s="2860" t="s">
        <v>3833</v>
      </c>
      <c r="H224" s="2661" t="str">
        <f>HLOOKUP(Non_UN,'Other translations2'!$A:$L,1+J224,)</f>
        <v>Ölpalmfrucht</v>
      </c>
      <c r="I224" s="2661"/>
      <c r="J224" s="2661">
        <v>223</v>
      </c>
    </row>
    <row r="225" spans="1:10">
      <c r="A225" s="2928" t="s">
        <v>1387</v>
      </c>
      <c r="C225" s="2920" t="s">
        <v>1387</v>
      </c>
      <c r="D225" s="2931" t="s">
        <v>5186</v>
      </c>
      <c r="E225" s="2872" t="s">
        <v>4495</v>
      </c>
      <c r="F225" s="2855" t="s">
        <v>3117</v>
      </c>
      <c r="G225" s="2860" t="s">
        <v>3834</v>
      </c>
      <c r="H225" s="2661" t="str">
        <f>HLOOKUP(Non_UN,'Other translations2'!$A:$L,1+J225,)</f>
        <v>Oliven</v>
      </c>
      <c r="I225" s="2661"/>
      <c r="J225" s="2661">
        <v>224</v>
      </c>
    </row>
    <row r="226" spans="1:10">
      <c r="A226" s="2928" t="s">
        <v>1388</v>
      </c>
      <c r="C226" s="2918" t="s">
        <v>2361</v>
      </c>
      <c r="D226" s="2931" t="s">
        <v>5187</v>
      </c>
      <c r="E226" s="2872" t="s">
        <v>4496</v>
      </c>
      <c r="F226" s="2855" t="s">
        <v>3118</v>
      </c>
      <c r="G226" s="2860" t="s">
        <v>3835</v>
      </c>
      <c r="H226" s="2661" t="str">
        <f>HLOOKUP(Non_UN,'Other translations2'!$A:$L,1+J226,)</f>
        <v>Zwiebeln, trocken</v>
      </c>
      <c r="I226" s="2661"/>
      <c r="J226" s="2661">
        <v>225</v>
      </c>
    </row>
    <row r="227" spans="1:10">
      <c r="A227" s="2928" t="s">
        <v>1389</v>
      </c>
      <c r="C227" s="2920" t="s">
        <v>1389</v>
      </c>
      <c r="D227" s="2931" t="s">
        <v>5188</v>
      </c>
      <c r="E227" s="2872" t="s">
        <v>4497</v>
      </c>
      <c r="F227" s="2855" t="s">
        <v>3119</v>
      </c>
      <c r="G227" s="2860" t="s">
        <v>3836</v>
      </c>
      <c r="H227" s="2661" t="str">
        <f>HLOOKUP(Non_UN,'Other translations2'!$A:$L,1+J227,)</f>
        <v>Orangen</v>
      </c>
      <c r="I227" s="2661"/>
      <c r="J227" s="2661">
        <v>226</v>
      </c>
    </row>
    <row r="228" spans="1:10">
      <c r="A228" s="2928" t="s">
        <v>1390</v>
      </c>
      <c r="C228" s="2918" t="s">
        <v>2362</v>
      </c>
      <c r="D228" s="2931" t="s">
        <v>5189</v>
      </c>
      <c r="E228" s="2872" t="s">
        <v>4498</v>
      </c>
      <c r="F228" s="2855" t="s">
        <v>3120</v>
      </c>
      <c r="G228" s="2860" t="s">
        <v>3837</v>
      </c>
      <c r="H228" s="2661" t="str">
        <f>HLOOKUP(Non_UN,'Other translations2'!$A:$L,1+J228,)</f>
        <v>Pfirsiche und Nektarinen</v>
      </c>
      <c r="I228" s="2661"/>
      <c r="J228" s="2661">
        <v>227</v>
      </c>
    </row>
    <row r="229" spans="1:10">
      <c r="A229" s="2928" t="s">
        <v>1391</v>
      </c>
      <c r="C229" s="2918" t="s">
        <v>2363</v>
      </c>
      <c r="D229" s="2931" t="s">
        <v>5190</v>
      </c>
      <c r="E229" s="2872" t="s">
        <v>4499</v>
      </c>
      <c r="F229" s="2855" t="s">
        <v>3121</v>
      </c>
      <c r="G229" s="2860" t="s">
        <v>3838</v>
      </c>
      <c r="H229" s="2661" t="str">
        <f>HLOOKUP(Non_UN,'Other translations2'!$A:$L,1+J229,)</f>
        <v>Erbsen, trocken</v>
      </c>
      <c r="I229" s="2661"/>
      <c r="J229" s="2661">
        <v>228</v>
      </c>
    </row>
    <row r="230" spans="1:10">
      <c r="A230" s="2928" t="s">
        <v>1392</v>
      </c>
      <c r="C230" s="2918" t="s">
        <v>2364</v>
      </c>
      <c r="D230" s="2931" t="s">
        <v>5191</v>
      </c>
      <c r="E230" s="2872" t="s">
        <v>4500</v>
      </c>
      <c r="F230" s="2855" t="s">
        <v>3122</v>
      </c>
      <c r="G230" s="2860" t="s">
        <v>3839</v>
      </c>
      <c r="H230" s="2661" t="str">
        <f>HLOOKUP(Non_UN,'Other translations2'!$A:$L,1+J230,)</f>
        <v>Erbsen, grüne</v>
      </c>
      <c r="I230" s="2661"/>
      <c r="J230" s="2661">
        <v>229</v>
      </c>
    </row>
    <row r="231" spans="1:10">
      <c r="A231" s="2928" t="s">
        <v>1351</v>
      </c>
      <c r="C231" s="2920" t="s">
        <v>2373</v>
      </c>
      <c r="D231" s="2931" t="s">
        <v>5259</v>
      </c>
      <c r="E231" s="2872" t="s">
        <v>4501</v>
      </c>
      <c r="F231" s="2855" t="s">
        <v>3123</v>
      </c>
      <c r="G231" s="2860" t="s">
        <v>3840</v>
      </c>
      <c r="H231" s="2661" t="str">
        <f>HLOOKUP(Non_UN,'Other translations2'!$A:$L,1+J231,)</f>
        <v>Ananas</v>
      </c>
      <c r="I231" s="2661"/>
      <c r="J231" s="2661">
        <v>230</v>
      </c>
    </row>
    <row r="232" spans="1:10">
      <c r="A232" s="2928" t="s">
        <v>1393</v>
      </c>
      <c r="C232" s="2920" t="s">
        <v>1393</v>
      </c>
      <c r="D232" s="2931" t="s">
        <v>5192</v>
      </c>
      <c r="E232" s="2872" t="s">
        <v>4502</v>
      </c>
      <c r="F232" s="2855" t="s">
        <v>3124</v>
      </c>
      <c r="G232" s="2860" t="s">
        <v>3841</v>
      </c>
      <c r="H232" s="2661" t="str">
        <f>HLOOKUP(Non_UN,'Other translations2'!$A:$L,1+J232,)</f>
        <v>Kochbananen</v>
      </c>
      <c r="I232" s="2661"/>
      <c r="J232" s="2661">
        <v>231</v>
      </c>
    </row>
    <row r="233" spans="1:10">
      <c r="A233" s="2928" t="s">
        <v>1394</v>
      </c>
      <c r="C233" s="2920" t="s">
        <v>2374</v>
      </c>
      <c r="D233" s="2931" t="s">
        <v>5193</v>
      </c>
      <c r="E233" s="2872" t="s">
        <v>4503</v>
      </c>
      <c r="F233" s="2855" t="s">
        <v>3125</v>
      </c>
      <c r="G233" s="2860" t="s">
        <v>3842</v>
      </c>
      <c r="H233" s="2661" t="str">
        <f>HLOOKUP(Non_UN,'Other translations2'!$A:$L,1+J233,)</f>
        <v>Kartoffeln</v>
      </c>
      <c r="I233" s="2661"/>
      <c r="J233" s="2661">
        <v>232</v>
      </c>
    </row>
    <row r="234" spans="1:10">
      <c r="A234" s="2928" t="s">
        <v>1395</v>
      </c>
      <c r="C234" s="2918" t="s">
        <v>2365</v>
      </c>
      <c r="D234" s="2931" t="s">
        <v>5260</v>
      </c>
      <c r="E234" s="2872" t="s">
        <v>4504</v>
      </c>
      <c r="F234" s="2855" t="s">
        <v>3126</v>
      </c>
      <c r="G234" s="2860" t="s">
        <v>3843</v>
      </c>
      <c r="H234" s="2661" t="str">
        <f>HLOOKUP(Non_UN,'Other translations2'!$A:$L,1+J234,)</f>
        <v>Hülsenfrüchte, andere</v>
      </c>
      <c r="I234" s="2661"/>
      <c r="J234" s="2661">
        <v>233</v>
      </c>
    </row>
    <row r="235" spans="1:10">
      <c r="A235" s="2928" t="s">
        <v>1412</v>
      </c>
      <c r="C235" s="2920" t="s">
        <v>1412</v>
      </c>
      <c r="D235" s="2931" t="s">
        <v>1412</v>
      </c>
      <c r="E235" s="2872" t="s">
        <v>4505</v>
      </c>
      <c r="F235" s="2855" t="s">
        <v>3127</v>
      </c>
      <c r="G235" s="2860" t="s">
        <v>3844</v>
      </c>
      <c r="H235" s="2661" t="str">
        <f>HLOOKUP(Non_UN,'Other translations2'!$A:$L,1+J235,)</f>
        <v>Quinoa/Andenhirse</v>
      </c>
      <c r="I235" s="2661"/>
      <c r="J235" s="2661">
        <v>234</v>
      </c>
    </row>
    <row r="236" spans="1:10">
      <c r="A236" s="2928" t="s">
        <v>1396</v>
      </c>
      <c r="C236" s="2918" t="s">
        <v>2366</v>
      </c>
      <c r="D236" s="2931" t="s">
        <v>5194</v>
      </c>
      <c r="E236" s="2872" t="s">
        <v>4506</v>
      </c>
      <c r="F236" s="2855" t="s">
        <v>3128</v>
      </c>
      <c r="G236" s="2860" t="s">
        <v>3845</v>
      </c>
      <c r="H236" s="2661" t="str">
        <f>HLOOKUP(Non_UN,'Other translations2'!$A:$L,1+J236,)</f>
        <v>Reis</v>
      </c>
      <c r="I236" s="2661"/>
      <c r="J236" s="2661">
        <v>235</v>
      </c>
    </row>
    <row r="237" spans="1:10">
      <c r="A237" s="2928" t="s">
        <v>1356</v>
      </c>
      <c r="C237" s="2918" t="s">
        <v>2367</v>
      </c>
      <c r="D237" s="2931" t="s">
        <v>5261</v>
      </c>
      <c r="E237" s="2872" t="s">
        <v>4507</v>
      </c>
      <c r="F237" s="2855" t="s">
        <v>3129</v>
      </c>
      <c r="G237" s="2860" t="s">
        <v>3846</v>
      </c>
      <c r="H237" s="2661" t="str">
        <f>HLOOKUP(Non_UN,'Other translations2'!$A:$L,1+J237,)</f>
        <v>Wurzeln und Knollen, andere</v>
      </c>
      <c r="I237" s="2661"/>
      <c r="J237" s="2661">
        <v>236</v>
      </c>
    </row>
    <row r="238" spans="1:10">
      <c r="A238" s="2928" t="s">
        <v>1353</v>
      </c>
      <c r="C238" s="2918" t="s">
        <v>2368</v>
      </c>
      <c r="D238" s="2931" t="s">
        <v>5195</v>
      </c>
      <c r="E238" s="2872" t="s">
        <v>4508</v>
      </c>
      <c r="F238" s="2855" t="s">
        <v>3130</v>
      </c>
      <c r="G238" s="2860" t="s">
        <v>3847</v>
      </c>
      <c r="H238" s="2661" t="str">
        <f>HLOOKUP(Non_UN,'Other translations2'!$A:$L,1+J238,)</f>
        <v>Roggen</v>
      </c>
      <c r="I238" s="2661"/>
      <c r="J238" s="2661">
        <v>237</v>
      </c>
    </row>
    <row r="239" spans="1:10">
      <c r="A239" s="2928" t="s">
        <v>1397</v>
      </c>
      <c r="C239" s="2918" t="s">
        <v>2369</v>
      </c>
      <c r="D239" s="2931" t="s">
        <v>5196</v>
      </c>
      <c r="E239" s="2872" t="s">
        <v>4509</v>
      </c>
      <c r="F239" s="2855" t="s">
        <v>3131</v>
      </c>
      <c r="G239" s="2860" t="s">
        <v>3848</v>
      </c>
      <c r="H239" s="2661" t="str">
        <f>HLOOKUP(Non_UN,'Other translations2'!$A:$L,1+J239,)</f>
        <v>Saat-Baumwolle</v>
      </c>
      <c r="I239" s="2661"/>
      <c r="J239" s="2661">
        <v>238</v>
      </c>
    </row>
    <row r="240" spans="1:10">
      <c r="A240" s="2928" t="s">
        <v>1345</v>
      </c>
      <c r="C240" s="2918" t="s">
        <v>2370</v>
      </c>
      <c r="D240" s="2931" t="s">
        <v>5197</v>
      </c>
      <c r="E240" s="2872" t="s">
        <v>4510</v>
      </c>
      <c r="F240" s="2855" t="s">
        <v>3132</v>
      </c>
      <c r="G240" s="2860" t="s">
        <v>3849</v>
      </c>
      <c r="H240" s="2661" t="str">
        <f>HLOOKUP(Non_UN,'Other translations2'!$A:$L,1+J240,)</f>
        <v>Sesamsamen</v>
      </c>
      <c r="I240" s="2661"/>
      <c r="J240" s="2661">
        <v>239</v>
      </c>
    </row>
    <row r="241" spans="1:10">
      <c r="A241" s="2928" t="s">
        <v>1398</v>
      </c>
      <c r="C241" s="2920" t="s">
        <v>1398</v>
      </c>
      <c r="D241" s="2931" t="s">
        <v>1398</v>
      </c>
      <c r="E241" s="2872" t="s">
        <v>4511</v>
      </c>
      <c r="F241" s="2855" t="s">
        <v>3133</v>
      </c>
      <c r="G241" s="2860" t="s">
        <v>3850</v>
      </c>
      <c r="H241" s="2661" t="str">
        <f>HLOOKUP(Non_UN,'Other translations2'!$A:$L,1+J241,)</f>
        <v>Sisal</v>
      </c>
      <c r="I241" s="2661"/>
      <c r="J241" s="2661">
        <v>240</v>
      </c>
    </row>
    <row r="242" spans="1:10">
      <c r="A242" s="2928" t="s">
        <v>1399</v>
      </c>
      <c r="C242" s="2920" t="s">
        <v>2382</v>
      </c>
      <c r="D242" s="2931" t="s">
        <v>5198</v>
      </c>
      <c r="E242" s="2872" t="s">
        <v>4512</v>
      </c>
      <c r="F242" s="2855" t="s">
        <v>3134</v>
      </c>
      <c r="G242" s="2860" t="s">
        <v>3851</v>
      </c>
      <c r="H242" s="2661" t="str">
        <f>HLOOKUP(Non_UN,'Other translations2'!$A:$L,1+J242,)</f>
        <v>Sorgum</v>
      </c>
      <c r="I242" s="2661"/>
      <c r="J242" s="2661">
        <v>241</v>
      </c>
    </row>
    <row r="243" spans="1:10">
      <c r="A243" s="2928" t="s">
        <v>1359</v>
      </c>
      <c r="C243" s="2920" t="s">
        <v>2383</v>
      </c>
      <c r="D243" s="2931" t="s">
        <v>2383</v>
      </c>
      <c r="E243" s="2872" t="s">
        <v>4513</v>
      </c>
      <c r="F243" s="2855" t="s">
        <v>3135</v>
      </c>
      <c r="G243" s="2860" t="s">
        <v>3852</v>
      </c>
      <c r="H243" s="2661" t="str">
        <f>HLOOKUP(Non_UN,'Other translations2'!$A:$L,1+J243,)</f>
        <v>Sojabohnen</v>
      </c>
      <c r="I243" s="2661"/>
      <c r="J243" s="2661">
        <v>242</v>
      </c>
    </row>
    <row r="244" spans="1:10">
      <c r="A244" s="2928" t="s">
        <v>1400</v>
      </c>
      <c r="C244" s="2920" t="s">
        <v>2384</v>
      </c>
      <c r="D244" s="2931" t="s">
        <v>5199</v>
      </c>
      <c r="E244" s="2872" t="s">
        <v>4514</v>
      </c>
      <c r="F244" s="2855" t="s">
        <v>3136</v>
      </c>
      <c r="G244" s="2860" t="s">
        <v>3853</v>
      </c>
      <c r="H244" s="2661" t="str">
        <f>HLOOKUP(Non_UN,'Other translations2'!$A:$L,1+J244,)</f>
        <v>Erdbeeren</v>
      </c>
      <c r="I244" s="2661"/>
      <c r="J244" s="2661">
        <v>243</v>
      </c>
    </row>
    <row r="245" spans="1:10">
      <c r="A245" s="2928" t="s">
        <v>1358</v>
      </c>
      <c r="C245" s="2918" t="s">
        <v>2375</v>
      </c>
      <c r="D245" s="2931" t="s">
        <v>5200</v>
      </c>
      <c r="E245" s="2872" t="s">
        <v>4515</v>
      </c>
      <c r="F245" s="2855" t="s">
        <v>3137</v>
      </c>
      <c r="G245" s="2860" t="s">
        <v>3854</v>
      </c>
      <c r="H245" s="2661" t="str">
        <f>HLOOKUP(Non_UN,'Other translations2'!$A:$L,1+J245,)</f>
        <v>Zuckerrübe</v>
      </c>
      <c r="I245" s="2661"/>
      <c r="J245" s="2661">
        <v>244</v>
      </c>
    </row>
    <row r="246" spans="1:10">
      <c r="A246" s="2928" t="s">
        <v>1401</v>
      </c>
      <c r="C246" s="2918" t="s">
        <v>2376</v>
      </c>
      <c r="D246" s="2931" t="s">
        <v>5201</v>
      </c>
      <c r="E246" s="2872" t="s">
        <v>4516</v>
      </c>
      <c r="F246" s="2855" t="s">
        <v>3138</v>
      </c>
      <c r="G246" s="2860" t="s">
        <v>3855</v>
      </c>
      <c r="H246" s="2661" t="str">
        <f>HLOOKUP(Non_UN,'Other translations2'!$A:$L,1+J246,)</f>
        <v>Zuckerrohr</v>
      </c>
      <c r="I246" s="2661"/>
      <c r="J246" s="2661">
        <v>245</v>
      </c>
    </row>
    <row r="247" spans="1:10">
      <c r="A247" s="2928" t="s">
        <v>1402</v>
      </c>
      <c r="C247" s="2918" t="s">
        <v>2377</v>
      </c>
      <c r="D247" s="2931" t="s">
        <v>5202</v>
      </c>
      <c r="E247" s="2872" t="s">
        <v>4517</v>
      </c>
      <c r="F247" s="2855" t="s">
        <v>3139</v>
      </c>
      <c r="G247" s="2860" t="s">
        <v>3856</v>
      </c>
      <c r="H247" s="2661" t="str">
        <f>HLOOKUP(Non_UN,'Other translations2'!$A:$L,1+J247,)</f>
        <v>Sonnenblumenkern</v>
      </c>
      <c r="I247" s="2661"/>
      <c r="J247" s="2661">
        <v>246</v>
      </c>
    </row>
    <row r="248" spans="1:10">
      <c r="A248" s="2928" t="s">
        <v>1403</v>
      </c>
      <c r="C248" s="2918" t="s">
        <v>2378</v>
      </c>
      <c r="D248" s="2931" t="s">
        <v>5203</v>
      </c>
      <c r="E248" s="2872" t="s">
        <v>4518</v>
      </c>
      <c r="F248" s="2855" t="s">
        <v>3140</v>
      </c>
      <c r="G248" s="2860" t="s">
        <v>3857</v>
      </c>
      <c r="H248" s="2661" t="str">
        <f>HLOOKUP(Non_UN,'Other translations2'!$A:$L,1+J248,)</f>
        <v>Süßkartoffeln</v>
      </c>
      <c r="I248" s="2661"/>
      <c r="J248" s="2661">
        <v>247</v>
      </c>
    </row>
    <row r="249" spans="1:10">
      <c r="A249" s="2928" t="s">
        <v>1404</v>
      </c>
      <c r="C249" s="2918" t="s">
        <v>2379</v>
      </c>
      <c r="D249" s="2931" t="s">
        <v>5204</v>
      </c>
      <c r="E249" s="2872" t="s">
        <v>4519</v>
      </c>
      <c r="F249" s="2855" t="s">
        <v>3141</v>
      </c>
      <c r="G249" s="2860" t="s">
        <v>3858</v>
      </c>
      <c r="H249" s="2661" t="str">
        <f>HLOOKUP(Non_UN,'Other translations2'!$A:$L,1+J249,)</f>
        <v>Mandarinen, Clementinen</v>
      </c>
      <c r="I249" s="2661"/>
      <c r="J249" s="2661">
        <v>248</v>
      </c>
    </row>
    <row r="250" spans="1:10">
      <c r="A250" s="2928" t="s">
        <v>1405</v>
      </c>
      <c r="C250" s="2920" t="s">
        <v>2385</v>
      </c>
      <c r="D250" s="2931" t="s">
        <v>5205</v>
      </c>
      <c r="E250" s="2872" t="s">
        <v>4520</v>
      </c>
      <c r="F250" s="2855" t="s">
        <v>3142</v>
      </c>
      <c r="G250" s="2860" t="s">
        <v>3859</v>
      </c>
      <c r="H250" s="2661" t="str">
        <f>HLOOKUP(Non_UN,'Other translations2'!$A:$L,1+J250,)</f>
        <v>Tee</v>
      </c>
      <c r="I250" s="2661"/>
      <c r="J250" s="2661">
        <v>249</v>
      </c>
    </row>
    <row r="251" spans="1:10">
      <c r="A251" s="2928" t="s">
        <v>1347</v>
      </c>
      <c r="C251" s="2918" t="s">
        <v>2380</v>
      </c>
      <c r="D251" s="2931" t="s">
        <v>5206</v>
      </c>
      <c r="E251" s="2872" t="s">
        <v>4521</v>
      </c>
      <c r="F251" s="2855" t="s">
        <v>3143</v>
      </c>
      <c r="G251" s="2860" t="s">
        <v>3860</v>
      </c>
      <c r="H251" s="2661" t="str">
        <f>HLOOKUP(Non_UN,'Other translations2'!$A:$L,1+J251,)</f>
        <v>Tabak, unverarbeitet</v>
      </c>
      <c r="I251" s="2661"/>
      <c r="J251" s="2661">
        <v>250</v>
      </c>
    </row>
    <row r="252" spans="1:10">
      <c r="A252" s="2928" t="s">
        <v>1406</v>
      </c>
      <c r="C252" s="2920" t="s">
        <v>2386</v>
      </c>
      <c r="D252" s="2931" t="s">
        <v>2386</v>
      </c>
      <c r="E252" s="2872" t="s">
        <v>4522</v>
      </c>
      <c r="F252" s="2855" t="s">
        <v>3144</v>
      </c>
      <c r="G252" s="2860" t="s">
        <v>3861</v>
      </c>
      <c r="H252" s="2661" t="str">
        <f>HLOOKUP(Non_UN,'Other translations2'!$A:$L,1+J252,)</f>
        <v>Tomaten</v>
      </c>
      <c r="I252" s="2661"/>
      <c r="J252" s="2661">
        <v>251</v>
      </c>
    </row>
    <row r="253" spans="1:10">
      <c r="A253" s="2928" t="s">
        <v>1361</v>
      </c>
      <c r="C253" s="2920" t="s">
        <v>1361</v>
      </c>
      <c r="D253" s="2931" t="s">
        <v>1361</v>
      </c>
      <c r="E253" s="2872" t="s">
        <v>4523</v>
      </c>
      <c r="F253" s="2855" t="s">
        <v>3145</v>
      </c>
      <c r="G253" s="2860" t="s">
        <v>3862</v>
      </c>
      <c r="H253" s="2661" t="str">
        <f>HLOOKUP(Non_UN,'Other translations2'!$A:$L,1+J253,)</f>
        <v>Triticale</v>
      </c>
      <c r="I253" s="2661"/>
      <c r="J253" s="2661">
        <v>252</v>
      </c>
    </row>
    <row r="254" spans="1:10">
      <c r="A254" s="2928" t="s">
        <v>1407</v>
      </c>
      <c r="C254" s="2918" t="s">
        <v>2381</v>
      </c>
      <c r="D254" s="2931" t="s">
        <v>5262</v>
      </c>
      <c r="E254" s="2872" t="s">
        <v>4524</v>
      </c>
      <c r="F254" s="2855" t="s">
        <v>3146</v>
      </c>
      <c r="G254" s="2860" t="s">
        <v>3863</v>
      </c>
      <c r="H254" s="2661" t="str">
        <f>HLOOKUP(Non_UN,'Other translations2'!$A:$L,1+J254,)</f>
        <v>Gemüse frisch, anderes</v>
      </c>
      <c r="I254" s="2661"/>
      <c r="J254" s="2661">
        <v>253</v>
      </c>
    </row>
    <row r="255" spans="1:10">
      <c r="A255" s="2928" t="s">
        <v>1408</v>
      </c>
      <c r="C255" s="2920" t="s">
        <v>2387</v>
      </c>
      <c r="D255" s="2931" t="s">
        <v>5207</v>
      </c>
      <c r="E255" s="2872" t="s">
        <v>4525</v>
      </c>
      <c r="F255" s="2855" t="s">
        <v>3147</v>
      </c>
      <c r="G255" s="2860" t="s">
        <v>3864</v>
      </c>
      <c r="H255" s="2661" t="str">
        <f>HLOOKUP(Non_UN,'Other translations2'!$A:$L,1+J255,)</f>
        <v>Wicken</v>
      </c>
      <c r="I255" s="2661"/>
      <c r="J255" s="2661">
        <v>254</v>
      </c>
    </row>
    <row r="256" spans="1:10">
      <c r="A256" s="2928" t="s">
        <v>1409</v>
      </c>
      <c r="C256" s="2920" t="s">
        <v>2388</v>
      </c>
      <c r="D256" s="2931" t="s">
        <v>5208</v>
      </c>
      <c r="E256" s="2872" t="s">
        <v>4526</v>
      </c>
      <c r="F256" s="2855" t="s">
        <v>3148</v>
      </c>
      <c r="G256" s="2860" t="s">
        <v>3865</v>
      </c>
      <c r="H256" s="2661" t="str">
        <f>HLOOKUP(Non_UN,'Other translations2'!$A:$L,1+J256,)</f>
        <v>Weizen</v>
      </c>
      <c r="I256" s="2661"/>
      <c r="J256" s="2661">
        <v>255</v>
      </c>
    </row>
  </sheetData>
  <pageMargins left="0.7" right="0.7" top="0.75" bottom="0.75" header="0.3" footer="0.3"/>
  <pageSetup paperSize="9" orientation="portrait" horizontalDpi="300" verticalDpi="0" copies="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5"/>
  <sheetViews>
    <sheetView workbookViewId="0">
      <pane xSplit="1" ySplit="1" topLeftCell="B498" activePane="bottomRight" state="frozen"/>
      <selection activeCell="D19" sqref="D19"/>
      <selection pane="topRight" activeCell="D19" sqref="D19"/>
      <selection pane="bottomLeft" activeCell="D19" sqref="D19"/>
      <selection pane="bottomRight" activeCell="C520" sqref="C520"/>
    </sheetView>
  </sheetViews>
  <sheetFormatPr baseColWidth="10" defaultColWidth="11.5546875" defaultRowHeight="13.2"/>
  <cols>
    <col min="1" max="1" width="40.6640625" style="2637" customWidth="1"/>
    <col min="2" max="2" width="40.109375" style="2637" customWidth="1"/>
    <col min="3" max="3" width="40.33203125" style="2918" customWidth="1"/>
    <col min="4" max="16384" width="11.5546875" style="2648"/>
  </cols>
  <sheetData>
    <row r="1" spans="1:12" s="2787" customFormat="1">
      <c r="A1" s="2833"/>
      <c r="B1" s="2640" t="s">
        <v>1650</v>
      </c>
      <c r="C1" s="2917" t="s">
        <v>5792</v>
      </c>
      <c r="D1" s="2787" t="s">
        <v>1651</v>
      </c>
      <c r="E1" s="2787" t="s">
        <v>1652</v>
      </c>
      <c r="F1" s="2787" t="s">
        <v>1653</v>
      </c>
      <c r="G1" s="2787" t="s">
        <v>1654</v>
      </c>
      <c r="H1" s="2787" t="s">
        <v>1655</v>
      </c>
      <c r="I1" s="2787" t="s">
        <v>1656</v>
      </c>
      <c r="J1" s="2787" t="s">
        <v>1657</v>
      </c>
      <c r="K1" s="2787" t="s">
        <v>1658</v>
      </c>
      <c r="L1" s="2787" t="s">
        <v>1659</v>
      </c>
    </row>
    <row r="2" spans="1:12" s="2788" customFormat="1">
      <c r="A2" s="2831" t="str">
        <f>translations!B2</f>
        <v>Disclaimer</v>
      </c>
      <c r="B2" s="2831" t="s">
        <v>1887</v>
      </c>
      <c r="C2" s="2931" t="s">
        <v>5793</v>
      </c>
    </row>
    <row r="3" spans="1:12" s="2788" customFormat="1" ht="145.19999999999999">
      <c r="A3" s="2831"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832" t="s">
        <v>2397</v>
      </c>
      <c r="C3" s="2931" t="s">
        <v>5794</v>
      </c>
    </row>
    <row r="4" spans="1:12" s="2788" customFormat="1" ht="79.2">
      <c r="A4" s="2831" t="str">
        <f>translations!B4</f>
        <v>The choices of calculation made in this tool are those of the author(s) and do not necessarily reflect the views  and choices of the Food and Agriculture Organization of the United Nations.</v>
      </c>
      <c r="B4" s="2832" t="s">
        <v>2398</v>
      </c>
      <c r="C4" s="2931" t="s">
        <v>5795</v>
      </c>
    </row>
    <row r="5" spans="1:12" s="2788" customFormat="1">
      <c r="A5" s="2831" t="str">
        <f>translations!B5</f>
        <v>Version 6.0 - Multilingual Edition</v>
      </c>
      <c r="B5" s="2832" t="s">
        <v>6214</v>
      </c>
      <c r="C5" s="2931" t="s">
        <v>5796</v>
      </c>
    </row>
    <row r="6" spans="1:12" s="2788" customFormat="1" ht="264">
      <c r="A6" s="2831"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832" t="s">
        <v>2401</v>
      </c>
      <c r="C6" s="2931" t="s">
        <v>5797</v>
      </c>
    </row>
    <row r="7" spans="1:12" s="2787" customFormat="1">
      <c r="A7" s="2640" t="str">
        <f>translations!B7</f>
        <v>English</v>
      </c>
      <c r="B7" s="2833" t="str">
        <f>B1</f>
        <v>Português</v>
      </c>
      <c r="C7" s="3024" t="s">
        <v>5792</v>
      </c>
      <c r="D7" s="2789" t="str">
        <f t="shared" ref="D7:L7" si="0">D1</f>
        <v>Lang002</v>
      </c>
      <c r="E7" s="2789" t="str">
        <f t="shared" si="0"/>
        <v>Lang003</v>
      </c>
      <c r="F7" s="2789" t="str">
        <f t="shared" si="0"/>
        <v>Lang004</v>
      </c>
      <c r="G7" s="2789" t="str">
        <f t="shared" si="0"/>
        <v>Lang005</v>
      </c>
      <c r="H7" s="2789" t="str">
        <f t="shared" si="0"/>
        <v>Lang006</v>
      </c>
      <c r="I7" s="2789" t="str">
        <f t="shared" si="0"/>
        <v>Lang007</v>
      </c>
      <c r="J7" s="2789" t="str">
        <f t="shared" si="0"/>
        <v>Lang008</v>
      </c>
      <c r="K7" s="2789" t="str">
        <f t="shared" si="0"/>
        <v>Lang009</v>
      </c>
      <c r="L7" s="2789" t="str">
        <f t="shared" si="0"/>
        <v>Lang010</v>
      </c>
    </row>
    <row r="8" spans="1:12">
      <c r="A8" s="2637" t="str">
        <f>translations!B8</f>
        <v>Project Name</v>
      </c>
      <c r="B8" s="2829" t="s">
        <v>2402</v>
      </c>
      <c r="C8" s="2918" t="s">
        <v>5798</v>
      </c>
    </row>
    <row r="9" spans="1:12">
      <c r="A9" s="2637" t="str">
        <f>translations!B9</f>
        <v>Continent</v>
      </c>
      <c r="B9" s="2829" t="s">
        <v>2403</v>
      </c>
      <c r="C9" s="2918" t="s">
        <v>5799</v>
      </c>
    </row>
    <row r="10" spans="1:12">
      <c r="A10" s="2637" t="str">
        <f>translations!B10</f>
        <v>Climate</v>
      </c>
      <c r="B10" s="2829" t="s">
        <v>2404</v>
      </c>
      <c r="C10" s="2918" t="s">
        <v>5800</v>
      </c>
    </row>
    <row r="11" spans="1:12">
      <c r="A11" s="2637" t="str">
        <f>translations!B11</f>
        <v>Moisture regime</v>
      </c>
      <c r="B11" s="2829" t="s">
        <v>2405</v>
      </c>
      <c r="C11" s="2918" t="s">
        <v>5801</v>
      </c>
    </row>
    <row r="12" spans="1:12">
      <c r="A12" s="2637" t="str">
        <f>translations!B12</f>
        <v>Dominant Regional Soil Type</v>
      </c>
      <c r="B12" s="2829" t="s">
        <v>2406</v>
      </c>
      <c r="C12" s="2918" t="s">
        <v>6143</v>
      </c>
    </row>
    <row r="13" spans="1:12">
      <c r="A13" s="2637" t="str">
        <f>translations!B13</f>
        <v>Duration of the Project (Years)</v>
      </c>
      <c r="B13" s="2829" t="s">
        <v>2407</v>
      </c>
      <c r="C13" s="2918" t="s">
        <v>5802</v>
      </c>
    </row>
    <row r="14" spans="1:12">
      <c r="A14" s="2637" t="str">
        <f>translations!B14</f>
        <v>Implementation phase</v>
      </c>
      <c r="B14" s="2829" t="s">
        <v>2408</v>
      </c>
      <c r="C14" s="2918" t="s">
        <v>5803</v>
      </c>
    </row>
    <row r="15" spans="1:12">
      <c r="A15" s="2637" t="str">
        <f>translations!B15</f>
        <v>Capitalisation phase</v>
      </c>
      <c r="B15" s="2829" t="s">
        <v>2409</v>
      </c>
      <c r="C15" s="2918" t="s">
        <v>5804</v>
      </c>
    </row>
    <row r="16" spans="1:12">
      <c r="A16" s="2637" t="str">
        <f>translations!B16</f>
        <v>Duration of accounting</v>
      </c>
      <c r="B16" s="2829" t="s">
        <v>2410</v>
      </c>
      <c r="C16" s="2918" t="s">
        <v>5805</v>
      </c>
    </row>
    <row r="17" spans="1:12">
      <c r="A17" s="2637" t="str">
        <f>translations!B17</f>
        <v>Climate ?</v>
      </c>
      <c r="B17" s="2829" t="s">
        <v>2411</v>
      </c>
      <c r="C17" s="2918" t="s">
        <v>5806</v>
      </c>
    </row>
    <row r="18" spans="1:12">
      <c r="A18" s="2637" t="str">
        <f>translations!B18</f>
        <v>Soil ?</v>
      </c>
      <c r="B18" s="2829" t="s">
        <v>2412</v>
      </c>
      <c r="C18" s="2918" t="s">
        <v>5807</v>
      </c>
    </row>
    <row r="19" spans="1:12">
      <c r="A19" s="2637" t="str">
        <f>translations!B19</f>
        <v xml:space="preserve"> </v>
      </c>
      <c r="B19" s="2829" t="s">
        <v>2550</v>
      </c>
      <c r="C19" s="2920" t="s">
        <v>6205</v>
      </c>
    </row>
    <row r="20" spans="1:12" s="2787" customFormat="1">
      <c r="A20" s="2640" t="str">
        <f>translations!B20</f>
        <v>English</v>
      </c>
      <c r="B20" s="2833" t="str">
        <f>B7</f>
        <v>Português</v>
      </c>
      <c r="C20" s="3024" t="s">
        <v>5792</v>
      </c>
      <c r="D20" s="2789" t="str">
        <f t="shared" ref="D20:L20" si="1">D7</f>
        <v>Lang002</v>
      </c>
      <c r="E20" s="2789" t="str">
        <f t="shared" si="1"/>
        <v>Lang003</v>
      </c>
      <c r="F20" s="2789" t="str">
        <f t="shared" si="1"/>
        <v>Lang004</v>
      </c>
      <c r="G20" s="2789" t="str">
        <f t="shared" si="1"/>
        <v>Lang005</v>
      </c>
      <c r="H20" s="2789" t="str">
        <f t="shared" si="1"/>
        <v>Lang006</v>
      </c>
      <c r="I20" s="2789" t="str">
        <f t="shared" si="1"/>
        <v>Lang007</v>
      </c>
      <c r="J20" s="2789" t="str">
        <f t="shared" si="1"/>
        <v>Lang008</v>
      </c>
      <c r="K20" s="2789" t="str">
        <f t="shared" si="1"/>
        <v>Lang009</v>
      </c>
      <c r="L20" s="2789" t="str">
        <f t="shared" si="1"/>
        <v>Lang010</v>
      </c>
    </row>
    <row r="21" spans="1:12">
      <c r="A21" s="2637" t="str">
        <f>translations!B21</f>
        <v>2.1. Deforestation</v>
      </c>
      <c r="B21" s="2829" t="s">
        <v>2413</v>
      </c>
      <c r="C21" s="2918" t="s">
        <v>5808</v>
      </c>
    </row>
    <row r="22" spans="1:12">
      <c r="A22" s="2637" t="str">
        <f>translations!B22</f>
        <v>AEZ map</v>
      </c>
      <c r="B22" s="2829" t="s">
        <v>2415</v>
      </c>
      <c r="C22" s="2918" t="s">
        <v>5809</v>
      </c>
    </row>
    <row r="23" spans="1:12">
      <c r="A23" s="2637" t="str">
        <f>translations!B23</f>
        <v>Type of vegetation</v>
      </c>
      <c r="B23" s="2829" t="s">
        <v>2414</v>
      </c>
      <c r="C23" s="2918" t="s">
        <v>5810</v>
      </c>
    </row>
    <row r="24" spans="1:12">
      <c r="A24" s="2637" t="str">
        <f>translations!B24</f>
        <v>that will be deforested</v>
      </c>
      <c r="B24" s="2829" t="s">
        <v>2416</v>
      </c>
      <c r="C24" s="2918" t="s">
        <v>5811</v>
      </c>
    </row>
    <row r="25" spans="1:12">
      <c r="A25" s="2637" t="str">
        <f>translations!B25</f>
        <v>HWP#</v>
      </c>
      <c r="B25" s="2829" t="s">
        <v>2418</v>
      </c>
      <c r="C25" s="2918" t="s">
        <v>6133</v>
      </c>
    </row>
    <row r="26" spans="1:12">
      <c r="A26" s="2637" t="str">
        <f>translations!B26</f>
        <v>Fire Use?</v>
      </c>
      <c r="B26" s="2829" t="s">
        <v>2446</v>
      </c>
      <c r="C26" s="2918" t="s">
        <v>6134</v>
      </c>
    </row>
    <row r="27" spans="1:12">
      <c r="A27" s="2637" t="str">
        <f>translations!B27</f>
        <v>Final use after deforestation</v>
      </c>
      <c r="B27" s="2829" t="s">
        <v>2419</v>
      </c>
      <c r="C27" s="2918" t="s">
        <v>5812</v>
      </c>
    </row>
    <row r="28" spans="1:12">
      <c r="A28" s="2637" t="str">
        <f>translations!B28</f>
        <v>Forested area (ha)</v>
      </c>
      <c r="B28" s="2829" t="s">
        <v>2421</v>
      </c>
      <c r="C28" s="2918" t="s">
        <v>5813</v>
      </c>
    </row>
    <row r="29" spans="1:12">
      <c r="A29" s="2637" t="str">
        <f>translations!B29</f>
        <v>Deforested area (ha)</v>
      </c>
      <c r="B29" s="2829" t="s">
        <v>2420</v>
      </c>
      <c r="C29" s="2918" t="s">
        <v>5814</v>
      </c>
    </row>
    <row r="30" spans="1:12">
      <c r="A30" s="2637" t="str">
        <f>translations!B30</f>
        <v>Total Emissions (tCO2-eq)</v>
      </c>
      <c r="B30" s="2829" t="s">
        <v>2422</v>
      </c>
      <c r="C30" s="2918" t="s">
        <v>6132</v>
      </c>
    </row>
    <row r="31" spans="1:12">
      <c r="A31" s="2637" t="str">
        <f>translations!B31</f>
        <v>Balance</v>
      </c>
      <c r="B31" s="2829" t="s">
        <v>2423</v>
      </c>
      <c r="C31" s="2918" t="s">
        <v>5815</v>
      </c>
    </row>
    <row r="32" spans="1:12">
      <c r="A32" s="2637" t="str">
        <f>translations!B32</f>
        <v xml:space="preserve"> (tDM/ha)</v>
      </c>
      <c r="B32" s="2829" t="s">
        <v>1711</v>
      </c>
      <c r="C32" s="2918" t="s">
        <v>5816</v>
      </c>
    </row>
    <row r="33" spans="1:3">
      <c r="A33" s="2637" t="str">
        <f>translations!B33</f>
        <v>(y/n)</v>
      </c>
      <c r="B33" s="2829" t="s">
        <v>2425</v>
      </c>
      <c r="C33" s="2918" t="s">
        <v>1313</v>
      </c>
    </row>
    <row r="34" spans="1:3">
      <c r="A34" s="2637" t="str">
        <f>translations!B34</f>
        <v>#Harvested Wood Products</v>
      </c>
      <c r="B34" s="2829" t="s">
        <v>2417</v>
      </c>
      <c r="C34" s="2918" t="s">
        <v>5817</v>
      </c>
    </row>
    <row r="35" spans="1:3" ht="52.8">
      <c r="A35" s="2637" t="str">
        <f>translations!B35</f>
        <v>* Note concerning dynamics of change : "D" corresponds to default/linear, "I" to immediate and "E" to exponential (Please refer to the guidelines)</v>
      </c>
      <c r="B35" s="2829" t="s">
        <v>2426</v>
      </c>
      <c r="C35" s="2920" t="s">
        <v>6147</v>
      </c>
    </row>
    <row r="36" spans="1:3">
      <c r="A36" s="2637" t="str">
        <f>translations!B36</f>
        <v>Total Deforestation</v>
      </c>
      <c r="B36" s="2829" t="s">
        <v>2427</v>
      </c>
      <c r="C36" s="2918" t="s">
        <v>5818</v>
      </c>
    </row>
    <row r="37" spans="1:3">
      <c r="A37" s="2637" t="str">
        <f>translations!B37</f>
        <v>Start</v>
      </c>
      <c r="B37" s="2829" t="s">
        <v>2428</v>
      </c>
      <c r="C37" s="2918" t="s">
        <v>345</v>
      </c>
    </row>
    <row r="38" spans="1:3">
      <c r="A38" s="2637" t="str">
        <f>translations!B38</f>
        <v>Without</v>
      </c>
      <c r="B38" s="2829" t="s">
        <v>2429</v>
      </c>
      <c r="C38" s="2918" t="s">
        <v>5819</v>
      </c>
    </row>
    <row r="39" spans="1:3">
      <c r="A39" s="2637" t="str">
        <f>translations!B39</f>
        <v>With</v>
      </c>
      <c r="B39" s="2829" t="s">
        <v>2430</v>
      </c>
      <c r="C39" s="2918" t="s">
        <v>5820</v>
      </c>
    </row>
    <row r="40" spans="1:3">
      <c r="A40" s="2637" t="str">
        <f>translations!B40</f>
        <v xml:space="preserve">Zone 1 = </v>
      </c>
      <c r="B40" s="2829" t="s">
        <v>2431</v>
      </c>
      <c r="C40" s="2918" t="s">
        <v>1753</v>
      </c>
    </row>
    <row r="41" spans="1:3">
      <c r="A41" s="2637" t="str">
        <f>translations!B41</f>
        <v xml:space="preserve">Zone 2 = </v>
      </c>
      <c r="B41" s="2829" t="s">
        <v>2432</v>
      </c>
      <c r="C41" s="2918" t="s">
        <v>1751</v>
      </c>
    </row>
    <row r="42" spans="1:3">
      <c r="A42" s="2637" t="str">
        <f>translations!B42</f>
        <v xml:space="preserve">Zone 3 = </v>
      </c>
      <c r="B42" s="2829" t="s">
        <v>2433</v>
      </c>
      <c r="C42" s="2918" t="s">
        <v>1754</v>
      </c>
    </row>
    <row r="43" spans="1:3">
      <c r="A43" s="2637" t="str">
        <f>translations!B43</f>
        <v xml:space="preserve">Zone 4 = </v>
      </c>
      <c r="B43" s="2829" t="s">
        <v>2434</v>
      </c>
      <c r="C43" s="2918" t="s">
        <v>1755</v>
      </c>
    </row>
    <row r="44" spans="1:3">
      <c r="A44" s="2637" t="str">
        <f>translations!B44</f>
        <v>2.2. Afforestation and Reforestation</v>
      </c>
      <c r="B44" s="2829" t="s">
        <v>2437</v>
      </c>
      <c r="C44" s="2918" t="s">
        <v>5821</v>
      </c>
    </row>
    <row r="45" spans="1:3">
      <c r="A45" s="2637" t="str">
        <f>translations!B45</f>
        <v>Previous land use</v>
      </c>
      <c r="B45" s="2829" t="s">
        <v>2435</v>
      </c>
      <c r="C45" s="2918" t="s">
        <v>5822</v>
      </c>
    </row>
    <row r="46" spans="1:3">
      <c r="A46" s="2637" t="str">
        <f>translations!B46</f>
        <v>Area that will be afforested/reforested</v>
      </c>
      <c r="B46" s="2829" t="s">
        <v>2436</v>
      </c>
      <c r="C46" s="2918" t="s">
        <v>6131</v>
      </c>
    </row>
    <row r="47" spans="1:3">
      <c r="A47" s="2637" t="str">
        <f>translations!B47</f>
        <v>Total Af-/Reforestation</v>
      </c>
      <c r="B47" s="2829" t="s">
        <v>2438</v>
      </c>
      <c r="C47" s="2918" t="s">
        <v>6130</v>
      </c>
    </row>
    <row r="48" spans="1:3">
      <c r="A48" s="2637" t="str">
        <f>translations!B48</f>
        <v xml:space="preserve">2.3. Other Land Use Changes </v>
      </c>
      <c r="B48" s="2829" t="s">
        <v>2445</v>
      </c>
      <c r="C48" s="2918" t="s">
        <v>6135</v>
      </c>
    </row>
    <row r="49" spans="1:3">
      <c r="A49" s="2637" t="str">
        <f>translations!B49</f>
        <v>Fill with your description</v>
      </c>
      <c r="B49" s="2829" t="s">
        <v>2439</v>
      </c>
      <c r="C49" s="2918" t="s">
        <v>5837</v>
      </c>
    </row>
    <row r="50" spans="1:3">
      <c r="A50" s="2637" t="str">
        <f>translations!B50</f>
        <v>Initial land use</v>
      </c>
      <c r="B50" s="2829" t="s">
        <v>2440</v>
      </c>
      <c r="C50" s="2918" t="s">
        <v>5650</v>
      </c>
    </row>
    <row r="51" spans="1:3">
      <c r="A51" s="2637" t="str">
        <f>translations!B51</f>
        <v>Final land use</v>
      </c>
      <c r="B51" s="2829" t="s">
        <v>2441</v>
      </c>
      <c r="C51" s="2918" t="s">
        <v>5651</v>
      </c>
    </row>
    <row r="52" spans="1:3">
      <c r="A52" s="2637" t="str">
        <f>translations!B52</f>
        <v>Message</v>
      </c>
      <c r="B52" s="2829" t="s">
        <v>2442</v>
      </c>
      <c r="C52" s="2918" t="s">
        <v>5823</v>
      </c>
    </row>
    <row r="53" spans="1:3">
      <c r="A53" s="2637" t="str">
        <f>translations!B53</f>
        <v>Area transformed (ha)</v>
      </c>
      <c r="B53" s="2829" t="s">
        <v>2443</v>
      </c>
      <c r="C53" s="2918" t="s">
        <v>6129</v>
      </c>
    </row>
    <row r="54" spans="1:3">
      <c r="A54" s="2637" t="str">
        <f>translations!B54</f>
        <v>Total Other LUC</v>
      </c>
      <c r="B54" s="2829" t="s">
        <v>2444</v>
      </c>
      <c r="C54" s="2918" t="s">
        <v>6128</v>
      </c>
    </row>
    <row r="55" spans="1:3" ht="26.4">
      <c r="A55" s="2637" t="str">
        <f>translations!B55</f>
        <v>You have indicated that you are using the following types of vegetation:</v>
      </c>
      <c r="B55" s="2829" t="s">
        <v>2552</v>
      </c>
      <c r="C55" s="2918" t="s">
        <v>5824</v>
      </c>
    </row>
    <row r="56" spans="1:3" ht="26.4">
      <c r="A56" s="2637" t="str">
        <f>translations!B56</f>
        <v>Use this part only if you want to refine the analysis with Tier 2 coefficients.</v>
      </c>
      <c r="B56" s="2829" t="s">
        <v>2553</v>
      </c>
      <c r="C56" s="2918" t="s">
        <v>5825</v>
      </c>
    </row>
    <row r="57" spans="1:3" ht="52.8">
      <c r="A57" s="2637" t="str">
        <f>translations!B57</f>
        <v>(default values are provided for your information only, while EX-ACT will use Tier 2 values automatically wherever specified)</v>
      </c>
      <c r="B57" s="2829" t="s">
        <v>2554</v>
      </c>
      <c r="C57" s="2918" t="s">
        <v>6136</v>
      </c>
    </row>
    <row r="58" spans="1:3" ht="26.4">
      <c r="A58" s="2637" t="str">
        <f>translations!B58</f>
        <v>All values are in t of carbon per ha (tC/ha)</v>
      </c>
      <c r="B58" s="2829" t="s">
        <v>2555</v>
      </c>
      <c r="C58" s="2918" t="s">
        <v>5826</v>
      </c>
    </row>
    <row r="59" spans="1:3">
      <c r="A59" s="2637" t="str">
        <f>translations!B59</f>
        <v>Above-ground</v>
      </c>
      <c r="B59" s="2829" t="s">
        <v>2560</v>
      </c>
      <c r="C59" s="2918" t="s">
        <v>5827</v>
      </c>
    </row>
    <row r="60" spans="1:3">
      <c r="A60" s="2637" t="str">
        <f>translations!B60</f>
        <v>Below-ground</v>
      </c>
      <c r="B60" s="2829" t="s">
        <v>2561</v>
      </c>
      <c r="C60" s="2918" t="s">
        <v>5828</v>
      </c>
    </row>
    <row r="61" spans="1:3">
      <c r="A61" s="2637" t="str">
        <f>translations!B61</f>
        <v>Litter</v>
      </c>
      <c r="B61" s="2829" t="s">
        <v>2559</v>
      </c>
      <c r="C61" s="2918" t="s">
        <v>5829</v>
      </c>
    </row>
    <row r="62" spans="1:3">
      <c r="A62" s="2637" t="str">
        <f>translations!B62</f>
        <v>Dead wood</v>
      </c>
      <c r="B62" s="2829" t="s">
        <v>2558</v>
      </c>
      <c r="C62" s="2918" t="s">
        <v>5830</v>
      </c>
    </row>
    <row r="63" spans="1:3">
      <c r="A63" s="2637" t="str">
        <f>translations!B63</f>
        <v>Soil carbon</v>
      </c>
      <c r="B63" s="2829" t="s">
        <v>2556</v>
      </c>
      <c r="C63" s="2918" t="s">
        <v>5831</v>
      </c>
    </row>
    <row r="64" spans="1:3">
      <c r="A64" s="2637" t="str">
        <f>translations!B64</f>
        <v>Default</v>
      </c>
      <c r="B64" s="2829" t="s">
        <v>2557</v>
      </c>
      <c r="C64" s="2918" t="s">
        <v>344</v>
      </c>
    </row>
    <row r="65" spans="1:12">
      <c r="A65" s="2637" t="str">
        <f>translations!B65</f>
        <v>Tier 2</v>
      </c>
      <c r="B65" s="2829" t="s">
        <v>2562</v>
      </c>
      <c r="C65" s="2918" t="s">
        <v>1529</v>
      </c>
    </row>
    <row r="66" spans="1:12">
      <c r="A66" s="2637" t="str">
        <f>translations!B66</f>
        <v>that will be planted</v>
      </c>
      <c r="B66" s="2829" t="s">
        <v>2563</v>
      </c>
      <c r="C66" s="2918" t="s">
        <v>5832</v>
      </c>
    </row>
    <row r="67" spans="1:12" ht="26.4">
      <c r="A67" s="2637" t="str">
        <f>translations!B67</f>
        <v>Growth rates for systems up to 20-yr old</v>
      </c>
      <c r="B67" s="2829" t="s">
        <v>2564</v>
      </c>
      <c r="C67" s="2918" t="s">
        <v>5833</v>
      </c>
    </row>
    <row r="68" spans="1:12">
      <c r="A68" s="2637" t="str">
        <f>translations!B68</f>
        <v>Growth rates for systems after 20-yr old</v>
      </c>
      <c r="B68" s="2829" t="s">
        <v>2565</v>
      </c>
      <c r="C68" s="2918" t="s">
        <v>5834</v>
      </c>
    </row>
    <row r="69" spans="1:12">
      <c r="A69" s="2637">
        <f>translations!B69</f>
        <v>0</v>
      </c>
      <c r="B69" s="2829"/>
    </row>
    <row r="70" spans="1:12">
      <c r="A70" s="2637">
        <f>translations!B70</f>
        <v>0</v>
      </c>
      <c r="B70" s="2829"/>
    </row>
    <row r="71" spans="1:12">
      <c r="A71" s="2637">
        <f>translations!B71</f>
        <v>0</v>
      </c>
      <c r="B71" s="2829"/>
    </row>
    <row r="72" spans="1:12">
      <c r="A72" s="2637">
        <f>translations!B72</f>
        <v>0</v>
      </c>
      <c r="B72" s="2829"/>
    </row>
    <row r="73" spans="1:12">
      <c r="A73" s="2637">
        <f>translations!B73</f>
        <v>0</v>
      </c>
      <c r="B73" s="2829"/>
    </row>
    <row r="74" spans="1:12">
      <c r="A74" s="2637">
        <f>translations!B74</f>
        <v>0</v>
      </c>
      <c r="B74" s="2829"/>
    </row>
    <row r="75" spans="1:12">
      <c r="A75" s="2637">
        <f>translations!B75</f>
        <v>0</v>
      </c>
      <c r="B75" s="2829"/>
    </row>
    <row r="76" spans="1:12" s="2787" customFormat="1">
      <c r="A76" s="2640" t="str">
        <f>translations!B76</f>
        <v>English</v>
      </c>
      <c r="B76" s="2833" t="str">
        <f>B1</f>
        <v>Português</v>
      </c>
      <c r="C76" s="3024" t="str">
        <f t="shared" ref="C76:L76" si="2">C1</f>
        <v>Deutsch</v>
      </c>
      <c r="D76" s="2789" t="str">
        <f t="shared" si="2"/>
        <v>Lang002</v>
      </c>
      <c r="E76" s="2789" t="str">
        <f t="shared" si="2"/>
        <v>Lang003</v>
      </c>
      <c r="F76" s="2789" t="str">
        <f t="shared" si="2"/>
        <v>Lang004</v>
      </c>
      <c r="G76" s="2789" t="str">
        <f t="shared" si="2"/>
        <v>Lang005</v>
      </c>
      <c r="H76" s="2789" t="str">
        <f t="shared" si="2"/>
        <v>Lang006</v>
      </c>
      <c r="I76" s="2789" t="str">
        <f t="shared" si="2"/>
        <v>Lang007</v>
      </c>
      <c r="J76" s="2789" t="str">
        <f t="shared" si="2"/>
        <v>Lang008</v>
      </c>
      <c r="K76" s="2789" t="str">
        <f t="shared" si="2"/>
        <v>Lang009</v>
      </c>
      <c r="L76" s="2789" t="str">
        <f t="shared" si="2"/>
        <v>Lang010</v>
      </c>
    </row>
    <row r="77" spans="1:12" ht="52.8">
      <c r="A77" s="2637" t="str">
        <f>translations!B77</f>
        <v>3.1. Annual systems (to be used also for  pluri-annual systems such as  cotton or sugarcane)</v>
      </c>
      <c r="B77" s="2829" t="s">
        <v>2566</v>
      </c>
      <c r="C77" s="2918" t="s">
        <v>5835</v>
      </c>
    </row>
    <row r="78" spans="1:12" ht="39.6">
      <c r="A78" s="2637" t="str">
        <f>translations!B78</f>
        <v>3.1.1. Annual systems from other LU or converted to other LU (please fill step 2.LUC previously)</v>
      </c>
      <c r="B78" s="2829" t="s">
        <v>4549</v>
      </c>
      <c r="C78" s="2920" t="s">
        <v>6177</v>
      </c>
    </row>
    <row r="79" spans="1:12">
      <c r="A79" s="2637" t="str">
        <f>translations!B79</f>
        <v>Yield?</v>
      </c>
      <c r="B79" s="2829" t="s">
        <v>2567</v>
      </c>
      <c r="C79" s="2918" t="s">
        <v>5836</v>
      </c>
    </row>
    <row r="80" spans="1:12">
      <c r="A80" s="2637" t="str">
        <f>translations!B80</f>
        <v>Description</v>
      </c>
      <c r="B80" s="2829" t="s">
        <v>4527</v>
      </c>
      <c r="C80" s="2918" t="s">
        <v>5837</v>
      </c>
    </row>
    <row r="81" spans="1:3">
      <c r="A81" s="2637" t="str">
        <f>translations!B81</f>
        <v>Improved agronomic practices</v>
      </c>
      <c r="B81" s="2829" t="s">
        <v>4528</v>
      </c>
      <c r="C81" s="2918" t="s">
        <v>5838</v>
      </c>
    </row>
    <row r="82" spans="1:3">
      <c r="A82" s="2637" t="str">
        <f>translations!B82</f>
        <v>Nutrient management</v>
      </c>
      <c r="B82" s="2829" t="s">
        <v>4529</v>
      </c>
      <c r="C82" s="2918" t="s">
        <v>5839</v>
      </c>
    </row>
    <row r="83" spans="1:3" ht="26.4">
      <c r="A83" s="2637" t="str">
        <f>translations!B83</f>
        <v>NoTill./residues management</v>
      </c>
      <c r="B83" s="2829" t="s">
        <v>4530</v>
      </c>
      <c r="C83" s="2918" t="s">
        <v>5840</v>
      </c>
    </row>
    <row r="84" spans="1:3">
      <c r="A84" s="2637" t="str">
        <f>translations!B84</f>
        <v>Water  management</v>
      </c>
      <c r="B84" s="2829" t="s">
        <v>4531</v>
      </c>
      <c r="C84" s="2918" t="s">
        <v>5841</v>
      </c>
    </row>
    <row r="85" spans="1:3">
      <c r="A85" s="2637" t="str">
        <f>translations!B85</f>
        <v>Manure application</v>
      </c>
      <c r="B85" s="2829" t="s">
        <v>4532</v>
      </c>
      <c r="C85" s="2918" t="s">
        <v>5842</v>
      </c>
    </row>
    <row r="86" spans="1:3">
      <c r="A86" s="2637" t="str">
        <f>translations!B86</f>
        <v>Yield</v>
      </c>
      <c r="B86" s="2829" t="s">
        <v>2567</v>
      </c>
      <c r="C86" s="2918" t="s">
        <v>5843</v>
      </c>
    </row>
    <row r="87" spans="1:3">
      <c r="A87" s="2637" t="str">
        <f>translations!B87</f>
        <v>Definitions?</v>
      </c>
      <c r="B87" s="2829" t="s">
        <v>4533</v>
      </c>
      <c r="C87" s="2918" t="s">
        <v>5844</v>
      </c>
    </row>
    <row r="88" spans="1:3">
      <c r="A88" s="2637" t="str">
        <f>translations!B88</f>
        <v>Area (ha)</v>
      </c>
      <c r="B88" s="2829" t="s">
        <v>4534</v>
      </c>
      <c r="C88" s="2918" t="s">
        <v>5845</v>
      </c>
    </row>
    <row r="89" spans="1:3">
      <c r="A89" s="2637" t="str">
        <f>translations!B89</f>
        <v>Residue/ biomass burning</v>
      </c>
      <c r="B89" s="2829" t="s">
        <v>4535</v>
      </c>
      <c r="C89" s="2918" t="s">
        <v>6137</v>
      </c>
    </row>
    <row r="90" spans="1:3">
      <c r="A90" s="2637" t="str">
        <f>translations!B90</f>
        <v>Annual after Deforestation</v>
      </c>
      <c r="B90" s="2829" t="s">
        <v>4536</v>
      </c>
      <c r="C90" s="2920" t="s">
        <v>6182</v>
      </c>
    </row>
    <row r="91" spans="1:3">
      <c r="A91" s="2637" t="str">
        <f>translations!B91</f>
        <v>Converted to A/R</v>
      </c>
      <c r="B91" s="2829" t="s">
        <v>4537</v>
      </c>
      <c r="C91" s="2920" t="s">
        <v>6192</v>
      </c>
    </row>
    <row r="92" spans="1:3">
      <c r="A92" s="2637" t="str">
        <f>translations!B92</f>
        <v>Annual after non-forest LU</v>
      </c>
      <c r="B92" s="2829" t="s">
        <v>4538</v>
      </c>
      <c r="C92" s="2920" t="s">
        <v>6184</v>
      </c>
    </row>
    <row r="93" spans="1:3">
      <c r="A93" s="2637" t="str">
        <f>translations!B93</f>
        <v>Converted to OLUC</v>
      </c>
      <c r="B93" s="2829" t="s">
        <v>4537</v>
      </c>
      <c r="C93" s="2920" t="s">
        <v>6183</v>
      </c>
    </row>
    <row r="94" spans="1:3" ht="39.6">
      <c r="A94" s="2637" t="str">
        <f>translations!B94</f>
        <v>3.1.2. Annual systems remaining annual systems (total area must remain constant)</v>
      </c>
      <c r="B94" s="2829" t="s">
        <v>4539</v>
      </c>
      <c r="C94" s="2918" t="s">
        <v>5846</v>
      </c>
    </row>
    <row r="95" spans="1:3">
      <c r="A95" s="2637" t="str">
        <f>translations!B95</f>
        <v>Total (ha)</v>
      </c>
      <c r="B95" s="2829" t="s">
        <v>1824</v>
      </c>
      <c r="C95" s="2918" t="s">
        <v>5847</v>
      </c>
    </row>
    <row r="96" spans="1:3">
      <c r="A96" s="2637" t="str">
        <f>translations!B96</f>
        <v>Total Annual Systems</v>
      </c>
      <c r="B96" s="2829" t="s">
        <v>4540</v>
      </c>
      <c r="C96" s="2918" t="s">
        <v>5848</v>
      </c>
    </row>
    <row r="97" spans="1:3" ht="26.4">
      <c r="A97" s="2637" t="str">
        <f>translations!B97</f>
        <v>3.2. Perrenial systems (agroforestry, orchards, tree crops…)</v>
      </c>
      <c r="B97" s="2829" t="s">
        <v>4541</v>
      </c>
      <c r="C97" s="2918" t="s">
        <v>5849</v>
      </c>
    </row>
    <row r="98" spans="1:3" ht="39.6">
      <c r="A98" s="2637" t="str">
        <f>translations!B98</f>
        <v>3.2.1. Perrenial systems from other LU or converted to other LU (please fill step 2.LUC previously)</v>
      </c>
      <c r="B98" s="2829" t="s">
        <v>4548</v>
      </c>
      <c r="C98" s="2920" t="s">
        <v>6178</v>
      </c>
    </row>
    <row r="99" spans="1:3" ht="26.4">
      <c r="A99" s="2637" t="str">
        <f>translations!B99</f>
        <v>Perennial after Deforestation</v>
      </c>
      <c r="B99" s="2829" t="s">
        <v>4542</v>
      </c>
      <c r="C99" s="2918" t="s">
        <v>5850</v>
      </c>
    </row>
    <row r="100" spans="1:3" ht="26.4">
      <c r="A100" s="2637" t="str">
        <f>translations!B100</f>
        <v>Converted to A/R</v>
      </c>
      <c r="B100" s="2829" t="s">
        <v>4543</v>
      </c>
      <c r="C100" s="2920" t="s">
        <v>6191</v>
      </c>
    </row>
    <row r="101" spans="1:3" ht="26.4">
      <c r="A101" s="2637" t="str">
        <f>translations!B101</f>
        <v>Perennial after non-forest LU</v>
      </c>
      <c r="B101" s="2829" t="s">
        <v>4544</v>
      </c>
      <c r="C101" s="2920" t="s">
        <v>6185</v>
      </c>
    </row>
    <row r="102" spans="1:3" ht="26.4">
      <c r="A102" s="2637" t="str">
        <f>translations!B102</f>
        <v>Converted to OLUC</v>
      </c>
      <c r="B102" s="2829" t="s">
        <v>4543</v>
      </c>
      <c r="C102" s="2920" t="s">
        <v>6186</v>
      </c>
    </row>
    <row r="103" spans="1:3">
      <c r="A103" s="2637" t="str">
        <f>translations!B103</f>
        <v>Total Perennial Systems</v>
      </c>
      <c r="B103" s="2829" t="s">
        <v>4545</v>
      </c>
      <c r="C103" s="2918" t="s">
        <v>5851</v>
      </c>
    </row>
    <row r="104" spans="1:3" ht="39.6">
      <c r="A104" s="2637" t="str">
        <f>translations!B104</f>
        <v>3.2.2. Perennial systems remaining perrenial systems (total area must remain constant)</v>
      </c>
      <c r="B104" s="2829" t="s">
        <v>4546</v>
      </c>
      <c r="C104" s="2918" t="s">
        <v>5852</v>
      </c>
    </row>
    <row r="105" spans="1:3">
      <c r="A105" s="2637" t="str">
        <f>translations!B105</f>
        <v>3.3. Flooded Rice systems</v>
      </c>
      <c r="B105" s="2829" t="s">
        <v>4547</v>
      </c>
      <c r="C105" s="2918" t="s">
        <v>5853</v>
      </c>
    </row>
    <row r="106" spans="1:3" ht="39.6">
      <c r="A106" s="2637" t="str">
        <f>translations!B106</f>
        <v>3.3.1. Flooded Rice systems from other LU or converted to other LU (please fill step 2.LUC previously)</v>
      </c>
      <c r="B106" s="2829" t="s">
        <v>4554</v>
      </c>
      <c r="C106" s="2920" t="s">
        <v>6179</v>
      </c>
    </row>
    <row r="107" spans="1:3">
      <c r="A107" s="2637" t="str">
        <f>translations!B107</f>
        <v>Cultivation period (days)</v>
      </c>
      <c r="B107" s="2829" t="s">
        <v>4550</v>
      </c>
      <c r="C107" s="2918" t="s">
        <v>5854</v>
      </c>
    </row>
    <row r="108" spans="1:3">
      <c r="A108" s="2637" t="str">
        <f>translations!B108</f>
        <v>Water regime</v>
      </c>
      <c r="B108" s="2829" t="s">
        <v>2405</v>
      </c>
      <c r="C108" s="2918" t="s">
        <v>5855</v>
      </c>
    </row>
    <row r="109" spans="1:3">
      <c r="A109" s="2637" t="str">
        <f>translations!B109</f>
        <v>During the cultivation period</v>
      </c>
      <c r="B109" s="2829" t="s">
        <v>4551</v>
      </c>
      <c r="C109" s="2918" t="s">
        <v>5856</v>
      </c>
    </row>
    <row r="110" spans="1:3">
      <c r="A110" s="2637" t="str">
        <f>translations!B110</f>
        <v>Before the cultivation period</v>
      </c>
      <c r="B110" s="2829" t="s">
        <v>4552</v>
      </c>
      <c r="C110" s="2918" t="s">
        <v>5857</v>
      </c>
    </row>
    <row r="111" spans="1:3">
      <c r="A111" s="2637" t="str">
        <f>translations!B111</f>
        <v>Organic amendment type (straw or other)</v>
      </c>
      <c r="B111" s="2829" t="s">
        <v>4553</v>
      </c>
      <c r="C111" s="2918" t="s">
        <v>5858</v>
      </c>
    </row>
    <row r="112" spans="1:3" ht="40.200000000000003">
      <c r="A112" s="2637" t="str">
        <f>translations!B112</f>
        <v>3.3.2. Flooded Rice systems remaining Flooded Rice systems (total area must remain constant)</v>
      </c>
      <c r="B112" s="2829" t="s">
        <v>4555</v>
      </c>
      <c r="C112" s="2918" t="s">
        <v>5859</v>
      </c>
    </row>
    <row r="113" spans="1:3">
      <c r="A113" s="2637" t="str">
        <f>translations!B113</f>
        <v>Total Flooded Rice Systems</v>
      </c>
      <c r="B113" s="2829" t="s">
        <v>5538</v>
      </c>
      <c r="C113" s="2918" t="s">
        <v>5860</v>
      </c>
    </row>
    <row r="114" spans="1:3">
      <c r="A114" s="2637" t="str">
        <f>translations!B114</f>
        <v>Rice after Deforestation</v>
      </c>
      <c r="B114" s="2829" t="s">
        <v>4598</v>
      </c>
      <c r="C114" s="2920" t="s">
        <v>6187</v>
      </c>
    </row>
    <row r="115" spans="1:3">
      <c r="A115" s="2637" t="str">
        <f>translations!B115</f>
        <v>Converted to A/R</v>
      </c>
      <c r="B115" s="2829" t="s">
        <v>4556</v>
      </c>
      <c r="C115" s="2920" t="s">
        <v>6190</v>
      </c>
    </row>
    <row r="116" spans="1:3">
      <c r="A116" s="2637" t="str">
        <f>translations!B116</f>
        <v>Rice after non-forest LU</v>
      </c>
      <c r="B116" s="2829" t="s">
        <v>4601</v>
      </c>
      <c r="C116" s="2920" t="s">
        <v>6188</v>
      </c>
    </row>
    <row r="117" spans="1:3">
      <c r="A117" s="2637" t="str">
        <f>translations!B117</f>
        <v>Converted to OLUC</v>
      </c>
      <c r="B117" s="2829" t="s">
        <v>4556</v>
      </c>
      <c r="C117" s="2920" t="s">
        <v>6189</v>
      </c>
    </row>
    <row r="118" spans="1:3">
      <c r="A118" s="2637" t="str">
        <f>translations!B118</f>
        <v>Systems</v>
      </c>
      <c r="B118" s="2829" t="s">
        <v>4557</v>
      </c>
      <c r="C118" s="2918" t="s">
        <v>5861</v>
      </c>
    </row>
    <row r="119" spans="1:3">
      <c r="A119" s="2637" t="str">
        <f>translations!B119</f>
        <v>Rates of soil C sequestration</v>
      </c>
      <c r="B119" s="2829" t="s">
        <v>4558</v>
      </c>
      <c r="C119" s="2918" t="s">
        <v>5862</v>
      </c>
    </row>
    <row r="120" spans="1:3" ht="26.4">
      <c r="A120" s="2637" t="str">
        <f>translations!B120</f>
        <v>Residues/Biomass available for burning</v>
      </c>
      <c r="B120" s="2829" t="s">
        <v>4559</v>
      </c>
      <c r="C120" s="2918" t="s">
        <v>5863</v>
      </c>
    </row>
    <row r="121" spans="1:3">
      <c r="A121" s="2637" t="str">
        <f>translations!B121</f>
        <v xml:space="preserve"> (t CO2/ha/yr)</v>
      </c>
      <c r="B121" s="2829" t="s">
        <v>4560</v>
      </c>
      <c r="C121" s="2920" t="s">
        <v>6193</v>
      </c>
    </row>
    <row r="122" spans="1:3">
      <c r="A122" s="2637" t="str">
        <f>translations!B122</f>
        <v>(t Dry Matter per ha)</v>
      </c>
      <c r="B122" s="2829" t="s">
        <v>4561</v>
      </c>
      <c r="C122" s="2918" t="s">
        <v>5864</v>
      </c>
    </row>
    <row r="123" spans="1:3" ht="26.4">
      <c r="A123" s="2637" t="str">
        <f>translations!B123</f>
        <v>Annual systems from (or to) other LU</v>
      </c>
      <c r="B123" s="2829" t="s">
        <v>4562</v>
      </c>
      <c r="C123" s="2918" t="s">
        <v>5865</v>
      </c>
    </row>
    <row r="124" spans="1:3" ht="26.4">
      <c r="A124" s="2637" t="str">
        <f>translations!B124</f>
        <v xml:space="preserve">Annual systems remaining annual systems </v>
      </c>
      <c r="B124" s="2829" t="s">
        <v>4569</v>
      </c>
      <c r="C124" s="2918" t="s">
        <v>5866</v>
      </c>
    </row>
    <row r="125" spans="1:3">
      <c r="A125" s="2637" t="str">
        <f>translations!B125</f>
        <v>Growth rate (t C/ha/yr)</v>
      </c>
      <c r="B125" s="2829" t="s">
        <v>4570</v>
      </c>
      <c r="C125" s="2920" t="s">
        <v>6194</v>
      </c>
    </row>
    <row r="126" spans="1:3" ht="26.4">
      <c r="A126" s="2637" t="str">
        <f>translations!B126</f>
        <v>Burning (quantity of residues and periodicity)</v>
      </c>
      <c r="B126" s="2829" t="s">
        <v>4571</v>
      </c>
      <c r="C126" s="2918" t="s">
        <v>5867</v>
      </c>
    </row>
    <row r="127" spans="1:3">
      <c r="A127" s="2637" t="str">
        <f>translations!B127</f>
        <v>Periodicity (yr)</v>
      </c>
      <c r="B127" s="2829" t="s">
        <v>4572</v>
      </c>
      <c r="C127" s="2918" t="s">
        <v>5868</v>
      </c>
    </row>
    <row r="128" spans="1:3" ht="26.4">
      <c r="A128" s="2637" t="str">
        <f>translations!B128</f>
        <v>Perennial systems from (or to) other LU</v>
      </c>
      <c r="B128" s="2829" t="s">
        <v>4573</v>
      </c>
      <c r="C128" s="2918" t="s">
        <v>5869</v>
      </c>
    </row>
    <row r="129" spans="1:3" ht="26.4">
      <c r="A129" s="2637" t="str">
        <f>translations!B129</f>
        <v>Perennial syst. remaining perennial syst.</v>
      </c>
      <c r="B129" s="2829" t="s">
        <v>4574</v>
      </c>
      <c r="C129" s="2918" t="s">
        <v>5870</v>
      </c>
    </row>
    <row r="130" spans="1:3">
      <c r="A130" s="2637" t="str">
        <f>translations!B130</f>
        <v>Amount of Straw burned</v>
      </c>
      <c r="B130" s="2829" t="s">
        <v>4575</v>
      </c>
      <c r="C130" s="2918" t="s">
        <v>5871</v>
      </c>
    </row>
    <row r="131" spans="1:3" ht="26.4">
      <c r="A131" s="2637" t="str">
        <f>translations!B131</f>
        <v>Rice systems from (or to) other LU</v>
      </c>
      <c r="B131" s="2829" t="s">
        <v>4577</v>
      </c>
      <c r="C131" s="2918" t="s">
        <v>5872</v>
      </c>
    </row>
    <row r="132" spans="1:3" ht="26.4">
      <c r="A132" s="2637" t="str">
        <f>translations!B132</f>
        <v>Rice syst. remaining rice syst.</v>
      </c>
      <c r="B132" s="2829" t="s">
        <v>4576</v>
      </c>
      <c r="C132" s="2918" t="s">
        <v>5873</v>
      </c>
    </row>
    <row r="133" spans="1:3" ht="39.6">
      <c r="A133" s="2637" t="str">
        <f>translations!B133</f>
        <v>Water regime prior to rice cultivation (schematic presentation showing flooded periods as shaded)</v>
      </c>
      <c r="B133" s="2829" t="s">
        <v>4578</v>
      </c>
      <c r="C133" s="2918" t="s">
        <v>5874</v>
      </c>
    </row>
    <row r="134" spans="1:3">
      <c r="A134" s="2637" t="str">
        <f>translations!B134</f>
        <v>Non flooded preseason &lt;180 d</v>
      </c>
      <c r="B134" s="2829" t="s">
        <v>2519</v>
      </c>
      <c r="C134" s="2918" t="s">
        <v>5875</v>
      </c>
    </row>
    <row r="135" spans="1:3">
      <c r="A135" s="2637" t="str">
        <f>translations!B135</f>
        <v>Non flooded preseason &gt;180 d</v>
      </c>
      <c r="B135" s="2829" t="s">
        <v>2520</v>
      </c>
      <c r="C135" s="2918" t="s">
        <v>5876</v>
      </c>
    </row>
    <row r="136" spans="1:3">
      <c r="A136" s="2637" t="str">
        <f>translations!B136</f>
        <v>Flooded preseason (&gt;30 d)</v>
      </c>
      <c r="B136" s="2829" t="s">
        <v>2521</v>
      </c>
      <c r="C136" s="2918" t="s">
        <v>5877</v>
      </c>
    </row>
    <row r="137" spans="1:3">
      <c r="A137" s="2637" t="str">
        <f>translations!B137</f>
        <v>Management options</v>
      </c>
      <c r="B137" s="2829" t="s">
        <v>4579</v>
      </c>
      <c r="C137" s="2918" t="s">
        <v>5878</v>
      </c>
    </row>
    <row r="138" spans="1:3">
      <c r="A138" s="2637" t="str">
        <f>translations!B138</f>
        <v>(t/ha/yr)</v>
      </c>
      <c r="B138" s="2829" t="s">
        <v>4580</v>
      </c>
      <c r="C138" s="2920" t="s">
        <v>6195</v>
      </c>
    </row>
    <row r="139" spans="1:3">
      <c r="A139" s="2637" t="str">
        <f>translations!B139</f>
        <v>Definitions of land management options</v>
      </c>
      <c r="B139" s="2829" t="s">
        <v>4581</v>
      </c>
      <c r="C139" s="2918" t="s">
        <v>5879</v>
      </c>
    </row>
    <row r="140" spans="1:3" ht="39.6">
      <c r="A140" s="2637" t="str">
        <f>translations!B140</f>
        <v>Using improved varieties, extending crop rotation, increasing crop residues.</v>
      </c>
      <c r="B140" s="2829" t="s">
        <v>4582</v>
      </c>
      <c r="C140" s="2918" t="s">
        <v>5880</v>
      </c>
    </row>
    <row r="141" spans="1:3" ht="52.8">
      <c r="A141" s="2637" t="str">
        <f>translations!B141</f>
        <v>Improve N use efficiency &amp; decrease N losses: Microdosing, adjusted application rate, timing &amp; location…</v>
      </c>
      <c r="B141" s="2829" t="s">
        <v>4583</v>
      </c>
      <c r="C141" s="2918" t="s">
        <v>5881</v>
      </c>
    </row>
    <row r="142" spans="1:3" ht="52.8">
      <c r="A142" s="2637" t="str">
        <f>translations!B142</f>
        <v>Adoption of reduced, minimum or zero tillage, with or without mulching, including Conservation Agriculture.</v>
      </c>
      <c r="B142" s="2829" t="s">
        <v>4584</v>
      </c>
      <c r="C142" s="2918" t="s">
        <v>5882</v>
      </c>
    </row>
    <row r="143" spans="1:3" ht="26.4">
      <c r="A143" s="2637" t="str">
        <f>translations!B143</f>
        <v>Effective irrigation measure.</v>
      </c>
      <c r="B143" s="2829" t="s">
        <v>4585</v>
      </c>
      <c r="C143" s="2918" t="s">
        <v>5883</v>
      </c>
    </row>
    <row r="144" spans="1:3" ht="26.4">
      <c r="A144" s="2637" t="str">
        <f>translations!B144</f>
        <v>Manure or Biosolids application to the field as input.</v>
      </c>
      <c r="B144" s="2829" t="s">
        <v>4586</v>
      </c>
      <c r="C144" s="2918" t="s">
        <v>5884</v>
      </c>
    </row>
    <row r="145" spans="1:3" s="2787" customFormat="1">
      <c r="A145" s="2833" t="str">
        <f>translations!B145</f>
        <v>English</v>
      </c>
      <c r="B145" s="2640" t="str">
        <f>B1</f>
        <v>Português</v>
      </c>
      <c r="C145" s="2917" t="s">
        <v>5792</v>
      </c>
    </row>
    <row r="146" spans="1:3">
      <c r="A146" s="2637" t="str">
        <f>translations!B146</f>
        <v>4.1. Grassland systems</v>
      </c>
      <c r="B146" s="2829" t="s">
        <v>4587</v>
      </c>
      <c r="C146" s="2918" t="s">
        <v>5637</v>
      </c>
    </row>
    <row r="147" spans="1:3" ht="39.6">
      <c r="A147" s="2637" t="str">
        <f>translations!B147</f>
        <v>4.1.1. Grassland systems from other LU or converted to other LU (please fill step 2.LUC previously)</v>
      </c>
      <c r="B147" s="2829" t="s">
        <v>4588</v>
      </c>
      <c r="C147" s="2918" t="s">
        <v>5885</v>
      </c>
    </row>
    <row r="148" spans="1:3" ht="39.6">
      <c r="A148" s="2637" t="str">
        <f>translations!B148</f>
        <v>4.1.2. Grassland systems remaining grassland systems (total area must remain contant)</v>
      </c>
      <c r="B148" s="2829" t="s">
        <v>4589</v>
      </c>
      <c r="C148" s="2918" t="s">
        <v>5886</v>
      </c>
    </row>
    <row r="149" spans="1:3">
      <c r="A149" s="2637" t="str">
        <f>translations!B149</f>
        <v>Initial State</v>
      </c>
      <c r="B149" s="2829" t="s">
        <v>4590</v>
      </c>
      <c r="C149" s="2920" t="s">
        <v>6206</v>
      </c>
    </row>
    <row r="150" spans="1:3">
      <c r="A150" s="2637" t="str">
        <f>translations!B150</f>
        <v>Fire use to manage?</v>
      </c>
      <c r="B150" s="2829" t="s">
        <v>4591</v>
      </c>
      <c r="C150" s="2918" t="s">
        <v>5887</v>
      </c>
    </row>
    <row r="151" spans="1:3">
      <c r="A151" s="2637" t="str">
        <f>translations!B151</f>
        <v>Total Emissions</v>
      </c>
      <c r="B151" s="2829" t="s">
        <v>4592</v>
      </c>
      <c r="C151" s="2918" t="s">
        <v>5888</v>
      </c>
    </row>
    <row r="152" spans="1:3">
      <c r="A152" s="2637" t="str">
        <f>translations!B152</f>
        <v>(year)</v>
      </c>
      <c r="B152" s="2829" t="s">
        <v>4593</v>
      </c>
      <c r="C152" s="2918" t="s">
        <v>5889</v>
      </c>
    </row>
    <row r="153" spans="1:3">
      <c r="A153" s="2637" t="str">
        <f>translations!B153</f>
        <v>Periodicity</v>
      </c>
      <c r="B153" s="2829" t="s">
        <v>4594</v>
      </c>
      <c r="C153" s="2918" t="s">
        <v>5890</v>
      </c>
    </row>
    <row r="154" spans="1:3">
      <c r="A154" s="2637" t="str">
        <f>translations!B154</f>
        <v>Without project</v>
      </c>
      <c r="B154" s="2829" t="s">
        <v>4595</v>
      </c>
      <c r="C154" s="2918" t="s">
        <v>5891</v>
      </c>
    </row>
    <row r="155" spans="1:3">
      <c r="A155" s="2637" t="str">
        <f>translations!B155</f>
        <v>With project</v>
      </c>
      <c r="B155" s="2829" t="s">
        <v>4596</v>
      </c>
      <c r="C155" s="2918" t="s">
        <v>5892</v>
      </c>
    </row>
    <row r="156" spans="1:3">
      <c r="A156" s="2637" t="str">
        <f>translations!B156</f>
        <v>Grassland after Deforestation</v>
      </c>
      <c r="B156" s="2829" t="s">
        <v>4597</v>
      </c>
      <c r="C156" s="2920" t="s">
        <v>6201</v>
      </c>
    </row>
    <row r="157" spans="1:3">
      <c r="A157" s="2637" t="str">
        <f>translations!B157</f>
        <v>Converted to A/R</v>
      </c>
      <c r="B157" s="2829" t="s">
        <v>4599</v>
      </c>
      <c r="C157" s="2920" t="s">
        <v>6202</v>
      </c>
    </row>
    <row r="158" spans="1:3">
      <c r="A158" s="2637" t="str">
        <f>translations!B158</f>
        <v>Grassland after non-forest LU</v>
      </c>
      <c r="B158" s="2829" t="s">
        <v>4600</v>
      </c>
      <c r="C158" s="2920" t="s">
        <v>6203</v>
      </c>
    </row>
    <row r="159" spans="1:3">
      <c r="A159" s="2637" t="str">
        <f>translations!B159</f>
        <v>Converted to OLUC</v>
      </c>
      <c r="B159" s="2829" t="s">
        <v>4599</v>
      </c>
      <c r="C159" s="2920" t="s">
        <v>6204</v>
      </c>
    </row>
    <row r="160" spans="1:3">
      <c r="A160" s="2637" t="str">
        <f>translations!B160</f>
        <v>Final state of the grassland</v>
      </c>
      <c r="B160" s="2829" t="s">
        <v>4602</v>
      </c>
      <c r="C160" s="2918" t="s">
        <v>5893</v>
      </c>
    </row>
    <row r="161" spans="1:3">
      <c r="A161" s="2637" t="str">
        <f>translations!B161</f>
        <v>(tCO2-eq)</v>
      </c>
      <c r="B161" s="2829" t="s">
        <v>1917</v>
      </c>
      <c r="C161" s="2918" t="s">
        <v>1917</v>
      </c>
    </row>
    <row r="162" spans="1:3">
      <c r="A162" s="2637" t="str">
        <f>translations!B162</f>
        <v>Total Grassland Systems</v>
      </c>
      <c r="B162" s="2829" t="s">
        <v>4603</v>
      </c>
      <c r="C162" s="2918" t="s">
        <v>5894</v>
      </c>
    </row>
    <row r="163" spans="1:3">
      <c r="A163" s="2637" t="str">
        <f>translations!B163</f>
        <v>4.2. Livestock (and manure management)</v>
      </c>
      <c r="B163" s="2829" t="s">
        <v>4625</v>
      </c>
      <c r="C163" s="2918" t="s">
        <v>5895</v>
      </c>
    </row>
    <row r="164" spans="1:3">
      <c r="A164" s="2637" t="str">
        <f>translations!B164</f>
        <v>Livestock categories</v>
      </c>
      <c r="B164" s="2829" t="s">
        <v>4604</v>
      </c>
      <c r="C164" s="2918" t="s">
        <v>5896</v>
      </c>
    </row>
    <row r="165" spans="1:3">
      <c r="A165" s="2637" t="str">
        <f>translations!B165</f>
        <v>Head number (mean per year)</v>
      </c>
      <c r="B165" s="2829" t="s">
        <v>4605</v>
      </c>
      <c r="C165" s="2918" t="s">
        <v>5897</v>
      </c>
    </row>
    <row r="166" spans="1:3">
      <c r="A166" s="2637" t="str">
        <f>translations!B166</f>
        <v>Technical mitigation option (%)</v>
      </c>
      <c r="B166" s="2829" t="s">
        <v>4606</v>
      </c>
      <c r="C166" s="2918" t="s">
        <v>5898</v>
      </c>
    </row>
    <row r="167" spans="1:3">
      <c r="A167" s="2637" t="str">
        <f>translations!B167</f>
        <v xml:space="preserve">Production  (meat, milk, etc) </v>
      </c>
      <c r="B167" s="2829" t="s">
        <v>4607</v>
      </c>
      <c r="C167" s="2918" t="s">
        <v>5899</v>
      </c>
    </row>
    <row r="168" spans="1:3">
      <c r="A168" s="2637" t="str">
        <f>translations!B168</f>
        <v>Feeding practices*</v>
      </c>
      <c r="B168" s="2829" t="s">
        <v>4608</v>
      </c>
      <c r="C168" s="2918" t="s">
        <v>5900</v>
      </c>
    </row>
    <row r="169" spans="1:3">
      <c r="A169" s="2637" t="str">
        <f>translations!B169</f>
        <v>Specific Agents*</v>
      </c>
      <c r="B169" s="2829" t="s">
        <v>4609</v>
      </c>
      <c r="C169" s="2918" t="s">
        <v>5901</v>
      </c>
    </row>
    <row r="170" spans="1:3">
      <c r="A170" s="2637" t="str">
        <f>translations!B170</f>
        <v>Breeding*</v>
      </c>
      <c r="B170" s="2829" t="s">
        <v>4610</v>
      </c>
      <c r="C170" s="2918" t="s">
        <v>5902</v>
      </c>
    </row>
    <row r="171" spans="1:3">
      <c r="A171" s="2637" t="str">
        <f>translations!B171</f>
        <v>in tonnes of product per year</v>
      </c>
      <c r="B171" s="2829" t="s">
        <v>4611</v>
      </c>
      <c r="C171" s="2918" t="s">
        <v>5903</v>
      </c>
    </row>
    <row r="172" spans="1:3">
      <c r="A172" s="2637" t="str">
        <f>translations!B172</f>
        <v>Dairy cattle</v>
      </c>
      <c r="B172" s="2829" t="s">
        <v>4613</v>
      </c>
      <c r="C172" s="2918" t="s">
        <v>5904</v>
      </c>
    </row>
    <row r="173" spans="1:3">
      <c r="A173" s="2637" t="str">
        <f>translations!B173</f>
        <v>Other cattle</v>
      </c>
      <c r="B173" s="2829" t="s">
        <v>4612</v>
      </c>
      <c r="C173" s="2918" t="s">
        <v>5905</v>
      </c>
    </row>
    <row r="174" spans="1:3">
      <c r="A174" s="2637" t="str">
        <f>translations!B174</f>
        <v>Buffalo</v>
      </c>
      <c r="B174" s="2829" t="s">
        <v>4614</v>
      </c>
      <c r="C174" s="2918" t="s">
        <v>5906</v>
      </c>
    </row>
    <row r="175" spans="1:3">
      <c r="A175" s="2637" t="str">
        <f>translations!B175</f>
        <v>Sheep</v>
      </c>
      <c r="B175" s="2829" t="s">
        <v>4615</v>
      </c>
      <c r="C175" s="2918" t="s">
        <v>5907</v>
      </c>
    </row>
    <row r="176" spans="1:3">
      <c r="A176" s="2637" t="str">
        <f>translations!B176</f>
        <v>Swine (Market)</v>
      </c>
      <c r="B176" s="2829" t="s">
        <v>4616</v>
      </c>
      <c r="C176" s="2918" t="s">
        <v>5908</v>
      </c>
    </row>
    <row r="177" spans="1:3">
      <c r="A177" s="2637" t="str">
        <f>translations!B177</f>
        <v>Swine (Breeding)</v>
      </c>
      <c r="B177" s="2829" t="s">
        <v>4617</v>
      </c>
      <c r="C177" s="2918" t="s">
        <v>5909</v>
      </c>
    </row>
    <row r="178" spans="1:3" ht="52.8">
      <c r="A178" s="2637" t="str">
        <f>translations!B178</f>
        <v>Feeding practices: e.g. more concentrates, adding certain oils or oilseeds to the diet, improving pasture quality,…</v>
      </c>
      <c r="B178" s="2829" t="s">
        <v>4618</v>
      </c>
      <c r="C178" s="2918" t="s">
        <v>5910</v>
      </c>
    </row>
    <row r="179" spans="1:3" ht="52.8">
      <c r="A179" s="2637" t="str">
        <f>translations!B179</f>
        <v>Specific agents: specific agents and dietary additives to reduces CH4 emisisons (Ionophores, vaccines, bST…)</v>
      </c>
      <c r="B179" s="2829" t="s">
        <v>4619</v>
      </c>
      <c r="C179" s="2918" t="s">
        <v>5911</v>
      </c>
    </row>
    <row r="180" spans="1:3" ht="52.8">
      <c r="A180" s="2637" t="str">
        <f>translations!B180</f>
        <v>Breeding: increasing productivity through breeding and better management practices (reduction in the number of replacement heifers)</v>
      </c>
      <c r="B180" s="2829" t="s">
        <v>4620</v>
      </c>
      <c r="C180" s="2918" t="s">
        <v>5912</v>
      </c>
    </row>
    <row r="181" spans="1:3">
      <c r="A181" s="2637" t="str">
        <f>translations!B181</f>
        <v>Total Livestock</v>
      </c>
      <c r="B181" s="2829" t="s">
        <v>4621</v>
      </c>
      <c r="C181" s="2918" t="s">
        <v>5913</v>
      </c>
    </row>
    <row r="182" spans="1:3">
      <c r="A182" s="2637" t="str">
        <f>translations!B182</f>
        <v>Corresponding soil C stocks</v>
      </c>
      <c r="B182" s="2829" t="s">
        <v>4622</v>
      </c>
      <c r="C182" s="2918" t="s">
        <v>5914</v>
      </c>
    </row>
    <row r="183" spans="1:3">
      <c r="A183" s="2637" t="str">
        <f>translations!B183</f>
        <v>Non degraded</v>
      </c>
      <c r="B183" s="2829" t="s">
        <v>2539</v>
      </c>
      <c r="C183" s="2918" t="s">
        <v>5675</v>
      </c>
    </row>
    <row r="184" spans="1:3">
      <c r="A184" s="2637" t="str">
        <f>translations!B184</f>
        <v>Severely Degraded</v>
      </c>
      <c r="B184" s="2829" t="s">
        <v>2540</v>
      </c>
      <c r="C184" s="2918" t="s">
        <v>5676</v>
      </c>
    </row>
    <row r="185" spans="1:3">
      <c r="A185" s="2637" t="str">
        <f>translations!B185</f>
        <v>Moderately Degraded</v>
      </c>
      <c r="B185" s="2829" t="s">
        <v>2541</v>
      </c>
      <c r="C185" s="2918" t="s">
        <v>5915</v>
      </c>
    </row>
    <row r="186" spans="1:3">
      <c r="A186" s="2637" t="str">
        <f>translations!B186</f>
        <v>Improved without inputs management</v>
      </c>
      <c r="B186" s="2829" t="s">
        <v>2538</v>
      </c>
      <c r="C186" s="2918" t="s">
        <v>5678</v>
      </c>
    </row>
    <row r="187" spans="1:3">
      <c r="A187" s="2637" t="str">
        <f>translations!B187</f>
        <v>Improved with inputs improvement</v>
      </c>
      <c r="B187" s="2829" t="s">
        <v>2542</v>
      </c>
      <c r="C187" s="2918" t="s">
        <v>5679</v>
      </c>
    </row>
    <row r="188" spans="1:3">
      <c r="A188" s="2637" t="str">
        <f>translations!B188</f>
        <v>Combustion</v>
      </c>
      <c r="B188" s="2829" t="s">
        <v>4623</v>
      </c>
      <c r="C188" s="2918" t="s">
        <v>5916</v>
      </c>
    </row>
    <row r="189" spans="1:3">
      <c r="A189" s="2637" t="str">
        <f>translations!B189</f>
        <v>(tC/ha)</v>
      </c>
      <c r="B189" s="2829" t="s">
        <v>1948</v>
      </c>
      <c r="C189" s="2918" t="s">
        <v>1948</v>
      </c>
    </row>
    <row r="190" spans="1:3" ht="26.4">
      <c r="A190" s="2637" t="str">
        <f>translations!B190</f>
        <v>% of pre-fire drymatter released</v>
      </c>
      <c r="B190" s="2829" t="s">
        <v>4624</v>
      </c>
      <c r="C190" s="2918" t="s">
        <v>5917</v>
      </c>
    </row>
    <row r="191" spans="1:3" ht="26.4">
      <c r="A191" s="2637" t="str">
        <f>translations!B191</f>
        <v>Mean annual temperature (MAT) of the region (in °C)</v>
      </c>
      <c r="B191" s="2829" t="s">
        <v>5403</v>
      </c>
      <c r="C191" s="2918" t="s">
        <v>5918</v>
      </c>
    </row>
    <row r="192" spans="1:3" ht="26.4">
      <c r="A192" s="2637" t="str">
        <f>translations!B192</f>
        <v>(temperature affect emissions from manure management)</v>
      </c>
      <c r="B192" s="2829" t="s">
        <v>5402</v>
      </c>
      <c r="C192" s="2918" t="s">
        <v>5919</v>
      </c>
    </row>
    <row r="193" spans="1:3">
      <c r="A193" s="2637" t="str">
        <f>translations!B193</f>
        <v>Region "type"</v>
      </c>
      <c r="B193" s="2829" t="s">
        <v>4626</v>
      </c>
      <c r="C193" s="2918" t="s">
        <v>5920</v>
      </c>
    </row>
    <row r="194" spans="1:3">
      <c r="A194" s="2637" t="str">
        <f>translations!B194</f>
        <v>(please select if possible)</v>
      </c>
      <c r="B194" s="2829" t="s">
        <v>4627</v>
      </c>
      <c r="C194" s="2918" t="s">
        <v>5921</v>
      </c>
    </row>
    <row r="195" spans="1:3" ht="26.4">
      <c r="A195" s="2637" t="str">
        <f>translations!B195</f>
        <v>Emission factors for N2O from manure</v>
      </c>
      <c r="B195" s="2829" t="s">
        <v>4628</v>
      </c>
      <c r="C195" s="2918" t="s">
        <v>5922</v>
      </c>
    </row>
    <row r="196" spans="1:3">
      <c r="A196" s="2637" t="str">
        <f>translations!B196</f>
        <v>(kg N-N2O/kg N)</v>
      </c>
      <c r="B196" s="2829" t="s">
        <v>1957</v>
      </c>
      <c r="C196" s="2918" t="s">
        <v>1957</v>
      </c>
    </row>
    <row r="197" spans="1:3">
      <c r="A197" s="2637" t="str">
        <f>translations!B197</f>
        <v>Pasture, range and paddock</v>
      </c>
      <c r="B197" s="2637" t="s">
        <v>4629</v>
      </c>
      <c r="C197" s="2918" t="s">
        <v>5923</v>
      </c>
    </row>
    <row r="198" spans="1:3">
      <c r="A198" s="2637" t="str">
        <f>translations!B198</f>
        <v>Other</v>
      </c>
      <c r="B198" s="2829" t="s">
        <v>4630</v>
      </c>
      <c r="C198" s="2918" t="s">
        <v>5924</v>
      </c>
    </row>
    <row r="199" spans="1:3">
      <c r="A199" s="2637" t="str">
        <f>translations!B199</f>
        <v>Enteric fermentation</v>
      </c>
      <c r="B199" s="2829" t="s">
        <v>4631</v>
      </c>
      <c r="C199" s="2918" t="s">
        <v>5925</v>
      </c>
    </row>
    <row r="200" spans="1:3">
      <c r="A200" s="2637" t="str">
        <f>translations!B200</f>
        <v>(kg CH4 per head/yr)</v>
      </c>
      <c r="B200" s="2829" t="s">
        <v>4632</v>
      </c>
      <c r="C200" s="2920" t="s">
        <v>6196</v>
      </c>
    </row>
    <row r="201" spans="1:3" ht="26.4">
      <c r="A201" s="2637" t="str">
        <f>translations!B201</f>
        <v xml:space="preserve">% correspondings to pasture, range and paddock systems </v>
      </c>
      <c r="B201" s="2829" t="s">
        <v>4633</v>
      </c>
      <c r="C201" s="2918" t="s">
        <v>5926</v>
      </c>
    </row>
    <row r="202" spans="1:3">
      <c r="A202" s="2637" t="str">
        <f>translations!B202</f>
        <v>Methane from manure management</v>
      </c>
      <c r="B202" s="2829" t="s">
        <v>4634</v>
      </c>
      <c r="C202" s="2918" t="s">
        <v>5927</v>
      </c>
    </row>
    <row r="203" spans="1:3">
      <c r="A203" s="2637">
        <f>translations!B203</f>
        <v>0</v>
      </c>
      <c r="B203" s="2829"/>
    </row>
    <row r="204" spans="1:3">
      <c r="A204" s="2637">
        <f>translations!B204</f>
        <v>0</v>
      </c>
      <c r="B204" s="2829"/>
    </row>
    <row r="205" spans="1:3">
      <c r="A205" s="2637">
        <f>translations!B205</f>
        <v>0</v>
      </c>
      <c r="B205" s="2829"/>
    </row>
    <row r="206" spans="1:3">
      <c r="A206" s="2637">
        <f>translations!B206</f>
        <v>0</v>
      </c>
      <c r="B206" s="2829"/>
    </row>
    <row r="207" spans="1:3">
      <c r="A207" s="2637">
        <f>translations!B207</f>
        <v>0</v>
      </c>
      <c r="B207" s="2829"/>
    </row>
    <row r="208" spans="1:3">
      <c r="A208" s="2637">
        <f>translations!B208</f>
        <v>0</v>
      </c>
      <c r="B208" s="2829"/>
    </row>
    <row r="209" spans="1:12" s="2787" customFormat="1">
      <c r="A209" s="2640" t="str">
        <f>translations!B209</f>
        <v>English</v>
      </c>
      <c r="B209" s="2833" t="str">
        <f>B1</f>
        <v>Português</v>
      </c>
      <c r="C209" s="3024" t="s">
        <v>5792</v>
      </c>
      <c r="D209" s="2789" t="str">
        <f t="shared" ref="D209:L209" si="3">D1</f>
        <v>Lang002</v>
      </c>
      <c r="E209" s="2789" t="str">
        <f t="shared" si="3"/>
        <v>Lang003</v>
      </c>
      <c r="F209" s="2789" t="str">
        <f t="shared" si="3"/>
        <v>Lang004</v>
      </c>
      <c r="G209" s="2789" t="str">
        <f t="shared" si="3"/>
        <v>Lang005</v>
      </c>
      <c r="H209" s="2789" t="str">
        <f t="shared" si="3"/>
        <v>Lang006</v>
      </c>
      <c r="I209" s="2789" t="str">
        <f t="shared" si="3"/>
        <v>Lang007</v>
      </c>
      <c r="J209" s="2789" t="str">
        <f t="shared" si="3"/>
        <v>Lang008</v>
      </c>
      <c r="K209" s="2789" t="str">
        <f t="shared" si="3"/>
        <v>Lang009</v>
      </c>
      <c r="L209" s="2789" t="str">
        <f t="shared" si="3"/>
        <v>Lang010</v>
      </c>
    </row>
    <row r="210" spans="1:12">
      <c r="A210" s="2637" t="str">
        <f>translations!B210</f>
        <v>5.1. Forest degradation and Management</v>
      </c>
      <c r="B210" s="2829" t="s">
        <v>4638</v>
      </c>
      <c r="C210" s="2918" t="s">
        <v>5928</v>
      </c>
    </row>
    <row r="211" spans="1:12">
      <c r="A211" s="2637" t="str">
        <f>translations!B211</f>
        <v>Degradation level of the vegetation</v>
      </c>
      <c r="B211" s="2829" t="s">
        <v>4635</v>
      </c>
      <c r="C211" s="2918" t="s">
        <v>5929</v>
      </c>
    </row>
    <row r="212" spans="1:12">
      <c r="A212" s="2637" t="str">
        <f>translations!B212</f>
        <v>At the end</v>
      </c>
      <c r="B212" s="2829" t="s">
        <v>4636</v>
      </c>
      <c r="C212" s="2918" t="s">
        <v>5930</v>
      </c>
    </row>
    <row r="213" spans="1:12">
      <c r="A213" s="2637" t="str">
        <f>translations!B213</f>
        <v>that will be degraded</v>
      </c>
      <c r="B213" s="2829" t="s">
        <v>4639</v>
      </c>
      <c r="C213" s="2918" t="s">
        <v>5931</v>
      </c>
    </row>
    <row r="214" spans="1:12">
      <c r="A214" s="2637" t="str">
        <f>translations!B214</f>
        <v>Fire occurrence and severity</v>
      </c>
      <c r="B214" s="2829" t="s">
        <v>4637</v>
      </c>
      <c r="C214" s="2918" t="s">
        <v>5932</v>
      </c>
    </row>
    <row r="215" spans="1:12">
      <c r="A215" s="2637" t="str">
        <f>translations!B215</f>
        <v>Total Forest Degradation and Management</v>
      </c>
      <c r="B215" s="2829" t="s">
        <v>4640</v>
      </c>
      <c r="C215" s="2918" t="s">
        <v>5933</v>
      </c>
    </row>
    <row r="216" spans="1:12">
      <c r="A216" s="2637" t="str">
        <f>translations!B216</f>
        <v>(% burnt)</v>
      </c>
      <c r="B216" s="2829" t="s">
        <v>4645</v>
      </c>
      <c r="C216" s="2918" t="s">
        <v>5934</v>
      </c>
    </row>
    <row r="217" spans="1:12">
      <c r="A217" s="2637" t="str">
        <f>translations!B217</f>
        <v>Periodicity</v>
      </c>
      <c r="B217" s="2829" t="s">
        <v>4643</v>
      </c>
      <c r="C217" s="2918" t="s">
        <v>5890</v>
      </c>
    </row>
    <row r="218" spans="1:12">
      <c r="A218" s="2637" t="str">
        <f>translations!B218</f>
        <v>Impact</v>
      </c>
      <c r="B218" s="2829" t="s">
        <v>4644</v>
      </c>
      <c r="C218" s="2918" t="s">
        <v>5935</v>
      </c>
    </row>
    <row r="219" spans="1:12" ht="26.4">
      <c r="A219" s="2637" t="str">
        <f>translations!B219</f>
        <v>5.2. Degradation of organic soils (peatlands)</v>
      </c>
      <c r="B219" s="2829" t="s">
        <v>4641</v>
      </c>
      <c r="C219" s="2918" t="s">
        <v>5936</v>
      </c>
    </row>
    <row r="220" spans="1:12" ht="26.4">
      <c r="A220" s="2637" t="str">
        <f>translations!B220</f>
        <v>5.2.1. Drainage of organic soils (peatlands)</v>
      </c>
      <c r="B220" s="2829" t="s">
        <v>4642</v>
      </c>
      <c r="C220" s="2918" t="s">
        <v>5937</v>
      </c>
    </row>
    <row r="221" spans="1:12">
      <c r="A221" s="2637" t="str">
        <f>translations!B221</f>
        <v>concerned by drainage</v>
      </c>
      <c r="B221" s="2829" t="s">
        <v>4646</v>
      </c>
      <c r="C221" s="2918" t="s">
        <v>5938</v>
      </c>
    </row>
    <row r="222" spans="1:12">
      <c r="A222" s="2637" t="str">
        <f>translations!B222</f>
        <v>Surfaces of drained organic soils (ha)</v>
      </c>
      <c r="B222" t="s">
        <v>4651</v>
      </c>
      <c r="C222" s="2918" t="s">
        <v>5939</v>
      </c>
    </row>
    <row r="223" spans="1:12">
      <c r="A223" s="2637" t="str">
        <f>translations!B223</f>
        <v>Managed Forest</v>
      </c>
      <c r="B223" s="2829" t="s">
        <v>4650</v>
      </c>
      <c r="C223" s="2918" t="s">
        <v>5940</v>
      </c>
    </row>
    <row r="224" spans="1:12">
      <c r="A224" s="2637" t="str">
        <f>translations!B224</f>
        <v>Annual</v>
      </c>
      <c r="B224" s="2829" t="s">
        <v>4647</v>
      </c>
      <c r="C224" s="2918" t="s">
        <v>5941</v>
      </c>
    </row>
    <row r="225" spans="1:3">
      <c r="A225" s="2637" t="str">
        <f>translations!B225</f>
        <v>Perennial</v>
      </c>
      <c r="B225" s="2829" t="s">
        <v>4648</v>
      </c>
      <c r="C225" s="2918" t="s">
        <v>5942</v>
      </c>
    </row>
    <row r="226" spans="1:3">
      <c r="A226" s="2637" t="str">
        <f>translations!B226</f>
        <v>Grassland</v>
      </c>
      <c r="B226" s="2829" t="s">
        <v>2501</v>
      </c>
      <c r="C226" s="2918" t="s">
        <v>5637</v>
      </c>
    </row>
    <row r="227" spans="1:3">
      <c r="A227" s="2637" t="str">
        <f>translations!B227</f>
        <v>Total for Drainage</v>
      </c>
      <c r="B227" s="2829" t="s">
        <v>4649</v>
      </c>
      <c r="C227" s="2918" t="s">
        <v>5943</v>
      </c>
    </row>
    <row r="228" spans="1:3">
      <c r="A228" s="2637" t="str">
        <f>translations!B228</f>
        <v>5.2.2. Active peat extraction</v>
      </c>
      <c r="B228" s="2829" t="s">
        <v>4656</v>
      </c>
      <c r="C228" s="2918" t="s">
        <v>5944</v>
      </c>
    </row>
    <row r="229" spans="1:3">
      <c r="A229" s="2637" t="str">
        <f>translations!B229</f>
        <v>Type of peat</v>
      </c>
      <c r="B229" s="2829" t="s">
        <v>4652</v>
      </c>
      <c r="C229" s="2918" t="s">
        <v>5945</v>
      </c>
    </row>
    <row r="230" spans="1:3">
      <c r="A230" s="2637" t="str">
        <f>translations!B230</f>
        <v>Nutrient-poor peat</v>
      </c>
      <c r="B230" s="2829" t="s">
        <v>4657</v>
      </c>
      <c r="C230" s="2918" t="s">
        <v>5946</v>
      </c>
    </row>
    <row r="231" spans="1:3">
      <c r="A231" s="2637" t="str">
        <f>translations!B231</f>
        <v>Nutrient Rich</v>
      </c>
      <c r="B231" s="2829" t="s">
        <v>4658</v>
      </c>
      <c r="C231" s="2918" t="s">
        <v>5947</v>
      </c>
    </row>
    <row r="232" spans="1:3">
      <c r="A232" s="2637" t="str">
        <f>translations!B232</f>
        <v>Total for Extraction</v>
      </c>
      <c r="B232" s="2829" t="s">
        <v>4659</v>
      </c>
      <c r="C232" s="2918" t="s">
        <v>5948</v>
      </c>
    </row>
    <row r="233" spans="1:3" ht="26.4">
      <c r="A233" s="2637" t="str">
        <f>translations!B233</f>
        <v>Degradation level (% of biomass lost)</v>
      </c>
      <c r="B233" s="2829" t="s">
        <v>4653</v>
      </c>
      <c r="C233" s="2918" t="s">
        <v>5949</v>
      </c>
    </row>
    <row r="234" spans="1:3" ht="26.4">
      <c r="A234" s="2637" t="str">
        <f>translations!B234</f>
        <v>Emissions from loss of C associated with drainage of organic soils</v>
      </c>
      <c r="B234" s="2829" t="s">
        <v>4660</v>
      </c>
      <c r="C234" s="2918" t="s">
        <v>5950</v>
      </c>
    </row>
    <row r="235" spans="1:3">
      <c r="A235" s="2637" t="str">
        <f>translations!B235</f>
        <v>Emission factor (t C/ha/yr)</v>
      </c>
      <c r="B235" s="2829" t="s">
        <v>4654</v>
      </c>
      <c r="C235" s="2920" t="s">
        <v>6197</v>
      </c>
    </row>
    <row r="236" spans="1:3">
      <c r="A236" s="2637" t="str">
        <f>translations!B236</f>
        <v>On-site Emissions from active peat extraction</v>
      </c>
      <c r="B236" s="2829" t="s">
        <v>4661</v>
      </c>
      <c r="C236" s="2918" t="s">
        <v>5951</v>
      </c>
    </row>
    <row r="237" spans="1:3">
      <c r="A237" s="2637" t="str">
        <f>translations!B237</f>
        <v>CO2 Emission factor (t C/ha/yr)</v>
      </c>
      <c r="B237" s="2829" t="s">
        <v>4655</v>
      </c>
      <c r="C237" s="2920" t="s">
        <v>6198</v>
      </c>
    </row>
    <row r="238" spans="1:3" ht="26.4">
      <c r="A238" s="2637" t="str">
        <f>translations!B238</f>
        <v>N2O Emission factor (kg N2O-N/ha/yr)</v>
      </c>
      <c r="B238" s="2829" t="s">
        <v>4662</v>
      </c>
      <c r="C238" s="2920" t="s">
        <v>6199</v>
      </c>
    </row>
    <row r="239" spans="1:3">
      <c r="A239" s="2637">
        <f>translations!B239</f>
        <v>0</v>
      </c>
      <c r="B239" s="2829"/>
    </row>
    <row r="240" spans="1:3">
      <c r="A240" s="2637">
        <f>translations!B240</f>
        <v>0</v>
      </c>
      <c r="B240" s="2829"/>
    </row>
    <row r="241" spans="1:12">
      <c r="A241" s="2637">
        <f>translations!B241</f>
        <v>0</v>
      </c>
      <c r="B241" s="2829"/>
    </row>
    <row r="242" spans="1:12">
      <c r="A242" s="2637">
        <f>translations!B242</f>
        <v>0</v>
      </c>
      <c r="B242" s="2829"/>
    </row>
    <row r="243" spans="1:12">
      <c r="A243" s="2637">
        <f>translations!B243</f>
        <v>0</v>
      </c>
      <c r="B243" s="2829"/>
    </row>
    <row r="244" spans="1:12">
      <c r="A244" s="2637">
        <f>translations!B244</f>
        <v>0</v>
      </c>
      <c r="B244" s="2829"/>
    </row>
    <row r="245" spans="1:12">
      <c r="A245" s="2637">
        <f>translations!B245</f>
        <v>0</v>
      </c>
      <c r="B245" s="2829"/>
    </row>
    <row r="246" spans="1:12">
      <c r="A246" s="2637">
        <f>translations!B246</f>
        <v>0</v>
      </c>
      <c r="B246" s="2829"/>
    </row>
    <row r="247" spans="1:12">
      <c r="A247" s="2637">
        <f>translations!B247</f>
        <v>0</v>
      </c>
      <c r="B247" s="2829"/>
    </row>
    <row r="248" spans="1:12">
      <c r="A248" s="2637">
        <f>translations!B248</f>
        <v>0</v>
      </c>
      <c r="B248" s="2829"/>
    </row>
    <row r="249" spans="1:12">
      <c r="A249" s="2637">
        <f>translations!B249</f>
        <v>0</v>
      </c>
      <c r="B249" s="2829"/>
    </row>
    <row r="250" spans="1:12">
      <c r="A250" s="2637">
        <f>translations!B250</f>
        <v>0</v>
      </c>
      <c r="B250" s="2829"/>
    </row>
    <row r="251" spans="1:12" s="2787" customFormat="1">
      <c r="A251" s="2640" t="str">
        <f>translations!B251</f>
        <v>English</v>
      </c>
      <c r="B251" s="2833" t="str">
        <f>B1</f>
        <v>Português</v>
      </c>
      <c r="C251" s="3024" t="s">
        <v>5792</v>
      </c>
      <c r="D251" s="2789" t="str">
        <f t="shared" ref="D251:L251" si="4">D1</f>
        <v>Lang002</v>
      </c>
      <c r="E251" s="2789" t="str">
        <f t="shared" si="4"/>
        <v>Lang003</v>
      </c>
      <c r="F251" s="2789" t="str">
        <f t="shared" si="4"/>
        <v>Lang004</v>
      </c>
      <c r="G251" s="2789" t="str">
        <f t="shared" si="4"/>
        <v>Lang005</v>
      </c>
      <c r="H251" s="2789" t="str">
        <f t="shared" si="4"/>
        <v>Lang006</v>
      </c>
      <c r="I251" s="2789" t="str">
        <f t="shared" si="4"/>
        <v>Lang007</v>
      </c>
      <c r="J251" s="2789" t="str">
        <f t="shared" si="4"/>
        <v>Lang008</v>
      </c>
      <c r="K251" s="2789" t="str">
        <f t="shared" si="4"/>
        <v>Lang009</v>
      </c>
      <c r="L251" s="2789" t="str">
        <f t="shared" si="4"/>
        <v>Lang010</v>
      </c>
    </row>
    <row r="252" spans="1:12" ht="26.4">
      <c r="A252" s="2637" t="str">
        <f>translations!B252</f>
        <v>6.1. Inputs (liming, fertilizers, pesticides, herbicides,…)</v>
      </c>
      <c r="B252" s="2829" t="s">
        <v>4663</v>
      </c>
      <c r="C252" s="2918" t="s">
        <v>5952</v>
      </c>
    </row>
    <row r="253" spans="1:12">
      <c r="A253" s="2637" t="str">
        <f>translations!B253</f>
        <v>Description and unit to report</v>
      </c>
      <c r="B253" s="2829" t="s">
        <v>4664</v>
      </c>
      <c r="C253" s="2918" t="s">
        <v>5953</v>
      </c>
    </row>
    <row r="254" spans="1:12">
      <c r="A254" s="2637" t="str">
        <f>translations!B254</f>
        <v>Amount applied per year</v>
      </c>
      <c r="B254" s="2829" t="s">
        <v>4665</v>
      </c>
      <c r="C254" s="2918" t="s">
        <v>5954</v>
      </c>
    </row>
    <row r="255" spans="1:12">
      <c r="A255" s="2637" t="str">
        <f>translations!B255</f>
        <v>Total emissions at field level (tCO2-eq)</v>
      </c>
      <c r="B255" s="2829" t="s">
        <v>4666</v>
      </c>
      <c r="C255" s="2918" t="s">
        <v>5955</v>
      </c>
    </row>
    <row r="256" spans="1:12" ht="39.6">
      <c r="A256" s="2637" t="str">
        <f>translations!B256</f>
        <v>Emissions from production, transportation, storage and transfer (tCO2-eq)</v>
      </c>
      <c r="B256" s="2829" t="s">
        <v>4667</v>
      </c>
      <c r="C256" s="2918" t="s">
        <v>5956</v>
      </c>
    </row>
    <row r="257" spans="1:3">
      <c r="A257" s="2637" t="str">
        <f>translations!B257</f>
        <v>Lime application</v>
      </c>
      <c r="B257" s="2829" t="s">
        <v>4668</v>
      </c>
      <c r="C257" s="2918" t="s">
        <v>5957</v>
      </c>
    </row>
    <row r="258" spans="1:3">
      <c r="A258" s="2637" t="str">
        <f>translations!B258</f>
        <v>Limestone (tonnes per year)</v>
      </c>
      <c r="B258" s="2829" t="s">
        <v>4669</v>
      </c>
      <c r="C258" s="2918" t="s">
        <v>5958</v>
      </c>
    </row>
    <row r="259" spans="1:3">
      <c r="A259" s="2637" t="str">
        <f>translations!B259</f>
        <v>Dolomite tonnes per year)</v>
      </c>
      <c r="B259" s="2829" t="s">
        <v>4670</v>
      </c>
      <c r="C259" s="2918" t="s">
        <v>5959</v>
      </c>
    </row>
    <row r="260" spans="1:3">
      <c r="A260" s="2637" t="str">
        <f>translations!B260</f>
        <v>not-specified (tonnes per year)</v>
      </c>
      <c r="B260" s="2829" t="s">
        <v>4671</v>
      </c>
      <c r="C260" s="2918" t="s">
        <v>5960</v>
      </c>
    </row>
    <row r="261" spans="1:3">
      <c r="A261" s="2637" t="str">
        <f>translations!B261</f>
        <v>Fertilizers</v>
      </c>
      <c r="B261" s="2829" t="s">
        <v>4672</v>
      </c>
      <c r="C261" s="2918" t="s">
        <v>5961</v>
      </c>
    </row>
    <row r="262" spans="1:3" ht="26.4">
      <c r="A262" s="2637" t="str">
        <f>translations!B262</f>
        <v>Urea (tonnes of N per year - Urea has 46.7% of N)</v>
      </c>
      <c r="B262" s="2829" t="s">
        <v>4673</v>
      </c>
      <c r="C262" s="2918" t="s">
        <v>6138</v>
      </c>
    </row>
    <row r="263" spans="1:3" ht="26.4">
      <c r="A263" s="2637" t="str">
        <f>translations!B263</f>
        <v>Other N-fertilizers (tonnes of N per year)</v>
      </c>
      <c r="B263" s="2829" t="s">
        <v>4674</v>
      </c>
      <c r="C263" s="2918" t="s">
        <v>6139</v>
      </c>
    </row>
    <row r="264" spans="1:3" ht="26.4">
      <c r="A264" s="2637" t="str">
        <f>translations!B264</f>
        <v>N-fertilizer in irrigated rice (tonnes of N per year)</v>
      </c>
      <c r="B264" s="2829" t="s">
        <v>4675</v>
      </c>
      <c r="C264" s="2918" t="s">
        <v>6140</v>
      </c>
    </row>
    <row r="265" spans="1:3">
      <c r="A265" s="2637" t="str">
        <f>translations!B265</f>
        <v>Sewage (tonnes of N per year)</v>
      </c>
      <c r="B265" s="2829" t="s">
        <v>4676</v>
      </c>
      <c r="C265" s="2918" t="s">
        <v>6141</v>
      </c>
    </row>
    <row r="266" spans="1:3">
      <c r="A266" s="2637" t="str">
        <f>translations!B266</f>
        <v>Compost (tonnes of N per year)</v>
      </c>
      <c r="B266" s="2829" t="s">
        <v>4677</v>
      </c>
      <c r="C266" s="2918" t="s">
        <v>6142</v>
      </c>
    </row>
    <row r="267" spans="1:3">
      <c r="A267" s="2637" t="str">
        <f>translations!B267</f>
        <v>Phosphorus (tonnes of P2O5 per year)</v>
      </c>
      <c r="B267" s="2829" t="s">
        <v>4678</v>
      </c>
      <c r="C267" s="2918" t="s">
        <v>5962</v>
      </c>
    </row>
    <row r="268" spans="1:3">
      <c r="A268" s="2637" t="str">
        <f>translations!B268</f>
        <v>Potassium  (tonnes of K2O per year)</v>
      </c>
      <c r="B268" s="2829" t="s">
        <v>4679</v>
      </c>
      <c r="C268" s="2918" t="s">
        <v>5963</v>
      </c>
    </row>
    <row r="269" spans="1:3">
      <c r="A269" s="2637" t="str">
        <f>translations!B269</f>
        <v>Pesticides</v>
      </c>
      <c r="B269" s="2829" t="s">
        <v>4879</v>
      </c>
      <c r="C269" s="2918" t="s">
        <v>5964</v>
      </c>
    </row>
    <row r="270" spans="1:3" ht="26.4">
      <c r="A270" s="2637" t="str">
        <f>translations!B270</f>
        <v>Herbicides (tonnes of active ingredient per year)</v>
      </c>
      <c r="B270" s="2829" t="s">
        <v>5263</v>
      </c>
      <c r="C270" s="2918" t="s">
        <v>5965</v>
      </c>
    </row>
    <row r="271" spans="1:3" ht="26.4">
      <c r="A271" s="2637" t="str">
        <f>translations!B271</f>
        <v>Insecticides (tonnes of active ingredient per year)</v>
      </c>
      <c r="B271" s="2829" t="s">
        <v>5264</v>
      </c>
      <c r="C271" s="2918" t="s">
        <v>5966</v>
      </c>
    </row>
    <row r="272" spans="1:3" ht="26.4">
      <c r="A272" s="2637" t="str">
        <f>translations!B272</f>
        <v>Fungicides (tonnes of active ingredient per year)</v>
      </c>
      <c r="B272" s="2829" t="s">
        <v>5265</v>
      </c>
      <c r="C272" s="2918" t="s">
        <v>5967</v>
      </c>
    </row>
    <row r="273" spans="1:3">
      <c r="A273" s="2637" t="str">
        <f>translations!B273</f>
        <v>Total Inputs</v>
      </c>
      <c r="B273" s="2829" t="s">
        <v>5266</v>
      </c>
      <c r="C273" s="2918" t="s">
        <v>5968</v>
      </c>
    </row>
    <row r="274" spans="1:3">
      <c r="A274" s="2637" t="str">
        <f>translations!B274</f>
        <v>CO2 emissions</v>
      </c>
      <c r="B274" s="2829" t="s">
        <v>5267</v>
      </c>
      <c r="C274" s="2918" t="s">
        <v>5969</v>
      </c>
    </row>
    <row r="275" spans="1:3">
      <c r="A275" s="2637" t="str">
        <f>translations!B275</f>
        <v>N2O emissions</v>
      </c>
      <c r="B275" s="2829" t="s">
        <v>5268</v>
      </c>
      <c r="C275" s="2918" t="s">
        <v>5970</v>
      </c>
    </row>
    <row r="276" spans="1:3" ht="26.4">
      <c r="A276" s="2637" t="str">
        <f>translations!B276</f>
        <v>6.2. Energy consumption (electricity, fuel,…)</v>
      </c>
      <c r="B276" s="2829" t="s">
        <v>5269</v>
      </c>
      <c r="C276" s="2918" t="s">
        <v>5971</v>
      </c>
    </row>
    <row r="277" spans="1:3">
      <c r="A277" s="2637" t="str">
        <f>translations!B277</f>
        <v>Quantity consumed per year</v>
      </c>
      <c r="B277" s="2829" t="s">
        <v>5270</v>
      </c>
      <c r="C277" s="2918" t="s">
        <v>5972</v>
      </c>
    </row>
    <row r="278" spans="1:3">
      <c r="A278" s="2637" t="str">
        <f>translations!B278</f>
        <v>Electricity (MWh per year)</v>
      </c>
      <c r="B278" s="2829" t="s">
        <v>5271</v>
      </c>
      <c r="C278" s="2918" t="s">
        <v>5973</v>
      </c>
    </row>
    <row r="279" spans="1:3">
      <c r="A279" s="2637" t="str">
        <f>translations!B279</f>
        <v>(please select the country of origin)</v>
      </c>
      <c r="B279" s="2829" t="s">
        <v>5272</v>
      </c>
      <c r="C279" s="2918" t="s">
        <v>5974</v>
      </c>
    </row>
    <row r="280" spans="1:3">
      <c r="A280" s="2637" t="str">
        <f>translations!B280</f>
        <v>Liquide or gaseous (in m3 per year)</v>
      </c>
      <c r="B280" s="2829" t="s">
        <v>5276</v>
      </c>
      <c r="C280" s="2918" t="s">
        <v>5975</v>
      </c>
    </row>
    <row r="281" spans="1:3">
      <c r="A281" s="2637" t="str">
        <f>translations!B281</f>
        <v>Gasoil/Diesel</v>
      </c>
      <c r="B281" s="2829" t="s">
        <v>5273</v>
      </c>
      <c r="C281" s="2918" t="s">
        <v>5976</v>
      </c>
    </row>
    <row r="282" spans="1:3">
      <c r="A282" s="2637" t="str">
        <f>translations!B282</f>
        <v>Gasoline</v>
      </c>
      <c r="B282" s="2829" t="s">
        <v>4890</v>
      </c>
      <c r="C282" s="2918" t="s">
        <v>5977</v>
      </c>
    </row>
    <row r="283" spans="1:3">
      <c r="A283" s="2637" t="str">
        <f>translations!B283</f>
        <v>Gas (LPG/ natural)</v>
      </c>
      <c r="B283" s="2829" t="s">
        <v>5274</v>
      </c>
      <c r="C283" s="2918" t="s">
        <v>5978</v>
      </c>
    </row>
    <row r="284" spans="1:3">
      <c r="A284" s="2637" t="str">
        <f>translations!B284</f>
        <v>Butane</v>
      </c>
      <c r="B284" s="2829" t="s">
        <v>5277</v>
      </c>
      <c r="C284" s="2918" t="s">
        <v>5979</v>
      </c>
    </row>
    <row r="285" spans="1:3">
      <c r="A285" s="2637" t="str">
        <f>translations!B285</f>
        <v>Propane</v>
      </c>
      <c r="B285" s="2829" t="s">
        <v>5278</v>
      </c>
      <c r="C285" s="2918" t="s">
        <v>5980</v>
      </c>
    </row>
    <row r="286" spans="1:3">
      <c r="A286" s="2637" t="str">
        <f>translations!B286</f>
        <v>Ethanol</v>
      </c>
      <c r="B286" s="2829" t="s">
        <v>4894</v>
      </c>
      <c r="C286" s="2918" t="s">
        <v>225</v>
      </c>
    </row>
    <row r="287" spans="1:3">
      <c r="A287" s="2637" t="str">
        <f>translations!B287</f>
        <v>User defined (Tier 2):</v>
      </c>
      <c r="B287" s="2829" t="s">
        <v>5275</v>
      </c>
      <c r="C287" s="2920" t="s">
        <v>6207</v>
      </c>
    </row>
    <row r="288" spans="1:3" ht="26.4">
      <c r="A288" s="2637" t="str">
        <f>translations!B288</f>
        <v>Solid (in tonnes of dry matter per year)</v>
      </c>
      <c r="B288" s="2829" t="s">
        <v>5279</v>
      </c>
      <c r="C288" s="2918" t="s">
        <v>5981</v>
      </c>
    </row>
    <row r="289" spans="1:3">
      <c r="A289" s="2637" t="str">
        <f>translations!B289</f>
        <v>Wood</v>
      </c>
      <c r="B289" s="2829" t="s">
        <v>5283</v>
      </c>
      <c r="C289" s="2918" t="s">
        <v>5982</v>
      </c>
    </row>
    <row r="290" spans="1:3">
      <c r="A290" s="2637" t="str">
        <f>translations!B290</f>
        <v>Peat</v>
      </c>
      <c r="B290" s="2829" t="s">
        <v>5284</v>
      </c>
      <c r="C290" s="2918" t="s">
        <v>5983</v>
      </c>
    </row>
    <row r="291" spans="1:3">
      <c r="A291" s="2637" t="str">
        <f>translations!B291</f>
        <v>Total Energy</v>
      </c>
      <c r="B291" s="2829" t="s">
        <v>5285</v>
      </c>
      <c r="C291" s="2918" t="s">
        <v>5984</v>
      </c>
    </row>
    <row r="292" spans="1:3" ht="26.4">
      <c r="A292" s="2637" t="str">
        <f>translations!B292</f>
        <v>6.3. Construction of new infrastructure (irrigation systems, buildings, roads)</v>
      </c>
      <c r="B292" s="2829" t="s">
        <v>5280</v>
      </c>
      <c r="C292" s="2918" t="s">
        <v>5985</v>
      </c>
    </row>
    <row r="293" spans="1:3">
      <c r="A293" s="2637" t="str">
        <f>translations!B293</f>
        <v>Surfaces</v>
      </c>
      <c r="B293" s="2829" t="s">
        <v>5286</v>
      </c>
      <c r="C293" s="2918" t="s">
        <v>5986</v>
      </c>
    </row>
    <row r="294" spans="1:3">
      <c r="A294" s="2637" t="str">
        <f>translations!B294</f>
        <v>Irrigation systems (in ha)</v>
      </c>
      <c r="B294" s="2829" t="s">
        <v>5281</v>
      </c>
      <c r="C294" s="2918" t="s">
        <v>5987</v>
      </c>
    </row>
    <row r="295" spans="1:3">
      <c r="A295" s="2637" t="str">
        <f>translations!B295</f>
        <v>Buildings and roads (in m2)</v>
      </c>
      <c r="B295" s="2829" t="s">
        <v>5282</v>
      </c>
      <c r="C295" s="2918" t="s">
        <v>5988</v>
      </c>
    </row>
    <row r="296" spans="1:3">
      <c r="A296" s="2637" t="str">
        <f>translations!B296</f>
        <v>*IRRS = Irrigation Runoff Return System</v>
      </c>
      <c r="B296" s="2829" t="s">
        <v>5296</v>
      </c>
      <c r="C296" s="2918" t="s">
        <v>5989</v>
      </c>
    </row>
    <row r="297" spans="1:3">
      <c r="A297" s="2637" t="str">
        <f>translations!B297</f>
        <v>Total Construction</v>
      </c>
      <c r="B297" s="2829" t="s">
        <v>5297</v>
      </c>
      <c r="C297" s="2918" t="s">
        <v>5990</v>
      </c>
    </row>
    <row r="298" spans="1:3">
      <c r="A298" s="2637" t="str">
        <f>translations!B298</f>
        <v>Emission factors</v>
      </c>
      <c r="B298" s="2829" t="s">
        <v>5298</v>
      </c>
      <c r="C298" s="2918" t="s">
        <v>5991</v>
      </c>
    </row>
    <row r="299" spans="1:3">
      <c r="A299" s="2637" t="str">
        <f>translations!B299</f>
        <v>CO2 emissions</v>
      </c>
      <c r="B299" s="2829" t="s">
        <v>5267</v>
      </c>
      <c r="C299" s="2918" t="s">
        <v>5992</v>
      </c>
    </row>
    <row r="300" spans="1:3">
      <c r="A300" s="2637" t="str">
        <f>translations!B300</f>
        <v>N2O emissions</v>
      </c>
      <c r="B300" s="2829" t="s">
        <v>5268</v>
      </c>
      <c r="C300" s="2918" t="s">
        <v>5970</v>
      </c>
    </row>
    <row r="301" spans="1:3">
      <c r="A301" s="2637" t="str">
        <f>translations!B301</f>
        <v xml:space="preserve">Emissions at field level </v>
      </c>
      <c r="B301" s="2829" t="s">
        <v>5299</v>
      </c>
      <c r="C301" s="2918" t="s">
        <v>5993</v>
      </c>
    </row>
    <row r="302" spans="1:3" ht="26.4">
      <c r="A302" s="2637" t="str">
        <f>translations!B302</f>
        <v>Emissions from production, transportation, storage and transfer</v>
      </c>
      <c r="B302" s="2829" t="s">
        <v>5308</v>
      </c>
      <c r="C302" s="2918" t="s">
        <v>5994</v>
      </c>
    </row>
    <row r="303" spans="1:3">
      <c r="A303" s="2637" t="str">
        <f>translations!B303</f>
        <v>Unit</v>
      </c>
      <c r="B303" s="2829" t="s">
        <v>5309</v>
      </c>
      <c r="C303" s="2918" t="s">
        <v>5995</v>
      </c>
    </row>
    <row r="304" spans="1:3">
      <c r="A304" s="2637" t="str">
        <f>translations!B304</f>
        <v>tC/t lime</v>
      </c>
      <c r="B304" s="2829" t="s">
        <v>5300</v>
      </c>
      <c r="C304" s="2918" t="s">
        <v>5996</v>
      </c>
    </row>
    <row r="305" spans="1:3">
      <c r="A305" s="2637" t="str">
        <f>translations!B305</f>
        <v>tCO2/t CaCO3</v>
      </c>
      <c r="B305" s="2829" t="s">
        <v>5301</v>
      </c>
      <c r="C305" s="2918" t="s">
        <v>2091</v>
      </c>
    </row>
    <row r="306" spans="1:3">
      <c r="A306" s="2637" t="str">
        <f>translations!B306</f>
        <v>tC/t Urea</v>
      </c>
      <c r="B306" s="2829" t="s">
        <v>5302</v>
      </c>
      <c r="C306" s="2918" t="s">
        <v>1581</v>
      </c>
    </row>
    <row r="307" spans="1:3">
      <c r="A307" s="2637" t="str">
        <f>translations!B307</f>
        <v>kg N-N2O/kg N</v>
      </c>
      <c r="B307" s="2829" t="s">
        <v>5303</v>
      </c>
      <c r="C307" s="2918" t="s">
        <v>2094</v>
      </c>
    </row>
    <row r="308" spans="1:3">
      <c r="A308" s="2637" t="str">
        <f>translations!B308</f>
        <v>tCO2/t N</v>
      </c>
      <c r="B308" s="2829" t="s">
        <v>5304</v>
      </c>
      <c r="C308" s="2918" t="s">
        <v>2095</v>
      </c>
    </row>
    <row r="309" spans="1:3">
      <c r="A309" s="2637" t="str">
        <f>translations!B309</f>
        <v>tCO2/t P2O5</v>
      </c>
      <c r="B309" s="2829" t="s">
        <v>5305</v>
      </c>
      <c r="C309" s="2918" t="s">
        <v>2096</v>
      </c>
    </row>
    <row r="310" spans="1:3">
      <c r="A310" s="2637" t="str">
        <f>translations!B310</f>
        <v>tCO2/t K2O</v>
      </c>
      <c r="B310" s="2829" t="s">
        <v>5306</v>
      </c>
      <c r="C310" s="2918" t="s">
        <v>2097</v>
      </c>
    </row>
    <row r="311" spans="1:3">
      <c r="A311" s="2637" t="str">
        <f>translations!B311</f>
        <v>tCO2/t active ingredient</v>
      </c>
      <c r="B311" s="2829" t="s">
        <v>5307</v>
      </c>
      <c r="C311" s="2918" t="s">
        <v>5997</v>
      </c>
    </row>
    <row r="312" spans="1:3" ht="52.8">
      <c r="A312" s="2637" t="str">
        <f>translations!B312</f>
        <v>CO2 removal from the atmosphere during urea manufacturing is estimated in the Industrial Processes and Product Use Sector by the country where urea was produced.</v>
      </c>
      <c r="B312" s="2829" t="s">
        <v>5319</v>
      </c>
      <c r="C312" s="2918" t="s">
        <v>5998</v>
      </c>
    </row>
    <row r="313" spans="1:3" ht="66">
      <c r="A313" s="2637" t="str">
        <f>translations!B313</f>
        <v>By default EX-ACT considers that urea is imported and do not account for this sink, but you can force the calculation to do so:</v>
      </c>
      <c r="B313" s="2829" t="s">
        <v>5316</v>
      </c>
      <c r="C313" s="2918" t="s">
        <v>5999</v>
      </c>
    </row>
    <row r="314" spans="1:3" ht="26.4">
      <c r="A314" s="2637" t="str">
        <f>translations!B314</f>
        <v>Account the manufacturing sink?</v>
      </c>
      <c r="B314" s="2829" t="s">
        <v>5317</v>
      </c>
      <c r="C314" s="2918" t="s">
        <v>6000</v>
      </c>
    </row>
    <row r="315" spans="1:3">
      <c r="A315" s="2637" t="str">
        <f>translations!B315</f>
        <v>Urea</v>
      </c>
      <c r="B315" s="2829" t="s">
        <v>5318</v>
      </c>
      <c r="C315" s="2918" t="s">
        <v>6001</v>
      </c>
    </row>
    <row r="316" spans="1:3">
      <c r="A316" s="2637" t="str">
        <f>translations!B316</f>
        <v>Emission factor for the selected country</v>
      </c>
      <c r="B316" s="2829" t="s">
        <v>5320</v>
      </c>
      <c r="C316" s="2918" t="s">
        <v>6002</v>
      </c>
    </row>
    <row r="317" spans="1:3" ht="26.4">
      <c r="A317" s="2637" t="str">
        <f>translations!B317</f>
        <v>Losses of electricity during transportation</v>
      </c>
      <c r="B317" s="2829" t="s">
        <v>5310</v>
      </c>
      <c r="C317" s="2918" t="s">
        <v>6003</v>
      </c>
    </row>
    <row r="318" spans="1:3">
      <c r="A318" s="2637" t="str">
        <f>translations!B318</f>
        <v>tCO2/MWh/yr</v>
      </c>
      <c r="B318" s="2829" t="s">
        <v>5544</v>
      </c>
      <c r="C318" s="2920" t="s">
        <v>6200</v>
      </c>
    </row>
    <row r="319" spans="1:3">
      <c r="A319" s="2637" t="str">
        <f>translations!B319</f>
        <v>%</v>
      </c>
      <c r="B319" s="2829" t="s">
        <v>96</v>
      </c>
      <c r="C319" s="2918" t="s">
        <v>96</v>
      </c>
    </row>
    <row r="320" spans="1:3">
      <c r="A320" s="2637" t="str">
        <f>translations!B320</f>
        <v>t CO2 /m3</v>
      </c>
      <c r="B320" s="2829" t="s">
        <v>5311</v>
      </c>
      <c r="C320" s="2918" t="s">
        <v>943</v>
      </c>
    </row>
    <row r="321" spans="1:3">
      <c r="A321" s="2637" t="str">
        <f>translations!B321</f>
        <v>Please precise the name</v>
      </c>
      <c r="B321" s="2829" t="s">
        <v>5321</v>
      </c>
      <c r="C321" s="2918" t="s">
        <v>6004</v>
      </c>
    </row>
    <row r="322" spans="1:3">
      <c r="A322" s="2637" t="str">
        <f>translations!B322</f>
        <v>Unit used</v>
      </c>
      <c r="B322" s="2829" t="s">
        <v>5322</v>
      </c>
      <c r="C322" s="2918" t="s">
        <v>5995</v>
      </c>
    </row>
    <row r="323" spans="1:3">
      <c r="A323" s="2637" t="str">
        <f>translations!B323</f>
        <v>t CO2/t dry matter</v>
      </c>
      <c r="B323" s="2829" t="s">
        <v>5312</v>
      </c>
      <c r="C323" s="2918" t="s">
        <v>6005</v>
      </c>
    </row>
    <row r="324" spans="1:3">
      <c r="A324" s="2637" t="str">
        <f>translations!B324</f>
        <v>Irrigation systems</v>
      </c>
      <c r="B324" s="2829" t="s">
        <v>5323</v>
      </c>
      <c r="C324" s="2918" t="s">
        <v>6006</v>
      </c>
    </row>
    <row r="325" spans="1:3">
      <c r="A325" s="2637" t="str">
        <f>translations!B325</f>
        <v>Buildings and roads</v>
      </c>
      <c r="B325" s="2829" t="s">
        <v>5313</v>
      </c>
      <c r="C325" s="2918" t="s">
        <v>6007</v>
      </c>
    </row>
    <row r="326" spans="1:3">
      <c r="A326" s="2637" t="str">
        <f>translations!B326</f>
        <v>kgCO2/ha</v>
      </c>
      <c r="B326" s="2829" t="s">
        <v>5314</v>
      </c>
      <c r="C326" s="2918" t="s">
        <v>962</v>
      </c>
    </row>
    <row r="327" spans="1:3">
      <c r="A327" s="2637" t="str">
        <f>translations!B327</f>
        <v>t CO2/m2</v>
      </c>
      <c r="B327" s="2829" t="s">
        <v>5315</v>
      </c>
      <c r="C327" s="2918" t="s">
        <v>2104</v>
      </c>
    </row>
    <row r="328" spans="1:3">
      <c r="A328" s="2637">
        <f>translations!B328</f>
        <v>0</v>
      </c>
      <c r="B328" s="2829"/>
    </row>
    <row r="329" spans="1:3">
      <c r="A329" s="2637">
        <f>translations!B329</f>
        <v>0</v>
      </c>
      <c r="B329" s="2829"/>
    </row>
    <row r="330" spans="1:3">
      <c r="A330" s="2637">
        <f>translations!B330</f>
        <v>0</v>
      </c>
      <c r="B330" s="2829"/>
    </row>
    <row r="331" spans="1:3">
      <c r="A331" s="2637">
        <f>translations!B331</f>
        <v>0</v>
      </c>
      <c r="B331" s="2829"/>
    </row>
    <row r="332" spans="1:3">
      <c r="A332" s="2637">
        <f>translations!B332</f>
        <v>0</v>
      </c>
      <c r="B332" s="2829"/>
    </row>
    <row r="333" spans="1:3">
      <c r="A333" s="2637">
        <f>translations!B333</f>
        <v>0</v>
      </c>
      <c r="B333" s="2829"/>
    </row>
    <row r="334" spans="1:3">
      <c r="A334" s="2637">
        <f>translations!B334</f>
        <v>0</v>
      </c>
      <c r="B334" s="2829"/>
    </row>
    <row r="335" spans="1:3">
      <c r="A335" s="2637">
        <f>translations!B335</f>
        <v>0</v>
      </c>
      <c r="B335" s="2829"/>
    </row>
    <row r="336" spans="1:3">
      <c r="A336" s="2637">
        <f>translations!B336</f>
        <v>0</v>
      </c>
      <c r="B336" s="2829"/>
    </row>
    <row r="337" spans="1:12">
      <c r="A337" s="2637">
        <f>translations!B337</f>
        <v>0</v>
      </c>
      <c r="B337" s="2829"/>
    </row>
    <row r="338" spans="1:12">
      <c r="A338" s="2637">
        <f>translations!B338</f>
        <v>0</v>
      </c>
      <c r="B338" s="2829"/>
    </row>
    <row r="339" spans="1:12">
      <c r="A339" s="2637">
        <f>translations!B339</f>
        <v>0</v>
      </c>
      <c r="B339" s="2829"/>
    </row>
    <row r="340" spans="1:12">
      <c r="A340" s="2637">
        <f>translations!B340</f>
        <v>0</v>
      </c>
      <c r="B340" s="2829"/>
    </row>
    <row r="341" spans="1:12" s="2787" customFormat="1">
      <c r="A341" s="2640" t="str">
        <f>translations!B341</f>
        <v>English</v>
      </c>
      <c r="B341" s="2833" t="str">
        <f>B1</f>
        <v>Português</v>
      </c>
      <c r="C341" s="3024" t="s">
        <v>5792</v>
      </c>
      <c r="D341" s="2789" t="str">
        <f t="shared" ref="D341:L341" si="5">D1</f>
        <v>Lang002</v>
      </c>
      <c r="E341" s="2789" t="str">
        <f t="shared" si="5"/>
        <v>Lang003</v>
      </c>
      <c r="F341" s="2789" t="str">
        <f t="shared" si="5"/>
        <v>Lang004</v>
      </c>
      <c r="G341" s="2789" t="str">
        <f t="shared" si="5"/>
        <v>Lang005</v>
      </c>
      <c r="H341" s="2789" t="str">
        <f t="shared" si="5"/>
        <v>Lang006</v>
      </c>
      <c r="I341" s="2789" t="str">
        <f t="shared" si="5"/>
        <v>Lang007</v>
      </c>
      <c r="J341" s="2789" t="str">
        <f t="shared" si="5"/>
        <v>Lang008</v>
      </c>
      <c r="K341" s="2789" t="str">
        <f t="shared" si="5"/>
        <v>Lang009</v>
      </c>
      <c r="L341" s="2789" t="str">
        <f t="shared" si="5"/>
        <v>Lang010</v>
      </c>
    </row>
    <row r="342" spans="1:12">
      <c r="A342" s="2637" t="str">
        <f>translations!B342</f>
        <v>Total area (ha)</v>
      </c>
      <c r="B342" s="2829" t="s">
        <v>4922</v>
      </c>
      <c r="C342" s="2918" t="s">
        <v>6008</v>
      </c>
    </row>
    <row r="343" spans="1:12">
      <c r="A343" s="2637" t="str">
        <f>translations!B343</f>
        <v>Components of the project</v>
      </c>
      <c r="B343" s="2829" t="s">
        <v>5324</v>
      </c>
      <c r="C343" s="2918" t="s">
        <v>6009</v>
      </c>
    </row>
    <row r="344" spans="1:12">
      <c r="A344" s="2637" t="str">
        <f>translations!B344</f>
        <v>Gross fluxes</v>
      </c>
      <c r="B344" s="2829" t="s">
        <v>5329</v>
      </c>
      <c r="C344" s="2918" t="s">
        <v>6010</v>
      </c>
    </row>
    <row r="345" spans="1:12">
      <c r="A345" s="2637" t="str">
        <f>translations!B345</f>
        <v>All GHG in tCO2eq</v>
      </c>
      <c r="B345" s="2829" t="s">
        <v>5330</v>
      </c>
      <c r="C345" s="2918" t="s">
        <v>6011</v>
      </c>
    </row>
    <row r="346" spans="1:12" ht="26.4">
      <c r="A346" s="2637" t="str">
        <f>translations!B346</f>
        <v>Positive = source / negative = sink</v>
      </c>
      <c r="B346" s="2829" t="s">
        <v>5331</v>
      </c>
      <c r="C346" s="2918" t="s">
        <v>6012</v>
      </c>
    </row>
    <row r="347" spans="1:12">
      <c r="A347" s="2637" t="str">
        <f>translations!B347</f>
        <v>Share per GHG of the Balance</v>
      </c>
      <c r="B347" s="2829" t="s">
        <v>5332</v>
      </c>
      <c r="C347" s="2918" t="s">
        <v>6013</v>
      </c>
    </row>
    <row r="348" spans="1:12">
      <c r="A348" s="2637" t="str">
        <f>translations!B348</f>
        <v>Biomass</v>
      </c>
      <c r="B348" s="2829" t="s">
        <v>5333</v>
      </c>
      <c r="C348" s="2918" t="s">
        <v>2120</v>
      </c>
    </row>
    <row r="349" spans="1:12">
      <c r="A349" s="2637" t="str">
        <f>translations!B349</f>
        <v>Soil</v>
      </c>
      <c r="B349" s="2829" t="s">
        <v>5334</v>
      </c>
      <c r="C349" s="2918" t="s">
        <v>6014</v>
      </c>
    </row>
    <row r="350" spans="1:12">
      <c r="A350" s="2637" t="str">
        <f>translations!B350</f>
        <v>Other</v>
      </c>
      <c r="B350" s="2829" t="s">
        <v>4630</v>
      </c>
      <c r="C350" s="2918" t="s">
        <v>5924</v>
      </c>
    </row>
    <row r="351" spans="1:12">
      <c r="A351" s="2637" t="str">
        <f>translations!B351</f>
        <v>Result per year</v>
      </c>
      <c r="B351" s="2829" t="s">
        <v>5325</v>
      </c>
      <c r="C351" s="2918" t="s">
        <v>6015</v>
      </c>
    </row>
    <row r="352" spans="1:12">
      <c r="A352" s="2637" t="str">
        <f>translations!B352</f>
        <v>Land use changes</v>
      </c>
      <c r="B352" s="2829" t="s">
        <v>5326</v>
      </c>
      <c r="C352" s="2918" t="s">
        <v>6016</v>
      </c>
    </row>
    <row r="353" spans="1:3">
      <c r="A353" s="2637" t="str">
        <f>translations!B353</f>
        <v>Deforestation</v>
      </c>
      <c r="B353" s="2829" t="s">
        <v>5335</v>
      </c>
      <c r="C353" s="2918" t="s">
        <v>6017</v>
      </c>
    </row>
    <row r="354" spans="1:3">
      <c r="A354" s="2637" t="str">
        <f>translations!B354</f>
        <v>Afforestation</v>
      </c>
      <c r="B354" s="2829" t="s">
        <v>5336</v>
      </c>
      <c r="C354" s="2920" t="s">
        <v>6208</v>
      </c>
    </row>
    <row r="355" spans="1:3">
      <c r="A355" s="2637" t="str">
        <f>translations!B355</f>
        <v>Other LUC</v>
      </c>
      <c r="B355" s="2829" t="s">
        <v>5337</v>
      </c>
      <c r="C355" s="2920" t="s">
        <v>6209</v>
      </c>
    </row>
    <row r="356" spans="1:3">
      <c r="A356" s="2637" t="str">
        <f>translations!B356</f>
        <v>Agriculture</v>
      </c>
      <c r="B356" s="2829" t="s">
        <v>4934</v>
      </c>
      <c r="C356" s="2918" t="s">
        <v>6018</v>
      </c>
    </row>
    <row r="357" spans="1:3">
      <c r="A357" s="2637" t="str">
        <f>translations!B357</f>
        <v>Annual</v>
      </c>
      <c r="B357" s="2829" t="s">
        <v>4647</v>
      </c>
      <c r="C357" s="2918" t="s">
        <v>5941</v>
      </c>
    </row>
    <row r="358" spans="1:3">
      <c r="A358" s="2637" t="str">
        <f>translations!B358</f>
        <v>Perennial</v>
      </c>
      <c r="B358" s="2829" t="s">
        <v>4648</v>
      </c>
      <c r="C358" s="2918" t="s">
        <v>5942</v>
      </c>
    </row>
    <row r="359" spans="1:3">
      <c r="A359" s="2637" t="str">
        <f>translations!B359</f>
        <v>Rice</v>
      </c>
      <c r="B359" s="2829" t="s">
        <v>4937</v>
      </c>
      <c r="C359" s="2920" t="s">
        <v>5635</v>
      </c>
    </row>
    <row r="360" spans="1:3">
      <c r="A360" s="2637" t="str">
        <f>translations!B360</f>
        <v>Grassland &amp; Livestocks</v>
      </c>
      <c r="B360" s="2829" t="s">
        <v>5338</v>
      </c>
      <c r="C360" s="2920" t="s">
        <v>6211</v>
      </c>
    </row>
    <row r="361" spans="1:3">
      <c r="A361" s="2637" t="str">
        <f>translations!B361</f>
        <v>Grassland</v>
      </c>
      <c r="B361" s="2829" t="s">
        <v>2501</v>
      </c>
      <c r="C361" s="2918" t="s">
        <v>5637</v>
      </c>
    </row>
    <row r="362" spans="1:3">
      <c r="A362" s="2637" t="str">
        <f>translations!B362</f>
        <v>Livestocks</v>
      </c>
      <c r="B362" s="2829" t="s">
        <v>5339</v>
      </c>
      <c r="C362" s="2918" t="s">
        <v>6019</v>
      </c>
    </row>
    <row r="363" spans="1:3">
      <c r="A363" s="2637" t="str">
        <f>translations!B363</f>
        <v>Degradation &amp; Management</v>
      </c>
      <c r="B363" s="2829" t="s">
        <v>5340</v>
      </c>
      <c r="C363" s="2920" t="s">
        <v>6210</v>
      </c>
    </row>
    <row r="364" spans="1:3">
      <c r="A364" s="2637" t="str">
        <f>translations!B364</f>
        <v>Inputs &amp; Investments</v>
      </c>
      <c r="B364" s="2829" t="s">
        <v>5341</v>
      </c>
      <c r="C364" s="2918" t="s">
        <v>6020</v>
      </c>
    </row>
    <row r="365" spans="1:3">
      <c r="A365" s="2637" t="str">
        <f>translations!B365</f>
        <v>Total</v>
      </c>
      <c r="B365" s="2829" t="s">
        <v>531</v>
      </c>
      <c r="C365" s="2918" t="s">
        <v>6021</v>
      </c>
    </row>
    <row r="366" spans="1:3">
      <c r="A366" s="2637" t="str">
        <f>translations!B366</f>
        <v>Per hectare</v>
      </c>
      <c r="B366" s="2829" t="s">
        <v>5342</v>
      </c>
      <c r="C366" s="2918" t="s">
        <v>6022</v>
      </c>
    </row>
    <row r="367" spans="1:3">
      <c r="A367" s="2637" t="str">
        <f>translations!B367</f>
        <v>Per hectare per year</v>
      </c>
      <c r="B367" s="2829" t="s">
        <v>5327</v>
      </c>
      <c r="C367" s="2918" t="s">
        <v>6023</v>
      </c>
    </row>
    <row r="368" spans="1:3">
      <c r="A368" s="2637" t="str">
        <f>translations!B368</f>
        <v>CO2-Biomass</v>
      </c>
      <c r="B368" s="2829" t="s">
        <v>5328</v>
      </c>
      <c r="C368" s="2918" t="s">
        <v>2152</v>
      </c>
    </row>
    <row r="369" spans="1:3">
      <c r="A369" s="2637" t="str">
        <f>translations!B369</f>
        <v>CO2-Soil</v>
      </c>
      <c r="B369" s="2829" t="s">
        <v>5343</v>
      </c>
      <c r="C369" s="2918" t="s">
        <v>6024</v>
      </c>
    </row>
    <row r="370" spans="1:3">
      <c r="A370" s="2637" t="str">
        <f>translations!B370</f>
        <v>CO2-Other</v>
      </c>
      <c r="B370" s="2829" t="s">
        <v>5344</v>
      </c>
      <c r="C370" s="2918" t="s">
        <v>6025</v>
      </c>
    </row>
    <row r="371" spans="1:3" ht="26.4">
      <c r="A371" s="2637" t="str">
        <f>translations!B371</f>
        <v>Use in a Simple Value Chain Assessment</v>
      </c>
      <c r="B371" s="2829" t="s">
        <v>5345</v>
      </c>
      <c r="C371" s="2918" t="s">
        <v>6144</v>
      </c>
    </row>
    <row r="372" spans="1:3">
      <c r="A372" s="2637" t="str">
        <f>translations!B372</f>
        <v>Fluxes per component</v>
      </c>
      <c r="B372" s="2829" t="s">
        <v>5346</v>
      </c>
      <c r="C372" s="2918" t="s">
        <v>6026</v>
      </c>
    </row>
    <row r="373" spans="1:3">
      <c r="A373" s="2637" t="str">
        <f>translations!B373</f>
        <v>Balance per component</v>
      </c>
      <c r="B373" s="2829" t="s">
        <v>5347</v>
      </c>
      <c r="C373" s="2918" t="s">
        <v>6027</v>
      </c>
    </row>
    <row r="374" spans="1:3" ht="26.4">
      <c r="A374" s="2637" t="str">
        <f>translations!B374</f>
        <v>Total without and with project and balance</v>
      </c>
      <c r="B374" s="2829" t="s">
        <v>5348</v>
      </c>
      <c r="C374" s="2918" t="s">
        <v>6028</v>
      </c>
    </row>
    <row r="375" spans="1:3" ht="26.4">
      <c r="A375" s="2637" t="str">
        <f>translations!B375</f>
        <v>Share of the balance per GHG (plus origin for CO2)</v>
      </c>
      <c r="B375" s="2829" t="s">
        <v>5349</v>
      </c>
      <c r="C375" s="2918" t="s">
        <v>6029</v>
      </c>
    </row>
    <row r="376" spans="1:3" ht="26.4">
      <c r="A376" s="2637" t="str">
        <f>translations!B376</f>
        <v>Evolutions of land use / category (hectares - ha)</v>
      </c>
      <c r="B376" s="2829" t="s">
        <v>5578</v>
      </c>
      <c r="C376" s="2918" t="s">
        <v>6030</v>
      </c>
    </row>
    <row r="377" spans="1:3">
      <c r="A377" s="2637" t="str">
        <f>translations!B377</f>
        <v>Forest/Plantation</v>
      </c>
      <c r="B377" s="2829" t="s">
        <v>5350</v>
      </c>
      <c r="C377" s="2918" t="s">
        <v>6031</v>
      </c>
    </row>
    <row r="378" spans="1:3">
      <c r="A378" s="2637" t="str">
        <f>translations!B378</f>
        <v>Other lands</v>
      </c>
      <c r="B378" s="2829" t="s">
        <v>5351</v>
      </c>
      <c r="C378" s="2918" t="s">
        <v>5647</v>
      </c>
    </row>
    <row r="379" spans="1:3">
      <c r="A379" s="2637" t="str">
        <f>translations!B379</f>
        <v>Degraded</v>
      </c>
      <c r="B379" s="2829" t="s">
        <v>5352</v>
      </c>
      <c r="C379" s="2918" t="s">
        <v>5638</v>
      </c>
    </row>
    <row r="380" spans="1:3">
      <c r="A380" s="2637" t="str">
        <f>translations!B380</f>
        <v>Other</v>
      </c>
      <c r="B380" s="2829" t="s">
        <v>4630</v>
      </c>
      <c r="C380" s="2918" t="s">
        <v>5924</v>
      </c>
    </row>
    <row r="381" spans="1:3">
      <c r="A381" s="2637" t="str">
        <f>translations!B381</f>
        <v>Wetlands</v>
      </c>
      <c r="B381" s="2829" t="s">
        <v>5353</v>
      </c>
      <c r="C381" s="2918" t="s">
        <v>5604</v>
      </c>
    </row>
    <row r="382" spans="1:3">
      <c r="A382" s="2637" t="str">
        <f>translations!B382</f>
        <v>Uncertainty level</v>
      </c>
      <c r="B382" s="2829" t="s">
        <v>5354</v>
      </c>
      <c r="C382" s="2918" t="s">
        <v>6032</v>
      </c>
    </row>
    <row r="383" spans="1:3">
      <c r="A383" s="2637" t="str">
        <f>translations!B383</f>
        <v>Net balance</v>
      </c>
      <c r="B383" s="2829" t="s">
        <v>5355</v>
      </c>
      <c r="C383" s="2918" t="s">
        <v>6033</v>
      </c>
    </row>
    <row r="384" spans="1:3">
      <c r="A384" s="2637" t="str">
        <f>translations!B384</f>
        <v>Total uncert.</v>
      </c>
      <c r="B384" s="2829" t="s">
        <v>5356</v>
      </c>
      <c r="C384" s="2918" t="s">
        <v>6034</v>
      </c>
    </row>
    <row r="385" spans="1:3">
      <c r="A385" s="2637" t="str">
        <f>translations!B385</f>
        <v>% of uncertainty</v>
      </c>
      <c r="B385" s="2829" t="s">
        <v>5357</v>
      </c>
      <c r="C385" s="2918" t="s">
        <v>6035</v>
      </c>
    </row>
    <row r="386" spans="1:3">
      <c r="A386" s="2637" t="str">
        <f>translations!B386</f>
        <v>Detailed matrices of changes</v>
      </c>
      <c r="B386" s="2829" t="s">
        <v>5358</v>
      </c>
      <c r="C386" s="2918" t="s">
        <v>6036</v>
      </c>
    </row>
    <row r="387" spans="1:3" ht="39.6">
      <c r="A387" s="2637" t="str">
        <f>translations!B387</f>
        <v>Total area must be equal in all situations: Please check carrefully all components</v>
      </c>
      <c r="B387" s="2829" t="s">
        <v>5365</v>
      </c>
      <c r="C387" s="2918" t="s">
        <v>6037</v>
      </c>
    </row>
    <row r="388" spans="1:3">
      <c r="A388" s="2637" t="str">
        <f>translations!B388</f>
        <v>Other indicators</v>
      </c>
      <c r="B388" s="2829" t="s">
        <v>5366</v>
      </c>
      <c r="C388" s="2918" t="s">
        <v>6038</v>
      </c>
    </row>
    <row r="389" spans="1:3">
      <c r="A389" s="2637" t="str">
        <f>translations!B389</f>
        <v>Area Irrigated - ha</v>
      </c>
      <c r="B389" s="2829" t="s">
        <v>5359</v>
      </c>
      <c r="C389" s="2918" t="s">
        <v>6039</v>
      </c>
    </row>
    <row r="390" spans="1:3">
      <c r="A390" s="2637" t="str">
        <f>translations!B390</f>
        <v>Irrigated rice</v>
      </c>
      <c r="B390" s="2829" t="s">
        <v>2499</v>
      </c>
      <c r="C390" s="2918" t="s">
        <v>5635</v>
      </c>
    </row>
    <row r="391" spans="1:3">
      <c r="A391" s="2637" t="str">
        <f>translations!B391</f>
        <v>Annual Crops</v>
      </c>
      <c r="B391" s="2829" t="s">
        <v>5367</v>
      </c>
      <c r="C391" s="2918" t="s">
        <v>5941</v>
      </c>
    </row>
    <row r="392" spans="1:3">
      <c r="A392" s="2637" t="str">
        <f>translations!B392</f>
        <v>Cumulated areas burnt - ha</v>
      </c>
      <c r="B392" s="2829" t="s">
        <v>5368</v>
      </c>
      <c r="C392" s="2918" t="s">
        <v>6040</v>
      </c>
    </row>
    <row r="393" spans="1:3">
      <c r="A393" s="2637" t="str">
        <f>translations!B393</f>
        <v>From deforestation</v>
      </c>
      <c r="B393" s="2829" t="s">
        <v>5369</v>
      </c>
      <c r="C393" s="2918" t="s">
        <v>6041</v>
      </c>
    </row>
    <row r="394" spans="1:3">
      <c r="A394" s="2637" t="str">
        <f>translations!B394</f>
        <v>From degradation</v>
      </c>
      <c r="B394" s="2829" t="s">
        <v>5370</v>
      </c>
      <c r="C394" s="2918" t="s">
        <v>6042</v>
      </c>
    </row>
    <row r="395" spans="1:3">
      <c r="A395" s="2637" t="str">
        <f>translations!B395</f>
        <v>Back to main results</v>
      </c>
      <c r="B395" s="2829" t="s">
        <v>5360</v>
      </c>
      <c r="C395" s="2918" t="s">
        <v>6043</v>
      </c>
    </row>
    <row r="396" spans="1:3">
      <c r="A396" s="2637" t="str">
        <f>translations!B396</f>
        <v>Production</v>
      </c>
      <c r="B396" s="2829" t="s">
        <v>5371</v>
      </c>
      <c r="C396" s="2918" t="s">
        <v>6044</v>
      </c>
    </row>
    <row r="397" spans="1:3">
      <c r="A397" s="2637" t="str">
        <f>translations!B397</f>
        <v>t of product</v>
      </c>
      <c r="B397" s="2829" t="s">
        <v>5361</v>
      </c>
      <c r="C397" s="2918" t="s">
        <v>6045</v>
      </c>
    </row>
    <row r="398" spans="1:3">
      <c r="A398" s="2637" t="str">
        <f>translations!B398</f>
        <v>Gross emission intensity</v>
      </c>
      <c r="B398" s="2829" t="s">
        <v>5372</v>
      </c>
      <c r="C398" s="2918" t="s">
        <v>6046</v>
      </c>
    </row>
    <row r="399" spans="1:3">
      <c r="A399" s="2637" t="str">
        <f>translations!B399</f>
        <v>tCO2eq per t of product</v>
      </c>
      <c r="B399" s="2829" t="s">
        <v>5362</v>
      </c>
      <c r="C399" s="2918" t="s">
        <v>6047</v>
      </c>
    </row>
    <row r="400" spans="1:3">
      <c r="A400" s="2637" t="str">
        <f>translations!B400</f>
        <v>Percentage of human use</v>
      </c>
      <c r="B400" s="2829" t="s">
        <v>5363</v>
      </c>
      <c r="C400" s="2918" t="s">
        <v>6048</v>
      </c>
    </row>
    <row r="401" spans="1:3">
      <c r="A401" s="2637" t="str">
        <f>translations!B401</f>
        <v>Corresponding quantity used</v>
      </c>
      <c r="B401" s="2829" t="s">
        <v>5373</v>
      </c>
      <c r="C401" s="2918" t="s">
        <v>6049</v>
      </c>
    </row>
    <row r="402" spans="1:3">
      <c r="A402" s="2637" t="str">
        <f>translations!B402</f>
        <v>All Land Use Changes</v>
      </c>
      <c r="B402" s="2829" t="s">
        <v>5374</v>
      </c>
      <c r="C402" s="2918" t="s">
        <v>6050</v>
      </c>
    </row>
    <row r="403" spans="1:3" ht="39.6">
      <c r="A403" s="2637" t="str">
        <f>translations!B403</f>
        <v>Detailled Emissions in t CO2-eq for the different phases of the Value Chain</v>
      </c>
      <c r="B403" s="2829" t="s">
        <v>5375</v>
      </c>
      <c r="C403" s="2918" t="s">
        <v>6051</v>
      </c>
    </row>
    <row r="404" spans="1:3">
      <c r="A404" s="2637" t="str">
        <f>translations!B404</f>
        <v>Emissions (tCO2/t product)</v>
      </c>
      <c r="B404" s="2829" t="s">
        <v>5364</v>
      </c>
      <c r="C404" s="2918" t="s">
        <v>6052</v>
      </c>
    </row>
    <row r="405" spans="1:3" ht="39.6">
      <c r="A405" s="2637" t="str">
        <f>translations!B405</f>
        <v>PRODUCTION Level (corresponding emissions calculated as a percentage of total quantity used)</v>
      </c>
      <c r="B405" s="2829" t="s">
        <v>5376</v>
      </c>
      <c r="C405" s="2918" t="s">
        <v>6053</v>
      </c>
    </row>
    <row r="406" spans="1:3" ht="39.6">
      <c r="A406" s="2637" t="str">
        <f>translations!B406</f>
        <v>Direct and indirect (induced LUC, degradation, Inputs &amp; Investments) emissions</v>
      </c>
      <c r="B406" s="2829" t="s">
        <v>5377</v>
      </c>
      <c r="C406" s="2918" t="s">
        <v>6054</v>
      </c>
    </row>
    <row r="407" spans="1:3" ht="26.4">
      <c r="A407" s="2637" t="str">
        <f>translations!B407</f>
        <v>PROCESSING Level (list inputs or processes necessary)</v>
      </c>
      <c r="B407" s="2829" t="s">
        <v>5378</v>
      </c>
      <c r="C407" s="2918" t="s">
        <v>6055</v>
      </c>
    </row>
    <row r="408" spans="1:3">
      <c r="A408" s="2637" t="str">
        <f>translations!B408</f>
        <v>Name of input/process</v>
      </c>
      <c r="B408" s="2829" t="s">
        <v>5379</v>
      </c>
      <c r="C408" s="2918" t="s">
        <v>6056</v>
      </c>
    </row>
    <row r="409" spans="1:3">
      <c r="A409" s="2637" t="str">
        <f>translations!B409</f>
        <v>Emission per input</v>
      </c>
      <c r="B409" s="2829" t="s">
        <v>5380</v>
      </c>
      <c r="C409" s="2918" t="s">
        <v>6057</v>
      </c>
    </row>
    <row r="410" spans="1:3">
      <c r="A410" s="2637" t="str">
        <f>translations!B410</f>
        <v>Input per t product</v>
      </c>
      <c r="B410" s="2829" t="s">
        <v>5381</v>
      </c>
      <c r="C410" s="2918" t="s">
        <v>6058</v>
      </c>
    </row>
    <row r="411" spans="1:3">
      <c r="A411" s="2637" t="str">
        <f>translations!B411</f>
        <v>Total for PROCESSING</v>
      </c>
      <c r="B411" s="2829" t="s">
        <v>5391</v>
      </c>
      <c r="C411" s="2918" t="s">
        <v>6059</v>
      </c>
    </row>
    <row r="412" spans="1:3" ht="26.4">
      <c r="A412" s="2637" t="str">
        <f>translations!B412</f>
        <v>TRANSPORT level (list the differents inputs or processes necessary)</v>
      </c>
      <c r="B412" s="2829" t="s">
        <v>5387</v>
      </c>
      <c r="C412" s="2918" t="s">
        <v>6060</v>
      </c>
    </row>
    <row r="413" spans="1:3">
      <c r="A413" s="2637" t="str">
        <f>translations!B413</f>
        <v>Total TRANSPORT</v>
      </c>
      <c r="B413" s="2829" t="s">
        <v>5382</v>
      </c>
      <c r="C413" s="2918" t="s">
        <v>6061</v>
      </c>
    </row>
    <row r="414" spans="1:3">
      <c r="A414" s="2637" t="str">
        <f>translations!B414</f>
        <v>Insert name below</v>
      </c>
      <c r="B414" s="2829" t="s">
        <v>5383</v>
      </c>
      <c r="C414" s="2918" t="s">
        <v>6062</v>
      </c>
    </row>
    <row r="415" spans="1:3" ht="26.4">
      <c r="A415" s="2637" t="str">
        <f>translations!B415</f>
        <v>USE level (list the differents inputs or steps necessary)</v>
      </c>
      <c r="B415" s="2829" t="s">
        <v>5388</v>
      </c>
      <c r="C415" s="2918" t="s">
        <v>6063</v>
      </c>
    </row>
    <row r="416" spans="1:3">
      <c r="A416" s="2637" t="str">
        <f>translations!B416</f>
        <v>Total for USE</v>
      </c>
      <c r="B416" s="2829" t="s">
        <v>5390</v>
      </c>
      <c r="C416" s="2918" t="s">
        <v>6064</v>
      </c>
    </row>
    <row r="417" spans="1:3" ht="26.4">
      <c r="A417" s="2637" t="str">
        <f>translations!B417</f>
        <v>WASTE level (list the differents inputs or steps necessary)</v>
      </c>
      <c r="B417" s="2829" t="s">
        <v>5389</v>
      </c>
      <c r="C417" s="2918" t="s">
        <v>6065</v>
      </c>
    </row>
    <row r="418" spans="1:3">
      <c r="A418" s="2637" t="str">
        <f>translations!B418</f>
        <v>Total for WASTE</v>
      </c>
      <c r="B418" t="s">
        <v>5392</v>
      </c>
      <c r="C418" s="2918" t="s">
        <v>6066</v>
      </c>
    </row>
    <row r="419" spans="1:3" ht="26.4">
      <c r="A419" s="2637" t="str">
        <f>translations!B419</f>
        <v>Total Emissions in t CO2-eq for the different phases of the Value Chain</v>
      </c>
      <c r="B419" s="2829" t="s">
        <v>5393</v>
      </c>
      <c r="C419" s="2918" t="s">
        <v>6067</v>
      </c>
    </row>
    <row r="420" spans="1:3">
      <c r="A420" s="2637" t="str">
        <f>translations!B420</f>
        <v>PRODUCTION</v>
      </c>
      <c r="B420" s="2829" t="s">
        <v>5384</v>
      </c>
      <c r="C420" s="2918" t="s">
        <v>6068</v>
      </c>
    </row>
    <row r="421" spans="1:3">
      <c r="A421" s="2637" t="str">
        <f>translations!B421</f>
        <v>PROCESSING</v>
      </c>
      <c r="B421" s="2829" t="s">
        <v>5385</v>
      </c>
      <c r="C421" s="2918" t="s">
        <v>6069</v>
      </c>
    </row>
    <row r="422" spans="1:3">
      <c r="A422" s="2637" t="str">
        <f>translations!B422</f>
        <v>TRANSPORT</v>
      </c>
      <c r="B422" s="2829" t="s">
        <v>4994</v>
      </c>
      <c r="C422" s="2918" t="s">
        <v>6070</v>
      </c>
    </row>
    <row r="423" spans="1:3">
      <c r="A423" s="2637" t="str">
        <f>translations!B423</f>
        <v>USE</v>
      </c>
      <c r="B423" s="2829" t="s">
        <v>4995</v>
      </c>
      <c r="C423" s="2918" t="s">
        <v>6071</v>
      </c>
    </row>
    <row r="424" spans="1:3">
      <c r="A424" s="2637" t="str">
        <f>translations!B424</f>
        <v>WASTE</v>
      </c>
      <c r="B424" s="2829" t="s">
        <v>5386</v>
      </c>
      <c r="C424" s="2918" t="s">
        <v>6072</v>
      </c>
    </row>
    <row r="425" spans="1:3">
      <c r="A425" s="2637" t="str">
        <f>translations!B425</f>
        <v>Matrix of changes</v>
      </c>
      <c r="B425" s="2829" t="s">
        <v>5395</v>
      </c>
      <c r="C425" s="2918" t="s">
        <v>6073</v>
      </c>
    </row>
    <row r="426" spans="1:3">
      <c r="A426" s="2637" t="str">
        <f>translations!B426</f>
        <v>Mineral soils (ha)</v>
      </c>
      <c r="B426" s="2829" t="s">
        <v>5394</v>
      </c>
      <c r="C426" s="2918" t="s">
        <v>6074</v>
      </c>
    </row>
    <row r="427" spans="1:3">
      <c r="A427" s="2637" t="str">
        <f>translations!B427</f>
        <v>Organic Soils (ha)</v>
      </c>
      <c r="B427" s="2829" t="s">
        <v>5396</v>
      </c>
      <c r="C427" s="2918" t="s">
        <v>6075</v>
      </c>
    </row>
    <row r="428" spans="1:3">
      <c r="A428" s="2637" t="str">
        <f>translations!B428</f>
        <v>INITIAL</v>
      </c>
      <c r="B428" s="2829" t="s">
        <v>5000</v>
      </c>
      <c r="C428" s="2918" t="s">
        <v>345</v>
      </c>
    </row>
    <row r="429" spans="1:3">
      <c r="A429" s="2637" t="str">
        <f>translations!B429</f>
        <v>FINAL</v>
      </c>
      <c r="B429" s="2829" t="s">
        <v>1105</v>
      </c>
      <c r="C429" s="2918" t="s">
        <v>6076</v>
      </c>
    </row>
    <row r="430" spans="1:3">
      <c r="A430" s="2637" t="str">
        <f>translations!B430</f>
        <v>Total Initial</v>
      </c>
      <c r="B430" s="2829" t="s">
        <v>5001</v>
      </c>
      <c r="C430" s="2918" t="s">
        <v>6077</v>
      </c>
    </row>
    <row r="431" spans="1:3">
      <c r="A431" s="2637" t="str">
        <f>translations!B431</f>
        <v>Total Final</v>
      </c>
      <c r="B431" s="2829" t="s">
        <v>5002</v>
      </c>
      <c r="C431" s="2918" t="s">
        <v>6078</v>
      </c>
    </row>
    <row r="432" spans="1:3">
      <c r="A432" s="2637" t="str">
        <f>translations!B432</f>
        <v>Select GWP for calculation</v>
      </c>
      <c r="B432" s="2829" t="s">
        <v>5397</v>
      </c>
      <c r="C432" s="2918" t="s">
        <v>6079</v>
      </c>
    </row>
    <row r="433" spans="1:12">
      <c r="A433" s="2637">
        <f>translations!B433</f>
        <v>0</v>
      </c>
      <c r="B433" s="2829"/>
    </row>
    <row r="434" spans="1:12">
      <c r="A434" s="2637">
        <f>translations!B434</f>
        <v>0</v>
      </c>
      <c r="B434" s="2829"/>
    </row>
    <row r="435" spans="1:12">
      <c r="A435" s="2637">
        <f>translations!B435</f>
        <v>0</v>
      </c>
      <c r="B435" s="2829"/>
    </row>
    <row r="436" spans="1:12" s="2787" customFormat="1">
      <c r="A436" s="2640" t="str">
        <f>translations!B436</f>
        <v>English</v>
      </c>
      <c r="B436" s="2833" t="str">
        <f>B1</f>
        <v>Português</v>
      </c>
      <c r="C436" s="3024" t="s">
        <v>5792</v>
      </c>
      <c r="D436" s="2789" t="str">
        <f t="shared" ref="D436:L436" si="6">D1</f>
        <v>Lang002</v>
      </c>
      <c r="E436" s="2789" t="str">
        <f t="shared" si="6"/>
        <v>Lang003</v>
      </c>
      <c r="F436" s="2789" t="str">
        <f t="shared" si="6"/>
        <v>Lang004</v>
      </c>
      <c r="G436" s="2789" t="str">
        <f t="shared" si="6"/>
        <v>Lang005</v>
      </c>
      <c r="H436" s="2789" t="str">
        <f t="shared" si="6"/>
        <v>Lang006</v>
      </c>
      <c r="I436" s="2789" t="str">
        <f t="shared" si="6"/>
        <v>Lang007</v>
      </c>
      <c r="J436" s="2789" t="str">
        <f t="shared" si="6"/>
        <v>Lang008</v>
      </c>
      <c r="K436" s="2789" t="str">
        <f t="shared" si="6"/>
        <v>Lang009</v>
      </c>
      <c r="L436" s="2789" t="str">
        <f t="shared" si="6"/>
        <v>Lang010</v>
      </c>
    </row>
    <row r="437" spans="1:12" ht="66">
      <c r="A437" s="2637" t="str">
        <f>translations!B437</f>
        <v xml:space="preserve"> </v>
      </c>
      <c r="B437" s="2643" t="s">
        <v>6181</v>
      </c>
      <c r="C437" s="2920" t="s">
        <v>6180</v>
      </c>
    </row>
    <row r="438" spans="1:12">
      <c r="A438" s="2637">
        <f>translations!B438</f>
        <v>0</v>
      </c>
      <c r="B438" s="2829"/>
    </row>
    <row r="439" spans="1:12">
      <c r="A439" s="2637">
        <f>translations!B439</f>
        <v>0</v>
      </c>
      <c r="B439" s="2829"/>
    </row>
    <row r="440" spans="1:12">
      <c r="A440" s="2637">
        <f>translations!B440</f>
        <v>0</v>
      </c>
      <c r="B440" s="2829"/>
    </row>
    <row r="441" spans="1:12">
      <c r="A441" s="2637">
        <f>translations!B441</f>
        <v>0</v>
      </c>
      <c r="B441" s="2829"/>
    </row>
    <row r="442" spans="1:12">
      <c r="A442" s="2637">
        <f>translations!B442</f>
        <v>0</v>
      </c>
      <c r="B442" s="2829"/>
    </row>
    <row r="443" spans="1:12">
      <c r="A443" s="2637">
        <f>translations!B443</f>
        <v>0</v>
      </c>
      <c r="B443" s="2829"/>
    </row>
    <row r="444" spans="1:12">
      <c r="A444" s="2637">
        <f>translations!B444</f>
        <v>0</v>
      </c>
      <c r="B444" s="2829"/>
    </row>
    <row r="445" spans="1:12">
      <c r="A445" s="2637" t="str">
        <f>translations!B445</f>
        <v>English</v>
      </c>
      <c r="B445" s="2829" t="s">
        <v>5398</v>
      </c>
      <c r="C445" s="2918" t="s">
        <v>5792</v>
      </c>
    </row>
    <row r="446" spans="1:12">
      <c r="A446" s="2637" t="str">
        <f>translations!B446</f>
        <v>Soil</v>
      </c>
      <c r="B446" s="2829" t="s">
        <v>5334</v>
      </c>
      <c r="C446" s="2918" t="s">
        <v>6014</v>
      </c>
    </row>
    <row r="447" spans="1:12">
      <c r="A447" s="2637" t="str">
        <f>translations!B447</f>
        <v>Soil classifications</v>
      </c>
      <c r="B447" s="2829" t="s">
        <v>5399</v>
      </c>
      <c r="C447" s="2918" t="s">
        <v>6080</v>
      </c>
    </row>
    <row r="448" spans="1:12">
      <c r="A448" s="2637" t="str">
        <f>translations!B448</f>
        <v>WRB-2006</v>
      </c>
      <c r="B448" s="2829" t="s">
        <v>1070</v>
      </c>
      <c r="C448" s="2918" t="s">
        <v>1070</v>
      </c>
    </row>
    <row r="449" spans="1:3">
      <c r="A449" s="2637" t="str">
        <f>translations!B449</f>
        <v>IPCC</v>
      </c>
      <c r="B449" s="2829" t="s">
        <v>342</v>
      </c>
      <c r="C449" s="2918" t="s">
        <v>342</v>
      </c>
    </row>
    <row r="450" spans="1:3">
      <c r="A450" s="2637" t="str">
        <f>translations!B450</f>
        <v>Climate</v>
      </c>
      <c r="B450" s="2829" t="s">
        <v>4688</v>
      </c>
      <c r="C450" s="2918" t="s">
        <v>6081</v>
      </c>
    </row>
    <row r="451" spans="1:3" ht="26.4">
      <c r="A451" s="2637" t="str">
        <f>translations!B451</f>
        <v>Climate Helper : Help  to determine the Climate category with MAT and MAP</v>
      </c>
      <c r="B451" s="2829" t="s">
        <v>5400</v>
      </c>
      <c r="C451" s="2918" t="s">
        <v>6082</v>
      </c>
    </row>
    <row r="452" spans="1:3">
      <c r="A452" s="2637" t="str">
        <f>translations!B452</f>
        <v>MAT</v>
      </c>
      <c r="B452" s="2829" t="s">
        <v>2258</v>
      </c>
      <c r="C452" s="2918" t="s">
        <v>6083</v>
      </c>
    </row>
    <row r="453" spans="1:3">
      <c r="A453" s="2637" t="str">
        <f>translations!B453</f>
        <v>MAP</v>
      </c>
      <c r="B453" s="2829" t="s">
        <v>5401</v>
      </c>
      <c r="C453" s="2918" t="s">
        <v>6084</v>
      </c>
    </row>
    <row r="454" spans="1:3">
      <c r="A454" s="2637" t="str">
        <f>translations!B454</f>
        <v>Mean Annual temperature in °C</v>
      </c>
      <c r="B454" s="2829" t="s">
        <v>5404</v>
      </c>
      <c r="C454" s="2918" t="s">
        <v>6085</v>
      </c>
    </row>
    <row r="455" spans="1:3">
      <c r="A455" s="2637" t="str">
        <f>translations!B455</f>
        <v>Mean Annual Precipitation in mm</v>
      </c>
      <c r="B455" s="2829" t="s">
        <v>5405</v>
      </c>
      <c r="C455" s="2918" t="s">
        <v>6086</v>
      </c>
    </row>
    <row r="456" spans="1:3" ht="26.4">
      <c r="A456" s="2637" t="str">
        <f>translations!B456</f>
        <v>Moist if MAP&gt;PET and Dry if PET&gt;MAP</v>
      </c>
      <c r="B456" s="2829" t="s">
        <v>5406</v>
      </c>
      <c r="C456" s="2918" t="s">
        <v>6087</v>
      </c>
    </row>
    <row r="457" spans="1:3">
      <c r="A457" s="2637" t="str">
        <f>translations!B457</f>
        <v>PET=Potential EvapoTranspiration</v>
      </c>
      <c r="B457" s="2829" t="s">
        <v>5407</v>
      </c>
      <c r="C457" s="2918" t="s">
        <v>2262</v>
      </c>
    </row>
    <row r="458" spans="1:3">
      <c r="A458" s="2637" t="str">
        <f>translations!B458</f>
        <v>MAT and Climate Category</v>
      </c>
      <c r="B458" s="2829" t="s">
        <v>5408</v>
      </c>
      <c r="C458" s="2918" t="s">
        <v>6088</v>
      </c>
    </row>
    <row r="459" spans="1:3">
      <c r="A459" s="2637" t="str">
        <f>translations!B459</f>
        <v>MAT &gt; 18</v>
      </c>
      <c r="B459" s="2829" t="s">
        <v>2265</v>
      </c>
      <c r="C459" s="2918" t="s">
        <v>326</v>
      </c>
    </row>
    <row r="460" spans="1:3">
      <c r="A460" s="2637" t="str">
        <f>translations!B460</f>
        <v>10 &gt; MAT &gt; 18</v>
      </c>
      <c r="B460" s="2829" t="s">
        <v>2266</v>
      </c>
      <c r="C460" s="2918" t="s">
        <v>2267</v>
      </c>
    </row>
    <row r="461" spans="1:3">
      <c r="A461" s="2637" t="str">
        <f>translations!B461</f>
        <v>0 &gt; MAT &gt; 10</v>
      </c>
      <c r="B461" s="2829" t="s">
        <v>2268</v>
      </c>
      <c r="C461" s="2918" t="s">
        <v>2269</v>
      </c>
    </row>
    <row r="462" spans="1:3">
      <c r="A462" s="2637" t="str">
        <f>translations!B462</f>
        <v>MAT &lt; 0</v>
      </c>
      <c r="B462" s="2829" t="s">
        <v>2270</v>
      </c>
      <c r="C462" s="2918" t="s">
        <v>80</v>
      </c>
    </row>
    <row r="463" spans="1:3" ht="26.4">
      <c r="A463" s="2637" t="str">
        <f>translations!B463</f>
        <v>Note: Tropical Montane is usually Dry</v>
      </c>
      <c r="B463" s="2829" t="s">
        <v>5411</v>
      </c>
      <c r="C463" s="2918" t="s">
        <v>6089</v>
      </c>
    </row>
    <row r="464" spans="1:3">
      <c r="A464" s="2637" t="str">
        <f>translations!B464</f>
        <v>IPCC Climate Zones</v>
      </c>
      <c r="B464" s="2829" t="s">
        <v>5412</v>
      </c>
      <c r="C464" s="2918" t="s">
        <v>6090</v>
      </c>
    </row>
    <row r="465" spans="1:3">
      <c r="A465" s="2637" t="str">
        <f>translations!B465</f>
        <v>No Data</v>
      </c>
      <c r="B465" s="2829" t="s">
        <v>2275</v>
      </c>
      <c r="C465" s="2918" t="s">
        <v>6091</v>
      </c>
    </row>
    <row r="466" spans="1:3">
      <c r="A466" s="2637" t="str">
        <f>translations!B466</f>
        <v>Default MAT</v>
      </c>
      <c r="B466" s="2829" t="s">
        <v>5413</v>
      </c>
      <c r="C466" s="2918" t="s">
        <v>6092</v>
      </c>
    </row>
    <row r="467" spans="1:3">
      <c r="A467" s="2637" t="str">
        <f>translations!B467</f>
        <v>Simplified IPCC Climate Zones</v>
      </c>
      <c r="B467" s="2829" t="s">
        <v>5414</v>
      </c>
      <c r="C467" s="2918" t="s">
        <v>6093</v>
      </c>
    </row>
    <row r="468" spans="1:3">
      <c r="A468" s="2637" t="str">
        <f>translations!B468</f>
        <v>Cool</v>
      </c>
      <c r="B468" s="2829" t="s">
        <v>5415</v>
      </c>
      <c r="C468" s="2918" t="s">
        <v>6094</v>
      </c>
    </row>
    <row r="469" spans="1:3">
      <c r="A469" s="2637" t="str">
        <f>translations!B469</f>
        <v>Warm</v>
      </c>
      <c r="B469" s="2829" t="s">
        <v>5416</v>
      </c>
      <c r="C469" s="2918" t="s">
        <v>2281</v>
      </c>
    </row>
    <row r="470" spans="1:3">
      <c r="A470" s="2637" t="str">
        <f>translations!B470</f>
        <v>Boreal</v>
      </c>
      <c r="B470" s="2829" t="s">
        <v>396</v>
      </c>
      <c r="C470" s="2918" t="s">
        <v>396</v>
      </c>
    </row>
    <row r="471" spans="1:3">
      <c r="A471" s="2637" t="str">
        <f>translations!B471</f>
        <v>(or Polar)</v>
      </c>
      <c r="B471" s="2829" t="s">
        <v>5409</v>
      </c>
      <c r="C471" s="2918" t="s">
        <v>6095</v>
      </c>
    </row>
    <row r="472" spans="1:3">
      <c r="A472" s="2637" t="str">
        <f>translations!B472</f>
        <v>FAO ressources:</v>
      </c>
      <c r="B472" s="2829" t="s">
        <v>5417</v>
      </c>
      <c r="C472" s="2918" t="s">
        <v>6096</v>
      </c>
    </row>
    <row r="473" spans="1:3">
      <c r="A473" s="2637" t="str">
        <f>translations!B473</f>
        <v>MAP and MAT Maps</v>
      </c>
      <c r="B473" s="2829" t="s">
        <v>5418</v>
      </c>
      <c r="C473" s="2918" t="s">
        <v>6097</v>
      </c>
    </row>
    <row r="474" spans="1:3">
      <c r="A474" s="2637" t="str">
        <f>translations!B474</f>
        <v>See the Global Climate map at FAO</v>
      </c>
      <c r="B474" s="2829" t="s">
        <v>5410</v>
      </c>
      <c r="C474" s="2918" t="s">
        <v>6098</v>
      </c>
    </row>
    <row r="475" spans="1:3" ht="26.4">
      <c r="A475" s="2637" t="str">
        <f>translations!B475</f>
        <v>Annual average rainfall total</v>
      </c>
      <c r="B475" s="2829" t="s">
        <v>5419</v>
      </c>
      <c r="C475" s="2918" t="s">
        <v>6099</v>
      </c>
    </row>
    <row r="476" spans="1:3">
      <c r="A476" s="2637" t="str">
        <f>translations!B476</f>
        <v>Annual average temperature</v>
      </c>
      <c r="B476" s="2829" t="s">
        <v>5420</v>
      </c>
      <c r="C476" s="2918" t="s">
        <v>6100</v>
      </c>
    </row>
    <row r="477" spans="1:3">
      <c r="A477" s="2637" t="str">
        <f>translations!B477</f>
        <v>LocClim</v>
      </c>
      <c r="B477" s="2829" t="s">
        <v>1061</v>
      </c>
      <c r="C477" s="2918" t="s">
        <v>1061</v>
      </c>
    </row>
    <row r="478" spans="1:3">
      <c r="A478" s="2637" t="str">
        <f>translations!B478</f>
        <v>Web Loc Clim</v>
      </c>
      <c r="B478" s="2829" t="s">
        <v>1062</v>
      </c>
      <c r="C478" s="2918" t="s">
        <v>2913</v>
      </c>
    </row>
    <row r="479" spans="1:3" ht="66">
      <c r="A479" s="2637" t="str">
        <f>translations!B479</f>
        <v xml:space="preserve">LocClim was developed to provide an estimate of climatic conditions at locations for which no observations are available. To achieve this, the programme uses the 28800 stations of FAOCLIM 2.0 </v>
      </c>
      <c r="B479" s="2829" t="s">
        <v>5421</v>
      </c>
      <c r="C479" s="2918" t="s">
        <v>6101</v>
      </c>
    </row>
    <row r="480" spans="1:3" ht="26.4">
      <c r="A480" s="2637" t="str">
        <f>translations!B480</f>
        <v>Click here to go to the application</v>
      </c>
      <c r="B480" s="2829" t="s">
        <v>5422</v>
      </c>
      <c r="C480" s="2918" t="s">
        <v>6102</v>
      </c>
    </row>
    <row r="481" spans="1:12" ht="39.6">
      <c r="A481" s="2637" t="str">
        <f>translations!B481</f>
        <v>For on-line climate data using localisation see also Web LocClim the  local monthly climate estimator</v>
      </c>
      <c r="B481" s="2829" t="s">
        <v>5425</v>
      </c>
      <c r="C481" s="2918" t="s">
        <v>6103</v>
      </c>
    </row>
    <row r="482" spans="1:12">
      <c r="A482" s="2637" t="str">
        <f>translations!B482</f>
        <v>Go to Web LocClim</v>
      </c>
      <c r="B482" s="2829" t="s">
        <v>5423</v>
      </c>
      <c r="C482" s="2918" t="s">
        <v>6104</v>
      </c>
    </row>
    <row r="483" spans="1:12">
      <c r="A483" s="2637" t="str">
        <f>translations!B483</f>
        <v>Global Ecological Zones</v>
      </c>
      <c r="B483" s="2829" t="s">
        <v>5426</v>
      </c>
      <c r="C483" s="2918" t="s">
        <v>6105</v>
      </c>
    </row>
    <row r="484" spans="1:12" ht="66">
      <c r="A484" s="2637" t="str">
        <f>translations!B484</f>
        <v>Global ecological zones, based on observed climate and vegetation patterns (FAO, 2001). Data for geographic information systems available at http://www.fao.org.</v>
      </c>
      <c r="B484" s="2829" t="s">
        <v>5424</v>
      </c>
      <c r="C484" s="2918" t="s">
        <v>6106</v>
      </c>
    </row>
    <row r="485" spans="1:12">
      <c r="A485" s="2637" t="str">
        <f>translations!B485</f>
        <v>Tropical desert</v>
      </c>
      <c r="B485" s="2829" t="s">
        <v>5429</v>
      </c>
      <c r="C485" s="2918" t="s">
        <v>6107</v>
      </c>
    </row>
    <row r="486" spans="1:12">
      <c r="A486" s="2637" t="str">
        <f>translations!B486</f>
        <v>Subtropical desert</v>
      </c>
      <c r="B486" s="2829" t="s">
        <v>5430</v>
      </c>
      <c r="C486" s="2918" t="s">
        <v>6108</v>
      </c>
    </row>
    <row r="487" spans="1:12">
      <c r="A487" s="2637" t="str">
        <f>translations!B487</f>
        <v>Temperate steppe</v>
      </c>
      <c r="B487" s="2829" t="s">
        <v>5428</v>
      </c>
      <c r="C487" s="2918" t="s">
        <v>6109</v>
      </c>
    </row>
    <row r="488" spans="1:12">
      <c r="A488" s="2637" t="str">
        <f>translations!B488</f>
        <v>Temperate desert</v>
      </c>
      <c r="B488" s="2829" t="s">
        <v>5431</v>
      </c>
      <c r="C488" s="2918" t="s">
        <v>6110</v>
      </c>
    </row>
    <row r="489" spans="1:12">
      <c r="A489" s="2637" t="str">
        <f>translations!B489</f>
        <v>Polar</v>
      </c>
      <c r="B489" s="2829" t="s">
        <v>2305</v>
      </c>
      <c r="C489" s="2918" t="s">
        <v>2305</v>
      </c>
    </row>
    <row r="490" spans="1:12">
      <c r="A490" s="2637">
        <f>translations!B490</f>
        <v>0</v>
      </c>
      <c r="B490" s="2829"/>
    </row>
    <row r="491" spans="1:12" s="2787" customFormat="1">
      <c r="A491" s="2640" t="str">
        <f>translations!B491</f>
        <v>English</v>
      </c>
      <c r="B491" s="2640" t="str">
        <f>B1</f>
        <v>Português</v>
      </c>
      <c r="C491" s="2917" t="s">
        <v>5792</v>
      </c>
      <c r="D491" s="2787" t="str">
        <f t="shared" ref="D491:L491" si="7">D1</f>
        <v>Lang002</v>
      </c>
      <c r="E491" s="2787" t="str">
        <f t="shared" si="7"/>
        <v>Lang003</v>
      </c>
      <c r="F491" s="2787" t="str">
        <f t="shared" si="7"/>
        <v>Lang004</v>
      </c>
      <c r="G491" s="2787" t="str">
        <f t="shared" si="7"/>
        <v>Lang005</v>
      </c>
      <c r="H491" s="2787" t="str">
        <f t="shared" si="7"/>
        <v>Lang006</v>
      </c>
      <c r="I491" s="2787" t="str">
        <f t="shared" si="7"/>
        <v>Lang007</v>
      </c>
      <c r="J491" s="2787" t="str">
        <f t="shared" si="7"/>
        <v>Lang008</v>
      </c>
      <c r="K491" s="2787" t="str">
        <f t="shared" si="7"/>
        <v>Lang009</v>
      </c>
      <c r="L491" s="2787" t="str">
        <f t="shared" si="7"/>
        <v>Lang010</v>
      </c>
    </row>
    <row r="492" spans="1:12">
      <c r="A492" s="2637" t="str">
        <f>translations!B492</f>
        <v>Yield</v>
      </c>
      <c r="B492" s="2829" t="s">
        <v>5434</v>
      </c>
      <c r="C492" s="2918" t="s">
        <v>6111</v>
      </c>
    </row>
    <row r="493" spans="1:12">
      <c r="A493" s="2637" t="str">
        <f>translations!B493</f>
        <v>Region</v>
      </c>
      <c r="B493" s="2829" t="s">
        <v>5435</v>
      </c>
      <c r="C493" s="2918" t="s">
        <v>335</v>
      </c>
    </row>
    <row r="494" spans="1:12">
      <c r="A494" s="2637" t="str">
        <f>translations!B494</f>
        <v>Item</v>
      </c>
      <c r="B494" s="2829" t="s">
        <v>1333</v>
      </c>
      <c r="C494" s="2918" t="s">
        <v>6112</v>
      </c>
    </row>
    <row r="495" spans="1:12">
      <c r="A495" s="2637" t="str">
        <f>translations!B495</f>
        <v>(see Map below)</v>
      </c>
      <c r="B495" s="2829" t="s">
        <v>5432</v>
      </c>
      <c r="C495" s="2918" t="s">
        <v>6113</v>
      </c>
    </row>
    <row r="496" spans="1:12">
      <c r="A496" s="2637" t="str">
        <f>translations!B496</f>
        <v>Year</v>
      </c>
      <c r="B496" s="2829" t="s">
        <v>5436</v>
      </c>
      <c r="C496" s="2918" t="s">
        <v>6114</v>
      </c>
    </row>
    <row r="497" spans="1:3">
      <c r="A497" s="2637" t="str">
        <f>translations!B497</f>
        <v>Yield (t/ha)</v>
      </c>
      <c r="B497" s="2829" t="s">
        <v>5437</v>
      </c>
      <c r="C497" s="2918" t="s">
        <v>6115</v>
      </c>
    </row>
    <row r="498" spans="1:3">
      <c r="A498" s="2637" t="str">
        <f>translations!B498</f>
        <v>Periods</v>
      </c>
      <c r="B498" s="2829" t="s">
        <v>5438</v>
      </c>
      <c r="C498" s="2918" t="s">
        <v>6116</v>
      </c>
    </row>
    <row r="499" spans="1:3">
      <c r="A499" s="2637" t="str">
        <f>translations!B499</f>
        <v>Average</v>
      </c>
      <c r="B499" s="2829" t="s">
        <v>5439</v>
      </c>
      <c r="C499" s="2918" t="s">
        <v>6117</v>
      </c>
    </row>
    <row r="500" spans="1:3">
      <c r="A500" s="2637" t="str">
        <f>translations!B500</f>
        <v>Rate (%)</v>
      </c>
      <c r="B500" s="2829" t="s">
        <v>5433</v>
      </c>
      <c r="C500" s="2918" t="s">
        <v>6118</v>
      </c>
    </row>
    <row r="501" spans="1:3">
      <c r="A501" s="2637" t="str">
        <f>translations!B501</f>
        <v>Projections</v>
      </c>
      <c r="B501" s="2829" t="s">
        <v>5440</v>
      </c>
      <c r="C501" s="2918" t="s">
        <v>6119</v>
      </c>
    </row>
    <row r="502" spans="1:3">
      <c r="A502" s="2637" t="str">
        <f>translations!B502</f>
        <v>Last 5 yr (2006-2010)</v>
      </c>
      <c r="B502" s="2829" t="s">
        <v>5441</v>
      </c>
      <c r="C502" s="2918" t="s">
        <v>6120</v>
      </c>
    </row>
    <row r="503" spans="1:3">
      <c r="A503" s="2637" t="str">
        <f>translations!B503</f>
        <v>Last 10 yr (2001-2010)</v>
      </c>
      <c r="B503" s="2829" t="s">
        <v>5442</v>
      </c>
      <c r="C503" s="2918" t="s">
        <v>6121</v>
      </c>
    </row>
    <row r="504" spans="1:3">
      <c r="A504" s="2637" t="str">
        <f>translations!B504</f>
        <v>Last 20 yr (1991-2010)</v>
      </c>
      <c r="B504" s="2829" t="s">
        <v>5444</v>
      </c>
      <c r="C504" s="2918" t="s">
        <v>6122</v>
      </c>
    </row>
    <row r="505" spans="1:3">
      <c r="A505" s="2637" t="str">
        <f>translations!B505</f>
        <v>Last 25yr (1986-2010)</v>
      </c>
      <c r="B505" s="2829" t="s">
        <v>5445</v>
      </c>
      <c r="C505" s="2918" t="s">
        <v>6123</v>
      </c>
    </row>
    <row r="506" spans="1:3" ht="52.8">
      <c r="A506" s="2637" t="str">
        <f>translations!B506</f>
        <v>These data are from FAOSTAT, if you need more detailed information (e.g. by country) please visit the FAO website</v>
      </c>
      <c r="B506" s="2829" t="s">
        <v>5446</v>
      </c>
      <c r="C506" s="2918" t="s">
        <v>6124</v>
      </c>
    </row>
    <row r="507" spans="1:3">
      <c r="A507" s="2637">
        <f>translations!B507</f>
        <v>0</v>
      </c>
      <c r="B507" s="2829"/>
    </row>
    <row r="508" spans="1:3">
      <c r="A508" s="2637">
        <f>translations!B508</f>
        <v>0</v>
      </c>
      <c r="B508" s="2829"/>
    </row>
    <row r="509" spans="1:3">
      <c r="A509" s="2637">
        <f>translations!B509</f>
        <v>0</v>
      </c>
      <c r="B509" s="2829"/>
    </row>
    <row r="510" spans="1:3">
      <c r="A510" s="2637">
        <f>translations!B510</f>
        <v>0</v>
      </c>
      <c r="B510" s="2829"/>
    </row>
    <row r="511" spans="1:3" s="2787" customFormat="1">
      <c r="A511" s="2640" t="str">
        <f>translations!B511</f>
        <v>English</v>
      </c>
      <c r="B511" s="2833" t="str">
        <f>B1</f>
        <v>Português</v>
      </c>
      <c r="C511" s="2917" t="str">
        <f>C1</f>
        <v>Deutsch</v>
      </c>
    </row>
    <row r="512" spans="1:3" ht="41.4">
      <c r="A512" s="2637" t="str">
        <f>translations!B512</f>
        <v>Daily emission factor for Rice  (EF) = EF-Basis × EF-Before × EF-During × EF-Org. Amendment</v>
      </c>
      <c r="B512" s="2829" t="s">
        <v>6231</v>
      </c>
      <c r="C512" s="3054" t="s">
        <v>6236</v>
      </c>
    </row>
    <row r="513" spans="1:3" ht="13.8">
      <c r="A513" s="2637" t="str">
        <f>translations!B513</f>
        <v>(EF are in kg CH4 per ha per day)</v>
      </c>
      <c r="B513" s="2829" t="s">
        <v>6242</v>
      </c>
      <c r="C513" s="3054" t="s">
        <v>6237</v>
      </c>
    </row>
    <row r="514" spans="1:3" ht="13.8">
      <c r="A514" s="2637" t="str">
        <f>translations!B514</f>
        <v>EF-Basis</v>
      </c>
      <c r="B514" s="2829" t="s">
        <v>6221</v>
      </c>
      <c r="C514" s="3055" t="s">
        <v>6238</v>
      </c>
    </row>
    <row r="515" spans="1:3" ht="13.8">
      <c r="A515" s="2637" t="str">
        <f>translations!B515</f>
        <v>EF-Before</v>
      </c>
      <c r="B515" s="2829" t="s">
        <v>6230</v>
      </c>
      <c r="C515" s="3054" t="s">
        <v>6239</v>
      </c>
    </row>
    <row r="516" spans="1:3" ht="13.8">
      <c r="A516" s="2637" t="str">
        <f>translations!B516</f>
        <v>EF-During</v>
      </c>
      <c r="B516" s="2829" t="s">
        <v>6226</v>
      </c>
      <c r="C516" s="3054" t="s">
        <v>6240</v>
      </c>
    </row>
    <row r="517" spans="1:3" ht="13.8">
      <c r="A517" s="2637" t="str">
        <f>translations!B517</f>
        <v>EF-Org. Amendement</v>
      </c>
      <c r="B517" s="2829" t="s">
        <v>6229</v>
      </c>
      <c r="C517" s="3054" t="s">
        <v>6241</v>
      </c>
    </row>
    <row r="518" spans="1:3" ht="13.8">
      <c r="A518" s="2637" t="str">
        <f>translations!B518</f>
        <v>EF</v>
      </c>
      <c r="B518" s="2829" t="s">
        <v>6222</v>
      </c>
      <c r="C518" s="3054" t="s">
        <v>6215</v>
      </c>
    </row>
    <row r="519" spans="1:3">
      <c r="A519" s="2637">
        <f>translations!B519</f>
        <v>0</v>
      </c>
      <c r="B519" s="2829"/>
    </row>
    <row r="520" spans="1:3">
      <c r="A520" s="2637">
        <f>translations!B520</f>
        <v>0</v>
      </c>
      <c r="B520" s="2829"/>
    </row>
    <row r="521" spans="1:3">
      <c r="A521" s="2637">
        <f>translations!B521</f>
        <v>0</v>
      </c>
      <c r="B521" s="2829"/>
    </row>
    <row r="522" spans="1:3">
      <c r="A522" s="2637">
        <f>translations!B522</f>
        <v>0</v>
      </c>
      <c r="B522" s="2829"/>
    </row>
    <row r="523" spans="1:3">
      <c r="A523" s="2637">
        <f>translations!B523</f>
        <v>0</v>
      </c>
      <c r="B523" s="2829"/>
    </row>
    <row r="524" spans="1:3">
      <c r="A524" s="2637">
        <f>translations!B524</f>
        <v>0</v>
      </c>
      <c r="B524" s="2829"/>
    </row>
    <row r="525" spans="1:3">
      <c r="A525" s="2637">
        <f>translations!B525</f>
        <v>0</v>
      </c>
      <c r="B525" s="2829"/>
    </row>
    <row r="526" spans="1:3">
      <c r="A526" s="2637">
        <f>translations!B526</f>
        <v>0</v>
      </c>
      <c r="B526" s="2829"/>
    </row>
    <row r="527" spans="1:3">
      <c r="A527" s="2637">
        <f>translations!B527</f>
        <v>0</v>
      </c>
      <c r="B527" s="2829"/>
    </row>
    <row r="528" spans="1:3">
      <c r="A528" s="2637">
        <f>translations!B528</f>
        <v>0</v>
      </c>
      <c r="B528" s="2829"/>
    </row>
    <row r="529" spans="1:2">
      <c r="A529" s="2637">
        <f>translations!B529</f>
        <v>0</v>
      </c>
      <c r="B529" s="2829"/>
    </row>
    <row r="530" spans="1:2">
      <c r="A530" s="2637">
        <f>translations!B530</f>
        <v>0</v>
      </c>
      <c r="B530" s="2829"/>
    </row>
    <row r="531" spans="1:2">
      <c r="A531" s="2637">
        <f>translations!B531</f>
        <v>0</v>
      </c>
      <c r="B531" s="2829"/>
    </row>
    <row r="532" spans="1:2">
      <c r="A532" s="2637">
        <f>translations!B532</f>
        <v>0</v>
      </c>
      <c r="B532" s="2829"/>
    </row>
    <row r="533" spans="1:2">
      <c r="A533" s="2637">
        <f>translations!B533</f>
        <v>0</v>
      </c>
      <c r="B533" s="2829"/>
    </row>
    <row r="534" spans="1:2">
      <c r="A534" s="2637">
        <f>translations!B534</f>
        <v>0</v>
      </c>
      <c r="B534" s="2829"/>
    </row>
    <row r="535" spans="1:2">
      <c r="A535" s="2637">
        <f>translations!B535</f>
        <v>0</v>
      </c>
      <c r="B535" s="2829"/>
    </row>
    <row r="536" spans="1:2">
      <c r="A536" s="2637">
        <f>translations!B536</f>
        <v>0</v>
      </c>
      <c r="B536" s="2829"/>
    </row>
    <row r="537" spans="1:2">
      <c r="A537" s="2637">
        <f>translations!B537</f>
        <v>0</v>
      </c>
      <c r="B537" s="2829"/>
    </row>
    <row r="538" spans="1:2">
      <c r="A538" s="2637">
        <f>translations!B538</f>
        <v>0</v>
      </c>
      <c r="B538" s="2829"/>
    </row>
    <row r="539" spans="1:2">
      <c r="A539" s="2637">
        <f>translations!B539</f>
        <v>0</v>
      </c>
      <c r="B539" s="2829"/>
    </row>
    <row r="540" spans="1:2">
      <c r="A540" s="2637">
        <f>translations!B540</f>
        <v>0</v>
      </c>
      <c r="B540" s="2829"/>
    </row>
    <row r="541" spans="1:2">
      <c r="A541" s="2637">
        <f>translations!B541</f>
        <v>0</v>
      </c>
      <c r="B541" s="2829"/>
    </row>
    <row r="542" spans="1:2">
      <c r="A542" s="2637">
        <f>translations!B542</f>
        <v>0</v>
      </c>
      <c r="B542" s="2829"/>
    </row>
    <row r="543" spans="1:2">
      <c r="A543" s="2637">
        <f>translations!B543</f>
        <v>0</v>
      </c>
      <c r="B543" s="2829"/>
    </row>
    <row r="544" spans="1:2">
      <c r="A544" s="2637">
        <f>translations!B544</f>
        <v>0</v>
      </c>
      <c r="B544" s="2829"/>
    </row>
    <row r="545" spans="1:2">
      <c r="A545" s="2637">
        <f>translations!B545</f>
        <v>0</v>
      </c>
      <c r="B545" s="2829"/>
    </row>
    <row r="546" spans="1:2">
      <c r="A546" s="2637">
        <f>translations!B546</f>
        <v>0</v>
      </c>
      <c r="B546" s="2829"/>
    </row>
    <row r="547" spans="1:2">
      <c r="A547" s="2637">
        <f>translations!B547</f>
        <v>0</v>
      </c>
      <c r="B547" s="2829"/>
    </row>
    <row r="548" spans="1:2">
      <c r="A548" s="2637">
        <f>translations!B548</f>
        <v>0</v>
      </c>
      <c r="B548" s="2829"/>
    </row>
    <row r="549" spans="1:2">
      <c r="A549" s="2637">
        <f>translations!B549</f>
        <v>0</v>
      </c>
      <c r="B549" s="2829"/>
    </row>
    <row r="550" spans="1:2">
      <c r="A550" s="2637">
        <f>translations!B550</f>
        <v>0</v>
      </c>
      <c r="B550" s="2829"/>
    </row>
    <row r="551" spans="1:2">
      <c r="A551" s="2637">
        <f>translations!B551</f>
        <v>0</v>
      </c>
      <c r="B551" s="2829"/>
    </row>
    <row r="552" spans="1:2">
      <c r="A552" s="2637">
        <f>translations!B552</f>
        <v>0</v>
      </c>
      <c r="B552" s="2829"/>
    </row>
    <row r="553" spans="1:2">
      <c r="A553" s="2637">
        <f>translations!B553</f>
        <v>0</v>
      </c>
      <c r="B553" s="2829"/>
    </row>
    <row r="554" spans="1:2">
      <c r="A554" s="2637">
        <f>translations!B554</f>
        <v>0</v>
      </c>
      <c r="B554" s="2829"/>
    </row>
    <row r="555" spans="1:2">
      <c r="A555" s="2637">
        <f>translations!B555</f>
        <v>0</v>
      </c>
      <c r="B555" s="2829"/>
    </row>
    <row r="556" spans="1:2">
      <c r="A556" s="2637">
        <f>translations!B556</f>
        <v>0</v>
      </c>
      <c r="B556" s="2829"/>
    </row>
    <row r="557" spans="1:2">
      <c r="A557" s="2637">
        <f>translations!B557</f>
        <v>0</v>
      </c>
      <c r="B557" s="2829"/>
    </row>
    <row r="558" spans="1:2">
      <c r="A558" s="2637">
        <f>translations!B558</f>
        <v>0</v>
      </c>
      <c r="B558" s="2829"/>
    </row>
    <row r="559" spans="1:2">
      <c r="A559" s="2637">
        <f>translations!B559</f>
        <v>0</v>
      </c>
      <c r="B559" s="2829"/>
    </row>
    <row r="560" spans="1:2">
      <c r="A560" s="2637">
        <f>translations!B560</f>
        <v>0</v>
      </c>
      <c r="B560" s="2829"/>
    </row>
    <row r="561" spans="1:2">
      <c r="A561" s="2637">
        <f>translations!B561</f>
        <v>0</v>
      </c>
      <c r="B561" s="2829"/>
    </row>
    <row r="562" spans="1:2">
      <c r="A562" s="2637">
        <f>translations!B562</f>
        <v>0</v>
      </c>
      <c r="B562" s="2829"/>
    </row>
    <row r="563" spans="1:2">
      <c r="A563" s="2637">
        <f>translations!B563</f>
        <v>0</v>
      </c>
      <c r="B563" s="2829"/>
    </row>
    <row r="564" spans="1:2">
      <c r="A564" s="2637">
        <f>translations!B564</f>
        <v>0</v>
      </c>
      <c r="B564" s="2829"/>
    </row>
    <row r="565" spans="1:2">
      <c r="A565" s="2637">
        <f>translations!B565</f>
        <v>0</v>
      </c>
      <c r="B565" s="2829"/>
    </row>
    <row r="566" spans="1:2">
      <c r="A566" s="2637">
        <f>translations!B566</f>
        <v>0</v>
      </c>
      <c r="B566" s="2829"/>
    </row>
    <row r="567" spans="1:2">
      <c r="A567" s="2637">
        <f>translations!B567</f>
        <v>0</v>
      </c>
      <c r="B567" s="2829"/>
    </row>
    <row r="568" spans="1:2">
      <c r="A568" s="2637">
        <f>translations!B568</f>
        <v>0</v>
      </c>
      <c r="B568" s="2829"/>
    </row>
    <row r="569" spans="1:2">
      <c r="A569" s="2637">
        <f>translations!B569</f>
        <v>0</v>
      </c>
      <c r="B569" s="2829"/>
    </row>
    <row r="570" spans="1:2">
      <c r="A570" s="2637">
        <f>translations!B570</f>
        <v>0</v>
      </c>
      <c r="B570" s="2829"/>
    </row>
    <row r="571" spans="1:2">
      <c r="A571" s="2637">
        <f>translations!B571</f>
        <v>0</v>
      </c>
      <c r="B571" s="2829"/>
    </row>
    <row r="572" spans="1:2">
      <c r="A572" s="2637">
        <f>translations!B572</f>
        <v>0</v>
      </c>
      <c r="B572" s="2829"/>
    </row>
    <row r="573" spans="1:2">
      <c r="A573" s="2637">
        <f>translations!B573</f>
        <v>0</v>
      </c>
      <c r="B573" s="2829"/>
    </row>
    <row r="574" spans="1:2">
      <c r="A574" s="2637">
        <f>translations!B574</f>
        <v>0</v>
      </c>
      <c r="B574" s="2829"/>
    </row>
    <row r="575" spans="1:2">
      <c r="A575" s="2637">
        <f>translations!B575</f>
        <v>0</v>
      </c>
      <c r="B575" s="2829"/>
    </row>
    <row r="576" spans="1:2">
      <c r="A576" s="2637">
        <f>translations!B576</f>
        <v>0</v>
      </c>
      <c r="B576" s="2829"/>
    </row>
    <row r="577" spans="1:2">
      <c r="A577" s="2637">
        <f>translations!B577</f>
        <v>0</v>
      </c>
      <c r="B577" s="2829"/>
    </row>
    <row r="578" spans="1:2">
      <c r="A578" s="2637">
        <f>translations!B578</f>
        <v>0</v>
      </c>
      <c r="B578" s="2829"/>
    </row>
    <row r="579" spans="1:2">
      <c r="A579" s="2637">
        <f>translations!B579</f>
        <v>0</v>
      </c>
      <c r="B579" s="2829"/>
    </row>
    <row r="580" spans="1:2">
      <c r="A580" s="2637">
        <f>translations!B580</f>
        <v>0</v>
      </c>
      <c r="B580" s="2829"/>
    </row>
    <row r="581" spans="1:2">
      <c r="A581" s="2637">
        <f>translations!B581</f>
        <v>0</v>
      </c>
      <c r="B581" s="2829"/>
    </row>
    <row r="582" spans="1:2">
      <c r="A582" s="2637">
        <f>translations!B582</f>
        <v>0</v>
      </c>
      <c r="B582" s="2829"/>
    </row>
    <row r="583" spans="1:2">
      <c r="A583" s="2637">
        <f>translations!B583</f>
        <v>0</v>
      </c>
      <c r="B583" s="2829"/>
    </row>
    <row r="584" spans="1:2">
      <c r="A584" s="2637">
        <f>translations!B584</f>
        <v>0</v>
      </c>
      <c r="B584" s="2829"/>
    </row>
    <row r="585" spans="1:2">
      <c r="A585" s="2637">
        <f>translations!B585</f>
        <v>0</v>
      </c>
      <c r="B585" s="2829"/>
    </row>
    <row r="586" spans="1:2">
      <c r="A586" s="2637">
        <f>translations!B586</f>
        <v>0</v>
      </c>
      <c r="B586" s="2829"/>
    </row>
    <row r="587" spans="1:2">
      <c r="A587" s="2637">
        <f>translations!B587</f>
        <v>0</v>
      </c>
      <c r="B587" s="2829"/>
    </row>
    <row r="588" spans="1:2">
      <c r="A588" s="2637">
        <f>translations!B588</f>
        <v>0</v>
      </c>
      <c r="B588" s="2829"/>
    </row>
    <row r="589" spans="1:2">
      <c r="A589" s="2637">
        <f>translations!B589</f>
        <v>0</v>
      </c>
      <c r="B589" s="2829"/>
    </row>
    <row r="590" spans="1:2">
      <c r="A590" s="2637">
        <f>translations!B590</f>
        <v>0</v>
      </c>
      <c r="B590" s="2829"/>
    </row>
    <row r="591" spans="1:2">
      <c r="A591" s="2637">
        <f>translations!B591</f>
        <v>0</v>
      </c>
      <c r="B591" s="2829"/>
    </row>
    <row r="592" spans="1:2">
      <c r="A592" s="2637">
        <f>translations!B592</f>
        <v>0</v>
      </c>
      <c r="B592" s="2829"/>
    </row>
    <row r="593" spans="1:2">
      <c r="A593" s="2637">
        <f>translations!B593</f>
        <v>0</v>
      </c>
      <c r="B593" s="2829"/>
    </row>
    <row r="594" spans="1:2">
      <c r="A594" s="2637">
        <f>translations!B594</f>
        <v>0</v>
      </c>
      <c r="B594" s="2829"/>
    </row>
    <row r="595" spans="1:2">
      <c r="A595" s="2637">
        <f>translations!B595</f>
        <v>0</v>
      </c>
      <c r="B595" s="2829"/>
    </row>
  </sheetData>
  <pageMargins left="0.7" right="0.7" top="0.75" bottom="0.75" header="0.3" footer="0.3"/>
  <pageSetup paperSize="9" orientation="portrait" horizontalDpi="300" verticalDpi="0" copies="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
  <sheetViews>
    <sheetView workbookViewId="0">
      <selection activeCell="C89" sqref="C89"/>
    </sheetView>
  </sheetViews>
  <sheetFormatPr baseColWidth="10" defaultColWidth="11.5546875" defaultRowHeight="13.2"/>
  <cols>
    <col min="1" max="1" width="28.6640625" customWidth="1"/>
    <col min="2" max="2" width="41.33203125" customWidth="1"/>
    <col min="3" max="3" width="39.6640625" customWidth="1"/>
  </cols>
  <sheetData>
    <row r="1" spans="1:12" s="2648" customFormat="1">
      <c r="A1" s="2648" t="s">
        <v>1886</v>
      </c>
      <c r="B1" s="2648" t="s">
        <v>1650</v>
      </c>
      <c r="C1" s="2648" t="str">
        <f>'Other Translations'!C1</f>
        <v>Deutsch</v>
      </c>
      <c r="D1" s="2648" t="s">
        <v>1651</v>
      </c>
      <c r="E1" s="2648" t="s">
        <v>1652</v>
      </c>
      <c r="F1" s="2648" t="s">
        <v>1653</v>
      </c>
      <c r="G1" s="2648" t="s">
        <v>1654</v>
      </c>
      <c r="H1" s="2648" t="s">
        <v>1655</v>
      </c>
      <c r="I1" s="2648" t="s">
        <v>1656</v>
      </c>
      <c r="J1" s="2648" t="s">
        <v>1657</v>
      </c>
      <c r="K1" s="2648" t="s">
        <v>1658</v>
      </c>
      <c r="L1" s="2648" t="s">
        <v>1659</v>
      </c>
    </row>
    <row r="2" spans="1:12" ht="14.4">
      <c r="A2" t="str">
        <f>'Name translation'!A2</f>
        <v>Please select</v>
      </c>
      <c r="B2" s="2639" t="s">
        <v>2447</v>
      </c>
      <c r="C2" s="3025" t="s">
        <v>5581</v>
      </c>
    </row>
    <row r="3" spans="1:12" ht="14.4">
      <c r="A3" s="2078" t="str">
        <f>'Name translation'!A3</f>
        <v>Africa</v>
      </c>
      <c r="B3" s="2639" t="s">
        <v>302</v>
      </c>
      <c r="C3" s="3025" t="s">
        <v>5582</v>
      </c>
    </row>
    <row r="4" spans="1:12" ht="14.4">
      <c r="A4" s="2078" t="str">
        <f>'Name translation'!A4</f>
        <v>Asia (Continental)</v>
      </c>
      <c r="B4" s="2639" t="s">
        <v>2448</v>
      </c>
      <c r="C4" s="3025" t="s">
        <v>5583</v>
      </c>
    </row>
    <row r="5" spans="1:12" ht="14.4">
      <c r="A5" s="2078" t="str">
        <f>'Name translation'!A5</f>
        <v>Asia (Indian subcontinent)</v>
      </c>
      <c r="B5" s="2639" t="s">
        <v>2449</v>
      </c>
      <c r="C5" s="3025" t="s">
        <v>5584</v>
      </c>
    </row>
    <row r="6" spans="1:12" ht="14.4">
      <c r="A6" s="2078" t="str">
        <f>'Name translation'!A6</f>
        <v>Asia (Insular)</v>
      </c>
      <c r="B6" s="2639" t="s">
        <v>304</v>
      </c>
      <c r="C6" s="3035" t="s">
        <v>6126</v>
      </c>
    </row>
    <row r="7" spans="1:12" ht="14.4">
      <c r="A7" s="2078" t="str">
        <f>'Name translation'!A7</f>
        <v>Middle East</v>
      </c>
      <c r="B7" s="2639" t="s">
        <v>2450</v>
      </c>
      <c r="C7" s="3025" t="s">
        <v>5585</v>
      </c>
    </row>
    <row r="8" spans="1:12" ht="14.4">
      <c r="A8" s="2078" t="str">
        <f>'Name translation'!A8</f>
        <v>Western Europe</v>
      </c>
      <c r="B8" s="2639" t="s">
        <v>2451</v>
      </c>
      <c r="C8" s="3025" t="s">
        <v>5586</v>
      </c>
    </row>
    <row r="9" spans="1:12" ht="14.4">
      <c r="A9" s="2078" t="str">
        <f>'Name translation'!A9</f>
        <v>Eastern Europe</v>
      </c>
      <c r="B9" s="2639" t="s">
        <v>2452</v>
      </c>
      <c r="C9" s="3025" t="s">
        <v>5587</v>
      </c>
    </row>
    <row r="10" spans="1:12" ht="14.4">
      <c r="A10" s="2078" t="str">
        <f>'Name translation'!A10</f>
        <v>Oceania</v>
      </c>
      <c r="B10" s="2639" t="s">
        <v>2453</v>
      </c>
      <c r="C10" s="3025" t="s">
        <v>5588</v>
      </c>
    </row>
    <row r="11" spans="1:12" ht="14.4">
      <c r="A11" s="2078" t="str">
        <f>'Name translation'!A11</f>
        <v>North America</v>
      </c>
      <c r="B11" s="2639" t="s">
        <v>2454</v>
      </c>
      <c r="C11" s="3025" t="s">
        <v>5589</v>
      </c>
    </row>
    <row r="12" spans="1:12" ht="14.4">
      <c r="A12" s="2078" t="str">
        <f>'Name translation'!A12</f>
        <v>Central America</v>
      </c>
      <c r="B12" s="2639" t="s">
        <v>2455</v>
      </c>
      <c r="C12" s="3025" t="s">
        <v>5590</v>
      </c>
    </row>
    <row r="13" spans="1:12" ht="14.4">
      <c r="A13" s="2078" t="str">
        <f>'Name translation'!A13</f>
        <v>South America</v>
      </c>
      <c r="B13" s="2639" t="s">
        <v>2456</v>
      </c>
      <c r="C13" s="3025" t="s">
        <v>5591</v>
      </c>
    </row>
    <row r="14" spans="1:12" ht="14.4">
      <c r="A14" s="2078" t="str">
        <f>'Name translation'!A14</f>
        <v>Please select</v>
      </c>
      <c r="B14" s="2639" t="str">
        <f>B2</f>
        <v>Favor escolher</v>
      </c>
      <c r="C14" s="3025" t="s">
        <v>5581</v>
      </c>
    </row>
    <row r="15" spans="1:12" ht="14.4">
      <c r="A15" s="2078" t="str">
        <f>'Name translation'!A15</f>
        <v>Boreal</v>
      </c>
      <c r="B15" s="2639" t="s">
        <v>396</v>
      </c>
      <c r="C15" s="3025" t="s">
        <v>396</v>
      </c>
    </row>
    <row r="16" spans="1:12" ht="14.4">
      <c r="A16" s="2078" t="str">
        <f>'Name translation'!A16</f>
        <v>Cool Temperate</v>
      </c>
      <c r="B16" s="2639" t="s">
        <v>2457</v>
      </c>
      <c r="C16" s="3025" t="s">
        <v>5592</v>
      </c>
    </row>
    <row r="17" spans="1:3" ht="14.4">
      <c r="A17" s="2078" t="str">
        <f>'Name translation'!A17</f>
        <v>Warm Temperate</v>
      </c>
      <c r="B17" s="2639" t="s">
        <v>2458</v>
      </c>
      <c r="C17" s="3025" t="s">
        <v>5593</v>
      </c>
    </row>
    <row r="18" spans="1:3" ht="14.4">
      <c r="A18" s="2078" t="str">
        <f>'Name translation'!A18</f>
        <v>Tropical</v>
      </c>
      <c r="B18" s="2639" t="s">
        <v>294</v>
      </c>
      <c r="C18" s="3025" t="s">
        <v>5594</v>
      </c>
    </row>
    <row r="19" spans="1:3" ht="14.4">
      <c r="A19" s="2078" t="str">
        <f>'Name translation'!A19</f>
        <v>Tropical Montane</v>
      </c>
      <c r="B19" s="2639" t="s">
        <v>2459</v>
      </c>
      <c r="C19" s="3025" t="s">
        <v>5595</v>
      </c>
    </row>
    <row r="20" spans="1:3" ht="14.4">
      <c r="A20" s="2078" t="str">
        <f>'Name translation'!A20</f>
        <v>Dry</v>
      </c>
      <c r="B20" s="2639" t="s">
        <v>2460</v>
      </c>
      <c r="C20" s="3025" t="s">
        <v>5596</v>
      </c>
    </row>
    <row r="21" spans="1:3" ht="14.4">
      <c r="A21" s="2078" t="str">
        <f>'Name translation'!A21</f>
        <v>Moist</v>
      </c>
      <c r="B21" s="2639" t="s">
        <v>2462</v>
      </c>
      <c r="C21" s="3025" t="s">
        <v>5597</v>
      </c>
    </row>
    <row r="22" spans="1:3" ht="14.4">
      <c r="A22" s="2078" t="str">
        <f>'Name translation'!A22</f>
        <v>Wet</v>
      </c>
      <c r="B22" s="2639" t="s">
        <v>2461</v>
      </c>
      <c r="C22" s="3025" t="s">
        <v>5598</v>
      </c>
    </row>
    <row r="23" spans="1:3" ht="14.4">
      <c r="A23" s="2078" t="str">
        <f>'Name translation'!A23</f>
        <v>HAC Soils</v>
      </c>
      <c r="B23" s="2639" t="s">
        <v>2463</v>
      </c>
      <c r="C23" s="3025" t="s">
        <v>5599</v>
      </c>
    </row>
    <row r="24" spans="1:3" ht="14.4">
      <c r="A24" s="2078" t="str">
        <f>'Name translation'!A24</f>
        <v>LAC Soils</v>
      </c>
      <c r="B24" s="2639" t="s">
        <v>2464</v>
      </c>
      <c r="C24" s="3025" t="s">
        <v>5600</v>
      </c>
    </row>
    <row r="25" spans="1:3" ht="14.4">
      <c r="A25" s="2078" t="str">
        <f>'Name translation'!A25</f>
        <v>Sandy Soils</v>
      </c>
      <c r="B25" s="2639" t="s">
        <v>2465</v>
      </c>
      <c r="C25" s="3025" t="s">
        <v>5601</v>
      </c>
    </row>
    <row r="26" spans="1:3" ht="14.4">
      <c r="A26" s="2078" t="str">
        <f>'Name translation'!A26</f>
        <v>Spodic Soils</v>
      </c>
      <c r="B26" s="2639" t="s">
        <v>2466</v>
      </c>
      <c r="C26" s="3025" t="s">
        <v>5602</v>
      </c>
    </row>
    <row r="27" spans="1:3" ht="14.4">
      <c r="A27" s="2078" t="str">
        <f>'Name translation'!A27</f>
        <v>Volcanic Soils</v>
      </c>
      <c r="B27" s="2639" t="s">
        <v>2467</v>
      </c>
      <c r="C27" s="3025" t="s">
        <v>5603</v>
      </c>
    </row>
    <row r="28" spans="1:3" ht="14.4">
      <c r="A28" s="2078" t="str">
        <f>'Name translation'!A28</f>
        <v>Wetland Soils</v>
      </c>
      <c r="B28" s="2639" t="s">
        <v>2468</v>
      </c>
      <c r="C28" s="3025" t="s">
        <v>5604</v>
      </c>
    </row>
    <row r="29" spans="1:3" ht="14.4">
      <c r="A29" s="2078" t="str">
        <f>'Name translation'!A29</f>
        <v>Other soils</v>
      </c>
      <c r="B29" s="2639" t="s">
        <v>2469</v>
      </c>
      <c r="C29" s="3025" t="s">
        <v>5605</v>
      </c>
    </row>
    <row r="30" spans="1:3" ht="14.4">
      <c r="A30" s="2078" t="str">
        <f>'Name translation'!A30</f>
        <v>Please specify the climate</v>
      </c>
      <c r="B30" s="2639" t="s">
        <v>2470</v>
      </c>
      <c r="C30" s="3025" t="s">
        <v>5606</v>
      </c>
    </row>
    <row r="31" spans="1:3" ht="14.4">
      <c r="A31" s="2078" t="str">
        <f>'Name translation'!A31</f>
        <v>Tropical rain forest</v>
      </c>
      <c r="B31" s="2639" t="s">
        <v>2471</v>
      </c>
      <c r="C31" s="3025" t="s">
        <v>5607</v>
      </c>
    </row>
    <row r="32" spans="1:3" ht="14.4">
      <c r="A32" s="2078" t="str">
        <f>'Name translation'!A32</f>
        <v>Tropical moist deciduous forest</v>
      </c>
      <c r="B32" s="2639" t="s">
        <v>2472</v>
      </c>
      <c r="C32" s="3025" t="s">
        <v>5608</v>
      </c>
    </row>
    <row r="33" spans="1:3" ht="14.4">
      <c r="A33" s="2078" t="str">
        <f>'Name translation'!A33</f>
        <v>Tropical dry forest</v>
      </c>
      <c r="B33" s="2639" t="s">
        <v>2473</v>
      </c>
      <c r="C33" s="3025" t="s">
        <v>5609</v>
      </c>
    </row>
    <row r="34" spans="1:3" ht="14.4">
      <c r="A34" s="2078" t="str">
        <f>'Name translation'!A34</f>
        <v>Tropical shrubland</v>
      </c>
      <c r="B34" s="2639" t="s">
        <v>2474</v>
      </c>
      <c r="C34" s="3025" t="s">
        <v>5610</v>
      </c>
    </row>
    <row r="35" spans="1:3" ht="14.4">
      <c r="A35" s="2078" t="str">
        <f>'Name translation'!A35</f>
        <v>Subtropical humid forest</v>
      </c>
      <c r="B35" s="2639" t="s">
        <v>2475</v>
      </c>
      <c r="C35" s="3025" t="s">
        <v>5611</v>
      </c>
    </row>
    <row r="36" spans="1:3" ht="14.4">
      <c r="A36" s="2078" t="str">
        <f>'Name translation'!A36</f>
        <v>Subtropical dry forest</v>
      </c>
      <c r="B36" s="2639" t="s">
        <v>2476</v>
      </c>
      <c r="C36" s="3025" t="s">
        <v>5612</v>
      </c>
    </row>
    <row r="37" spans="1:3" ht="14.4">
      <c r="A37" s="2078" t="str">
        <f>'Name translation'!A37</f>
        <v>Subtropical steppe</v>
      </c>
      <c r="B37" s="2639" t="s">
        <v>2477</v>
      </c>
      <c r="C37" s="3025" t="s">
        <v>5613</v>
      </c>
    </row>
    <row r="38" spans="1:3" ht="14.4">
      <c r="A38" s="2078" t="str">
        <f>'Name translation'!A38</f>
        <v>Subtropical mountains systems</v>
      </c>
      <c r="B38" s="2639" t="s">
        <v>2478</v>
      </c>
      <c r="C38" s="3025" t="s">
        <v>5614</v>
      </c>
    </row>
    <row r="39" spans="1:3" ht="14.4">
      <c r="A39" s="2078" t="str">
        <f>'Name translation'!A39</f>
        <v>Temperate oceanic forest</v>
      </c>
      <c r="B39" s="2639" t="s">
        <v>2479</v>
      </c>
      <c r="C39" s="3025" t="s">
        <v>5615</v>
      </c>
    </row>
    <row r="40" spans="1:3" ht="14.4">
      <c r="A40" s="2078" t="str">
        <f>'Name translation'!A40</f>
        <v>Temperate continental forest</v>
      </c>
      <c r="B40" s="2639" t="s">
        <v>2480</v>
      </c>
      <c r="C40" s="3025" t="s">
        <v>5616</v>
      </c>
    </row>
    <row r="41" spans="1:3" ht="14.4">
      <c r="A41" s="2078" t="str">
        <f>'Name translation'!A41</f>
        <v>Temperate mountains systems</v>
      </c>
      <c r="B41" s="2639" t="s">
        <v>2481</v>
      </c>
      <c r="C41" s="3025" t="s">
        <v>5617</v>
      </c>
    </row>
    <row r="42" spans="1:3" ht="14.4">
      <c r="A42" s="2078" t="str">
        <f>'Name translation'!A42</f>
        <v>Boreal coniferous forest</v>
      </c>
      <c r="B42" s="2639" t="s">
        <v>2482</v>
      </c>
      <c r="C42" s="3025" t="s">
        <v>5618</v>
      </c>
    </row>
    <row r="43" spans="1:3" ht="14.4">
      <c r="A43" s="2078" t="str">
        <f>'Name translation'!A43</f>
        <v>Boreal tundra woodland</v>
      </c>
      <c r="B43" s="2639" t="s">
        <v>2483</v>
      </c>
      <c r="C43" s="3027" t="s">
        <v>5619</v>
      </c>
    </row>
    <row r="44" spans="1:3" ht="14.4">
      <c r="A44" s="2078" t="str">
        <f>'Name translation'!A44</f>
        <v>Boreal mountain systems</v>
      </c>
      <c r="B44" s="2639" t="s">
        <v>2484</v>
      </c>
      <c r="C44" s="3025" t="s">
        <v>5620</v>
      </c>
    </row>
    <row r="45" spans="1:3" ht="14.4">
      <c r="A45" s="2078" t="str">
        <f>'Name translation'!A45</f>
        <v>Tropical mountain systems</v>
      </c>
      <c r="B45" s="2639" t="s">
        <v>2485</v>
      </c>
      <c r="C45" s="3025" t="s">
        <v>5621</v>
      </c>
    </row>
    <row r="46" spans="1:3" ht="14.4">
      <c r="A46" s="2078" t="str">
        <f>'Name translation'!A46</f>
        <v>Forest Zone 1</v>
      </c>
      <c r="B46" s="2639" t="s">
        <v>2486</v>
      </c>
      <c r="C46" s="3025" t="s">
        <v>5622</v>
      </c>
    </row>
    <row r="47" spans="1:3" ht="14.4">
      <c r="A47" s="2078" t="str">
        <f>'Name translation'!A47</f>
        <v>Forest Zone 2</v>
      </c>
      <c r="B47" s="2639" t="s">
        <v>2487</v>
      </c>
      <c r="C47" s="3025" t="s">
        <v>5623</v>
      </c>
    </row>
    <row r="48" spans="1:3" ht="14.4">
      <c r="A48" s="2078" t="str">
        <f>'Name translation'!A48</f>
        <v>Forest Zone 3</v>
      </c>
      <c r="B48" s="2639" t="s">
        <v>2488</v>
      </c>
      <c r="C48" s="3025" t="s">
        <v>5624</v>
      </c>
    </row>
    <row r="49" spans="1:3" ht="14.4">
      <c r="A49" s="2078" t="str">
        <f>'Name translation'!A49</f>
        <v>Forest Zone 4</v>
      </c>
      <c r="B49" s="2639" t="s">
        <v>2489</v>
      </c>
      <c r="C49" s="3025" t="s">
        <v>5625</v>
      </c>
    </row>
    <row r="50" spans="1:3" ht="14.4">
      <c r="A50" s="2078" t="str">
        <f>'Name translation'!A50</f>
        <v>Plantation Zone 1</v>
      </c>
      <c r="B50" s="2639" t="s">
        <v>2490</v>
      </c>
      <c r="C50" s="3025" t="s">
        <v>5626</v>
      </c>
    </row>
    <row r="51" spans="1:3" ht="14.4">
      <c r="A51" s="2078" t="str">
        <f>'Name translation'!A51</f>
        <v>Plantation Zone 2</v>
      </c>
      <c r="B51" s="2639" t="s">
        <v>2491</v>
      </c>
      <c r="C51" s="3025" t="s">
        <v>5627</v>
      </c>
    </row>
    <row r="52" spans="1:3" ht="14.4">
      <c r="A52" s="2078" t="str">
        <f>'Name translation'!A52</f>
        <v>Plantation Zone 3</v>
      </c>
      <c r="B52" s="2639" t="s">
        <v>2492</v>
      </c>
      <c r="C52" s="3025" t="s">
        <v>5628</v>
      </c>
    </row>
    <row r="53" spans="1:3" ht="14.4">
      <c r="A53" s="2078" t="str">
        <f>'Name translation'!A53</f>
        <v>Plantation Zone 4</v>
      </c>
      <c r="B53" s="2639" t="s">
        <v>2493</v>
      </c>
      <c r="C53" s="3025" t="s">
        <v>5629</v>
      </c>
    </row>
    <row r="54" spans="1:3" ht="14.4">
      <c r="A54" s="2078" t="str">
        <f>'Name translation'!A54</f>
        <v>Select the vegetation</v>
      </c>
      <c r="B54" s="2639" t="s">
        <v>2494</v>
      </c>
      <c r="C54" s="3025" t="s">
        <v>5630</v>
      </c>
    </row>
    <row r="55" spans="1:3" ht="14.4">
      <c r="A55" s="2078" t="str">
        <f>'Name translation'!A55</f>
        <v>NO</v>
      </c>
      <c r="B55" s="2639" t="s">
        <v>2495</v>
      </c>
      <c r="C55" s="3025" t="s">
        <v>5631</v>
      </c>
    </row>
    <row r="56" spans="1:3" ht="14.4">
      <c r="A56" s="2078" t="str">
        <f>'Name translation'!A56</f>
        <v>Yes</v>
      </c>
      <c r="B56" s="2639" t="s">
        <v>2496</v>
      </c>
      <c r="C56" s="3025" t="s">
        <v>5632</v>
      </c>
    </row>
    <row r="57" spans="1:3" ht="14.4">
      <c r="A57" s="2078" t="str">
        <f>'Name translation'!A57</f>
        <v>Select Use after deforestation</v>
      </c>
      <c r="B57" s="2639" t="s">
        <v>2497</v>
      </c>
      <c r="C57" s="3035" t="s">
        <v>6127</v>
      </c>
    </row>
    <row r="58" spans="1:3" ht="14.4">
      <c r="A58" s="2078" t="str">
        <f>'Name translation'!A58</f>
        <v>Annual Crop</v>
      </c>
      <c r="B58" s="2639" t="s">
        <v>2505</v>
      </c>
      <c r="C58" s="3025" t="s">
        <v>5633</v>
      </c>
    </row>
    <row r="59" spans="1:3" ht="14.4">
      <c r="A59" s="2078" t="str">
        <f>'Name translation'!A59</f>
        <v>Perennial/Tree Crop</v>
      </c>
      <c r="B59" s="2639" t="s">
        <v>2498</v>
      </c>
      <c r="C59" s="3025" t="s">
        <v>5634</v>
      </c>
    </row>
    <row r="60" spans="1:3" ht="14.4">
      <c r="A60" s="2078" t="str">
        <f>'Name translation'!A60</f>
        <v>Flooded Rice</v>
      </c>
      <c r="B60" s="2639" t="s">
        <v>2499</v>
      </c>
      <c r="C60" s="3025" t="s">
        <v>5635</v>
      </c>
    </row>
    <row r="61" spans="1:3" ht="14.4">
      <c r="A61" s="2078" t="str">
        <f>'Name translation'!A61</f>
        <v>Set aside</v>
      </c>
      <c r="B61" s="2639" t="s">
        <v>2500</v>
      </c>
      <c r="C61" s="3025" t="s">
        <v>5636</v>
      </c>
    </row>
    <row r="62" spans="1:3" ht="14.4">
      <c r="A62" s="2078" t="str">
        <f>'Name translation'!A62</f>
        <v>Grassland</v>
      </c>
      <c r="B62" s="2639" t="s">
        <v>2501</v>
      </c>
      <c r="C62" s="3025" t="s">
        <v>5637</v>
      </c>
    </row>
    <row r="63" spans="1:3" ht="14.4">
      <c r="A63" s="2078" t="str">
        <f>'Name translation'!A63</f>
        <v>Degraded</v>
      </c>
      <c r="B63" s="2639" t="s">
        <v>2502</v>
      </c>
      <c r="C63" s="3025" t="s">
        <v>5638</v>
      </c>
    </row>
    <row r="64" spans="1:3" ht="14.4">
      <c r="A64" s="2078" t="str">
        <f>'Name translation'!A64</f>
        <v>Other (nominal)</v>
      </c>
      <c r="B64" s="2639" t="s">
        <v>2503</v>
      </c>
      <c r="C64" s="3025" t="s">
        <v>5639</v>
      </c>
    </row>
    <row r="65" spans="1:3" ht="14.4">
      <c r="A65" s="2078" t="str">
        <f>'Name translation'!A65</f>
        <v>Other (degraded)</v>
      </c>
      <c r="B65" s="2639" t="s">
        <v>2504</v>
      </c>
      <c r="C65" s="3027" t="s">
        <v>5640</v>
      </c>
    </row>
    <row r="66" spans="1:3" ht="14.4">
      <c r="A66" s="2078" t="str">
        <f>'Name translation'!A66</f>
        <v>Select previous use</v>
      </c>
      <c r="B66" s="2639" t="s">
        <v>2506</v>
      </c>
      <c r="C66" s="3025" t="s">
        <v>5641</v>
      </c>
    </row>
    <row r="67" spans="1:3" ht="14.4">
      <c r="A67" s="2078" t="str">
        <f>'Name translation'!A67</f>
        <v>Annual Crop</v>
      </c>
      <c r="B67" s="2639" t="s">
        <v>2505</v>
      </c>
      <c r="C67" s="3025" t="s">
        <v>5633</v>
      </c>
    </row>
    <row r="68" spans="1:3" ht="14.4">
      <c r="A68" s="2078" t="str">
        <f>'Name translation'!A68</f>
        <v>Perennial/Tree Crop (&lt;5yrs)</v>
      </c>
      <c r="B68" s="2639" t="s">
        <v>2507</v>
      </c>
      <c r="C68" s="3025" t="s">
        <v>5642</v>
      </c>
    </row>
    <row r="69" spans="1:3" ht="14.4">
      <c r="A69" s="2078" t="str">
        <f>'Name translation'!A69</f>
        <v>Perennial/Tree Crop (6-10 yrs)</v>
      </c>
      <c r="B69" s="2639" t="s">
        <v>2508</v>
      </c>
      <c r="C69" s="3025" t="s">
        <v>5643</v>
      </c>
    </row>
    <row r="70" spans="1:3" ht="14.4">
      <c r="A70" s="2078" t="str">
        <f>'Name translation'!A70</f>
        <v>Perennial/Tree Crop (&gt;10 yrs)</v>
      </c>
      <c r="B70" s="2639" t="s">
        <v>2509</v>
      </c>
      <c r="C70" s="3025" t="s">
        <v>5644</v>
      </c>
    </row>
    <row r="71" spans="1:3" ht="14.4">
      <c r="A71" s="2078" t="str">
        <f>'Name translation'!A71</f>
        <v>Flooded Rice</v>
      </c>
      <c r="B71" s="2639" t="s">
        <v>2499</v>
      </c>
      <c r="C71" s="3025" t="s">
        <v>5635</v>
      </c>
    </row>
    <row r="72" spans="1:3" ht="14.4">
      <c r="A72" s="2078" t="str">
        <f>'Name translation'!A72</f>
        <v>Set Aside</v>
      </c>
      <c r="B72" s="2639" t="s">
        <v>2500</v>
      </c>
      <c r="C72" s="3025" t="s">
        <v>5636</v>
      </c>
    </row>
    <row r="73" spans="1:3" ht="14.4">
      <c r="A73" s="2078" t="str">
        <f>'Name translation'!A73</f>
        <v>Grassland</v>
      </c>
      <c r="B73" s="2639" t="s">
        <v>2501</v>
      </c>
      <c r="C73" s="3025" t="s">
        <v>5637</v>
      </c>
    </row>
    <row r="74" spans="1:3" ht="14.4">
      <c r="A74" s="2078" t="str">
        <f>'Name translation'!A74</f>
        <v>Degraded Land</v>
      </c>
      <c r="B74" s="2639" t="s">
        <v>2502</v>
      </c>
      <c r="C74" s="3025" t="s">
        <v>5645</v>
      </c>
    </row>
    <row r="75" spans="1:3" ht="14.4">
      <c r="A75" s="2078" t="str">
        <f>'Name translation'!A75</f>
        <v>Select Initial Land Use</v>
      </c>
      <c r="B75" s="2639" t="s">
        <v>2510</v>
      </c>
      <c r="C75" s="3025" t="s">
        <v>5646</v>
      </c>
    </row>
    <row r="76" spans="1:3" ht="14.4">
      <c r="A76" s="2078" t="str">
        <f>'Name translation'!A76</f>
        <v>Annual Crop</v>
      </c>
      <c r="B76" s="2639" t="s">
        <v>2505</v>
      </c>
      <c r="C76" s="3025" t="s">
        <v>5633</v>
      </c>
    </row>
    <row r="77" spans="1:3" ht="14.4">
      <c r="A77" s="2078" t="str">
        <f>'Name translation'!A77</f>
        <v>Perennial/Tree Crop (&lt;5yrs)</v>
      </c>
      <c r="B77" s="2639" t="s">
        <v>2507</v>
      </c>
      <c r="C77" s="3025" t="s">
        <v>5642</v>
      </c>
    </row>
    <row r="78" spans="1:3" ht="14.4">
      <c r="A78" s="2078" t="str">
        <f>'Name translation'!A78</f>
        <v>Perennial/Tree Crop (6-10 yrs)</v>
      </c>
      <c r="B78" s="2639" t="s">
        <v>2508</v>
      </c>
      <c r="C78" s="3025" t="s">
        <v>5643</v>
      </c>
    </row>
    <row r="79" spans="1:3" ht="14.4">
      <c r="A79" s="2078" t="str">
        <f>'Name translation'!A79</f>
        <v>Perennial/Tree Crop (&gt;10 yrs)</v>
      </c>
      <c r="B79" s="2639" t="s">
        <v>2509</v>
      </c>
      <c r="C79" s="3025" t="s">
        <v>5644</v>
      </c>
    </row>
    <row r="80" spans="1:3" ht="14.4">
      <c r="A80" s="2078" t="str">
        <f>'Name translation'!A80</f>
        <v>Flooded Rice</v>
      </c>
      <c r="B80" s="2639" t="s">
        <v>2499</v>
      </c>
      <c r="C80" s="3025" t="s">
        <v>5635</v>
      </c>
    </row>
    <row r="81" spans="1:3" ht="14.4">
      <c r="A81" s="2078" t="str">
        <f>'Name translation'!A81</f>
        <v>Set Aside</v>
      </c>
      <c r="B81" s="2639" t="s">
        <v>2500</v>
      </c>
      <c r="C81" s="3025" t="s">
        <v>5636</v>
      </c>
    </row>
    <row r="82" spans="1:3" ht="14.4">
      <c r="A82" s="2078" t="str">
        <f>'Name translation'!A82</f>
        <v>Grassland</v>
      </c>
      <c r="B82" s="2639" t="s">
        <v>2501</v>
      </c>
      <c r="C82" s="3025" t="s">
        <v>5637</v>
      </c>
    </row>
    <row r="83" spans="1:3" ht="14.4">
      <c r="A83" s="2078" t="str">
        <f>'Name translation'!A83</f>
        <v>Degraded Land</v>
      </c>
      <c r="B83" s="2639" t="s">
        <v>2502</v>
      </c>
      <c r="C83" s="3025" t="s">
        <v>5645</v>
      </c>
    </row>
    <row r="84" spans="1:3" ht="14.4">
      <c r="A84" s="2078" t="str">
        <f>'Name translation'!A84</f>
        <v>Other Land</v>
      </c>
      <c r="B84" s="2639" t="s">
        <v>2511</v>
      </c>
      <c r="C84" s="3025" t="s">
        <v>5647</v>
      </c>
    </row>
    <row r="85" spans="1:3" ht="14.4">
      <c r="A85" s="2078" t="str">
        <f>'Name translation'!A85</f>
        <v>Select Final Land Use</v>
      </c>
      <c r="B85" s="2639" t="s">
        <v>2512</v>
      </c>
      <c r="C85" s="3025" t="s">
        <v>5648</v>
      </c>
    </row>
    <row r="86" spans="1:3" ht="14.4">
      <c r="A86" s="2078" t="str">
        <f>'Name translation'!A86</f>
        <v>Annual Crop</v>
      </c>
      <c r="B86" s="2639" t="s">
        <v>2505</v>
      </c>
      <c r="C86" s="3025" t="s">
        <v>5633</v>
      </c>
    </row>
    <row r="87" spans="1:3" ht="14.4">
      <c r="A87" s="2078" t="str">
        <f>'Name translation'!A87</f>
        <v>Perennial/Tree Crop</v>
      </c>
      <c r="B87" s="2639" t="s">
        <v>2498</v>
      </c>
      <c r="C87" s="3025" t="s">
        <v>5649</v>
      </c>
    </row>
    <row r="88" spans="1:3" ht="14.4">
      <c r="A88" s="2078" t="str">
        <f>'Name translation'!A88</f>
        <v>Flooded Rice</v>
      </c>
      <c r="B88" s="2639" t="s">
        <v>2499</v>
      </c>
      <c r="C88" s="3025" t="s">
        <v>5635</v>
      </c>
    </row>
    <row r="89" spans="1:3" ht="14.4">
      <c r="A89" s="2078" t="str">
        <f>'Name translation'!A89</f>
        <v>Set aside</v>
      </c>
      <c r="B89" s="2639" t="s">
        <v>2500</v>
      </c>
      <c r="C89" s="3025" t="s">
        <v>5636</v>
      </c>
    </row>
    <row r="90" spans="1:3" ht="14.4">
      <c r="A90" s="2078" t="str">
        <f>'Name translation'!A90</f>
        <v>Grassland</v>
      </c>
      <c r="B90" s="2639" t="s">
        <v>2501</v>
      </c>
      <c r="C90" s="3025" t="s">
        <v>5637</v>
      </c>
    </row>
    <row r="91" spans="1:3" ht="14.4">
      <c r="A91" s="2078" t="str">
        <f>'Name translation'!A91</f>
        <v>Degraded</v>
      </c>
      <c r="B91" s="2639" t="s">
        <v>2502</v>
      </c>
      <c r="C91" s="3025" t="s">
        <v>5638</v>
      </c>
    </row>
    <row r="92" spans="1:3" ht="14.4">
      <c r="A92" s="2078" t="str">
        <f>'Name translation'!A92</f>
        <v>Other (nominal)</v>
      </c>
      <c r="B92" s="2639" t="s">
        <v>2503</v>
      </c>
      <c r="C92" s="3025" t="s">
        <v>5639</v>
      </c>
    </row>
    <row r="93" spans="1:3" ht="14.4">
      <c r="A93" s="2078" t="str">
        <f>'Name translation'!A93</f>
        <v>Other (degraded)</v>
      </c>
      <c r="B93" s="2639" t="s">
        <v>2504</v>
      </c>
      <c r="C93" s="3027" t="s">
        <v>5640</v>
      </c>
    </row>
    <row r="94" spans="1:3" ht="14.4">
      <c r="A94" s="2078" t="str">
        <f>'Name translation'!A94</f>
        <v>Fill initial LU</v>
      </c>
      <c r="B94" s="2639" t="s">
        <v>2513</v>
      </c>
      <c r="C94" s="3025" t="s">
        <v>5650</v>
      </c>
    </row>
    <row r="95" spans="1:3" ht="14.4">
      <c r="A95" s="2078" t="str">
        <f>'Name translation'!A95</f>
        <v>Fill final LU</v>
      </c>
      <c r="B95" s="2639" t="s">
        <v>2512</v>
      </c>
      <c r="C95" s="3025" t="s">
        <v>5651</v>
      </c>
    </row>
    <row r="96" spans="1:3" ht="14.4">
      <c r="A96" s="2078" t="str">
        <f>'Name translation'!A96</f>
        <v>Final=Initial: Check!</v>
      </c>
      <c r="B96" s="2639" t="s">
        <v>2514</v>
      </c>
      <c r="C96" s="3025" t="s">
        <v>5652</v>
      </c>
    </row>
    <row r="97" spans="1:3" ht="14.4">
      <c r="A97" s="2078" t="str">
        <f>'Name translation'!A97</f>
        <v>Please select water regime</v>
      </c>
      <c r="B97" s="2639" t="s">
        <v>2515</v>
      </c>
      <c r="C97" s="3025" t="s">
        <v>5653</v>
      </c>
    </row>
    <row r="98" spans="1:3" ht="14.4">
      <c r="A98" s="2078" t="str">
        <f>'Name translation'!A98</f>
        <v>Irrigated - Continuously flooded</v>
      </c>
      <c r="B98" s="2639" t="s">
        <v>2516</v>
      </c>
      <c r="C98" s="3025" t="s">
        <v>5654</v>
      </c>
    </row>
    <row r="99" spans="1:3" ht="14.4">
      <c r="A99" s="2078" t="str">
        <f>'Name translation'!A99</f>
        <v>Irrigated - Intermittently flooded</v>
      </c>
      <c r="B99" s="2639" t="s">
        <v>2517</v>
      </c>
      <c r="C99" s="3025" t="s">
        <v>5655</v>
      </c>
    </row>
    <row r="100" spans="1:3" ht="14.4">
      <c r="A100" s="2078" t="str">
        <f>'Name translation'!A100</f>
        <v>Rainfed and deep water</v>
      </c>
      <c r="B100" s="2639" t="s">
        <v>2518</v>
      </c>
      <c r="C100" s="3025" t="s">
        <v>5656</v>
      </c>
    </row>
    <row r="101" spans="1:3" ht="14.4">
      <c r="A101" s="2078" t="str">
        <f>'Name translation'!A101</f>
        <v>Please select preseason water regime</v>
      </c>
      <c r="B101" s="2639" t="s">
        <v>2522</v>
      </c>
      <c r="C101" s="3025" t="s">
        <v>5657</v>
      </c>
    </row>
    <row r="102" spans="1:3" ht="14.4">
      <c r="A102" s="2078" t="str">
        <f>'Name translation'!A102</f>
        <v>Non flooded preseason &lt;180 days</v>
      </c>
      <c r="B102" s="2639" t="s">
        <v>2519</v>
      </c>
      <c r="C102" s="3025" t="s">
        <v>5658</v>
      </c>
    </row>
    <row r="103" spans="1:3" ht="14.4">
      <c r="A103" s="2078" t="str">
        <f>'Name translation'!A103</f>
        <v>Non flooded preseason &gt;180 days</v>
      </c>
      <c r="B103" s="2639" t="s">
        <v>2520</v>
      </c>
      <c r="C103" s="3025" t="s">
        <v>5659</v>
      </c>
    </row>
    <row r="104" spans="1:3" ht="14.4">
      <c r="A104" s="2078" t="str">
        <f>'Name translation'!A104</f>
        <v>Flooded preseason (&gt;30 days)</v>
      </c>
      <c r="B104" s="2639" t="s">
        <v>2521</v>
      </c>
      <c r="C104" s="3025" t="s">
        <v>5660</v>
      </c>
    </row>
    <row r="105" spans="1:3" ht="14.4">
      <c r="A105" s="2078" t="str">
        <f>'Name translation'!A105</f>
        <v>Please select type of Organic Amendment</v>
      </c>
      <c r="B105" s="2639" t="s">
        <v>2523</v>
      </c>
      <c r="C105" s="3025" t="s">
        <v>5661</v>
      </c>
    </row>
    <row r="106" spans="1:3" ht="14.4">
      <c r="A106" s="2078" t="str">
        <f>'Name translation'!A106</f>
        <v>Straw burnt</v>
      </c>
      <c r="B106" s="2639" t="s">
        <v>2524</v>
      </c>
      <c r="C106" s="3025" t="s">
        <v>5662</v>
      </c>
    </row>
    <row r="107" spans="1:3" ht="14.4">
      <c r="A107" s="2078" t="str">
        <f>'Name translation'!A107</f>
        <v>Straw exported</v>
      </c>
      <c r="B107" s="2639" t="s">
        <v>2525</v>
      </c>
      <c r="C107" s="3025" t="s">
        <v>5663</v>
      </c>
    </row>
    <row r="108" spans="1:3" ht="14.4">
      <c r="A108" s="2078" t="str">
        <f>'Name translation'!A108</f>
        <v>Straw incorporated shortly (&lt;30d) before cultivation</v>
      </c>
      <c r="B108" s="2639" t="s">
        <v>2526</v>
      </c>
      <c r="C108" s="3025" t="s">
        <v>5664</v>
      </c>
    </row>
    <row r="109" spans="1:3" ht="14.4">
      <c r="A109" s="2078" t="str">
        <f>'Name translation'!A109</f>
        <v>Straw incorporated long (&gt;30d) before cultivation</v>
      </c>
      <c r="B109" s="2639" t="s">
        <v>2527</v>
      </c>
      <c r="C109" s="3025" t="s">
        <v>5665</v>
      </c>
    </row>
    <row r="110" spans="1:3" ht="14.4">
      <c r="A110" s="2078" t="str">
        <f>'Name translation'!A110</f>
        <v>Compost</v>
      </c>
      <c r="B110" s="2639" t="s">
        <v>2528</v>
      </c>
      <c r="C110" s="3025" t="s">
        <v>5666</v>
      </c>
    </row>
    <row r="111" spans="1:3" ht="14.4">
      <c r="A111" s="2078" t="str">
        <f>'Name translation'!A111</f>
        <v>Farm yard manure</v>
      </c>
      <c r="B111" s="2639" t="s">
        <v>2529</v>
      </c>
      <c r="C111" s="3025" t="s">
        <v>5667</v>
      </c>
    </row>
    <row r="112" spans="1:3" ht="14.4">
      <c r="A112" s="2078" t="str">
        <f>'Name translation'!A112</f>
        <v>Green manure</v>
      </c>
      <c r="B112" s="2639" t="s">
        <v>2530</v>
      </c>
      <c r="C112" s="3027" t="s">
        <v>5668</v>
      </c>
    </row>
    <row r="113" spans="1:3" ht="14.4">
      <c r="A113" s="2078" t="str">
        <f>'Name translation'!A113</f>
        <v>Please select</v>
      </c>
      <c r="B113" s="2639" t="s">
        <v>2531</v>
      </c>
      <c r="C113" s="3025" t="s">
        <v>5581</v>
      </c>
    </row>
    <row r="114" spans="1:3" ht="14.4">
      <c r="A114" s="2078" t="str">
        <f>'Name translation'!A114</f>
        <v>Goats</v>
      </c>
      <c r="B114" s="2639" t="s">
        <v>2532</v>
      </c>
      <c r="C114" s="3025" t="s">
        <v>5669</v>
      </c>
    </row>
    <row r="115" spans="1:3" ht="14.4">
      <c r="A115" s="2078" t="str">
        <f>'Name translation'!A115</f>
        <v>Camels</v>
      </c>
      <c r="B115" s="2639" t="s">
        <v>2533</v>
      </c>
      <c r="C115" s="3025" t="s">
        <v>5670</v>
      </c>
    </row>
    <row r="116" spans="1:3" ht="14.4">
      <c r="A116" s="2078" t="str">
        <f>'Name translation'!A116</f>
        <v>Horses</v>
      </c>
      <c r="B116" s="2639" t="s">
        <v>2534</v>
      </c>
      <c r="C116" s="3025" t="s">
        <v>5671</v>
      </c>
    </row>
    <row r="117" spans="1:3" ht="14.4">
      <c r="A117" s="2078" t="str">
        <f>'Name translation'!A117</f>
        <v>Mules and Asses</v>
      </c>
      <c r="B117" s="2639" t="s">
        <v>2535</v>
      </c>
      <c r="C117" s="3025" t="s">
        <v>5672</v>
      </c>
    </row>
    <row r="118" spans="1:3" ht="14.4">
      <c r="A118" s="2078" t="str">
        <f>'Name translation'!A118</f>
        <v>Poultry</v>
      </c>
      <c r="B118" s="2639" t="s">
        <v>2536</v>
      </c>
      <c r="C118" s="3025" t="s">
        <v>5673</v>
      </c>
    </row>
    <row r="119" spans="1:3" ht="14.4">
      <c r="A119" s="2078" t="str">
        <f>'Name translation'!A119</f>
        <v>Deer</v>
      </c>
      <c r="B119" s="2639" t="s">
        <v>2537</v>
      </c>
      <c r="C119" s="3025" t="s">
        <v>5674</v>
      </c>
    </row>
    <row r="120" spans="1:3" ht="14.4">
      <c r="A120" s="2078" t="str">
        <f>'Name translation'!A120</f>
        <v>Alpacas</v>
      </c>
      <c r="B120" s="2639" t="s">
        <v>426</v>
      </c>
      <c r="C120" s="3025" t="s">
        <v>426</v>
      </c>
    </row>
    <row r="121" spans="1:3" ht="14.4">
      <c r="A121" s="2078" t="str">
        <f>'Name translation'!A121</f>
        <v>Non degraded</v>
      </c>
      <c r="B121" s="2639" t="s">
        <v>2539</v>
      </c>
      <c r="C121" s="3025" t="s">
        <v>5675</v>
      </c>
    </row>
    <row r="122" spans="1:3" ht="14.4">
      <c r="A122" s="2078" t="str">
        <f>'Name translation'!A122</f>
        <v>Severely Degraded</v>
      </c>
      <c r="B122" s="2639" t="s">
        <v>2540</v>
      </c>
      <c r="C122" s="3025" t="s">
        <v>5676</v>
      </c>
    </row>
    <row r="123" spans="1:3" ht="14.4">
      <c r="A123" s="2078" t="str">
        <f>'Name translation'!A123</f>
        <v>Moderately Degraded</v>
      </c>
      <c r="B123" s="2639" t="s">
        <v>2541</v>
      </c>
      <c r="C123" s="3025" t="s">
        <v>5677</v>
      </c>
    </row>
    <row r="124" spans="1:3" ht="14.4">
      <c r="A124" s="2078" t="str">
        <f>'Name translation'!A124</f>
        <v>Improved without inputs management</v>
      </c>
      <c r="B124" s="2639" t="s">
        <v>2538</v>
      </c>
      <c r="C124" s="3025" t="s">
        <v>5678</v>
      </c>
    </row>
    <row r="125" spans="1:3" ht="14.4">
      <c r="A125" s="2078" t="str">
        <f>'Name translation'!A125</f>
        <v>Improved with inputs improvement</v>
      </c>
      <c r="B125" s="2639" t="s">
        <v>2542</v>
      </c>
      <c r="C125" s="3025" t="s">
        <v>5679</v>
      </c>
    </row>
    <row r="126" spans="1:3" ht="14.4">
      <c r="A126" s="2078" t="str">
        <f>'Name translation'!A126</f>
        <v>Select state</v>
      </c>
      <c r="B126" s="2639" t="s">
        <v>2549</v>
      </c>
      <c r="C126" s="3025" t="s">
        <v>5680</v>
      </c>
    </row>
    <row r="127" spans="1:3" ht="14.4">
      <c r="A127" s="2078" t="str">
        <f>'Name translation'!A127</f>
        <v>Select level</v>
      </c>
      <c r="B127" s="2639" t="s">
        <v>2543</v>
      </c>
      <c r="C127" s="3025" t="s">
        <v>5681</v>
      </c>
    </row>
    <row r="128" spans="1:3" ht="14.4">
      <c r="A128" s="2078" t="str">
        <f>'Name translation'!A128</f>
        <v>None</v>
      </c>
      <c r="B128" s="2639" t="s">
        <v>2544</v>
      </c>
      <c r="C128" s="3025" t="s">
        <v>5682</v>
      </c>
    </row>
    <row r="129" spans="1:3" ht="14.4">
      <c r="A129" s="2078" t="str">
        <f>'Name translation'!A129</f>
        <v>Very low</v>
      </c>
      <c r="B129" s="2639" t="s">
        <v>2545</v>
      </c>
      <c r="C129" s="3025" t="s">
        <v>5683</v>
      </c>
    </row>
    <row r="130" spans="1:3" ht="14.4">
      <c r="A130" s="2078" t="str">
        <f>'Name translation'!A130</f>
        <v>Low</v>
      </c>
      <c r="B130" s="2639" t="s">
        <v>2546</v>
      </c>
      <c r="C130" s="3025" t="s">
        <v>5684</v>
      </c>
    </row>
    <row r="131" spans="1:3" ht="14.4">
      <c r="A131" s="2078" t="str">
        <f>'Name translation'!A131</f>
        <v>Moderate</v>
      </c>
      <c r="B131" s="2639" t="s">
        <v>2547</v>
      </c>
      <c r="C131" s="3025" t="s">
        <v>5685</v>
      </c>
    </row>
    <row r="132" spans="1:3" ht="14.4">
      <c r="A132" s="2078" t="str">
        <f>'Name translation'!A132</f>
        <v>Large</v>
      </c>
      <c r="B132" s="2639" t="s">
        <v>1986</v>
      </c>
      <c r="C132" s="3025" t="s">
        <v>5686</v>
      </c>
    </row>
    <row r="133" spans="1:3" ht="14.4">
      <c r="A133" s="2078" t="str">
        <f>'Name translation'!A133</f>
        <v>Extrem</v>
      </c>
      <c r="B133" s="2639" t="s">
        <v>2548</v>
      </c>
      <c r="C133" s="3025" t="s">
        <v>168</v>
      </c>
    </row>
    <row r="134" spans="1:3" ht="14.4">
      <c r="A134" s="2078" t="str">
        <f>'Name translation'!A134</f>
        <v>Please select</v>
      </c>
      <c r="B134" s="2639" t="str">
        <f>B113</f>
        <v>Obrigado por escolher</v>
      </c>
      <c r="C134" s="3025" t="s">
        <v>5581</v>
      </c>
    </row>
    <row r="135" spans="1:3" ht="14.4">
      <c r="A135" s="2078" t="str">
        <f>'Name translation'!A135</f>
        <v>Surface without IRRS</v>
      </c>
      <c r="B135" s="2639" t="s">
        <v>5287</v>
      </c>
      <c r="C135" s="3025" t="s">
        <v>5687</v>
      </c>
    </row>
    <row r="136" spans="1:3" ht="14.4">
      <c r="A136" s="2078" t="str">
        <f>'Name translation'!A136</f>
        <v>Surface with IRRS</v>
      </c>
      <c r="B136" s="2639" t="s">
        <v>5288</v>
      </c>
      <c r="C136" s="3025" t="s">
        <v>5688</v>
      </c>
    </row>
    <row r="137" spans="1:3" ht="14.4">
      <c r="A137" s="2078" t="str">
        <f>'Name translation'!A137</f>
        <v>Solid set sprinkle</v>
      </c>
      <c r="B137" s="2639" t="s">
        <v>5289</v>
      </c>
      <c r="C137" s="3025" t="s">
        <v>5689</v>
      </c>
    </row>
    <row r="138" spans="1:3" ht="14.4">
      <c r="A138" s="2078" t="str">
        <f>'Name translation'!A138</f>
        <v>Permanent sprinkle</v>
      </c>
      <c r="B138" s="2639" t="s">
        <v>5290</v>
      </c>
      <c r="C138" s="3025" t="s">
        <v>5690</v>
      </c>
    </row>
    <row r="139" spans="1:3" ht="14.4">
      <c r="A139" s="2078" t="str">
        <f>'Name translation'!A139</f>
        <v>Hand moved sprinkle</v>
      </c>
      <c r="B139" s="2639" t="s">
        <v>5291</v>
      </c>
      <c r="C139" s="3025" t="s">
        <v>5691</v>
      </c>
    </row>
    <row r="140" spans="1:3" ht="14.4">
      <c r="A140" s="2078" t="str">
        <f>'Name translation'!A140</f>
        <v>Solid roll sprinkle</v>
      </c>
      <c r="B140" s="2639" t="s">
        <v>5292</v>
      </c>
      <c r="C140" s="3025" t="s">
        <v>5692</v>
      </c>
    </row>
    <row r="141" spans="1:3" ht="14.4">
      <c r="A141" s="2078" t="str">
        <f>'Name translation'!A141</f>
        <v>Center-pivot sprinkle</v>
      </c>
      <c r="B141" s="2639" t="s">
        <v>5293</v>
      </c>
      <c r="C141" s="3025" t="s">
        <v>5693</v>
      </c>
    </row>
    <row r="142" spans="1:3" ht="14.4">
      <c r="A142" s="2078" t="str">
        <f>'Name translation'!A142</f>
        <v>Traveler sprinkle</v>
      </c>
      <c r="B142" s="2639" t="s">
        <v>5294</v>
      </c>
      <c r="C142" s="3025" t="s">
        <v>5694</v>
      </c>
    </row>
    <row r="143" spans="1:3" ht="14.4">
      <c r="A143" s="2078" t="str">
        <f>'Name translation'!A143</f>
        <v>Trickle</v>
      </c>
      <c r="B143" s="2639" t="s">
        <v>5295</v>
      </c>
      <c r="C143" s="3025" t="s">
        <v>5695</v>
      </c>
    </row>
    <row r="144" spans="1:3" ht="14.4">
      <c r="A144" s="2078" t="str">
        <f>'Name translation'!A144</f>
        <v>Please select</v>
      </c>
      <c r="B144" s="2639" t="str">
        <f>B134</f>
        <v>Obrigado por escolher</v>
      </c>
      <c r="C144" s="3025" t="s">
        <v>5581</v>
      </c>
    </row>
    <row r="145" spans="1:3" ht="14.4">
      <c r="A145" s="2078" t="str">
        <f>'Name translation'!A145</f>
        <v>Housing (concrete)</v>
      </c>
      <c r="B145" s="2639" t="s">
        <v>5447</v>
      </c>
      <c r="C145" s="3025" t="s">
        <v>5696</v>
      </c>
    </row>
    <row r="146" spans="1:3" ht="14.4">
      <c r="A146" s="2078" t="str">
        <f>'Name translation'!A146</f>
        <v>Agricultural Buildings (concrete)</v>
      </c>
      <c r="B146" s="2639" t="s">
        <v>5448</v>
      </c>
      <c r="C146" s="3025" t="s">
        <v>5697</v>
      </c>
    </row>
    <row r="147" spans="1:3" ht="14.4">
      <c r="A147" s="2078" t="str">
        <f>'Name translation'!A147</f>
        <v>Agricultural Buildings (metal)</v>
      </c>
      <c r="B147" s="2639" t="s">
        <v>5449</v>
      </c>
      <c r="C147" s="3025" t="s">
        <v>5698</v>
      </c>
    </row>
    <row r="148" spans="1:3" ht="14.4">
      <c r="A148" s="2078" t="str">
        <f>'Name translation'!A148</f>
        <v>Industrial Buildings (concrete)</v>
      </c>
      <c r="B148" s="2639" t="s">
        <v>5450</v>
      </c>
      <c r="C148" s="3025" t="s">
        <v>5699</v>
      </c>
    </row>
    <row r="149" spans="1:3" ht="14.4">
      <c r="A149" s="2078" t="str">
        <f>'Name translation'!A149</f>
        <v>Industrial Buildings (metal)</v>
      </c>
      <c r="B149" s="2639" t="s">
        <v>5451</v>
      </c>
      <c r="C149" s="3025" t="s">
        <v>5700</v>
      </c>
    </row>
    <row r="150" spans="1:3" ht="14.4">
      <c r="A150" s="2078" t="str">
        <f>'Name translation'!A150</f>
        <v>Garage (concrete)</v>
      </c>
      <c r="B150" s="2639" t="s">
        <v>5452</v>
      </c>
      <c r="C150" s="3025" t="s">
        <v>5701</v>
      </c>
    </row>
    <row r="151" spans="1:3" ht="14.4">
      <c r="A151" s="2078" t="str">
        <f>'Name translation'!A151</f>
        <v>Garage (metal)</v>
      </c>
      <c r="B151" s="2639" t="s">
        <v>5453</v>
      </c>
      <c r="C151" s="3025" t="s">
        <v>5702</v>
      </c>
    </row>
    <row r="152" spans="1:3" ht="14.4">
      <c r="A152" s="2078" t="str">
        <f>'Name translation'!A152</f>
        <v>Offices (concrete)</v>
      </c>
      <c r="B152" s="2639" t="s">
        <v>5454</v>
      </c>
      <c r="C152" s="3025" t="s">
        <v>5703</v>
      </c>
    </row>
    <row r="153" spans="1:3" ht="14.4">
      <c r="A153" s="2078" t="str">
        <f>'Name translation'!A153</f>
        <v>Offices (metal)</v>
      </c>
      <c r="B153" s="2639" t="s">
        <v>5455</v>
      </c>
      <c r="C153" s="3025" t="s">
        <v>5704</v>
      </c>
    </row>
    <row r="154" spans="1:3" ht="14.4">
      <c r="A154" s="2078" t="str">
        <f>'Name translation'!A154</f>
        <v>Other (concrete)</v>
      </c>
      <c r="B154" s="2639" t="s">
        <v>5456</v>
      </c>
      <c r="C154" s="3025" t="s">
        <v>5705</v>
      </c>
    </row>
    <row r="155" spans="1:3" ht="14.4">
      <c r="A155" s="2078" t="str">
        <f>'Name translation'!A155</f>
        <v>Other (metal)</v>
      </c>
      <c r="B155" s="2639" t="s">
        <v>5457</v>
      </c>
      <c r="C155" s="3025" t="s">
        <v>5706</v>
      </c>
    </row>
    <row r="156" spans="1:3" ht="14.4">
      <c r="A156" s="2078" t="str">
        <f>'Name translation'!A156</f>
        <v>Road for medium trafic (concrete)</v>
      </c>
      <c r="B156" s="2639" t="s">
        <v>5458</v>
      </c>
      <c r="C156" s="3025" t="s">
        <v>5707</v>
      </c>
    </row>
    <row r="157" spans="1:3" ht="14.4">
      <c r="A157" s="2078" t="str">
        <f>'Name translation'!A157</f>
        <v>Road for medium trafic (asphalt)</v>
      </c>
      <c r="B157" s="2639" t="s">
        <v>5459</v>
      </c>
      <c r="C157" s="3025" t="s">
        <v>5708</v>
      </c>
    </row>
    <row r="158" spans="1:3" ht="14.4">
      <c r="A158" s="2078" t="str">
        <f>'Name translation'!A158</f>
        <v>Road for Intense traffic (concrete)</v>
      </c>
      <c r="B158" s="2639" t="s">
        <v>5460</v>
      </c>
      <c r="C158" s="3025" t="s">
        <v>5709</v>
      </c>
    </row>
    <row r="159" spans="1:3" ht="14.4">
      <c r="A159" s="2078" t="str">
        <f>'Name translation'!A159</f>
        <v>Road for Intense traffic (asphalt)</v>
      </c>
      <c r="B159" s="2639" t="s">
        <v>5461</v>
      </c>
      <c r="C159" s="3025" t="s">
        <v>5710</v>
      </c>
    </row>
    <row r="160" spans="1:3" ht="14.4">
      <c r="A160" s="2078" t="str">
        <f>'Name translation'!A160</f>
        <v>Official (1st period 2008-2012)</v>
      </c>
      <c r="B160" s="2639" t="s">
        <v>5463</v>
      </c>
      <c r="C160" s="3025" t="s">
        <v>5711</v>
      </c>
    </row>
    <row r="161" spans="1:3" ht="14.4">
      <c r="A161" s="2078" t="str">
        <f>'Name translation'!A161</f>
        <v>Official (2nd period 2013-2020)</v>
      </c>
      <c r="B161" s="2639" t="s">
        <v>5462</v>
      </c>
      <c r="C161" s="3025" t="s">
        <v>5712</v>
      </c>
    </row>
    <row r="162" spans="1:3" ht="14.4">
      <c r="A162" s="2078" t="str">
        <f>'Name translation'!A162</f>
        <v>Last Update for GWP100 (IPCC-2013)</v>
      </c>
      <c r="B162" s="2639" t="s">
        <v>5464</v>
      </c>
      <c r="C162" s="3025" t="s">
        <v>5713</v>
      </c>
    </row>
    <row r="163" spans="1:3" ht="14.4">
      <c r="A163" s="2078" t="str">
        <f>'Name translation'!A163</f>
        <v>Non dominant</v>
      </c>
      <c r="B163" s="2639" t="s">
        <v>5465</v>
      </c>
      <c r="C163" s="3025" t="s">
        <v>5714</v>
      </c>
    </row>
    <row r="164" spans="1:3" ht="14.4">
      <c r="A164" s="2078" t="str">
        <f>'Name translation'!A164</f>
        <v>Non soil</v>
      </c>
      <c r="B164" s="2639" t="s">
        <v>5466</v>
      </c>
      <c r="C164" s="3026" t="s">
        <v>2246</v>
      </c>
    </row>
    <row r="165" spans="1:3" ht="14.4">
      <c r="A165" s="2078" t="str">
        <f>'Name translation'!A165</f>
        <v>?</v>
      </c>
      <c r="B165" s="2639" t="s">
        <v>5</v>
      </c>
      <c r="C165" s="3025" t="s">
        <v>5</v>
      </c>
    </row>
    <row r="166" spans="1:3" ht="14.4">
      <c r="A166" s="2078" t="str">
        <f>'Name translation'!A166</f>
        <v>Africa</v>
      </c>
      <c r="B166" s="2639" t="s">
        <v>5467</v>
      </c>
      <c r="C166" s="3025" t="s">
        <v>5582</v>
      </c>
    </row>
    <row r="167" spans="1:3" ht="14.4">
      <c r="A167" s="2078" t="str">
        <f>'Name translation'!A167</f>
        <v>Americas</v>
      </c>
      <c r="B167" s="2639" t="s">
        <v>1411</v>
      </c>
      <c r="C167" s="3025" t="s">
        <v>1411</v>
      </c>
    </row>
    <row r="168" spans="1:3" ht="14.4">
      <c r="A168" s="2078" t="str">
        <f>'Name translation'!A168</f>
        <v>Asia</v>
      </c>
      <c r="B168" s="2639" t="s">
        <v>5468</v>
      </c>
      <c r="C168" s="3025" t="s">
        <v>5715</v>
      </c>
    </row>
    <row r="169" spans="1:3" ht="14.4">
      <c r="A169" s="2078" t="str">
        <f>'Name translation'!A169</f>
        <v>Australia &amp; New Zealand</v>
      </c>
      <c r="B169" s="2639" t="s">
        <v>5469</v>
      </c>
      <c r="C169" s="3025" t="s">
        <v>5716</v>
      </c>
    </row>
    <row r="170" spans="1:3" ht="14.4">
      <c r="A170" s="2078" t="str">
        <f>'Name translation'!A170</f>
        <v>Caribbean</v>
      </c>
      <c r="B170" s="2639" t="s">
        <v>5148</v>
      </c>
      <c r="C170" s="3025" t="s">
        <v>5717</v>
      </c>
    </row>
    <row r="171" spans="1:3" ht="14.4">
      <c r="A171" s="2078" t="str">
        <f>'Name translation'!A171</f>
        <v>Central America</v>
      </c>
      <c r="B171" s="2639" t="s">
        <v>2455</v>
      </c>
      <c r="C171" s="3025" t="s">
        <v>5718</v>
      </c>
    </row>
    <row r="172" spans="1:3" ht="14.4">
      <c r="A172" s="2078" t="str">
        <f>'Name translation'!A172</f>
        <v>Central Asia</v>
      </c>
      <c r="B172" s="2639" t="s">
        <v>5470</v>
      </c>
      <c r="C172" s="3025" t="s">
        <v>5719</v>
      </c>
    </row>
    <row r="173" spans="1:3" ht="14.4">
      <c r="A173" s="2078" t="str">
        <f>'Name translation'!A173</f>
        <v>Eastern Africa</v>
      </c>
      <c r="B173" s="2639" t="s">
        <v>5481</v>
      </c>
      <c r="C173" s="3025" t="s">
        <v>5720</v>
      </c>
    </row>
    <row r="174" spans="1:3" ht="14.4">
      <c r="A174" s="2078" t="str">
        <f>'Name translation'!A174</f>
        <v>Eastern Asia</v>
      </c>
      <c r="B174" s="2639" t="s">
        <v>5482</v>
      </c>
      <c r="C174" s="3025" t="s">
        <v>5721</v>
      </c>
    </row>
    <row r="175" spans="1:3" ht="14.4">
      <c r="A175" s="2078" t="str">
        <f>'Name translation'!A175</f>
        <v>Eastern Europe</v>
      </c>
      <c r="B175" s="2639" t="s">
        <v>5483</v>
      </c>
      <c r="C175" s="3025" t="s">
        <v>5587</v>
      </c>
    </row>
    <row r="176" spans="1:3" ht="14.4">
      <c r="A176" s="2078" t="str">
        <f>'Name translation'!A176</f>
        <v>Europe</v>
      </c>
      <c r="B176" s="2639" t="s">
        <v>5152</v>
      </c>
      <c r="C176" s="3025" t="s">
        <v>5152</v>
      </c>
    </row>
    <row r="177" spans="1:3" ht="14.4">
      <c r="A177" s="2078" t="str">
        <f>'Name translation'!A177</f>
        <v>European Union</v>
      </c>
      <c r="B177" s="2639" t="s">
        <v>5471</v>
      </c>
      <c r="C177" s="3025" t="s">
        <v>5722</v>
      </c>
    </row>
    <row r="178" spans="1:3" ht="14.4">
      <c r="A178" s="2078" t="str">
        <f>'Name translation'!A178</f>
        <v>Melanesia</v>
      </c>
      <c r="B178" s="2639" t="s">
        <v>5472</v>
      </c>
      <c r="C178" s="3027" t="s">
        <v>5723</v>
      </c>
    </row>
    <row r="179" spans="1:3" ht="14.4">
      <c r="A179" s="2078" t="str">
        <f>'Name translation'!A179</f>
        <v>Micronesia</v>
      </c>
      <c r="B179" s="2639" t="s">
        <v>1350</v>
      </c>
      <c r="C179" s="3025" t="s">
        <v>5724</v>
      </c>
    </row>
    <row r="180" spans="1:3" ht="14.4">
      <c r="A180" s="2078" t="str">
        <f>'Name translation'!A180</f>
        <v>Middle Africa</v>
      </c>
      <c r="B180" s="2639" t="s">
        <v>5479</v>
      </c>
      <c r="C180" s="3025" t="s">
        <v>5725</v>
      </c>
    </row>
    <row r="181" spans="1:3" ht="14.4">
      <c r="A181" s="2078" t="str">
        <f>'Name translation'!A181</f>
        <v>Northern Africa</v>
      </c>
      <c r="B181" s="2639" t="s">
        <v>5473</v>
      </c>
      <c r="C181" s="3025" t="s">
        <v>5726</v>
      </c>
    </row>
    <row r="182" spans="1:3" ht="14.4">
      <c r="A182" s="2078" t="str">
        <f>'Name translation'!A182</f>
        <v>Northern America</v>
      </c>
      <c r="B182" s="2639" t="s">
        <v>2454</v>
      </c>
      <c r="C182" s="3025" t="s">
        <v>5589</v>
      </c>
    </row>
    <row r="183" spans="1:3" ht="14.4">
      <c r="A183" s="2078" t="str">
        <f>'Name translation'!A183</f>
        <v>Northern Europe</v>
      </c>
      <c r="B183" s="2639" t="s">
        <v>5474</v>
      </c>
      <c r="C183" s="3025" t="s">
        <v>5727</v>
      </c>
    </row>
    <row r="184" spans="1:3" ht="14.4">
      <c r="A184" s="2078" t="str">
        <f>'Name translation'!A184</f>
        <v>Oceania</v>
      </c>
      <c r="B184" s="2639" t="s">
        <v>2453</v>
      </c>
      <c r="C184" s="3025" t="s">
        <v>5588</v>
      </c>
    </row>
    <row r="185" spans="1:3" ht="14.4">
      <c r="A185" s="2078" t="str">
        <f>'Name translation'!A185</f>
        <v>Polynesia</v>
      </c>
      <c r="B185" s="2639" t="s">
        <v>5475</v>
      </c>
      <c r="C185" s="3025" t="s">
        <v>5728</v>
      </c>
    </row>
    <row r="186" spans="1:3" ht="14.4">
      <c r="A186" s="2078" t="str">
        <f>'Name translation'!A186</f>
        <v>South America</v>
      </c>
      <c r="B186" s="2639" t="s">
        <v>5476</v>
      </c>
      <c r="C186" s="3025" t="s">
        <v>5591</v>
      </c>
    </row>
    <row r="187" spans="1:3" ht="14.4">
      <c r="A187" s="2078" t="str">
        <f>'Name translation'!A187</f>
        <v>South-Eastern Asia</v>
      </c>
      <c r="B187" s="2639" t="s">
        <v>5477</v>
      </c>
      <c r="C187" s="3025" t="s">
        <v>5729</v>
      </c>
    </row>
    <row r="188" spans="1:3" ht="14.4">
      <c r="A188" s="2078" t="str">
        <f>'Name translation'!A188</f>
        <v>Southern Africa</v>
      </c>
      <c r="B188" s="2639" t="s">
        <v>5478</v>
      </c>
      <c r="C188" s="3025" t="s">
        <v>5730</v>
      </c>
    </row>
    <row r="189" spans="1:3" ht="14.4">
      <c r="A189" s="2078" t="str">
        <f>'Name translation'!A189</f>
        <v>Southern Asia</v>
      </c>
      <c r="B189" s="2639" t="s">
        <v>5484</v>
      </c>
      <c r="C189" s="3025" t="s">
        <v>5731</v>
      </c>
    </row>
    <row r="190" spans="1:3" ht="14.4">
      <c r="A190" s="2078" t="str">
        <f>'Name translation'!A190</f>
        <v>Southern Europe</v>
      </c>
      <c r="B190" s="2639" t="s">
        <v>5485</v>
      </c>
      <c r="C190" s="3025" t="s">
        <v>5732</v>
      </c>
    </row>
    <row r="191" spans="1:3" ht="14.4">
      <c r="A191" s="2078" t="str">
        <f>'Name translation'!A191</f>
        <v>Western Africa</v>
      </c>
      <c r="B191" s="2639" t="s">
        <v>5480</v>
      </c>
      <c r="C191" s="3025" t="s">
        <v>5733</v>
      </c>
    </row>
    <row r="192" spans="1:3" ht="14.4">
      <c r="A192" s="2078" t="str">
        <f>'Name translation'!A192</f>
        <v>Western Asia</v>
      </c>
      <c r="B192" s="2639" t="s">
        <v>5486</v>
      </c>
      <c r="C192" s="3025" t="s">
        <v>5734</v>
      </c>
    </row>
    <row r="193" spans="1:3" ht="14.4">
      <c r="A193" s="2078" t="str">
        <f>'Name translation'!A193</f>
        <v>Western Europe</v>
      </c>
      <c r="B193" s="2639" t="s">
        <v>2451</v>
      </c>
      <c r="C193" s="3025" t="s">
        <v>5586</v>
      </c>
    </row>
    <row r="194" spans="1:3" ht="14.4">
      <c r="A194" s="2078" t="str">
        <f>'Name translation'!A194</f>
        <v>World</v>
      </c>
      <c r="B194" s="2639" t="s">
        <v>5163</v>
      </c>
      <c r="C194" s="3025" t="s">
        <v>5735</v>
      </c>
    </row>
    <row r="195" spans="1:3" ht="14.4">
      <c r="A195" s="2078" t="str">
        <f>'Name translation'!A195</f>
        <v>?</v>
      </c>
      <c r="B195" s="2639" t="s">
        <v>5</v>
      </c>
      <c r="C195" s="3025" t="s">
        <v>5</v>
      </c>
    </row>
    <row r="196" spans="1:3" ht="14.4">
      <c r="A196" s="2078" t="str">
        <f>'Name translation'!A196</f>
        <v>Bananas</v>
      </c>
      <c r="B196" s="2639" t="s">
        <v>1362</v>
      </c>
      <c r="C196" s="3025" t="s">
        <v>5736</v>
      </c>
    </row>
    <row r="197" spans="1:3" ht="14.4">
      <c r="A197" s="2078" t="str">
        <f>'Name translation'!A197</f>
        <v>Barley</v>
      </c>
      <c r="B197" s="2639" t="s">
        <v>5495</v>
      </c>
      <c r="C197" s="3025" t="s">
        <v>5737</v>
      </c>
    </row>
    <row r="198" spans="1:3" ht="14.4">
      <c r="A198" s="2078" t="str">
        <f>'Name translation'!A198</f>
        <v>Beans, dry</v>
      </c>
      <c r="B198" s="2639" t="s">
        <v>5488</v>
      </c>
      <c r="C198" s="3025" t="s">
        <v>5738</v>
      </c>
    </row>
    <row r="199" spans="1:3" ht="14.4">
      <c r="A199" s="2078" t="str">
        <f>'Name translation'!A199</f>
        <v>Beans, green</v>
      </c>
      <c r="B199" s="2639" t="s">
        <v>5489</v>
      </c>
      <c r="C199" s="3025" t="s">
        <v>5739</v>
      </c>
    </row>
    <row r="200" spans="1:3" ht="14.4">
      <c r="A200" s="2078" t="str">
        <f>'Name translation'!A200</f>
        <v>Carrots and turnips</v>
      </c>
      <c r="B200" s="2639" t="s">
        <v>5490</v>
      </c>
      <c r="C200" s="3027" t="s">
        <v>5740</v>
      </c>
    </row>
    <row r="201" spans="1:3" ht="14.4">
      <c r="A201" s="2078" t="str">
        <f>'Name translation'!A201</f>
        <v>Cashew nuts, with shell</v>
      </c>
      <c r="B201" s="2639" t="s">
        <v>5496</v>
      </c>
      <c r="C201" s="3027" t="s">
        <v>5741</v>
      </c>
    </row>
    <row r="202" spans="1:3" ht="14.4">
      <c r="A202" s="2078" t="str">
        <f>'Name translation'!A202</f>
        <v>Cassava</v>
      </c>
      <c r="B202" s="2639" t="s">
        <v>5497</v>
      </c>
      <c r="C202" s="3025" t="s">
        <v>5742</v>
      </c>
    </row>
    <row r="203" spans="1:3" ht="14.4">
      <c r="A203" s="2078" t="str">
        <f>'Name translation'!A203</f>
        <v>Cauliflowers and broccoli</v>
      </c>
      <c r="B203" s="2639" t="s">
        <v>5491</v>
      </c>
      <c r="C203" s="3025" t="s">
        <v>5743</v>
      </c>
    </row>
    <row r="204" spans="1:3" ht="14.4">
      <c r="A204" s="2078" t="str">
        <f>'Name translation'!A204</f>
        <v>Cereals (Rice Milled Eqv)</v>
      </c>
      <c r="B204" s="2639" t="s">
        <v>5492</v>
      </c>
      <c r="C204" s="3027" t="s">
        <v>5744</v>
      </c>
    </row>
    <row r="205" spans="1:3" ht="14.4">
      <c r="A205" s="2078" t="str">
        <f>'Name translation'!A205</f>
        <v>Cereals, nes</v>
      </c>
      <c r="B205" s="2639" t="s">
        <v>5493</v>
      </c>
      <c r="C205" s="3025" t="s">
        <v>5745</v>
      </c>
    </row>
    <row r="206" spans="1:3" ht="14.4">
      <c r="A206" s="2078" t="str">
        <f>'Name translation'!A206</f>
        <v>Chestnuts</v>
      </c>
      <c r="B206" s="2639" t="s">
        <v>5498</v>
      </c>
      <c r="C206" s="3025" t="s">
        <v>5746</v>
      </c>
    </row>
    <row r="207" spans="1:3" ht="14.4">
      <c r="A207" s="2078" t="str">
        <f>'Name translation'!A207</f>
        <v>Citrus fruit, nes</v>
      </c>
      <c r="B207" s="2639" t="s">
        <v>5499</v>
      </c>
      <c r="C207" s="3025" t="s">
        <v>5747</v>
      </c>
    </row>
    <row r="208" spans="1:3" ht="14.4">
      <c r="A208" s="2078" t="str">
        <f>'Name translation'!A208</f>
        <v>Coffee, green</v>
      </c>
      <c r="B208" s="2639" t="s">
        <v>5172</v>
      </c>
      <c r="C208" s="3027" t="s">
        <v>5748</v>
      </c>
    </row>
    <row r="209" spans="1:3" ht="14.4">
      <c r="A209" s="2078" t="str">
        <f>'Name translation'!A209</f>
        <v>Cow peas, dry</v>
      </c>
      <c r="B209" s="2639" t="s">
        <v>5500</v>
      </c>
      <c r="C209" s="3027" t="s">
        <v>5749</v>
      </c>
    </row>
    <row r="210" spans="1:3" ht="14.4">
      <c r="A210" s="2078" t="str">
        <f>'Name translation'!A210</f>
        <v>Dates</v>
      </c>
      <c r="B210" s="2639" t="s">
        <v>5501</v>
      </c>
      <c r="C210" s="3027" t="s">
        <v>5750</v>
      </c>
    </row>
    <row r="211" spans="1:3" ht="14.4">
      <c r="A211" s="2078" t="str">
        <f>'Name translation'!A211</f>
        <v>Eggplants (aubergines)</v>
      </c>
      <c r="B211" s="2639" t="s">
        <v>5502</v>
      </c>
      <c r="C211" s="3027" t="s">
        <v>5751</v>
      </c>
    </row>
    <row r="212" spans="1:3" ht="14.4">
      <c r="A212" s="2078" t="str">
        <f>'Name translation'!A212</f>
        <v>Fibre Crops Nes</v>
      </c>
      <c r="B212" s="2639" t="s">
        <v>5508</v>
      </c>
      <c r="C212" s="3027" t="s">
        <v>5752</v>
      </c>
    </row>
    <row r="213" spans="1:3" ht="14.4">
      <c r="A213" s="2078" t="str">
        <f>'Name translation'!A213</f>
        <v>Grapefruit (inc. pomelos)</v>
      </c>
      <c r="B213" s="2639" t="s">
        <v>5494</v>
      </c>
      <c r="C213" s="3027" t="s">
        <v>5753</v>
      </c>
    </row>
    <row r="214" spans="1:3" ht="14.4">
      <c r="A214" s="2078" t="str">
        <f>'Name translation'!A214</f>
        <v>Grapes</v>
      </c>
      <c r="B214" s="2639" t="s">
        <v>5510</v>
      </c>
      <c r="C214" s="3027" t="s">
        <v>5754</v>
      </c>
    </row>
    <row r="215" spans="1:3" ht="14.4">
      <c r="A215" s="2078" t="str">
        <f>'Name translation'!A215</f>
        <v>Groundnuts, with shell</v>
      </c>
      <c r="B215" s="2639" t="s">
        <v>5503</v>
      </c>
      <c r="C215" s="3027" t="s">
        <v>5755</v>
      </c>
    </row>
    <row r="216" spans="1:3" ht="14.4">
      <c r="A216" s="2078" t="str">
        <f>'Name translation'!A216</f>
        <v>Leguminous vegetables, nes</v>
      </c>
      <c r="B216" s="2639" t="s">
        <v>5509</v>
      </c>
      <c r="C216" s="3027" t="s">
        <v>5756</v>
      </c>
    </row>
    <row r="217" spans="1:3" ht="14.4">
      <c r="A217" s="2078" t="str">
        <f>'Name translation'!A217</f>
        <v>Linseed</v>
      </c>
      <c r="B217" s="2639" t="s">
        <v>5511</v>
      </c>
      <c r="C217" s="3027" t="s">
        <v>5757</v>
      </c>
    </row>
    <row r="218" spans="1:3" ht="14.4">
      <c r="A218" s="2078" t="str">
        <f>'Name translation'!A218</f>
        <v>Maize</v>
      </c>
      <c r="B218" s="2639" t="s">
        <v>5512</v>
      </c>
      <c r="C218" s="3027" t="s">
        <v>5758</v>
      </c>
    </row>
    <row r="219" spans="1:3" ht="14.4">
      <c r="A219" s="2078" t="str">
        <f>'Name translation'!A219</f>
        <v>Maize, green</v>
      </c>
      <c r="B219" s="2639" t="s">
        <v>5513</v>
      </c>
      <c r="C219" s="3027" t="s">
        <v>5759</v>
      </c>
    </row>
    <row r="220" spans="1:3" ht="14.4">
      <c r="A220" s="2078" t="str">
        <f>'Name translation'!A220</f>
        <v>Mangoes, mangosteens, guavas</v>
      </c>
      <c r="B220" s="2639" t="s">
        <v>5504</v>
      </c>
      <c r="C220" s="3027" t="s">
        <v>5760</v>
      </c>
    </row>
    <row r="221" spans="1:3" ht="14.4">
      <c r="A221" s="2078" t="str">
        <f>'Name translation'!A221</f>
        <v>Maté</v>
      </c>
      <c r="B221" s="2639" t="s">
        <v>2315</v>
      </c>
      <c r="C221" s="3027" t="s">
        <v>2315</v>
      </c>
    </row>
    <row r="222" spans="1:3" ht="14.4">
      <c r="A222" s="2078" t="str">
        <f>'Name translation'!A222</f>
        <v>Millet</v>
      </c>
      <c r="B222" s="2639" t="s">
        <v>5514</v>
      </c>
      <c r="C222" s="3027" t="s">
        <v>5761</v>
      </c>
    </row>
    <row r="223" spans="1:3" ht="14.4">
      <c r="A223" s="2078" t="str">
        <f>'Name translation'!A223</f>
        <v>Oats</v>
      </c>
      <c r="B223" s="2639" t="s">
        <v>5515</v>
      </c>
      <c r="C223" s="3027" t="s">
        <v>5762</v>
      </c>
    </row>
    <row r="224" spans="1:3" ht="14.4">
      <c r="A224" s="2078" t="str">
        <f>'Name translation'!A224</f>
        <v>Oil palm fruit</v>
      </c>
      <c r="B224" s="2639" t="s">
        <v>5516</v>
      </c>
      <c r="C224" s="3027" t="s">
        <v>5763</v>
      </c>
    </row>
    <row r="225" spans="1:3" ht="14.4">
      <c r="A225" s="2078" t="str">
        <f>'Name translation'!A225</f>
        <v>Olives</v>
      </c>
      <c r="B225" s="2639" t="s">
        <v>5517</v>
      </c>
      <c r="C225" s="3027" t="s">
        <v>5764</v>
      </c>
    </row>
    <row r="226" spans="1:3" ht="14.4">
      <c r="A226" s="2078" t="str">
        <f>'Name translation'!A226</f>
        <v>Onions, dry</v>
      </c>
      <c r="B226" s="2639" t="s">
        <v>5505</v>
      </c>
      <c r="C226" s="3027" t="s">
        <v>5765</v>
      </c>
    </row>
    <row r="227" spans="1:3" ht="14.4">
      <c r="A227" s="2078" t="str">
        <f>'Name translation'!A227</f>
        <v>Oranges</v>
      </c>
      <c r="B227" s="2639" t="s">
        <v>5518</v>
      </c>
      <c r="C227" s="3027" t="s">
        <v>5766</v>
      </c>
    </row>
    <row r="228" spans="1:3" ht="14.4">
      <c r="A228" s="2078" t="str">
        <f>'Name translation'!A228</f>
        <v>Peaches and nectarines</v>
      </c>
      <c r="B228" s="2639" t="s">
        <v>5506</v>
      </c>
      <c r="C228" s="3027" t="s">
        <v>5767</v>
      </c>
    </row>
    <row r="229" spans="1:3" ht="14.4">
      <c r="A229" s="2078" t="str">
        <f>'Name translation'!A229</f>
        <v>Peas, dry</v>
      </c>
      <c r="B229" s="2639" t="s">
        <v>5521</v>
      </c>
      <c r="C229" s="3027" t="s">
        <v>5768</v>
      </c>
    </row>
    <row r="230" spans="1:3" ht="14.4">
      <c r="A230" s="2078" t="str">
        <f>'Name translation'!A230</f>
        <v>Peas, green</v>
      </c>
      <c r="B230" s="2639" t="s">
        <v>5520</v>
      </c>
      <c r="C230" s="3027" t="s">
        <v>5769</v>
      </c>
    </row>
    <row r="231" spans="1:3" ht="14.4">
      <c r="A231" s="2078" t="str">
        <f>'Name translation'!A231</f>
        <v>Pineapples</v>
      </c>
      <c r="B231" s="2639" t="s">
        <v>5507</v>
      </c>
      <c r="C231" s="3027" t="s">
        <v>2373</v>
      </c>
    </row>
    <row r="232" spans="1:3" ht="14.4">
      <c r="A232" s="2078" t="str">
        <f>'Name translation'!A232</f>
        <v>Plantains</v>
      </c>
      <c r="B232" s="2639" t="s">
        <v>5519</v>
      </c>
      <c r="C232" s="3027" t="s">
        <v>5770</v>
      </c>
    </row>
    <row r="233" spans="1:3" ht="14.4">
      <c r="A233" s="2078" t="str">
        <f>'Name translation'!A233</f>
        <v>Potatoes</v>
      </c>
      <c r="B233" s="2639" t="s">
        <v>5522</v>
      </c>
      <c r="C233" s="3027" t="s">
        <v>5771</v>
      </c>
    </row>
    <row r="234" spans="1:3" ht="14.4">
      <c r="A234" s="2078" t="str">
        <f>'Name translation'!A234</f>
        <v>Pulses, nes</v>
      </c>
      <c r="B234" s="2639" t="s">
        <v>5523</v>
      </c>
      <c r="C234" s="3027" t="s">
        <v>5756</v>
      </c>
    </row>
    <row r="235" spans="1:3" ht="14.4">
      <c r="A235" s="2078" t="str">
        <f>'Name translation'!A235</f>
        <v>Quinoa</v>
      </c>
      <c r="B235" s="2639" t="s">
        <v>1412</v>
      </c>
      <c r="C235" s="3027" t="s">
        <v>5772</v>
      </c>
    </row>
    <row r="236" spans="1:3" ht="14.4">
      <c r="A236" s="2078" t="str">
        <f>'Name translation'!A236</f>
        <v>Rice, paddy</v>
      </c>
      <c r="B236" s="2639" t="s">
        <v>1396</v>
      </c>
      <c r="C236" s="3027" t="s">
        <v>5773</v>
      </c>
    </row>
    <row r="237" spans="1:3" ht="14.4">
      <c r="A237" s="2078" t="str">
        <f>'Name translation'!A237</f>
        <v>Roots and Tubers, nes</v>
      </c>
      <c r="B237" s="2639" t="s">
        <v>5524</v>
      </c>
      <c r="C237" s="3027" t="s">
        <v>5774</v>
      </c>
    </row>
    <row r="238" spans="1:3" ht="14.4">
      <c r="A238" s="2078" t="str">
        <f>'Name translation'!A238</f>
        <v>Rye</v>
      </c>
      <c r="B238" s="2639" t="s">
        <v>5525</v>
      </c>
      <c r="C238" s="3027" t="s">
        <v>5775</v>
      </c>
    </row>
    <row r="239" spans="1:3" ht="14.4">
      <c r="A239" s="2078" t="str">
        <f>'Name translation'!A239</f>
        <v>Seed cotton</v>
      </c>
      <c r="B239" s="2639" t="s">
        <v>5527</v>
      </c>
      <c r="C239" s="3027" t="s">
        <v>5776</v>
      </c>
    </row>
    <row r="240" spans="1:3" ht="14.4">
      <c r="A240" s="2078" t="str">
        <f>'Name translation'!A240</f>
        <v>Sesame seed</v>
      </c>
      <c r="B240" s="2639" t="s">
        <v>5528</v>
      </c>
      <c r="C240" s="3025" t="s">
        <v>5777</v>
      </c>
    </row>
    <row r="241" spans="1:3" ht="14.4">
      <c r="A241" s="2078" t="str">
        <f>'Name translation'!A241</f>
        <v>Sisal</v>
      </c>
      <c r="B241" s="2639" t="s">
        <v>1398</v>
      </c>
      <c r="C241" s="3025" t="s">
        <v>1398</v>
      </c>
    </row>
    <row r="242" spans="1:3" ht="14.4">
      <c r="A242" s="2078" t="str">
        <f>'Name translation'!A242</f>
        <v>Sorghum</v>
      </c>
      <c r="B242" s="2639" t="s">
        <v>5198</v>
      </c>
      <c r="C242" s="3025" t="s">
        <v>5778</v>
      </c>
    </row>
    <row r="243" spans="1:3" ht="14.4">
      <c r="A243" s="2078" t="str">
        <f>'Name translation'!A243</f>
        <v>Soybeans</v>
      </c>
      <c r="B243" s="2639" t="s">
        <v>2383</v>
      </c>
      <c r="C243" s="3025" t="s">
        <v>5779</v>
      </c>
    </row>
    <row r="244" spans="1:3" ht="14.4">
      <c r="A244" s="2078" t="str">
        <f>'Name translation'!A244</f>
        <v>Strawberries</v>
      </c>
      <c r="B244" s="2639" t="s">
        <v>5529</v>
      </c>
      <c r="C244" s="3025" t="s">
        <v>5780</v>
      </c>
    </row>
    <row r="245" spans="1:3" ht="14.4">
      <c r="A245" s="2078" t="str">
        <f>'Name translation'!A245</f>
        <v>Sugar beet</v>
      </c>
      <c r="B245" s="2639" t="s">
        <v>5530</v>
      </c>
      <c r="C245" s="3025" t="s">
        <v>5781</v>
      </c>
    </row>
    <row r="246" spans="1:3" ht="14.4">
      <c r="A246" s="2078" t="str">
        <f>'Name translation'!A246</f>
        <v>Sugar cane</v>
      </c>
      <c r="B246" s="2639" t="s">
        <v>5531</v>
      </c>
      <c r="C246" s="3025" t="s">
        <v>5782</v>
      </c>
    </row>
    <row r="247" spans="1:3" ht="14.4">
      <c r="A247" s="2078" t="str">
        <f>'Name translation'!A247</f>
        <v>Sunflower seed</v>
      </c>
      <c r="B247" s="2639" t="s">
        <v>5532</v>
      </c>
      <c r="C247" s="3025" t="s">
        <v>5783</v>
      </c>
    </row>
    <row r="248" spans="1:3" ht="14.4">
      <c r="A248" s="2078" t="str">
        <f>'Name translation'!A248</f>
        <v>Sweet potatoes</v>
      </c>
      <c r="B248" s="2639" t="s">
        <v>5533</v>
      </c>
      <c r="C248" s="3025" t="s">
        <v>5784</v>
      </c>
    </row>
    <row r="249" spans="1:3" ht="14.4">
      <c r="A249" s="2078" t="str">
        <f>'Name translation'!A249</f>
        <v>Tangerines, mandarins, clem.</v>
      </c>
      <c r="B249" s="2639" t="s">
        <v>5534</v>
      </c>
      <c r="C249" s="3027" t="s">
        <v>5785</v>
      </c>
    </row>
    <row r="250" spans="1:3" ht="14.4">
      <c r="A250" s="2078" t="str">
        <f>'Name translation'!A250</f>
        <v>Tea</v>
      </c>
      <c r="B250" s="2639" t="s">
        <v>5535</v>
      </c>
      <c r="C250" s="3025" t="s">
        <v>5786</v>
      </c>
    </row>
    <row r="251" spans="1:3" ht="14.4">
      <c r="A251" s="2078" t="str">
        <f>'Name translation'!A251</f>
        <v>Tobacco, unmanufactured</v>
      </c>
      <c r="B251" s="2639" t="s">
        <v>5526</v>
      </c>
      <c r="C251" s="3025" t="s">
        <v>5787</v>
      </c>
    </row>
    <row r="252" spans="1:3" ht="14.4">
      <c r="A252" s="2078" t="str">
        <f>'Name translation'!A252</f>
        <v>Tomatoes</v>
      </c>
      <c r="B252" s="2639" t="s">
        <v>2386</v>
      </c>
      <c r="C252" s="3025" t="s">
        <v>5788</v>
      </c>
    </row>
    <row r="253" spans="1:3" ht="14.4">
      <c r="A253" s="2078" t="str">
        <f>'Name translation'!A253</f>
        <v>Triticale</v>
      </c>
      <c r="B253" s="2639" t="s">
        <v>1361</v>
      </c>
      <c r="C253" s="3027" t="s">
        <v>1361</v>
      </c>
    </row>
    <row r="254" spans="1:3" ht="14.4">
      <c r="A254" s="2078" t="str">
        <f>'Name translation'!A254</f>
        <v>Vegetables fresh nes</v>
      </c>
      <c r="B254" s="2639" t="s">
        <v>5536</v>
      </c>
      <c r="C254" s="3025" t="s">
        <v>5789</v>
      </c>
    </row>
    <row r="255" spans="1:3" ht="14.4">
      <c r="A255" s="2078" t="str">
        <f>'Name translation'!A255</f>
        <v>Vetches</v>
      </c>
      <c r="B255" s="2639" t="s">
        <v>5537</v>
      </c>
      <c r="C255" s="3027" t="s">
        <v>5790</v>
      </c>
    </row>
    <row r="256" spans="1:3" ht="14.4">
      <c r="A256" s="2078" t="str">
        <f>'Name translation'!A256</f>
        <v>Wheat</v>
      </c>
      <c r="B256" s="2639" t="s">
        <v>5208</v>
      </c>
      <c r="C256" s="3025" t="s">
        <v>5791</v>
      </c>
    </row>
    <row r="257" spans="1:2">
      <c r="A257" s="2078">
        <f>'Name translation'!A257</f>
        <v>0</v>
      </c>
      <c r="B257" s="2639"/>
    </row>
    <row r="258" spans="1:2">
      <c r="A258" s="2078">
        <f>'Name translation'!A258</f>
        <v>0</v>
      </c>
      <c r="B258" s="2639"/>
    </row>
    <row r="259" spans="1:2">
      <c r="A259" s="2078">
        <f>'Name translation'!A259</f>
        <v>0</v>
      </c>
      <c r="B259" s="2639"/>
    </row>
    <row r="260" spans="1:2">
      <c r="A260" s="2078">
        <f>'Name translation'!A260</f>
        <v>0</v>
      </c>
      <c r="B260" s="2639"/>
    </row>
    <row r="261" spans="1:2">
      <c r="A261" s="2078">
        <f>'Name translation'!A261</f>
        <v>0</v>
      </c>
      <c r="B261" s="2639"/>
    </row>
    <row r="262" spans="1:2">
      <c r="A262" s="2078">
        <f>'Name translation'!A262</f>
        <v>0</v>
      </c>
      <c r="B262" s="2639"/>
    </row>
    <row r="263" spans="1:2">
      <c r="A263" s="2078">
        <f>'Name translation'!A263</f>
        <v>0</v>
      </c>
      <c r="B263" s="2639"/>
    </row>
    <row r="264" spans="1:2">
      <c r="A264" s="2078">
        <f>'Name translation'!A264</f>
        <v>0</v>
      </c>
      <c r="B264" s="2639"/>
    </row>
    <row r="265" spans="1:2">
      <c r="A265" s="2078">
        <f>'Name translation'!A265</f>
        <v>0</v>
      </c>
      <c r="B265" s="2639"/>
    </row>
    <row r="266" spans="1:2">
      <c r="A266" s="2078">
        <f>'Name translation'!A266</f>
        <v>0</v>
      </c>
      <c r="B266" s="2639"/>
    </row>
    <row r="267" spans="1:2">
      <c r="A267" s="2078">
        <f>'Name translation'!A267</f>
        <v>0</v>
      </c>
      <c r="B267" s="2639"/>
    </row>
    <row r="268" spans="1:2">
      <c r="A268" s="2078">
        <f>'Name translation'!A268</f>
        <v>0</v>
      </c>
      <c r="B268" s="2639"/>
    </row>
    <row r="269" spans="1:2">
      <c r="A269" s="2078">
        <f>'Name translation'!A269</f>
        <v>0</v>
      </c>
      <c r="B269" s="2639"/>
    </row>
    <row r="270" spans="1:2">
      <c r="A270" s="2078">
        <f>'Name translation'!A270</f>
        <v>0</v>
      </c>
      <c r="B270" s="2639"/>
    </row>
    <row r="271" spans="1:2">
      <c r="A271" s="2078">
        <f>'Name translation'!A271</f>
        <v>0</v>
      </c>
      <c r="B271" s="2639"/>
    </row>
    <row r="272" spans="1:2">
      <c r="A272" s="2078">
        <f>'Name translation'!A272</f>
        <v>0</v>
      </c>
      <c r="B272" s="2639"/>
    </row>
    <row r="273" spans="1:2">
      <c r="A273" s="2078">
        <f>'Name translation'!A273</f>
        <v>0</v>
      </c>
      <c r="B273" s="2639"/>
    </row>
    <row r="274" spans="1:2">
      <c r="A274" s="2078">
        <f>'Name translation'!A274</f>
        <v>0</v>
      </c>
      <c r="B274" s="2639"/>
    </row>
    <row r="275" spans="1:2">
      <c r="A275" s="2078">
        <f>'Name translation'!A275</f>
        <v>0</v>
      </c>
      <c r="B275" s="2639"/>
    </row>
    <row r="276" spans="1:2">
      <c r="A276" s="2078">
        <f>'Name translation'!A276</f>
        <v>0</v>
      </c>
      <c r="B276" s="2639"/>
    </row>
    <row r="277" spans="1:2">
      <c r="A277" s="2078">
        <f>'Name translation'!A277</f>
        <v>0</v>
      </c>
      <c r="B277" s="2639"/>
    </row>
    <row r="278" spans="1:2">
      <c r="A278" s="2078">
        <f>'Name translation'!A278</f>
        <v>0</v>
      </c>
      <c r="B278" s="2639"/>
    </row>
    <row r="279" spans="1:2">
      <c r="A279" s="2078">
        <f>'Name translation'!A279</f>
        <v>0</v>
      </c>
      <c r="B279" s="26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pageSetUpPr fitToPage="1"/>
  </sheetPr>
  <dimension ref="A1:AO57"/>
  <sheetViews>
    <sheetView topLeftCell="B1" zoomScaleNormal="100" workbookViewId="0">
      <pane ySplit="5" topLeftCell="A11" activePane="bottomLeft" state="frozen"/>
      <selection pane="bottomLeft" activeCell="H27" sqref="H27"/>
    </sheetView>
  </sheetViews>
  <sheetFormatPr baseColWidth="10" defaultColWidth="11.44140625" defaultRowHeight="13.2"/>
  <cols>
    <col min="1" max="1" width="13.6640625" style="1" customWidth="1"/>
    <col min="2" max="2" width="11.109375" style="1" customWidth="1"/>
    <col min="3" max="3" width="12.6640625" style="1" customWidth="1"/>
    <col min="4" max="4" width="13.6640625" style="1" customWidth="1"/>
    <col min="5" max="5" width="15.88671875" style="1" customWidth="1"/>
    <col min="6" max="6" width="10.6640625" style="1" customWidth="1"/>
    <col min="7" max="7" width="8.44140625" style="1" customWidth="1"/>
    <col min="8" max="8" width="10.5546875" style="1" customWidth="1"/>
    <col min="9" max="9" width="12.109375" style="9" customWidth="1"/>
    <col min="10" max="10" width="11.44140625" style="9"/>
    <col min="11" max="11" width="8.109375" style="1" customWidth="1"/>
    <col min="12" max="12" width="11" style="1" customWidth="1"/>
    <col min="13" max="13" width="10.44140625" style="1" customWidth="1"/>
    <col min="14" max="14" width="8.6640625" style="1" customWidth="1"/>
    <col min="15" max="15" width="9.44140625" style="9" customWidth="1"/>
    <col min="16" max="16" width="9" style="1" customWidth="1"/>
    <col min="17" max="17" width="9.88671875" style="9" customWidth="1"/>
    <col min="18" max="19" width="11.44140625" style="9"/>
    <col min="20" max="20" width="7.33203125" style="1" customWidth="1"/>
    <col min="21" max="21" width="11.109375" style="1" customWidth="1"/>
    <col min="22" max="22" width="11.109375" style="1087" customWidth="1"/>
    <col min="23" max="24" width="2.88671875" style="1087" customWidth="1"/>
    <col min="25" max="26" width="2.88671875" style="1086" customWidth="1"/>
    <col min="27" max="30" width="9.109375" style="1951" customWidth="1"/>
    <col min="31" max="32" width="11.44140625" style="1951"/>
    <col min="33" max="38" width="11.44140625" style="1086"/>
    <col min="39" max="40" width="11.44140625" style="210"/>
    <col min="41" max="41" width="11.44140625" style="1529"/>
    <col min="42" max="16384" width="11.44140625" style="1"/>
  </cols>
  <sheetData>
    <row r="1" spans="1:41" s="1670" customFormat="1" ht="22.95" customHeight="1">
      <c r="I1" s="1671"/>
      <c r="J1" s="1671"/>
      <c r="O1" s="1671"/>
      <c r="Q1" s="1671"/>
      <c r="R1" s="1671"/>
      <c r="S1" s="1671"/>
      <c r="V1" s="1731"/>
      <c r="W1" s="1731"/>
      <c r="X1" s="1731"/>
      <c r="Y1" s="1709"/>
      <c r="Z1" s="1709"/>
      <c r="AA1" s="1924"/>
      <c r="AB1" s="1924"/>
      <c r="AC1" s="1924"/>
      <c r="AD1" s="1924"/>
      <c r="AE1" s="1924"/>
      <c r="AF1" s="1924"/>
      <c r="AG1" s="1709"/>
      <c r="AH1" s="1709"/>
      <c r="AI1" s="1709"/>
      <c r="AJ1" s="1709"/>
      <c r="AK1" s="1709"/>
      <c r="AL1" s="1709"/>
      <c r="AM1" s="1708"/>
      <c r="AN1" s="1708"/>
      <c r="AO1" s="1732"/>
    </row>
    <row r="2" spans="1:41" s="1670" customFormat="1" ht="22.95" customHeight="1">
      <c r="I2" s="1671"/>
      <c r="J2" s="1671"/>
      <c r="O2" s="1671"/>
      <c r="Q2" s="1671"/>
      <c r="R2" s="1671"/>
      <c r="S2" s="1671"/>
      <c r="V2" s="1731"/>
      <c r="W2" s="1731"/>
      <c r="X2" s="1731"/>
      <c r="Y2" s="1709"/>
      <c r="Z2" s="1709"/>
      <c r="AA2" s="1924"/>
      <c r="AB2" s="1924"/>
      <c r="AC2" s="1924"/>
      <c r="AD2" s="1924"/>
      <c r="AE2" s="1924"/>
      <c r="AF2" s="1924"/>
      <c r="AG2" s="1709"/>
      <c r="AH2" s="1709"/>
      <c r="AI2" s="1709"/>
      <c r="AJ2" s="1709"/>
      <c r="AK2" s="1709"/>
      <c r="AL2" s="1709"/>
      <c r="AM2" s="1708"/>
      <c r="AN2" s="1708"/>
      <c r="AO2" s="1732"/>
    </row>
    <row r="3" spans="1:41" s="1670" customFormat="1" ht="22.95" customHeight="1">
      <c r="I3" s="1671"/>
      <c r="J3" s="1671"/>
      <c r="O3" s="1671"/>
      <c r="Q3" s="1671"/>
      <c r="R3" s="1671"/>
      <c r="S3" s="1671"/>
      <c r="V3" s="1731"/>
      <c r="W3" s="1731"/>
      <c r="X3" s="1731"/>
      <c r="Y3" s="1709"/>
      <c r="Z3" s="1709"/>
      <c r="AA3" s="1924"/>
      <c r="AB3" s="1924"/>
      <c r="AC3" s="1924"/>
      <c r="AD3" s="1924"/>
      <c r="AE3" s="1924"/>
      <c r="AF3" s="1924"/>
      <c r="AG3" s="1709"/>
      <c r="AH3" s="1709"/>
      <c r="AI3" s="1709"/>
      <c r="AJ3" s="1709"/>
      <c r="AK3" s="1709"/>
      <c r="AL3" s="1709"/>
      <c r="AM3" s="1708"/>
      <c r="AN3" s="1708"/>
      <c r="AO3" s="1732"/>
    </row>
    <row r="4" spans="1:41" s="1670" customFormat="1" ht="22.95" customHeight="1">
      <c r="I4" s="1671"/>
      <c r="J4" s="1671"/>
      <c r="O4" s="1671"/>
      <c r="Q4" s="1671"/>
      <c r="R4" s="1671"/>
      <c r="S4" s="1671"/>
      <c r="V4" s="1731"/>
      <c r="W4" s="1731"/>
      <c r="X4" s="1731"/>
      <c r="Y4" s="1709"/>
      <c r="Z4" s="1709"/>
      <c r="AA4" s="1924"/>
      <c r="AB4" s="1924"/>
      <c r="AC4" s="1924"/>
      <c r="AD4" s="1924"/>
      <c r="AE4" s="1924"/>
      <c r="AF4" s="1924"/>
      <c r="AG4" s="1709"/>
      <c r="AH4" s="1709"/>
      <c r="AI4" s="1709"/>
      <c r="AJ4" s="1709"/>
      <c r="AK4" s="1709"/>
      <c r="AL4" s="1709"/>
      <c r="AM4" s="1708"/>
      <c r="AN4" s="1708"/>
      <c r="AO4" s="1732"/>
    </row>
    <row r="5" spans="1:41" s="1670" customFormat="1" ht="22.95" customHeight="1">
      <c r="A5" s="1717" t="s">
        <v>478</v>
      </c>
      <c r="E5" s="1733" t="s">
        <v>479</v>
      </c>
      <c r="V5" s="1709"/>
      <c r="W5" s="1709"/>
      <c r="X5" s="1709"/>
      <c r="Y5" s="1709"/>
      <c r="Z5" s="1709"/>
      <c r="AA5" s="1924"/>
      <c r="AB5" s="1924"/>
      <c r="AC5" s="1924"/>
      <c r="AD5" s="1924"/>
      <c r="AE5" s="1924"/>
      <c r="AF5" s="1924"/>
      <c r="AG5" s="1709"/>
      <c r="AH5" s="1709"/>
      <c r="AI5" s="1709"/>
      <c r="AJ5" s="1709"/>
      <c r="AK5" s="1709"/>
      <c r="AL5" s="1709"/>
      <c r="AM5" s="1708"/>
      <c r="AN5" s="1708"/>
      <c r="AO5" s="1732"/>
    </row>
    <row r="6" spans="1:41">
      <c r="A6" s="15"/>
      <c r="B6" s="15"/>
      <c r="F6" s="25"/>
      <c r="I6" s="302" t="s">
        <v>532</v>
      </c>
      <c r="J6" s="310"/>
      <c r="K6" s="310"/>
      <c r="L6" s="310"/>
      <c r="M6" s="310"/>
      <c r="N6" s="310"/>
      <c r="O6" s="310"/>
      <c r="P6" s="310"/>
      <c r="Q6" s="310"/>
      <c r="R6" s="310"/>
      <c r="S6" s="311"/>
      <c r="V6" s="1086"/>
      <c r="W6" s="1086"/>
      <c r="X6" s="1086"/>
    </row>
    <row r="7" spans="1:41">
      <c r="A7" s="15"/>
      <c r="B7" s="11" t="s">
        <v>562</v>
      </c>
      <c r="C7" s="135"/>
      <c r="D7" s="135"/>
      <c r="E7" s="135"/>
      <c r="F7" s="135"/>
      <c r="G7" s="28"/>
      <c r="I7" s="209" t="s">
        <v>1028</v>
      </c>
      <c r="J7" s="57"/>
      <c r="K7" s="216"/>
      <c r="L7" s="229"/>
      <c r="M7" s="230" t="s">
        <v>1021</v>
      </c>
      <c r="N7" s="216"/>
      <c r="O7" s="57"/>
      <c r="P7" s="229"/>
      <c r="Q7" s="133"/>
      <c r="R7" s="130"/>
      <c r="S7" s="131"/>
      <c r="T7" s="9"/>
      <c r="V7" s="1086"/>
      <c r="W7" s="1086"/>
      <c r="X7" s="1086"/>
    </row>
    <row r="8" spans="1:41">
      <c r="B8" s="162" t="s">
        <v>563</v>
      </c>
      <c r="C8" s="124"/>
      <c r="D8" s="124"/>
      <c r="E8" s="124"/>
      <c r="F8" s="124"/>
      <c r="G8" s="115"/>
      <c r="I8" s="349" t="s">
        <v>990</v>
      </c>
      <c r="J8" s="348"/>
      <c r="K8" s="348" t="s">
        <v>991</v>
      </c>
      <c r="L8" s="351"/>
      <c r="M8" s="351" t="s">
        <v>990</v>
      </c>
      <c r="N8" s="348"/>
      <c r="O8" s="348" t="s">
        <v>991</v>
      </c>
      <c r="P8" s="351"/>
      <c r="Q8" s="122" t="s">
        <v>992</v>
      </c>
      <c r="R8" s="123" t="s">
        <v>509</v>
      </c>
      <c r="S8" s="125" t="s">
        <v>510</v>
      </c>
      <c r="T8" s="9"/>
      <c r="V8" s="1086"/>
      <c r="W8" s="1086"/>
      <c r="X8" s="1086"/>
      <c r="AA8" s="1951" t="s">
        <v>33</v>
      </c>
      <c r="AC8" s="1952"/>
      <c r="AD8" s="1952"/>
      <c r="AE8" s="1952"/>
    </row>
    <row r="9" spans="1:41">
      <c r="B9" s="114"/>
      <c r="C9" s="124"/>
      <c r="D9" s="137" t="s">
        <v>489</v>
      </c>
      <c r="E9" s="138"/>
      <c r="F9" s="177" t="s">
        <v>582</v>
      </c>
      <c r="G9" s="117"/>
      <c r="I9" s="122" t="s">
        <v>505</v>
      </c>
      <c r="J9" s="350" t="s">
        <v>506</v>
      </c>
      <c r="K9" s="123" t="s">
        <v>505</v>
      </c>
      <c r="L9" s="352" t="s">
        <v>506</v>
      </c>
      <c r="M9" s="122" t="s">
        <v>505</v>
      </c>
      <c r="N9" s="350" t="s">
        <v>506</v>
      </c>
      <c r="O9" s="123" t="s">
        <v>505</v>
      </c>
      <c r="P9" s="352" t="s">
        <v>506</v>
      </c>
      <c r="Q9" s="123" t="s">
        <v>506</v>
      </c>
      <c r="R9" s="123" t="s">
        <v>524</v>
      </c>
      <c r="S9" s="125" t="s">
        <v>524</v>
      </c>
      <c r="T9" s="9"/>
      <c r="V9" s="1086"/>
      <c r="W9" s="1086"/>
      <c r="X9" s="1086"/>
      <c r="AA9" s="1951" t="s">
        <v>29</v>
      </c>
      <c r="AB9" s="1951" t="s">
        <v>30</v>
      </c>
      <c r="AC9" s="1952" t="s">
        <v>31</v>
      </c>
      <c r="AD9" s="1952" t="s">
        <v>32</v>
      </c>
      <c r="AE9" s="1952"/>
    </row>
    <row r="10" spans="1:41" ht="12.75" customHeight="1">
      <c r="A10" s="1926"/>
      <c r="B10" s="3078" t="s">
        <v>1026</v>
      </c>
      <c r="C10" s="20" t="str">
        <f>List!A73</f>
        <v>Forest Zone 1</v>
      </c>
      <c r="D10" s="89" t="str">
        <f>HLOOKUP(climate,' IPCC'!$B$7:$G$11,2,FALSE)</f>
        <v>Please specify the climate</v>
      </c>
      <c r="E10" s="21"/>
      <c r="F10" s="21"/>
      <c r="G10" s="90"/>
      <c r="I10" s="418">
        <f>VLOOKUP(region,' IPCC'!$A$170:$G$182,1+MATCH(forest1,' IPCC'!$B$170:$G$170,),)</f>
        <v>0</v>
      </c>
      <c r="J10" s="2214">
        <f>IF('2.LUC'!E148="",0.47*I10,'2.LUC'!E148)</f>
        <v>0</v>
      </c>
      <c r="K10" s="422">
        <f>IF(I10&gt;0,I10*VLOOKUP(forest1,' IPCC'!$A$89:$F$103,IF(I10&lt;20,2,IF(I10&lt;50,3,IF(I10&lt;75,4,IF(I10&lt;125,5,6)))),),)</f>
        <v>0</v>
      </c>
      <c r="L10" s="2215">
        <f>IF('2.LUC'!G148="",K10*0.47,'2.LUC'!G148)</f>
        <v>0</v>
      </c>
      <c r="M10" s="417">
        <f>VLOOKUP(region,' IPCC'!$A$230:$G$242,1+MATCH(forest1,' IPCC'!$B$230:$G$230,),)</f>
        <v>0</v>
      </c>
      <c r="N10" s="2219">
        <f>IF('2.LUC'!I148="",M10*0.47,'2.LUC'!I148)</f>
        <v>0</v>
      </c>
      <c r="O10" s="422">
        <f>IF(M10&gt;0,M10*VLOOKUP(forest1,' IPCC'!$A$89:$F$103,IF(M10&lt;20,2,IF(M10&lt;50,3,IF(M10&lt;75,4,IF(M10&lt;125,5,6)))),),)</f>
        <v>0</v>
      </c>
      <c r="P10" s="2220">
        <f>IF('2.LUC'!K148="",O10*0.47,'2.LUC'!K148)</f>
        <v>0</v>
      </c>
      <c r="Q10" s="2221">
        <f>IF('2.LUC'!O148="",'2.LUC'!M148,'2.LUC'!O148)</f>
        <v>0</v>
      </c>
      <c r="R10" s="2221">
        <f>IF('2.LUC'!R148="",'2.LUC'!Q148,'2.LUC'!R148)</f>
        <v>0</v>
      </c>
      <c r="S10" s="2222">
        <f>IF('2.LUC'!T148="",'2.LUC'!S148,'2.LUC'!T148)</f>
        <v>0</v>
      </c>
      <c r="T10" s="9"/>
      <c r="V10" s="1086"/>
      <c r="W10" s="1086"/>
      <c r="X10" s="1086"/>
      <c r="AA10" s="2468">
        <f t="shared" ref="AA10:AA19" si="0">IF(G27="yes",E42*M27*methane/1000,0)</f>
        <v>0</v>
      </c>
      <c r="AB10" s="2468">
        <f t="shared" ref="AB10:AB19" si="1">IF(G27="yes",G42*M27*methane/1000,0)</f>
        <v>0</v>
      </c>
      <c r="AC10" s="2322">
        <f t="shared" ref="AC10:AC19" si="2">IF(G27="yes",E42*N27*Nitrous/1000,0)</f>
        <v>0</v>
      </c>
      <c r="AD10" s="2322">
        <f t="shared" ref="AD10:AD19" si="3">IF(G27="yes",G42*N27*Nitrous/1000,0)</f>
        <v>0</v>
      </c>
    </row>
    <row r="11" spans="1:41">
      <c r="A11" s="1926"/>
      <c r="B11" s="3079"/>
      <c r="C11" s="20" t="str">
        <f>List!A74</f>
        <v>Forest Zone 2</v>
      </c>
      <c r="D11" s="89" t="str">
        <f>HLOOKUP(climate,' IPCC'!$B$7:$G$11,3,FALSE)</f>
        <v>Please specify the climate</v>
      </c>
      <c r="E11" s="21"/>
      <c r="F11" s="21"/>
      <c r="G11" s="90"/>
      <c r="I11" s="418">
        <f>VLOOKUP(region,' IPCC'!$A$185:$G$197,1+MATCH(forest2,' IPCC'!$B$185:$G$185,),)</f>
        <v>0</v>
      </c>
      <c r="J11" s="2214">
        <f>IF('2.LUC'!E149="",0.47*I11,'2.LUC'!E149)</f>
        <v>0</v>
      </c>
      <c r="K11" s="422">
        <f>IF(I11&gt;0,I11*VLOOKUP(forest2,' IPCC'!$A$89:$F$103,IF(I11&lt;20,2,IF(I11&lt;50,3,IF(I11&lt;75,4,IF(I11&lt;125,5,6)))),),)</f>
        <v>0</v>
      </c>
      <c r="L11" s="2215">
        <f>IF('2.LUC'!G149="",K11*0.47,'2.LUC'!G149)</f>
        <v>0</v>
      </c>
      <c r="M11" s="418">
        <f>VLOOKUP(region,' IPCC'!$A$245:$G$257,1+MATCH(forest2,' IPCC'!$B$245:$G$245,),)</f>
        <v>0</v>
      </c>
      <c r="N11" s="2219">
        <f>IF('2.LUC'!I149="",M11*0.47,'2.LUC'!I149)</f>
        <v>0</v>
      </c>
      <c r="O11" s="422">
        <f>IF(M11&gt;0,M11*VLOOKUP(forest2,' IPCC'!$A$89:$F$103,IF(M11&lt;20,2,IF(M11&lt;50,3,IF(M11&lt;75,4,IF(M11&lt;125,5,6)))),),)</f>
        <v>0</v>
      </c>
      <c r="P11" s="2220">
        <f>IF('2.LUC'!K149="",O11*0.47,'2.LUC'!K149)</f>
        <v>0</v>
      </c>
      <c r="Q11" s="2221">
        <f>IF('2.LUC'!O149="",'2.LUC'!M149,'2.LUC'!O149)</f>
        <v>0</v>
      </c>
      <c r="R11" s="2221">
        <f>IF('2.LUC'!R149="",'2.LUC'!Q149,'2.LUC'!R149)</f>
        <v>0</v>
      </c>
      <c r="S11" s="2222">
        <f>IF('2.LUC'!T149="",'2.LUC'!S149,'2.LUC'!T149)</f>
        <v>0</v>
      </c>
      <c r="T11" s="9"/>
      <c r="V11" s="1086"/>
      <c r="W11" s="1086"/>
      <c r="X11" s="1086"/>
      <c r="AA11" s="2468">
        <f t="shared" si="0"/>
        <v>0</v>
      </c>
      <c r="AB11" s="2468">
        <f t="shared" si="1"/>
        <v>0</v>
      </c>
      <c r="AC11" s="2322">
        <f t="shared" si="2"/>
        <v>0</v>
      </c>
      <c r="AD11" s="2322">
        <f t="shared" si="3"/>
        <v>0</v>
      </c>
    </row>
    <row r="12" spans="1:41">
      <c r="A12" s="1926"/>
      <c r="B12" s="3079"/>
      <c r="C12" s="20" t="str">
        <f>List!A75</f>
        <v>Forest Zone 3</v>
      </c>
      <c r="D12" s="89" t="str">
        <f>HLOOKUP(climate,' IPCC'!$B$7:$G$11,4,FALSE)</f>
        <v>Please specify the climate</v>
      </c>
      <c r="E12" s="21"/>
      <c r="F12" s="21"/>
      <c r="G12" s="90"/>
      <c r="I12" s="418">
        <f>VLOOKUP(region,' IPCC'!$A$200:$G$212,1+MATCH(forest3,' IPCC'!$B$200:$G$200,),)</f>
        <v>0</v>
      </c>
      <c r="J12" s="2214">
        <f>IF('2.LUC'!E150="",0.47*I12,'2.LUC'!E150)</f>
        <v>0</v>
      </c>
      <c r="K12" s="422">
        <f>IF(I12&gt;0,I12*VLOOKUP(forest3,' IPCC'!$A$89:$F$103,IF(I12&lt;20,2,IF(I12&lt;50,3,IF(I12&lt;75,4,IF(I12&lt;125,5,6)))),),)</f>
        <v>0</v>
      </c>
      <c r="L12" s="2215">
        <f>IF('2.LUC'!G150="",K12*0.47,'2.LUC'!G150)</f>
        <v>0</v>
      </c>
      <c r="M12" s="418">
        <f>VLOOKUP(region,' IPCC'!$A$260:$G$272,1+MATCH(forest3,' IPCC'!$B$260:$G$260,),)</f>
        <v>0</v>
      </c>
      <c r="N12" s="2219">
        <f>IF('2.LUC'!I150="",M12*0.47,'2.LUC'!I150)</f>
        <v>0</v>
      </c>
      <c r="O12" s="422">
        <f>IF(M12&gt;0,M12*VLOOKUP(forest3,' IPCC'!$A$89:$F$103,IF(M12&lt;20,2,IF(M12&lt;50,3,IF(M12&lt;75,4,IF(M12&lt;125,5,6)))),),)</f>
        <v>0</v>
      </c>
      <c r="P12" s="2220">
        <f>IF('2.LUC'!K150="",O12*0.47,'2.LUC'!K150)</f>
        <v>0</v>
      </c>
      <c r="Q12" s="2221">
        <f>IF('2.LUC'!O150="",'2.LUC'!M150,'2.LUC'!O150)</f>
        <v>0</v>
      </c>
      <c r="R12" s="2221">
        <f>IF('2.LUC'!R150="",'2.LUC'!Q150,'2.LUC'!R150)</f>
        <v>0</v>
      </c>
      <c r="S12" s="2222">
        <f>IF('2.LUC'!T150="",'2.LUC'!S150,'2.LUC'!T150)</f>
        <v>0</v>
      </c>
      <c r="T12" s="9"/>
      <c r="V12" s="1086"/>
      <c r="W12" s="1086"/>
      <c r="X12" s="1086"/>
      <c r="AA12" s="2468">
        <f t="shared" si="0"/>
        <v>0</v>
      </c>
      <c r="AB12" s="2468">
        <f t="shared" si="1"/>
        <v>0</v>
      </c>
      <c r="AC12" s="2322">
        <f t="shared" si="2"/>
        <v>0</v>
      </c>
      <c r="AD12" s="2322">
        <f t="shared" si="3"/>
        <v>0</v>
      </c>
    </row>
    <row r="13" spans="1:41">
      <c r="A13" s="1926"/>
      <c r="B13" s="3080"/>
      <c r="C13" s="20" t="str">
        <f>List!A76</f>
        <v>Forest Zone 4</v>
      </c>
      <c r="D13" s="89" t="str">
        <f>HLOOKUP(climate,' IPCC'!$B$7:$G$11,5,)</f>
        <v>Please specify the climate</v>
      </c>
      <c r="E13" s="21"/>
      <c r="F13" s="21"/>
      <c r="G13" s="90"/>
      <c r="I13" s="418">
        <f>VLOOKUP(region,' IPCC'!$A$215:$G$227,1+MATCH(forest4,' IPCC'!$B$215:$G$215,),)</f>
        <v>0</v>
      </c>
      <c r="J13" s="2214">
        <f>IF('2.LUC'!E151="",0.47*I13,'2.LUC'!E151)</f>
        <v>0</v>
      </c>
      <c r="K13" s="422">
        <f>IF(I13&gt;0,I13*VLOOKUP(forest4,' IPCC'!$A$89:$F$103,IF(I13&lt;20,2,IF(I13&lt;50,3,IF(I13&lt;75,4,IF(I13&lt;125,5,6)))),),)</f>
        <v>0</v>
      </c>
      <c r="L13" s="2215">
        <f>IF('2.LUC'!G151="",K13*0.47,'2.LUC'!G151)</f>
        <v>0</v>
      </c>
      <c r="M13" s="418">
        <f>VLOOKUP(region,' IPCC'!$A$275:$G$287,1+MATCH(forest4,' IPCC'!$B$275:$G$275,),)</f>
        <v>0</v>
      </c>
      <c r="N13" s="2219">
        <f>IF('2.LUC'!I151="",M13*0.47,'2.LUC'!I151)</f>
        <v>0</v>
      </c>
      <c r="O13" s="422">
        <f>IF(M13&gt;0,M13*VLOOKUP(forest4,' IPCC'!$A$89:$F$103,IF(M13&lt;20,2,IF(M13&lt;50,3,IF(M13&lt;75,4,IF(M13&lt;125,5,6)))),),)</f>
        <v>0</v>
      </c>
      <c r="P13" s="2220">
        <f>IF('2.LUC'!K151="",O13*0.47,'2.LUC'!K151)</f>
        <v>0</v>
      </c>
      <c r="Q13" s="2221">
        <f>IF('2.LUC'!O151="",'2.LUC'!M151,'2.LUC'!O151)</f>
        <v>0</v>
      </c>
      <c r="R13" s="2221">
        <f>IF('2.LUC'!R151="",'2.LUC'!Q151,'2.LUC'!R151)</f>
        <v>0</v>
      </c>
      <c r="S13" s="2222">
        <f>IF('2.LUC'!T151="",'2.LUC'!S151,'2.LUC'!T151)</f>
        <v>0</v>
      </c>
      <c r="T13" s="9"/>
      <c r="V13" s="1086"/>
      <c r="W13" s="1086"/>
      <c r="X13" s="1086"/>
      <c r="AA13" s="2468">
        <f t="shared" si="0"/>
        <v>0</v>
      </c>
      <c r="AB13" s="2468">
        <f t="shared" si="1"/>
        <v>0</v>
      </c>
      <c r="AC13" s="2322">
        <f t="shared" si="2"/>
        <v>0</v>
      </c>
      <c r="AD13" s="2322">
        <f t="shared" si="3"/>
        <v>0</v>
      </c>
    </row>
    <row r="14" spans="1:41">
      <c r="A14" s="1926"/>
      <c r="B14" s="3078" t="s">
        <v>1027</v>
      </c>
      <c r="C14" s="20" t="str">
        <f>List!A77</f>
        <v>Plantation Zone 1</v>
      </c>
      <c r="D14" s="108" t="str">
        <f>HLOOKUP(climate,' IPCC'!$B$7:$G$11,2,FALSE)</f>
        <v>Please specify the climate</v>
      </c>
      <c r="E14" s="109"/>
      <c r="F14" s="109"/>
      <c r="G14" s="110"/>
      <c r="I14" s="418">
        <f>VLOOKUP(region,' IPCC'!$H$170:$N$182,1+MATCH(plantation1,' IPCC'!$I$170:$N$170,),)</f>
        <v>0</v>
      </c>
      <c r="J14" s="2214">
        <f>IF('2.LUC'!E152="",0.47*I14,'2.LUC'!E152)</f>
        <v>0</v>
      </c>
      <c r="K14" s="422">
        <f>IF(I14&gt;0,I14*VLOOKUP(plantation1,' IPCC'!$A$89:$F$103,IF(I14&lt;20,2,IF(I14&lt;50,3,IF(I14&lt;75,4,IF(I14&lt;125,5,6)))),),)</f>
        <v>0</v>
      </c>
      <c r="L14" s="2215">
        <f>IF('2.LUC'!G152="",K14*0.47,'2.LUC'!G152)</f>
        <v>0</v>
      </c>
      <c r="M14" s="418">
        <f>I14</f>
        <v>0</v>
      </c>
      <c r="N14" s="2219">
        <f>IF('2.LUC'!I152="",M14*0.47,'2.LUC'!I152)</f>
        <v>0</v>
      </c>
      <c r="O14" s="422">
        <f>K14</f>
        <v>0</v>
      </c>
      <c r="P14" s="2220">
        <f>IF('2.LUC'!K152="",O14*0.47,'2.LUC'!K152)</f>
        <v>0</v>
      </c>
      <c r="Q14" s="2221">
        <f>IF('2.LUC'!O152="",'2.LUC'!M152,'2.LUC'!O152)</f>
        <v>0</v>
      </c>
      <c r="R14" s="2221">
        <f>IF('2.LUC'!R152="",'2.LUC'!Q152,'2.LUC'!R152)</f>
        <v>0</v>
      </c>
      <c r="S14" s="2222">
        <f>IF('2.LUC'!T152="",'2.LUC'!S152,'2.LUC'!T152)</f>
        <v>0</v>
      </c>
      <c r="T14" s="9"/>
      <c r="V14" s="1086"/>
      <c r="W14" s="1086"/>
      <c r="X14" s="1086"/>
      <c r="AA14" s="2468">
        <f t="shared" si="0"/>
        <v>0</v>
      </c>
      <c r="AB14" s="2468">
        <f t="shared" si="1"/>
        <v>0</v>
      </c>
      <c r="AC14" s="2322">
        <f t="shared" si="2"/>
        <v>0</v>
      </c>
      <c r="AD14" s="2322">
        <f t="shared" si="3"/>
        <v>0</v>
      </c>
    </row>
    <row r="15" spans="1:41">
      <c r="A15" s="1926"/>
      <c r="B15" s="3081"/>
      <c r="C15" s="20" t="str">
        <f>List!A78</f>
        <v>Plantation Zone 2</v>
      </c>
      <c r="D15" s="89" t="str">
        <f>HLOOKUP(climate,' IPCC'!$B$7:$G$11,3,FALSE)</f>
        <v>Please specify the climate</v>
      </c>
      <c r="E15" s="21"/>
      <c r="F15" s="21"/>
      <c r="G15" s="90"/>
      <c r="I15" s="418">
        <f>VLOOKUP(region,' IPCC'!$H$185:$N$197,1+MATCH(plantation2,' IPCC'!$I$185:$N$185,),)</f>
        <v>0</v>
      </c>
      <c r="J15" s="2214">
        <f>IF('2.LUC'!E153="",0.47*I15,'2.LUC'!E153)</f>
        <v>0</v>
      </c>
      <c r="K15" s="422">
        <f>IF(I15&gt;0,I15*VLOOKUP(plantation2,' IPCC'!$A$89:$F$103,IF(I15&lt;20,2,IF(I15&lt;50,3,IF(I15&lt;75,4,IF(I15&lt;125,5,6)))),),)</f>
        <v>0</v>
      </c>
      <c r="L15" s="2215">
        <f>IF('2.LUC'!G153="",K15*0.47,'2.LUC'!G153)</f>
        <v>0</v>
      </c>
      <c r="M15" s="418">
        <f>I15</f>
        <v>0</v>
      </c>
      <c r="N15" s="2219">
        <f>IF('2.LUC'!I153="",M15*0.47,'2.LUC'!I153)</f>
        <v>0</v>
      </c>
      <c r="O15" s="422">
        <f>K15</f>
        <v>0</v>
      </c>
      <c r="P15" s="2220">
        <f>IF('2.LUC'!K153="",O15*0.47,'2.LUC'!K153)</f>
        <v>0</v>
      </c>
      <c r="Q15" s="2221">
        <f>IF('2.LUC'!O153="",'2.LUC'!M153,'2.LUC'!O153)</f>
        <v>0</v>
      </c>
      <c r="R15" s="2221">
        <f>IF('2.LUC'!R153="",'2.LUC'!Q153,'2.LUC'!R153)</f>
        <v>0</v>
      </c>
      <c r="S15" s="2222">
        <f>IF('2.LUC'!T153="",'2.LUC'!S153,'2.LUC'!T153)</f>
        <v>0</v>
      </c>
      <c r="T15" s="9"/>
      <c r="V15" s="1086"/>
      <c r="W15" s="1086"/>
      <c r="X15" s="1086"/>
      <c r="AA15" s="2468">
        <f t="shared" si="0"/>
        <v>0</v>
      </c>
      <c r="AB15" s="2468">
        <f t="shared" si="1"/>
        <v>0</v>
      </c>
      <c r="AC15" s="2322">
        <f t="shared" si="2"/>
        <v>0</v>
      </c>
      <c r="AD15" s="2322">
        <f t="shared" si="3"/>
        <v>0</v>
      </c>
    </row>
    <row r="16" spans="1:41">
      <c r="A16" s="1926"/>
      <c r="B16" s="3081"/>
      <c r="C16" s="20" t="str">
        <f>List!A79</f>
        <v>Plantation Zone 3</v>
      </c>
      <c r="D16" s="89" t="str">
        <f>HLOOKUP(climate,' IPCC'!$B$7:$G$11,4,FALSE)</f>
        <v>Please specify the climate</v>
      </c>
      <c r="E16" s="21"/>
      <c r="F16" s="21"/>
      <c r="G16" s="90"/>
      <c r="I16" s="418">
        <f>VLOOKUP(region,' IPCC'!$H$200:$N$212,1+MATCH(plantation3,' IPCC'!$I$200:$N$200,),)</f>
        <v>0</v>
      </c>
      <c r="J16" s="2214">
        <f>IF('2.LUC'!E154="",0.47*I16,'2.LUC'!E154)</f>
        <v>0</v>
      </c>
      <c r="K16" s="422">
        <f>IF(I16&gt;0,I16*VLOOKUP(plantation3,' IPCC'!$A$89:$F$103,IF(I16&lt;20,2,IF(I16&lt;50,3,IF(I16&lt;75,4,IF(I16&lt;125,5,6)))),),)</f>
        <v>0</v>
      </c>
      <c r="L16" s="2215">
        <f>IF('2.LUC'!G154="",K16*0.47,'2.LUC'!G154)</f>
        <v>0</v>
      </c>
      <c r="M16" s="418">
        <f>I16</f>
        <v>0</v>
      </c>
      <c r="N16" s="2219">
        <f>IF('2.LUC'!I154="",M16*0.47,'2.LUC'!I154)</f>
        <v>0</v>
      </c>
      <c r="O16" s="422">
        <f>K16</f>
        <v>0</v>
      </c>
      <c r="P16" s="2220">
        <f>IF('2.LUC'!K154="",O16*0.47,'2.LUC'!K154)</f>
        <v>0</v>
      </c>
      <c r="Q16" s="2221">
        <f>IF('2.LUC'!O154="",'2.LUC'!M154,'2.LUC'!O154)</f>
        <v>0</v>
      </c>
      <c r="R16" s="2221">
        <f>IF('2.LUC'!R154="",'2.LUC'!Q154,'2.LUC'!R154)</f>
        <v>0</v>
      </c>
      <c r="S16" s="2222">
        <f>IF('2.LUC'!T154="",'2.LUC'!S154,'2.LUC'!T154)</f>
        <v>0</v>
      </c>
      <c r="T16" s="9"/>
      <c r="U16" s="9"/>
      <c r="V16" s="1086"/>
      <c r="W16" s="1086"/>
      <c r="X16" s="1086"/>
      <c r="AA16" s="2468">
        <f t="shared" si="0"/>
        <v>0</v>
      </c>
      <c r="AB16" s="2468">
        <f t="shared" si="1"/>
        <v>0</v>
      </c>
      <c r="AC16" s="2322">
        <f t="shared" si="2"/>
        <v>0</v>
      </c>
      <c r="AD16" s="2322">
        <f t="shared" si="3"/>
        <v>0</v>
      </c>
    </row>
    <row r="17" spans="1:41">
      <c r="A17" s="1926"/>
      <c r="B17" s="3082"/>
      <c r="C17" s="20" t="str">
        <f>List!A80</f>
        <v>Plantation Zone 4</v>
      </c>
      <c r="D17" s="91" t="str">
        <f>HLOOKUP(climate,' IPCC'!$B$7:$G$11,5,FALSE)</f>
        <v>Please specify the climate</v>
      </c>
      <c r="E17" s="92"/>
      <c r="F17" s="92"/>
      <c r="G17" s="93"/>
      <c r="I17" s="419">
        <f>VLOOKUP(region,' IPCC'!$H$215:$N$227,1+MATCH(plantation4,' IPCC'!$I$215:$N$215,),)</f>
        <v>0</v>
      </c>
      <c r="J17" s="2214">
        <f>IF('2.LUC'!E155="",0.47*I17,'2.LUC'!E155)</f>
        <v>0</v>
      </c>
      <c r="K17" s="423">
        <f>IF(I17&gt;0,I17*VLOOKUP(plantation4,' IPCC'!$A$89:$F$103,IF(I17&lt;20,2,IF(I17&lt;50,3,IF(I17&lt;75,4,IF(I17&lt;125,5,6)))),),)</f>
        <v>0</v>
      </c>
      <c r="L17" s="2215">
        <f>IF('2.LUC'!G155="",K17*0.47,'2.LUC'!G155)</f>
        <v>0</v>
      </c>
      <c r="M17" s="419">
        <f>I17</f>
        <v>0</v>
      </c>
      <c r="N17" s="2219">
        <f>IF('2.LUC'!I155="",M17*0.47,'2.LUC'!I155)</f>
        <v>0</v>
      </c>
      <c r="O17" s="423">
        <f>K17</f>
        <v>0</v>
      </c>
      <c r="P17" s="2220">
        <f>IF('2.LUC'!K155="",O17*0.47,'2.LUC'!K155)</f>
        <v>0</v>
      </c>
      <c r="Q17" s="2221">
        <f>IF('2.LUC'!O155="",'2.LUC'!M155,'2.LUC'!O155)</f>
        <v>0</v>
      </c>
      <c r="R17" s="2221">
        <f>IF('2.LUC'!R155="",'2.LUC'!Q155,'2.LUC'!R155)</f>
        <v>0</v>
      </c>
      <c r="S17" s="2222">
        <f>IF('2.LUC'!T155="",'2.LUC'!S155,'2.LUC'!T155)</f>
        <v>0</v>
      </c>
      <c r="T17" s="9"/>
      <c r="U17" s="890"/>
      <c r="V17" s="1086"/>
      <c r="W17" s="1086"/>
      <c r="X17" s="1086"/>
      <c r="AA17" s="2468">
        <f t="shared" si="0"/>
        <v>0</v>
      </c>
      <c r="AB17" s="2468">
        <f t="shared" si="1"/>
        <v>0</v>
      </c>
      <c r="AC17" s="2322">
        <f t="shared" si="2"/>
        <v>0</v>
      </c>
      <c r="AD17" s="2322">
        <f t="shared" si="3"/>
        <v>0</v>
      </c>
    </row>
    <row r="18" spans="1:41" ht="13.8" thickBot="1">
      <c r="A18" s="1926"/>
      <c r="B18" s="136"/>
      <c r="D18" s="27"/>
      <c r="E18" s="6"/>
      <c r="F18" s="6"/>
      <c r="G18" s="6"/>
      <c r="I18" s="10"/>
      <c r="J18" s="10"/>
      <c r="K18" s="6"/>
      <c r="L18" s="121"/>
      <c r="M18" s="121"/>
      <c r="N18" s="121"/>
      <c r="O18" s="121"/>
      <c r="P18" s="6"/>
      <c r="Q18" s="10"/>
      <c r="R18" s="10"/>
      <c r="S18" s="10"/>
      <c r="T18" s="10"/>
      <c r="V18" s="1086"/>
      <c r="W18" s="1086"/>
      <c r="X18" s="1086"/>
      <c r="AA18" s="2468">
        <f t="shared" si="0"/>
        <v>0</v>
      </c>
      <c r="AB18" s="2468">
        <f t="shared" si="1"/>
        <v>0</v>
      </c>
      <c r="AC18" s="2322">
        <f t="shared" si="2"/>
        <v>0</v>
      </c>
      <c r="AD18" s="2322">
        <f t="shared" si="3"/>
        <v>0</v>
      </c>
    </row>
    <row r="19" spans="1:41">
      <c r="A19" s="1926"/>
      <c r="B19" s="145" t="s">
        <v>548</v>
      </c>
      <c r="D19" s="27"/>
      <c r="E19" s="6"/>
      <c r="F19" s="954" t="s">
        <v>228</v>
      </c>
      <c r="G19" s="955"/>
      <c r="H19" s="135"/>
      <c r="I19" s="891">
        <v>0</v>
      </c>
      <c r="J19" s="892">
        <f>0.47*I19</f>
        <v>0</v>
      </c>
      <c r="K19" s="891">
        <f>I19*0.27</f>
        <v>0</v>
      </c>
      <c r="L19" s="892">
        <f>0.47*K19</f>
        <v>0</v>
      </c>
      <c r="M19" s="928">
        <v>0</v>
      </c>
      <c r="N19" s="892">
        <f>0.47*M19</f>
        <v>0</v>
      </c>
      <c r="O19" s="928">
        <v>0</v>
      </c>
      <c r="P19" s="892">
        <f>0.47*O19</f>
        <v>0</v>
      </c>
      <c r="Q19" s="688">
        <v>0</v>
      </c>
      <c r="R19" s="671">
        <v>0</v>
      </c>
      <c r="S19" s="672">
        <v>0</v>
      </c>
      <c r="T19" s="9"/>
      <c r="V19" s="1086"/>
      <c r="W19" s="1086"/>
      <c r="X19" s="1086"/>
      <c r="AA19" s="2468">
        <f t="shared" si="0"/>
        <v>0</v>
      </c>
      <c r="AB19" s="2468">
        <f t="shared" si="1"/>
        <v>0</v>
      </c>
      <c r="AC19" s="2322">
        <f t="shared" si="2"/>
        <v>0</v>
      </c>
      <c r="AD19" s="2322">
        <f t="shared" si="3"/>
        <v>0</v>
      </c>
    </row>
    <row r="20" spans="1:41">
      <c r="B20" s="145" t="s">
        <v>1012</v>
      </c>
      <c r="D20" s="27"/>
      <c r="E20" s="6"/>
      <c r="F20" s="956" t="s">
        <v>10</v>
      </c>
      <c r="G20" s="957"/>
      <c r="H20" s="13"/>
      <c r="I20" s="893">
        <v>0</v>
      </c>
      <c r="J20" s="889">
        <f>0.47*I20</f>
        <v>0</v>
      </c>
      <c r="K20" s="893">
        <f>I20*0.27</f>
        <v>0</v>
      </c>
      <c r="L20" s="889">
        <f>0.47*K20</f>
        <v>0</v>
      </c>
      <c r="M20" s="929">
        <v>0</v>
      </c>
      <c r="N20" s="889">
        <f>0.47*M20</f>
        <v>0</v>
      </c>
      <c r="O20" s="929">
        <v>0</v>
      </c>
      <c r="P20" s="889">
        <f>0.47*O20</f>
        <v>0</v>
      </c>
      <c r="Q20" s="689">
        <v>0</v>
      </c>
      <c r="R20" s="675">
        <v>0</v>
      </c>
      <c r="S20" s="676">
        <v>0</v>
      </c>
      <c r="T20" s="9"/>
      <c r="V20" s="1086"/>
      <c r="W20" s="1086"/>
      <c r="X20" s="1086"/>
      <c r="AA20" s="1965"/>
      <c r="AB20" s="1965"/>
      <c r="AC20" s="1964"/>
      <c r="AD20" s="1964"/>
    </row>
    <row r="21" spans="1:41">
      <c r="B21" s="355"/>
      <c r="C21" s="5"/>
      <c r="D21" s="27"/>
      <c r="E21" s="6"/>
      <c r="F21" s="956" t="s">
        <v>11</v>
      </c>
      <c r="G21" s="957"/>
      <c r="H21" s="13"/>
      <c r="I21" s="893">
        <v>0</v>
      </c>
      <c r="J21" s="889">
        <f>0.47*I21</f>
        <v>0</v>
      </c>
      <c r="K21" s="893">
        <f>I21*0.27</f>
        <v>0</v>
      </c>
      <c r="L21" s="889">
        <f>0.47*K21</f>
        <v>0</v>
      </c>
      <c r="M21" s="929">
        <v>0</v>
      </c>
      <c r="N21" s="889">
        <f>0.47*M21</f>
        <v>0</v>
      </c>
      <c r="O21" s="929">
        <v>0</v>
      </c>
      <c r="P21" s="889">
        <f>0.47*O21</f>
        <v>0</v>
      </c>
      <c r="Q21" s="689">
        <v>0</v>
      </c>
      <c r="R21" s="675">
        <v>0</v>
      </c>
      <c r="S21" s="676">
        <v>0</v>
      </c>
      <c r="T21" s="9"/>
      <c r="U21" s="9"/>
      <c r="V21" s="1086"/>
      <c r="W21" s="1086"/>
      <c r="X21" s="1086"/>
      <c r="AA21" s="1965"/>
      <c r="AB21" s="1965"/>
      <c r="AC21" s="1965"/>
      <c r="AD21" s="1965"/>
    </row>
    <row r="22" spans="1:41" ht="13.8" thickBot="1">
      <c r="B22" s="136"/>
      <c r="C22" s="5"/>
      <c r="D22" s="27"/>
      <c r="E22" s="6"/>
      <c r="F22" s="958" t="s">
        <v>12</v>
      </c>
      <c r="G22" s="959"/>
      <c r="H22" s="124"/>
      <c r="I22" s="894">
        <v>0</v>
      </c>
      <c r="J22" s="895">
        <f>0.47*I22</f>
        <v>0</v>
      </c>
      <c r="K22" s="894">
        <f>I22*0.27</f>
        <v>0</v>
      </c>
      <c r="L22" s="895">
        <f>0.47*K22</f>
        <v>0</v>
      </c>
      <c r="M22" s="930">
        <v>0</v>
      </c>
      <c r="N22" s="895">
        <f>0.47*M22</f>
        <v>0</v>
      </c>
      <c r="O22" s="930">
        <v>0</v>
      </c>
      <c r="P22" s="895">
        <f>0.47*O22</f>
        <v>0</v>
      </c>
      <c r="Q22" s="690">
        <v>0</v>
      </c>
      <c r="R22" s="679">
        <v>0</v>
      </c>
      <c r="S22" s="680">
        <v>0</v>
      </c>
      <c r="T22" s="9"/>
      <c r="V22" s="1086"/>
      <c r="W22" s="1086"/>
      <c r="X22" s="1086"/>
      <c r="AA22" s="1965"/>
      <c r="AB22" s="1965"/>
      <c r="AC22" s="1965"/>
      <c r="AD22" s="1965"/>
      <c r="AF22" s="1951" t="s">
        <v>1015</v>
      </c>
      <c r="AH22" s="1086" t="s">
        <v>1014</v>
      </c>
      <c r="AJ22" s="1090" t="s">
        <v>57</v>
      </c>
      <c r="AK22" s="1089"/>
    </row>
    <row r="23" spans="1:41">
      <c r="C23" s="5"/>
      <c r="D23" s="27"/>
      <c r="E23" s="6"/>
      <c r="F23" s="6"/>
      <c r="G23" s="6"/>
      <c r="I23" s="10"/>
      <c r="J23" s="10"/>
      <c r="K23" s="6"/>
      <c r="L23" s="6"/>
      <c r="M23" s="6"/>
      <c r="N23" s="6"/>
      <c r="O23" s="10"/>
      <c r="P23" s="6"/>
      <c r="Q23" s="10"/>
      <c r="T23" s="9"/>
      <c r="V23" s="1086"/>
      <c r="W23" s="1086"/>
      <c r="X23" s="1086"/>
      <c r="AA23" s="1965"/>
      <c r="AB23" s="1965"/>
      <c r="AC23" s="1965"/>
      <c r="AD23" s="1965"/>
      <c r="AE23" s="3083" t="s">
        <v>55</v>
      </c>
      <c r="AF23" s="3083"/>
      <c r="AG23" s="3083"/>
      <c r="AH23" s="3083"/>
      <c r="AI23" s="3083"/>
      <c r="AJ23" s="1090" t="s">
        <v>55</v>
      </c>
      <c r="AK23" s="1089"/>
    </row>
    <row r="24" spans="1:41">
      <c r="B24" s="221"/>
      <c r="C24" s="181" t="s">
        <v>1016</v>
      </c>
      <c r="D24" s="182"/>
      <c r="E24" s="182"/>
      <c r="F24" s="182"/>
      <c r="G24" s="182"/>
      <c r="H24" s="57"/>
      <c r="I24" s="56"/>
      <c r="J24" s="182"/>
      <c r="K24" s="182"/>
      <c r="L24" s="183"/>
      <c r="M24" s="182" t="s">
        <v>43</v>
      </c>
      <c r="N24" s="182"/>
      <c r="O24" s="183"/>
      <c r="P24" s="230" t="s">
        <v>1023</v>
      </c>
      <c r="Q24" s="57"/>
      <c r="R24" s="56"/>
      <c r="T24" s="9"/>
      <c r="AA24" s="1965"/>
      <c r="AB24" s="1965" t="s">
        <v>28</v>
      </c>
      <c r="AC24" s="1965"/>
      <c r="AD24" s="1965"/>
      <c r="AF24" s="2460" t="s">
        <v>56</v>
      </c>
      <c r="AG24" s="1089" t="s">
        <v>691</v>
      </c>
      <c r="AH24" s="1089" t="s">
        <v>56</v>
      </c>
      <c r="AI24" s="1089" t="s">
        <v>691</v>
      </c>
      <c r="AJ24" s="1089" t="s">
        <v>56</v>
      </c>
      <c r="AK24" s="1089" t="s">
        <v>691</v>
      </c>
    </row>
    <row r="25" spans="1:41">
      <c r="B25" s="171"/>
      <c r="C25" s="11" t="s">
        <v>499</v>
      </c>
      <c r="D25" s="134"/>
      <c r="E25" s="343" t="s">
        <v>994</v>
      </c>
      <c r="F25" s="344"/>
      <c r="G25" s="346" t="s">
        <v>1007</v>
      </c>
      <c r="H25" s="133" t="s">
        <v>344</v>
      </c>
      <c r="I25" s="131" t="s">
        <v>343</v>
      </c>
      <c r="J25" s="182" t="s">
        <v>555</v>
      </c>
      <c r="K25" s="182"/>
      <c r="L25" s="183"/>
      <c r="M25" s="278" t="s">
        <v>337</v>
      </c>
      <c r="N25" s="127" t="s">
        <v>338</v>
      </c>
      <c r="O25" s="31" t="s">
        <v>531</v>
      </c>
      <c r="P25" s="353" t="s">
        <v>1020</v>
      </c>
      <c r="Q25" s="127"/>
      <c r="R25" s="31" t="s">
        <v>34</v>
      </c>
      <c r="T25" s="1965"/>
      <c r="U25" s="1965" t="s">
        <v>690</v>
      </c>
      <c r="V25" s="1952" t="s">
        <v>691</v>
      </c>
      <c r="AA25" s="1965" t="s">
        <v>25</v>
      </c>
      <c r="AB25" s="1965" t="s">
        <v>531</v>
      </c>
      <c r="AC25" s="1965" t="s">
        <v>37</v>
      </c>
      <c r="AD25" s="1965" t="s">
        <v>38</v>
      </c>
      <c r="AF25" s="1964">
        <f>-(44/12)*($P27*(IF(F42="immediate",E42*MIN(20,time),E42*IF(time&gt;time+20,20,IF(time_tot&lt;20,(time*VLOOKUP(F42,List!$E$35:$F$37,2,)),((MIN(20,time)*VLOOKUP(F42,List!$E$35:$F$37,2,))+(time-MIN(20,time))-IF(F42="exponential",time-20+0.217*time*(EXP(4.606*(20-time)/time)-1),((time-20)^2)*(0.5/time)))))))+($R27*E42)+($Q27*(IF(F42="immediate",E42*(time-MIN(20,time)),E42*IF(time&gt;time+20,(time*VLOOKUP(F42,List!$E$35:$F$37,2,))+(time-time-20),IF(time&lt;20,0,IF(F42="exponential",time-20+0.217*time*(EXP(4.606*(20-time)/time)-1),((time-20)^2)*(0.5/time))))))))</f>
        <v>0</v>
      </c>
      <c r="AG25" s="1088">
        <f>-(44/12)*($P27*(IF(H42="immediate",G42*MIN(20,time),G42*IF(time&gt;time+20,20,IF(time_tot&lt;20,(time*VLOOKUP(H42,List!$E$35:$F$37,2,)),((MIN(20,time)*VLOOKUP(H42,List!$E$35:$F$37,2,))+(time-MIN(20,time))-IF(H42="exponential",time-20+0.217*time*(EXP(4.606*(20-time)/time)-1),((time-20)^2)*(0.5/time)))))))+($R27*G42)+($Q27*(IF(H42="immediate",G42*(time-MIN(20,time)),G42*IF(time&gt;time+20,(time*VLOOKUP(H42,List!$E$35:$F$37,2,))+(time-time-20),IF(time&lt;20,0,IF(H42="exponential",time-20+0.217*time*(EXP(4.606*(20-time)/time)-1),((time-20)^2)*(0.5/time))))))))</f>
        <v>0</v>
      </c>
      <c r="AH25" s="1088">
        <f t="shared" ref="AH25:AH34" si="4">IF(time=0,0,K42)</f>
        <v>0</v>
      </c>
      <c r="AI25" s="1088">
        <f t="shared" ref="AI25:AI34" si="5">IF(time=0,0,L42)</f>
        <v>0</v>
      </c>
      <c r="AJ25" s="1088">
        <f>-L27*(IF(F42="immediate",E42*MIN(20,time),E42*IF(time&gt;=time+20,20,IF(time&lt;=20,(time*VLOOKUP(F42,List!$E$35:$F$37,2,))+(time-time),((MIN(20,time)*VLOOKUP(F42,List!$E$35:$F$37,2,))+(time-MIN(20,time))-IF(F42="exponential",time-20+0.217*time*(EXP(4.606*(20-time)/time)-1),((time-20)^2)*(0.5/time)))))))</f>
        <v>0</v>
      </c>
      <c r="AK25" s="1088">
        <f>-L27*(IF(H42="immediate",G42*MIN(20,time),G42*IF(time&gt;time+20,20,IF(time&lt;20,(time*VLOOKUP(H42,List!$E$35:$F$37,2,))+(time-time),((MIN(20,time)*VLOOKUP(H42,List!$E$35:$F$37,2,))+(time-MIN(20,time))-IF(H42="exponential",time-20+0.217*time*(EXP(4.606*(20-time)/time)-1),((time-20)^2)*(0.5/time)))))))</f>
        <v>0</v>
      </c>
    </row>
    <row r="26" spans="1:41" ht="16.2" thickBot="1">
      <c r="B26" s="172" t="s">
        <v>1144</v>
      </c>
      <c r="C26" s="88"/>
      <c r="D26" s="143"/>
      <c r="E26" s="345" t="s">
        <v>995</v>
      </c>
      <c r="F26" s="128"/>
      <c r="G26" s="128" t="s">
        <v>1008</v>
      </c>
      <c r="H26" s="3084" t="s">
        <v>220</v>
      </c>
      <c r="I26" s="3085"/>
      <c r="J26" s="57" t="s">
        <v>557</v>
      </c>
      <c r="K26" s="57" t="s">
        <v>854</v>
      </c>
      <c r="L26" s="56" t="s">
        <v>855</v>
      </c>
      <c r="M26" s="127" t="s">
        <v>552</v>
      </c>
      <c r="N26" s="278" t="s">
        <v>552</v>
      </c>
      <c r="O26" s="31" t="s">
        <v>553</v>
      </c>
      <c r="P26" s="126" t="s">
        <v>1018</v>
      </c>
      <c r="Q26" s="127" t="s">
        <v>1019</v>
      </c>
      <c r="R26" s="31" t="s">
        <v>1022</v>
      </c>
      <c r="T26" s="1965" t="s">
        <v>25</v>
      </c>
      <c r="U26" s="1965" t="s">
        <v>531</v>
      </c>
      <c r="AA26" s="1965" t="s">
        <v>26</v>
      </c>
      <c r="AB26" s="1965">
        <f>SUM(J42:J51)+SUM(L42:L51)-SUM(I42:I51)-SUM(K42:K51)</f>
        <v>0</v>
      </c>
      <c r="AC26" s="1965">
        <f>IF(time=0,0,SUM(AG25:AG34)-SUM(AF25:AF34)+SUM(AI25:AI34)-SUM(AH25:AH34))</f>
        <v>0</v>
      </c>
      <c r="AD26" s="1965">
        <f>AB26-AC26</f>
        <v>0</v>
      </c>
      <c r="AF26" s="1964">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8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88">
        <f t="shared" si="4"/>
        <v>0</v>
      </c>
      <c r="AI26" s="1088">
        <f t="shared" si="5"/>
        <v>0</v>
      </c>
      <c r="AJ26" s="1088">
        <f>-L28*(IF(F43="immediate",E43*MIN(20,time),E43*IF(time&gt;=time+20,20,IF(time&lt;=20,(time*VLOOKUP(F43,List!$E$35:$F$37,2,))+(time-time),((MIN(20,time)*VLOOKUP(F43,List!$E$35:$F$37,2,))+(time-MIN(20,time))-IF(F43="exponential",time-20+0.217*time*(EXP(4.606*(20-time)/time)-1),((time-20)^2)*(0.5/time)))))))</f>
        <v>0</v>
      </c>
      <c r="AK26" s="1088">
        <f>-L28*(IF(H43="immediate",G43*MIN(20,time),G43*IF(time&gt;time+20,20,IF(time&lt;20,(time*VLOOKUP(H43,List!$E$35:$F$37,2,))+(time-time),((MIN(20,time)*VLOOKUP(H43,List!$E$35:$F$37,2,))+(time-MIN(20,time))-IF(H43="exponential",time-20+0.217*time*(EXP(4.606*(20-time)/time)-1),((time-20)^2)*(0.5/time)))))))</f>
        <v>0</v>
      </c>
    </row>
    <row r="27" spans="1:41" s="1811" customFormat="1" ht="13.8" thickBot="1">
      <c r="A27" s="1802" t="s">
        <v>1310</v>
      </c>
      <c r="B27" s="1803" t="s">
        <v>1134</v>
      </c>
      <c r="C27" s="2038" t="str">
        <f>'2.LUC'!B29</f>
        <v>Select the vegetation</v>
      </c>
      <c r="D27" s="2038"/>
      <c r="E27" s="2038" t="str">
        <f>'2.LUC'!F29</f>
        <v>Select previous use</v>
      </c>
      <c r="F27" s="2038"/>
      <c r="G27" s="2038" t="str">
        <f>'2.LUC'!E29</f>
        <v>NO</v>
      </c>
      <c r="H27" s="1804">
        <f>IF(E27=List!$A$83,0,HLOOKUP(E27,' IPCC'!$A$290:$J$302,1+MATCH(clim_full,' IPCC'!$A$291:$A$302,),))</f>
        <v>0</v>
      </c>
      <c r="I27" s="1805"/>
      <c r="J27" s="1806">
        <f>IF(E27=List!$A$83,0,VLOOKUP(clim_full,' IPCC'!$A$307:$J$318,1+MATCH($E27,' IPCC'!$B$306:$J$306,),))</f>
        <v>0</v>
      </c>
      <c r="K27" s="1807">
        <f>IF(C27=List!$A$50,0,(1-J27)*VLOOKUP($C27,$C$10:$S$17,17,))</f>
        <v>0</v>
      </c>
      <c r="L27" s="1808">
        <f t="shared" ref="L27:L36" si="6">(K27/20)*44/12</f>
        <v>0</v>
      </c>
      <c r="M27" s="1809">
        <f>IF(E27=List!$A$83,0,IF(G27="YES",IF(I27="",H27,$I27))*VLOOKUP($E27,' IPCC'!$A$322:$B$329,2,)*2.5*VLOOKUP($E27,' IPCC'!$A$322:$E$329,4,))</f>
        <v>0</v>
      </c>
      <c r="N27" s="1806">
        <f>IF(E27=List!$A$83,0,IF(G27="YES",IF(I27="",H27,$I27))*VLOOKUP($E27,' IPCC'!$A$322:$B$329,2,)*2.5*VLOOKUP($E27,' IPCC'!$A$322:$E$329,5,))</f>
        <v>0</v>
      </c>
      <c r="O27" s="1810">
        <f>(M27*methane+N27*Nitrous)/1000</f>
        <v>0</v>
      </c>
      <c r="P27" s="1807">
        <f>IF(C27=List!$A$72,0,VLOOKUP($C27,$C$10:$P$17,8,)+VLOOKUP($C27,$C$10:$P$17,10,))</f>
        <v>0</v>
      </c>
      <c r="Q27" s="1807">
        <f>IF(C27=List!$A$72,0,VLOOKUP($C27,$C$10:$P$17,12,)+VLOOKUP($C27,$C$10:$P$17,14,))</f>
        <v>0</v>
      </c>
      <c r="R27" s="2223">
        <f>IF(C27=List!$A$72,0,VLOOKUP($C27,$C$10:$R$17,15,)+VLOOKUP($C27,$C$10:$R$17,16,))</f>
        <v>0</v>
      </c>
      <c r="T27" s="1965" t="s">
        <v>26</v>
      </c>
      <c r="U27" s="1965">
        <f>SUM(I42:I51)+SUM(K42:K51)</f>
        <v>0</v>
      </c>
      <c r="V27" s="1965">
        <f>SUM(J42:J51)+SUM(L42:L51)</f>
        <v>0</v>
      </c>
      <c r="AA27" s="1965" t="s">
        <v>27</v>
      </c>
      <c r="AB27" s="1965">
        <f>SUM(N42:N51)-SUM(M42:M51)</f>
        <v>0</v>
      </c>
      <c r="AC27" s="1965">
        <f>SUM(AK25:AK34)-SUM(AJ25:AJ34)</f>
        <v>0</v>
      </c>
      <c r="AD27" s="1965">
        <f>AB27-AC27</f>
        <v>0</v>
      </c>
      <c r="AE27" s="1951"/>
      <c r="AF27" s="1964">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812">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812">
        <f t="shared" si="4"/>
        <v>0</v>
      </c>
      <c r="AI27" s="1812">
        <f t="shared" si="5"/>
        <v>0</v>
      </c>
      <c r="AJ27" s="1812">
        <f>-L29*(IF(F44="immediate",E44*MIN(20,time),E44*IF(time&gt;=time+20,20,IF(time&lt;=20,(time*VLOOKUP(F44,List!$E$35:$F$37,2,))+(time-time),((MIN(20,time)*VLOOKUP(F44,List!$E$35:$F$37,2,))+(time-MIN(20,time))-IF(F44="exponential",time-20+0.217*time*(EXP(4.606*(20-time)/time)-1),((time-20)^2)*(0.5/time)))))))</f>
        <v>0</v>
      </c>
      <c r="AK27" s="1812">
        <f>-L29*(IF(H44="immediate",G44*MIN(20,time),G44*IF(time&gt;time+20,20,IF(time&lt;20,(time*VLOOKUP(H44,List!$E$35:$F$37,2,))+(time-time),((MIN(20,time)*VLOOKUP(H44,List!$E$35:$F$37,2,))+(time-MIN(20,time))-IF(H44="exponential",time-20+0.217*time*(EXP(4.606*(20-time)/time)-1),((time-20)^2)*(0.5/time)))))))</f>
        <v>0</v>
      </c>
    </row>
    <row r="28" spans="1:41" s="1811" customFormat="1" ht="13.8" thickBot="1">
      <c r="A28" s="1802" t="s">
        <v>1310</v>
      </c>
      <c r="B28" s="1813" t="s">
        <v>1135</v>
      </c>
      <c r="C28" s="2038" t="str">
        <f>'2.LUC'!B30</f>
        <v>Select the vegetation</v>
      </c>
      <c r="D28" s="2038"/>
      <c r="E28" s="2038" t="str">
        <f>'2.LUC'!F30</f>
        <v>Select previous use</v>
      </c>
      <c r="F28" s="2039"/>
      <c r="G28" s="2038" t="str">
        <f>'2.LUC'!E30</f>
        <v>NO</v>
      </c>
      <c r="H28" s="1814">
        <f>IF(E28=List!$A$83,0,HLOOKUP(E28,' IPCC'!$A$290:$J$302,1+MATCH(clim_full,' IPCC'!$A$291:$A$302,),))</f>
        <v>0</v>
      </c>
      <c r="I28" s="1815"/>
      <c r="J28" s="1816">
        <f>IF(E28=List!$A$83,0,VLOOKUP(clim_full,' IPCC'!$A$307:$J$318,1+MATCH($E28,' IPCC'!$B$306:$J$306,),))</f>
        <v>0</v>
      </c>
      <c r="K28" s="1817">
        <f>IF(C28=List!$A$50,0,(1-J28)*VLOOKUP($C28,$C$10:$S$17,17,))</f>
        <v>0</v>
      </c>
      <c r="L28" s="1818">
        <f t="shared" si="6"/>
        <v>0</v>
      </c>
      <c r="M28" s="1819">
        <f>IF(E28=List!$A$83,0,IF(G28="YES",IF(I28="",H28,$I28))*VLOOKUP($E28,' IPCC'!$A$322:$B$329,2,)*2.5*VLOOKUP($E28,' IPCC'!$A$322:$E$329,4,))</f>
        <v>0</v>
      </c>
      <c r="N28" s="1816">
        <f>IF(E28=List!$A$83,0,IF(G28="YES",IF(I28="",H28,$I28))*VLOOKUP($E28,' IPCC'!$A$322:$B$329,2,)*2.5*VLOOKUP($E28,' IPCC'!$A$322:$E$329,5,))</f>
        <v>0</v>
      </c>
      <c r="O28" s="1820">
        <f t="shared" ref="O28:O36" si="7">(M28*methane+N28*Nitrous)/1000</f>
        <v>0</v>
      </c>
      <c r="P28" s="1817">
        <f>IF(C28=List!$A$72,0,VLOOKUP($C28,$C$10:$P$17,8,)+VLOOKUP($C28,$C$10:$P$17,10,))</f>
        <v>0</v>
      </c>
      <c r="Q28" s="1817">
        <f>IF(C28=List!$A$72,0,VLOOKUP($C28,$C$10:$P$17,12,)+VLOOKUP($C28,$C$10:$P$17,14,))</f>
        <v>0</v>
      </c>
      <c r="R28" s="2224">
        <f>IF(C28=List!$A$72,0,VLOOKUP($C28,$C$10:$R$17,15,)+VLOOKUP($C28,$C$10:$R$17,16,))</f>
        <v>0</v>
      </c>
      <c r="T28" s="1965" t="s">
        <v>27</v>
      </c>
      <c r="U28" s="1965">
        <f>SUM(M42:M51)</f>
        <v>0</v>
      </c>
      <c r="V28" s="1965">
        <f>SUM(N42:N51)</f>
        <v>0</v>
      </c>
      <c r="AA28" s="1965" t="s">
        <v>337</v>
      </c>
      <c r="AB28" s="1965">
        <f>SUM(AB10:AB19)-SUM(AA10:AA19)</f>
        <v>0</v>
      </c>
      <c r="AC28" s="1965">
        <f>IF(time=0,0,AB28)</f>
        <v>0</v>
      </c>
      <c r="AD28" s="1965">
        <f>AB28-AC28</f>
        <v>0</v>
      </c>
      <c r="AE28" s="1951"/>
      <c r="AF28" s="1964">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812">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812">
        <f t="shared" si="4"/>
        <v>0</v>
      </c>
      <c r="AI28" s="1812">
        <f t="shared" si="5"/>
        <v>0</v>
      </c>
      <c r="AJ28" s="1812">
        <f>-L30*(IF(F45="immediate",E45*MIN(20,time),E45*IF(time&gt;=time+20,20,IF(time&lt;=20,(time*VLOOKUP(F45,List!$E$35:$F$37,2,))+(time-time),((MIN(20,time)*VLOOKUP(F45,List!$E$35:$F$37,2,))+(time-MIN(20,time))-IF(F45="exponential",time-20+0.217*time*(EXP(4.606*(20-time)/time)-1),((time-20)^2)*(0.5/time)))))))</f>
        <v>0</v>
      </c>
      <c r="AK28" s="1812">
        <f>-L30*(IF(H45="immediate",G45*MIN(20,time),G45*IF(time&gt;time+20,20,IF(time&lt;20,(time*VLOOKUP(H45,List!$E$35:$F$37,2,))+(time-time),((MIN(20,time)*VLOOKUP(H45,List!$E$35:$F$37,2,))+(time-MIN(20,time))-IF(H45="exponential",time-20+0.217*time*(EXP(4.606*(20-time)/time)-1),((time-20)^2)*(0.5/time)))))))</f>
        <v>0</v>
      </c>
    </row>
    <row r="29" spans="1:41" s="1811" customFormat="1" ht="13.8" thickBot="1">
      <c r="A29" s="1802" t="s">
        <v>1310</v>
      </c>
      <c r="B29" s="1813" t="s">
        <v>1136</v>
      </c>
      <c r="C29" s="2038" t="str">
        <f>'2.LUC'!B31</f>
        <v>Select the vegetation</v>
      </c>
      <c r="D29" s="2038"/>
      <c r="E29" s="2038" t="str">
        <f>'2.LUC'!F31</f>
        <v>Select previous use</v>
      </c>
      <c r="F29" s="2039"/>
      <c r="G29" s="2038" t="str">
        <f>'2.LUC'!E31</f>
        <v>NO</v>
      </c>
      <c r="H29" s="1814">
        <f>IF(E29=List!$A$83,0,HLOOKUP(E29,' IPCC'!$A$290:$J$302,1+MATCH(clim_full,' IPCC'!$A$291:$A$302,),))</f>
        <v>0</v>
      </c>
      <c r="I29" s="1815"/>
      <c r="J29" s="1816">
        <f>IF(E29=List!$A$83,0,VLOOKUP(clim_full,' IPCC'!$A$307:$J$318,1+MATCH($E29,' IPCC'!$B$306:$J$306,),))</f>
        <v>0</v>
      </c>
      <c r="K29" s="1817">
        <f>IF(C29=List!$A$50,0,(1-J29)*VLOOKUP($C29,$C$10:$S$17,17,))</f>
        <v>0</v>
      </c>
      <c r="L29" s="1818">
        <f t="shared" si="6"/>
        <v>0</v>
      </c>
      <c r="M29" s="1819">
        <f>IF(E29=List!$A$83,0,IF(G29="YES",IF(I29="",H29,$I29))*VLOOKUP($E29,' IPCC'!$A$322:$B$329,2,)*2.5*VLOOKUP($E29,' IPCC'!$A$322:$E$329,4,))</f>
        <v>0</v>
      </c>
      <c r="N29" s="1816">
        <f>IF(E29=List!$A$83,0,IF(G29="YES",IF(I29="",H29,$I29))*VLOOKUP($E29,' IPCC'!$A$322:$B$329,2,)*2.5*VLOOKUP($E29,' IPCC'!$A$322:$E$329,5,))</f>
        <v>0</v>
      </c>
      <c r="O29" s="1820">
        <f t="shared" si="7"/>
        <v>0</v>
      </c>
      <c r="P29" s="1817">
        <f>IF(C29=List!$A$72,0,VLOOKUP($C29,$C$10:$P$17,8,)+VLOOKUP($C29,$C$10:$P$17,10,))</f>
        <v>0</v>
      </c>
      <c r="Q29" s="1817">
        <f>IF(C29=List!$A$72,0,VLOOKUP($C29,$C$10:$P$17,12,)+VLOOKUP($C29,$C$10:$P$17,14,))</f>
        <v>0</v>
      </c>
      <c r="R29" s="2224">
        <f>IF(C29=List!$A$72,0,VLOOKUP($C29,$C$10:$R$17,15,)+VLOOKUP($C29,$C$10:$R$17,16,))</f>
        <v>0</v>
      </c>
      <c r="T29" s="1965" t="s">
        <v>337</v>
      </c>
      <c r="U29" s="1965">
        <f>SUM(AA10:AA19)</f>
        <v>0</v>
      </c>
      <c r="V29" s="1965">
        <f>SUM(AB10:AB19)</f>
        <v>0</v>
      </c>
      <c r="AA29" s="1965" t="s">
        <v>338</v>
      </c>
      <c r="AB29" s="1965">
        <f>SUM(AD10:AD19)-SUM(AC10:AC19)</f>
        <v>0</v>
      </c>
      <c r="AC29" s="1965">
        <f>IF(time=0,0,AB29)</f>
        <v>0</v>
      </c>
      <c r="AD29" s="1965">
        <f>AB29-AC29</f>
        <v>0</v>
      </c>
      <c r="AE29" s="1951"/>
      <c r="AF29" s="1964">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812">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812">
        <f t="shared" si="4"/>
        <v>0</v>
      </c>
      <c r="AI29" s="1812">
        <f t="shared" si="5"/>
        <v>0</v>
      </c>
      <c r="AJ29" s="1812">
        <f>-L31*(IF(F46="immediate",E46*MIN(20,time),E46*IF(time&gt;=time+20,20,IF(time&lt;=20,(time*VLOOKUP(F46,List!$E$35:$F$37,2,))+(time-time),((MIN(20,time)*VLOOKUP(F46,List!$E$35:$F$37,2,))+(time-MIN(20,time))-IF(F46="exponential",time-20+0.217*time*(EXP(4.606*(20-time)/time)-1),((time-20)^2)*(0.5/time)))))))</f>
        <v>0</v>
      </c>
      <c r="AK29" s="1812">
        <f>-L31*(IF(H46="immediate",G46*MIN(20,time),G46*IF(time&gt;time+20,20,IF(time&lt;20,(time*VLOOKUP(H46,List!$E$35:$F$37,2,))+(time-time),((MIN(20,time)*VLOOKUP(H46,List!$E$35:$F$37,2,))+(time-MIN(20,time))-IF(H46="exponential",time-20+0.217*time*(EXP(4.606*(20-time)/time)-1),((time-20)^2)*(0.5/time)))))))</f>
        <v>0</v>
      </c>
    </row>
    <row r="30" spans="1:41" s="1811" customFormat="1" ht="13.8" thickBot="1">
      <c r="A30" s="1802" t="s">
        <v>1310</v>
      </c>
      <c r="B30" s="1813" t="s">
        <v>1137</v>
      </c>
      <c r="C30" s="2038" t="str">
        <f>'2.LUC'!B32</f>
        <v>Select the vegetation</v>
      </c>
      <c r="D30" s="2038"/>
      <c r="E30" s="2038" t="str">
        <f>'2.LUC'!F32</f>
        <v>Select previous use</v>
      </c>
      <c r="F30" s="2039"/>
      <c r="G30" s="2038" t="str">
        <f>'2.LUC'!E32</f>
        <v>NO</v>
      </c>
      <c r="H30" s="1814">
        <f>IF(E30=List!$A$83,0,HLOOKUP(E30,' IPCC'!$A$290:$J$302,1+MATCH(clim_full,' IPCC'!$A$291:$A$302,),))</f>
        <v>0</v>
      </c>
      <c r="I30" s="1815"/>
      <c r="J30" s="1816">
        <f>IF(E30=List!$A$83,0,VLOOKUP(clim_full,' IPCC'!$A$307:$J$318,1+MATCH($E30,' IPCC'!$B$306:$J$306,),))</f>
        <v>0</v>
      </c>
      <c r="K30" s="1817">
        <f>IF(C30=List!$A$50,0,(1-J30)*VLOOKUP($C30,$C$10:$S$17,17,))</f>
        <v>0</v>
      </c>
      <c r="L30" s="1818">
        <f t="shared" si="6"/>
        <v>0</v>
      </c>
      <c r="M30" s="1819">
        <f>IF(E30=List!$A$83,0,IF(G30="YES",IF(I30="",H30,$I30))*VLOOKUP($E30,' IPCC'!$A$322:$B$329,2,)*2.5*VLOOKUP($E30,' IPCC'!$A$322:$E$329,4,))</f>
        <v>0</v>
      </c>
      <c r="N30" s="1816">
        <f>IF(E30=List!$A$83,0,IF(G30="YES",IF(I30="",H30,$I30))*VLOOKUP($E30,' IPCC'!$A$322:$B$329,2,)*2.5*VLOOKUP($E30,' IPCC'!$A$322:$E$329,5,))</f>
        <v>0</v>
      </c>
      <c r="O30" s="1820">
        <f t="shared" si="7"/>
        <v>0</v>
      </c>
      <c r="P30" s="1817">
        <f>IF(C30=List!$A$72,0,VLOOKUP($C30,$C$10:$P$17,8,)+VLOOKUP($C30,$C$10:$P$17,10,))</f>
        <v>0</v>
      </c>
      <c r="Q30" s="1817">
        <f>IF(C30=List!$A$72,0,VLOOKUP($C30,$C$10:$P$17,12,)+VLOOKUP($C30,$C$10:$P$17,14,))</f>
        <v>0</v>
      </c>
      <c r="R30" s="2224">
        <f>IF(C30=List!$A$72,0,VLOOKUP($C30,$C$10:$R$17,15,)+VLOOKUP($C30,$C$10:$R$17,16,))</f>
        <v>0</v>
      </c>
      <c r="T30" s="1965" t="s">
        <v>338</v>
      </c>
      <c r="U30" s="1965">
        <f>SUM(AC10:AC19)</f>
        <v>0</v>
      </c>
      <c r="V30" s="1965">
        <f>SUM(AD10:AD19)</f>
        <v>0</v>
      </c>
      <c r="AA30" s="1965"/>
      <c r="AB30" s="1965">
        <f>SUM(AB26:AB29)</f>
        <v>0</v>
      </c>
      <c r="AC30" s="1965">
        <f>SUM(AC26:AC29)</f>
        <v>0</v>
      </c>
      <c r="AD30" s="1965">
        <f>SUM(AD26:AD29)</f>
        <v>0</v>
      </c>
      <c r="AE30" s="1951"/>
      <c r="AF30" s="1964">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812">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812">
        <f t="shared" si="4"/>
        <v>0</v>
      </c>
      <c r="AI30" s="1812">
        <f t="shared" si="5"/>
        <v>0</v>
      </c>
      <c r="AJ30" s="1812">
        <f>-L32*(IF(F47="immediate",E47*MIN(20,time),E47*IF(time&gt;=time+20,20,IF(time&lt;=20,(time*VLOOKUP(F47,List!$E$35:$F$37,2,))+(time-time),((MIN(20,time)*VLOOKUP(F47,List!$E$35:$F$37,2,))+(time-MIN(20,time))-IF(F47="exponential",time-20+0.217*time*(EXP(4.606*(20-time)/time)-1),((time-20)^2)*(0.5/time)))))))</f>
        <v>0</v>
      </c>
      <c r="AK30" s="1812">
        <f>-L32*(IF(H47="immediate",G47*MIN(20,time),G47*IF(time&gt;time+20,20,IF(time&lt;20,(time*VLOOKUP(H47,List!$E$35:$F$37,2,))+(time-time),((MIN(20,time)*VLOOKUP(H47,List!$E$35:$F$37,2,))+(time-MIN(20,time))-IF(H47="exponential",time-20+0.217*time*(EXP(4.606*(20-time)/time)-1),((time-20)^2)*(0.5/time)))))))</f>
        <v>0</v>
      </c>
    </row>
    <row r="31" spans="1:41" s="49" customFormat="1" ht="13.8" thickBot="1">
      <c r="B31" s="254" t="s">
        <v>1138</v>
      </c>
      <c r="C31" s="2038" t="str">
        <f>'2.LUC'!B33</f>
        <v>Select the vegetation</v>
      </c>
      <c r="D31" s="2040"/>
      <c r="E31" s="2038" t="str">
        <f>'2.LUC'!F33</f>
        <v>Select previous use</v>
      </c>
      <c r="F31" s="2040"/>
      <c r="G31" s="2038" t="str">
        <f>'2.LUC'!E33</f>
        <v>NO</v>
      </c>
      <c r="H31" s="420">
        <f>IF(E31=List!$A$83,0,HLOOKUP(E31,' IPCC'!$A$290:$J$302,1+MATCH(clim_full,' IPCC'!$A$291:$A$302,),))</f>
        <v>0</v>
      </c>
      <c r="I31" s="692"/>
      <c r="J31" s="342">
        <f>IF(E31=List!$A$83,0,VLOOKUP(clim_full,' IPCC'!$A$307:$J$318,1+MATCH($E31,' IPCC'!$B$306:$J$306,),))</f>
        <v>0</v>
      </c>
      <c r="K31" s="288">
        <f>IF(C31=List!$A$50,0,(1-J31)*VLOOKUP($C31,$C$10:$S$17,17,))</f>
        <v>0</v>
      </c>
      <c r="L31" s="289">
        <f t="shared" si="6"/>
        <v>0</v>
      </c>
      <c r="M31" s="290">
        <f>IF(E31=List!$A$83,0,IF(G31="YES",IF(I31="",H31,$I31))*VLOOKUP($E31,' IPCC'!$A$322:$B$329,2,)*2.5*VLOOKUP($E31,' IPCC'!$A$322:$E$329,4,))</f>
        <v>0</v>
      </c>
      <c r="N31" s="342">
        <f>IF(E31=List!$A$83,0,IF(G31="YES",IF(I31="",H31,$I31))*VLOOKUP($E31,' IPCC'!$A$322:$B$329,2,)*2.5*VLOOKUP($E31,' IPCC'!$A$322:$E$329,5,))</f>
        <v>0</v>
      </c>
      <c r="O31" s="1005">
        <f t="shared" si="7"/>
        <v>0</v>
      </c>
      <c r="P31" s="354">
        <f>IF(C31=List!$A$72,0,VLOOKUP($C31,$C$10:$P$17,8,)+VLOOKUP($C31,$C$10:$P$17,10,))</f>
        <v>0</v>
      </c>
      <c r="Q31" s="354">
        <f>IF(C31=List!$A$72,0,VLOOKUP($C31,$C$10:$P$17,12,)+VLOOKUP($C31,$C$10:$P$17,14,))</f>
        <v>0</v>
      </c>
      <c r="R31" s="215">
        <f>IF(C31=List!$A$72,0,VLOOKUP($C31,$C$10:$R$17,15,)+VLOOKUP($C31,$C$10:$R$17,16,))</f>
        <v>0</v>
      </c>
      <c r="V31" s="1086"/>
      <c r="W31" s="1086"/>
      <c r="X31" s="1086"/>
      <c r="Y31" s="1086"/>
      <c r="Z31" s="1086"/>
      <c r="AA31" s="1951"/>
      <c r="AB31" s="1951"/>
      <c r="AC31" s="1951"/>
      <c r="AD31" s="1951"/>
      <c r="AE31" s="1951"/>
      <c r="AF31" s="1964">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088">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088">
        <f t="shared" si="4"/>
        <v>0</v>
      </c>
      <c r="AI31" s="1088">
        <f t="shared" si="5"/>
        <v>0</v>
      </c>
      <c r="AJ31" s="1088">
        <f>-L33*(IF(F48="immediate",E48*MIN(20,time),E48*IF(time&gt;=time+20,20,IF(time&lt;=20,(time*VLOOKUP(F48,List!$E$35:$F$37,2,))+(time-time),((MIN(20,time)*VLOOKUP(F48,List!$E$35:$F$37,2,))+(time-MIN(20,time))-IF(F48="exponential",time-20+0.217*time*(EXP(4.606*(20-time)/time)-1),((time-20)^2)*(0.5/time)))))))</f>
        <v>0</v>
      </c>
      <c r="AK31" s="1088">
        <f>-L33*(IF(H48="immediate",G48*MIN(20,time),G48*IF(time&gt;time+20,20,IF(time&lt;20,(time*VLOOKUP(H48,List!$E$35:$F$37,2,))+(time-time),((MIN(20,time)*VLOOKUP(H48,List!$E$35:$F$37,2,))+(time-MIN(20,time))-IF(H48="exponential",time-20+0.217*time*(EXP(4.606*(20-time)/time)-1),((time-20)^2)*(0.5/time)))))))</f>
        <v>0</v>
      </c>
      <c r="AL31" s="1086"/>
      <c r="AM31" s="210"/>
      <c r="AN31" s="210"/>
      <c r="AO31" s="1529"/>
    </row>
    <row r="32" spans="1:41" s="49" customFormat="1" ht="13.8" thickBot="1">
      <c r="B32" s="254" t="s">
        <v>1139</v>
      </c>
      <c r="C32" s="2038" t="str">
        <f>'2.LUC'!B34</f>
        <v>Select the vegetation</v>
      </c>
      <c r="D32" s="2041"/>
      <c r="E32" s="2038" t="str">
        <f>'2.LUC'!F34</f>
        <v>Select previous use</v>
      </c>
      <c r="F32" s="2041"/>
      <c r="G32" s="2038" t="str">
        <f>'2.LUC'!E34</f>
        <v>NO</v>
      </c>
      <c r="H32" s="420">
        <f>IF(E32=List!$A$83,0,HLOOKUP(E32,' IPCC'!$A$290:$J$302,1+MATCH(clim_full,' IPCC'!$A$291:$A$302,),))</f>
        <v>0</v>
      </c>
      <c r="I32" s="692"/>
      <c r="J32" s="342">
        <f>IF(E32=List!$A$83,0,VLOOKUP(clim_full,' IPCC'!$A$307:$J$318,1+MATCH($E32,' IPCC'!$B$306:$J$306,),))</f>
        <v>0</v>
      </c>
      <c r="K32" s="288">
        <f>IF(C32=List!$A$50,0,(1-J32)*VLOOKUP($C32,$C$10:$S$17,17,))</f>
        <v>0</v>
      </c>
      <c r="L32" s="289">
        <f t="shared" si="6"/>
        <v>0</v>
      </c>
      <c r="M32" s="290">
        <f>IF(E32=List!$A$83,0,IF(G32="YES",IF(I32="",H32,$I32))*VLOOKUP($E32,' IPCC'!$A$322:$B$329,2,)*2.5*VLOOKUP($E32,' IPCC'!$A$322:$E$329,4,))</f>
        <v>0</v>
      </c>
      <c r="N32" s="342">
        <f>IF(E32=List!$A$83,0,IF(G32="YES",IF(I32="",H32,$I32))*VLOOKUP($E32,' IPCC'!$A$322:$B$329,2,)*2.5*VLOOKUP($E32,' IPCC'!$A$322:$E$329,5,))</f>
        <v>0</v>
      </c>
      <c r="O32" s="1005">
        <f t="shared" si="7"/>
        <v>0</v>
      </c>
      <c r="P32" s="354">
        <f>IF(C32=List!$A$72,0,VLOOKUP($C32,$C$10:$P$17,8,)+VLOOKUP($C32,$C$10:$P$17,10,))</f>
        <v>0</v>
      </c>
      <c r="Q32" s="354">
        <f>IF(C32=List!$A$72,0,VLOOKUP($C32,$C$10:$P$17,12,)+VLOOKUP($C32,$C$10:$P$17,14,))</f>
        <v>0</v>
      </c>
      <c r="R32" s="215">
        <f>IF(C32=List!$A$72,0,VLOOKUP($C32,$C$10:$R$17,15,)+VLOOKUP($C32,$C$10:$R$17,16,))</f>
        <v>0</v>
      </c>
      <c r="V32" s="1086"/>
      <c r="W32" s="1086"/>
      <c r="X32" s="1086"/>
      <c r="Y32" s="1086"/>
      <c r="Z32" s="1086"/>
      <c r="AA32" s="1951"/>
      <c r="AB32" s="1951"/>
      <c r="AC32" s="1951"/>
      <c r="AD32" s="1951"/>
      <c r="AE32" s="1951"/>
      <c r="AF32" s="1964">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8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88">
        <f t="shared" si="4"/>
        <v>0</v>
      </c>
      <c r="AI32" s="1088">
        <f t="shared" si="5"/>
        <v>0</v>
      </c>
      <c r="AJ32" s="1088">
        <f>-L34*(IF(F49="immediate",E49*MIN(20,time),E49*IF(time&gt;=time+20,20,IF(time&lt;=20,(time*VLOOKUP(F49,List!$E$35:$F$37,2,))+(time-time),((MIN(20,time)*VLOOKUP(F49,List!$E$35:$F$37,2,))+(time-MIN(20,time))-IF(F49="exponential",time-20+0.217*time*(EXP(4.606*(20-time)/time)-1),((time-20)^2)*(0.5/time)))))))</f>
        <v>0</v>
      </c>
      <c r="AK32" s="1088">
        <f>-L34*(IF(H49="immediate",G49*MIN(20,time),G49*IF(time&gt;time+20,20,IF(time&lt;20,(time*VLOOKUP(H49,List!$E$35:$F$37,2,))+(time-time),((MIN(20,time)*VLOOKUP(H49,List!$E$35:$F$37,2,))+(time-MIN(20,time))-IF(H49="exponential",time-20+0.217*time*(EXP(4.606*(20-time)/time)-1),((time-20)^2)*(0.5/time)))))))</f>
        <v>0</v>
      </c>
      <c r="AL32" s="1086"/>
      <c r="AM32" s="210"/>
      <c r="AN32" s="210"/>
      <c r="AO32" s="1529"/>
    </row>
    <row r="33" spans="1:41" s="49" customFormat="1">
      <c r="B33" s="220" t="s">
        <v>1140</v>
      </c>
      <c r="C33" s="128" t="str">
        <f>F19</f>
        <v>Specific vegetation 1</v>
      </c>
      <c r="D33" s="128"/>
      <c r="E33" s="3091" t="s">
        <v>15</v>
      </c>
      <c r="F33" s="3091"/>
      <c r="G33" s="691" t="s">
        <v>359</v>
      </c>
      <c r="H33" s="420">
        <f>IF(E33=List!$A$83,0,HLOOKUP(E33,' IPCC'!$A$290:$J$302,1+MATCH(clim_full,' IPCC'!$A$291:$A$302,),))</f>
        <v>0</v>
      </c>
      <c r="I33" s="692"/>
      <c r="J33" s="342">
        <f>IF(E33=List!$A$83,0,VLOOKUP(clim_full,' IPCC'!$A$307:$J$318,1+MATCH($E33,' IPCC'!$B$306:$J$306,),))</f>
        <v>0</v>
      </c>
      <c r="K33" s="288">
        <f>(1-J33)*S19</f>
        <v>0</v>
      </c>
      <c r="L33" s="289">
        <f t="shared" si="6"/>
        <v>0</v>
      </c>
      <c r="M33" s="290">
        <f>IF(E33=List!$A$83,0,IF(G33="YES",IF(I33="",H33,$I33))*VLOOKUP($E33,' IPCC'!$A$322:$B$329,2,)*2.5*VLOOKUP($E33,' IPCC'!$A$322:$E$329,4,))</f>
        <v>0</v>
      </c>
      <c r="N33" s="342">
        <f>IF(E33=List!$A$83,0,IF(G33="YES",IF(I33="",H33,$I33))*VLOOKUP($E33,' IPCC'!$A$322:$B$329,2,)*2.5*VLOOKUP($E33,' IPCC'!$A$322:$E$329,5,))</f>
        <v>0</v>
      </c>
      <c r="O33" s="1005">
        <f t="shared" si="7"/>
        <v>0</v>
      </c>
      <c r="P33" s="288">
        <f>J19+L19</f>
        <v>0</v>
      </c>
      <c r="Q33" s="288">
        <f>N19+P19</f>
        <v>0</v>
      </c>
      <c r="R33" s="1562">
        <f>Q19+R19</f>
        <v>0</v>
      </c>
      <c r="V33" s="1086"/>
      <c r="W33" s="1086"/>
      <c r="X33" s="1086"/>
      <c r="Y33" s="1086"/>
      <c r="Z33" s="1086"/>
      <c r="AA33" s="1952"/>
      <c r="AB33" s="1952"/>
      <c r="AC33" s="1951"/>
      <c r="AD33" s="1951"/>
      <c r="AE33" s="1951"/>
      <c r="AF33" s="1964">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8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88">
        <f t="shared" si="4"/>
        <v>0</v>
      </c>
      <c r="AI33" s="1088">
        <f t="shared" si="5"/>
        <v>0</v>
      </c>
      <c r="AJ33" s="1088">
        <f>-L35*(IF(F50="immediate",E50*MIN(20,time),E50*IF(time&gt;=time+20,20,IF(time&lt;=20,(time*VLOOKUP(F50,List!$E$35:$F$37,2,))+(time-time),((MIN(20,time)*VLOOKUP(F50,List!$E$35:$F$37,2,))+(time-MIN(20,time))-IF(F50="exponential",time-20+0.217*time*(EXP(4.606*(20-time)/time)-1),((time-20)^2)*(0.5/time)))))))</f>
        <v>0</v>
      </c>
      <c r="AK33" s="1088">
        <f>-L35*(IF(H50="immediate",G50*MIN(20,time),G50*IF(time&gt;time+20,20,IF(time&lt;20,(time*VLOOKUP(H50,List!$E$35:$F$37,2,))+(time-time),((MIN(20,time)*VLOOKUP(H50,List!$E$35:$F$37,2,))+(time-MIN(20,time))-IF(H50="exponential",time-20+0.217*time*(EXP(4.606*(20-time)/time)-1),((time-20)^2)*(0.5/time)))))))</f>
        <v>0</v>
      </c>
      <c r="AL33" s="1086"/>
      <c r="AM33" s="210"/>
      <c r="AN33" s="210"/>
      <c r="AO33" s="1529"/>
    </row>
    <row r="34" spans="1:41" s="49" customFormat="1">
      <c r="B34" s="220" t="s">
        <v>1141</v>
      </c>
      <c r="C34" s="128" t="str">
        <f>F20</f>
        <v>Specific Vegetation 2</v>
      </c>
      <c r="D34" s="128"/>
      <c r="E34" s="3091" t="s">
        <v>15</v>
      </c>
      <c r="F34" s="3091"/>
      <c r="G34" s="691" t="s">
        <v>359</v>
      </c>
      <c r="H34" s="420">
        <f>IF(E34=List!$A$83,0,HLOOKUP(E34,' IPCC'!$A$290:$J$302,1+MATCH(clim_full,' IPCC'!$A$291:$A$302,),))</f>
        <v>0</v>
      </c>
      <c r="I34" s="692"/>
      <c r="J34" s="342">
        <f>IF(E34=List!$A$83,0,VLOOKUP(clim_full,' IPCC'!$A$307:$J$318,1+MATCH($E34,' IPCC'!$B$306:$J$306,),))</f>
        <v>0</v>
      </c>
      <c r="K34" s="288">
        <f>(1-J34)*S20</f>
        <v>0</v>
      </c>
      <c r="L34" s="289">
        <f t="shared" si="6"/>
        <v>0</v>
      </c>
      <c r="M34" s="290">
        <f>IF(E34=List!$A$83,0,IF(G34="YES",IF(I34="",H34,$I34))*VLOOKUP($E34,' IPCC'!$A$322:$B$329,2,)*2.5*VLOOKUP($E34,' IPCC'!$A$322:$E$329,4,))</f>
        <v>0</v>
      </c>
      <c r="N34" s="342">
        <f>IF(E34=List!$A$83,0,IF(G34="YES",IF(I34="",H34,$I34))*VLOOKUP($E34,' IPCC'!$A$322:$B$329,2,)*2.5*VLOOKUP($E34,' IPCC'!$A$322:$E$329,5,))</f>
        <v>0</v>
      </c>
      <c r="O34" s="1005">
        <f t="shared" si="7"/>
        <v>0</v>
      </c>
      <c r="P34" s="288">
        <f>J20+L20</f>
        <v>0</v>
      </c>
      <c r="Q34" s="288">
        <f>N20+P20</f>
        <v>0</v>
      </c>
      <c r="R34" s="1562">
        <f>Q20+R20</f>
        <v>0</v>
      </c>
      <c r="V34" s="1086"/>
      <c r="W34" s="1086"/>
      <c r="X34" s="1086"/>
      <c r="Y34" s="1086"/>
      <c r="Z34" s="1086"/>
      <c r="AA34" s="1952"/>
      <c r="AB34" s="1952"/>
      <c r="AC34" s="1951" t="s">
        <v>39</v>
      </c>
      <c r="AD34" s="1951">
        <f>time_tot</f>
        <v>0</v>
      </c>
      <c r="AE34" s="1951"/>
      <c r="AF34" s="1964">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8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88">
        <f t="shared" si="4"/>
        <v>0</v>
      </c>
      <c r="AI34" s="1088">
        <f t="shared" si="5"/>
        <v>0</v>
      </c>
      <c r="AJ34" s="1088">
        <f>-L36*(IF(F51="immediate",E51*MIN(20,time),E51*IF(time&gt;=time+20,20,IF(time&lt;=20,(time*VLOOKUP(F51,List!$E$35:$F$37,2,))+(time-time),((MIN(20,time)*VLOOKUP(F51,List!$E$35:$F$37,2,))+(time-MIN(20,time))-IF(F51="exponential",time-20+0.217*time*(EXP(4.606*(20-time)/time)-1),((time-20)^2)*(0.5/time)))))))</f>
        <v>0</v>
      </c>
      <c r="AK34" s="1088">
        <f>-L36*(IF(H51="immediate",G51*MIN(20,time),G51*IF(time&gt;time+20,20,IF(time&lt;20,(time*VLOOKUP(H51,List!$E$35:$F$37,2,))+(time-time),((MIN(20,time)*VLOOKUP(H51,List!$E$35:$F$37,2,))+(time-MIN(20,time))-IF(H51="exponential",time-20+0.217*time*(EXP(4.606*(20-time)/time)-1),((time-20)^2)*(0.5/time)))))))</f>
        <v>0</v>
      </c>
      <c r="AL34" s="1086"/>
      <c r="AM34" s="210"/>
      <c r="AN34" s="210"/>
      <c r="AO34" s="1529"/>
    </row>
    <row r="35" spans="1:41" s="49" customFormat="1">
      <c r="B35" s="220" t="s">
        <v>1142</v>
      </c>
      <c r="C35" s="128" t="str">
        <f>F21</f>
        <v>Specific Vegetation 3</v>
      </c>
      <c r="D35" s="128"/>
      <c r="E35" s="3091" t="s">
        <v>15</v>
      </c>
      <c r="F35" s="3091"/>
      <c r="G35" s="691" t="s">
        <v>359</v>
      </c>
      <c r="H35" s="420">
        <f>IF(E35=List!$A$83,0,HLOOKUP(E35,' IPCC'!$A$290:$J$302,1+MATCH(clim_full,' IPCC'!$A$291:$A$302,),))</f>
        <v>0</v>
      </c>
      <c r="I35" s="692"/>
      <c r="J35" s="342">
        <f>IF(E35=List!$A$83,0,VLOOKUP(clim_full,' IPCC'!$A$307:$J$318,1+MATCH($E35,' IPCC'!$B$306:$J$306,),))</f>
        <v>0</v>
      </c>
      <c r="K35" s="288">
        <f>(1-J35)*S21</f>
        <v>0</v>
      </c>
      <c r="L35" s="289">
        <f t="shared" si="6"/>
        <v>0</v>
      </c>
      <c r="M35" s="290">
        <f>IF(E35=List!$A$83,0,IF(G35="YES",IF(I35="",H35,$I35))*VLOOKUP($E35,' IPCC'!$A$322:$B$329,2,)*2.5*VLOOKUP($E35,' IPCC'!$A$322:$E$329,4,))</f>
        <v>0</v>
      </c>
      <c r="N35" s="342">
        <f>IF(E35=List!$A$83,0,IF(G35="YES",IF(I35="",H35,$I35))*VLOOKUP($E35,' IPCC'!$A$322:$B$329,2,)*2.5*VLOOKUP($E35,' IPCC'!$A$322:$E$329,5,))</f>
        <v>0</v>
      </c>
      <c r="O35" s="1005">
        <f t="shared" si="7"/>
        <v>0</v>
      </c>
      <c r="P35" s="288">
        <f>J21+L21</f>
        <v>0</v>
      </c>
      <c r="Q35" s="288">
        <f>N21+P21</f>
        <v>0</v>
      </c>
      <c r="R35" s="1562">
        <f>Q21+R21</f>
        <v>0</v>
      </c>
      <c r="V35" s="1086"/>
      <c r="W35" s="1086"/>
      <c r="X35" s="1086"/>
      <c r="Y35" s="1086"/>
      <c r="Z35" s="1086"/>
      <c r="AA35" s="1964"/>
      <c r="AB35" s="1951"/>
      <c r="AC35" s="1951" t="s">
        <v>40</v>
      </c>
      <c r="AD35" s="1951">
        <f>time2</f>
        <v>0</v>
      </c>
      <c r="AE35" s="1951"/>
      <c r="AF35" s="1951"/>
      <c r="AG35" s="1086"/>
      <c r="AH35" s="1086"/>
      <c r="AI35" s="1086"/>
      <c r="AJ35" s="1086"/>
      <c r="AK35" s="1086"/>
      <c r="AL35" s="1086"/>
      <c r="AM35" s="210"/>
      <c r="AN35" s="210"/>
      <c r="AO35" s="1529"/>
    </row>
    <row r="36" spans="1:41" s="49" customFormat="1">
      <c r="B36" s="413" t="s">
        <v>1143</v>
      </c>
      <c r="C36" s="144" t="str">
        <f>F22</f>
        <v>Specific Vegetation 4</v>
      </c>
      <c r="D36" s="144"/>
      <c r="E36" s="3092" t="s">
        <v>15</v>
      </c>
      <c r="F36" s="3092"/>
      <c r="G36" s="1008" t="s">
        <v>359</v>
      </c>
      <c r="H36" s="421">
        <f>IF(E36=List!$A$83,0,HLOOKUP(E36,' IPCC'!$A$290:$J$302,1+MATCH(clim_full,' IPCC'!$A$291:$A$302,),))</f>
        <v>0</v>
      </c>
      <c r="I36" s="693"/>
      <c r="J36" s="1007">
        <f>IF(E36=List!$A$83,0,VLOOKUP(clim_full,' IPCC'!$A$307:$J$318,1+MATCH($E36,' IPCC'!$B$306:$J$306,),))</f>
        <v>0</v>
      </c>
      <c r="K36" s="1265">
        <f>(1-J36)*S22</f>
        <v>0</v>
      </c>
      <c r="L36" s="1267">
        <f t="shared" si="6"/>
        <v>0</v>
      </c>
      <c r="M36" s="1006">
        <f>IF(E36=List!$A$83,0,IF(G36="YES",IF(I36="",H36,$I36))*VLOOKUP($E36,' IPCC'!$A$322:$B$329,2,)*2.5*VLOOKUP($E36,' IPCC'!$A$322:$E$329,4,))</f>
        <v>0</v>
      </c>
      <c r="N36" s="1007">
        <f>IF(E36=List!$A$83,0,IF(G36="YES",IF(I36="",H36,$I36))*VLOOKUP($E36,' IPCC'!$A$322:$B$329,2,)*2.5*VLOOKUP($E36,' IPCC'!$A$322:$E$329,5,))</f>
        <v>0</v>
      </c>
      <c r="O36" s="1266">
        <f t="shared" si="7"/>
        <v>0</v>
      </c>
      <c r="P36" s="1265">
        <f>J22+L22</f>
        <v>0</v>
      </c>
      <c r="Q36" s="1265">
        <f>N22+P22</f>
        <v>0</v>
      </c>
      <c r="R36" s="1563">
        <f>Q22+R22</f>
        <v>0</v>
      </c>
      <c r="V36" s="1086"/>
      <c r="W36" s="1086"/>
      <c r="X36" s="1086"/>
      <c r="Y36" s="1086"/>
      <c r="Z36" s="1086"/>
      <c r="AA36" s="1951"/>
      <c r="AB36" s="1952"/>
      <c r="AC36" s="1951" t="s">
        <v>41</v>
      </c>
      <c r="AD36" s="1951">
        <f>time</f>
        <v>0</v>
      </c>
      <c r="AE36" s="1951"/>
      <c r="AF36" s="1951"/>
      <c r="AG36" s="1086"/>
      <c r="AH36" s="1086"/>
      <c r="AI36" s="1086"/>
      <c r="AJ36" s="1086"/>
      <c r="AK36" s="1086"/>
      <c r="AL36" s="1086"/>
      <c r="AM36" s="210"/>
      <c r="AN36" s="210"/>
      <c r="AO36" s="1529"/>
    </row>
    <row r="37" spans="1:41" s="49" customFormat="1">
      <c r="B37" s="111"/>
      <c r="C37" s="112"/>
      <c r="D37" s="111"/>
      <c r="E37" s="111"/>
      <c r="F37" s="111"/>
      <c r="G37" s="46"/>
      <c r="H37" s="46"/>
      <c r="I37" s="46"/>
      <c r="N37" s="46"/>
      <c r="O37" s="139"/>
      <c r="P37" s="139"/>
      <c r="Q37" s="140"/>
      <c r="R37" s="140"/>
      <c r="S37" s="140"/>
      <c r="T37" s="139"/>
      <c r="V37" s="1086"/>
      <c r="W37" s="1086"/>
      <c r="X37" s="1086"/>
      <c r="Y37" s="1086"/>
      <c r="Z37" s="1086"/>
      <c r="AA37" s="1951"/>
      <c r="AB37" s="1951"/>
      <c r="AC37" s="1951"/>
      <c r="AD37" s="1951"/>
      <c r="AE37" s="1951"/>
      <c r="AF37" s="1951"/>
      <c r="AG37" s="1086"/>
      <c r="AH37" s="1086"/>
      <c r="AI37" s="1086"/>
      <c r="AJ37" s="1086"/>
      <c r="AK37" s="1086"/>
      <c r="AL37" s="1086"/>
      <c r="AM37" s="210"/>
      <c r="AN37" s="210"/>
      <c r="AO37" s="1529"/>
    </row>
    <row r="38" spans="1:41">
      <c r="B38" s="50" t="s">
        <v>1017</v>
      </c>
      <c r="C38" s="52"/>
      <c r="D38" s="1307"/>
      <c r="E38" s="1307"/>
      <c r="F38" s="1307"/>
      <c r="G38" s="1308"/>
      <c r="H38" s="1307"/>
      <c r="I38" s="53"/>
      <c r="J38" s="53"/>
      <c r="K38" s="53"/>
      <c r="L38" s="53"/>
      <c r="M38" s="53"/>
      <c r="N38" s="52"/>
      <c r="O38" s="52"/>
      <c r="P38" s="52"/>
      <c r="Q38" s="52"/>
      <c r="R38" s="207"/>
      <c r="S38" s="628"/>
    </row>
    <row r="39" spans="1:41">
      <c r="B39" s="150" t="s">
        <v>499</v>
      </c>
      <c r="C39" s="135"/>
      <c r="D39" s="3088" t="s">
        <v>1170</v>
      </c>
      <c r="E39" s="3089"/>
      <c r="F39" s="3089"/>
      <c r="G39" s="3089"/>
      <c r="H39" s="3090"/>
      <c r="I39" s="3086" t="s">
        <v>1015</v>
      </c>
      <c r="J39" s="3087"/>
      <c r="K39" s="17" t="s">
        <v>1014</v>
      </c>
      <c r="L39" s="17"/>
      <c r="M39" s="133" t="s">
        <v>555</v>
      </c>
      <c r="N39" s="131"/>
      <c r="O39" s="560" t="s">
        <v>559</v>
      </c>
      <c r="P39" s="562"/>
      <c r="Q39" s="1085" t="s">
        <v>687</v>
      </c>
      <c r="R39" s="265"/>
      <c r="S39" s="20" t="s">
        <v>348</v>
      </c>
    </row>
    <row r="40" spans="1:41">
      <c r="B40" s="113"/>
      <c r="C40" s="13"/>
      <c r="D40" s="1312" t="s">
        <v>345</v>
      </c>
      <c r="E40" s="1309" t="s">
        <v>689</v>
      </c>
      <c r="F40" s="1296"/>
      <c r="G40" s="1310" t="s">
        <v>688</v>
      </c>
      <c r="H40" s="1311"/>
      <c r="I40" s="249" t="s">
        <v>690</v>
      </c>
      <c r="J40" s="250" t="s">
        <v>691</v>
      </c>
      <c r="K40" s="249" t="s">
        <v>690</v>
      </c>
      <c r="L40" s="250" t="s">
        <v>691</v>
      </c>
      <c r="M40" s="249" t="s">
        <v>690</v>
      </c>
      <c r="N40" s="250" t="s">
        <v>691</v>
      </c>
      <c r="O40" s="636" t="s">
        <v>690</v>
      </c>
      <c r="P40" s="637" t="s">
        <v>691</v>
      </c>
      <c r="Q40" s="249" t="s">
        <v>690</v>
      </c>
      <c r="R40" s="250" t="s">
        <v>691</v>
      </c>
      <c r="S40" s="171"/>
      <c r="AA40" s="1951" t="s">
        <v>1601</v>
      </c>
    </row>
    <row r="41" spans="1:41" ht="13.8" thickBot="1">
      <c r="B41" s="113"/>
      <c r="C41" s="13"/>
      <c r="D41" s="1313" t="s">
        <v>352</v>
      </c>
      <c r="E41" s="151" t="s">
        <v>346</v>
      </c>
      <c r="F41" s="152" t="s">
        <v>353</v>
      </c>
      <c r="G41" s="33" t="s">
        <v>346</v>
      </c>
      <c r="H41" s="34" t="s">
        <v>353</v>
      </c>
      <c r="I41" s="146" t="s">
        <v>556</v>
      </c>
      <c r="J41" s="149" t="s">
        <v>556</v>
      </c>
      <c r="K41" s="146" t="s">
        <v>556</v>
      </c>
      <c r="L41" s="149" t="s">
        <v>556</v>
      </c>
      <c r="M41" s="146" t="s">
        <v>556</v>
      </c>
      <c r="N41" s="149" t="s">
        <v>556</v>
      </c>
      <c r="O41" s="645" t="s">
        <v>556</v>
      </c>
      <c r="P41" s="646" t="s">
        <v>556</v>
      </c>
      <c r="Q41" s="146" t="s">
        <v>556</v>
      </c>
      <c r="R41" s="149" t="s">
        <v>556</v>
      </c>
      <c r="S41" s="1030" t="s">
        <v>556</v>
      </c>
      <c r="AA41" s="1951" t="s">
        <v>56</v>
      </c>
      <c r="AB41" s="1951" t="s">
        <v>279</v>
      </c>
    </row>
    <row r="42" spans="1:41" ht="13.8" thickBot="1">
      <c r="A42" s="1802" t="s">
        <v>1310</v>
      </c>
      <c r="B42" s="266" t="str">
        <f>B27</f>
        <v>A/R1</v>
      </c>
      <c r="C42" s="110"/>
      <c r="D42" s="411">
        <v>0</v>
      </c>
      <c r="E42" s="2036">
        <f>'2.LUC'!K29</f>
        <v>0</v>
      </c>
      <c r="F42" s="2225" t="str">
        <f>VLOOKUP('2.LUC'!L29,List!$D$35:$E$37,2,)</f>
        <v>Linear</v>
      </c>
      <c r="G42" s="2037">
        <f>'2.LUC'!M29</f>
        <v>0</v>
      </c>
      <c r="H42" s="2225" t="str">
        <f>VLOOKUP('2.LUC'!N29,List!$D$35:$E$37,2,)</f>
        <v>Linear</v>
      </c>
      <c r="I42" s="1514">
        <f>-(44/12)*($P27*(IF(F42="immediate",E42*MIN(20,time_tot),E42*IF(time_tot&gt;time+20,20,IF(time_tot&lt;20,(time*VLOOKUP(F42,List!$E$35:$F$37,2,))+(time_tot-time),((MIN(20,time)*VLOOKUP(F42,List!$E$35:$F$37,2,))+(time_tot-MIN(20,time))-IF(F42="exponential",time_tot-20+0.217*time*(EXP(4.606*(20-time_tot)/time)-1),((time_tot-20)^2)*(0.5/time)))))))+($R27*E42)+($Q27*(IF(F42="immediate",E42*(time_tot-MIN(20,time_tot)),E42*IF(time_tot&gt;time+20,(time*VLOOKUP(F42,List!$E$35:$F$37,2,))+(time_tot-time-20),IF(time_tot&lt;20,0,IF(F42="exponential",time_tot-20+0.217*time*(EXP(4.606*(20-time_tot)/time)-1),((time_tot-20)^2)*(0.5/time))))))))</f>
        <v>0</v>
      </c>
      <c r="J42" s="1635">
        <f>-(44/12)*($P27*(IF(H42="immediate",G42*MIN(20,time_tot),G42*IF(time_tot&gt;time+20,20,IF(time_tot&lt;20,(time*VLOOKUP(H42,List!$E$35:$F$37,2,))+(time_tot-time),((MIN(20,time)*VLOOKUP(H42,List!$E$35:$F$37,2,))+(time_tot-MIN(20,time))-IF(H42="exponential",time_tot-20+0.217*time*(EXP(4.606*(20-time_tot)/time)-1),((time_tot-20)^2)*(0.5/time)))))))+($R27*G42)+($Q27*(IF(H42="immediate",G42*(time_tot-MIN(20,time_tot)),G42*IF(time_tot&gt;time+20,(time*VLOOKUP(H42,List!$E$35:$F$37,2,))+(time_tot-time-20),IF(time_tot&lt;20,0,IF(H42="exponential",time_tot-20+0.217*time*(EXP(4.606*(20-time_tot)/time)-1),((time_tot-20)^2)*(0.5/time))))))))</f>
        <v>0</v>
      </c>
      <c r="K42" s="1827">
        <f>IF(I42=0,0,IF($C27=List!$A$50,0,IF($I27&gt;0,$E42*$I27,$E42*$H27)*44/12))</f>
        <v>0</v>
      </c>
      <c r="L42" s="1828">
        <f>IF(J42=0,0,IF($C27=List!$A$50,0,IF($I27&gt;0,$G42*$I27,$G42*$H27)*44/12))</f>
        <v>0</v>
      </c>
      <c r="M42" s="1486">
        <f>-L27*(IF(F42="immediate",E42*MIN(20,time_tot),E42*IF(time_tot&gt;time+20,20,IF(time_tot&lt;20,(time*VLOOKUP(F42,List!$E$35:$F$37,2,))+(time_tot-time),((MIN(20,time)*VLOOKUP(F42,List!$E$35:$F$37,2,))+(time_tot-MIN(20,time))-IF(F42="exponential",time_tot-20+0.217*time*(EXP(4.606*(20-time_tot)/time)-1),((time_tot-20)^2)*(0.5/time)))))))</f>
        <v>0</v>
      </c>
      <c r="N42" s="1487">
        <f>-L27*(IF(H42="immediate",G42*MIN(20,time_tot),G42*IF(time_tot&gt;time+20,20,IF(time_tot&lt;20,(time*VLOOKUP(H42,List!$E$35:$F$37,2,))+(time_tot-time),((MIN(20,time)*VLOOKUP(H42,List!$E$35:$F$37,2,))+(time_tot-MIN(20,time))-IF(H42="exponential",time_tot-20+0.217*time*(EXP(4.606*(20-time_tot)/time)-1),((time_tot-20)^2)*(0.5/time)))))))</f>
        <v>0</v>
      </c>
      <c r="O42" s="1829">
        <f>IF($C27=List!$A$50,0,IF(G27="yes",E42*O27,0))</f>
        <v>0</v>
      </c>
      <c r="P42" s="1830">
        <f>IF($C27=List!$A$50,0,IF(G27="yes",G42*O27,0))</f>
        <v>0</v>
      </c>
      <c r="Q42" s="1486">
        <f>I42+M42+K42+O42</f>
        <v>0</v>
      </c>
      <c r="R42" s="1487">
        <f>J42+N42+L42+P42</f>
        <v>0</v>
      </c>
      <c r="S42" s="283">
        <f t="shared" ref="S42:S51" si="8">R42-Q42</f>
        <v>0</v>
      </c>
      <c r="AA42" s="1951">
        <f>IF(M27&gt;0,E42,0)</f>
        <v>0</v>
      </c>
      <c r="AB42" s="1951">
        <f>IF(M27&gt;0,G42,0)</f>
        <v>0</v>
      </c>
    </row>
    <row r="43" spans="1:41" ht="13.8" thickBot="1">
      <c r="A43" s="1802" t="s">
        <v>1310</v>
      </c>
      <c r="B43" s="153" t="str">
        <f>B28</f>
        <v>A/R2</v>
      </c>
      <c r="C43" s="90"/>
      <c r="D43" s="411">
        <v>0</v>
      </c>
      <c r="E43" s="2036">
        <f>'2.LUC'!K30</f>
        <v>0</v>
      </c>
      <c r="F43" s="2225" t="str">
        <f>VLOOKUP('2.LUC'!L30,List!$D$35:$E$37,2,)</f>
        <v>Linear</v>
      </c>
      <c r="G43" s="2037">
        <f>'2.LUC'!M30</f>
        <v>0</v>
      </c>
      <c r="H43" s="2225" t="str">
        <f>VLOOKUP('2.LUC'!N30,List!$D$35:$E$37,2,)</f>
        <v>Linear</v>
      </c>
      <c r="I43" s="1514">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35">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827">
        <f>IF(I43=0,0,IF($C28=List!$A$50,0,IF($I28&gt;0,$E43*$I28,$E43*$H28)*44/12))</f>
        <v>0</v>
      </c>
      <c r="L43" s="1828">
        <f>IF(J43=0,0,IF($C28=List!$A$50,0,IF($I28&gt;0,$G43*$I28,$G43*$H28)*44/12))</f>
        <v>0</v>
      </c>
      <c r="M43" s="1492">
        <f>-L28*(IF(F43="immediate",E43*MIN(20,time_tot),E43*IF(time_tot&gt;time+20,20,IF(time_tot&lt;20,(time*VLOOKUP(F43,List!$E$35:$F$37,2,))+(time_tot-time),((MIN(20,time)*VLOOKUP(F43,List!$E$35:$F$37,2,))+(time_tot-MIN(20,time))-IF(F43="exponential",time_tot-20+0.217*time*(EXP(4.606*(20-time_tot)/time)-1),((time_tot-20)^2)*(0.5/time)))))))</f>
        <v>0</v>
      </c>
      <c r="N43" s="1489">
        <f>-L28*(IF(H43="immediate",G43*MIN(20,time_tot),G43*IF(time_tot&gt;time+20,20,IF(time_tot&lt;20,(time*VLOOKUP(H43,List!$E$35:$F$37,2,))+(time_tot-time),((MIN(20,time)*VLOOKUP(H43,List!$E$35:$F$37,2,))+(time_tot-MIN(20,time))-IF(H43="exponential",time_tot-20+0.217*time*(EXP(4.606*(20-time_tot)/time)-1),((time_tot-20)^2)*(0.5/time)))))))</f>
        <v>0</v>
      </c>
      <c r="O43" s="1829">
        <f>IF($C28=List!$A$50,0,IF(G28="yes",E43*O28,0))</f>
        <v>0</v>
      </c>
      <c r="P43" s="1830">
        <f>IF($C28=List!$A$50,0,IF(G28="yes",G43*O28,0))</f>
        <v>0</v>
      </c>
      <c r="Q43" s="1492">
        <f t="shared" ref="Q43:Q51" si="9">I43+M43+K43+O43</f>
        <v>0</v>
      </c>
      <c r="R43" s="1489">
        <f t="shared" ref="R43:R51" si="10">J43+N43+L43+P43</f>
        <v>0</v>
      </c>
      <c r="S43" s="284">
        <f t="shared" si="8"/>
        <v>0</v>
      </c>
      <c r="AA43" s="1951">
        <f t="shared" ref="AA43:AA51" si="11">IF(M28&gt;0,E43,0)</f>
        <v>0</v>
      </c>
      <c r="AB43" s="1951">
        <f t="shared" ref="AB43:AB51" si="12">IF(M28&gt;0,G43,0)</f>
        <v>0</v>
      </c>
    </row>
    <row r="44" spans="1:41" ht="13.8" thickBot="1">
      <c r="A44" s="1802" t="s">
        <v>1310</v>
      </c>
      <c r="B44" s="153" t="str">
        <f t="shared" ref="B44:B51" si="13">B29</f>
        <v>A/R3</v>
      </c>
      <c r="C44" s="90"/>
      <c r="D44" s="411">
        <v>0</v>
      </c>
      <c r="E44" s="2036">
        <f>'2.LUC'!K31</f>
        <v>0</v>
      </c>
      <c r="F44" s="2225" t="str">
        <f>VLOOKUP('2.LUC'!L31,List!$D$35:$E$37,2,)</f>
        <v>Linear</v>
      </c>
      <c r="G44" s="2037">
        <f>'2.LUC'!M31</f>
        <v>0</v>
      </c>
      <c r="H44" s="2225" t="str">
        <f>VLOOKUP('2.LUC'!N31,List!$D$35:$E$37,2,)</f>
        <v>Linear</v>
      </c>
      <c r="I44" s="1514">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35">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827">
        <f>IF(I44=0,0,IF($C29=List!$A$50,0,IF($I29&gt;0,$E44*$I29,$E44*$H29)*44/12))</f>
        <v>0</v>
      </c>
      <c r="L44" s="1828">
        <f>IF(J44=0,0,IF($C29=List!$A$50,0,IF($I29&gt;0,$G44*$I29,$G44*$H29)*44/12))</f>
        <v>0</v>
      </c>
      <c r="M44" s="1492">
        <f>-L29*(IF(F44="immediate",E44*MIN(20,time_tot),E44*IF(time_tot&gt;time+20,20,IF(time_tot&lt;20,(time*VLOOKUP(F44,List!$E$35:$F$37,2,))+(time_tot-time),((MIN(20,time)*VLOOKUP(F44,List!$E$35:$F$37,2,))+(time_tot-MIN(20,time))-IF(F44="exponential",time_tot-20+0.217*time*(EXP(4.606*(20-time_tot)/time)-1),((time_tot-20)^2)*(0.5/time)))))))</f>
        <v>0</v>
      </c>
      <c r="N44" s="1489">
        <f>-L29*(IF(H44="immediate",G44*MIN(20,time_tot),G44*IF(time_tot&gt;time+20,20,IF(time_tot&lt;20,(time*VLOOKUP(H44,List!$E$35:$F$37,2,))+(time_tot-time),((MIN(20,time)*VLOOKUP(H44,List!$E$35:$F$37,2,))+(time_tot-MIN(20,time))-IF(H44="exponential",time_tot-20+0.217*time*(EXP(4.606*(20-time_tot)/time)-1),((time_tot-20)^2)*(0.5/time)))))))</f>
        <v>0</v>
      </c>
      <c r="O44" s="1829">
        <f>IF($C29=List!$A$50,0,IF(G29="yes",E44*O29,0))</f>
        <v>0</v>
      </c>
      <c r="P44" s="1830">
        <f>IF($C29=List!$A$50,0,IF(G29="yes",G44*O29,0))</f>
        <v>0</v>
      </c>
      <c r="Q44" s="1492">
        <f t="shared" si="9"/>
        <v>0</v>
      </c>
      <c r="R44" s="1489">
        <f t="shared" si="10"/>
        <v>0</v>
      </c>
      <c r="S44" s="284">
        <f t="shared" si="8"/>
        <v>0</v>
      </c>
      <c r="AA44" s="1951">
        <f t="shared" si="11"/>
        <v>0</v>
      </c>
      <c r="AB44" s="1951">
        <f t="shared" si="12"/>
        <v>0</v>
      </c>
    </row>
    <row r="45" spans="1:41" ht="13.8" thickBot="1">
      <c r="A45" s="1802" t="s">
        <v>1310</v>
      </c>
      <c r="B45" s="153" t="str">
        <f t="shared" si="13"/>
        <v>A/R4</v>
      </c>
      <c r="C45" s="90"/>
      <c r="D45" s="411">
        <v>0</v>
      </c>
      <c r="E45" s="2036">
        <f>'2.LUC'!K32</f>
        <v>0</v>
      </c>
      <c r="F45" s="2225" t="str">
        <f>VLOOKUP('2.LUC'!L32,List!$D$35:$E$37,2,)</f>
        <v>Linear</v>
      </c>
      <c r="G45" s="2037">
        <f>'2.LUC'!M32</f>
        <v>0</v>
      </c>
      <c r="H45" s="2225" t="str">
        <f>VLOOKUP('2.LUC'!N32,List!$D$35:$E$37,2,)</f>
        <v>Linear</v>
      </c>
      <c r="I45" s="1514">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35">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827">
        <f>IF(I45=0,0,IF($C30=List!$A$50,0,IF($I30&gt;0,$E45*$I30,$E45*$H30)*44/12))</f>
        <v>0</v>
      </c>
      <c r="L45" s="1828">
        <f>IF(J45=0,0,IF($C30=List!$A$50,0,IF($I30&gt;0,$G45*$I30,$G45*$H30)*44/12))</f>
        <v>0</v>
      </c>
      <c r="M45" s="1492">
        <f>-L30*(IF(F45="immediate",E45*MIN(20,time_tot),E45*IF(time_tot&gt;time+20,20,IF(time_tot&lt;20,(time*VLOOKUP(F45,List!$E$35:$F$37,2,))+(time_tot-time),((MIN(20,time)*VLOOKUP(F45,List!$E$35:$F$37,2,))+(time_tot-MIN(20,time))-IF(F45="exponential",time_tot-20+0.217*time*(EXP(4.606*(20-time_tot)/time)-1),((time_tot-20)^2)*(0.5/time)))))))</f>
        <v>0</v>
      </c>
      <c r="N45" s="1489">
        <f>-L30*(IF(H45="immediate",G45*MIN(20,time_tot),G45*IF(time_tot&gt;time+20,20,IF(time_tot&lt;20,(time*VLOOKUP(H45,List!$E$35:$F$37,2,))+(time_tot-time),((MIN(20,time)*VLOOKUP(H45,List!$E$35:$F$37,2,))+(time_tot-MIN(20,time))-IF(H45="exponential",time_tot-20+0.217*time*(EXP(4.606*(20-time_tot)/time)-1),((time_tot-20)^2)*(0.5/time)))))))</f>
        <v>0</v>
      </c>
      <c r="O45" s="1829">
        <f>IF($C30=List!$A$50,0,IF(G30="yes",E45*O30,0))</f>
        <v>0</v>
      </c>
      <c r="P45" s="1830">
        <f>IF($C30=List!$A$50,0,IF(G30="yes",G45*O30,0))</f>
        <v>0</v>
      </c>
      <c r="Q45" s="1492">
        <f t="shared" si="9"/>
        <v>0</v>
      </c>
      <c r="R45" s="1489">
        <f t="shared" si="10"/>
        <v>0</v>
      </c>
      <c r="S45" s="284">
        <f t="shared" si="8"/>
        <v>0</v>
      </c>
      <c r="AA45" s="1951">
        <f t="shared" si="11"/>
        <v>0</v>
      </c>
      <c r="AB45" s="1951">
        <f t="shared" si="12"/>
        <v>0</v>
      </c>
    </row>
    <row r="46" spans="1:41" ht="13.8" thickBot="1">
      <c r="B46" s="153" t="str">
        <f t="shared" si="13"/>
        <v>A/R5</v>
      </c>
      <c r="C46" s="90"/>
      <c r="D46" s="411">
        <v>0</v>
      </c>
      <c r="E46" s="2036">
        <f>'2.LUC'!K33</f>
        <v>0</v>
      </c>
      <c r="F46" s="2225" t="str">
        <f>VLOOKUP('2.LUC'!L33,List!$D$35:$E$37,2,)</f>
        <v>Linear</v>
      </c>
      <c r="G46" s="2037">
        <f>'2.LUC'!M33</f>
        <v>0</v>
      </c>
      <c r="H46" s="2225" t="str">
        <f>VLOOKUP('2.LUC'!N33,List!$D$35:$E$37,2,)</f>
        <v>Linear</v>
      </c>
      <c r="I46" s="1514">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35">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827">
        <f>IF(I46=0,0,IF($C31=List!$A$50,0,IF($I31&gt;0,$E46*$I31,$E46*$H31)*44/12))</f>
        <v>0</v>
      </c>
      <c r="L46" s="1828">
        <f>IF(J46=0,0,IF($C31=List!$A$50,0,IF($I31&gt;0,$G46*$I31,$G46*$H31)*44/12))</f>
        <v>0</v>
      </c>
      <c r="M46" s="1492">
        <f>-L31*(IF(F46="immediate",E46*MIN(20,time_tot),E46*IF(time_tot&gt;time+20,20,IF(time_tot&lt;20,(time*VLOOKUP(F46,List!$E$35:$F$37,2,))+(time_tot-time),((MIN(20,time)*VLOOKUP(F46,List!$E$35:$F$37,2,))+(time_tot-MIN(20,time))-IF(F46="exponential",time_tot-20+0.217*time*(EXP(4.606*(20-time_tot)/time)-1),((time_tot-20)^2)*(0.5/time)))))))</f>
        <v>0</v>
      </c>
      <c r="N46" s="1489">
        <f>-L31*(IF(H46="immediate",G46*MIN(20,time_tot),G46*IF(time_tot&gt;time+20,20,IF(time_tot&lt;20,(time*VLOOKUP(H46,List!$E$35:$F$37,2,))+(time_tot-time),((MIN(20,time)*VLOOKUP(H46,List!$E$35:$F$37,2,))+(time_tot-MIN(20,time))-IF(H46="exponential",time_tot-20+0.217*time*(EXP(4.606*(20-time_tot)/time)-1),((time_tot-20)^2)*(0.5/time)))))))</f>
        <v>0</v>
      </c>
      <c r="O46" s="1829">
        <f>IF($C31=List!$A$50,0,IF(G31="yes",E46*O31,0))</f>
        <v>0</v>
      </c>
      <c r="P46" s="1830">
        <f>IF($C31=List!$A$50,0,IF(G31="yes",G46*O31,0))</f>
        <v>0</v>
      </c>
      <c r="Q46" s="1492">
        <f t="shared" si="9"/>
        <v>0</v>
      </c>
      <c r="R46" s="1489">
        <f t="shared" si="10"/>
        <v>0</v>
      </c>
      <c r="S46" s="284">
        <f t="shared" si="8"/>
        <v>0</v>
      </c>
      <c r="AA46" s="1951">
        <f t="shared" si="11"/>
        <v>0</v>
      </c>
      <c r="AB46" s="1951">
        <f t="shared" si="12"/>
        <v>0</v>
      </c>
    </row>
    <row r="47" spans="1:41">
      <c r="B47" s="153" t="str">
        <f t="shared" si="13"/>
        <v>A/R6</v>
      </c>
      <c r="C47" s="90"/>
      <c r="D47" s="411">
        <v>0</v>
      </c>
      <c r="E47" s="2036">
        <f>'2.LUC'!K34</f>
        <v>0</v>
      </c>
      <c r="F47" s="2225" t="str">
        <f>VLOOKUP('2.LUC'!L34,List!$D$35:$E$37,2,)</f>
        <v>Linear</v>
      </c>
      <c r="G47" s="2037">
        <f>'2.LUC'!M34</f>
        <v>0</v>
      </c>
      <c r="H47" s="2225" t="str">
        <f>VLOOKUP('2.LUC'!N34,List!$D$35:$E$37,2,)</f>
        <v>Linear</v>
      </c>
      <c r="I47" s="1514">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35">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827">
        <f>IF(I47=0,0,IF($C32=List!$A$50,0,IF($I32&gt;0,$E47*$I32,$E47*$H32)*44/12))</f>
        <v>0</v>
      </c>
      <c r="L47" s="1828">
        <f>IF(J47=0,0,IF($C32=List!$A$50,0,IF($I32&gt;0,$G47*$I32,$G47*$H32)*44/12))</f>
        <v>0</v>
      </c>
      <c r="M47" s="1492">
        <f>-L32*(IF(F47="immediate",E47*MIN(20,time_tot),E47*IF(time_tot&gt;time+20,20,IF(time_tot&lt;20,(time*VLOOKUP(F47,List!$E$35:$F$37,2,))+(time_tot-time),((MIN(20,time)*VLOOKUP(F47,List!$E$35:$F$37,2,))+(time_tot-MIN(20,time))-IF(F47="exponential",time_tot-20+0.217*time*(EXP(4.606*(20-time_tot)/time)-1),((time_tot-20)^2)*(0.5/time)))))))</f>
        <v>0</v>
      </c>
      <c r="N47" s="1489">
        <f>-L32*(IF(H47="immediate",G47*MIN(20,time_tot),G47*IF(time_tot&gt;time+20,20,IF(time_tot&lt;20,(time*VLOOKUP(H47,List!$E$35:$F$37,2,))+(time_tot-time),((MIN(20,time)*VLOOKUP(H47,List!$E$35:$F$37,2,))+(time_tot-MIN(20,time))-IF(H47="exponential",time_tot-20+0.217*time*(EXP(4.606*(20-time_tot)/time)-1),((time_tot-20)^2)*(0.5/time)))))))</f>
        <v>0</v>
      </c>
      <c r="O47" s="1829">
        <f>IF($C32=List!$A$50,0,IF(G32="yes",E47*O32,0))</f>
        <v>0</v>
      </c>
      <c r="P47" s="1830">
        <f>IF($C32=List!$A$50,0,IF(G32="yes",G47*O32,0))</f>
        <v>0</v>
      </c>
      <c r="Q47" s="1492">
        <f t="shared" si="9"/>
        <v>0</v>
      </c>
      <c r="R47" s="1489">
        <f t="shared" si="10"/>
        <v>0</v>
      </c>
      <c r="S47" s="284">
        <f t="shared" si="8"/>
        <v>0</v>
      </c>
      <c r="AA47" s="1951">
        <f t="shared" si="11"/>
        <v>0</v>
      </c>
      <c r="AB47" s="1951">
        <f t="shared" si="12"/>
        <v>0</v>
      </c>
    </row>
    <row r="48" spans="1:41">
      <c r="B48" s="153" t="str">
        <f t="shared" si="13"/>
        <v>A/R7</v>
      </c>
      <c r="C48" s="90"/>
      <c r="D48" s="411">
        <v>0</v>
      </c>
      <c r="E48" s="960">
        <v>0</v>
      </c>
      <c r="F48" s="684" t="s">
        <v>356</v>
      </c>
      <c r="G48" s="724">
        <v>0</v>
      </c>
      <c r="H48" s="694" t="s">
        <v>356</v>
      </c>
      <c r="I48" s="151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36">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488">
        <f>IF($I33&gt;0,$E48*$I33,$E48*$H33)*44/12</f>
        <v>0</v>
      </c>
      <c r="L48" s="1489">
        <f>IF($I33&gt;0,$G48*$I33,$G48*$H33)*44/12</f>
        <v>0</v>
      </c>
      <c r="M48" s="1492">
        <f>-L33*(IF(F48="immediate",E48*MIN(20,time_tot),E48*IF(time_tot&gt;time+20,20,IF(time_tot&lt;20,(time*VLOOKUP(F48,List!$E$35:$F$37,2,))+(time_tot-time),((MIN(20,time)*VLOOKUP(F48,List!$E$35:$F$37,2,))+(time_tot-MIN(20,time))-IF(F48="exponential",time_tot-20+0.217*time*(EXP(4.606*(20-time_tot)/time)-1),((time_tot-20)^2)*(0.5/time)))))))</f>
        <v>0</v>
      </c>
      <c r="N48" s="1489">
        <f>-L33*(IF(H48="immediate",G48*MIN(20,time_tot),G48*IF(time_tot&gt;time+20,20,IF(time_tot&lt;20,(time*VLOOKUP(H48,List!$E$35:$F$37,2,))+(time_tot-time),((MIN(20,time)*VLOOKUP(H48,List!$E$35:$F$37,2,))+(time_tot-MIN(20,time))-IF(H48="exponential",time_tot-20+0.217*time*(EXP(4.606*(20-time_tot)/time)-1),((time_tot-20)^2)*(0.5/time)))))))</f>
        <v>0</v>
      </c>
      <c r="O48" s="1507">
        <f>IF(G33="yes",E48*O33,0)</f>
        <v>0</v>
      </c>
      <c r="P48" s="1469">
        <f>IF(G33="yes",G48*O33,0)</f>
        <v>0</v>
      </c>
      <c r="Q48" s="1492">
        <f t="shared" si="9"/>
        <v>0</v>
      </c>
      <c r="R48" s="1489">
        <f t="shared" si="10"/>
        <v>0</v>
      </c>
      <c r="S48" s="284">
        <f t="shared" si="8"/>
        <v>0</v>
      </c>
      <c r="AA48" s="1951">
        <f t="shared" si="11"/>
        <v>0</v>
      </c>
      <c r="AB48" s="1951">
        <f t="shared" si="12"/>
        <v>0</v>
      </c>
    </row>
    <row r="49" spans="2:28">
      <c r="B49" s="153" t="str">
        <f t="shared" si="13"/>
        <v>A/R8</v>
      </c>
      <c r="C49" s="90"/>
      <c r="D49" s="411">
        <v>0</v>
      </c>
      <c r="E49" s="960">
        <v>0</v>
      </c>
      <c r="F49" s="684" t="s">
        <v>356</v>
      </c>
      <c r="G49" s="724">
        <v>0</v>
      </c>
      <c r="H49" s="694" t="s">
        <v>356</v>
      </c>
      <c r="I49" s="1515">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36">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488">
        <f>IF($I34&gt;0,$E49*$I34,$E49*$H34)*44/12</f>
        <v>0</v>
      </c>
      <c r="L49" s="1489">
        <f>IF($I34&gt;0,$G49*$I34,$G49*$H34)*44/12</f>
        <v>0</v>
      </c>
      <c r="M49" s="1492">
        <f>-L34*(IF(F49="immediate",E49*MIN(20,time_tot),E49*IF(time_tot&gt;time+20,20,IF(time_tot&lt;20,(time*VLOOKUP(F49,List!$E$35:$F$37,2,))+(time_tot-time),((MIN(20,time)*VLOOKUP(F49,List!$E$35:$F$37,2,))+(time_tot-MIN(20,time))-IF(F49="exponential",time_tot-20+0.217*time*(EXP(4.606*(20-time_tot)/time)-1),((time_tot-20)^2)*(0.5/time)))))))</f>
        <v>0</v>
      </c>
      <c r="N49" s="1489">
        <f>-L34*(IF(H49="immediate",G49*MIN(20,time_tot),G49*IF(time_tot&gt;time+20,20,IF(time_tot&lt;20,(time*VLOOKUP(H49,List!$E$35:$F$37,2,))+(time_tot-time),((MIN(20,time)*VLOOKUP(H49,List!$E$35:$F$37,2,))+(time_tot-MIN(20,time))-IF(H49="exponential",time_tot-20+0.217*time*(EXP(4.606*(20-time_tot)/time)-1),((time_tot-20)^2)*(0.5/time)))))))</f>
        <v>0</v>
      </c>
      <c r="O49" s="1507">
        <f>IF(G34="yes",E49*O34,0)</f>
        <v>0</v>
      </c>
      <c r="P49" s="1469">
        <f>IF(G34="yes",G49*O34,0)</f>
        <v>0</v>
      </c>
      <c r="Q49" s="1492">
        <f t="shared" si="9"/>
        <v>0</v>
      </c>
      <c r="R49" s="1489">
        <f t="shared" si="10"/>
        <v>0</v>
      </c>
      <c r="S49" s="284">
        <f t="shared" si="8"/>
        <v>0</v>
      </c>
      <c r="AA49" s="1951">
        <f t="shared" si="11"/>
        <v>0</v>
      </c>
      <c r="AB49" s="1951">
        <f t="shared" si="12"/>
        <v>0</v>
      </c>
    </row>
    <row r="50" spans="2:28">
      <c r="B50" s="153" t="str">
        <f t="shared" si="13"/>
        <v>A/R9</v>
      </c>
      <c r="C50" s="90"/>
      <c r="D50" s="411">
        <v>0</v>
      </c>
      <c r="E50" s="960">
        <v>0</v>
      </c>
      <c r="F50" s="684" t="s">
        <v>356</v>
      </c>
      <c r="G50" s="724">
        <v>0</v>
      </c>
      <c r="H50" s="694" t="s">
        <v>356</v>
      </c>
      <c r="I50" s="1515">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36">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488">
        <f>IF($I35&gt;0,$E50*$I35,$E50*$H35)*44/12</f>
        <v>0</v>
      </c>
      <c r="L50" s="1489">
        <f>IF($I35&gt;0,$G50*$I35,$G50*$H35)*44/12</f>
        <v>0</v>
      </c>
      <c r="M50" s="1492">
        <f>-L35*(IF(F50="immediate",E50*MIN(20,time_tot),E50*IF(time_tot&gt;time+20,20,IF(time_tot&lt;20,(time*VLOOKUP(F50,List!$E$35:$F$37,2,))+(time_tot-time),((MIN(20,time)*VLOOKUP(F50,List!$E$35:$F$37,2,))+(time_tot-MIN(20,time))-IF(F50="exponential",time_tot-20+0.217*time*(EXP(4.606*(20-time_tot)/time)-1),((time_tot-20)^2)*(0.5/time)))))))</f>
        <v>0</v>
      </c>
      <c r="N50" s="1489">
        <f>-L35*(IF(H50="immediate",G50*MIN(20,time_tot),G50*IF(time_tot&gt;time+20,20,IF(time_tot&lt;20,(time*VLOOKUP(H50,List!$E$35:$F$37,2,))+(time_tot-time),((MIN(20,time)*VLOOKUP(H50,List!$E$35:$F$37,2,))+(time_tot-MIN(20,time))-IF(H50="exponential",time_tot-20+0.217*time*(EXP(4.606*(20-time_tot)/time)-1),((time_tot-20)^2)*(0.5/time)))))))</f>
        <v>0</v>
      </c>
      <c r="O50" s="1507">
        <f>IF(G35="yes",E50*O35,0)</f>
        <v>0</v>
      </c>
      <c r="P50" s="1469">
        <f>IF(G35="yes",G50*O35,0)</f>
        <v>0</v>
      </c>
      <c r="Q50" s="1492">
        <f t="shared" si="9"/>
        <v>0</v>
      </c>
      <c r="R50" s="1489">
        <f t="shared" si="10"/>
        <v>0</v>
      </c>
      <c r="S50" s="284">
        <f t="shared" si="8"/>
        <v>0</v>
      </c>
      <c r="AA50" s="1951">
        <f t="shared" si="11"/>
        <v>0</v>
      </c>
      <c r="AB50" s="1951">
        <f t="shared" si="12"/>
        <v>0</v>
      </c>
    </row>
    <row r="51" spans="2:28" ht="13.8" thickBot="1">
      <c r="B51" s="154" t="str">
        <f t="shared" si="13"/>
        <v>A/R10</v>
      </c>
      <c r="C51" s="93"/>
      <c r="D51" s="415">
        <v>0</v>
      </c>
      <c r="E51" s="961">
        <v>0</v>
      </c>
      <c r="F51" s="686" t="s">
        <v>356</v>
      </c>
      <c r="G51" s="723">
        <v>0</v>
      </c>
      <c r="H51" s="695" t="s">
        <v>356</v>
      </c>
      <c r="I51" s="1516">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37">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90">
        <f>IF($I36&gt;0,$E51*$I36,$E51*$H36)*44/12</f>
        <v>0</v>
      </c>
      <c r="L51" s="1491">
        <f>IF($I36&gt;0,$G51*$I36,$G51*$H36)*44/12</f>
        <v>0</v>
      </c>
      <c r="M51" s="1493">
        <f>-L36*(IF(F51="immediate",E51*MIN(20,time_tot),E51*IF(time_tot&gt;time+20,20,IF(time_tot&lt;20,(time*VLOOKUP(F51,List!$E$35:$F$37,2,))+(time_tot-time),((MIN(20,time)*VLOOKUP(F51,List!$E$35:$F$37,2,))+(time_tot-MIN(20,time))-IF(F51="exponential",time_tot-20+0.217*time*(EXP(4.606*(20-time_tot)/time)-1),((time_tot-20)^2)*(0.5/time)))))))</f>
        <v>0</v>
      </c>
      <c r="N51" s="1491">
        <f>-L36*(IF(H51="immediate",G51*MIN(20,time_tot),G51*IF(time_tot&gt;time+20,20,IF(time_tot&lt;20,(time*VLOOKUP(H51,List!$E$35:$F$37,2,))+(time_tot-time),((MIN(20,time)*VLOOKUP(H51,List!$E$35:$F$37,2,))+(time_tot-MIN(20,time))-IF(H51="exponential",time_tot-20+0.217*time*(EXP(4.606*(20-time_tot)/time)-1),((time_tot-20)^2)*(0.5/time)))))))</f>
        <v>0</v>
      </c>
      <c r="O51" s="1508">
        <f>IF(G36="yes",E51*O36,0)</f>
        <v>0</v>
      </c>
      <c r="P51" s="1393">
        <f>IF(G36="yes",G51*O36,0)</f>
        <v>0</v>
      </c>
      <c r="Q51" s="1493">
        <f t="shared" si="9"/>
        <v>0</v>
      </c>
      <c r="R51" s="1491">
        <f t="shared" si="10"/>
        <v>0</v>
      </c>
      <c r="S51" s="285">
        <f t="shared" si="8"/>
        <v>0</v>
      </c>
      <c r="AA51" s="1951">
        <f t="shared" si="11"/>
        <v>0</v>
      </c>
      <c r="AB51" s="1951">
        <f t="shared" si="12"/>
        <v>0</v>
      </c>
    </row>
    <row r="52" spans="2:28" ht="13.8" thickBot="1">
      <c r="I52" s="15"/>
      <c r="J52" s="1"/>
      <c r="P52" s="9"/>
      <c r="R52" s="1"/>
      <c r="S52" s="234"/>
    </row>
    <row r="53" spans="2:28" ht="13.8" thickBot="1">
      <c r="I53" s="1"/>
      <c r="J53" s="1"/>
      <c r="N53" s="155" t="s">
        <v>134</v>
      </c>
      <c r="O53" s="156"/>
      <c r="P53" s="157"/>
      <c r="Q53" s="158">
        <f>SUM(Q42:Q51)</f>
        <v>0</v>
      </c>
      <c r="R53" s="159">
        <f>SUM(R42:R51)</f>
        <v>0</v>
      </c>
      <c r="S53" s="934">
        <f>R53-Q53</f>
        <v>0</v>
      </c>
      <c r="AA53" s="1951">
        <f>SUM(AA42:AA51)</f>
        <v>0</v>
      </c>
      <c r="AB53" s="1951">
        <f>SUM(AB42:AB51)</f>
        <v>0</v>
      </c>
    </row>
    <row r="54" spans="2:28">
      <c r="B54" s="199" t="s">
        <v>1116</v>
      </c>
      <c r="C54" s="403"/>
      <c r="D54" s="403"/>
      <c r="E54" s="403"/>
      <c r="F54" s="403"/>
      <c r="G54" s="403"/>
      <c r="H54" s="403"/>
      <c r="I54" s="404"/>
      <c r="J54" s="404"/>
      <c r="K54" s="26" t="str">
        <f>IF(Matrix!E11&gt;0, "Annual-System A2",IF(Matrix!E28&gt;0,"Annual-System A2",""))</f>
        <v/>
      </c>
      <c r="S54" s="924"/>
      <c r="T54" s="924"/>
      <c r="W54" s="1086"/>
      <c r="X54" s="1086"/>
    </row>
    <row r="55" spans="2:28">
      <c r="K55" s="26" t="str">
        <f>IF(Matrix!E12&gt;0,"Perennial-System P2",IF(Matrix!E29&gt;0,"Perennial-System P2",""))</f>
        <v/>
      </c>
    </row>
    <row r="56" spans="2:28">
      <c r="K56" s="26" t="str">
        <f>IF(Matrix!E13&gt;0,"Rice Sytem R2",IF(Matrix!E30&gt;0,"Rice System R2",""))</f>
        <v/>
      </c>
    </row>
    <row r="57" spans="2:28">
      <c r="K57" s="26" t="str">
        <f>IF(Matrix!E14&gt;0,"Grassland-System G2",IF(Matrix!E31&gt;0,"Grassland-System G2",""))</f>
        <v/>
      </c>
    </row>
  </sheetData>
  <sheetProtection formatCells="0" formatColumns="0" formatRows="0"/>
  <mergeCells count="10">
    <mergeCell ref="B10:B13"/>
    <mergeCell ref="B14:B17"/>
    <mergeCell ref="AE23:AI23"/>
    <mergeCell ref="H26:I26"/>
    <mergeCell ref="I39:J39"/>
    <mergeCell ref="D39:H39"/>
    <mergeCell ref="E33:F33"/>
    <mergeCell ref="E34:F34"/>
    <mergeCell ref="E35:F35"/>
    <mergeCell ref="E36:F36"/>
  </mergeCells>
  <phoneticPr fontId="11" type="noConversion"/>
  <dataValidations count="4">
    <dataValidation type="list" allowBlank="1" showInputMessage="1" showErrorMessage="1" sqref="F42:F51 H42:H51">
      <formula1>Rate</formula1>
    </dataValidation>
    <dataValidation type="list" allowBlank="1" showInputMessage="1" showErrorMessage="1" sqref="E33:E36">
      <formula1>prevuse</formula1>
    </dataValidation>
    <dataValidation type="list" allowBlank="1" showInputMessage="1" showErrorMessage="1" sqref="G27:G36">
      <formula1>YES_NO</formula1>
    </dataValidation>
    <dataValidation type="decimal" operator="greaterThanOrEqual" allowBlank="1" showInputMessage="1" showErrorMessage="1" sqref="I19:I22 E42:E51 M19:M22 O19:O22 Q19:S22 I27:I36 K19:K22 G42:G51">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19:N21 M14:M17 L19:L21 O10:O13 O14:O17 K14:K17 M10:M13" formula="1"/>
    <ignoredError sqref="K19 K20:K21" formula="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1"/>
    <pageSetUpPr fitToPage="1"/>
  </sheetPr>
  <dimension ref="A1:AI183"/>
  <sheetViews>
    <sheetView zoomScaleNormal="100" workbookViewId="0">
      <selection activeCell="N14" sqref="N14"/>
    </sheetView>
  </sheetViews>
  <sheetFormatPr baseColWidth="10" defaultColWidth="11.44140625" defaultRowHeight="13.2"/>
  <cols>
    <col min="1" max="1" width="4.88671875" style="233" customWidth="1"/>
    <col min="2" max="2" width="15.109375" style="233" customWidth="1"/>
    <col min="3" max="3" width="42.88671875" style="233" customWidth="1"/>
    <col min="4" max="7" width="14.5546875" style="233" customWidth="1"/>
    <col min="8" max="8" width="10.6640625" style="233" customWidth="1"/>
    <col min="9" max="9" width="10.109375" style="233" customWidth="1"/>
    <col min="10" max="10" width="11.33203125" style="233" customWidth="1"/>
    <col min="11" max="15" width="10.6640625" style="234" customWidth="1"/>
    <col min="16" max="16" width="12.33203125" style="234" customWidth="1"/>
    <col min="17" max="18" width="11.6640625" style="234" customWidth="1"/>
    <col min="19" max="19" width="8.5546875" style="234" customWidth="1"/>
    <col min="20" max="20" width="11.44140625" style="234"/>
    <col min="21" max="21" width="14.6640625" style="234" customWidth="1"/>
    <col min="22" max="22" width="6" style="233" customWidth="1"/>
    <col min="23" max="23" width="10.44140625" style="232" customWidth="1"/>
    <col min="24" max="24" width="1.88671875" style="244" customWidth="1"/>
    <col min="25" max="25" width="5.44140625" style="1245" customWidth="1"/>
    <col min="26" max="26" width="6" style="801" customWidth="1"/>
    <col min="27" max="27" width="11.44140625" style="801"/>
    <col min="28" max="35" width="11.44140625" style="1089"/>
    <col min="36" max="16384" width="11.44140625" style="233"/>
  </cols>
  <sheetData>
    <row r="1" spans="1:35" s="1678" customFormat="1" ht="22.95" customHeight="1">
      <c r="K1" s="1682"/>
      <c r="L1" s="1682"/>
      <c r="M1" s="1682"/>
      <c r="N1" s="1682"/>
      <c r="O1" s="1682"/>
      <c r="P1" s="1682"/>
      <c r="Q1" s="1682"/>
      <c r="R1" s="1682"/>
      <c r="S1" s="1682"/>
      <c r="T1" s="1682"/>
      <c r="U1" s="1682"/>
      <c r="W1" s="1729"/>
      <c r="X1" s="1730"/>
      <c r="Y1" s="1723"/>
      <c r="Z1" s="1724"/>
      <c r="AA1" s="1724"/>
      <c r="AB1" s="1725"/>
      <c r="AC1" s="1725"/>
      <c r="AD1" s="1725"/>
      <c r="AE1" s="1725"/>
      <c r="AF1" s="1725"/>
      <c r="AG1" s="1725"/>
      <c r="AH1" s="1725"/>
      <c r="AI1" s="1725"/>
    </row>
    <row r="2" spans="1:35" s="1678" customFormat="1" ht="22.95" customHeight="1">
      <c r="K2" s="1682"/>
      <c r="L2" s="1682"/>
      <c r="M2" s="1682"/>
      <c r="N2" s="1682"/>
      <c r="O2" s="1682"/>
      <c r="P2" s="1682"/>
      <c r="Q2" s="1682"/>
      <c r="R2" s="1682"/>
      <c r="S2" s="1682"/>
      <c r="T2" s="1682"/>
      <c r="U2" s="1682"/>
      <c r="W2" s="1729"/>
      <c r="X2" s="1730"/>
      <c r="Y2" s="1723"/>
      <c r="Z2" s="1724"/>
      <c r="AA2" s="1724"/>
      <c r="AB2" s="1725"/>
      <c r="AC2" s="1725"/>
      <c r="AD2" s="1725"/>
      <c r="AE2" s="1725"/>
      <c r="AF2" s="1725"/>
      <c r="AG2" s="1725"/>
      <c r="AH2" s="1725"/>
      <c r="AI2" s="1725"/>
    </row>
    <row r="3" spans="1:35" s="1678" customFormat="1" ht="22.95" customHeight="1">
      <c r="K3" s="1682"/>
      <c r="L3" s="1682"/>
      <c r="M3" s="1682"/>
      <c r="N3" s="1682"/>
      <c r="O3" s="1682"/>
      <c r="P3" s="1682"/>
      <c r="Q3" s="1682"/>
      <c r="R3" s="1682"/>
      <c r="S3" s="1682"/>
      <c r="T3" s="1682"/>
      <c r="U3" s="1682"/>
      <c r="W3" s="1729"/>
      <c r="X3" s="1730"/>
      <c r="Y3" s="1723"/>
      <c r="Z3" s="1724"/>
      <c r="AA3" s="1724"/>
      <c r="AB3" s="1725"/>
      <c r="AC3" s="1725"/>
      <c r="AD3" s="1725"/>
      <c r="AE3" s="1725"/>
      <c r="AF3" s="1725"/>
      <c r="AG3" s="1725"/>
      <c r="AH3" s="1725"/>
      <c r="AI3" s="1725"/>
    </row>
    <row r="4" spans="1:35" s="1678" customFormat="1" ht="22.95" customHeight="1">
      <c r="K4" s="1682"/>
      <c r="L4" s="1682"/>
      <c r="M4" s="1682"/>
      <c r="N4" s="1682"/>
      <c r="O4" s="1682"/>
      <c r="P4" s="1682"/>
      <c r="Q4" s="1682"/>
      <c r="R4" s="1682"/>
      <c r="S4" s="1682"/>
      <c r="T4" s="1682"/>
      <c r="U4" s="1682"/>
      <c r="W4" s="1729"/>
      <c r="X4" s="1730"/>
      <c r="Y4" s="1723"/>
      <c r="Z4" s="1724"/>
      <c r="AA4" s="1724"/>
      <c r="AB4" s="1725"/>
      <c r="AC4" s="1725"/>
      <c r="AD4" s="1725"/>
      <c r="AE4" s="1725"/>
      <c r="AF4" s="1725"/>
      <c r="AG4" s="1725"/>
      <c r="AH4" s="1725"/>
      <c r="AI4" s="1725"/>
    </row>
    <row r="5" spans="1:35" s="1678" customFormat="1" ht="22.95" customHeight="1">
      <c r="A5" s="1715" t="s">
        <v>1202</v>
      </c>
      <c r="B5" s="1715"/>
      <c r="C5" s="1715"/>
      <c r="D5" s="1679"/>
      <c r="H5" s="3095" t="s">
        <v>479</v>
      </c>
      <c r="I5" s="3095"/>
      <c r="K5" s="1682"/>
      <c r="L5" s="1682"/>
      <c r="M5" s="1682"/>
      <c r="N5" s="1682"/>
      <c r="O5" s="1682"/>
      <c r="P5" s="1682"/>
      <c r="Q5" s="1682"/>
      <c r="R5" s="1682"/>
      <c r="S5" s="1682"/>
      <c r="T5" s="1682"/>
      <c r="U5" s="1682"/>
      <c r="W5" s="1729"/>
      <c r="X5" s="1730"/>
      <c r="Y5" s="1723"/>
      <c r="Z5" s="1724"/>
      <c r="AA5" s="1724"/>
      <c r="AB5" s="1725"/>
      <c r="AC5" s="1725"/>
      <c r="AD5" s="1725"/>
      <c r="AE5" s="1725"/>
      <c r="AF5" s="1725"/>
      <c r="AG5" s="1725"/>
      <c r="AH5" s="1725"/>
      <c r="AI5" s="1725"/>
    </row>
    <row r="6" spans="1:35">
      <c r="A6" s="241"/>
      <c r="B6" s="241"/>
      <c r="C6" s="241"/>
      <c r="D6" s="241"/>
      <c r="E6" s="240"/>
      <c r="F6" s="240"/>
      <c r="G6" s="240"/>
      <c r="H6" s="696"/>
      <c r="I6" s="240"/>
      <c r="J6" s="240"/>
      <c r="L6" s="242"/>
      <c r="M6" s="242"/>
      <c r="N6" s="242"/>
      <c r="T6" s="2467"/>
      <c r="U6" s="2473"/>
      <c r="V6" s="2480"/>
      <c r="W6" s="2480"/>
      <c r="X6" s="2473"/>
      <c r="Y6" s="2473"/>
      <c r="Z6" s="2473"/>
      <c r="AA6" s="2467"/>
      <c r="AB6" s="2460"/>
      <c r="AC6" s="2460"/>
      <c r="AD6" s="2460"/>
      <c r="AE6" s="2460"/>
      <c r="AF6" s="2460"/>
      <c r="AG6" s="2460"/>
      <c r="AH6" s="2460"/>
    </row>
    <row r="7" spans="1:35">
      <c r="A7" s="241"/>
      <c r="B7" s="236"/>
      <c r="C7" s="697"/>
      <c r="D7" s="235" t="s">
        <v>1214</v>
      </c>
      <c r="E7" s="698"/>
      <c r="F7" s="698"/>
      <c r="G7" s="698"/>
      <c r="H7" s="699"/>
      <c r="I7" s="700"/>
      <c r="J7" s="346" t="s">
        <v>1007</v>
      </c>
      <c r="K7" s="701" t="s">
        <v>1212</v>
      </c>
      <c r="L7" s="546"/>
      <c r="M7" s="546"/>
      <c r="N7" s="550"/>
      <c r="O7" s="629" t="s">
        <v>1213</v>
      </c>
      <c r="P7" s="561"/>
      <c r="Q7" s="1037" t="s">
        <v>46</v>
      </c>
      <c r="R7" s="562"/>
      <c r="S7" s="242"/>
      <c r="T7" s="2467"/>
      <c r="U7" s="2473"/>
      <c r="V7" s="2480"/>
      <c r="W7" s="2460"/>
      <c r="X7" s="2467"/>
      <c r="Y7" s="2473"/>
      <c r="Z7" s="2473"/>
      <c r="AA7" s="1922" t="s">
        <v>57</v>
      </c>
      <c r="AB7" s="2460"/>
      <c r="AC7" s="2480"/>
      <c r="AD7" s="2473"/>
      <c r="AE7" s="2460"/>
      <c r="AF7" s="2460"/>
      <c r="AG7" s="2460"/>
      <c r="AH7" s="2460"/>
    </row>
    <row r="8" spans="1:35" ht="13.8" thickBot="1">
      <c r="A8" s="241"/>
      <c r="B8" s="542" t="s">
        <v>1144</v>
      </c>
      <c r="C8" s="553" t="s">
        <v>1233</v>
      </c>
      <c r="D8" s="236" t="s">
        <v>1203</v>
      </c>
      <c r="E8" s="237"/>
      <c r="F8" s="236" t="s">
        <v>1204</v>
      </c>
      <c r="G8" s="237"/>
      <c r="H8" s="235" t="s">
        <v>1263</v>
      </c>
      <c r="I8" s="700"/>
      <c r="J8" s="128" t="s">
        <v>1008</v>
      </c>
      <c r="K8" s="1237" t="s">
        <v>1209</v>
      </c>
      <c r="L8" s="751" t="s">
        <v>1210</v>
      </c>
      <c r="M8" s="751" t="s">
        <v>1208</v>
      </c>
      <c r="N8" s="1238" t="s">
        <v>1211</v>
      </c>
      <c r="O8" s="1035" t="s">
        <v>550</v>
      </c>
      <c r="P8" s="1036" t="s">
        <v>1215</v>
      </c>
      <c r="Q8" s="544" t="s">
        <v>44</v>
      </c>
      <c r="R8" s="548" t="s">
        <v>45</v>
      </c>
      <c r="S8" s="434"/>
      <c r="T8" s="2467"/>
      <c r="U8" s="2473"/>
      <c r="V8" s="2480"/>
      <c r="W8" s="2473"/>
      <c r="X8" s="2880"/>
      <c r="Y8" s="2880"/>
      <c r="Z8" s="2880"/>
      <c r="AA8" s="1922" t="s">
        <v>55</v>
      </c>
      <c r="AB8" s="2460"/>
      <c r="AC8" s="2480"/>
      <c r="AD8" s="2473"/>
      <c r="AE8" s="2460"/>
      <c r="AF8" s="2460"/>
      <c r="AG8" s="2460"/>
      <c r="AH8" s="2460"/>
    </row>
    <row r="9" spans="1:35" ht="13.8" thickBot="1">
      <c r="A9" s="240"/>
      <c r="B9" s="269" t="s">
        <v>1217</v>
      </c>
      <c r="C9" s="1009"/>
      <c r="D9" s="1836" t="str">
        <f>'2.LUC'!D45</f>
        <v>Select Initial Land Use</v>
      </c>
      <c r="E9" s="1836"/>
      <c r="F9" s="1838" t="str">
        <f>'2.LUC'!G45</f>
        <v>Select Final Land Use</v>
      </c>
      <c r="G9" s="1838"/>
      <c r="H9" s="1013" t="str">
        <f>IF(LEFT(D9,6)="Select","Fill initial LU",IF(LEFT(F9,6)="Select","Fill final LU",IF(LEFT(D9,7)=LEFT(F9,7),"Final=Initial: Check!","")))</f>
        <v>Fill initial LU</v>
      </c>
      <c r="I9" s="270"/>
      <c r="J9" s="1840" t="str">
        <f>'2.LUC'!K45</f>
        <v>NO</v>
      </c>
      <c r="K9" s="3033">
        <f>IF('2.LUC'!H195="",'2.LUC'!G195,'2.LUC'!H195)</f>
        <v>0</v>
      </c>
      <c r="L9" s="3033">
        <f>IF('2.LUC'!R195="",'2.LUC'!Q195,'2.LUC'!R195)</f>
        <v>0</v>
      </c>
      <c r="M9" s="3033">
        <f>IF('2.LUC'!J195="",'2.LUC'!I195,'2.LUC'!J195)</f>
        <v>0</v>
      </c>
      <c r="N9" s="3034">
        <f>IF('2.LUC'!T195="",'2.LUC'!S195,'2.LUC'!T195)</f>
        <v>0</v>
      </c>
      <c r="O9" s="1844">
        <f>IF($H9&lt;&gt;"",0,(L9-K9)*44/12)</f>
        <v>0</v>
      </c>
      <c r="P9" s="1844">
        <f>IF($H9&lt;&gt;"",0,(44/12)*(N9-M9)/20)</f>
        <v>0</v>
      </c>
      <c r="Q9" s="1014">
        <f>IF(J9="yes",K9*2.5*VLOOKUP(D9,' IPCC'!$A$322:$B$331,2,)*VLOOKUP(D9,' IPCC'!$A$322:$E$331,4,),0)</f>
        <v>0</v>
      </c>
      <c r="R9" s="1015">
        <f>IF(J9="yes",K9*2.5*VLOOKUP(D9,' IPCC'!$A$322:$B$331,2,)*VLOOKUP(D9,' IPCC'!$A$322:$E$331,5,),0)</f>
        <v>0</v>
      </c>
      <c r="S9" s="242"/>
      <c r="T9" s="2467"/>
      <c r="U9" s="2473"/>
      <c r="V9" s="2480"/>
      <c r="W9" s="2473"/>
      <c r="X9" s="2473"/>
      <c r="Y9" s="2473"/>
      <c r="Z9" s="2473"/>
      <c r="AA9" s="2460" t="s">
        <v>56</v>
      </c>
      <c r="AB9" s="2460" t="s">
        <v>691</v>
      </c>
      <c r="AC9" s="2480"/>
      <c r="AD9" s="2473"/>
      <c r="AE9" s="2460"/>
      <c r="AF9" s="2460"/>
      <c r="AG9" s="2460"/>
      <c r="AH9" s="2460"/>
    </row>
    <row r="10" spans="1:35" ht="13.8" thickBot="1">
      <c r="A10" s="240"/>
      <c r="B10" s="271" t="s">
        <v>1218</v>
      </c>
      <c r="C10" s="766"/>
      <c r="D10" s="1836" t="str">
        <f>'2.LUC'!D46</f>
        <v>Select Initial Land Use</v>
      </c>
      <c r="E10" s="1837"/>
      <c r="F10" s="1838" t="str">
        <f>'2.LUC'!G46</f>
        <v>Select Final Land Use</v>
      </c>
      <c r="G10" s="1839"/>
      <c r="H10" s="702" t="str">
        <f t="shared" ref="H10:H24" si="0">IF(LEFT(D10,6)="Select","Fill initial LU",IF(LEFT(F10,6)="Select","Fill final LU",IF(LEFT(D10,7)=LEFT(F10,7),"Final=Initial: Check!","")))</f>
        <v>Fill initial LU</v>
      </c>
      <c r="I10" s="781"/>
      <c r="J10" s="1840" t="str">
        <f>'2.LUC'!K46</f>
        <v>NO</v>
      </c>
      <c r="K10" s="3033">
        <f>IF('2.LUC'!H196="",'2.LUC'!G196,'2.LUC'!H196)</f>
        <v>0</v>
      </c>
      <c r="L10" s="3033">
        <f>IF('2.LUC'!R196="",'2.LUC'!Q196,'2.LUC'!R196)</f>
        <v>0</v>
      </c>
      <c r="M10" s="3033">
        <f>IF('2.LUC'!J196="",'2.LUC'!I196,'2.LUC'!J196)</f>
        <v>0</v>
      </c>
      <c r="N10" s="3034">
        <f>IF('2.LUC'!T196="",'2.LUC'!S196,'2.LUC'!T196)</f>
        <v>0</v>
      </c>
      <c r="O10" s="1844">
        <f t="shared" ref="O10:O24" si="1">IF($H10&lt;&gt;"",0,(L10-K10)*44/12)</f>
        <v>0</v>
      </c>
      <c r="P10" s="1844">
        <f t="shared" ref="P10:P24" si="2">IF($H10&lt;&gt;"",0,(44/12)*(N10-M10)/20)</f>
        <v>0</v>
      </c>
      <c r="Q10" s="704">
        <f>IF(J10="yes",K10*2.5*VLOOKUP(D10,' IPCC'!$A$322:$B$331,2,)*VLOOKUP(D10,' IPCC'!$A$322:$E$331,4,),0)</f>
        <v>0</v>
      </c>
      <c r="R10" s="706">
        <f>IF(J10="yes",K10*2.5*VLOOKUP(D10,' IPCC'!$A$322:$B$331,2,)*VLOOKUP(D10,' IPCC'!$A$322:$E$331,5,),0)</f>
        <v>0</v>
      </c>
      <c r="S10" s="242"/>
      <c r="T10" s="2467"/>
      <c r="U10" s="2473"/>
      <c r="V10" s="2480"/>
      <c r="W10" s="2473"/>
      <c r="X10" s="2880"/>
      <c r="Y10" s="2880"/>
      <c r="Z10" s="2880"/>
      <c r="AA10" s="1964">
        <f>-P9*(IF(E31="immediate",IF(D31&gt;0,D31*MIN(20,time),0),D31*IF(time&gt;time+20,20,IF(time&lt;20,(time*VLOOKUP(E31,List!$E$35:$F$37,2,))+(time-time),((MIN(20,time)*VLOOKUP(E31,List!$E$35:$F$37,2,))+(time-MIN(20,time))-IF(E31="exponential",time-20+0.217*time*(EXP(4.606*(20-time)/time)-1),((time-20)^2)*(0.5/time)))))))</f>
        <v>0</v>
      </c>
      <c r="AB10" s="1964">
        <f>-P9*(IF(G31="immediate",IF(F31&gt;0,F31*MIN(20,time),0),F31*IF(time&gt;time+20,20,IF(time&lt;20,(time*VLOOKUP(G31,List!$E$35:$F$37,2,))+(time-time),((MIN(20,time)*VLOOKUP(G31,List!$E$35:$F$37,2,))+(time-MIN(20,time))-IF(G31="exponential",time-20+0.217*time*(EXP(4.606*(20-time)/time)-1),((time_tot-20)^2)*(0.5/time)))))))</f>
        <v>0</v>
      </c>
      <c r="AC10" s="1965"/>
      <c r="AD10" s="1965" t="s">
        <v>28</v>
      </c>
      <c r="AE10" s="1965"/>
      <c r="AF10" s="1965"/>
      <c r="AG10" s="2460"/>
      <c r="AH10" s="2460"/>
    </row>
    <row r="11" spans="1:35" ht="12.75" customHeight="1" thickBot="1">
      <c r="A11" s="240"/>
      <c r="B11" s="271" t="s">
        <v>1219</v>
      </c>
      <c r="C11" s="766"/>
      <c r="D11" s="1836" t="str">
        <f>'2.LUC'!D47</f>
        <v>Select Initial Land Use</v>
      </c>
      <c r="E11" s="1837"/>
      <c r="F11" s="1838" t="str">
        <f>'2.LUC'!G47</f>
        <v>Select Final Land Use</v>
      </c>
      <c r="G11" s="1839"/>
      <c r="H11" s="702" t="str">
        <f t="shared" si="0"/>
        <v>Fill initial LU</v>
      </c>
      <c r="I11" s="267"/>
      <c r="J11" s="1840" t="str">
        <f>'2.LUC'!K47</f>
        <v>NO</v>
      </c>
      <c r="K11" s="3033">
        <f>IF('2.LUC'!H197="",'2.LUC'!G197,'2.LUC'!H197)</f>
        <v>0</v>
      </c>
      <c r="L11" s="3033">
        <f>IF('2.LUC'!R197="",'2.LUC'!Q197,'2.LUC'!R197)</f>
        <v>0</v>
      </c>
      <c r="M11" s="3033">
        <f>IF('2.LUC'!J197="",'2.LUC'!I197,'2.LUC'!J197)</f>
        <v>0</v>
      </c>
      <c r="N11" s="3034">
        <f>IF('2.LUC'!T197="",'2.LUC'!S197,'2.LUC'!T197)</f>
        <v>0</v>
      </c>
      <c r="O11" s="1844">
        <f t="shared" si="1"/>
        <v>0</v>
      </c>
      <c r="P11" s="1844">
        <f t="shared" si="2"/>
        <v>0</v>
      </c>
      <c r="Q11" s="704">
        <f>IF(J11="yes",K11*2.5*VLOOKUP(D11,' IPCC'!$A$322:$B$331,2,)*VLOOKUP(D11,' IPCC'!$A$322:$E$331,4,),0)</f>
        <v>0</v>
      </c>
      <c r="R11" s="706">
        <f>IF(J11="yes",K11*2.5*VLOOKUP(D11,' IPCC'!$A$322:$B$331,2,)*VLOOKUP(D11,' IPCC'!$A$322:$E$331,5,),0)</f>
        <v>0</v>
      </c>
      <c r="S11" s="242"/>
      <c r="T11" s="2467"/>
      <c r="U11" s="2473" t="s">
        <v>690</v>
      </c>
      <c r="V11" s="2480" t="s">
        <v>691</v>
      </c>
      <c r="W11" s="2473"/>
      <c r="X11" s="2473"/>
      <c r="Y11" s="2473"/>
      <c r="Z11" s="2473"/>
      <c r="AA11" s="1964">
        <f>-P10*(IF(E32="immediate",IF(D32&gt;0,D32*MIN(20,time),0),D32*IF(time&gt;time+20,20,IF(time&lt;20,(time*VLOOKUP(E32,List!$E$35:$F$37,2,))+(time-time),((MIN(20,time)*VLOOKUP(E32,List!$E$35:$F$37,2,))+(time-MIN(20,time))-IF(E32="exponential",time-20+0.217*time*(EXP(4.606*(20-time)/time)-1),((time-20)^2)*(0.5/time)))))))</f>
        <v>0</v>
      </c>
      <c r="AB11" s="1964">
        <f>-P10*(IF(G32="immediate",IF(F32&gt;0,F32*MIN(20,time),0),F32*IF(time&gt;time+20,20,IF(time&lt;20,(time*VLOOKUP(G32,List!$E$35:$F$37,2,))+(time-time),((MIN(20,time)*VLOOKUP(G32,List!$E$35:$F$37,2,))+(time-MIN(20,time))-IF(G32="exponential",time-20+0.217*time*(EXP(4.606*(20-time)/time)-1),((time_tot-20)^2)*(0.5/time)))))))</f>
        <v>0</v>
      </c>
      <c r="AC11" s="1965" t="s">
        <v>25</v>
      </c>
      <c r="AD11" s="1965" t="s">
        <v>531</v>
      </c>
      <c r="AE11" s="1965" t="s">
        <v>37</v>
      </c>
      <c r="AF11" s="1965" t="s">
        <v>38</v>
      </c>
      <c r="AG11" s="2460"/>
      <c r="AH11" s="2460"/>
    </row>
    <row r="12" spans="1:35" ht="13.8" thickBot="1">
      <c r="A12" s="240"/>
      <c r="B12" s="271" t="s">
        <v>1220</v>
      </c>
      <c r="C12" s="766"/>
      <c r="D12" s="1836" t="str">
        <f>'2.LUC'!D48</f>
        <v>Select Initial Land Use</v>
      </c>
      <c r="E12" s="1837"/>
      <c r="F12" s="1838" t="str">
        <f>'2.LUC'!G48</f>
        <v>Select Final Land Use</v>
      </c>
      <c r="G12" s="1839"/>
      <c r="H12" s="702" t="str">
        <f t="shared" si="0"/>
        <v>Fill initial LU</v>
      </c>
      <c r="I12" s="267"/>
      <c r="J12" s="1840" t="str">
        <f>'2.LUC'!K48</f>
        <v>NO</v>
      </c>
      <c r="K12" s="3033">
        <f>IF('2.LUC'!H198="",'2.LUC'!G198,'2.LUC'!H198)</f>
        <v>0</v>
      </c>
      <c r="L12" s="3033">
        <f>IF('2.LUC'!R198="",'2.LUC'!Q198,'2.LUC'!R198)</f>
        <v>0</v>
      </c>
      <c r="M12" s="3033">
        <f>IF('2.LUC'!J198="",'2.LUC'!I198,'2.LUC'!J198)</f>
        <v>0</v>
      </c>
      <c r="N12" s="3034">
        <f>IF('2.LUC'!T198="",'2.LUC'!S198,'2.LUC'!T198)</f>
        <v>0</v>
      </c>
      <c r="O12" s="1844">
        <f t="shared" si="1"/>
        <v>0</v>
      </c>
      <c r="P12" s="1844">
        <f t="shared" si="2"/>
        <v>0</v>
      </c>
      <c r="Q12" s="704">
        <f>IF(J12="yes",K12*2.5*VLOOKUP(D12,' IPCC'!$A$322:$B$331,2,)*VLOOKUP(D12,' IPCC'!$A$322:$E$331,4,),0)</f>
        <v>0</v>
      </c>
      <c r="R12" s="706">
        <f>IF(J12="yes",K12*2.5*VLOOKUP(D12,' IPCC'!$A$322:$B$331,2,)*VLOOKUP(D12,' IPCC'!$A$322:$E$331,5,),0)</f>
        <v>0</v>
      </c>
      <c r="S12" s="242"/>
      <c r="T12" s="1965" t="s">
        <v>26</v>
      </c>
      <c r="U12" s="2468">
        <f>SUM(H31:H46)</f>
        <v>0</v>
      </c>
      <c r="V12" s="2468">
        <f>SUM(I31:I46)</f>
        <v>0</v>
      </c>
      <c r="W12" s="2473"/>
      <c r="X12" s="2473"/>
      <c r="Y12" s="2473"/>
      <c r="Z12" s="2473"/>
      <c r="AA12" s="1964">
        <f>-P11*(IF(E33="immediate",IF(D33&gt;0,D33*MIN(20,time),0),D33*IF(time&gt;time+20,20,IF(time&lt;20,(time*VLOOKUP(E33,List!$E$35:$F$37,2,))+(time-time),((MIN(20,time)*VLOOKUP(E33,List!$E$35:$F$37,2,))+(time-MIN(20,time))-IF(E33="exponential",time-20+0.217*time*(EXP(4.606*(20-time)/time)-1),((time-20)^2)*(0.5/time)))))))</f>
        <v>0</v>
      </c>
      <c r="AB12" s="1964">
        <f>-P11*(IF(G33="immediate",IF(F33&gt;0,F33*MIN(20,time),0),F33*IF(time&gt;time+20,20,IF(time&lt;20,(time*VLOOKUP(G33,List!$E$35:$F$37,2,))+(time-time),((MIN(20,time)*VLOOKUP(G33,List!$E$35:$F$37,2,))+(time-MIN(20,time))-IF(G33="exponential",time-20+0.217*time*(EXP(4.606*(20-time)/time)-1),((time_tot-20)^2)*(0.5/time)))))))</f>
        <v>0</v>
      </c>
      <c r="AC12" s="1965" t="s">
        <v>26</v>
      </c>
      <c r="AD12" s="1965">
        <f>SUM(I31:I46)-SUM(H31:H46)</f>
        <v>0</v>
      </c>
      <c r="AE12" s="1965">
        <f>IF(time=0,0,AD12)</f>
        <v>0</v>
      </c>
      <c r="AF12" s="1965">
        <f>AD12-AE12</f>
        <v>0</v>
      </c>
      <c r="AG12" s="2460"/>
      <c r="AH12" s="2460"/>
    </row>
    <row r="13" spans="1:35" ht="13.8" thickBot="1">
      <c r="A13" s="240"/>
      <c r="B13" s="271" t="s">
        <v>1221</v>
      </c>
      <c r="C13" s="766"/>
      <c r="D13" s="1836" t="str">
        <f>'2.LUC'!D49</f>
        <v>Select Initial Land Use</v>
      </c>
      <c r="E13" s="1837"/>
      <c r="F13" s="1838" t="str">
        <f>'2.LUC'!G49</f>
        <v>Select Final Land Use</v>
      </c>
      <c r="G13" s="1839"/>
      <c r="H13" s="702" t="str">
        <f t="shared" si="0"/>
        <v>Fill initial LU</v>
      </c>
      <c r="I13" s="267"/>
      <c r="J13" s="1840" t="str">
        <f>'2.LUC'!K49</f>
        <v>NO</v>
      </c>
      <c r="K13" s="3033">
        <f>IF('2.LUC'!H199="",'2.LUC'!G199,'2.LUC'!H199)</f>
        <v>0</v>
      </c>
      <c r="L13" s="3033">
        <f>IF('2.LUC'!R199="",'2.LUC'!Q199,'2.LUC'!R199)</f>
        <v>0</v>
      </c>
      <c r="M13" s="3033">
        <f>IF('2.LUC'!J199="",'2.LUC'!I199,'2.LUC'!J199)</f>
        <v>0</v>
      </c>
      <c r="N13" s="3034">
        <f>IF('2.LUC'!T199="",'2.LUC'!S199,'2.LUC'!T199)</f>
        <v>0</v>
      </c>
      <c r="O13" s="1844">
        <f t="shared" si="1"/>
        <v>0</v>
      </c>
      <c r="P13" s="1844">
        <f t="shared" si="2"/>
        <v>0</v>
      </c>
      <c r="Q13" s="704">
        <f>IF(J13="yes",K13*2.5*VLOOKUP(D13,' IPCC'!$A$322:$B$331,2,)*VLOOKUP(D13,' IPCC'!$A$322:$E$331,4,),0)</f>
        <v>0</v>
      </c>
      <c r="R13" s="706">
        <f>IF(J13="yes",K13*2.5*VLOOKUP(D13,' IPCC'!$A$322:$B$331,2,)*VLOOKUP(D13,' IPCC'!$A$322:$E$331,5,),0)</f>
        <v>0</v>
      </c>
      <c r="S13" s="242"/>
      <c r="T13" s="1965" t="s">
        <v>27</v>
      </c>
      <c r="U13" s="2468">
        <f>SUM(J31:J46)</f>
        <v>0</v>
      </c>
      <c r="V13" s="2468">
        <f>SUM(K31:K46)</f>
        <v>0</v>
      </c>
      <c r="W13" s="2473"/>
      <c r="X13" s="2473"/>
      <c r="Y13" s="2473"/>
      <c r="Z13" s="2473"/>
      <c r="AA13" s="1964">
        <f>-P12*(IF(E34="immediate",IF(D34&gt;0,D34*MIN(20,time),0),D34*IF(time&gt;time+20,20,IF(time&lt;20,(time*VLOOKUP(E34,List!$E$35:$F$37,2,))+(time-time),((MIN(20,time)*VLOOKUP(E34,List!$E$35:$F$37,2,))+(time-MIN(20,time))-IF(E34="exponential",time-20+0.217*time*(EXP(4.606*(20-time)/time)-1),((time-20)^2)*(0.5/time)))))))</f>
        <v>0</v>
      </c>
      <c r="AB13" s="1964">
        <f>-P12*(IF(G34="immediate",IF(F34&gt;0,F34*MIN(20,time),0),F34*IF(time&gt;time+20,20,IF(time&lt;20,(time*VLOOKUP(G34,List!$E$35:$F$37,2,))+(time-time),((MIN(20,time)*VLOOKUP(G34,List!$E$35:$F$37,2,))+(time-MIN(20,time))-IF(G34="exponential",time-20+0.217*time*(EXP(4.606*(20-time)/time)-1),((time_tot-20)^2)*(0.5/time)))))))</f>
        <v>0</v>
      </c>
      <c r="AC13" s="1965" t="s">
        <v>27</v>
      </c>
      <c r="AD13" s="1965">
        <f>SUM(K31:K46)-SUM(J31:J46)</f>
        <v>0</v>
      </c>
      <c r="AE13" s="1965">
        <f>IF(time=0,0,SUM(AB10:AB25)-SUM(AA10:AA25))</f>
        <v>0</v>
      </c>
      <c r="AF13" s="1965">
        <f>AD13-AE13</f>
        <v>0</v>
      </c>
      <c r="AG13" s="2460"/>
      <c r="AH13" s="2460"/>
    </row>
    <row r="14" spans="1:35" ht="13.8" thickBot="1">
      <c r="A14" s="240"/>
      <c r="B14" s="271" t="s">
        <v>1222</v>
      </c>
      <c r="C14" s="766"/>
      <c r="D14" s="1836" t="str">
        <f>'2.LUC'!D50</f>
        <v>Select Initial Land Use</v>
      </c>
      <c r="E14" s="1837"/>
      <c r="F14" s="1838" t="str">
        <f>'2.LUC'!G50</f>
        <v>Select Final Land Use</v>
      </c>
      <c r="G14" s="1839"/>
      <c r="H14" s="702" t="str">
        <f t="shared" si="0"/>
        <v>Fill initial LU</v>
      </c>
      <c r="I14" s="267"/>
      <c r="J14" s="1840" t="str">
        <f>'2.LUC'!K50</f>
        <v>NO</v>
      </c>
      <c r="K14" s="3033">
        <f>IF('2.LUC'!H200="",'2.LUC'!G200,'2.LUC'!H200)</f>
        <v>0</v>
      </c>
      <c r="L14" s="3033">
        <f>IF('2.LUC'!R200="",'2.LUC'!Q200,'2.LUC'!R200)</f>
        <v>0</v>
      </c>
      <c r="M14" s="3033">
        <f>IF('2.LUC'!J200="",'2.LUC'!I200,'2.LUC'!J200)</f>
        <v>0</v>
      </c>
      <c r="N14" s="3034">
        <f>IF('2.LUC'!T200="",'2.LUC'!S200,'2.LUC'!T200)</f>
        <v>0</v>
      </c>
      <c r="O14" s="1844">
        <f t="shared" si="1"/>
        <v>0</v>
      </c>
      <c r="P14" s="1844">
        <f t="shared" si="2"/>
        <v>0</v>
      </c>
      <c r="Q14" s="704">
        <f>IF(J14="yes",K14*2.5*VLOOKUP(D14,' IPCC'!$A$322:$B$331,2,)*VLOOKUP(D14,' IPCC'!$A$322:$E$331,4,),0)</f>
        <v>0</v>
      </c>
      <c r="R14" s="706">
        <f>IF(J14="yes",K14*2.5*VLOOKUP(D14,' IPCC'!$A$322:$B$331,2,)*VLOOKUP(D14,' IPCC'!$A$322:$E$331,5,),0)</f>
        <v>0</v>
      </c>
      <c r="S14" s="242"/>
      <c r="T14" s="1965" t="s">
        <v>337</v>
      </c>
      <c r="U14" s="2473">
        <f>(SUMPRODUCT(Q9:Q24,D31:D46))*methane/1000</f>
        <v>0</v>
      </c>
      <c r="V14" s="2473">
        <f>(SUMPRODUCT(Q9:Q24,F31:F46))*methane/1000</f>
        <v>0</v>
      </c>
      <c r="X14" s="2473"/>
      <c r="Y14" s="2473"/>
      <c r="Z14" s="2473"/>
      <c r="AA14" s="1964">
        <f>-P13*(IF(E35="immediate",IF(D35&gt;0,D35*MIN(20,time),0),D35*IF(time&gt;time+20,20,IF(time&lt;20,(time*VLOOKUP(E35,List!$E$35:$F$37,2,))+(time-time),((MIN(20,time)*VLOOKUP(E35,List!$E$35:$F$37,2,))+(time-MIN(20,time))-IF(E35="exponential",time-20+0.217*time*(EXP(4.606*(20-time)/time)-1),((time-20)^2)*(0.5/time)))))))</f>
        <v>0</v>
      </c>
      <c r="AB14" s="1964">
        <f>-P13*(IF(G35="immediate",IF(F35&gt;0,F35*MIN(20,time),0),F35*IF(time&gt;time+20,20,IF(time&lt;20,(time*VLOOKUP(G35,List!$E$35:$F$37,2,))+(time-time),((MIN(20,time)*VLOOKUP(G35,List!$E$35:$F$37,2,))+(time-MIN(20,time))-IF(G35="exponential",time-20+0.217*time*(EXP(4.606*(20-time)/time)-1),((time_tot-20)^2)*(0.5/time)))))))</f>
        <v>0</v>
      </c>
      <c r="AC14" s="1965" t="s">
        <v>337</v>
      </c>
      <c r="AD14" s="1965">
        <f>(SUMPRODUCT(Q9:Q24,F31:F46)-SUMPRODUCT(Q9:Q24,D31:D46))*methane/1000</f>
        <v>0</v>
      </c>
      <c r="AE14" s="1965">
        <f>IF(time=0,0,AD14)</f>
        <v>0</v>
      </c>
      <c r="AF14" s="1965">
        <f>AD14-AE14</f>
        <v>0</v>
      </c>
      <c r="AG14" s="2460"/>
      <c r="AH14" s="2460"/>
    </row>
    <row r="15" spans="1:35" ht="13.8" thickBot="1">
      <c r="A15" s="240"/>
      <c r="B15" s="271" t="s">
        <v>1223</v>
      </c>
      <c r="C15" s="766"/>
      <c r="D15" s="1836" t="str">
        <f>'2.LUC'!D51</f>
        <v>Select Initial Land Use</v>
      </c>
      <c r="E15" s="1837"/>
      <c r="F15" s="1838" t="str">
        <f>'2.LUC'!G51</f>
        <v>Select Final Land Use</v>
      </c>
      <c r="G15" s="1839"/>
      <c r="H15" s="702" t="str">
        <f t="shared" si="0"/>
        <v>Fill initial LU</v>
      </c>
      <c r="I15" s="267"/>
      <c r="J15" s="1840" t="str">
        <f>'2.LUC'!K51</f>
        <v>NO</v>
      </c>
      <c r="K15" s="3033">
        <f>IF('2.LUC'!H201="",'2.LUC'!G201,'2.LUC'!H201)</f>
        <v>0</v>
      </c>
      <c r="L15" s="3033">
        <f>IF('2.LUC'!R201="",'2.LUC'!Q201,'2.LUC'!R201)</f>
        <v>0</v>
      </c>
      <c r="M15" s="3033">
        <f>IF('2.LUC'!J201="",'2.LUC'!I201,'2.LUC'!J201)</f>
        <v>0</v>
      </c>
      <c r="N15" s="3034">
        <f>IF('2.LUC'!T201="",'2.LUC'!S201,'2.LUC'!T201)</f>
        <v>0</v>
      </c>
      <c r="O15" s="1844">
        <f t="shared" si="1"/>
        <v>0</v>
      </c>
      <c r="P15" s="1844">
        <f t="shared" si="2"/>
        <v>0</v>
      </c>
      <c r="Q15" s="704">
        <f>IF(J15="yes",K15*2.5*VLOOKUP(D15,' IPCC'!$A$322:$B$331,2,)*VLOOKUP(D15,' IPCC'!$A$322:$E$331,4,),0)</f>
        <v>0</v>
      </c>
      <c r="R15" s="706">
        <f>IF(J15="yes",K15*2.5*VLOOKUP(D15,' IPCC'!$A$322:$B$331,2,)*VLOOKUP(D15,' IPCC'!$A$322:$E$331,5,),0)</f>
        <v>0</v>
      </c>
      <c r="S15" s="242"/>
      <c r="T15" s="1965" t="s">
        <v>338</v>
      </c>
      <c r="U15" s="2467">
        <f>(SUMPRODUCT(R9:R24,D31:D46))*Nitrous/1000</f>
        <v>0</v>
      </c>
      <c r="V15" s="2467">
        <f>(SUMPRODUCT(R9:R24,F31:F46))*Nitrous/1000</f>
        <v>0</v>
      </c>
      <c r="W15" s="2473"/>
      <c r="X15" s="2473"/>
      <c r="Y15" s="2473"/>
      <c r="Z15" s="2473"/>
      <c r="AA15" s="1964">
        <f>-P14*(IF(E36="immediate",IF(D36&gt;0,D36*MIN(20,time),0),D36*IF(time&gt;time+20,20,IF(time&lt;20,(time*VLOOKUP(E36,List!$E$35:$F$37,2,))+(time-time),((MIN(20,time)*VLOOKUP(E36,List!$E$35:$F$37,2,))+(time-MIN(20,time))-IF(E36="exponential",time-20+0.217*time*(EXP(4.606*(20-time)/time)-1),((time-20)^2)*(0.5/time)))))))</f>
        <v>0</v>
      </c>
      <c r="AB15" s="1964">
        <f>-P14*(IF(G36="immediate",IF(F36&gt;0,F36*MIN(20,time),0),F36*IF(time&gt;time+20,20,IF(time&lt;20,(time*VLOOKUP(G36,List!$E$35:$F$37,2,))+(time-time),((MIN(20,time)*VLOOKUP(G36,List!$E$35:$F$37,2,))+(time-MIN(20,time))-IF(G36="exponential",time-20+0.217*time*(EXP(4.606*(20-time)/time)-1),((time_tot-20)^2)*(0.5/time)))))))</f>
        <v>0</v>
      </c>
      <c r="AC15" s="1965" t="s">
        <v>338</v>
      </c>
      <c r="AD15" s="1965">
        <f>(SUMPRODUCT(R9:R24,F31:F46)-SUMPRODUCT(R9:R24,D31:D46))*Nitrous/1000</f>
        <v>0</v>
      </c>
      <c r="AE15" s="1965">
        <f>IF(time=0,0,AD15)</f>
        <v>0</v>
      </c>
      <c r="AF15" s="1965">
        <f>AD15-AE15</f>
        <v>0</v>
      </c>
      <c r="AG15" s="2460"/>
      <c r="AH15" s="2460"/>
    </row>
    <row r="16" spans="1:35" ht="13.8" thickBot="1">
      <c r="A16" s="240"/>
      <c r="B16" s="271" t="s">
        <v>1224</v>
      </c>
      <c r="C16" s="766"/>
      <c r="D16" s="1836" t="str">
        <f>'2.LUC'!D52</f>
        <v>Select Initial Land Use</v>
      </c>
      <c r="E16" s="1837"/>
      <c r="F16" s="1838" t="str">
        <f>'2.LUC'!G52</f>
        <v>Select Final Land Use</v>
      </c>
      <c r="G16" s="1839"/>
      <c r="H16" s="702" t="str">
        <f t="shared" si="0"/>
        <v>Fill initial LU</v>
      </c>
      <c r="I16" s="267"/>
      <c r="J16" s="1840" t="str">
        <f>'2.LUC'!K52</f>
        <v>NO</v>
      </c>
      <c r="K16" s="3033">
        <f>IF('2.LUC'!H202="",'2.LUC'!G202,'2.LUC'!H202)</f>
        <v>0</v>
      </c>
      <c r="L16" s="3033">
        <f>IF('2.LUC'!R202="",'2.LUC'!Q202,'2.LUC'!R202)</f>
        <v>0</v>
      </c>
      <c r="M16" s="3033">
        <f>IF('2.LUC'!J202="",'2.LUC'!I202,'2.LUC'!J202)</f>
        <v>0</v>
      </c>
      <c r="N16" s="3034">
        <f>IF('2.LUC'!T202="",'2.LUC'!S202,'2.LUC'!T202)</f>
        <v>0</v>
      </c>
      <c r="O16" s="1844">
        <f t="shared" si="1"/>
        <v>0</v>
      </c>
      <c r="P16" s="1844">
        <f t="shared" si="2"/>
        <v>0</v>
      </c>
      <c r="Q16" s="704">
        <f>IF(J16="yes",K16*2.5*VLOOKUP(D16,' IPCC'!$A$322:$B$331,2,)*VLOOKUP(D16,' IPCC'!$A$322:$E$331,4,),0)</f>
        <v>0</v>
      </c>
      <c r="R16" s="706">
        <f>IF(J16="yes",K16*2.5*VLOOKUP(D16,' IPCC'!$A$322:$B$331,2,)*VLOOKUP(D16,' IPCC'!$A$322:$E$331,5,),0)</f>
        <v>0</v>
      </c>
      <c r="S16" s="242"/>
      <c r="T16" s="2473"/>
      <c r="U16" s="2473"/>
      <c r="V16" s="2480"/>
      <c r="W16" s="2473"/>
      <c r="X16" s="2473"/>
      <c r="Y16" s="2473"/>
      <c r="Z16" s="2473"/>
      <c r="AA16" s="1964">
        <f>-P15*(IF(E37="immediate",IF(D37&gt;0,D37*MIN(20,time),0),D37*IF(time&gt;time+20,20,IF(time&lt;20,(time*VLOOKUP(E37,List!$E$35:$F$37,2,))+(time-time),((MIN(20,time)*VLOOKUP(E37,List!$E$35:$F$37,2,))+(time-MIN(20,time))-IF(E37="exponential",time-20+0.217*time*(EXP(4.606*(20-time)/time)-1),((time-20)^2)*(0.5/time)))))))</f>
        <v>0</v>
      </c>
      <c r="AB16" s="1964">
        <f>-P15*(IF(G37="immediate",IF(F37&gt;0,F37*MIN(20,time),0),F37*IF(time&gt;time+20,20,IF(time&lt;20,(time*VLOOKUP(G37,List!$E$35:$F$37,2,))+(time-time),((MIN(20,time)*VLOOKUP(G37,List!$E$35:$F$37,2,))+(time-MIN(20,time))-IF(G37="exponential",time-20+0.217*time*(EXP(4.606*(20-time)/time)-1),((time_tot-20)^2)*(0.5/time)))))))</f>
        <v>0</v>
      </c>
      <c r="AC16" s="1965"/>
      <c r="AD16" s="1965">
        <f>SUM(AD12:AD15)</f>
        <v>0</v>
      </c>
      <c r="AE16" s="1965">
        <f>SUM(AE12:AE15)</f>
        <v>0</v>
      </c>
      <c r="AF16" s="1965">
        <f>SUM(AF12:AF15)</f>
        <v>0</v>
      </c>
      <c r="AG16" s="2460"/>
      <c r="AH16" s="2460"/>
    </row>
    <row r="17" spans="1:35" ht="13.8" thickBot="1">
      <c r="A17" s="240"/>
      <c r="B17" s="271" t="s">
        <v>1225</v>
      </c>
      <c r="C17" s="766"/>
      <c r="D17" s="1836" t="str">
        <f>'2.LUC'!D53</f>
        <v>Select Initial Land Use</v>
      </c>
      <c r="E17" s="1837"/>
      <c r="F17" s="1838" t="str">
        <f>'2.LUC'!G53</f>
        <v>Select Final Land Use</v>
      </c>
      <c r="G17" s="1839"/>
      <c r="H17" s="702" t="str">
        <f t="shared" si="0"/>
        <v>Fill initial LU</v>
      </c>
      <c r="I17" s="267"/>
      <c r="J17" s="1840" t="str">
        <f>'2.LUC'!K53</f>
        <v>NO</v>
      </c>
      <c r="K17" s="3033">
        <f>IF('2.LUC'!H203="",'2.LUC'!G203,'2.LUC'!H203)</f>
        <v>0</v>
      </c>
      <c r="L17" s="3033">
        <f>IF('2.LUC'!R203="",'2.LUC'!Q203,'2.LUC'!R203)</f>
        <v>0</v>
      </c>
      <c r="M17" s="3033">
        <f>IF('2.LUC'!J203="",'2.LUC'!I203,'2.LUC'!J203)</f>
        <v>0</v>
      </c>
      <c r="N17" s="3034">
        <f>IF('2.LUC'!T203="",'2.LUC'!S203,'2.LUC'!T203)</f>
        <v>0</v>
      </c>
      <c r="O17" s="1844">
        <f t="shared" si="1"/>
        <v>0</v>
      </c>
      <c r="P17" s="1844">
        <f t="shared" si="2"/>
        <v>0</v>
      </c>
      <c r="Q17" s="704">
        <f>IF(J17="yes",K17*2.5*VLOOKUP(D17,' IPCC'!$A$322:$B$331,2,)*VLOOKUP(D17,' IPCC'!$A$322:$E$331,4,),0)</f>
        <v>0</v>
      </c>
      <c r="R17" s="706">
        <f>IF(J17="yes",K17*2.5*VLOOKUP(D17,' IPCC'!$A$322:$B$331,2,)*VLOOKUP(D17,' IPCC'!$A$322:$E$331,5,),0)</f>
        <v>0</v>
      </c>
      <c r="S17" s="242"/>
      <c r="T17" s="2473"/>
      <c r="U17" s="2473"/>
      <c r="V17" s="2480"/>
      <c r="W17" s="2473"/>
      <c r="X17" s="2473"/>
      <c r="Y17" s="2473"/>
      <c r="Z17" s="2473"/>
      <c r="AA17" s="1964">
        <f>-P16*(IF(E38="immediate",IF(D38&gt;0,D38*MIN(20,time),0),D38*IF(time&gt;time+20,20,IF(time&lt;20,(time*VLOOKUP(E38,List!$E$35:$F$37,2,))+(time-time),((MIN(20,time)*VLOOKUP(E38,List!$E$35:$F$37,2,))+(time-MIN(20,time))-IF(E38="exponential",time-20+0.217*time*(EXP(4.606*(20-time)/time)-1),((time-20)^2)*(0.5/time)))))))</f>
        <v>0</v>
      </c>
      <c r="AB17" s="1964">
        <f>-P16*(IF(G38="immediate",IF(F38&gt;0,F38*MIN(20,time),0),F38*IF(time&gt;time+20,20,IF(time&lt;20,(time*VLOOKUP(G38,List!$E$35:$F$37,2,))+(time-time),((MIN(20,time)*VLOOKUP(G38,List!$E$35:$F$37,2,))+(time-MIN(20,time))-IF(G38="exponential",time-20+0.217*time*(EXP(4.606*(20-time)/time)-1),((time_tot-20)^2)*(0.5/time)))))))</f>
        <v>0</v>
      </c>
      <c r="AC17" s="2480"/>
      <c r="AD17" s="2473"/>
      <c r="AE17" s="2467"/>
      <c r="AF17" s="2460"/>
      <c r="AG17" s="2460"/>
      <c r="AH17" s="2460"/>
    </row>
    <row r="18" spans="1:35">
      <c r="A18" s="240"/>
      <c r="B18" s="271" t="s">
        <v>1226</v>
      </c>
      <c r="C18" s="766"/>
      <c r="D18" s="1836" t="str">
        <f>'2.LUC'!D54</f>
        <v>Select Initial Land Use</v>
      </c>
      <c r="E18" s="1837"/>
      <c r="F18" s="1838" t="str">
        <f>'2.LUC'!G54</f>
        <v>Select Final Land Use</v>
      </c>
      <c r="G18" s="1839"/>
      <c r="H18" s="702" t="str">
        <f t="shared" si="0"/>
        <v>Fill initial LU</v>
      </c>
      <c r="I18" s="267"/>
      <c r="J18" s="1840" t="str">
        <f>'2.LUC'!K54</f>
        <v>NO</v>
      </c>
      <c r="K18" s="3033">
        <f>IF('2.LUC'!H204="",'2.LUC'!G204,'2.LUC'!H204)</f>
        <v>0</v>
      </c>
      <c r="L18" s="3033">
        <f>IF('2.LUC'!R204="",'2.LUC'!Q204,'2.LUC'!R204)</f>
        <v>0</v>
      </c>
      <c r="M18" s="3033">
        <f>IF('2.LUC'!J204="",'2.LUC'!I204,'2.LUC'!J204)</f>
        <v>0</v>
      </c>
      <c r="N18" s="3034">
        <f>IF('2.LUC'!T204="",'2.LUC'!S204,'2.LUC'!T204)</f>
        <v>0</v>
      </c>
      <c r="O18" s="1844">
        <f t="shared" si="1"/>
        <v>0</v>
      </c>
      <c r="P18" s="1844">
        <f t="shared" si="2"/>
        <v>0</v>
      </c>
      <c r="Q18" s="704">
        <f>IF(J18="yes",K18*2.5*VLOOKUP(D18,' IPCC'!$A$322:$B$331,2,)*VLOOKUP(D18,' IPCC'!$A$322:$E$331,4,),0)</f>
        <v>0</v>
      </c>
      <c r="R18" s="706">
        <f>IF(J18="yes",K18*2.5*VLOOKUP(D18,' IPCC'!$A$322:$B$331,2,)*VLOOKUP(D18,' IPCC'!$A$322:$E$331,5,),0)</f>
        <v>0</v>
      </c>
      <c r="S18" s="242"/>
      <c r="T18" s="2473"/>
      <c r="U18" s="2473"/>
      <c r="V18" s="2480"/>
      <c r="W18" s="2473"/>
      <c r="X18" s="2473"/>
      <c r="Y18" s="2473"/>
      <c r="Z18" s="2473"/>
      <c r="AA18" s="1964">
        <f>-P17*(IF(E39="immediate",IF(D39&gt;0,D39*MIN(20,time),0),D39*IF(time&gt;time+20,20,IF(time&lt;20,(time*VLOOKUP(E39,List!$E$35:$F$37,2,))+(time-time),((MIN(20,time)*VLOOKUP(E39,List!$E$35:$F$37,2,))+(time-MIN(20,time))-IF(E39="exponential",time-20+0.217*time*(EXP(4.606*(20-time)/time)-1),((time-20)^2)*(0.5/time)))))))</f>
        <v>0</v>
      </c>
      <c r="AB18" s="1964">
        <f>-P17*(IF(G39="immediate",IF(F39&gt;0,F39*MIN(20,time),0),F39*IF(time&gt;time+20,20,IF(time&lt;20,(time*VLOOKUP(G39,List!$E$35:$F$37,2,))+(time-time),((MIN(20,time)*VLOOKUP(G39,List!$E$35:$F$37,2,))+(time-MIN(20,time))-IF(G39="exponential",time-20+0.217*time*(EXP(4.606*(20-time)/time)-1),((time_tot-20)^2)*(0.5/time)))))))</f>
        <v>0</v>
      </c>
      <c r="AC18" s="2480"/>
      <c r="AD18" s="2473"/>
      <c r="AE18" s="2460"/>
      <c r="AF18" s="2460"/>
      <c r="AG18" s="2460"/>
      <c r="AH18" s="2460"/>
    </row>
    <row r="19" spans="1:35">
      <c r="A19" s="240"/>
      <c r="B19" s="271" t="s">
        <v>1227</v>
      </c>
      <c r="C19" s="766"/>
      <c r="D19" s="1832" t="s">
        <v>16</v>
      </c>
      <c r="E19" s="1833"/>
      <c r="F19" s="1832" t="s">
        <v>18</v>
      </c>
      <c r="G19" s="1833"/>
      <c r="H19" s="702" t="str">
        <f t="shared" si="0"/>
        <v>Fill initial LU</v>
      </c>
      <c r="I19" s="267"/>
      <c r="J19" s="1032" t="s">
        <v>359</v>
      </c>
      <c r="K19" s="705">
        <f>IF(D19=List!$A$117,0,HLOOKUP(D19,' IPCC'!$A$290:$J$302,1+MATCH(clim_full,' IPCC'!$A$291:$A$302,),))</f>
        <v>0</v>
      </c>
      <c r="L19" s="705">
        <f>IF(F19=List!$A$129,0,HLOOKUP(F19,' IPCC'!$B$125:$I$137,1+MATCH(clim_full,' IPCC'!$A$126:$A$137,),))</f>
        <v>0</v>
      </c>
      <c r="M19" s="705">
        <f>IF(D19=List!$A$117,0,VLOOKUP(clim_full,' IPCC'!$A$307:$J$318,1+MATCH(D19,' IPCC'!$B$306:$J$306,),)*Soil_Native)</f>
        <v>0</v>
      </c>
      <c r="N19" s="706">
        <f>IF(F19=List!$A$129,0,VLOOKUP(clim_full,' IPCC'!$A$156:$I$167,1+MATCH(F19,' IPCC'!$B$155:$I$155,),)*Soil_Native)</f>
        <v>0</v>
      </c>
      <c r="O19" s="1844">
        <f t="shared" si="1"/>
        <v>0</v>
      </c>
      <c r="P19" s="1844">
        <f t="shared" si="2"/>
        <v>0</v>
      </c>
      <c r="Q19" s="704">
        <f>IF(J19="yes",K19*2.5*VLOOKUP(D19,' IPCC'!$A$322:$B$331,2,)*VLOOKUP(D19,' IPCC'!$A$322:$E$331,4,),0)</f>
        <v>0</v>
      </c>
      <c r="R19" s="706">
        <f>IF(J19="yes",K19*2.5*VLOOKUP(D19,' IPCC'!$A$322:$B$331,2,)*VLOOKUP(D19,' IPCC'!$A$322:$E$331,5,),0)</f>
        <v>0</v>
      </c>
      <c r="S19" s="242"/>
      <c r="T19" s="2473"/>
      <c r="U19" s="2473"/>
      <c r="V19" s="2480"/>
      <c r="W19" s="2473"/>
      <c r="X19" s="2473"/>
      <c r="Y19" s="2473"/>
      <c r="Z19" s="2473"/>
      <c r="AA19" s="1964">
        <f>-P18*(IF(E40="immediate",IF(D40&gt;0,D40*MIN(20,time),0),D40*IF(time&gt;time+20,20,IF(time&lt;20,(time*VLOOKUP(E40,List!$E$35:$F$37,2,))+(time-time),((MIN(20,time)*VLOOKUP(E40,List!$E$35:$F$37,2,))+(time-MIN(20,time))-IF(E40="exponential",time-20+0.217*time*(EXP(4.606*(20-time)/time)-1),((time-20)^2)*(0.5/time)))))))</f>
        <v>0</v>
      </c>
      <c r="AB19" s="1964">
        <f>-P18*(IF(G40="immediate",IF(F40&gt;0,F40*MIN(20,time),0),F40*IF(time&gt;time+20,20,IF(time&lt;20,(time*VLOOKUP(G40,List!$E$35:$F$37,2,))+(time-time),((MIN(20,time)*VLOOKUP(G40,List!$E$35:$F$37,2,))+(time-MIN(20,time))-IF(G40="exponential",time-20+0.217*time*(EXP(4.606*(20-time)/time)-1),((time_tot-20)^2)*(0.5/time)))))))</f>
        <v>0</v>
      </c>
      <c r="AC19" s="2480"/>
      <c r="AD19" s="2473"/>
      <c r="AE19" s="2460"/>
      <c r="AF19" s="2460"/>
      <c r="AG19" s="2460"/>
      <c r="AH19" s="2460"/>
    </row>
    <row r="20" spans="1:35">
      <c r="A20" s="240"/>
      <c r="B20" s="271" t="s">
        <v>1228</v>
      </c>
      <c r="C20" s="766"/>
      <c r="D20" s="1832" t="s">
        <v>16</v>
      </c>
      <c r="E20" s="1833"/>
      <c r="F20" s="1832" t="s">
        <v>18</v>
      </c>
      <c r="G20" s="1833"/>
      <c r="H20" s="702" t="str">
        <f t="shared" si="0"/>
        <v>Fill initial LU</v>
      </c>
      <c r="I20" s="1031"/>
      <c r="J20" s="1032" t="s">
        <v>359</v>
      </c>
      <c r="K20" s="705">
        <f>IF(D20=List!$A$117,0,HLOOKUP(D20,' IPCC'!$A$290:$J$302,1+MATCH(clim_full,' IPCC'!$A$291:$A$302,),))</f>
        <v>0</v>
      </c>
      <c r="L20" s="705">
        <f>IF(F20=List!$A$129,0,HLOOKUP(F20,' IPCC'!$B$125:$I$137,1+MATCH(clim_full,' IPCC'!$A$126:$A$137,),))</f>
        <v>0</v>
      </c>
      <c r="M20" s="705">
        <f>IF(D20=List!$A$117,0,VLOOKUP(clim_full,' IPCC'!$A$307:$J$318,1+MATCH(D20,' IPCC'!$B$306:$J$306,),)*Soil_Native)</f>
        <v>0</v>
      </c>
      <c r="N20" s="706">
        <f>IF(F20=List!$A$129,0,VLOOKUP(clim_full,' IPCC'!$A$156:$I$167,1+MATCH(F20,' IPCC'!$B$155:$I$155,),)*Soil_Native)</f>
        <v>0</v>
      </c>
      <c r="O20" s="1844">
        <f t="shared" si="1"/>
        <v>0</v>
      </c>
      <c r="P20" s="1844">
        <f t="shared" si="2"/>
        <v>0</v>
      </c>
      <c r="Q20" s="704">
        <f>IF(J20="yes",K20*2.5*VLOOKUP(D20,' IPCC'!$A$322:$B$331,2,)*VLOOKUP(D20,' IPCC'!$A$322:$E$331,4,),0)</f>
        <v>0</v>
      </c>
      <c r="R20" s="706">
        <f>IF(J20="yes",K20*2.5*VLOOKUP(D20,' IPCC'!$A$322:$B$331,2,)*VLOOKUP(D20,' IPCC'!$A$322:$E$331,5,),0)</f>
        <v>0</v>
      </c>
      <c r="S20" s="709"/>
      <c r="T20" s="2473"/>
      <c r="U20" s="2473"/>
      <c r="V20" s="2881"/>
      <c r="W20" s="2480"/>
      <c r="X20" s="2480"/>
      <c r="Y20" s="2473"/>
      <c r="Z20" s="2473"/>
      <c r="AA20" s="1964">
        <f>-P19*(IF(E41="immediate",IF(D41&gt;0,D41*MIN(20,time),0),D41*IF(time&gt;time+20,20,IF(time&lt;20,(time*VLOOKUP(E41,List!$E$35:$F$37,2,))+(time-time),((MIN(20,time)*VLOOKUP(E41,List!$E$35:$F$37,2,))+(time-MIN(20,time))-IF(E41="exponential",time-20+0.217*time*(EXP(4.606*(20-time)/time)-1),((time-20)^2)*(0.5/time)))))))</f>
        <v>0</v>
      </c>
      <c r="AB20" s="1964">
        <f>-P19*(IF(G41="immediate",IF(F41&gt;0,F41*MIN(20,time),0),F41*IF(time&gt;time+20,20,IF(time&lt;20,(time*VLOOKUP(G41,List!$E$35:$F$37,2,))+(time-time),((MIN(20,time)*VLOOKUP(G41,List!$E$35:$F$37,2,))+(time-MIN(20,time))-IF(G41="exponential",time-20+0.217*time*(EXP(4.606*(20-time)/time)-1),((time_tot-20)^2)*(0.5/time)))))))</f>
        <v>0</v>
      </c>
      <c r="AC20" s="2480"/>
      <c r="AD20" s="2473"/>
      <c r="AE20" s="2480"/>
      <c r="AF20" s="2473"/>
      <c r="AG20" s="2460"/>
      <c r="AH20" s="2460"/>
    </row>
    <row r="21" spans="1:35">
      <c r="A21" s="240"/>
      <c r="B21" s="271" t="s">
        <v>1229</v>
      </c>
      <c r="C21" s="766"/>
      <c r="D21" s="1832" t="s">
        <v>16</v>
      </c>
      <c r="E21" s="1833"/>
      <c r="F21" s="1832" t="s">
        <v>18</v>
      </c>
      <c r="G21" s="1833"/>
      <c r="H21" s="702" t="str">
        <f t="shared" si="0"/>
        <v>Fill initial LU</v>
      </c>
      <c r="I21" s="1031"/>
      <c r="J21" s="1032" t="s">
        <v>359</v>
      </c>
      <c r="K21" s="705">
        <f>IF(D21=List!$A$117,0,HLOOKUP(D21,' IPCC'!$A$290:$J$302,1+MATCH(clim_full,' IPCC'!$A$291:$A$302,),))</f>
        <v>0</v>
      </c>
      <c r="L21" s="705">
        <f>IF(F21=List!$A$129,0,HLOOKUP(F21,' IPCC'!$B$125:$I$137,1+MATCH(clim_full,' IPCC'!$A$126:$A$137,),))</f>
        <v>0</v>
      </c>
      <c r="M21" s="705">
        <f>IF(D21=List!$A$117,0,VLOOKUP(clim_full,' IPCC'!$A$307:$J$318,1+MATCH(D21,' IPCC'!$B$306:$J$306,),)*Soil_Native)</f>
        <v>0</v>
      </c>
      <c r="N21" s="706">
        <f>IF(F21=List!$A$129,0,VLOOKUP(clim_full,' IPCC'!$A$156:$I$167,1+MATCH(F21,' IPCC'!$B$155:$I$155,),)*Soil_Native)</f>
        <v>0</v>
      </c>
      <c r="O21" s="1844">
        <f t="shared" si="1"/>
        <v>0</v>
      </c>
      <c r="P21" s="1844">
        <f t="shared" si="2"/>
        <v>0</v>
      </c>
      <c r="Q21" s="704">
        <f>IF(J21="yes",K21*2.5*VLOOKUP(D21,' IPCC'!$A$322:$B$331,2,)*VLOOKUP(D21,' IPCC'!$A$322:$E$331,4,),0)</f>
        <v>0</v>
      </c>
      <c r="R21" s="706">
        <f>IF(J21="yes",K21*2.5*VLOOKUP(D21,' IPCC'!$A$322:$B$331,2,)*VLOOKUP(D21,' IPCC'!$A$322:$E$331,5,),0)</f>
        <v>0</v>
      </c>
      <c r="S21" s="709"/>
      <c r="T21" s="2473"/>
      <c r="U21" s="2473"/>
      <c r="V21" s="2881"/>
      <c r="W21" s="2480"/>
      <c r="X21" s="2480"/>
      <c r="Y21" s="2473"/>
      <c r="Z21" s="2473"/>
      <c r="AA21" s="1964">
        <f>-P20*(IF(E42="immediate",IF(D42&gt;0,D42*MIN(20,time),0),D42*IF(time&gt;time+20,20,IF(time&lt;20,(time*VLOOKUP(E42,List!$E$35:$F$37,2,))+(time-time),((MIN(20,time)*VLOOKUP(E42,List!$E$35:$F$37,2,))+(time-MIN(20,time))-IF(E42="exponential",time-20+0.217*time*(EXP(4.606*(20-time)/time)-1),((time-20)^2)*(0.5/time)))))))</f>
        <v>0</v>
      </c>
      <c r="AB21" s="1964">
        <f>-P20*(IF(G42="immediate",IF(F42&gt;0,F42*MIN(20,time),0),F42*IF(time&gt;time+20,20,IF(time&lt;20,(time*VLOOKUP(G42,List!$E$35:$F$37,2,))+(time-time),((MIN(20,time)*VLOOKUP(G42,List!$E$35:$F$37,2,))+(time-MIN(20,time))-IF(G42="exponential",time-20+0.217*time*(EXP(4.606*(20-time)/time)-1),((time_tot-20)^2)*(0.5/time)))))))</f>
        <v>0</v>
      </c>
      <c r="AC21" s="2480"/>
      <c r="AD21" s="2473"/>
      <c r="AE21" s="2480"/>
      <c r="AF21" s="2473"/>
      <c r="AG21" s="2460"/>
      <c r="AH21" s="2460"/>
    </row>
    <row r="22" spans="1:35">
      <c r="A22" s="240"/>
      <c r="B22" s="271" t="s">
        <v>1230</v>
      </c>
      <c r="C22" s="766"/>
      <c r="D22" s="1832" t="s">
        <v>16</v>
      </c>
      <c r="E22" s="1833"/>
      <c r="F22" s="1832" t="s">
        <v>18</v>
      </c>
      <c r="G22" s="1833"/>
      <c r="H22" s="702" t="str">
        <f t="shared" si="0"/>
        <v>Fill initial LU</v>
      </c>
      <c r="I22" s="1031"/>
      <c r="J22" s="1032" t="s">
        <v>359</v>
      </c>
      <c r="K22" s="705">
        <f>IF(D22=List!$A$117,0,HLOOKUP(D22,' IPCC'!$A$290:$J$302,1+MATCH(clim_full,' IPCC'!$A$291:$A$302,),))</f>
        <v>0</v>
      </c>
      <c r="L22" s="705">
        <f>IF(F22=List!$A$129,0,HLOOKUP(F22,' IPCC'!$B$125:$I$137,1+MATCH(clim_full,' IPCC'!$A$126:$A$137,),))</f>
        <v>0</v>
      </c>
      <c r="M22" s="705">
        <f>IF(D22=List!$A$117,0,VLOOKUP(clim_full,' IPCC'!$A$307:$J$318,1+MATCH(D22,' IPCC'!$B$306:$J$306,),)*Soil_Native)</f>
        <v>0</v>
      </c>
      <c r="N22" s="706">
        <f>IF(F22=List!$A$129,0,VLOOKUP(clim_full,' IPCC'!$A$156:$I$167,1+MATCH(F22,' IPCC'!$B$155:$I$155,),)*Soil_Native)</f>
        <v>0</v>
      </c>
      <c r="O22" s="1844">
        <f t="shared" si="1"/>
        <v>0</v>
      </c>
      <c r="P22" s="1844">
        <f t="shared" si="2"/>
        <v>0</v>
      </c>
      <c r="Q22" s="704">
        <f>IF(J22="yes",K22*2.5*VLOOKUP(D22,' IPCC'!$A$322:$B$331,2,)*VLOOKUP(D22,' IPCC'!$A$322:$E$331,4,),0)</f>
        <v>0</v>
      </c>
      <c r="R22" s="706">
        <f>IF(J22="yes",K22*2.5*VLOOKUP(D22,' IPCC'!$A$322:$B$331,2,)*VLOOKUP(D22,' IPCC'!$A$322:$E$331,5,),0)</f>
        <v>0</v>
      </c>
      <c r="S22" s="709"/>
      <c r="T22" s="2473"/>
      <c r="U22" s="2473"/>
      <c r="V22" s="2480"/>
      <c r="W22" s="2480"/>
      <c r="X22" s="2480"/>
      <c r="Y22" s="2473"/>
      <c r="Z22" s="2473"/>
      <c r="AA22" s="1964">
        <f>-P21*(IF(E43="immediate",IF(D43&gt;0,D43*MIN(20,time),0),D43*IF(time&gt;time+20,20,IF(time&lt;20,(time*VLOOKUP(E43,List!$E$35:$F$37,2,))+(time-time),((MIN(20,time)*VLOOKUP(E43,List!$E$35:$F$37,2,))+(time-MIN(20,time))-IF(E43="exponential",time-20+0.217*time*(EXP(4.606*(20-time)/time)-1),((time-20)^2)*(0.5/time)))))))</f>
        <v>0</v>
      </c>
      <c r="AB22" s="1964">
        <f>-P21*(IF(G43="immediate",IF(F43&gt;0,F43*MIN(20,time),0),F43*IF(time&gt;time+20,20,IF(time&lt;20,(time*VLOOKUP(G43,List!$E$35:$F$37,2,))+(time-time),((MIN(20,time)*VLOOKUP(G43,List!$E$35:$F$37,2,))+(time-MIN(20,time))-IF(G43="exponential",time-20+0.217*time*(EXP(4.606*(20-time)/time)-1),((time_tot-20)^2)*(0.5/time)))))))</f>
        <v>0</v>
      </c>
      <c r="AC22" s="2480"/>
      <c r="AD22" s="2473"/>
      <c r="AE22" s="2480"/>
      <c r="AF22" s="2473"/>
      <c r="AG22" s="2460"/>
      <c r="AH22" s="2460"/>
    </row>
    <row r="23" spans="1:35">
      <c r="A23" s="240"/>
      <c r="B23" s="271" t="s">
        <v>1231</v>
      </c>
      <c r="C23" s="766"/>
      <c r="D23" s="1832" t="s">
        <v>16</v>
      </c>
      <c r="E23" s="1833"/>
      <c r="F23" s="1832" t="s">
        <v>18</v>
      </c>
      <c r="G23" s="1833"/>
      <c r="H23" s="702" t="str">
        <f t="shared" si="0"/>
        <v>Fill initial LU</v>
      </c>
      <c r="I23" s="1031"/>
      <c r="J23" s="1032" t="s">
        <v>359</v>
      </c>
      <c r="K23" s="705">
        <f>IF(D23=List!$A$117,0,HLOOKUP(D23,' IPCC'!$A$290:$J$302,1+MATCH(clim_full,' IPCC'!$A$291:$A$302,),))</f>
        <v>0</v>
      </c>
      <c r="L23" s="705">
        <f>IF(F23=List!$A$129,0,HLOOKUP(F23,' IPCC'!$B$125:$I$137,1+MATCH(clim_full,' IPCC'!$A$126:$A$137,),))</f>
        <v>0</v>
      </c>
      <c r="M23" s="705">
        <f>IF(D23=List!$A$117,0,VLOOKUP(clim_full,' IPCC'!$A$307:$J$318,1+MATCH(D23,' IPCC'!$B$306:$J$306,),)*Soil_Native)</f>
        <v>0</v>
      </c>
      <c r="N23" s="706">
        <f>IF(F23=List!$A$129,0,VLOOKUP(clim_full,' IPCC'!$A$156:$I$167,1+MATCH(F23,' IPCC'!$B$155:$I$155,),)*Soil_Native)</f>
        <v>0</v>
      </c>
      <c r="O23" s="1844">
        <f t="shared" si="1"/>
        <v>0</v>
      </c>
      <c r="P23" s="1844">
        <f t="shared" si="2"/>
        <v>0</v>
      </c>
      <c r="Q23" s="704">
        <f>IF(J23="yes",K23*2.5*VLOOKUP(D23,' IPCC'!$A$322:$B$331,2,)*VLOOKUP(D23,' IPCC'!$A$322:$E$331,4,),0)</f>
        <v>0</v>
      </c>
      <c r="R23" s="706">
        <f>IF(J23="yes",K23*2.5*VLOOKUP(D23,' IPCC'!$A$322:$B$331,2,)*VLOOKUP(D23,' IPCC'!$A$322:$E$331,5,),0)</f>
        <v>0</v>
      </c>
      <c r="S23" s="709"/>
      <c r="T23" s="2473"/>
      <c r="U23" s="2473"/>
      <c r="V23" s="2480"/>
      <c r="W23" s="2480"/>
      <c r="X23" s="2480"/>
      <c r="Y23" s="2473"/>
      <c r="Z23" s="2473"/>
      <c r="AA23" s="1964">
        <f>-P22*(IF(E44="immediate",IF(D44&gt;0,D44*MIN(20,time),0),D44*IF(time&gt;time+20,20,IF(time&lt;20,(time*VLOOKUP(E44,List!$E$35:$F$37,2,))+(time-time),((MIN(20,time)*VLOOKUP(E44,List!$E$35:$F$37,2,))+(time-MIN(20,time))-IF(E44="exponential",time-20+0.217*time*(EXP(4.606*(20-time)/time)-1),((time-20)^2)*(0.5/time)))))))</f>
        <v>0</v>
      </c>
      <c r="AB23" s="1964">
        <f>-P22*(IF(G44="immediate",IF(F44&gt;0,F44*MIN(20,time),0),F44*IF(time&gt;time+20,20,IF(time&lt;20,(time*VLOOKUP(G44,List!$E$35:$F$37,2,))+(time-time),((MIN(20,time)*VLOOKUP(G44,List!$E$35:$F$37,2,))+(time-MIN(20,time))-IF(G44="exponential",time-20+0.217*time*(EXP(4.606*(20-time)/time)-1),((time_tot-20)^2)*(0.5/time)))))))</f>
        <v>0</v>
      </c>
      <c r="AC23" s="2480"/>
      <c r="AD23" s="2473"/>
      <c r="AE23" s="2480"/>
      <c r="AF23" s="2473"/>
      <c r="AG23" s="2460"/>
      <c r="AH23" s="2460"/>
    </row>
    <row r="24" spans="1:35" ht="13.8" thickBot="1">
      <c r="A24" s="240"/>
      <c r="B24" s="272" t="s">
        <v>1232</v>
      </c>
      <c r="C24" s="767"/>
      <c r="D24" s="1834" t="s">
        <v>16</v>
      </c>
      <c r="E24" s="1835"/>
      <c r="F24" s="1834" t="s">
        <v>18</v>
      </c>
      <c r="G24" s="1835"/>
      <c r="H24" s="710" t="str">
        <f t="shared" si="0"/>
        <v>Fill initial LU</v>
      </c>
      <c r="I24" s="273"/>
      <c r="J24" s="1033" t="s">
        <v>359</v>
      </c>
      <c r="K24" s="1017">
        <f>IF(D24=List!$A$117,0,HLOOKUP(D24,' IPCC'!$A$290:$J$302,1+MATCH(clim_full,' IPCC'!$A$291:$A$302,),))</f>
        <v>0</v>
      </c>
      <c r="L24" s="1017">
        <f>IF(F24=List!$A$129,0,HLOOKUP(F24,' IPCC'!$B$125:$I$137,1+MATCH(clim_full,' IPCC'!$A$126:$A$137,),))</f>
        <v>0</v>
      </c>
      <c r="M24" s="1017">
        <f>IF(D24=List!$A$117,0,VLOOKUP(clim_full,' IPCC'!$A$307:$J$318,1+MATCH(D24,' IPCC'!$B$306:$J$306,),)*Soil_Native)</f>
        <v>0</v>
      </c>
      <c r="N24" s="1018">
        <f>IF(F24=List!$A$129,0,VLOOKUP(clim_full,' IPCC'!$A$156:$I$167,1+MATCH(F24,' IPCC'!$B$155:$I$155,),)*Soil_Native)</f>
        <v>0</v>
      </c>
      <c r="O24" s="1844">
        <f t="shared" si="1"/>
        <v>0</v>
      </c>
      <c r="P24" s="1844">
        <f t="shared" si="2"/>
        <v>0</v>
      </c>
      <c r="Q24" s="1016">
        <f>IF(J24="yes",K24*2.5*VLOOKUP(D24,' IPCC'!$A$322:$B$331,2,)*VLOOKUP(D24,' IPCC'!$A$322:$E$331,4,),0)</f>
        <v>0</v>
      </c>
      <c r="R24" s="1018">
        <f>IF(J24="yes",K24*2.5*VLOOKUP(D24,' IPCC'!$A$322:$B$331,2,)*VLOOKUP(D24,' IPCC'!$A$322:$E$331,5,),0)</f>
        <v>0</v>
      </c>
      <c r="S24" s="242"/>
      <c r="T24" s="2473"/>
      <c r="U24" s="2473"/>
      <c r="V24" s="2480"/>
      <c r="W24" s="2480"/>
      <c r="X24" s="2473"/>
      <c r="Y24" s="2473"/>
      <c r="Z24" s="2473"/>
      <c r="AA24" s="1964">
        <f>-P23*(IF(E45="immediate",IF(D45&gt;0,D45*MIN(20,time),0),D45*IF(time&gt;time+20,20,IF(time&lt;20,(time*VLOOKUP(E45,List!$E$35:$F$37,2,))+(time-time),((MIN(20,time)*VLOOKUP(E45,List!$E$35:$F$37,2,))+(time-MIN(20,time))-IF(E45="exponential",time-20+0.217*time*(EXP(4.606*(20-time)/time)-1),((time-20)^2)*(0.5/time)))))))</f>
        <v>0</v>
      </c>
      <c r="AB24" s="1964">
        <f>-P23*(IF(G45="immediate",IF(F45&gt;0,F45*MIN(20,time),0),F45*IF(time&gt;time+20,20,IF(time&lt;20,(time*VLOOKUP(G45,List!$E$35:$F$37,2,))+(time-time),((MIN(20,time)*VLOOKUP(G45,List!$E$35:$F$37,2,))+(time-MIN(20,time))-IF(G45="exponential",time-20+0.217*time*(EXP(4.606*(20-time)/time)-1),((time_tot-20)^2)*(0.5/time)))))))</f>
        <v>0</v>
      </c>
      <c r="AC24" s="2480"/>
      <c r="AD24" s="2473"/>
      <c r="AE24" s="2480"/>
      <c r="AF24" s="2473"/>
      <c r="AG24" s="2460"/>
      <c r="AH24" s="2460"/>
    </row>
    <row r="25" spans="1:35">
      <c r="A25" s="240"/>
      <c r="B25" s="240"/>
      <c r="C25" s="240"/>
      <c r="D25" s="620"/>
      <c r="E25" s="466"/>
      <c r="F25" s="466"/>
      <c r="G25" s="466"/>
      <c r="H25" s="466"/>
      <c r="I25" s="243"/>
      <c r="J25" s="243"/>
      <c r="K25" s="242"/>
      <c r="L25" s="707" t="s">
        <v>1216</v>
      </c>
      <c r="M25" s="708"/>
      <c r="N25" s="1509">
        <f>VLOOKUP(clim_full,' IPCC'!$A$569:$I$581,1+MATCH(soil,soil_type,),)</f>
        <v>0</v>
      </c>
      <c r="P25" s="770" t="s">
        <v>899</v>
      </c>
      <c r="S25" s="243"/>
      <c r="T25" s="2880"/>
      <c r="U25" s="2880"/>
      <c r="V25" s="2880"/>
      <c r="W25" s="2480"/>
      <c r="X25" s="2473"/>
      <c r="Y25" s="2480"/>
      <c r="Z25" s="2480"/>
      <c r="AA25" s="1964">
        <f>-P24*(IF(E46="immediate",IF(D46&gt;0,D46*MIN(20,time),0),D46*IF(time&gt;time+20,20,IF(time&lt;20,(time*VLOOKUP(E46,List!$E$35:$F$37,2,))+(time-time),((MIN(20,time)*VLOOKUP(E46,List!$E$35:$F$37,2,))+(time-MIN(20,time))-IF(E46="exponential",time-20+0.217*time*(EXP(4.606*(20-time)/time)-1),((time-20)^2)*(0.5/time)))))))</f>
        <v>0</v>
      </c>
      <c r="AB25" s="1964">
        <f>-P24*(IF(G46="immediate",IF(F46&gt;0,F46*MIN(20,time),0),F46*IF(time&gt;time+20,20,IF(time&lt;20,(time*VLOOKUP(G46,List!$E$35:$F$37,2,))+(time-time),((MIN(20,time)*VLOOKUP(G46,List!$E$35:$F$37,2,))+(time-MIN(20,time))-IF(G46="exponential",time-20+0.217*time*(EXP(4.606*(20-time)/time)-1),((time_tot-20)^2)*(0.5/time)))))))</f>
        <v>0</v>
      </c>
      <c r="AC25" s="2480"/>
      <c r="AD25" s="2473"/>
      <c r="AE25" s="2480"/>
      <c r="AF25" s="2473"/>
      <c r="AG25" s="2460"/>
      <c r="AH25" s="2460"/>
    </row>
    <row r="26" spans="1:35">
      <c r="A26" s="240"/>
      <c r="B26" s="240"/>
      <c r="C26" s="240"/>
      <c r="D26" s="620"/>
      <c r="E26" s="620"/>
      <c r="F26" s="621"/>
      <c r="G26" s="466"/>
      <c r="H26" s="466"/>
      <c r="I26" s="434"/>
      <c r="J26" s="434"/>
      <c r="K26" s="435"/>
      <c r="L26" s="435"/>
      <c r="M26" s="242"/>
      <c r="N26" s="711"/>
      <c r="P26" s="572" t="s">
        <v>1288</v>
      </c>
      <c r="Q26" s="242"/>
      <c r="R26" s="242"/>
      <c r="S26" s="243"/>
      <c r="T26" s="2473"/>
      <c r="U26" s="2473"/>
      <c r="V26" s="2473"/>
      <c r="W26" s="2480"/>
      <c r="X26" s="2473"/>
      <c r="Y26" s="2480"/>
      <c r="Z26" s="2473"/>
      <c r="AA26" s="2467"/>
      <c r="AB26" s="2467"/>
      <c r="AC26" s="2460"/>
      <c r="AD26" s="2460"/>
      <c r="AE26" s="2460"/>
      <c r="AF26" s="2460"/>
      <c r="AG26" s="2460"/>
      <c r="AH26" s="2460"/>
    </row>
    <row r="27" spans="1:35">
      <c r="A27" s="240"/>
      <c r="B27" s="625" t="s">
        <v>1017</v>
      </c>
      <c r="C27" s="626"/>
      <c r="D27" s="626"/>
      <c r="E27" s="626"/>
      <c r="F27" s="626"/>
      <c r="G27" s="626"/>
      <c r="H27" s="627"/>
      <c r="I27" s="627"/>
      <c r="J27" s="627"/>
      <c r="K27" s="626"/>
      <c r="L27" s="52"/>
      <c r="M27" s="52"/>
      <c r="N27" s="626"/>
      <c r="O27" s="628"/>
      <c r="P27" s="628"/>
      <c r="Q27" s="242"/>
      <c r="R27" s="242"/>
      <c r="S27" s="242"/>
      <c r="T27" s="2480"/>
      <c r="U27" s="2473"/>
      <c r="V27" s="2467"/>
      <c r="W27" s="2467"/>
      <c r="X27" s="2467"/>
      <c r="Y27" s="2460"/>
      <c r="Z27" s="2460"/>
      <c r="AA27" s="2460"/>
      <c r="AB27" s="2460"/>
      <c r="AC27" s="2460"/>
      <c r="AD27" s="2460"/>
      <c r="AE27" s="2460"/>
      <c r="AF27" s="2460"/>
      <c r="AG27" s="2460"/>
      <c r="AH27" s="2460"/>
    </row>
    <row r="28" spans="1:35" s="605" customFormat="1" ht="13.8" thickBot="1">
      <c r="A28" s="240"/>
      <c r="B28" s="269" t="s">
        <v>499</v>
      </c>
      <c r="C28" s="270"/>
      <c r="D28" s="713" t="s">
        <v>1234</v>
      </c>
      <c r="E28" s="714"/>
      <c r="F28" s="714"/>
      <c r="G28" s="715"/>
      <c r="H28" s="3093" t="s">
        <v>1235</v>
      </c>
      <c r="I28" s="3094"/>
      <c r="J28" s="716" t="s">
        <v>1236</v>
      </c>
      <c r="K28" s="562"/>
      <c r="L28" s="560" t="s">
        <v>559</v>
      </c>
      <c r="M28" s="562"/>
      <c r="N28" s="537" t="s">
        <v>687</v>
      </c>
      <c r="O28" s="538"/>
      <c r="P28" s="20" t="s">
        <v>348</v>
      </c>
      <c r="Q28" s="242"/>
      <c r="W28" s="232"/>
      <c r="X28" s="232"/>
      <c r="Y28" s="748"/>
      <c r="Z28" s="1089"/>
      <c r="AA28" s="1089"/>
      <c r="AB28" s="1089"/>
      <c r="AC28" s="1089"/>
      <c r="AD28" s="1089"/>
      <c r="AE28" s="1089"/>
      <c r="AF28" s="1089"/>
      <c r="AG28" s="1089"/>
      <c r="AH28" s="1089"/>
      <c r="AI28" s="1089"/>
    </row>
    <row r="29" spans="1:35" s="605" customFormat="1">
      <c r="A29" s="240"/>
      <c r="B29" s="271"/>
      <c r="C29" s="267"/>
      <c r="D29" s="632" t="s">
        <v>689</v>
      </c>
      <c r="E29" s="633"/>
      <c r="F29" s="634" t="s">
        <v>688</v>
      </c>
      <c r="G29" s="635"/>
      <c r="H29" s="636" t="s">
        <v>690</v>
      </c>
      <c r="I29" s="637" t="s">
        <v>691</v>
      </c>
      <c r="J29" s="636" t="s">
        <v>690</v>
      </c>
      <c r="K29" s="637" t="s">
        <v>691</v>
      </c>
      <c r="L29" s="636" t="s">
        <v>690</v>
      </c>
      <c r="M29" s="637" t="s">
        <v>691</v>
      </c>
      <c r="N29" s="636" t="s">
        <v>690</v>
      </c>
      <c r="O29" s="637" t="s">
        <v>691</v>
      </c>
      <c r="P29" s="171"/>
      <c r="Q29" s="242"/>
      <c r="U29" s="1951" t="s">
        <v>1601</v>
      </c>
      <c r="V29" s="1951"/>
      <c r="W29" s="232"/>
      <c r="X29" s="232"/>
      <c r="Y29" s="748"/>
      <c r="Z29" s="1089"/>
      <c r="AA29" s="1089"/>
      <c r="AB29" s="1089"/>
      <c r="AC29" s="1089"/>
      <c r="AD29" s="1089"/>
      <c r="AE29" s="1089"/>
      <c r="AF29" s="1089"/>
      <c r="AG29" s="1089"/>
      <c r="AH29" s="1089"/>
      <c r="AI29" s="1089"/>
    </row>
    <row r="30" spans="1:35" s="605" customFormat="1" ht="13.8" thickBot="1">
      <c r="A30" s="240"/>
      <c r="B30" s="271"/>
      <c r="C30" s="267"/>
      <c r="D30" s="639" t="s">
        <v>1237</v>
      </c>
      <c r="E30" s="640" t="s">
        <v>353</v>
      </c>
      <c r="F30" s="641" t="s">
        <v>1237</v>
      </c>
      <c r="G30" s="642" t="s">
        <v>353</v>
      </c>
      <c r="H30" s="645" t="s">
        <v>556</v>
      </c>
      <c r="I30" s="646" t="s">
        <v>556</v>
      </c>
      <c r="J30" s="645" t="s">
        <v>556</v>
      </c>
      <c r="K30" s="646" t="s">
        <v>556</v>
      </c>
      <c r="L30" s="645" t="s">
        <v>556</v>
      </c>
      <c r="M30" s="646" t="s">
        <v>556</v>
      </c>
      <c r="N30" s="645" t="s">
        <v>556</v>
      </c>
      <c r="O30" s="646" t="s">
        <v>556</v>
      </c>
      <c r="P30" s="1030" t="s">
        <v>556</v>
      </c>
      <c r="Q30" s="242"/>
      <c r="U30" s="1951" t="s">
        <v>56</v>
      </c>
      <c r="V30" s="1951" t="s">
        <v>279</v>
      </c>
      <c r="W30" s="232"/>
      <c r="X30" s="232"/>
      <c r="Y30" s="748"/>
      <c r="Z30" s="1089"/>
      <c r="AA30" s="1089"/>
      <c r="AB30" s="1089"/>
      <c r="AC30" s="1089"/>
      <c r="AD30" s="1089"/>
      <c r="AE30" s="1089"/>
      <c r="AF30" s="1089"/>
      <c r="AG30" s="1089"/>
      <c r="AH30" s="1089"/>
      <c r="AI30" s="1089"/>
    </row>
    <row r="31" spans="1:35" s="605" customFormat="1" ht="13.8" thickBot="1">
      <c r="A31" s="240"/>
      <c r="B31" s="269" t="str">
        <f>B9</f>
        <v>LUC-1</v>
      </c>
      <c r="C31" s="237" t="str">
        <f>IF(C9="","",C9)</f>
        <v/>
      </c>
      <c r="D31" s="1841">
        <f>'2.LUC'!M45</f>
        <v>0</v>
      </c>
      <c r="E31" s="2225" t="str">
        <f>VLOOKUP('2.LUC'!N45,List!$D$35:$E$37,2,)</f>
        <v>Linear</v>
      </c>
      <c r="F31" s="1841">
        <f>'2.LUC'!O45</f>
        <v>0</v>
      </c>
      <c r="G31" s="2225" t="str">
        <f>VLOOKUP('2.LUC'!P45,List!$D$35:$E$37,2,)</f>
        <v>Linear</v>
      </c>
      <c r="H31" s="1842">
        <f>IF($H9&lt;&gt;"",0,-O9*D31)</f>
        <v>0</v>
      </c>
      <c r="I31" s="1843">
        <f>IF($H9&lt;&gt;"",0,-F31*O9)</f>
        <v>0</v>
      </c>
      <c r="J31" s="1390">
        <f>-P9*(IF(E31="immediate",IF(D31&gt;0,D31*MIN(20,time_tot),0),D31*IF(time_tot&gt;time+20,20,IF(time_tot&lt;20,(time*VLOOKUP(E31,List!$E$35:$F$37,2,))+(time_tot-time),((MIN(20,time)*VLOOKUP(E31,List!$E$35:$F$37,2,))+(time_tot-MIN(20,time))-IF(E31="exponential",time_tot-20+0.217*time*(EXP(4.606*(20-time_tot)/time)-1),((time_tot-20)^2)*(0.5/time)))))))</f>
        <v>0</v>
      </c>
      <c r="K31" s="1391">
        <f>-P9*(IF(G31="immediate",IF(F31&gt;0,F31*MIN(20,time_tot),0),F31*IF(time_tot&gt;time+20,20,IF(time_tot&lt;20,(time*VLOOKUP(G31,List!$E$35:$F$37,2,))+(time_tot-time),((MIN(20,time)*VLOOKUP(G31,List!$E$35:$F$37,2,))+(time_tot-MIN(20,time))-IF(G31="exponential",time_tot-20+0.217*time*(EXP(4.606*(20-time_tot)/time)-1),((time_tot-20)^2)*(0.5/time)))))))</f>
        <v>0</v>
      </c>
      <c r="L31" s="1506">
        <f>D31*(Q9*methane+R9*Nitrous)/1000</f>
        <v>0</v>
      </c>
      <c r="M31" s="1506">
        <f t="shared" ref="M31:M46" si="3">F31*(Q9*methane+R9*Nitrous)/1000</f>
        <v>0</v>
      </c>
      <c r="N31" s="1390">
        <f>H31+J31+L31</f>
        <v>0</v>
      </c>
      <c r="O31" s="1391">
        <f>I31+K31+M31</f>
        <v>0</v>
      </c>
      <c r="P31" s="1039">
        <f>O31-N31</f>
        <v>0</v>
      </c>
      <c r="Q31" s="242"/>
      <c r="U31" s="1951">
        <f>IF(Q9&gt;0,D31,0)</f>
        <v>0</v>
      </c>
      <c r="V31" s="1951">
        <f>IF(Q9&gt;0,F31,0)</f>
        <v>0</v>
      </c>
      <c r="W31" s="232"/>
      <c r="X31" s="232"/>
      <c r="Y31" s="748"/>
      <c r="Z31" s="1089"/>
      <c r="AA31" s="1089"/>
      <c r="AB31" s="1089"/>
      <c r="AC31" s="1089"/>
      <c r="AD31" s="1089"/>
      <c r="AE31" s="1089"/>
      <c r="AF31" s="1089"/>
      <c r="AG31" s="1089"/>
      <c r="AH31" s="1089"/>
      <c r="AI31" s="1089"/>
    </row>
    <row r="32" spans="1:35" s="605" customFormat="1" ht="13.8" thickBot="1">
      <c r="A32" s="240"/>
      <c r="B32" s="271" t="str">
        <f t="shared" ref="B32:B46" si="4">B10</f>
        <v>LUC-2</v>
      </c>
      <c r="C32" s="703" t="str">
        <f t="shared" ref="C32:C46" si="5">IF(C10="","",C10)</f>
        <v/>
      </c>
      <c r="D32" s="1841">
        <f>'2.LUC'!M46</f>
        <v>0</v>
      </c>
      <c r="E32" s="2225" t="str">
        <f>VLOOKUP('2.LUC'!N46,List!$D$35:$E$37,2,)</f>
        <v>Linear</v>
      </c>
      <c r="F32" s="1841">
        <f>'2.LUC'!O46</f>
        <v>0</v>
      </c>
      <c r="G32" s="2225" t="str">
        <f>VLOOKUP('2.LUC'!P46,List!$D$35:$E$37,2,)</f>
        <v>Linear</v>
      </c>
      <c r="H32" s="1842">
        <f t="shared" ref="H32:H46" si="6">IF($H10&lt;&gt;"",0,-O10*D32)</f>
        <v>0</v>
      </c>
      <c r="I32" s="1843">
        <f t="shared" ref="I32:I46" si="7">IF($H10&lt;&gt;"",0,-F32*O10)</f>
        <v>0</v>
      </c>
      <c r="J32" s="1468">
        <f>-P10*(IF(E32="immediate",IF(D32&gt;0,D32*MIN(20,time_tot),0),D32*IF(time_tot&gt;time+20,20,IF(time_tot&lt;20,(time*VLOOKUP(E32,List!$E$35:$F$37,2,))+(time_tot-time),((MIN(20,time)*VLOOKUP(E32,List!$E$35:$F$37,2,))+(time_tot-MIN(20,time))-IF(E32="exponential",time_tot-20+0.217*time*(EXP(4.606*(20-time_tot)/time)-1),((time_tot-20)^2)*(0.5/time)))))))</f>
        <v>0</v>
      </c>
      <c r="K32" s="1469">
        <f>-P10*(IF(G32="immediate",IF(F32&gt;0,F32*MIN(20,time_tot),0),F32*IF(time_tot&gt;time+20,20,IF(time_tot&lt;20,(time*VLOOKUP(G32,List!$E$35:$F$37,2,))+(time_tot-time),((MIN(20,time)*VLOOKUP(G32,List!$E$35:$F$37,2,))+(time_tot-MIN(20,time))-IF(G32="exponential",time_tot-20+0.217*time*(EXP(4.606*(20-time_tot)/time)-1),((time_tot-20)^2)*(0.5/time)))))))</f>
        <v>0</v>
      </c>
      <c r="L32" s="1507">
        <f t="shared" ref="L32:L46" si="8">D32*(Q10*methane+R10*Nitrous)/1000</f>
        <v>0</v>
      </c>
      <c r="M32" s="1507">
        <f t="shared" si="3"/>
        <v>0</v>
      </c>
      <c r="N32" s="1468">
        <f t="shared" ref="N32:N46" si="9">H32+J32+L32</f>
        <v>0</v>
      </c>
      <c r="O32" s="1469">
        <f t="shared" ref="O32:O46" si="10">I32+K32+M32</f>
        <v>0</v>
      </c>
      <c r="P32" s="1040">
        <f>O32-N32</f>
        <v>0</v>
      </c>
      <c r="Q32" s="242"/>
      <c r="U32" s="1951">
        <f t="shared" ref="U32:U46" si="11">IF(Q10&gt;0,D32,0)</f>
        <v>0</v>
      </c>
      <c r="V32" s="1951">
        <f t="shared" ref="V32:V46" si="12">IF(Q10&gt;0,F32,0)</f>
        <v>0</v>
      </c>
      <c r="W32" s="232"/>
      <c r="X32" s="232"/>
      <c r="Y32" s="748"/>
      <c r="Z32" s="1089"/>
      <c r="AA32" s="1089"/>
      <c r="AB32" s="1089"/>
      <c r="AC32" s="1089"/>
      <c r="AD32" s="1089"/>
      <c r="AE32" s="1089"/>
      <c r="AF32" s="1089"/>
      <c r="AG32" s="1089"/>
      <c r="AH32" s="1089"/>
      <c r="AI32" s="1089"/>
    </row>
    <row r="33" spans="1:35" s="605" customFormat="1" ht="13.8" thickBot="1">
      <c r="A33" s="240"/>
      <c r="B33" s="271" t="str">
        <f t="shared" si="4"/>
        <v>LUC-3</v>
      </c>
      <c r="C33" s="703" t="str">
        <f t="shared" si="5"/>
        <v/>
      </c>
      <c r="D33" s="1841">
        <f>'2.LUC'!M47</f>
        <v>0</v>
      </c>
      <c r="E33" s="2225" t="str">
        <f>VLOOKUP('2.LUC'!N47,List!$D$35:$E$37,2,)</f>
        <v>Linear</v>
      </c>
      <c r="F33" s="1841">
        <f>'2.LUC'!O47</f>
        <v>0</v>
      </c>
      <c r="G33" s="2225" t="str">
        <f>VLOOKUP('2.LUC'!P47,List!$D$35:$E$37,2,)</f>
        <v>Linear</v>
      </c>
      <c r="H33" s="1842">
        <f t="shared" si="6"/>
        <v>0</v>
      </c>
      <c r="I33" s="1843">
        <f t="shared" si="7"/>
        <v>0</v>
      </c>
      <c r="J33" s="1468">
        <f>-P11*(IF(E33="immediate",IF(D33&gt;0,D33*MIN(20,time_tot),0),D33*IF(time_tot&gt;time+20,20,IF(time_tot&lt;20,(time*VLOOKUP(E33,List!$E$35:$F$37,2,))+(time_tot-time),((MIN(20,time)*VLOOKUP(E33,List!$E$35:$F$37,2,))+(time_tot-MIN(20,time))-IF(E33="exponential",time_tot-20+0.217*time*(EXP(4.606*(20-time_tot)/time)-1),((time_tot-20)^2)*(0.5/time)))))))</f>
        <v>0</v>
      </c>
      <c r="K33" s="1469">
        <f>-P11*(IF(G33="immediate",IF(F33&gt;0,F33*MIN(20,time_tot),0),F33*IF(time_tot&gt;time+20,20,IF(time_tot&lt;20,(time*VLOOKUP(G33,List!$E$35:$F$37,2,))+(time_tot-time),((MIN(20,time)*VLOOKUP(G33,List!$E$35:$F$37,2,))+(time_tot-MIN(20,time))-IF(G33="exponential",time_tot-20+0.217*time*(EXP(4.606*(20-time_tot)/time)-1),((time_tot-20)^2)*(0.5/time)))))))</f>
        <v>0</v>
      </c>
      <c r="L33" s="1507">
        <f t="shared" si="8"/>
        <v>0</v>
      </c>
      <c r="M33" s="1507">
        <f t="shared" si="3"/>
        <v>0</v>
      </c>
      <c r="N33" s="1468">
        <f t="shared" si="9"/>
        <v>0</v>
      </c>
      <c r="O33" s="1469">
        <f t="shared" si="10"/>
        <v>0</v>
      </c>
      <c r="P33" s="1040">
        <f>O33-N33</f>
        <v>0</v>
      </c>
      <c r="Q33" s="242"/>
      <c r="U33" s="1951">
        <f t="shared" si="11"/>
        <v>0</v>
      </c>
      <c r="V33" s="1951">
        <f t="shared" si="12"/>
        <v>0</v>
      </c>
      <c r="W33" s="232"/>
      <c r="X33" s="232"/>
      <c r="Y33" s="748"/>
      <c r="Z33" s="1089"/>
      <c r="AA33" s="1089"/>
      <c r="AB33" s="1089"/>
      <c r="AC33" s="1089"/>
      <c r="AD33" s="1089"/>
      <c r="AE33" s="1089"/>
      <c r="AF33" s="1089"/>
      <c r="AG33" s="1089"/>
      <c r="AH33" s="1089"/>
      <c r="AI33" s="1089"/>
    </row>
    <row r="34" spans="1:35" s="605" customFormat="1" ht="13.8" thickBot="1">
      <c r="A34" s="240"/>
      <c r="B34" s="271" t="str">
        <f t="shared" si="4"/>
        <v>LUC-4</v>
      </c>
      <c r="C34" s="703" t="str">
        <f t="shared" si="5"/>
        <v/>
      </c>
      <c r="D34" s="1841">
        <f>'2.LUC'!M48</f>
        <v>0</v>
      </c>
      <c r="E34" s="2225" t="str">
        <f>VLOOKUP('2.LUC'!N48,List!$D$35:$E$37,2,)</f>
        <v>Linear</v>
      </c>
      <c r="F34" s="1841">
        <f>'2.LUC'!O48</f>
        <v>0</v>
      </c>
      <c r="G34" s="2225" t="str">
        <f>VLOOKUP('2.LUC'!P48,List!$D$35:$E$37,2,)</f>
        <v>Linear</v>
      </c>
      <c r="H34" s="1842">
        <f t="shared" si="6"/>
        <v>0</v>
      </c>
      <c r="I34" s="1843">
        <f t="shared" si="7"/>
        <v>0</v>
      </c>
      <c r="J34" s="1468">
        <f>-P12*(IF(E34="immediate",IF(D34&gt;0,D34*MIN(20,time_tot),0),D34*IF(time_tot&gt;time+20,20,IF(time_tot&lt;20,(time*VLOOKUP(E34,List!$E$35:$F$37,2,))+(time_tot-time),((MIN(20,time)*VLOOKUP(E34,List!$E$35:$F$37,2,))+(time_tot-MIN(20,time))-IF(E34="exponential",time_tot-20+0.217*time*(EXP(4.606*(20-time_tot)/time)-1),((time_tot-20)^2)*(0.5/time)))))))</f>
        <v>0</v>
      </c>
      <c r="K34" s="1469">
        <f>-P12*(IF(G34="immediate",IF(F34&gt;0,F34*MIN(20,time_tot),0),F34*IF(time_tot&gt;time+20,20,IF(time_tot&lt;20,(time*VLOOKUP(G34,List!$E$35:$F$37,2,))+(time_tot-time),((MIN(20,time)*VLOOKUP(G34,List!$E$35:$F$37,2,))+(time_tot-MIN(20,time))-IF(G34="exponential",time_tot-20+0.217*time*(EXP(4.606*(20-time_tot)/time)-1),((time_tot-20)^2)*(0.5/time)))))))</f>
        <v>0</v>
      </c>
      <c r="L34" s="1507">
        <f t="shared" si="8"/>
        <v>0</v>
      </c>
      <c r="M34" s="1507">
        <f t="shared" si="3"/>
        <v>0</v>
      </c>
      <c r="N34" s="1468">
        <f t="shared" si="9"/>
        <v>0</v>
      </c>
      <c r="O34" s="1469">
        <f t="shared" si="10"/>
        <v>0</v>
      </c>
      <c r="P34" s="1040">
        <f>O34-N34</f>
        <v>0</v>
      </c>
      <c r="Q34" s="242"/>
      <c r="U34" s="1951">
        <f t="shared" si="11"/>
        <v>0</v>
      </c>
      <c r="V34" s="1951">
        <f t="shared" si="12"/>
        <v>0</v>
      </c>
      <c r="W34" s="232"/>
      <c r="X34" s="232"/>
      <c r="Y34" s="748"/>
      <c r="Z34" s="1089"/>
      <c r="AA34" s="1089"/>
      <c r="AB34" s="1089"/>
      <c r="AC34" s="1089"/>
      <c r="AD34" s="1089"/>
      <c r="AE34" s="1089"/>
      <c r="AF34" s="1089"/>
      <c r="AG34" s="1089"/>
      <c r="AH34" s="1089"/>
      <c r="AI34" s="1089"/>
    </row>
    <row r="35" spans="1:35" s="605" customFormat="1" ht="13.8" thickBot="1">
      <c r="A35" s="240"/>
      <c r="B35" s="271" t="str">
        <f t="shared" si="4"/>
        <v>LUC-5</v>
      </c>
      <c r="C35" s="703" t="str">
        <f t="shared" si="5"/>
        <v/>
      </c>
      <c r="D35" s="1841">
        <f>'2.LUC'!M49</f>
        <v>0</v>
      </c>
      <c r="E35" s="2225" t="str">
        <f>VLOOKUP('2.LUC'!N49,List!$D$35:$E$37,2,)</f>
        <v>Linear</v>
      </c>
      <c r="F35" s="1841">
        <f>'2.LUC'!O49</f>
        <v>0</v>
      </c>
      <c r="G35" s="2225" t="str">
        <f>VLOOKUP('2.LUC'!P49,List!$D$35:$E$37,2,)</f>
        <v>Linear</v>
      </c>
      <c r="H35" s="1842">
        <f t="shared" si="6"/>
        <v>0</v>
      </c>
      <c r="I35" s="1843">
        <f t="shared" si="7"/>
        <v>0</v>
      </c>
      <c r="J35" s="1468">
        <f>-P13*(IF(E35="immediate",IF(D35&gt;0,D35*MIN(20,time_tot),0),D35*IF(time_tot&gt;time+20,20,IF(time_tot&lt;20,(time*VLOOKUP(E35,List!$E$35:$F$37,2,))+(time_tot-time),((MIN(20,time)*VLOOKUP(E35,List!$E$35:$F$37,2,))+(time_tot-MIN(20,time))-IF(E35="exponential",time_tot-20+0.217*time*(EXP(4.606*(20-time_tot)/time)-1),((time_tot-20)^2)*(0.5/time)))))))</f>
        <v>0</v>
      </c>
      <c r="K35" s="1469">
        <f>-P13*(IF(G35="immediate",IF(F35&gt;0,F35*MIN(20,time_tot),0),F35*IF(time_tot&gt;time+20,20,IF(time_tot&lt;20,(time*VLOOKUP(G35,List!$E$35:$F$37,2,))+(time_tot-time),((MIN(20,time)*VLOOKUP(G35,List!$E$35:$F$37,2,))+(time_tot-MIN(20,time))-IF(G35="exponential",time_tot-20+0.217*time*(EXP(4.606*(20-time_tot)/time)-1),((time_tot-20)^2)*(0.5/time)))))))</f>
        <v>0</v>
      </c>
      <c r="L35" s="1507">
        <f t="shared" si="8"/>
        <v>0</v>
      </c>
      <c r="M35" s="1507">
        <f t="shared" si="3"/>
        <v>0</v>
      </c>
      <c r="N35" s="1468">
        <f t="shared" si="9"/>
        <v>0</v>
      </c>
      <c r="O35" s="1469">
        <f t="shared" si="10"/>
        <v>0</v>
      </c>
      <c r="P35" s="1040">
        <f>O35-N35</f>
        <v>0</v>
      </c>
      <c r="Q35" s="242"/>
      <c r="U35" s="1951">
        <f t="shared" si="11"/>
        <v>0</v>
      </c>
      <c r="V35" s="1951">
        <f t="shared" si="12"/>
        <v>0</v>
      </c>
      <c r="W35" s="232"/>
      <c r="X35" s="232"/>
      <c r="Y35" s="748"/>
      <c r="Z35" s="1089"/>
      <c r="AA35" s="1089"/>
      <c r="AB35" s="1089"/>
      <c r="AC35" s="1089"/>
      <c r="AD35" s="1089"/>
      <c r="AE35" s="1089"/>
      <c r="AF35" s="1089"/>
      <c r="AG35" s="1089"/>
      <c r="AH35" s="1089"/>
      <c r="AI35" s="1089"/>
    </row>
    <row r="36" spans="1:35" s="605" customFormat="1" ht="13.8" thickBot="1">
      <c r="A36" s="240"/>
      <c r="B36" s="271" t="str">
        <f t="shared" si="4"/>
        <v>LUC-6</v>
      </c>
      <c r="C36" s="703" t="str">
        <f t="shared" si="5"/>
        <v/>
      </c>
      <c r="D36" s="1841">
        <f>'2.LUC'!M50</f>
        <v>0</v>
      </c>
      <c r="E36" s="2225" t="str">
        <f>VLOOKUP('2.LUC'!N50,List!$D$35:$E$37,2,)</f>
        <v>Linear</v>
      </c>
      <c r="F36" s="1841">
        <f>'2.LUC'!O50</f>
        <v>0</v>
      </c>
      <c r="G36" s="2225" t="str">
        <f>VLOOKUP('2.LUC'!P50,List!$D$35:$E$37,2,)</f>
        <v>Linear</v>
      </c>
      <c r="H36" s="1842">
        <f t="shared" si="6"/>
        <v>0</v>
      </c>
      <c r="I36" s="1843">
        <f t="shared" si="7"/>
        <v>0</v>
      </c>
      <c r="J36" s="1468">
        <f>-P14*(IF(E36="immediate",IF(D36&gt;0,D36*MIN(20,time_tot),0),D36*IF(time_tot&gt;time+20,20,IF(time_tot&lt;20,(time*VLOOKUP(E36,List!$E$35:$F$37,2,))+(time_tot-time),((MIN(20,time)*VLOOKUP(E36,List!$E$35:$F$37,2,))+(time_tot-MIN(20,time))-IF(E36="exponential",time_tot-20+0.217*time*(EXP(4.606*(20-time_tot)/time)-1),((time_tot-20)^2)*(0.5/time)))))))</f>
        <v>0</v>
      </c>
      <c r="K36" s="1469">
        <f>-P14*(IF(G36="immediate",IF(F36&gt;0,F36*MIN(20,time_tot),0),F36*IF(time_tot&gt;time+20,20,IF(time_tot&lt;20,(time*VLOOKUP(G36,List!$E$35:$F$37,2,))+(time_tot-time),((MIN(20,time)*VLOOKUP(G36,List!$E$35:$F$37,2,))+(time_tot-MIN(20,time))-IF(G36="exponential",time_tot-20+0.217*time*(EXP(4.606*(20-time_tot)/time)-1),((time_tot-20)^2)*(0.5/time)))))))</f>
        <v>0</v>
      </c>
      <c r="L36" s="1507">
        <f t="shared" si="8"/>
        <v>0</v>
      </c>
      <c r="M36" s="1507">
        <f t="shared" si="3"/>
        <v>0</v>
      </c>
      <c r="N36" s="1468">
        <f t="shared" si="9"/>
        <v>0</v>
      </c>
      <c r="O36" s="1469">
        <f t="shared" si="10"/>
        <v>0</v>
      </c>
      <c r="P36" s="1040">
        <f t="shared" ref="P36:P46" si="13">O36-N36</f>
        <v>0</v>
      </c>
      <c r="Q36" s="242"/>
      <c r="U36" s="1951">
        <f t="shared" si="11"/>
        <v>0</v>
      </c>
      <c r="V36" s="1951">
        <f t="shared" si="12"/>
        <v>0</v>
      </c>
      <c r="W36" s="232"/>
      <c r="X36" s="232"/>
      <c r="Y36" s="748"/>
      <c r="Z36" s="1089"/>
      <c r="AA36" s="1089"/>
      <c r="AB36" s="1089"/>
      <c r="AC36" s="1089"/>
      <c r="AD36" s="1089"/>
      <c r="AE36" s="1089"/>
      <c r="AF36" s="1089"/>
      <c r="AG36" s="1089"/>
      <c r="AH36" s="1089"/>
      <c r="AI36" s="1089"/>
    </row>
    <row r="37" spans="1:35" s="605" customFormat="1" ht="13.8" thickBot="1">
      <c r="A37" s="240"/>
      <c r="B37" s="271" t="str">
        <f t="shared" si="4"/>
        <v>LUC-7</v>
      </c>
      <c r="C37" s="703" t="str">
        <f t="shared" si="5"/>
        <v/>
      </c>
      <c r="D37" s="1841">
        <f>'2.LUC'!M51</f>
        <v>0</v>
      </c>
      <c r="E37" s="2225" t="str">
        <f>VLOOKUP('2.LUC'!N51,List!$D$35:$E$37,2,)</f>
        <v>Linear</v>
      </c>
      <c r="F37" s="1841">
        <f>'2.LUC'!O51</f>
        <v>0</v>
      </c>
      <c r="G37" s="2225" t="str">
        <f>VLOOKUP('2.LUC'!P51,List!$D$35:$E$37,2,)</f>
        <v>Linear</v>
      </c>
      <c r="H37" s="1842">
        <f t="shared" si="6"/>
        <v>0</v>
      </c>
      <c r="I37" s="1843">
        <f t="shared" si="7"/>
        <v>0</v>
      </c>
      <c r="J37" s="1468">
        <f>-P15*(IF(E37="immediate",IF(D37&gt;0,D37*MIN(20,time_tot),0),D37*IF(time_tot&gt;time+20,20,IF(time_tot&lt;20,(time*VLOOKUP(E37,List!$E$35:$F$37,2,))+(time_tot-time),((MIN(20,time)*VLOOKUP(E37,List!$E$35:$F$37,2,))+(time_tot-MIN(20,time))-IF(E37="exponential",time_tot-20+0.217*time*(EXP(4.606*(20-time_tot)/time)-1),((time_tot-20)^2)*(0.5/time)))))))</f>
        <v>0</v>
      </c>
      <c r="K37" s="1469">
        <f>-P15*(IF(G37="immediate",IF(F37&gt;0,F37*MIN(20,time_tot),0),F37*IF(time_tot&gt;time+20,20,IF(time_tot&lt;20,(time*VLOOKUP(G37,List!$E$35:$F$37,2,))+(time_tot-time),((MIN(20,time)*VLOOKUP(G37,List!$E$35:$F$37,2,))+(time_tot-MIN(20,time))-IF(G37="exponential",time_tot-20+0.217*time*(EXP(4.606*(20-time_tot)/time)-1),((time_tot-20)^2)*(0.5/time)))))))</f>
        <v>0</v>
      </c>
      <c r="L37" s="1507">
        <f t="shared" si="8"/>
        <v>0</v>
      </c>
      <c r="M37" s="1507">
        <f t="shared" si="3"/>
        <v>0</v>
      </c>
      <c r="N37" s="1468">
        <f t="shared" si="9"/>
        <v>0</v>
      </c>
      <c r="O37" s="1469">
        <f t="shared" si="10"/>
        <v>0</v>
      </c>
      <c r="P37" s="1040">
        <f t="shared" si="13"/>
        <v>0</v>
      </c>
      <c r="Q37" s="242"/>
      <c r="U37" s="1951">
        <f t="shared" si="11"/>
        <v>0</v>
      </c>
      <c r="V37" s="1951">
        <f t="shared" si="12"/>
        <v>0</v>
      </c>
      <c r="W37" s="232"/>
      <c r="X37" s="232"/>
      <c r="Y37" s="748"/>
      <c r="Z37" s="1089"/>
      <c r="AA37" s="1089"/>
      <c r="AB37" s="1089"/>
      <c r="AC37" s="1089"/>
      <c r="AD37" s="1089"/>
      <c r="AE37" s="1089"/>
      <c r="AF37" s="1089"/>
      <c r="AG37" s="1089"/>
      <c r="AH37" s="1089"/>
      <c r="AI37" s="1089"/>
    </row>
    <row r="38" spans="1:35" s="605" customFormat="1" ht="13.8" thickBot="1">
      <c r="A38" s="240"/>
      <c r="B38" s="271" t="str">
        <f t="shared" si="4"/>
        <v>LUC-8</v>
      </c>
      <c r="C38" s="703" t="str">
        <f t="shared" si="5"/>
        <v/>
      </c>
      <c r="D38" s="1841">
        <f>'2.LUC'!M52</f>
        <v>0</v>
      </c>
      <c r="E38" s="2225" t="str">
        <f>VLOOKUP('2.LUC'!N52,List!$D$35:$E$37,2,)</f>
        <v>Linear</v>
      </c>
      <c r="F38" s="1841">
        <f>'2.LUC'!O52</f>
        <v>0</v>
      </c>
      <c r="G38" s="2225" t="str">
        <f>VLOOKUP('2.LUC'!P52,List!$D$35:$E$37,2,)</f>
        <v>Linear</v>
      </c>
      <c r="H38" s="1842">
        <f t="shared" si="6"/>
        <v>0</v>
      </c>
      <c r="I38" s="1843">
        <f t="shared" si="7"/>
        <v>0</v>
      </c>
      <c r="J38" s="1468">
        <f>-P16*(IF(E38="immediate",IF(D38&gt;0,D38*MIN(20,time_tot),0),D38*IF(time_tot&gt;time+20,20,IF(time_tot&lt;20,(time*VLOOKUP(E38,List!$E$35:$F$37,2,))+(time_tot-time),((MIN(20,time)*VLOOKUP(E38,List!$E$35:$F$37,2,))+(time_tot-MIN(20,time))-IF(E38="exponential",time_tot-20+0.217*time*(EXP(4.606*(20-time_tot)/time)-1),((time_tot-20)^2)*(0.5/time)))))))</f>
        <v>0</v>
      </c>
      <c r="K38" s="1469">
        <f>-P16*(IF(G38="immediate",IF(F38&gt;0,F38*MIN(20,time_tot),0),F38*IF(time_tot&gt;time+20,20,IF(time_tot&lt;20,(time*VLOOKUP(G38,List!$E$35:$F$37,2,))+(time_tot-time),((MIN(20,time)*VLOOKUP(G38,List!$E$35:$F$37,2,))+(time_tot-MIN(20,time))-IF(G38="exponential",time_tot-20+0.217*time*(EXP(4.606*(20-time_tot)/time)-1),((time_tot-20)^2)*(0.5/time)))))))</f>
        <v>0</v>
      </c>
      <c r="L38" s="1507">
        <f t="shared" si="8"/>
        <v>0</v>
      </c>
      <c r="M38" s="1507">
        <f t="shared" si="3"/>
        <v>0</v>
      </c>
      <c r="N38" s="1468">
        <f t="shared" si="9"/>
        <v>0</v>
      </c>
      <c r="O38" s="1469">
        <f t="shared" si="10"/>
        <v>0</v>
      </c>
      <c r="P38" s="1040">
        <f t="shared" si="13"/>
        <v>0</v>
      </c>
      <c r="Q38" s="242"/>
      <c r="U38" s="1951">
        <f t="shared" si="11"/>
        <v>0</v>
      </c>
      <c r="V38" s="1951">
        <f t="shared" si="12"/>
        <v>0</v>
      </c>
      <c r="W38" s="232"/>
      <c r="X38" s="232"/>
      <c r="Y38" s="748"/>
      <c r="Z38" s="1089"/>
      <c r="AA38" s="1089"/>
      <c r="AB38" s="1089"/>
      <c r="AC38" s="1089"/>
      <c r="AD38" s="1089"/>
      <c r="AE38" s="1089"/>
      <c r="AF38" s="1089"/>
      <c r="AG38" s="1089"/>
      <c r="AH38" s="1089"/>
      <c r="AI38" s="1089"/>
    </row>
    <row r="39" spans="1:35" ht="13.8" thickBot="1">
      <c r="A39" s="240"/>
      <c r="B39" s="271" t="str">
        <f t="shared" si="4"/>
        <v>LUC-9</v>
      </c>
      <c r="C39" s="703" t="str">
        <f t="shared" si="5"/>
        <v/>
      </c>
      <c r="D39" s="1841">
        <f>'2.LUC'!M53</f>
        <v>0</v>
      </c>
      <c r="E39" s="2225" t="str">
        <f>VLOOKUP('2.LUC'!N53,List!$D$35:$E$37,2,)</f>
        <v>Linear</v>
      </c>
      <c r="F39" s="1841">
        <f>'2.LUC'!O53</f>
        <v>0</v>
      </c>
      <c r="G39" s="2225" t="str">
        <f>VLOOKUP('2.LUC'!P53,List!$D$35:$E$37,2,)</f>
        <v>Linear</v>
      </c>
      <c r="H39" s="1842">
        <f t="shared" si="6"/>
        <v>0</v>
      </c>
      <c r="I39" s="1843">
        <f t="shared" si="7"/>
        <v>0</v>
      </c>
      <c r="J39" s="1468">
        <f>-P17*(IF(E39="immediate",IF(D39&gt;0,D39*MIN(20,time_tot),0),D39*IF(time_tot&gt;time+20,20,IF(time_tot&lt;20,(time*VLOOKUP(E39,List!$E$35:$F$37,2,))+(time_tot-time),((MIN(20,time)*VLOOKUP(E39,List!$E$35:$F$37,2,))+(time_tot-MIN(20,time))-IF(E39="exponential",time_tot-20+0.217*time*(EXP(4.606*(20-time_tot)/time)-1),((time_tot-20)^2)*(0.5/time)))))))</f>
        <v>0</v>
      </c>
      <c r="K39" s="1469">
        <f>-P17*(IF(G39="immediate",IF(F39&gt;0,F39*MIN(20,time_tot),0),F39*IF(time_tot&gt;time+20,20,IF(time_tot&lt;20,(time*VLOOKUP(G39,List!$E$35:$F$37,2,))+(time_tot-time),((MIN(20,time)*VLOOKUP(G39,List!$E$35:$F$37,2,))+(time_tot-MIN(20,time))-IF(G39="exponential",time_tot-20+0.217*time*(EXP(4.606*(20-time_tot)/time)-1),((time_tot-20)^2)*(0.5/time)))))))</f>
        <v>0</v>
      </c>
      <c r="L39" s="1507">
        <f t="shared" si="8"/>
        <v>0</v>
      </c>
      <c r="M39" s="1507">
        <f t="shared" si="3"/>
        <v>0</v>
      </c>
      <c r="N39" s="1468">
        <f t="shared" si="9"/>
        <v>0</v>
      </c>
      <c r="O39" s="1469">
        <f t="shared" si="10"/>
        <v>0</v>
      </c>
      <c r="P39" s="1040">
        <f t="shared" si="13"/>
        <v>0</v>
      </c>
      <c r="Q39" s="242"/>
      <c r="U39" s="1951">
        <f t="shared" si="11"/>
        <v>0</v>
      </c>
      <c r="V39" s="1951">
        <f t="shared" si="12"/>
        <v>0</v>
      </c>
      <c r="X39" s="232"/>
      <c r="Y39" s="748"/>
      <c r="Z39" s="1089"/>
      <c r="AA39" s="1089"/>
    </row>
    <row r="40" spans="1:35">
      <c r="A40" s="240"/>
      <c r="B40" s="271" t="str">
        <f t="shared" si="4"/>
        <v>LUC-10</v>
      </c>
      <c r="C40" s="703" t="str">
        <f t="shared" si="5"/>
        <v/>
      </c>
      <c r="D40" s="1841">
        <f>'2.LUC'!M54</f>
        <v>0</v>
      </c>
      <c r="E40" s="2225" t="str">
        <f>VLOOKUP('2.LUC'!N54,List!$D$35:$E$37,2,)</f>
        <v>Linear</v>
      </c>
      <c r="F40" s="1841">
        <f>'2.LUC'!O54</f>
        <v>0</v>
      </c>
      <c r="G40" s="2225" t="str">
        <f>VLOOKUP('2.LUC'!P54,List!$D$35:$E$37,2,)</f>
        <v>Linear</v>
      </c>
      <c r="H40" s="1842">
        <f t="shared" si="6"/>
        <v>0</v>
      </c>
      <c r="I40" s="1843">
        <f t="shared" si="7"/>
        <v>0</v>
      </c>
      <c r="J40" s="1468">
        <f>-P18*(IF(E40="immediate",IF(D40&gt;0,D40*MIN(20,time_tot),0),D40*IF(time_tot&gt;time+20,20,IF(time_tot&lt;20,(time*VLOOKUP(E40,List!$E$35:$F$37,2,))+(time_tot-time),((MIN(20,time)*VLOOKUP(E40,List!$E$35:$F$37,2,))+(time_tot-MIN(20,time))-IF(E40="exponential",time_tot-20+0.217*time*(EXP(4.606*(20-time_tot)/time)-1),((time_tot-20)^2)*(0.5/time)))))))</f>
        <v>0</v>
      </c>
      <c r="K40" s="1469">
        <f>-P18*(IF(G40="immediate",IF(F40&gt;0,F40*MIN(20,time_tot),0),F40*IF(time_tot&gt;time+20,20,IF(time_tot&lt;20,(time*VLOOKUP(G40,List!$E$35:$F$37,2,))+(time_tot-time),((MIN(20,time)*VLOOKUP(G40,List!$E$35:$F$37,2,))+(time_tot-MIN(20,time))-IF(G40="exponential",time_tot-20+0.217*time*(EXP(4.606*(20-time_tot)/time)-1),((time_tot-20)^2)*(0.5/time)))))))</f>
        <v>0</v>
      </c>
      <c r="L40" s="1507">
        <f t="shared" si="8"/>
        <v>0</v>
      </c>
      <c r="M40" s="1507">
        <f t="shared" si="3"/>
        <v>0</v>
      </c>
      <c r="N40" s="1468">
        <f t="shared" si="9"/>
        <v>0</v>
      </c>
      <c r="O40" s="1469">
        <f t="shared" si="10"/>
        <v>0</v>
      </c>
      <c r="P40" s="1040">
        <f t="shared" si="13"/>
        <v>0</v>
      </c>
      <c r="Q40" s="242"/>
      <c r="U40" s="1951">
        <f t="shared" si="11"/>
        <v>0</v>
      </c>
      <c r="V40" s="1951">
        <f t="shared" si="12"/>
        <v>0</v>
      </c>
      <c r="X40" s="232"/>
      <c r="Y40" s="748"/>
      <c r="Z40" s="1089"/>
      <c r="AA40" s="1089"/>
    </row>
    <row r="41" spans="1:35">
      <c r="A41" s="240"/>
      <c r="B41" s="271" t="str">
        <f t="shared" si="4"/>
        <v>LUC-11</v>
      </c>
      <c r="C41" s="703" t="str">
        <f t="shared" si="5"/>
        <v/>
      </c>
      <c r="D41" s="535">
        <v>0</v>
      </c>
      <c r="E41" s="684" t="s">
        <v>356</v>
      </c>
      <c r="F41" s="535">
        <v>0</v>
      </c>
      <c r="G41" s="694" t="s">
        <v>356</v>
      </c>
      <c r="H41" s="1842">
        <f t="shared" si="6"/>
        <v>0</v>
      </c>
      <c r="I41" s="1843">
        <f t="shared" si="7"/>
        <v>0</v>
      </c>
      <c r="J41" s="1468">
        <f>-P19*(IF(E41="immediate",IF(D41&gt;0,D41*MIN(20,time_tot),0),D41*IF(time_tot&gt;time+20,20,IF(time_tot&lt;20,(time*VLOOKUP(E41,List!$E$35:$F$37,2,))+(time_tot-time),((MIN(20,time)*VLOOKUP(E41,List!$E$35:$F$37,2,))+(time_tot-MIN(20,time))-IF(E41="exponential",time_tot-20+0.217*time*(EXP(4.606*(20-time_tot)/time)-1),((time_tot-20)^2)*(0.5/time)))))))</f>
        <v>0</v>
      </c>
      <c r="K41" s="1469">
        <f>-P19*(IF(G41="immediate",IF(F41&gt;0,F41*MIN(20,time_tot),0),F41*IF(time_tot&gt;time+20,20,IF(time_tot&lt;20,(time*VLOOKUP(G41,List!$E$35:$F$37,2,))+(time_tot-time),((MIN(20,time)*VLOOKUP(G41,List!$E$35:$F$37,2,))+(time_tot-MIN(20,time))-IF(G41="exponential",time_tot-20+0.217*time*(EXP(4.606*(20-time_tot)/time)-1),((time_tot-20)^2)*(0.5/time)))))))</f>
        <v>0</v>
      </c>
      <c r="L41" s="1507">
        <f t="shared" si="8"/>
        <v>0</v>
      </c>
      <c r="M41" s="1507">
        <f t="shared" si="3"/>
        <v>0</v>
      </c>
      <c r="N41" s="1468">
        <f t="shared" si="9"/>
        <v>0</v>
      </c>
      <c r="O41" s="1469">
        <f t="shared" si="10"/>
        <v>0</v>
      </c>
      <c r="P41" s="1040">
        <f t="shared" si="13"/>
        <v>0</v>
      </c>
      <c r="Q41" s="712"/>
      <c r="U41" s="1951">
        <f t="shared" si="11"/>
        <v>0</v>
      </c>
      <c r="V41" s="1951">
        <f t="shared" si="12"/>
        <v>0</v>
      </c>
      <c r="X41" s="232"/>
      <c r="Y41" s="748"/>
      <c r="Z41" s="1089"/>
      <c r="AA41" s="1089"/>
    </row>
    <row r="42" spans="1:35">
      <c r="A42" s="240"/>
      <c r="B42" s="271" t="str">
        <f t="shared" si="4"/>
        <v>LUC-12</v>
      </c>
      <c r="C42" s="703" t="str">
        <f t="shared" si="5"/>
        <v/>
      </c>
      <c r="D42" s="535">
        <v>0</v>
      </c>
      <c r="E42" s="684" t="s">
        <v>356</v>
      </c>
      <c r="F42" s="535">
        <v>0</v>
      </c>
      <c r="G42" s="694" t="s">
        <v>356</v>
      </c>
      <c r="H42" s="1842">
        <f t="shared" si="6"/>
        <v>0</v>
      </c>
      <c r="I42" s="1843">
        <f t="shared" si="7"/>
        <v>0</v>
      </c>
      <c r="J42" s="1468">
        <f>-P20*(IF(E42="immediate",IF(D42&gt;0,D42*MIN(20,time_tot),0),D42*IF(time_tot&gt;time+20,20,IF(time_tot&lt;20,(time*VLOOKUP(E42,List!$E$35:$F$37,2,))+(time_tot-time),((MIN(20,time)*VLOOKUP(E42,List!$E$35:$F$37,2,))+(time_tot-MIN(20,time))-IF(E42="exponential",time_tot-20+0.217*time*(EXP(4.606*(20-time_tot)/time)-1),((time_tot-20)^2)*(0.5/time)))))))</f>
        <v>0</v>
      </c>
      <c r="K42" s="1469">
        <f>-P20*(IF(G42="immediate",IF(F42&gt;0,F42*MIN(20,time_tot),0),F42*IF(time_tot&gt;time+20,20,IF(time_tot&lt;20,(time*VLOOKUP(G42,List!$E$35:$F$37,2,))+(time_tot-time),((MIN(20,time)*VLOOKUP(G42,List!$E$35:$F$37,2,))+(time_tot-MIN(20,time))-IF(G42="exponential",time_tot-20+0.217*time*(EXP(4.606*(20-time_tot)/time)-1),((time_tot-20)^2)*(0.5/time)))))))</f>
        <v>0</v>
      </c>
      <c r="L42" s="1507">
        <f t="shared" si="8"/>
        <v>0</v>
      </c>
      <c r="M42" s="1507">
        <f t="shared" si="3"/>
        <v>0</v>
      </c>
      <c r="N42" s="1468">
        <f t="shared" si="9"/>
        <v>0</v>
      </c>
      <c r="O42" s="1469">
        <f t="shared" si="10"/>
        <v>0</v>
      </c>
      <c r="P42" s="1040">
        <f t="shared" si="13"/>
        <v>0</v>
      </c>
      <c r="Q42" s="712"/>
      <c r="U42" s="1951">
        <f t="shared" si="11"/>
        <v>0</v>
      </c>
      <c r="V42" s="1951">
        <f t="shared" si="12"/>
        <v>0</v>
      </c>
      <c r="X42" s="232"/>
      <c r="Y42" s="748"/>
      <c r="Z42" s="1089"/>
      <c r="AA42" s="1089"/>
    </row>
    <row r="43" spans="1:35">
      <c r="A43" s="240"/>
      <c r="B43" s="271" t="str">
        <f t="shared" si="4"/>
        <v>LUC-13</v>
      </c>
      <c r="C43" s="703" t="str">
        <f t="shared" si="5"/>
        <v/>
      </c>
      <c r="D43" s="535">
        <v>0</v>
      </c>
      <c r="E43" s="684" t="s">
        <v>356</v>
      </c>
      <c r="F43" s="535">
        <v>0</v>
      </c>
      <c r="G43" s="694" t="s">
        <v>356</v>
      </c>
      <c r="H43" s="1842">
        <f t="shared" si="6"/>
        <v>0</v>
      </c>
      <c r="I43" s="1843">
        <f t="shared" si="7"/>
        <v>0</v>
      </c>
      <c r="J43" s="1468">
        <f>-P21*(IF(E43="immediate",IF(D43&gt;0,D43*MIN(20,time_tot),0),D43*IF(time_tot&gt;time+20,20,IF(time_tot&lt;20,(time*VLOOKUP(E43,List!$E$35:$F$37,2,))+(time_tot-time),((MIN(20,time)*VLOOKUP(E43,List!$E$35:$F$37,2,))+(time_tot-MIN(20,time))-IF(E43="exponential",time_tot-20+0.217*time*(EXP(4.606*(20-time_tot)/time)-1),((time_tot-20)^2)*(0.5/time)))))))</f>
        <v>0</v>
      </c>
      <c r="K43" s="1469">
        <f>-P21*(IF(G43="immediate",IF(F43&gt;0,F43*MIN(20,time_tot),0),F43*IF(time_tot&gt;time+20,20,IF(time_tot&lt;20,(time*VLOOKUP(G43,List!$E$35:$F$37,2,))+(time_tot-time),((MIN(20,time)*VLOOKUP(G43,List!$E$35:$F$37,2,))+(time_tot-MIN(20,time))-IF(G43="exponential",time_tot-20+0.217*time*(EXP(4.606*(20-time_tot)/time)-1),((time_tot-20)^2)*(0.5/time)))))))</f>
        <v>0</v>
      </c>
      <c r="L43" s="1507">
        <f t="shared" si="8"/>
        <v>0</v>
      </c>
      <c r="M43" s="1507">
        <f t="shared" si="3"/>
        <v>0</v>
      </c>
      <c r="N43" s="1468">
        <f t="shared" si="9"/>
        <v>0</v>
      </c>
      <c r="O43" s="1469">
        <f t="shared" si="10"/>
        <v>0</v>
      </c>
      <c r="P43" s="1040">
        <f t="shared" si="13"/>
        <v>0</v>
      </c>
      <c r="Q43" s="712"/>
      <c r="U43" s="1951">
        <f t="shared" si="11"/>
        <v>0</v>
      </c>
      <c r="V43" s="1951">
        <f t="shared" si="12"/>
        <v>0</v>
      </c>
      <c r="X43" s="232"/>
      <c r="Y43" s="748"/>
      <c r="Z43" s="1089"/>
      <c r="AA43" s="1089"/>
    </row>
    <row r="44" spans="1:35">
      <c r="A44" s="240"/>
      <c r="B44" s="271" t="str">
        <f t="shared" si="4"/>
        <v>LUC-14</v>
      </c>
      <c r="C44" s="703" t="str">
        <f t="shared" si="5"/>
        <v/>
      </c>
      <c r="D44" s="535">
        <v>0</v>
      </c>
      <c r="E44" s="684" t="s">
        <v>356</v>
      </c>
      <c r="F44" s="535">
        <v>0</v>
      </c>
      <c r="G44" s="694" t="s">
        <v>356</v>
      </c>
      <c r="H44" s="1842">
        <f t="shared" si="6"/>
        <v>0</v>
      </c>
      <c r="I44" s="1843">
        <f t="shared" si="7"/>
        <v>0</v>
      </c>
      <c r="J44" s="1468">
        <f>-P22*(IF(E44="immediate",IF(D44&gt;0,D44*MIN(20,time_tot),0),D44*IF(time_tot&gt;time+20,20,IF(time_tot&lt;20,(time*VLOOKUP(E44,List!$E$35:$F$37,2,))+(time_tot-time),((MIN(20,time)*VLOOKUP(E44,List!$E$35:$F$37,2,))+(time_tot-MIN(20,time))-IF(E44="exponential",time_tot-20+0.217*time*(EXP(4.606*(20-time_tot)/time)-1),((time_tot-20)^2)*(0.5/time)))))))</f>
        <v>0</v>
      </c>
      <c r="K44" s="1469">
        <f>-P22*(IF(G44="immediate",IF(F44&gt;0,F44*MIN(20,time_tot),0),F44*IF(time_tot&gt;time+20,20,IF(time_tot&lt;20,(time*VLOOKUP(G44,List!$E$35:$F$37,2,))+(time_tot-time),((MIN(20,time)*VLOOKUP(G44,List!$E$35:$F$37,2,))+(time_tot-MIN(20,time))-IF(G44="exponential",time_tot-20+0.217*time*(EXP(4.606*(20-time_tot)/time)-1),((time_tot-20)^2)*(0.5/time)))))))</f>
        <v>0</v>
      </c>
      <c r="L44" s="1507">
        <f t="shared" si="8"/>
        <v>0</v>
      </c>
      <c r="M44" s="1507">
        <f t="shared" si="3"/>
        <v>0</v>
      </c>
      <c r="N44" s="1468">
        <f t="shared" si="9"/>
        <v>0</v>
      </c>
      <c r="O44" s="1469">
        <f t="shared" si="10"/>
        <v>0</v>
      </c>
      <c r="P44" s="1040">
        <f t="shared" si="13"/>
        <v>0</v>
      </c>
      <c r="Q44" s="712"/>
      <c r="U44" s="1951">
        <f t="shared" si="11"/>
        <v>0</v>
      </c>
      <c r="V44" s="1951">
        <f t="shared" si="12"/>
        <v>0</v>
      </c>
      <c r="X44" s="232"/>
      <c r="Y44" s="748"/>
      <c r="Z44" s="1089"/>
      <c r="AA44" s="1089"/>
    </row>
    <row r="45" spans="1:35">
      <c r="A45" s="240"/>
      <c r="B45" s="271" t="str">
        <f>B23</f>
        <v>LUC-15</v>
      </c>
      <c r="C45" s="703" t="str">
        <f t="shared" si="5"/>
        <v/>
      </c>
      <c r="D45" s="535">
        <v>0</v>
      </c>
      <c r="E45" s="684" t="s">
        <v>356</v>
      </c>
      <c r="F45" s="535">
        <v>0</v>
      </c>
      <c r="G45" s="694" t="s">
        <v>356</v>
      </c>
      <c r="H45" s="1842">
        <f t="shared" si="6"/>
        <v>0</v>
      </c>
      <c r="I45" s="1843">
        <f t="shared" si="7"/>
        <v>0</v>
      </c>
      <c r="J45" s="1468">
        <f>-P23*(IF(E45="immediate",IF(D45&gt;0,D45*MIN(20,time_tot),0),D45*IF(time_tot&gt;time+20,20,IF(time_tot&lt;20,(time*VLOOKUP(E45,List!$E$35:$F$37,2,))+(time_tot-time),((MIN(20,time)*VLOOKUP(E45,List!$E$35:$F$37,2,))+(time_tot-MIN(20,time))-IF(E45="exponential",time_tot-20+0.217*time*(EXP(4.606*(20-time_tot)/time)-1),((time_tot-20)^2)*(0.5/time)))))))</f>
        <v>0</v>
      </c>
      <c r="K45" s="1469">
        <f>-P23*(IF(G45="immediate",IF(F45&gt;0,F45*MIN(20,time_tot),0),F45*IF(time_tot&gt;time+20,20,IF(time_tot&lt;20,(time*VLOOKUP(G45,List!$E$35:$F$37,2,))+(time_tot-time),((MIN(20,time)*VLOOKUP(G45,List!$E$35:$F$37,2,))+(time_tot-MIN(20,time))-IF(G45="exponential",time_tot-20+0.217*time*(EXP(4.606*(20-time_tot)/time)-1),((time_tot-20)^2)*(0.5/time)))))))</f>
        <v>0</v>
      </c>
      <c r="L45" s="1507">
        <f t="shared" si="8"/>
        <v>0</v>
      </c>
      <c r="M45" s="1507">
        <f t="shared" si="3"/>
        <v>0</v>
      </c>
      <c r="N45" s="1468">
        <f t="shared" si="9"/>
        <v>0</v>
      </c>
      <c r="O45" s="1469">
        <f t="shared" si="10"/>
        <v>0</v>
      </c>
      <c r="P45" s="1040">
        <f t="shared" si="13"/>
        <v>0</v>
      </c>
      <c r="Q45" s="712"/>
      <c r="U45" s="1951">
        <f t="shared" si="11"/>
        <v>0</v>
      </c>
      <c r="V45" s="1951">
        <f t="shared" si="12"/>
        <v>0</v>
      </c>
      <c r="X45" s="232"/>
      <c r="Y45" s="748"/>
      <c r="Z45" s="1089"/>
      <c r="AA45" s="1089"/>
    </row>
    <row r="46" spans="1:35" ht="13.8" thickBot="1">
      <c r="A46" s="240"/>
      <c r="B46" s="272" t="str">
        <f t="shared" si="4"/>
        <v>LUC-16</v>
      </c>
      <c r="C46" s="543" t="str">
        <f t="shared" si="5"/>
        <v/>
      </c>
      <c r="D46" s="536">
        <v>0</v>
      </c>
      <c r="E46" s="686" t="s">
        <v>356</v>
      </c>
      <c r="F46" s="536">
        <v>0</v>
      </c>
      <c r="G46" s="695" t="s">
        <v>356</v>
      </c>
      <c r="H46" s="1842">
        <f t="shared" si="6"/>
        <v>0</v>
      </c>
      <c r="I46" s="1843">
        <f t="shared" si="7"/>
        <v>0</v>
      </c>
      <c r="J46" s="1392">
        <f>-P24*(IF(E46="immediate",IF(D46&gt;0,D46*MIN(20,time_tot),0),D46*IF(time_tot&gt;time+20,20,IF(time_tot&lt;20,(time*VLOOKUP(E46,List!$E$35:$F$37,2,))+(time_tot-time),((MIN(20,time)*VLOOKUP(E46,List!$E$35:$F$37,2,))+(time_tot-MIN(20,time))-IF(E46="exponential",time_tot-20+0.217*time*(EXP(4.606*(20-time_tot)/time)-1),((time_tot-20)^2)*(0.5/time)))))))</f>
        <v>0</v>
      </c>
      <c r="K46" s="1393">
        <f>-P24*(IF(G46="immediate",IF(F46&gt;0,F46*MIN(20,time_tot),0),F46*IF(time_tot&gt;time+20,20,IF(time_tot&lt;20,(time*VLOOKUP(G46,List!$E$35:$F$37,2,))+(time_tot-time),((MIN(20,time)*VLOOKUP(G46,List!$E$35:$F$37,2,))+(time_tot-MIN(20,time))-IF(G46="exponential",time_tot-20+0.217*time*(EXP(4.606*(20-time_tot)/time)-1),((time_tot-20)^2)*(0.5/time)))))))</f>
        <v>0</v>
      </c>
      <c r="L46" s="1508">
        <f t="shared" si="8"/>
        <v>0</v>
      </c>
      <c r="M46" s="1508">
        <f t="shared" si="3"/>
        <v>0</v>
      </c>
      <c r="N46" s="1392">
        <f t="shared" si="9"/>
        <v>0</v>
      </c>
      <c r="O46" s="1393">
        <f t="shared" si="10"/>
        <v>0</v>
      </c>
      <c r="P46" s="1041">
        <f t="shared" si="13"/>
        <v>0</v>
      </c>
      <c r="Q46" s="712"/>
      <c r="U46" s="1951">
        <f t="shared" si="11"/>
        <v>0</v>
      </c>
      <c r="V46" s="1951">
        <f t="shared" si="12"/>
        <v>0</v>
      </c>
      <c r="X46" s="232"/>
      <c r="Y46" s="748"/>
      <c r="Z46" s="1089"/>
      <c r="AA46" s="1089"/>
    </row>
    <row r="47" spans="1:35" ht="13.8" thickBot="1">
      <c r="A47" s="240"/>
      <c r="B47" s="240"/>
      <c r="C47" s="240"/>
      <c r="D47" s="620"/>
      <c r="E47" s="620"/>
      <c r="F47" s="621"/>
      <c r="G47" s="466"/>
      <c r="H47" s="466"/>
      <c r="I47" s="434"/>
      <c r="J47" s="434"/>
      <c r="K47" s="435"/>
      <c r="L47" s="435"/>
      <c r="M47" s="242"/>
      <c r="N47" s="711"/>
      <c r="O47" s="242"/>
      <c r="P47" s="242"/>
      <c r="Q47" s="242"/>
      <c r="R47" s="242"/>
      <c r="S47" s="243"/>
      <c r="T47" s="712"/>
      <c r="U47" s="2473"/>
      <c r="V47" s="2473"/>
      <c r="W47" s="1134"/>
      <c r="X47" s="1264"/>
      <c r="Y47" s="1531"/>
      <c r="Z47" s="1091"/>
      <c r="AA47" s="1089"/>
    </row>
    <row r="48" spans="1:35" ht="13.8" thickBot="1">
      <c r="A48" s="240"/>
      <c r="B48" s="240"/>
      <c r="C48" s="240"/>
      <c r="D48" s="620"/>
      <c r="E48" s="620"/>
      <c r="F48" s="621"/>
      <c r="G48" s="466"/>
      <c r="H48" s="466"/>
      <c r="K48" s="657" t="s">
        <v>1238</v>
      </c>
      <c r="L48" s="658"/>
      <c r="M48" s="659"/>
      <c r="N48" s="660">
        <f>SUM(N31:N46)</f>
        <v>0</v>
      </c>
      <c r="O48" s="660">
        <f>SUM(O31:O46)</f>
        <v>0</v>
      </c>
      <c r="P48" s="1038">
        <f>SUM(P31:P46)</f>
        <v>0</v>
      </c>
      <c r="Q48" s="242"/>
      <c r="R48" s="242"/>
      <c r="S48" s="243"/>
      <c r="T48" s="712"/>
      <c r="U48" s="2474">
        <f>SUM(U31:U46)</f>
        <v>0</v>
      </c>
      <c r="V48" s="2474">
        <f>SUM(V31:V46)</f>
        <v>0</v>
      </c>
      <c r="W48" s="1134"/>
      <c r="X48" s="1264"/>
      <c r="Y48" s="1531"/>
      <c r="Z48" s="1091"/>
      <c r="AA48" s="1089"/>
    </row>
    <row r="49" spans="1:27">
      <c r="A49" s="240"/>
      <c r="B49" s="240"/>
      <c r="C49" s="240"/>
      <c r="D49" s="620"/>
      <c r="E49" s="620"/>
      <c r="F49" s="621"/>
      <c r="G49" s="466"/>
      <c r="H49" s="466"/>
      <c r="I49" s="434"/>
      <c r="J49" s="434"/>
      <c r="K49" s="435"/>
      <c r="L49" s="435"/>
      <c r="M49" s="242"/>
      <c r="N49" s="711"/>
      <c r="O49" s="242"/>
      <c r="P49" s="242"/>
      <c r="Q49" s="242"/>
      <c r="R49" s="242"/>
      <c r="S49" s="243"/>
      <c r="T49" s="712"/>
      <c r="U49" s="242"/>
      <c r="V49" s="242"/>
      <c r="W49" s="1134"/>
      <c r="X49" s="1264"/>
      <c r="Y49" s="1531"/>
      <c r="Z49" s="1091"/>
      <c r="AA49" s="1089"/>
    </row>
    <row r="50" spans="1:27">
      <c r="A50" s="240"/>
      <c r="C50" s="240"/>
      <c r="D50" s="620"/>
      <c r="E50" s="620"/>
      <c r="F50" s="621"/>
      <c r="G50" s="466"/>
      <c r="H50" s="466"/>
      <c r="I50" s="434"/>
      <c r="J50" s="434"/>
      <c r="K50" s="435"/>
      <c r="L50" s="664"/>
      <c r="M50" s="242"/>
      <c r="N50" s="711"/>
      <c r="O50" s="242"/>
      <c r="P50" s="242"/>
      <c r="Q50" s="242"/>
      <c r="R50" s="242"/>
      <c r="S50" s="243"/>
      <c r="T50" s="712"/>
      <c r="U50" s="242"/>
      <c r="V50" s="242"/>
      <c r="W50" s="1134"/>
      <c r="X50" s="1264"/>
      <c r="Y50" s="1531"/>
      <c r="Z50" s="1091"/>
      <c r="AA50" s="1089"/>
    </row>
    <row r="51" spans="1:27">
      <c r="A51" s="240"/>
      <c r="B51" s="240"/>
      <c r="C51" s="240"/>
      <c r="D51" s="620"/>
      <c r="E51" s="620"/>
      <c r="F51" s="621"/>
      <c r="G51" s="466"/>
      <c r="H51" s="466"/>
      <c r="I51" s="434"/>
      <c r="J51" s="434"/>
      <c r="K51" s="435"/>
      <c r="L51" s="664"/>
      <c r="M51" s="242"/>
      <c r="N51" s="711"/>
      <c r="O51" s="242"/>
      <c r="P51" s="242"/>
      <c r="Q51" s="242"/>
      <c r="R51" s="242"/>
      <c r="S51" s="243"/>
      <c r="T51" s="712"/>
      <c r="U51" s="242"/>
      <c r="V51" s="242"/>
      <c r="W51" s="1134"/>
      <c r="X51" s="1264"/>
      <c r="Y51" s="1531"/>
      <c r="Z51" s="1091"/>
      <c r="AA51" s="1089"/>
    </row>
    <row r="52" spans="1:27">
      <c r="A52" s="240"/>
      <c r="B52" s="240"/>
      <c r="C52" s="240"/>
      <c r="D52" s="620"/>
      <c r="E52" s="620"/>
      <c r="F52" s="621"/>
      <c r="G52" s="466"/>
      <c r="H52" s="466"/>
      <c r="I52" s="434"/>
      <c r="J52" s="434"/>
      <c r="K52" s="435"/>
      <c r="L52" s="664"/>
      <c r="M52" s="242"/>
      <c r="N52" s="711"/>
      <c r="O52" s="242"/>
      <c r="P52" s="242"/>
      <c r="Q52" s="242"/>
      <c r="R52" s="242"/>
      <c r="S52" s="243"/>
      <c r="T52" s="712"/>
      <c r="U52" s="242"/>
      <c r="V52" s="242"/>
      <c r="W52" s="1134"/>
      <c r="X52" s="1264"/>
      <c r="Y52" s="1531"/>
      <c r="Z52" s="1091"/>
    </row>
    <row r="53" spans="1:27">
      <c r="A53" s="240"/>
      <c r="B53" s="240"/>
      <c r="C53" s="240"/>
      <c r="D53" s="620"/>
      <c r="E53" s="620"/>
      <c r="F53" s="621"/>
      <c r="G53" s="466"/>
      <c r="H53" s="466"/>
      <c r="I53" s="434"/>
      <c r="J53" s="434"/>
      <c r="K53" s="435"/>
      <c r="L53" s="435"/>
      <c r="M53" s="242"/>
      <c r="N53" s="711"/>
      <c r="O53" s="242"/>
      <c r="P53" s="242"/>
      <c r="Q53" s="242"/>
      <c r="R53" s="242"/>
      <c r="S53" s="243"/>
      <c r="T53" s="712"/>
      <c r="U53" s="242"/>
      <c r="V53" s="242"/>
      <c r="W53" s="1134"/>
      <c r="X53" s="1264"/>
      <c r="Y53" s="1531"/>
      <c r="Z53" s="1091"/>
    </row>
    <row r="54" spans="1:27">
      <c r="A54" s="240"/>
      <c r="B54" s="240"/>
      <c r="C54" s="240"/>
      <c r="D54" s="620"/>
      <c r="E54" s="620"/>
      <c r="F54" s="621"/>
      <c r="G54" s="466"/>
      <c r="H54" s="466"/>
      <c r="I54" s="434"/>
      <c r="J54" s="434"/>
      <c r="K54" s="435"/>
      <c r="L54" s="435"/>
      <c r="M54" s="242"/>
      <c r="N54" s="711"/>
      <c r="O54" s="242"/>
      <c r="P54" s="242"/>
      <c r="Q54" s="242"/>
      <c r="R54" s="242"/>
      <c r="S54" s="243"/>
      <c r="T54" s="712"/>
      <c r="U54" s="242"/>
      <c r="V54" s="242"/>
      <c r="W54" s="1134"/>
      <c r="X54" s="1264"/>
      <c r="Y54" s="1531"/>
      <c r="Z54" s="1091"/>
      <c r="AA54" s="1089"/>
    </row>
    <row r="55" spans="1:27">
      <c r="A55" s="240"/>
      <c r="B55" s="240"/>
      <c r="C55" s="240"/>
      <c r="D55" s="620"/>
      <c r="E55" s="620"/>
      <c r="F55" s="621"/>
      <c r="G55" s="466"/>
      <c r="H55" s="466"/>
      <c r="I55" s="434"/>
      <c r="J55" s="434"/>
      <c r="K55" s="435"/>
      <c r="L55" s="435"/>
      <c r="M55" s="242"/>
      <c r="N55" s="711"/>
      <c r="O55" s="242"/>
      <c r="P55" s="242"/>
      <c r="Q55" s="242"/>
      <c r="R55" s="242"/>
      <c r="S55" s="243"/>
      <c r="T55" s="712"/>
      <c r="U55" s="242"/>
      <c r="V55" s="242"/>
      <c r="W55" s="1134"/>
      <c r="X55" s="1264"/>
      <c r="Y55" s="1531"/>
      <c r="Z55" s="1091"/>
    </row>
    <row r="56" spans="1:27">
      <c r="A56" s="240"/>
      <c r="B56" s="240"/>
      <c r="C56" s="240"/>
      <c r="D56" s="620"/>
      <c r="E56" s="620"/>
      <c r="F56" s="621"/>
      <c r="G56" s="466"/>
      <c r="H56" s="466"/>
      <c r="I56" s="434"/>
      <c r="J56" s="434"/>
      <c r="K56" s="435"/>
      <c r="L56" s="435"/>
      <c r="M56" s="242"/>
      <c r="N56" s="711"/>
      <c r="O56" s="242"/>
      <c r="P56" s="242"/>
      <c r="Q56" s="242"/>
      <c r="R56" s="242"/>
      <c r="S56" s="243"/>
      <c r="T56" s="712"/>
      <c r="U56" s="242"/>
      <c r="V56" s="242"/>
      <c r="W56" s="1134"/>
      <c r="X56" s="1264"/>
      <c r="Y56" s="1531"/>
      <c r="Z56" s="1091"/>
    </row>
    <row r="57" spans="1:27">
      <c r="A57" s="240"/>
      <c r="B57" s="240"/>
      <c r="C57" s="240"/>
      <c r="D57" s="620"/>
      <c r="E57" s="620"/>
      <c r="F57" s="621"/>
      <c r="G57" s="466"/>
      <c r="H57" s="466"/>
      <c r="I57" s="434"/>
      <c r="J57" s="434"/>
      <c r="K57" s="435"/>
      <c r="L57" s="435"/>
      <c r="M57" s="242"/>
      <c r="N57" s="711"/>
      <c r="O57" s="242"/>
      <c r="P57" s="242"/>
      <c r="Q57" s="242"/>
      <c r="R57" s="242"/>
      <c r="S57" s="243"/>
      <c r="T57" s="712"/>
      <c r="U57" s="242"/>
      <c r="V57" s="242"/>
      <c r="W57" s="1134"/>
      <c r="X57" s="1264"/>
      <c r="Y57" s="1531"/>
      <c r="Z57" s="1091"/>
    </row>
    <row r="58" spans="1:27">
      <c r="A58" s="240"/>
      <c r="B58" s="240"/>
      <c r="C58" s="240"/>
      <c r="D58" s="620"/>
      <c r="E58" s="620"/>
      <c r="F58" s="621"/>
      <c r="G58" s="466"/>
      <c r="H58" s="466"/>
      <c r="I58" s="434"/>
      <c r="J58" s="434"/>
      <c r="K58" s="435"/>
      <c r="L58" s="435"/>
      <c r="M58" s="242"/>
      <c r="N58" s="711"/>
      <c r="O58" s="242"/>
      <c r="P58" s="242"/>
      <c r="Q58" s="242"/>
      <c r="R58" s="242"/>
      <c r="S58" s="243"/>
      <c r="T58" s="712"/>
      <c r="U58" s="242"/>
      <c r="V58" s="242"/>
      <c r="W58" s="1134"/>
      <c r="X58" s="1264"/>
      <c r="Y58" s="1531"/>
      <c r="Z58" s="1091"/>
    </row>
    <row r="59" spans="1:27">
      <c r="A59" s="240"/>
      <c r="B59" s="240"/>
      <c r="C59" s="240"/>
      <c r="D59" s="620"/>
      <c r="E59" s="620"/>
      <c r="F59" s="621"/>
      <c r="G59" s="466"/>
      <c r="H59" s="466"/>
      <c r="I59" s="434"/>
      <c r="J59" s="434"/>
      <c r="K59" s="435"/>
      <c r="L59" s="435"/>
      <c r="M59" s="242"/>
      <c r="N59" s="711"/>
      <c r="O59" s="242"/>
      <c r="P59" s="242"/>
      <c r="Q59" s="242"/>
      <c r="R59" s="242"/>
      <c r="S59" s="243"/>
      <c r="T59" s="712"/>
      <c r="U59" s="242"/>
      <c r="V59" s="242"/>
      <c r="W59" s="1134"/>
      <c r="X59" s="1264"/>
      <c r="Y59" s="1531"/>
      <c r="Z59" s="1091"/>
    </row>
    <row r="60" spans="1:27">
      <c r="A60" s="240"/>
      <c r="B60" s="240"/>
      <c r="C60" s="240"/>
      <c r="D60" s="620"/>
      <c r="E60" s="620"/>
      <c r="F60" s="621"/>
      <c r="G60" s="466"/>
      <c r="H60" s="466"/>
      <c r="I60" s="434"/>
      <c r="J60" s="434"/>
      <c r="K60" s="435"/>
      <c r="L60" s="435"/>
      <c r="M60" s="242"/>
      <c r="N60" s="711"/>
      <c r="O60" s="242"/>
      <c r="P60" s="242"/>
      <c r="Q60" s="242"/>
      <c r="R60" s="242"/>
      <c r="S60" s="243"/>
      <c r="T60" s="712"/>
      <c r="U60" s="242"/>
      <c r="V60" s="242"/>
      <c r="W60" s="1134"/>
      <c r="X60" s="1264"/>
      <c r="Y60" s="1531"/>
      <c r="Z60" s="1091"/>
    </row>
    <row r="61" spans="1:27">
      <c r="A61" s="240"/>
      <c r="B61" s="240"/>
      <c r="C61" s="240"/>
      <c r="D61" s="620"/>
      <c r="E61" s="620"/>
      <c r="F61" s="621"/>
      <c r="G61" s="466"/>
      <c r="H61" s="466"/>
      <c r="I61" s="434"/>
      <c r="J61" s="434"/>
      <c r="K61" s="435"/>
      <c r="L61" s="435"/>
      <c r="M61" s="242"/>
      <c r="N61" s="711"/>
      <c r="O61" s="242"/>
      <c r="P61" s="242"/>
      <c r="Q61" s="242"/>
      <c r="R61" s="242"/>
      <c r="S61" s="243"/>
      <c r="T61" s="712"/>
      <c r="U61" s="242"/>
      <c r="V61" s="242"/>
      <c r="W61" s="1134"/>
      <c r="X61" s="1264"/>
      <c r="Y61" s="1531"/>
      <c r="Z61" s="1091"/>
    </row>
    <row r="62" spans="1:27">
      <c r="A62" s="240"/>
      <c r="B62" s="240"/>
      <c r="C62" s="240"/>
      <c r="D62" s="620"/>
      <c r="E62" s="620"/>
      <c r="F62" s="621"/>
      <c r="G62" s="466"/>
      <c r="H62" s="466"/>
      <c r="I62" s="434"/>
      <c r="J62" s="434"/>
      <c r="K62" s="435"/>
      <c r="L62" s="435"/>
      <c r="M62" s="242"/>
      <c r="N62" s="711"/>
      <c r="O62" s="242"/>
      <c r="P62" s="242"/>
      <c r="Q62" s="242"/>
      <c r="R62" s="242"/>
      <c r="S62" s="243"/>
      <c r="T62" s="712"/>
      <c r="U62" s="242"/>
      <c r="V62" s="242"/>
      <c r="W62" s="1134"/>
      <c r="X62" s="1264"/>
      <c r="Y62" s="1531"/>
      <c r="Z62" s="1091"/>
    </row>
    <row r="63" spans="1:27">
      <c r="A63" s="240"/>
      <c r="B63" s="240"/>
      <c r="C63" s="240"/>
      <c r="D63" s="620"/>
      <c r="E63" s="620"/>
      <c r="F63" s="621"/>
      <c r="G63" s="466"/>
      <c r="H63" s="466"/>
      <c r="I63" s="434"/>
      <c r="J63" s="434"/>
      <c r="K63" s="435"/>
      <c r="L63" s="435"/>
      <c r="M63" s="242"/>
      <c r="N63" s="711"/>
      <c r="O63" s="242"/>
      <c r="P63" s="242"/>
      <c r="Q63" s="242"/>
      <c r="R63" s="242"/>
      <c r="S63" s="243"/>
      <c r="T63" s="712"/>
      <c r="U63" s="242"/>
      <c r="V63" s="242"/>
      <c r="W63" s="1134"/>
      <c r="X63" s="1264"/>
      <c r="Y63" s="1531"/>
      <c r="Z63" s="1091"/>
    </row>
    <row r="64" spans="1:27">
      <c r="A64" s="240"/>
      <c r="B64" s="240"/>
      <c r="C64" s="240"/>
      <c r="D64" s="620"/>
      <c r="E64" s="620"/>
      <c r="F64" s="621"/>
      <c r="G64" s="466"/>
      <c r="H64" s="466"/>
      <c r="I64" s="434"/>
      <c r="J64" s="434"/>
      <c r="K64" s="435"/>
      <c r="L64" s="435"/>
      <c r="M64" s="242"/>
      <c r="N64" s="711"/>
      <c r="O64" s="242"/>
      <c r="P64" s="242"/>
      <c r="Q64" s="242"/>
      <c r="R64" s="242"/>
      <c r="S64" s="243"/>
      <c r="T64" s="712"/>
      <c r="U64" s="242"/>
      <c r="V64" s="242"/>
      <c r="W64" s="1134"/>
      <c r="X64" s="1264"/>
      <c r="Y64" s="1531"/>
      <c r="Z64" s="1091"/>
    </row>
    <row r="65" spans="1:26">
      <c r="A65" s="240"/>
      <c r="B65" s="240"/>
      <c r="C65" s="240"/>
      <c r="D65" s="620"/>
      <c r="E65" s="620"/>
      <c r="F65" s="621"/>
      <c r="G65" s="466"/>
      <c r="H65" s="466"/>
      <c r="I65" s="434"/>
      <c r="J65" s="434"/>
      <c r="K65" s="435"/>
      <c r="L65" s="435"/>
      <c r="M65" s="242"/>
      <c r="N65" s="711"/>
      <c r="O65" s="242"/>
      <c r="P65" s="242"/>
      <c r="Q65" s="242"/>
      <c r="R65" s="242"/>
      <c r="S65" s="243"/>
      <c r="T65" s="712"/>
      <c r="U65" s="242"/>
      <c r="V65" s="242"/>
      <c r="W65" s="1134"/>
      <c r="X65" s="1264"/>
      <c r="Y65" s="1531"/>
      <c r="Z65" s="1091"/>
    </row>
    <row r="66" spans="1:26">
      <c r="A66" s="240"/>
      <c r="B66" s="240"/>
      <c r="C66" s="240"/>
      <c r="D66" s="620"/>
      <c r="E66" s="620"/>
      <c r="F66" s="621"/>
      <c r="G66" s="466"/>
      <c r="H66" s="466"/>
      <c r="I66" s="434"/>
      <c r="J66" s="434"/>
      <c r="K66" s="435"/>
      <c r="L66" s="435"/>
      <c r="M66" s="242"/>
      <c r="N66" s="711"/>
      <c r="O66" s="242"/>
      <c r="P66" s="242"/>
      <c r="Q66" s="242"/>
      <c r="R66" s="242"/>
      <c r="S66" s="243"/>
      <c r="T66" s="712"/>
      <c r="U66" s="242"/>
      <c r="V66" s="242"/>
      <c r="W66" s="1134"/>
      <c r="X66" s="1264"/>
      <c r="Y66" s="1531"/>
      <c r="Z66" s="1091"/>
    </row>
    <row r="67" spans="1:26">
      <c r="A67" s="240"/>
      <c r="B67" s="240"/>
      <c r="C67" s="240"/>
      <c r="D67" s="620"/>
      <c r="E67" s="620"/>
      <c r="F67" s="621"/>
      <c r="G67" s="466"/>
      <c r="H67" s="466"/>
      <c r="I67" s="434"/>
      <c r="J67" s="434"/>
      <c r="K67" s="435"/>
      <c r="L67" s="435"/>
      <c r="M67" s="242"/>
      <c r="N67" s="711"/>
      <c r="O67" s="242"/>
      <c r="P67" s="242"/>
      <c r="Q67" s="242"/>
      <c r="R67" s="242"/>
      <c r="S67" s="243"/>
      <c r="T67" s="712"/>
      <c r="U67" s="242"/>
      <c r="V67" s="242"/>
      <c r="W67" s="1134"/>
      <c r="X67" s="1264"/>
      <c r="Y67" s="1531"/>
      <c r="Z67" s="1091"/>
    </row>
    <row r="68" spans="1:26">
      <c r="A68" s="240"/>
      <c r="B68" s="240"/>
      <c r="C68" s="240"/>
      <c r="D68" s="620"/>
      <c r="E68" s="620"/>
      <c r="F68" s="621"/>
      <c r="G68" s="466"/>
      <c r="H68" s="466"/>
      <c r="I68" s="434"/>
      <c r="J68" s="434"/>
      <c r="K68" s="435"/>
      <c r="L68" s="435"/>
      <c r="M68" s="242"/>
      <c r="N68" s="711"/>
      <c r="O68" s="242"/>
      <c r="P68" s="242"/>
      <c r="Q68" s="242"/>
      <c r="R68" s="242"/>
      <c r="S68" s="243"/>
      <c r="T68" s="712"/>
      <c r="U68" s="242"/>
      <c r="V68" s="242"/>
      <c r="W68" s="1134"/>
      <c r="X68" s="1264"/>
      <c r="Y68" s="1531"/>
      <c r="Z68" s="1091"/>
    </row>
    <row r="69" spans="1:26">
      <c r="A69" s="240"/>
      <c r="B69" s="240"/>
      <c r="C69" s="240"/>
      <c r="D69" s="620"/>
      <c r="E69" s="620"/>
      <c r="F69" s="621"/>
      <c r="G69" s="466"/>
      <c r="H69" s="466"/>
      <c r="I69" s="434"/>
      <c r="J69" s="434"/>
      <c r="K69" s="435"/>
      <c r="L69" s="435"/>
      <c r="M69" s="242"/>
      <c r="N69" s="711"/>
      <c r="O69" s="242"/>
      <c r="P69" s="242"/>
      <c r="Q69" s="242"/>
      <c r="R69" s="242"/>
      <c r="S69" s="243"/>
      <c r="T69" s="712"/>
      <c r="U69" s="242"/>
      <c r="V69" s="242"/>
      <c r="W69" s="1134"/>
      <c r="X69" s="1264"/>
      <c r="Y69" s="1531"/>
      <c r="Z69" s="1091"/>
    </row>
    <row r="70" spans="1:26">
      <c r="A70" s="240"/>
      <c r="B70" s="240"/>
      <c r="C70" s="240"/>
      <c r="D70" s="620"/>
      <c r="E70" s="620"/>
      <c r="F70" s="621"/>
      <c r="G70" s="466"/>
      <c r="H70" s="466"/>
      <c r="I70" s="434"/>
      <c r="J70" s="434"/>
      <c r="K70" s="435"/>
      <c r="L70" s="435"/>
      <c r="M70" s="242"/>
      <c r="N70" s="711"/>
      <c r="O70" s="242"/>
      <c r="P70" s="242"/>
      <c r="Q70" s="242"/>
      <c r="R70" s="242"/>
      <c r="S70" s="243"/>
      <c r="T70" s="712"/>
      <c r="U70" s="242"/>
      <c r="V70" s="242"/>
      <c r="W70" s="1134"/>
      <c r="X70" s="1264"/>
      <c r="Y70" s="1531"/>
      <c r="Z70" s="1091"/>
    </row>
    <row r="71" spans="1:26">
      <c r="A71" s="240"/>
      <c r="B71" s="240"/>
      <c r="C71" s="240"/>
      <c r="D71" s="620"/>
      <c r="E71" s="620"/>
      <c r="F71" s="621"/>
      <c r="G71" s="466"/>
      <c r="H71" s="466"/>
      <c r="I71" s="434"/>
      <c r="J71" s="434"/>
      <c r="K71" s="435"/>
      <c r="L71" s="435"/>
      <c r="M71" s="242"/>
      <c r="N71" s="711"/>
      <c r="O71" s="242"/>
      <c r="P71" s="242"/>
      <c r="Q71" s="242"/>
      <c r="R71" s="242"/>
      <c r="S71" s="243"/>
      <c r="T71" s="712"/>
      <c r="U71" s="242"/>
      <c r="V71" s="242"/>
      <c r="W71" s="1134"/>
      <c r="X71" s="1264"/>
      <c r="Y71" s="1531"/>
      <c r="Z71" s="1091"/>
    </row>
    <row r="72" spans="1:26">
      <c r="A72" s="240"/>
      <c r="B72" s="240"/>
      <c r="C72" s="240"/>
      <c r="D72" s="620"/>
      <c r="E72" s="620"/>
      <c r="F72" s="621"/>
      <c r="G72" s="466"/>
      <c r="H72" s="466"/>
      <c r="I72" s="434"/>
      <c r="J72" s="434"/>
      <c r="K72" s="435"/>
      <c r="L72" s="435"/>
      <c r="M72" s="242"/>
      <c r="N72" s="711"/>
      <c r="O72" s="242"/>
      <c r="P72" s="242"/>
      <c r="Q72" s="242"/>
      <c r="R72" s="242"/>
      <c r="S72" s="243"/>
      <c r="T72" s="712"/>
      <c r="U72" s="242"/>
      <c r="V72" s="242"/>
      <c r="W72" s="1134"/>
      <c r="X72" s="1264"/>
      <c r="Y72" s="1531"/>
      <c r="Z72" s="1091"/>
    </row>
    <row r="73" spans="1:26">
      <c r="A73" s="240"/>
      <c r="B73" s="240"/>
      <c r="C73" s="240"/>
      <c r="D73" s="620"/>
      <c r="E73" s="620"/>
      <c r="F73" s="621"/>
      <c r="G73" s="466"/>
      <c r="H73" s="466"/>
      <c r="I73" s="434"/>
      <c r="J73" s="434"/>
      <c r="K73" s="435"/>
      <c r="L73" s="435"/>
      <c r="M73" s="242"/>
      <c r="N73" s="711"/>
      <c r="O73" s="242"/>
      <c r="P73" s="242"/>
      <c r="Q73" s="242"/>
      <c r="R73" s="242"/>
      <c r="S73" s="243"/>
      <c r="T73" s="712"/>
      <c r="U73" s="242"/>
      <c r="V73" s="242"/>
      <c r="W73" s="1134"/>
      <c r="X73" s="1264"/>
      <c r="Y73" s="1531"/>
      <c r="Z73" s="1091"/>
    </row>
    <row r="74" spans="1:26">
      <c r="A74" s="240"/>
      <c r="B74" s="240"/>
      <c r="C74" s="240"/>
      <c r="D74" s="620"/>
      <c r="E74" s="620"/>
      <c r="F74" s="621"/>
      <c r="G74" s="466"/>
      <c r="H74" s="466"/>
      <c r="I74" s="434"/>
      <c r="J74" s="434"/>
      <c r="K74" s="435"/>
      <c r="L74" s="435"/>
      <c r="M74" s="242"/>
      <c r="N74" s="711"/>
      <c r="O74" s="242"/>
      <c r="P74" s="242"/>
      <c r="Q74" s="242"/>
      <c r="R74" s="242"/>
      <c r="S74" s="243"/>
      <c r="T74" s="712"/>
      <c r="U74" s="242"/>
      <c r="V74" s="242"/>
      <c r="W74" s="1134"/>
      <c r="X74" s="1264"/>
      <c r="Y74" s="1531"/>
      <c r="Z74" s="1091"/>
    </row>
    <row r="75" spans="1:26">
      <c r="A75" s="240"/>
      <c r="B75" s="240"/>
      <c r="C75" s="240"/>
      <c r="D75" s="620"/>
      <c r="E75" s="620"/>
      <c r="F75" s="621"/>
      <c r="G75" s="466"/>
      <c r="H75" s="466"/>
      <c r="I75" s="434"/>
      <c r="J75" s="434"/>
      <c r="K75" s="435"/>
      <c r="L75" s="435"/>
      <c r="M75" s="242"/>
      <c r="N75" s="711"/>
      <c r="O75" s="242"/>
      <c r="P75" s="242"/>
      <c r="Q75" s="242"/>
      <c r="R75" s="242"/>
      <c r="S75" s="243"/>
      <c r="T75" s="712"/>
      <c r="U75" s="242"/>
      <c r="V75" s="242"/>
      <c r="W75" s="1134"/>
      <c r="X75" s="1264"/>
      <c r="Y75" s="1531"/>
      <c r="Z75" s="1091"/>
    </row>
    <row r="76" spans="1:26">
      <c r="A76" s="240"/>
      <c r="B76" s="240"/>
      <c r="C76" s="240"/>
      <c r="D76" s="620"/>
      <c r="E76" s="620"/>
      <c r="F76" s="621"/>
      <c r="G76" s="466"/>
      <c r="H76" s="466"/>
      <c r="I76" s="434"/>
      <c r="J76" s="434"/>
      <c r="K76" s="435"/>
      <c r="L76" s="435"/>
      <c r="M76" s="242"/>
      <c r="N76" s="711"/>
      <c r="O76" s="242"/>
      <c r="P76" s="242"/>
      <c r="Q76" s="242"/>
      <c r="R76" s="242"/>
      <c r="S76" s="243"/>
      <c r="T76" s="712"/>
      <c r="U76" s="242"/>
      <c r="V76" s="242"/>
      <c r="W76" s="1134"/>
      <c r="X76" s="1264"/>
      <c r="Y76" s="1531"/>
      <c r="Z76" s="1091"/>
    </row>
    <row r="77" spans="1:26">
      <c r="A77" s="240"/>
      <c r="B77" s="240"/>
      <c r="C77" s="240"/>
      <c r="D77" s="620"/>
      <c r="E77" s="620"/>
      <c r="F77" s="621"/>
      <c r="G77" s="466"/>
      <c r="H77" s="466"/>
      <c r="I77" s="434"/>
      <c r="J77" s="434"/>
      <c r="K77" s="435"/>
      <c r="L77" s="435"/>
      <c r="M77" s="242"/>
      <c r="N77" s="711"/>
      <c r="O77" s="242"/>
      <c r="P77" s="242"/>
      <c r="Q77" s="242"/>
      <c r="R77" s="242"/>
      <c r="S77" s="243"/>
      <c r="T77" s="712"/>
      <c r="U77" s="242"/>
      <c r="V77" s="242"/>
      <c r="W77" s="1134"/>
      <c r="X77" s="1264"/>
      <c r="Y77" s="1531"/>
      <c r="Z77" s="1091"/>
    </row>
    <row r="78" spans="1:26">
      <c r="A78" s="240"/>
      <c r="B78" s="240"/>
      <c r="C78" s="240"/>
      <c r="D78" s="620"/>
      <c r="E78" s="620"/>
      <c r="F78" s="621"/>
      <c r="G78" s="466"/>
      <c r="H78" s="466"/>
      <c r="I78" s="434"/>
      <c r="J78" s="434"/>
      <c r="K78" s="435"/>
      <c r="L78" s="435"/>
      <c r="M78" s="242"/>
      <c r="N78" s="711"/>
      <c r="O78" s="242"/>
      <c r="P78" s="242"/>
      <c r="Q78" s="242"/>
      <c r="R78" s="242"/>
      <c r="S78" s="243"/>
      <c r="T78" s="712"/>
      <c r="U78" s="242"/>
      <c r="V78" s="242"/>
      <c r="W78" s="1134"/>
      <c r="X78" s="1264"/>
      <c r="Y78" s="1531"/>
      <c r="Z78" s="1091"/>
    </row>
    <row r="79" spans="1:26">
      <c r="A79" s="240"/>
      <c r="B79" s="240"/>
      <c r="C79" s="240"/>
      <c r="D79" s="620"/>
      <c r="E79" s="620"/>
      <c r="F79" s="621"/>
      <c r="G79" s="466"/>
      <c r="H79" s="466"/>
      <c r="I79" s="434"/>
      <c r="J79" s="434"/>
      <c r="K79" s="435"/>
      <c r="L79" s="435"/>
      <c r="M79" s="242"/>
      <c r="N79" s="711"/>
      <c r="O79" s="242"/>
      <c r="P79" s="242"/>
      <c r="Q79" s="242"/>
      <c r="R79" s="242"/>
      <c r="S79" s="243"/>
      <c r="T79" s="712"/>
      <c r="U79" s="242"/>
      <c r="V79" s="242"/>
      <c r="W79" s="1134"/>
      <c r="X79" s="1264"/>
      <c r="Y79" s="1531"/>
      <c r="Z79" s="1091"/>
    </row>
    <row r="80" spans="1:26">
      <c r="A80" s="240"/>
      <c r="B80" s="240"/>
      <c r="C80" s="240"/>
      <c r="D80" s="620"/>
      <c r="E80" s="620"/>
      <c r="F80" s="621"/>
      <c r="G80" s="466"/>
      <c r="H80" s="466"/>
      <c r="I80" s="434"/>
      <c r="J80" s="434"/>
      <c r="K80" s="435"/>
      <c r="L80" s="435"/>
      <c r="M80" s="242"/>
      <c r="N80" s="711"/>
      <c r="O80" s="242"/>
      <c r="P80" s="242"/>
      <c r="Q80" s="242"/>
      <c r="R80" s="242"/>
      <c r="S80" s="243"/>
      <c r="T80" s="712"/>
      <c r="U80" s="242"/>
      <c r="V80" s="242"/>
      <c r="W80" s="1134"/>
      <c r="X80" s="1264"/>
      <c r="Y80" s="1531"/>
      <c r="Z80" s="1091"/>
    </row>
    <row r="81" spans="1:26">
      <c r="A81" s="240"/>
      <c r="B81" s="240"/>
      <c r="C81" s="240"/>
      <c r="D81" s="620"/>
      <c r="E81" s="620"/>
      <c r="F81" s="621"/>
      <c r="G81" s="466"/>
      <c r="H81" s="466"/>
      <c r="I81" s="434"/>
      <c r="J81" s="434"/>
      <c r="K81" s="435"/>
      <c r="L81" s="435"/>
      <c r="M81" s="242"/>
      <c r="N81" s="711"/>
      <c r="O81" s="242"/>
      <c r="P81" s="242"/>
      <c r="Q81" s="242"/>
      <c r="R81" s="242"/>
      <c r="S81" s="243"/>
      <c r="T81" s="712"/>
      <c r="U81" s="242"/>
      <c r="V81" s="242"/>
      <c r="W81" s="1134"/>
      <c r="X81" s="1264"/>
      <c r="Y81" s="1531"/>
      <c r="Z81" s="1091"/>
    </row>
    <row r="82" spans="1:26">
      <c r="A82" s="240"/>
      <c r="B82" s="240"/>
      <c r="C82" s="240"/>
      <c r="D82" s="620"/>
      <c r="E82" s="620"/>
      <c r="F82" s="621"/>
      <c r="G82" s="466"/>
      <c r="H82" s="466"/>
      <c r="I82" s="434"/>
      <c r="J82" s="434"/>
      <c r="K82" s="435"/>
      <c r="L82" s="435"/>
      <c r="M82" s="242"/>
      <c r="N82" s="711"/>
      <c r="O82" s="242"/>
      <c r="P82" s="242"/>
      <c r="Q82" s="242"/>
      <c r="R82" s="242"/>
      <c r="S82" s="243"/>
      <c r="T82" s="712"/>
      <c r="U82" s="242"/>
      <c r="V82" s="242"/>
      <c r="W82" s="1134"/>
      <c r="X82" s="1264"/>
      <c r="Y82" s="1531"/>
      <c r="Z82" s="1091"/>
    </row>
    <row r="83" spans="1:26">
      <c r="A83" s="240"/>
      <c r="B83" s="240"/>
      <c r="C83" s="240"/>
      <c r="D83" s="620"/>
      <c r="E83" s="620"/>
      <c r="F83" s="621"/>
      <c r="G83" s="466"/>
      <c r="H83" s="466"/>
      <c r="I83" s="434"/>
      <c r="J83" s="434"/>
      <c r="K83" s="435"/>
      <c r="L83" s="435"/>
      <c r="M83" s="242"/>
      <c r="N83" s="711"/>
      <c r="O83" s="242"/>
      <c r="P83" s="242"/>
      <c r="Q83" s="242"/>
      <c r="R83" s="242"/>
      <c r="S83" s="243"/>
      <c r="T83" s="712"/>
      <c r="U83" s="242"/>
      <c r="V83" s="242"/>
      <c r="W83" s="1134"/>
      <c r="X83" s="1264"/>
      <c r="Y83" s="1531"/>
      <c r="Z83" s="1091"/>
    </row>
    <row r="84" spans="1:26">
      <c r="A84" s="240"/>
      <c r="B84" s="240"/>
      <c r="C84" s="240"/>
      <c r="D84" s="620"/>
      <c r="E84" s="620"/>
      <c r="F84" s="621"/>
      <c r="G84" s="466"/>
      <c r="H84" s="466"/>
      <c r="I84" s="434"/>
      <c r="J84" s="434"/>
      <c r="K84" s="435"/>
      <c r="L84" s="435"/>
      <c r="M84" s="242"/>
      <c r="N84" s="711"/>
      <c r="O84" s="242"/>
      <c r="P84" s="242"/>
      <c r="Q84" s="242"/>
      <c r="R84" s="242"/>
      <c r="S84" s="243"/>
      <c r="T84" s="712"/>
      <c r="U84" s="242"/>
      <c r="V84" s="242"/>
      <c r="W84" s="1134"/>
      <c r="X84" s="1264"/>
      <c r="Y84" s="1531"/>
      <c r="Z84" s="1091"/>
    </row>
    <row r="85" spans="1:26">
      <c r="A85" s="240"/>
      <c r="B85" s="240"/>
      <c r="C85" s="240"/>
      <c r="D85" s="620"/>
      <c r="E85" s="620"/>
      <c r="F85" s="621"/>
      <c r="G85" s="466"/>
      <c r="H85" s="466"/>
      <c r="I85" s="434"/>
      <c r="J85" s="434"/>
      <c r="K85" s="435"/>
      <c r="L85" s="435"/>
      <c r="M85" s="242"/>
      <c r="N85" s="711"/>
      <c r="O85" s="242"/>
      <c r="P85" s="242"/>
      <c r="Q85" s="242"/>
      <c r="R85" s="242"/>
      <c r="S85" s="243"/>
      <c r="T85" s="712"/>
      <c r="U85" s="242"/>
      <c r="V85" s="242"/>
      <c r="W85" s="1134"/>
      <c r="X85" s="1264"/>
      <c r="Y85" s="1531"/>
      <c r="Z85" s="1091"/>
    </row>
    <row r="86" spans="1:26">
      <c r="A86" s="240"/>
      <c r="B86" s="240"/>
      <c r="C86" s="240"/>
      <c r="D86" s="620"/>
      <c r="E86" s="620"/>
      <c r="F86" s="621"/>
      <c r="G86" s="466"/>
      <c r="H86" s="466"/>
      <c r="I86" s="434"/>
      <c r="J86" s="434"/>
      <c r="K86" s="435"/>
      <c r="L86" s="435"/>
      <c r="M86" s="242"/>
      <c r="N86" s="711"/>
      <c r="O86" s="242"/>
      <c r="P86" s="242"/>
      <c r="Q86" s="242"/>
      <c r="R86" s="242"/>
      <c r="S86" s="243"/>
      <c r="T86" s="712"/>
      <c r="U86" s="242"/>
      <c r="V86" s="242"/>
      <c r="W86" s="1134"/>
      <c r="X86" s="1264"/>
      <c r="Y86" s="1531"/>
      <c r="Z86" s="1091"/>
    </row>
    <row r="87" spans="1:26">
      <c r="A87" s="240"/>
      <c r="B87" s="240"/>
      <c r="C87" s="240"/>
      <c r="D87" s="620"/>
      <c r="E87" s="620"/>
      <c r="F87" s="621"/>
      <c r="G87" s="466"/>
      <c r="H87" s="466"/>
      <c r="I87" s="434"/>
      <c r="J87" s="434"/>
      <c r="K87" s="435"/>
      <c r="L87" s="435"/>
      <c r="M87" s="242"/>
      <c r="N87" s="711"/>
      <c r="O87" s="242"/>
      <c r="P87" s="242"/>
      <c r="Q87" s="242"/>
      <c r="R87" s="242"/>
      <c r="S87" s="243"/>
      <c r="T87" s="712"/>
      <c r="U87" s="242"/>
      <c r="V87" s="242"/>
      <c r="W87" s="1134"/>
      <c r="X87" s="1264"/>
      <c r="Y87" s="1531"/>
      <c r="Z87" s="1091"/>
    </row>
    <row r="88" spans="1:26">
      <c r="A88" s="240"/>
      <c r="B88" s="240"/>
      <c r="C88" s="240"/>
      <c r="D88" s="620"/>
      <c r="E88" s="620"/>
      <c r="F88" s="621"/>
      <c r="G88" s="466"/>
      <c r="H88" s="466"/>
      <c r="I88" s="434"/>
      <c r="J88" s="434"/>
      <c r="K88" s="435"/>
      <c r="L88" s="435"/>
      <c r="M88" s="242"/>
      <c r="N88" s="711"/>
      <c r="O88" s="242"/>
      <c r="P88" s="242"/>
      <c r="Q88" s="242"/>
      <c r="R88" s="242"/>
      <c r="S88" s="243"/>
      <c r="T88" s="712"/>
      <c r="U88" s="242"/>
      <c r="V88" s="242"/>
      <c r="W88" s="1134"/>
      <c r="X88" s="1264"/>
      <c r="Y88" s="1531"/>
      <c r="Z88" s="1091"/>
    </row>
    <row r="89" spans="1:26">
      <c r="A89" s="240"/>
      <c r="B89" s="240"/>
      <c r="C89" s="240"/>
      <c r="D89" s="620"/>
      <c r="E89" s="620"/>
      <c r="F89" s="621"/>
      <c r="G89" s="466"/>
      <c r="H89" s="466"/>
      <c r="I89" s="434"/>
      <c r="J89" s="434"/>
      <c r="K89" s="435"/>
      <c r="L89" s="435"/>
      <c r="M89" s="242"/>
      <c r="N89" s="711"/>
      <c r="O89" s="242"/>
      <c r="P89" s="242"/>
      <c r="Q89" s="242"/>
      <c r="R89" s="242"/>
      <c r="S89" s="243"/>
      <c r="T89" s="712"/>
      <c r="U89" s="242"/>
      <c r="V89" s="242"/>
      <c r="W89" s="1134"/>
      <c r="X89" s="1264"/>
      <c r="Y89" s="1531"/>
      <c r="Z89" s="1091"/>
    </row>
    <row r="90" spans="1:26">
      <c r="A90" s="240"/>
      <c r="B90" s="240"/>
      <c r="C90" s="240"/>
      <c r="D90" s="620"/>
      <c r="E90" s="620"/>
      <c r="F90" s="621"/>
      <c r="G90" s="466"/>
      <c r="H90" s="466"/>
      <c r="I90" s="434"/>
      <c r="J90" s="434"/>
      <c r="K90" s="435"/>
      <c r="L90" s="435"/>
      <c r="M90" s="242"/>
      <c r="N90" s="711"/>
      <c r="O90" s="242"/>
      <c r="P90" s="242"/>
      <c r="Q90" s="242"/>
      <c r="R90" s="242"/>
      <c r="S90" s="243"/>
      <c r="T90" s="712"/>
      <c r="U90" s="242"/>
      <c r="V90" s="242"/>
      <c r="W90" s="1134"/>
      <c r="X90" s="1264"/>
      <c r="Y90" s="1531"/>
      <c r="Z90" s="1091"/>
    </row>
    <row r="91" spans="1:26">
      <c r="A91" s="240"/>
      <c r="B91" s="240"/>
      <c r="C91" s="240"/>
      <c r="D91" s="620"/>
      <c r="E91" s="620"/>
      <c r="F91" s="621"/>
      <c r="G91" s="466"/>
      <c r="H91" s="466"/>
      <c r="I91" s="434"/>
      <c r="J91" s="434"/>
      <c r="K91" s="435"/>
      <c r="L91" s="435"/>
      <c r="M91" s="242"/>
      <c r="N91" s="711"/>
      <c r="O91" s="242"/>
      <c r="P91" s="242"/>
      <c r="Q91" s="242"/>
      <c r="R91" s="242"/>
      <c r="S91" s="243"/>
      <c r="T91" s="712"/>
      <c r="U91" s="242"/>
      <c r="V91" s="242"/>
      <c r="W91" s="1134"/>
      <c r="X91" s="1264"/>
      <c r="Y91" s="1531"/>
      <c r="Z91" s="1091"/>
    </row>
    <row r="92" spans="1:26">
      <c r="A92" s="240"/>
      <c r="B92" s="240"/>
      <c r="C92" s="240"/>
      <c r="D92" s="620"/>
      <c r="E92" s="620"/>
      <c r="F92" s="621"/>
      <c r="G92" s="466"/>
      <c r="H92" s="466"/>
      <c r="I92" s="434"/>
      <c r="J92" s="434"/>
      <c r="K92" s="435"/>
      <c r="L92" s="435"/>
      <c r="M92" s="242"/>
      <c r="N92" s="711"/>
      <c r="O92" s="242"/>
      <c r="P92" s="242"/>
      <c r="Q92" s="242"/>
      <c r="R92" s="242"/>
      <c r="S92" s="243"/>
      <c r="T92" s="712"/>
      <c r="U92" s="242"/>
      <c r="V92" s="242"/>
      <c r="W92" s="1134"/>
      <c r="X92" s="1264"/>
      <c r="Y92" s="1531"/>
      <c r="Z92" s="1091"/>
    </row>
    <row r="93" spans="1:26">
      <c r="A93" s="240"/>
      <c r="B93" s="240"/>
      <c r="C93" s="240"/>
      <c r="D93" s="620"/>
      <c r="E93" s="620"/>
      <c r="F93" s="621"/>
      <c r="G93" s="466"/>
      <c r="H93" s="466"/>
      <c r="I93" s="434"/>
      <c r="J93" s="434"/>
      <c r="K93" s="435"/>
      <c r="L93" s="435"/>
      <c r="M93" s="242"/>
      <c r="N93" s="711"/>
      <c r="O93" s="242"/>
      <c r="P93" s="242"/>
      <c r="Q93" s="242"/>
      <c r="R93" s="242"/>
      <c r="S93" s="243"/>
      <c r="T93" s="712"/>
      <c r="U93" s="242"/>
      <c r="V93" s="242"/>
      <c r="W93" s="1134"/>
      <c r="X93" s="1264"/>
      <c r="Y93" s="1531"/>
      <c r="Z93" s="1091"/>
    </row>
    <row r="94" spans="1:26">
      <c r="A94" s="240"/>
      <c r="B94" s="240"/>
      <c r="C94" s="240"/>
      <c r="D94" s="620"/>
      <c r="E94" s="620"/>
      <c r="F94" s="621"/>
      <c r="G94" s="466"/>
      <c r="H94" s="466"/>
      <c r="I94" s="434"/>
      <c r="J94" s="434"/>
      <c r="K94" s="435"/>
      <c r="L94" s="435"/>
      <c r="M94" s="242"/>
      <c r="N94" s="711"/>
      <c r="O94" s="242"/>
      <c r="P94" s="242"/>
      <c r="Q94" s="242"/>
      <c r="R94" s="242"/>
      <c r="S94" s="243"/>
      <c r="T94" s="712"/>
      <c r="U94" s="242"/>
      <c r="V94" s="242"/>
      <c r="W94" s="1134"/>
      <c r="X94" s="1264"/>
      <c r="Y94" s="1531"/>
      <c r="Z94" s="1091"/>
    </row>
    <row r="95" spans="1:26">
      <c r="A95" s="240"/>
      <c r="B95" s="240"/>
      <c r="C95" s="240"/>
      <c r="D95" s="620"/>
      <c r="E95" s="620"/>
      <c r="F95" s="621"/>
      <c r="G95" s="466"/>
      <c r="H95" s="466"/>
      <c r="I95" s="434"/>
      <c r="J95" s="434"/>
      <c r="K95" s="435"/>
      <c r="L95" s="435"/>
      <c r="M95" s="242"/>
      <c r="N95" s="711"/>
      <c r="O95" s="242"/>
      <c r="P95" s="242"/>
      <c r="Q95" s="242"/>
      <c r="R95" s="242"/>
      <c r="S95" s="243"/>
      <c r="T95" s="712"/>
      <c r="U95" s="242"/>
      <c r="V95" s="242"/>
      <c r="W95" s="1134"/>
      <c r="X95" s="1264"/>
      <c r="Y95" s="1531"/>
      <c r="Z95" s="1091"/>
    </row>
    <row r="96" spans="1:26">
      <c r="A96" s="240"/>
      <c r="B96" s="240"/>
      <c r="C96" s="240"/>
      <c r="D96" s="620"/>
      <c r="E96" s="620"/>
      <c r="F96" s="621"/>
      <c r="G96" s="466"/>
      <c r="H96" s="466"/>
      <c r="I96" s="434"/>
      <c r="J96" s="434"/>
      <c r="K96" s="435"/>
      <c r="L96" s="435"/>
      <c r="M96" s="242"/>
      <c r="N96" s="711"/>
      <c r="O96" s="242"/>
      <c r="P96" s="242"/>
      <c r="Q96" s="242"/>
      <c r="R96" s="242"/>
      <c r="S96" s="243"/>
      <c r="T96" s="712"/>
      <c r="U96" s="242"/>
      <c r="V96" s="242"/>
      <c r="W96" s="1134"/>
      <c r="X96" s="1264"/>
      <c r="Y96" s="1531"/>
      <c r="Z96" s="1091"/>
    </row>
    <row r="97" spans="1:26">
      <c r="A97" s="240"/>
      <c r="B97" s="240"/>
      <c r="C97" s="240"/>
      <c r="D97" s="620"/>
      <c r="E97" s="620"/>
      <c r="F97" s="621"/>
      <c r="G97" s="466"/>
      <c r="H97" s="466"/>
      <c r="I97" s="434"/>
      <c r="J97" s="434"/>
      <c r="K97" s="435"/>
      <c r="L97" s="435"/>
      <c r="M97" s="242"/>
      <c r="N97" s="711"/>
      <c r="O97" s="242"/>
      <c r="P97" s="242"/>
      <c r="Q97" s="242"/>
      <c r="R97" s="242"/>
      <c r="S97" s="243"/>
      <c r="T97" s="712"/>
      <c r="U97" s="242"/>
      <c r="V97" s="242"/>
      <c r="W97" s="1134"/>
      <c r="X97" s="1264"/>
      <c r="Y97" s="1531"/>
      <c r="Z97" s="1091"/>
    </row>
    <row r="98" spans="1:26">
      <c r="A98" s="240"/>
      <c r="B98" s="240"/>
      <c r="C98" s="240"/>
      <c r="D98" s="620"/>
      <c r="E98" s="620"/>
      <c r="F98" s="621"/>
      <c r="G98" s="466"/>
      <c r="H98" s="466"/>
      <c r="I98" s="434"/>
      <c r="J98" s="434"/>
      <c r="K98" s="435"/>
      <c r="L98" s="435"/>
      <c r="M98" s="242"/>
      <c r="N98" s="711"/>
      <c r="O98" s="242"/>
      <c r="P98" s="242"/>
      <c r="Q98" s="242"/>
      <c r="R98" s="242"/>
      <c r="S98" s="243"/>
      <c r="T98" s="712"/>
      <c r="U98" s="242"/>
      <c r="V98" s="242"/>
      <c r="W98" s="1134"/>
      <c r="X98" s="1264"/>
      <c r="Y98" s="1531"/>
      <c r="Z98" s="1091"/>
    </row>
    <row r="99" spans="1:26">
      <c r="A99" s="240"/>
      <c r="B99" s="240"/>
      <c r="C99" s="240"/>
      <c r="D99" s="620"/>
      <c r="E99" s="620"/>
      <c r="F99" s="621"/>
      <c r="G99" s="466"/>
      <c r="H99" s="466"/>
      <c r="I99" s="434"/>
      <c r="J99" s="434"/>
      <c r="K99" s="435"/>
      <c r="L99" s="435"/>
      <c r="M99" s="242"/>
      <c r="N99" s="711"/>
      <c r="O99" s="242"/>
      <c r="P99" s="242"/>
      <c r="Q99" s="242"/>
      <c r="R99" s="242"/>
      <c r="S99" s="243"/>
      <c r="T99" s="712"/>
      <c r="U99" s="242"/>
      <c r="V99" s="242"/>
      <c r="W99" s="1134"/>
      <c r="X99" s="1264"/>
      <c r="Y99" s="1531"/>
      <c r="Z99" s="1091"/>
    </row>
    <row r="100" spans="1:26">
      <c r="A100" s="240"/>
      <c r="B100" s="240"/>
      <c r="C100" s="240"/>
      <c r="D100" s="620"/>
      <c r="E100" s="620"/>
      <c r="F100" s="621"/>
      <c r="G100" s="466"/>
      <c r="H100" s="466"/>
      <c r="I100" s="434"/>
      <c r="J100" s="434"/>
      <c r="K100" s="435"/>
      <c r="L100" s="435"/>
      <c r="M100" s="242"/>
      <c r="N100" s="711"/>
      <c r="O100" s="242"/>
      <c r="P100" s="242"/>
      <c r="Q100" s="242"/>
      <c r="R100" s="242"/>
      <c r="S100" s="243"/>
      <c r="T100" s="712"/>
      <c r="U100" s="242"/>
      <c r="V100" s="242"/>
      <c r="W100" s="1134"/>
      <c r="X100" s="1264"/>
      <c r="Y100" s="1531"/>
      <c r="Z100" s="1091"/>
    </row>
    <row r="101" spans="1:26">
      <c r="A101" s="240"/>
      <c r="B101" s="240"/>
      <c r="C101" s="240"/>
      <c r="D101" s="620"/>
      <c r="E101" s="620"/>
      <c r="F101" s="621"/>
      <c r="G101" s="466"/>
      <c r="H101" s="466"/>
      <c r="I101" s="434"/>
      <c r="J101" s="434"/>
      <c r="K101" s="435"/>
      <c r="L101" s="435"/>
      <c r="M101" s="242"/>
      <c r="N101" s="711"/>
      <c r="O101" s="242"/>
      <c r="P101" s="242"/>
      <c r="Q101" s="242"/>
      <c r="R101" s="242"/>
      <c r="S101" s="243"/>
      <c r="T101" s="712"/>
      <c r="U101" s="242"/>
      <c r="V101" s="242"/>
      <c r="W101" s="1134"/>
      <c r="X101" s="1264"/>
      <c r="Y101" s="1531"/>
      <c r="Z101" s="1091"/>
    </row>
    <row r="102" spans="1:26">
      <c r="A102" s="240"/>
      <c r="B102" s="240"/>
      <c r="C102" s="240"/>
      <c r="D102" s="620"/>
      <c r="E102" s="620"/>
      <c r="F102" s="621"/>
      <c r="G102" s="466"/>
      <c r="H102" s="466"/>
      <c r="I102" s="434"/>
      <c r="J102" s="434"/>
      <c r="K102" s="435"/>
      <c r="L102" s="435"/>
      <c r="M102" s="242"/>
      <c r="N102" s="711"/>
      <c r="O102" s="242"/>
      <c r="P102" s="242"/>
      <c r="Q102" s="242"/>
      <c r="R102" s="242"/>
      <c r="S102" s="243"/>
      <c r="T102" s="712"/>
      <c r="U102" s="242"/>
      <c r="V102" s="242"/>
      <c r="W102" s="1134"/>
      <c r="X102" s="1264"/>
      <c r="Y102" s="1531"/>
      <c r="Z102" s="1091"/>
    </row>
    <row r="103" spans="1:26">
      <c r="A103" s="240"/>
      <c r="B103" s="240"/>
      <c r="C103" s="240"/>
      <c r="D103" s="620"/>
      <c r="E103" s="620"/>
      <c r="F103" s="621"/>
      <c r="G103" s="466"/>
      <c r="H103" s="466"/>
      <c r="I103" s="434"/>
      <c r="J103" s="434"/>
      <c r="K103" s="435"/>
      <c r="L103" s="435"/>
      <c r="M103" s="242"/>
      <c r="N103" s="711"/>
      <c r="O103" s="242"/>
      <c r="P103" s="242"/>
      <c r="Q103" s="242"/>
      <c r="R103" s="242"/>
      <c r="S103" s="243"/>
      <c r="T103" s="712"/>
      <c r="U103" s="242"/>
      <c r="V103" s="242"/>
      <c r="W103" s="1134"/>
      <c r="X103" s="1264"/>
      <c r="Y103" s="1531"/>
      <c r="Z103" s="1091"/>
    </row>
    <row r="104" spans="1:26">
      <c r="A104" s="240"/>
      <c r="B104" s="240"/>
      <c r="C104" s="240"/>
      <c r="D104" s="620"/>
      <c r="E104" s="620"/>
      <c r="F104" s="621"/>
      <c r="G104" s="466"/>
      <c r="H104" s="466"/>
      <c r="I104" s="434"/>
      <c r="J104" s="434"/>
      <c r="K104" s="435"/>
      <c r="L104" s="435"/>
      <c r="M104" s="242"/>
      <c r="N104" s="711"/>
      <c r="O104" s="242"/>
      <c r="P104" s="242"/>
      <c r="Q104" s="242"/>
      <c r="R104" s="242"/>
      <c r="S104" s="243"/>
      <c r="T104" s="712"/>
      <c r="U104" s="242"/>
      <c r="V104" s="242"/>
      <c r="W104" s="1134"/>
      <c r="X104" s="1264"/>
      <c r="Y104" s="1531"/>
      <c r="Z104" s="1091"/>
    </row>
    <row r="105" spans="1:26">
      <c r="A105" s="240"/>
      <c r="B105" s="240"/>
      <c r="C105" s="240"/>
      <c r="D105" s="620"/>
      <c r="E105" s="620"/>
      <c r="F105" s="621"/>
      <c r="G105" s="466"/>
      <c r="H105" s="466"/>
      <c r="I105" s="434"/>
      <c r="J105" s="434"/>
      <c r="K105" s="435"/>
      <c r="L105" s="435"/>
      <c r="M105" s="242"/>
      <c r="N105" s="711"/>
      <c r="O105" s="242"/>
      <c r="P105" s="242"/>
      <c r="Q105" s="242"/>
      <c r="R105" s="242"/>
      <c r="S105" s="243"/>
      <c r="T105" s="712"/>
      <c r="U105" s="242"/>
      <c r="V105" s="242"/>
      <c r="W105" s="1134"/>
      <c r="X105" s="1264"/>
      <c r="Y105" s="1531"/>
      <c r="Z105" s="1091"/>
    </row>
    <row r="106" spans="1:26">
      <c r="A106" s="240"/>
      <c r="B106" s="240"/>
      <c r="C106" s="240"/>
      <c r="D106" s="620"/>
      <c r="E106" s="620"/>
      <c r="F106" s="621"/>
      <c r="G106" s="466"/>
      <c r="H106" s="466"/>
      <c r="I106" s="434"/>
      <c r="J106" s="434"/>
      <c r="K106" s="435"/>
      <c r="L106" s="435"/>
      <c r="M106" s="242"/>
      <c r="N106" s="711"/>
      <c r="O106" s="242"/>
      <c r="P106" s="242"/>
      <c r="Q106" s="242"/>
      <c r="R106" s="242"/>
      <c r="S106" s="243"/>
      <c r="T106" s="712"/>
      <c r="U106" s="242"/>
      <c r="V106" s="242"/>
      <c r="W106" s="1134"/>
      <c r="X106" s="1264"/>
      <c r="Y106" s="1531"/>
      <c r="Z106" s="1091"/>
    </row>
    <row r="107" spans="1:26">
      <c r="A107" s="240"/>
      <c r="B107" s="240"/>
      <c r="C107" s="240"/>
      <c r="D107" s="620"/>
      <c r="E107" s="620"/>
      <c r="F107" s="621"/>
      <c r="G107" s="466"/>
      <c r="H107" s="466"/>
      <c r="I107" s="434"/>
      <c r="J107" s="434"/>
      <c r="K107" s="435"/>
      <c r="L107" s="435"/>
      <c r="M107" s="242"/>
      <c r="N107" s="711"/>
      <c r="O107" s="242"/>
      <c r="P107" s="242"/>
      <c r="Q107" s="242"/>
      <c r="R107" s="242"/>
      <c r="S107" s="243"/>
      <c r="T107" s="712"/>
      <c r="U107" s="242"/>
      <c r="V107" s="242"/>
      <c r="W107" s="1134"/>
      <c r="X107" s="1264"/>
      <c r="Y107" s="1531"/>
      <c r="Z107" s="1091"/>
    </row>
    <row r="108" spans="1:26">
      <c r="A108" s="240"/>
      <c r="B108" s="240"/>
      <c r="C108" s="240"/>
      <c r="D108" s="620"/>
      <c r="E108" s="620"/>
      <c r="F108" s="621"/>
      <c r="G108" s="466"/>
      <c r="H108" s="466"/>
      <c r="I108" s="434"/>
      <c r="J108" s="434"/>
      <c r="K108" s="435"/>
      <c r="L108" s="435"/>
      <c r="M108" s="242"/>
      <c r="N108" s="711"/>
      <c r="O108" s="242"/>
      <c r="P108" s="242"/>
      <c r="Q108" s="242"/>
      <c r="R108" s="242"/>
      <c r="S108" s="243"/>
      <c r="T108" s="712"/>
      <c r="U108" s="242"/>
      <c r="V108" s="242"/>
      <c r="W108" s="1134"/>
      <c r="X108" s="1264"/>
      <c r="Y108" s="1531"/>
      <c r="Z108" s="1091"/>
    </row>
    <row r="109" spans="1:26">
      <c r="A109" s="240"/>
      <c r="B109" s="240"/>
      <c r="C109" s="240"/>
      <c r="D109" s="620"/>
      <c r="E109" s="620"/>
      <c r="F109" s="621"/>
      <c r="G109" s="466"/>
      <c r="H109" s="466"/>
      <c r="I109" s="434"/>
      <c r="J109" s="434"/>
      <c r="K109" s="435"/>
      <c r="L109" s="435"/>
      <c r="M109" s="242"/>
      <c r="N109" s="711"/>
      <c r="O109" s="242"/>
      <c r="P109" s="242"/>
      <c r="Q109" s="242"/>
      <c r="R109" s="242"/>
      <c r="S109" s="243"/>
      <c r="T109" s="712"/>
      <c r="U109" s="242"/>
      <c r="V109" s="242"/>
      <c r="W109" s="1134"/>
      <c r="X109" s="1264"/>
      <c r="Y109" s="1531"/>
      <c r="Z109" s="1091"/>
    </row>
    <row r="110" spans="1:26">
      <c r="A110" s="240"/>
      <c r="B110" s="240"/>
      <c r="C110" s="240"/>
      <c r="D110" s="620"/>
      <c r="E110" s="620"/>
      <c r="F110" s="621"/>
      <c r="G110" s="466"/>
      <c r="H110" s="466"/>
      <c r="I110" s="434"/>
      <c r="J110" s="434"/>
      <c r="K110" s="435"/>
      <c r="L110" s="435"/>
      <c r="M110" s="242"/>
      <c r="N110" s="711"/>
      <c r="O110" s="242"/>
      <c r="P110" s="242"/>
      <c r="Q110" s="242"/>
      <c r="R110" s="242"/>
      <c r="S110" s="243"/>
      <c r="T110" s="712"/>
      <c r="U110" s="242"/>
      <c r="V110" s="242"/>
      <c r="W110" s="1134"/>
      <c r="X110" s="1264"/>
      <c r="Y110" s="1531"/>
      <c r="Z110" s="1091"/>
    </row>
    <row r="111" spans="1:26">
      <c r="A111" s="240"/>
      <c r="B111" s="240"/>
      <c r="C111" s="240"/>
      <c r="D111" s="620"/>
      <c r="E111" s="620"/>
      <c r="F111" s="621"/>
      <c r="G111" s="466"/>
      <c r="H111" s="466"/>
      <c r="I111" s="434"/>
      <c r="J111" s="434"/>
      <c r="K111" s="435"/>
      <c r="L111" s="435"/>
      <c r="M111" s="242"/>
      <c r="N111" s="711"/>
      <c r="O111" s="242"/>
      <c r="P111" s="242"/>
      <c r="Q111" s="242"/>
      <c r="R111" s="242"/>
      <c r="S111" s="243"/>
      <c r="T111" s="712"/>
      <c r="U111" s="242"/>
      <c r="V111" s="242"/>
      <c r="W111" s="1134"/>
      <c r="X111" s="1264"/>
      <c r="Y111" s="1531"/>
      <c r="Z111" s="1091"/>
    </row>
    <row r="112" spans="1:26">
      <c r="A112" s="240"/>
      <c r="B112" s="240"/>
      <c r="C112" s="240"/>
      <c r="D112" s="620"/>
      <c r="E112" s="620"/>
      <c r="F112" s="621"/>
      <c r="G112" s="466"/>
      <c r="H112" s="466"/>
      <c r="I112" s="434"/>
      <c r="J112" s="434"/>
      <c r="K112" s="435"/>
      <c r="L112" s="435"/>
      <c r="M112" s="242"/>
      <c r="N112" s="711"/>
      <c r="O112" s="242"/>
      <c r="P112" s="242"/>
      <c r="Q112" s="242"/>
      <c r="R112" s="242"/>
      <c r="S112" s="243"/>
      <c r="T112" s="712"/>
      <c r="U112" s="242"/>
      <c r="V112" s="242"/>
      <c r="W112" s="1134"/>
      <c r="X112" s="1264"/>
      <c r="Y112" s="1531"/>
      <c r="Z112" s="1091"/>
    </row>
    <row r="113" spans="1:26">
      <c r="A113" s="240"/>
      <c r="B113" s="240"/>
      <c r="C113" s="240"/>
      <c r="D113" s="620"/>
      <c r="E113" s="620"/>
      <c r="F113" s="621"/>
      <c r="G113" s="466"/>
      <c r="H113" s="466"/>
      <c r="I113" s="434"/>
      <c r="J113" s="434"/>
      <c r="K113" s="435"/>
      <c r="L113" s="435"/>
      <c r="M113" s="242"/>
      <c r="N113" s="711"/>
      <c r="O113" s="242"/>
      <c r="P113" s="242"/>
      <c r="Q113" s="242"/>
      <c r="R113" s="242"/>
      <c r="S113" s="243"/>
      <c r="T113" s="712"/>
      <c r="U113" s="242"/>
      <c r="V113" s="242"/>
      <c r="W113" s="1134"/>
      <c r="X113" s="1264"/>
      <c r="Y113" s="1531"/>
      <c r="Z113" s="1091"/>
    </row>
    <row r="114" spans="1:26">
      <c r="A114" s="240"/>
      <c r="B114" s="240"/>
      <c r="C114" s="240"/>
      <c r="D114" s="620"/>
      <c r="E114" s="620"/>
      <c r="F114" s="621"/>
      <c r="G114" s="466"/>
      <c r="H114" s="466"/>
      <c r="I114" s="434"/>
      <c r="J114" s="434"/>
      <c r="K114" s="435"/>
      <c r="L114" s="435"/>
      <c r="M114" s="242"/>
      <c r="N114" s="711"/>
      <c r="O114" s="242"/>
      <c r="P114" s="242"/>
      <c r="Q114" s="242"/>
      <c r="R114" s="242"/>
      <c r="S114" s="243"/>
      <c r="T114" s="712"/>
      <c r="U114" s="242"/>
      <c r="V114" s="242"/>
      <c r="W114" s="1134"/>
      <c r="X114" s="1264"/>
      <c r="Y114" s="1531"/>
      <c r="Z114" s="1091"/>
    </row>
    <row r="115" spans="1:26">
      <c r="A115" s="240"/>
      <c r="B115" s="240"/>
      <c r="C115" s="240"/>
      <c r="D115" s="620"/>
      <c r="E115" s="620"/>
      <c r="F115" s="621"/>
      <c r="G115" s="466"/>
      <c r="H115" s="466"/>
      <c r="I115" s="434"/>
      <c r="J115" s="434"/>
      <c r="K115" s="435"/>
      <c r="L115" s="435"/>
      <c r="M115" s="242"/>
      <c r="N115" s="711"/>
      <c r="O115" s="242"/>
      <c r="P115" s="242"/>
      <c r="Q115" s="242"/>
      <c r="R115" s="242"/>
      <c r="S115" s="243"/>
      <c r="T115" s="712"/>
      <c r="U115" s="242"/>
      <c r="V115" s="242"/>
      <c r="W115" s="1134"/>
      <c r="X115" s="1264"/>
      <c r="Y115" s="1531"/>
      <c r="Z115" s="1091"/>
    </row>
    <row r="116" spans="1:26">
      <c r="A116" s="240"/>
      <c r="B116" s="240"/>
      <c r="C116" s="240"/>
      <c r="D116" s="620"/>
      <c r="E116" s="620"/>
      <c r="F116" s="621"/>
      <c r="G116" s="466"/>
      <c r="H116" s="466"/>
      <c r="I116" s="434"/>
      <c r="J116" s="434"/>
      <c r="K116" s="435"/>
      <c r="L116" s="435"/>
      <c r="M116" s="242"/>
      <c r="N116" s="711"/>
      <c r="O116" s="242"/>
      <c r="P116" s="242"/>
      <c r="Q116" s="242"/>
      <c r="R116" s="242"/>
      <c r="S116" s="243"/>
      <c r="T116" s="712"/>
      <c r="U116" s="242"/>
      <c r="V116" s="242"/>
      <c r="W116" s="1134"/>
      <c r="X116" s="1264"/>
      <c r="Y116" s="1531"/>
      <c r="Z116" s="1091"/>
    </row>
    <row r="117" spans="1:26">
      <c r="A117" s="240"/>
      <c r="B117" s="240"/>
      <c r="C117" s="240"/>
      <c r="D117" s="620"/>
      <c r="E117" s="620"/>
      <c r="F117" s="621"/>
      <c r="G117" s="466"/>
      <c r="H117" s="466"/>
      <c r="I117" s="434"/>
      <c r="J117" s="434"/>
      <c r="K117" s="435"/>
      <c r="L117" s="435"/>
      <c r="M117" s="242"/>
      <c r="N117" s="711"/>
      <c r="O117" s="242"/>
      <c r="P117" s="242"/>
      <c r="Q117" s="242"/>
      <c r="R117" s="242"/>
      <c r="S117" s="243"/>
      <c r="T117" s="712"/>
      <c r="U117" s="242"/>
      <c r="V117" s="242"/>
      <c r="W117" s="1134"/>
      <c r="X117" s="1264"/>
      <c r="Y117" s="1531"/>
      <c r="Z117" s="1091"/>
    </row>
    <row r="118" spans="1:26">
      <c r="A118" s="240"/>
      <c r="B118" s="240"/>
      <c r="C118" s="240"/>
      <c r="D118" s="620"/>
      <c r="E118" s="620"/>
      <c r="F118" s="621"/>
      <c r="G118" s="466"/>
      <c r="H118" s="466"/>
      <c r="I118" s="434"/>
      <c r="J118" s="434"/>
      <c r="K118" s="435"/>
      <c r="L118" s="435"/>
      <c r="M118" s="242"/>
      <c r="N118" s="711"/>
      <c r="O118" s="242"/>
      <c r="P118" s="242"/>
      <c r="Q118" s="242"/>
      <c r="R118" s="242"/>
      <c r="S118" s="243"/>
      <c r="T118" s="712"/>
      <c r="U118" s="242"/>
      <c r="V118" s="242"/>
      <c r="W118" s="1134"/>
      <c r="X118" s="1264"/>
      <c r="Y118" s="1531"/>
      <c r="Z118" s="1091"/>
    </row>
    <row r="119" spans="1:26">
      <c r="A119" s="240"/>
      <c r="B119" s="240"/>
      <c r="C119" s="240"/>
      <c r="D119" s="620"/>
      <c r="E119" s="620"/>
      <c r="F119" s="621"/>
      <c r="G119" s="466"/>
      <c r="H119" s="466"/>
      <c r="I119" s="434"/>
      <c r="J119" s="434"/>
      <c r="K119" s="435"/>
      <c r="L119" s="435"/>
      <c r="M119" s="242"/>
      <c r="N119" s="711"/>
      <c r="O119" s="242"/>
      <c r="P119" s="242"/>
      <c r="Q119" s="242"/>
      <c r="R119" s="242"/>
      <c r="S119" s="243"/>
      <c r="T119" s="712"/>
      <c r="U119" s="242"/>
      <c r="V119" s="242"/>
      <c r="W119" s="1134"/>
      <c r="X119" s="1264"/>
      <c r="Y119" s="1531"/>
      <c r="Z119" s="1091"/>
    </row>
    <row r="120" spans="1:26">
      <c r="A120" s="240"/>
      <c r="B120" s="240"/>
      <c r="C120" s="240"/>
      <c r="D120" s="620"/>
      <c r="E120" s="620"/>
      <c r="F120" s="621"/>
      <c r="G120" s="466"/>
      <c r="H120" s="466"/>
      <c r="I120" s="434"/>
      <c r="J120" s="434"/>
      <c r="K120" s="435"/>
      <c r="L120" s="435"/>
      <c r="M120" s="242"/>
      <c r="N120" s="711"/>
      <c r="O120" s="242"/>
      <c r="P120" s="242"/>
      <c r="Q120" s="242"/>
      <c r="R120" s="242"/>
      <c r="S120" s="243"/>
      <c r="T120" s="712"/>
      <c r="U120" s="242"/>
      <c r="V120" s="242"/>
      <c r="W120" s="1134"/>
      <c r="X120" s="1264"/>
      <c r="Y120" s="1531"/>
      <c r="Z120" s="1091"/>
    </row>
    <row r="121" spans="1:26">
      <c r="A121" s="240"/>
      <c r="B121" s="240"/>
      <c r="C121" s="240"/>
      <c r="D121" s="620"/>
      <c r="E121" s="620"/>
      <c r="F121" s="621"/>
      <c r="G121" s="466"/>
      <c r="H121" s="466"/>
      <c r="I121" s="434"/>
      <c r="J121" s="434"/>
      <c r="K121" s="435"/>
      <c r="L121" s="435"/>
      <c r="M121" s="242"/>
      <c r="N121" s="711"/>
      <c r="O121" s="242"/>
      <c r="P121" s="242"/>
      <c r="Q121" s="242"/>
      <c r="R121" s="242"/>
      <c r="S121" s="243"/>
      <c r="T121" s="712"/>
      <c r="U121" s="242"/>
      <c r="V121" s="242"/>
      <c r="W121" s="1134"/>
      <c r="X121" s="1264"/>
      <c r="Y121" s="1531"/>
      <c r="Z121" s="1091"/>
    </row>
    <row r="122" spans="1:26">
      <c r="A122" s="240"/>
      <c r="B122" s="240"/>
      <c r="C122" s="240"/>
      <c r="D122" s="620"/>
      <c r="E122" s="620"/>
      <c r="F122" s="621"/>
      <c r="G122" s="466"/>
      <c r="H122" s="466"/>
      <c r="I122" s="434"/>
      <c r="J122" s="434"/>
      <c r="K122" s="435"/>
      <c r="L122" s="435"/>
      <c r="M122" s="242"/>
      <c r="N122" s="711"/>
      <c r="O122" s="242"/>
      <c r="P122" s="242"/>
      <c r="Q122" s="242"/>
      <c r="R122" s="242"/>
      <c r="S122" s="243"/>
      <c r="T122" s="712"/>
      <c r="U122" s="242"/>
      <c r="V122" s="242"/>
      <c r="W122" s="1134"/>
      <c r="X122" s="1264"/>
      <c r="Y122" s="1531"/>
      <c r="Z122" s="1091"/>
    </row>
    <row r="123" spans="1:26">
      <c r="A123" s="240"/>
      <c r="B123" s="240"/>
      <c r="C123" s="240"/>
      <c r="D123" s="620"/>
      <c r="E123" s="620"/>
      <c r="F123" s="621"/>
      <c r="G123" s="466"/>
      <c r="H123" s="466"/>
      <c r="I123" s="434"/>
      <c r="J123" s="434"/>
      <c r="K123" s="435"/>
      <c r="L123" s="435"/>
      <c r="M123" s="242"/>
      <c r="N123" s="711"/>
      <c r="O123" s="242"/>
      <c r="P123" s="242"/>
      <c r="Q123" s="242"/>
      <c r="R123" s="242"/>
      <c r="S123" s="243"/>
      <c r="T123" s="712"/>
      <c r="U123" s="242"/>
      <c r="V123" s="242"/>
      <c r="W123" s="1134"/>
      <c r="X123" s="1264"/>
      <c r="Y123" s="1531"/>
      <c r="Z123" s="1091"/>
    </row>
    <row r="124" spans="1:26">
      <c r="A124" s="240"/>
      <c r="B124" s="240"/>
      <c r="C124" s="240"/>
      <c r="D124" s="620"/>
      <c r="E124" s="620"/>
      <c r="F124" s="621"/>
      <c r="G124" s="466"/>
      <c r="H124" s="466"/>
      <c r="I124" s="434"/>
      <c r="J124" s="434"/>
      <c r="K124" s="435"/>
      <c r="L124" s="435"/>
      <c r="M124" s="242"/>
      <c r="N124" s="711"/>
      <c r="O124" s="242"/>
      <c r="P124" s="242"/>
      <c r="Q124" s="242"/>
      <c r="R124" s="242"/>
      <c r="S124" s="243"/>
      <c r="T124" s="712"/>
      <c r="U124" s="242"/>
      <c r="V124" s="242"/>
      <c r="W124" s="1134"/>
      <c r="X124" s="1264"/>
      <c r="Y124" s="1531"/>
      <c r="Z124" s="1091"/>
    </row>
    <row r="125" spans="1:26">
      <c r="A125" s="240"/>
      <c r="B125" s="240"/>
      <c r="C125" s="240"/>
      <c r="D125" s="620"/>
      <c r="E125" s="620"/>
      <c r="F125" s="621"/>
      <c r="G125" s="466"/>
      <c r="H125" s="466"/>
      <c r="I125" s="434"/>
      <c r="J125" s="434"/>
      <c r="K125" s="435"/>
      <c r="L125" s="435"/>
      <c r="M125" s="242"/>
      <c r="N125" s="711"/>
      <c r="O125" s="242"/>
      <c r="P125" s="242"/>
      <c r="Q125" s="242"/>
      <c r="R125" s="242"/>
      <c r="S125" s="243"/>
      <c r="T125" s="712"/>
      <c r="U125" s="242"/>
      <c r="V125" s="242"/>
      <c r="W125" s="1134"/>
      <c r="X125" s="1264"/>
      <c r="Y125" s="1531"/>
      <c r="Z125" s="1091"/>
    </row>
    <row r="126" spans="1:26">
      <c r="A126" s="240"/>
      <c r="B126" s="240"/>
      <c r="C126" s="240"/>
      <c r="D126" s="620"/>
      <c r="E126" s="620"/>
      <c r="F126" s="621"/>
      <c r="G126" s="466"/>
      <c r="H126" s="466"/>
      <c r="I126" s="434"/>
      <c r="J126" s="434"/>
      <c r="K126" s="435"/>
      <c r="L126" s="435"/>
      <c r="M126" s="242"/>
      <c r="N126" s="711"/>
      <c r="O126" s="242"/>
      <c r="P126" s="242"/>
      <c r="Q126" s="242"/>
      <c r="R126" s="242"/>
      <c r="S126" s="243"/>
      <c r="T126" s="712"/>
      <c r="U126" s="242"/>
      <c r="V126" s="242"/>
      <c r="W126" s="1134"/>
      <c r="X126" s="1264"/>
      <c r="Y126" s="1531"/>
      <c r="Z126" s="1091"/>
    </row>
    <row r="127" spans="1:26">
      <c r="A127" s="240"/>
      <c r="B127" s="240"/>
      <c r="C127" s="240"/>
      <c r="D127" s="620"/>
      <c r="E127" s="620"/>
      <c r="F127" s="621"/>
      <c r="G127" s="466"/>
      <c r="H127" s="466"/>
      <c r="I127" s="434"/>
      <c r="J127" s="434"/>
      <c r="K127" s="435"/>
      <c r="L127" s="435"/>
      <c r="M127" s="242"/>
      <c r="N127" s="711"/>
      <c r="O127" s="242"/>
      <c r="P127" s="242"/>
      <c r="Q127" s="242"/>
      <c r="R127" s="242"/>
      <c r="S127" s="243"/>
      <c r="T127" s="712"/>
      <c r="U127" s="242"/>
      <c r="V127" s="242"/>
      <c r="W127" s="1134"/>
      <c r="X127" s="1264"/>
      <c r="Y127" s="1531"/>
      <c r="Z127" s="1091"/>
    </row>
    <row r="128" spans="1:26">
      <c r="A128" s="240"/>
      <c r="B128" s="240"/>
      <c r="C128" s="240"/>
      <c r="D128" s="620"/>
      <c r="E128" s="620"/>
      <c r="F128" s="621"/>
      <c r="G128" s="466"/>
      <c r="H128" s="466"/>
      <c r="I128" s="434"/>
      <c r="J128" s="434"/>
      <c r="K128" s="435"/>
      <c r="L128" s="435"/>
      <c r="M128" s="242"/>
      <c r="N128" s="711"/>
      <c r="O128" s="242"/>
      <c r="P128" s="242"/>
      <c r="Q128" s="242"/>
      <c r="R128" s="242"/>
      <c r="S128" s="243"/>
      <c r="T128" s="712"/>
      <c r="U128" s="242"/>
      <c r="V128" s="242"/>
      <c r="W128" s="1134"/>
      <c r="X128" s="1264"/>
      <c r="Y128" s="1531"/>
      <c r="Z128" s="1091"/>
    </row>
    <row r="129" spans="1:26">
      <c r="A129" s="240"/>
      <c r="B129" s="240"/>
      <c r="C129" s="240"/>
      <c r="D129" s="620"/>
      <c r="E129" s="620"/>
      <c r="F129" s="621"/>
      <c r="G129" s="466"/>
      <c r="H129" s="466"/>
      <c r="I129" s="434"/>
      <c r="J129" s="434"/>
      <c r="K129" s="435"/>
      <c r="L129" s="435"/>
      <c r="M129" s="242"/>
      <c r="N129" s="711"/>
      <c r="O129" s="242"/>
      <c r="P129" s="242"/>
      <c r="Q129" s="242"/>
      <c r="R129" s="242"/>
      <c r="S129" s="243"/>
      <c r="T129" s="712"/>
      <c r="U129" s="242"/>
      <c r="V129" s="242"/>
      <c r="W129" s="1134"/>
      <c r="X129" s="1264"/>
      <c r="Y129" s="1531"/>
      <c r="Z129" s="1091"/>
    </row>
    <row r="130" spans="1:26">
      <c r="A130" s="240"/>
      <c r="B130" s="240"/>
      <c r="C130" s="240"/>
      <c r="D130" s="620"/>
      <c r="E130" s="620"/>
      <c r="F130" s="621"/>
      <c r="G130" s="466"/>
      <c r="H130" s="466"/>
      <c r="I130" s="434"/>
      <c r="J130" s="434"/>
      <c r="K130" s="435"/>
      <c r="L130" s="435"/>
      <c r="M130" s="242"/>
      <c r="N130" s="711"/>
      <c r="O130" s="242"/>
      <c r="P130" s="242"/>
      <c r="Q130" s="242"/>
      <c r="R130" s="242"/>
      <c r="S130" s="243"/>
      <c r="T130" s="712"/>
      <c r="U130" s="242"/>
      <c r="V130" s="242"/>
      <c r="W130" s="1134"/>
      <c r="X130" s="1264"/>
      <c r="Y130" s="1531"/>
      <c r="Z130" s="1091"/>
    </row>
    <row r="131" spans="1:26">
      <c r="A131" s="240"/>
      <c r="B131" s="240"/>
      <c r="C131" s="240"/>
      <c r="D131" s="620"/>
      <c r="E131" s="620"/>
      <c r="F131" s="621"/>
      <c r="G131" s="466"/>
      <c r="H131" s="466"/>
      <c r="I131" s="434"/>
      <c r="J131" s="434"/>
      <c r="K131" s="435"/>
      <c r="L131" s="435"/>
      <c r="M131" s="242"/>
      <c r="N131" s="711"/>
      <c r="O131" s="242"/>
      <c r="P131" s="242"/>
      <c r="Q131" s="242"/>
      <c r="R131" s="242"/>
      <c r="S131" s="243"/>
      <c r="T131" s="712"/>
      <c r="U131" s="242"/>
      <c r="V131" s="242"/>
      <c r="W131" s="1134"/>
      <c r="X131" s="1264"/>
      <c r="Y131" s="1531"/>
      <c r="Z131" s="1091"/>
    </row>
    <row r="132" spans="1:26">
      <c r="A132" s="240"/>
      <c r="B132" s="240"/>
      <c r="C132" s="240"/>
      <c r="D132" s="620"/>
      <c r="E132" s="620"/>
      <c r="F132" s="621"/>
      <c r="G132" s="466"/>
      <c r="H132" s="466"/>
      <c r="I132" s="434"/>
      <c r="J132" s="434"/>
      <c r="K132" s="435"/>
      <c r="L132" s="435"/>
      <c r="M132" s="242"/>
      <c r="N132" s="711"/>
      <c r="O132" s="242"/>
      <c r="P132" s="242"/>
      <c r="Q132" s="242"/>
      <c r="R132" s="242"/>
      <c r="S132" s="243"/>
      <c r="T132" s="712"/>
      <c r="U132" s="242"/>
      <c r="V132" s="242"/>
      <c r="W132" s="1134"/>
      <c r="X132" s="1264"/>
      <c r="Y132" s="1531"/>
      <c r="Z132" s="1091"/>
    </row>
    <row r="133" spans="1:26">
      <c r="A133" s="240"/>
      <c r="B133" s="240"/>
      <c r="C133" s="240"/>
      <c r="D133" s="620"/>
      <c r="E133" s="620"/>
      <c r="F133" s="621"/>
      <c r="G133" s="466"/>
      <c r="H133" s="466"/>
      <c r="I133" s="434"/>
      <c r="J133" s="434"/>
      <c r="K133" s="435"/>
      <c r="L133" s="435"/>
      <c r="M133" s="242"/>
      <c r="N133" s="711"/>
      <c r="O133" s="242"/>
      <c r="P133" s="242"/>
      <c r="Q133" s="242"/>
      <c r="R133" s="242"/>
      <c r="S133" s="243"/>
      <c r="T133" s="712"/>
      <c r="U133" s="242"/>
      <c r="V133" s="242"/>
      <c r="W133" s="1134"/>
      <c r="X133" s="1264"/>
      <c r="Y133" s="1531"/>
      <c r="Z133" s="1091"/>
    </row>
    <row r="134" spans="1:26">
      <c r="A134" s="240"/>
      <c r="B134" s="240"/>
      <c r="C134" s="240"/>
      <c r="D134" s="620"/>
      <c r="E134" s="620"/>
      <c r="F134" s="621"/>
      <c r="G134" s="466"/>
      <c r="H134" s="466"/>
      <c r="I134" s="434"/>
      <c r="J134" s="434"/>
      <c r="K134" s="435"/>
      <c r="L134" s="435"/>
      <c r="M134" s="242"/>
      <c r="N134" s="711"/>
      <c r="O134" s="242"/>
      <c r="P134" s="242"/>
      <c r="Q134" s="242"/>
      <c r="R134" s="242"/>
      <c r="S134" s="243"/>
      <c r="T134" s="712"/>
      <c r="U134" s="242"/>
      <c r="V134" s="242"/>
      <c r="W134" s="1134"/>
      <c r="X134" s="1264"/>
      <c r="Y134" s="1531"/>
      <c r="Z134" s="1091"/>
    </row>
    <row r="135" spans="1:26">
      <c r="A135" s="240"/>
      <c r="B135" s="240"/>
      <c r="C135" s="240"/>
      <c r="D135" s="620"/>
      <c r="E135" s="620"/>
      <c r="F135" s="621"/>
      <c r="G135" s="466"/>
      <c r="H135" s="466"/>
      <c r="I135" s="434"/>
      <c r="J135" s="434"/>
      <c r="K135" s="435"/>
      <c r="L135" s="435"/>
      <c r="M135" s="242"/>
      <c r="N135" s="711"/>
      <c r="O135" s="242"/>
      <c r="P135" s="242"/>
      <c r="Q135" s="242"/>
      <c r="R135" s="242"/>
      <c r="S135" s="243"/>
      <c r="T135" s="712"/>
      <c r="U135" s="242"/>
      <c r="V135" s="242"/>
      <c r="W135" s="1134"/>
      <c r="X135" s="1264"/>
      <c r="Y135" s="1531"/>
      <c r="Z135" s="1091"/>
    </row>
    <row r="136" spans="1:26">
      <c r="A136" s="240"/>
      <c r="B136" s="240"/>
      <c r="C136" s="240"/>
      <c r="D136" s="620"/>
      <c r="E136" s="620"/>
      <c r="F136" s="621"/>
      <c r="G136" s="466"/>
      <c r="H136" s="466"/>
      <c r="I136" s="434"/>
      <c r="J136" s="434"/>
      <c r="K136" s="435"/>
      <c r="L136" s="435"/>
      <c r="M136" s="242"/>
      <c r="N136" s="711"/>
      <c r="O136" s="242"/>
      <c r="P136" s="242"/>
      <c r="Q136" s="242"/>
      <c r="R136" s="242"/>
      <c r="S136" s="243"/>
      <c r="T136" s="712"/>
      <c r="U136" s="242"/>
      <c r="V136" s="242"/>
      <c r="W136" s="1134"/>
      <c r="X136" s="1264"/>
      <c r="Y136" s="1531"/>
      <c r="Z136" s="1091"/>
    </row>
    <row r="137" spans="1:26">
      <c r="A137" s="240"/>
      <c r="B137" s="240"/>
      <c r="C137" s="240"/>
      <c r="D137" s="620"/>
      <c r="E137" s="620"/>
      <c r="F137" s="621"/>
      <c r="G137" s="466"/>
      <c r="H137" s="466"/>
      <c r="I137" s="434"/>
      <c r="J137" s="434"/>
      <c r="K137" s="435"/>
      <c r="L137" s="435"/>
      <c r="M137" s="242"/>
      <c r="N137" s="711"/>
      <c r="O137" s="242"/>
      <c r="P137" s="242"/>
      <c r="Q137" s="242"/>
      <c r="R137" s="242"/>
      <c r="S137" s="243"/>
      <c r="T137" s="712"/>
      <c r="U137" s="242"/>
      <c r="V137" s="242"/>
      <c r="W137" s="1134"/>
      <c r="X137" s="1264"/>
      <c r="Y137" s="1531"/>
      <c r="Z137" s="1091"/>
    </row>
    <row r="138" spans="1:26">
      <c r="A138" s="240"/>
      <c r="B138" s="240"/>
      <c r="C138" s="240"/>
      <c r="D138" s="620"/>
      <c r="E138" s="620"/>
      <c r="F138" s="621"/>
      <c r="G138" s="466"/>
      <c r="H138" s="466"/>
      <c r="I138" s="434"/>
      <c r="J138" s="434"/>
      <c r="K138" s="435"/>
      <c r="L138" s="435"/>
      <c r="M138" s="242"/>
      <c r="N138" s="711"/>
      <c r="O138" s="242"/>
      <c r="P138" s="242"/>
      <c r="Q138" s="242"/>
      <c r="R138" s="242"/>
      <c r="S138" s="243"/>
      <c r="T138" s="712"/>
      <c r="U138" s="242"/>
      <c r="V138" s="242"/>
      <c r="W138" s="1134"/>
      <c r="X138" s="1264"/>
      <c r="Y138" s="1531"/>
      <c r="Z138" s="1091"/>
    </row>
    <row r="139" spans="1:26">
      <c r="A139" s="240"/>
      <c r="B139" s="240"/>
      <c r="C139" s="240"/>
      <c r="D139" s="620"/>
      <c r="E139" s="620"/>
      <c r="F139" s="621"/>
      <c r="G139" s="466"/>
      <c r="H139" s="466"/>
      <c r="I139" s="434"/>
      <c r="J139" s="434"/>
      <c r="K139" s="435"/>
      <c r="L139" s="435"/>
      <c r="M139" s="242"/>
      <c r="N139" s="711"/>
      <c r="O139" s="242"/>
      <c r="P139" s="242"/>
      <c r="Q139" s="242"/>
      <c r="R139" s="242"/>
      <c r="S139" s="243"/>
      <c r="T139" s="712"/>
      <c r="U139" s="242"/>
      <c r="V139" s="242"/>
      <c r="W139" s="1134"/>
      <c r="X139" s="1264"/>
      <c r="Y139" s="1531"/>
      <c r="Z139" s="1091"/>
    </row>
    <row r="140" spans="1:26">
      <c r="A140" s="240"/>
      <c r="B140" s="240"/>
      <c r="C140" s="240"/>
      <c r="D140" s="620"/>
      <c r="E140" s="620"/>
      <c r="F140" s="621"/>
      <c r="G140" s="466"/>
      <c r="H140" s="466"/>
      <c r="I140" s="434"/>
      <c r="J140" s="434"/>
      <c r="K140" s="435"/>
      <c r="L140" s="435"/>
      <c r="M140" s="242"/>
      <c r="N140" s="711"/>
      <c r="O140" s="242"/>
      <c r="P140" s="242"/>
      <c r="Q140" s="242"/>
      <c r="R140" s="242"/>
      <c r="S140" s="243"/>
      <c r="T140" s="712"/>
      <c r="U140" s="242"/>
      <c r="V140" s="242"/>
      <c r="W140" s="1134"/>
      <c r="X140" s="1264"/>
      <c r="Y140" s="1531"/>
      <c r="Z140" s="1091"/>
    </row>
    <row r="141" spans="1:26">
      <c r="A141" s="240"/>
      <c r="B141" s="240"/>
      <c r="C141" s="240"/>
      <c r="D141" s="620"/>
      <c r="E141" s="620"/>
      <c r="F141" s="621"/>
      <c r="G141" s="466"/>
      <c r="H141" s="466"/>
      <c r="I141" s="434"/>
      <c r="J141" s="434"/>
      <c r="K141" s="435"/>
      <c r="L141" s="435"/>
      <c r="M141" s="242"/>
      <c r="N141" s="711"/>
      <c r="O141" s="242"/>
      <c r="P141" s="242"/>
      <c r="Q141" s="242"/>
      <c r="R141" s="242"/>
      <c r="S141" s="243"/>
      <c r="T141" s="712"/>
      <c r="U141" s="242"/>
      <c r="V141" s="242"/>
      <c r="W141" s="1134"/>
      <c r="X141" s="1264"/>
      <c r="Y141" s="1531"/>
      <c r="Z141" s="1091"/>
    </row>
    <row r="142" spans="1:26">
      <c r="A142" s="240"/>
      <c r="B142" s="240"/>
      <c r="C142" s="240"/>
      <c r="D142" s="620"/>
      <c r="E142" s="620"/>
      <c r="F142" s="621"/>
      <c r="G142" s="466"/>
      <c r="H142" s="466"/>
      <c r="I142" s="434"/>
      <c r="J142" s="434"/>
      <c r="K142" s="435"/>
      <c r="L142" s="435"/>
      <c r="M142" s="242"/>
      <c r="N142" s="711"/>
      <c r="O142" s="242"/>
      <c r="P142" s="242"/>
      <c r="Q142" s="242"/>
      <c r="R142" s="242"/>
      <c r="S142" s="243"/>
      <c r="T142" s="712"/>
      <c r="U142" s="242"/>
      <c r="V142" s="242"/>
      <c r="W142" s="1134"/>
      <c r="X142" s="1264"/>
      <c r="Y142" s="1531"/>
      <c r="Z142" s="1091"/>
    </row>
    <row r="143" spans="1:26">
      <c r="A143" s="240"/>
      <c r="B143" s="240"/>
      <c r="C143" s="240"/>
      <c r="D143" s="620"/>
      <c r="E143" s="620"/>
      <c r="F143" s="621"/>
      <c r="G143" s="466"/>
      <c r="H143" s="466"/>
      <c r="I143" s="434"/>
      <c r="J143" s="434"/>
      <c r="K143" s="435"/>
      <c r="L143" s="435"/>
      <c r="M143" s="242"/>
      <c r="N143" s="711"/>
      <c r="O143" s="242"/>
      <c r="P143" s="242"/>
      <c r="Q143" s="242"/>
      <c r="R143" s="242"/>
      <c r="S143" s="243"/>
      <c r="T143" s="712"/>
      <c r="U143" s="242"/>
      <c r="V143" s="242"/>
      <c r="W143" s="1134"/>
      <c r="X143" s="1264"/>
      <c r="Y143" s="1531"/>
      <c r="Z143" s="1091"/>
    </row>
    <row r="144" spans="1:26">
      <c r="A144" s="240"/>
      <c r="B144" s="240"/>
      <c r="C144" s="240"/>
      <c r="D144" s="620"/>
      <c r="E144" s="620"/>
      <c r="F144" s="621"/>
      <c r="G144" s="466"/>
      <c r="H144" s="466"/>
      <c r="I144" s="434"/>
      <c r="J144" s="434"/>
      <c r="K144" s="435"/>
      <c r="L144" s="435"/>
      <c r="M144" s="242"/>
      <c r="N144" s="711"/>
      <c r="O144" s="242"/>
      <c r="P144" s="242"/>
      <c r="Q144" s="242"/>
      <c r="R144" s="242"/>
      <c r="S144" s="243"/>
      <c r="T144" s="712"/>
      <c r="U144" s="242"/>
      <c r="V144" s="242"/>
      <c r="W144" s="1134"/>
      <c r="X144" s="1264"/>
      <c r="Y144" s="1531"/>
      <c r="Z144" s="1091"/>
    </row>
    <row r="145" spans="1:26">
      <c r="A145" s="240"/>
      <c r="B145" s="240"/>
      <c r="C145" s="240"/>
      <c r="D145" s="620"/>
      <c r="E145" s="620"/>
      <c r="F145" s="621"/>
      <c r="G145" s="466"/>
      <c r="H145" s="466"/>
      <c r="I145" s="434"/>
      <c r="J145" s="434"/>
      <c r="K145" s="435"/>
      <c r="L145" s="435"/>
      <c r="M145" s="242"/>
      <c r="N145" s="711"/>
      <c r="O145" s="242"/>
      <c r="P145" s="242"/>
      <c r="Q145" s="242"/>
      <c r="R145" s="242"/>
      <c r="S145" s="243"/>
      <c r="T145" s="712"/>
      <c r="U145" s="242"/>
      <c r="V145" s="242"/>
      <c r="W145" s="1134"/>
      <c r="X145" s="1264"/>
      <c r="Y145" s="1531"/>
      <c r="Z145" s="1091"/>
    </row>
    <row r="146" spans="1:26">
      <c r="A146" s="240"/>
      <c r="B146" s="240"/>
      <c r="C146" s="240"/>
      <c r="D146" s="620"/>
      <c r="E146" s="620"/>
      <c r="F146" s="621"/>
      <c r="G146" s="466"/>
      <c r="H146" s="466"/>
      <c r="I146" s="434"/>
      <c r="J146" s="434"/>
      <c r="K146" s="435"/>
      <c r="L146" s="435"/>
      <c r="M146" s="242"/>
      <c r="N146" s="711"/>
      <c r="O146" s="242"/>
      <c r="P146" s="242"/>
      <c r="Q146" s="242"/>
      <c r="R146" s="242"/>
      <c r="S146" s="243"/>
      <c r="T146" s="712"/>
      <c r="U146" s="242"/>
      <c r="V146" s="242"/>
      <c r="W146" s="1134"/>
      <c r="X146" s="1264"/>
      <c r="Y146" s="1531"/>
      <c r="Z146" s="1091"/>
    </row>
    <row r="147" spans="1:26">
      <c r="A147" s="240"/>
      <c r="B147" s="240"/>
      <c r="C147" s="240"/>
      <c r="D147" s="620"/>
      <c r="E147" s="620"/>
      <c r="F147" s="621"/>
      <c r="G147" s="466"/>
      <c r="H147" s="466"/>
      <c r="I147" s="434"/>
      <c r="J147" s="434"/>
      <c r="K147" s="435"/>
      <c r="L147" s="435"/>
      <c r="M147" s="242"/>
      <c r="N147" s="711"/>
      <c r="O147" s="242"/>
      <c r="P147" s="242"/>
      <c r="Q147" s="242"/>
      <c r="R147" s="242"/>
      <c r="S147" s="243"/>
      <c r="T147" s="712"/>
      <c r="U147" s="242"/>
      <c r="V147" s="242"/>
      <c r="W147" s="1134"/>
      <c r="X147" s="1264"/>
      <c r="Y147" s="1531"/>
      <c r="Z147" s="1091"/>
    </row>
    <row r="148" spans="1:26">
      <c r="A148" s="240"/>
      <c r="B148" s="240"/>
      <c r="C148" s="240"/>
      <c r="D148" s="620"/>
      <c r="E148" s="620"/>
      <c r="F148" s="621"/>
      <c r="G148" s="466"/>
      <c r="H148" s="466"/>
      <c r="I148" s="434"/>
      <c r="J148" s="434"/>
      <c r="K148" s="435"/>
      <c r="L148" s="435"/>
      <c r="M148" s="242"/>
      <c r="N148" s="711"/>
      <c r="O148" s="242"/>
      <c r="P148" s="242"/>
      <c r="Q148" s="242"/>
      <c r="R148" s="242"/>
      <c r="S148" s="243"/>
      <c r="T148" s="712"/>
      <c r="U148" s="242"/>
      <c r="V148" s="242"/>
      <c r="W148" s="1134"/>
      <c r="X148" s="1264"/>
      <c r="Y148" s="1531"/>
      <c r="Z148" s="1091"/>
    </row>
    <row r="149" spans="1:26">
      <c r="A149" s="240"/>
      <c r="B149" s="240"/>
      <c r="C149" s="240"/>
      <c r="D149" s="620"/>
      <c r="E149" s="620"/>
      <c r="F149" s="621"/>
      <c r="G149" s="466"/>
      <c r="H149" s="466"/>
      <c r="I149" s="434"/>
      <c r="J149" s="434"/>
      <c r="K149" s="435"/>
      <c r="L149" s="435"/>
      <c r="M149" s="242"/>
      <c r="N149" s="711"/>
      <c r="O149" s="242"/>
      <c r="P149" s="242"/>
      <c r="Q149" s="242"/>
      <c r="R149" s="242"/>
      <c r="S149" s="243"/>
      <c r="T149" s="712"/>
      <c r="U149" s="242"/>
      <c r="V149" s="242"/>
      <c r="W149" s="1134"/>
      <c r="X149" s="1264"/>
      <c r="Y149" s="1531"/>
      <c r="Z149" s="1091"/>
    </row>
    <row r="150" spans="1:26">
      <c r="A150" s="240"/>
      <c r="B150" s="240"/>
      <c r="C150" s="240"/>
      <c r="D150" s="620"/>
      <c r="E150" s="620"/>
      <c r="F150" s="621"/>
      <c r="G150" s="466"/>
      <c r="H150" s="466"/>
      <c r="I150" s="434"/>
      <c r="J150" s="434"/>
      <c r="K150" s="435"/>
      <c r="L150" s="435"/>
      <c r="M150" s="242"/>
      <c r="N150" s="711"/>
      <c r="O150" s="242"/>
      <c r="P150" s="242"/>
      <c r="Q150" s="242"/>
      <c r="R150" s="242"/>
      <c r="S150" s="243"/>
      <c r="T150" s="712"/>
      <c r="U150" s="242"/>
      <c r="V150" s="242"/>
      <c r="W150" s="1134"/>
      <c r="X150" s="1264"/>
      <c r="Y150" s="1531"/>
      <c r="Z150" s="1091"/>
    </row>
    <row r="151" spans="1:26">
      <c r="A151" s="240"/>
      <c r="B151" s="240"/>
      <c r="C151" s="240"/>
      <c r="D151" s="620"/>
      <c r="E151" s="620"/>
      <c r="F151" s="621"/>
      <c r="G151" s="466"/>
      <c r="H151" s="466"/>
      <c r="I151" s="434"/>
      <c r="J151" s="434"/>
      <c r="K151" s="435"/>
      <c r="L151" s="435"/>
      <c r="M151" s="242"/>
      <c r="N151" s="711"/>
      <c r="O151" s="242"/>
      <c r="P151" s="242"/>
      <c r="Q151" s="242"/>
      <c r="R151" s="242"/>
      <c r="S151" s="243"/>
      <c r="T151" s="712"/>
      <c r="U151" s="242"/>
      <c r="V151" s="242"/>
      <c r="W151" s="1134"/>
      <c r="X151" s="1264"/>
      <c r="Y151" s="1531"/>
      <c r="Z151" s="1091"/>
    </row>
    <row r="152" spans="1:26">
      <c r="A152" s="240"/>
      <c r="B152" s="240"/>
      <c r="C152" s="240"/>
      <c r="D152" s="620"/>
      <c r="E152" s="620"/>
      <c r="F152" s="621"/>
      <c r="G152" s="466"/>
      <c r="H152" s="466"/>
      <c r="I152" s="434"/>
      <c r="J152" s="434"/>
      <c r="K152" s="435"/>
      <c r="L152" s="435"/>
      <c r="M152" s="242"/>
      <c r="N152" s="711"/>
      <c r="O152" s="242"/>
      <c r="P152" s="242"/>
      <c r="Q152" s="242"/>
      <c r="R152" s="242"/>
      <c r="S152" s="243"/>
      <c r="T152" s="712"/>
      <c r="U152" s="242"/>
      <c r="V152" s="242"/>
      <c r="W152" s="1134"/>
      <c r="X152" s="1264"/>
      <c r="Y152" s="1531"/>
      <c r="Z152" s="1091"/>
    </row>
    <row r="153" spans="1:26">
      <c r="A153" s="240"/>
      <c r="B153" s="240"/>
      <c r="C153" s="240"/>
      <c r="D153" s="620"/>
      <c r="E153" s="620"/>
      <c r="F153" s="621"/>
      <c r="G153" s="466"/>
      <c r="H153" s="466"/>
      <c r="I153" s="434"/>
      <c r="J153" s="434"/>
      <c r="K153" s="435"/>
      <c r="L153" s="435"/>
      <c r="M153" s="242"/>
      <c r="N153" s="711"/>
      <c r="O153" s="242"/>
      <c r="P153" s="242"/>
      <c r="Q153" s="242"/>
      <c r="R153" s="242"/>
      <c r="S153" s="243"/>
      <c r="T153" s="712"/>
      <c r="U153" s="242"/>
      <c r="V153" s="242"/>
      <c r="W153" s="1134"/>
      <c r="X153" s="1264"/>
      <c r="Y153" s="1531"/>
      <c r="Z153" s="1091"/>
    </row>
    <row r="154" spans="1:26">
      <c r="A154" s="240"/>
      <c r="B154" s="240"/>
      <c r="C154" s="240"/>
      <c r="D154" s="620"/>
      <c r="E154" s="620"/>
      <c r="F154" s="621"/>
      <c r="G154" s="466"/>
      <c r="H154" s="466"/>
      <c r="I154" s="434"/>
      <c r="J154" s="434"/>
      <c r="K154" s="435"/>
      <c r="L154" s="435"/>
      <c r="M154" s="242"/>
      <c r="N154" s="711"/>
      <c r="O154" s="242"/>
      <c r="P154" s="242"/>
      <c r="Q154" s="242"/>
      <c r="R154" s="242"/>
      <c r="S154" s="243"/>
      <c r="T154" s="712"/>
      <c r="U154" s="242"/>
      <c r="V154" s="242"/>
      <c r="W154" s="1134"/>
      <c r="X154" s="1264"/>
      <c r="Y154" s="1531"/>
      <c r="Z154" s="1091"/>
    </row>
    <row r="155" spans="1:26">
      <c r="A155" s="240"/>
      <c r="B155" s="240"/>
      <c r="C155" s="240"/>
      <c r="D155" s="620"/>
      <c r="E155" s="620"/>
      <c r="F155" s="621"/>
      <c r="G155" s="466"/>
      <c r="H155" s="466"/>
      <c r="I155" s="434"/>
      <c r="J155" s="434"/>
      <c r="K155" s="435"/>
      <c r="L155" s="435"/>
      <c r="M155" s="242"/>
      <c r="N155" s="711"/>
      <c r="O155" s="242"/>
      <c r="P155" s="242"/>
      <c r="Q155" s="242"/>
      <c r="R155" s="242"/>
      <c r="S155" s="243"/>
      <c r="T155" s="712"/>
      <c r="U155" s="242"/>
      <c r="V155" s="242"/>
      <c r="W155" s="1134"/>
      <c r="X155" s="1264"/>
      <c r="Y155" s="1531"/>
      <c r="Z155" s="1091"/>
    </row>
    <row r="156" spans="1:26">
      <c r="A156" s="240"/>
      <c r="B156" s="240"/>
      <c r="C156" s="240"/>
      <c r="D156" s="620"/>
      <c r="E156" s="620"/>
      <c r="F156" s="621"/>
      <c r="G156" s="466"/>
      <c r="H156" s="466"/>
      <c r="I156" s="434"/>
      <c r="J156" s="434"/>
      <c r="K156" s="435"/>
      <c r="L156" s="435"/>
      <c r="M156" s="242"/>
      <c r="N156" s="711"/>
      <c r="O156" s="242"/>
      <c r="P156" s="242"/>
      <c r="Q156" s="242"/>
      <c r="R156" s="242"/>
      <c r="S156" s="243"/>
      <c r="T156" s="712"/>
      <c r="U156" s="242"/>
      <c r="V156" s="242"/>
      <c r="W156" s="1134"/>
      <c r="X156" s="1264"/>
      <c r="Y156" s="1531"/>
      <c r="Z156" s="1091"/>
    </row>
    <row r="157" spans="1:26">
      <c r="A157" s="240"/>
      <c r="B157" s="240"/>
      <c r="C157" s="240"/>
      <c r="D157" s="620"/>
      <c r="E157" s="620"/>
      <c r="F157" s="621"/>
      <c r="G157" s="466"/>
      <c r="H157" s="466"/>
      <c r="I157" s="434"/>
      <c r="J157" s="434"/>
      <c r="K157" s="435"/>
      <c r="L157" s="435"/>
      <c r="M157" s="242"/>
      <c r="N157" s="711"/>
      <c r="O157" s="242"/>
      <c r="P157" s="242"/>
      <c r="Q157" s="242"/>
      <c r="R157" s="242"/>
      <c r="S157" s="243"/>
      <c r="T157" s="712"/>
      <c r="U157" s="242"/>
      <c r="V157" s="242"/>
      <c r="W157" s="1134"/>
      <c r="X157" s="1264"/>
      <c r="Y157" s="1531"/>
      <c r="Z157" s="1091"/>
    </row>
    <row r="158" spans="1:26">
      <c r="A158" s="240"/>
      <c r="B158" s="240"/>
      <c r="C158" s="240"/>
      <c r="D158" s="620"/>
      <c r="E158" s="620"/>
      <c r="F158" s="621"/>
      <c r="G158" s="466"/>
      <c r="H158" s="466"/>
      <c r="I158" s="434"/>
      <c r="J158" s="434"/>
      <c r="K158" s="435"/>
      <c r="L158" s="435"/>
      <c r="M158" s="242"/>
      <c r="N158" s="711"/>
      <c r="O158" s="242"/>
      <c r="P158" s="242"/>
      <c r="Q158" s="242"/>
      <c r="R158" s="242"/>
      <c r="S158" s="243"/>
      <c r="T158" s="712"/>
      <c r="U158" s="242"/>
      <c r="V158" s="242"/>
      <c r="W158" s="1134"/>
      <c r="X158" s="1264"/>
      <c r="Y158" s="1531"/>
      <c r="Z158" s="1091"/>
    </row>
    <row r="159" spans="1:26">
      <c r="A159" s="240"/>
      <c r="B159" s="240"/>
      <c r="C159" s="240"/>
      <c r="D159" s="620"/>
      <c r="E159" s="620"/>
      <c r="F159" s="621"/>
      <c r="G159" s="466"/>
      <c r="H159" s="466"/>
      <c r="I159" s="434"/>
      <c r="J159" s="434"/>
      <c r="K159" s="435"/>
      <c r="L159" s="435"/>
      <c r="M159" s="242"/>
      <c r="N159" s="711"/>
      <c r="O159" s="242"/>
      <c r="P159" s="242"/>
      <c r="Q159" s="242"/>
      <c r="R159" s="242"/>
      <c r="S159" s="243"/>
      <c r="T159" s="712"/>
      <c r="U159" s="242"/>
      <c r="V159" s="242"/>
      <c r="W159" s="1134"/>
      <c r="X159" s="1264"/>
      <c r="Y159" s="1531"/>
      <c r="Z159" s="1091"/>
    </row>
    <row r="160" spans="1:26">
      <c r="A160" s="240"/>
      <c r="B160" s="240"/>
      <c r="C160" s="240"/>
      <c r="D160" s="620"/>
      <c r="E160" s="620"/>
      <c r="F160" s="621"/>
      <c r="G160" s="466"/>
      <c r="H160" s="466"/>
      <c r="I160" s="434"/>
      <c r="J160" s="434"/>
      <c r="K160" s="435"/>
      <c r="L160" s="435"/>
      <c r="M160" s="242"/>
      <c r="N160" s="711"/>
      <c r="O160" s="242"/>
      <c r="P160" s="242"/>
      <c r="Q160" s="242"/>
      <c r="R160" s="242"/>
      <c r="S160" s="243"/>
      <c r="T160" s="712"/>
      <c r="U160" s="242"/>
      <c r="V160" s="242"/>
      <c r="W160" s="1134"/>
      <c r="X160" s="1264"/>
      <c r="Y160" s="1531"/>
      <c r="Z160" s="1091"/>
    </row>
    <row r="161" spans="1:26">
      <c r="A161" s="240"/>
      <c r="B161" s="240"/>
      <c r="C161" s="240"/>
      <c r="D161" s="620"/>
      <c r="E161" s="620"/>
      <c r="F161" s="621"/>
      <c r="G161" s="466"/>
      <c r="H161" s="466"/>
      <c r="I161" s="434"/>
      <c r="J161" s="434"/>
      <c r="K161" s="435"/>
      <c r="L161" s="435"/>
      <c r="M161" s="242"/>
      <c r="N161" s="711"/>
      <c r="O161" s="242"/>
      <c r="P161" s="242"/>
      <c r="Q161" s="242"/>
      <c r="R161" s="242"/>
      <c r="S161" s="243"/>
      <c r="T161" s="712"/>
      <c r="U161" s="242"/>
      <c r="V161" s="242"/>
      <c r="W161" s="1134"/>
      <c r="X161" s="1264"/>
      <c r="Y161" s="1531"/>
      <c r="Z161" s="1091"/>
    </row>
    <row r="162" spans="1:26">
      <c r="A162" s="240"/>
      <c r="B162" s="240"/>
      <c r="C162" s="240"/>
      <c r="D162" s="620"/>
      <c r="E162" s="620"/>
      <c r="F162" s="621"/>
      <c r="G162" s="466"/>
      <c r="H162" s="466"/>
      <c r="I162" s="434"/>
      <c r="J162" s="434"/>
      <c r="K162" s="435"/>
      <c r="L162" s="435"/>
      <c r="M162" s="242"/>
      <c r="N162" s="711"/>
      <c r="O162" s="242"/>
      <c r="P162" s="242"/>
      <c r="Q162" s="242"/>
      <c r="R162" s="242"/>
      <c r="S162" s="243"/>
      <c r="T162" s="712"/>
      <c r="U162" s="242"/>
      <c r="V162" s="242"/>
      <c r="W162" s="1134"/>
      <c r="X162" s="1264"/>
      <c r="Y162" s="1531"/>
      <c r="Z162" s="1091"/>
    </row>
    <row r="163" spans="1:26">
      <c r="A163" s="240"/>
      <c r="B163" s="240"/>
      <c r="C163" s="240"/>
      <c r="D163" s="620"/>
      <c r="E163" s="620"/>
      <c r="F163" s="621"/>
      <c r="G163" s="466"/>
      <c r="H163" s="466"/>
      <c r="I163" s="434"/>
      <c r="J163" s="434"/>
      <c r="K163" s="435"/>
      <c r="L163" s="435"/>
      <c r="M163" s="242"/>
      <c r="N163" s="711"/>
      <c r="O163" s="242"/>
      <c r="P163" s="242"/>
      <c r="Q163" s="242"/>
      <c r="R163" s="242"/>
      <c r="S163" s="243"/>
      <c r="T163" s="712"/>
      <c r="U163" s="242"/>
      <c r="V163" s="242"/>
      <c r="W163" s="1134"/>
      <c r="X163" s="1264"/>
      <c r="Y163" s="1531"/>
      <c r="Z163" s="1091"/>
    </row>
    <row r="164" spans="1:26">
      <c r="A164" s="240"/>
      <c r="B164" s="240"/>
      <c r="C164" s="240"/>
      <c r="D164" s="620"/>
      <c r="E164" s="620"/>
      <c r="F164" s="621"/>
      <c r="G164" s="466"/>
      <c r="H164" s="466"/>
      <c r="I164" s="434"/>
      <c r="J164" s="434"/>
      <c r="K164" s="435"/>
      <c r="L164" s="435"/>
      <c r="M164" s="242"/>
      <c r="N164" s="711"/>
      <c r="O164" s="242"/>
      <c r="P164" s="242"/>
      <c r="Q164" s="242"/>
      <c r="R164" s="242"/>
      <c r="S164" s="243"/>
      <c r="T164" s="712"/>
      <c r="U164" s="242"/>
      <c r="V164" s="242"/>
      <c r="W164" s="1134"/>
      <c r="X164" s="1264"/>
      <c r="Y164" s="1531"/>
      <c r="Z164" s="1091"/>
    </row>
    <row r="165" spans="1:26">
      <c r="A165" s="240"/>
      <c r="B165" s="240"/>
      <c r="C165" s="240"/>
      <c r="D165" s="620"/>
      <c r="E165" s="620"/>
      <c r="F165" s="621"/>
      <c r="G165" s="466"/>
      <c r="H165" s="466"/>
      <c r="I165" s="434"/>
      <c r="J165" s="434"/>
      <c r="K165" s="435"/>
      <c r="L165" s="435"/>
      <c r="M165" s="242"/>
      <c r="N165" s="711"/>
      <c r="O165" s="242"/>
      <c r="P165" s="242"/>
      <c r="Q165" s="242"/>
      <c r="R165" s="242"/>
      <c r="S165" s="243"/>
      <c r="T165" s="712"/>
      <c r="U165" s="242"/>
      <c r="V165" s="242"/>
      <c r="W165" s="1134"/>
      <c r="X165" s="1264"/>
      <c r="Y165" s="1531"/>
      <c r="Z165" s="1091"/>
    </row>
    <row r="166" spans="1:26">
      <c r="A166" s="240"/>
      <c r="B166" s="240"/>
      <c r="C166" s="240"/>
      <c r="D166" s="620"/>
      <c r="E166" s="620"/>
      <c r="F166" s="621"/>
      <c r="G166" s="466"/>
      <c r="H166" s="466"/>
      <c r="I166" s="434"/>
      <c r="J166" s="434"/>
      <c r="K166" s="435"/>
      <c r="L166" s="435"/>
      <c r="M166" s="242"/>
      <c r="N166" s="711"/>
      <c r="O166" s="242"/>
      <c r="P166" s="242"/>
      <c r="Q166" s="242"/>
      <c r="R166" s="242"/>
      <c r="S166" s="243"/>
      <c r="T166" s="712"/>
      <c r="U166" s="242"/>
      <c r="V166" s="242"/>
      <c r="W166" s="1134"/>
      <c r="X166" s="1264"/>
      <c r="Y166" s="1531"/>
      <c r="Z166" s="1091"/>
    </row>
    <row r="167" spans="1:26">
      <c r="A167" s="240"/>
      <c r="B167" s="240"/>
      <c r="C167" s="240"/>
      <c r="D167" s="620"/>
      <c r="E167" s="620"/>
      <c r="F167" s="621"/>
      <c r="G167" s="466"/>
      <c r="H167" s="466"/>
      <c r="I167" s="434"/>
      <c r="J167" s="434"/>
      <c r="K167" s="435"/>
      <c r="L167" s="435"/>
      <c r="M167" s="242"/>
      <c r="N167" s="711"/>
      <c r="O167" s="242"/>
      <c r="P167" s="242"/>
      <c r="Q167" s="242"/>
      <c r="R167" s="242"/>
      <c r="S167" s="243"/>
      <c r="T167" s="712"/>
      <c r="U167" s="242"/>
      <c r="V167" s="242"/>
      <c r="W167" s="1134"/>
      <c r="X167" s="1264"/>
      <c r="Y167" s="1531"/>
      <c r="Z167" s="1091"/>
    </row>
    <row r="168" spans="1:26">
      <c r="A168" s="240"/>
      <c r="B168" s="240"/>
      <c r="C168" s="240"/>
      <c r="D168" s="620"/>
      <c r="E168" s="620"/>
      <c r="F168" s="621"/>
      <c r="G168" s="466"/>
      <c r="H168" s="466"/>
      <c r="I168" s="434"/>
      <c r="J168" s="434"/>
      <c r="K168" s="435"/>
      <c r="L168" s="435"/>
      <c r="M168" s="242"/>
      <c r="N168" s="711"/>
      <c r="O168" s="242"/>
      <c r="P168" s="242"/>
      <c r="Q168" s="242"/>
      <c r="R168" s="242"/>
      <c r="S168" s="243"/>
      <c r="T168" s="712"/>
      <c r="U168" s="242"/>
      <c r="V168" s="242"/>
      <c r="W168" s="1134"/>
      <c r="X168" s="1264"/>
      <c r="Y168" s="1531"/>
      <c r="Z168" s="1091"/>
    </row>
    <row r="169" spans="1:26">
      <c r="A169" s="240"/>
      <c r="B169" s="240"/>
      <c r="C169" s="240"/>
      <c r="D169" s="620"/>
      <c r="E169" s="620"/>
      <c r="F169" s="621"/>
      <c r="G169" s="466"/>
      <c r="H169" s="466"/>
      <c r="I169" s="434"/>
      <c r="J169" s="434"/>
      <c r="K169" s="435"/>
      <c r="L169" s="435"/>
      <c r="M169" s="242"/>
      <c r="N169" s="711"/>
      <c r="O169" s="242"/>
      <c r="P169" s="242"/>
      <c r="Q169" s="242"/>
      <c r="R169" s="242"/>
      <c r="S169" s="243"/>
      <c r="T169" s="712"/>
      <c r="U169" s="242"/>
      <c r="V169" s="242"/>
      <c r="W169" s="1134"/>
      <c r="X169" s="1264"/>
      <c r="Y169" s="1531"/>
      <c r="Z169" s="1091"/>
    </row>
    <row r="170" spans="1:26">
      <c r="A170" s="240"/>
      <c r="B170" s="240"/>
      <c r="C170" s="240"/>
      <c r="D170" s="620"/>
      <c r="E170" s="620"/>
      <c r="F170" s="621"/>
      <c r="G170" s="466"/>
      <c r="H170" s="466"/>
      <c r="I170" s="434"/>
      <c r="J170" s="434"/>
      <c r="K170" s="435"/>
      <c r="L170" s="435"/>
      <c r="M170" s="242"/>
      <c r="N170" s="711"/>
      <c r="O170" s="242"/>
      <c r="P170" s="242"/>
      <c r="Q170" s="242"/>
      <c r="R170" s="242"/>
      <c r="S170" s="243"/>
      <c r="T170" s="712"/>
      <c r="U170" s="242"/>
      <c r="V170" s="242"/>
      <c r="W170" s="1134"/>
      <c r="X170" s="1264"/>
      <c r="Y170" s="1531"/>
      <c r="Z170" s="1091"/>
    </row>
    <row r="171" spans="1:26">
      <c r="A171" s="240"/>
      <c r="B171" s="240"/>
      <c r="C171" s="240"/>
      <c r="D171" s="620"/>
      <c r="E171" s="620"/>
      <c r="F171" s="621"/>
      <c r="G171" s="466"/>
      <c r="H171" s="466"/>
      <c r="I171" s="434"/>
      <c r="J171" s="434"/>
      <c r="K171" s="435"/>
      <c r="L171" s="435"/>
      <c r="M171" s="242"/>
      <c r="N171" s="711"/>
      <c r="O171" s="242"/>
      <c r="P171" s="242"/>
      <c r="Q171" s="242"/>
      <c r="R171" s="242"/>
      <c r="S171" s="243"/>
      <c r="T171" s="712"/>
      <c r="U171" s="242"/>
      <c r="V171" s="242"/>
      <c r="W171" s="1134"/>
      <c r="X171" s="1264"/>
      <c r="Y171" s="1531"/>
      <c r="Z171" s="1091"/>
    </row>
    <row r="172" spans="1:26">
      <c r="A172" s="240"/>
      <c r="B172" s="240"/>
      <c r="C172" s="240"/>
      <c r="D172" s="620"/>
      <c r="E172" s="620"/>
      <c r="F172" s="621"/>
      <c r="G172" s="466"/>
      <c r="H172" s="466"/>
      <c r="I172" s="434"/>
      <c r="J172" s="434"/>
      <c r="K172" s="435"/>
      <c r="L172" s="435"/>
      <c r="M172" s="242"/>
      <c r="N172" s="711"/>
      <c r="O172" s="242"/>
      <c r="P172" s="242"/>
      <c r="Q172" s="242"/>
      <c r="R172" s="242"/>
      <c r="S172" s="243"/>
      <c r="T172" s="712"/>
      <c r="U172" s="242"/>
      <c r="V172" s="242"/>
      <c r="W172" s="1134"/>
      <c r="X172" s="1264"/>
      <c r="Y172" s="1531"/>
      <c r="Z172" s="1091"/>
    </row>
    <row r="173" spans="1:26">
      <c r="A173" s="240"/>
      <c r="B173" s="240"/>
      <c r="C173" s="240"/>
      <c r="D173" s="620"/>
      <c r="E173" s="620"/>
      <c r="F173" s="621"/>
      <c r="G173" s="466"/>
      <c r="H173" s="466"/>
      <c r="I173" s="434"/>
      <c r="J173" s="434"/>
      <c r="K173" s="435"/>
      <c r="L173" s="435"/>
      <c r="M173" s="242"/>
      <c r="N173" s="711"/>
      <c r="O173" s="242"/>
      <c r="P173" s="242"/>
      <c r="Q173" s="242"/>
      <c r="R173" s="242"/>
      <c r="S173" s="243"/>
      <c r="T173" s="712"/>
      <c r="U173" s="242"/>
      <c r="V173" s="242"/>
      <c r="W173" s="1134"/>
      <c r="X173" s="1264"/>
      <c r="Y173" s="1531"/>
      <c r="Z173" s="1091"/>
    </row>
    <row r="174" spans="1:26">
      <c r="A174" s="240"/>
      <c r="B174" s="240"/>
      <c r="C174" s="240"/>
      <c r="D174" s="620"/>
      <c r="E174" s="620"/>
      <c r="F174" s="621"/>
      <c r="G174" s="466"/>
      <c r="H174" s="466"/>
      <c r="I174" s="434"/>
      <c r="J174" s="434"/>
      <c r="K174" s="435"/>
      <c r="L174" s="435"/>
      <c r="M174" s="242"/>
      <c r="N174" s="711"/>
      <c r="O174" s="242"/>
      <c r="P174" s="242"/>
      <c r="Q174" s="242"/>
      <c r="R174" s="242"/>
      <c r="S174" s="243"/>
      <c r="T174" s="712"/>
      <c r="U174" s="242"/>
      <c r="V174" s="242"/>
      <c r="W174" s="1134"/>
      <c r="X174" s="1264"/>
      <c r="Y174" s="1531"/>
      <c r="Z174" s="1091"/>
    </row>
    <row r="175" spans="1:26">
      <c r="A175" s="240"/>
      <c r="B175" s="240"/>
      <c r="C175" s="240"/>
      <c r="D175" s="620"/>
      <c r="E175" s="620"/>
      <c r="F175" s="621"/>
      <c r="G175" s="466"/>
      <c r="H175" s="466"/>
      <c r="I175" s="434"/>
      <c r="J175" s="434"/>
      <c r="K175" s="435"/>
      <c r="L175" s="435"/>
      <c r="M175" s="242"/>
      <c r="N175" s="711"/>
      <c r="O175" s="242"/>
      <c r="P175" s="242"/>
      <c r="Q175" s="242"/>
      <c r="R175" s="242"/>
      <c r="S175" s="243"/>
      <c r="T175" s="712"/>
      <c r="U175" s="242"/>
      <c r="V175" s="242"/>
      <c r="W175" s="1134"/>
      <c r="X175" s="1264"/>
      <c r="Y175" s="1531"/>
      <c r="Z175" s="1091"/>
    </row>
    <row r="176" spans="1:26">
      <c r="A176" s="240"/>
      <c r="B176" s="240"/>
      <c r="C176" s="240"/>
      <c r="D176" s="620"/>
      <c r="E176" s="620"/>
      <c r="F176" s="621"/>
      <c r="G176" s="466"/>
      <c r="H176" s="466"/>
      <c r="I176" s="434"/>
      <c r="J176" s="434"/>
      <c r="K176" s="435"/>
      <c r="L176" s="435"/>
      <c r="M176" s="242"/>
      <c r="N176" s="711"/>
      <c r="O176" s="242"/>
      <c r="P176" s="242"/>
      <c r="Q176" s="242"/>
      <c r="R176" s="242"/>
      <c r="S176" s="243"/>
      <c r="T176" s="712"/>
      <c r="U176" s="242"/>
      <c r="V176" s="242"/>
      <c r="W176" s="1134"/>
      <c r="X176" s="1264"/>
      <c r="Y176" s="1531"/>
      <c r="Z176" s="1091"/>
    </row>
    <row r="177" spans="1:26">
      <c r="A177" s="240"/>
      <c r="B177" s="240"/>
      <c r="C177" s="240"/>
      <c r="D177" s="620"/>
      <c r="E177" s="620"/>
      <c r="F177" s="621"/>
      <c r="G177" s="466"/>
      <c r="H177" s="466"/>
      <c r="I177" s="434"/>
      <c r="J177" s="434"/>
      <c r="K177" s="435"/>
      <c r="L177" s="435"/>
      <c r="M177" s="242"/>
      <c r="N177" s="711"/>
      <c r="O177" s="242"/>
      <c r="P177" s="242"/>
      <c r="Q177" s="242"/>
      <c r="R177" s="242"/>
      <c r="S177" s="243"/>
      <c r="T177" s="712"/>
      <c r="U177" s="242"/>
      <c r="V177" s="242"/>
      <c r="W177" s="1134"/>
      <c r="X177" s="1264"/>
      <c r="Y177" s="1531"/>
      <c r="Z177" s="1091"/>
    </row>
    <row r="178" spans="1:26">
      <c r="A178" s="240"/>
      <c r="B178" s="240"/>
      <c r="C178" s="240"/>
      <c r="D178" s="620"/>
      <c r="E178" s="620"/>
      <c r="F178" s="621"/>
      <c r="G178" s="466"/>
      <c r="H178" s="466"/>
      <c r="I178" s="434"/>
      <c r="J178" s="434"/>
      <c r="K178" s="435"/>
      <c r="L178" s="435"/>
      <c r="M178" s="242"/>
      <c r="N178" s="711"/>
      <c r="O178" s="242"/>
      <c r="P178" s="242"/>
      <c r="Q178" s="242"/>
      <c r="R178" s="242"/>
      <c r="S178" s="243"/>
      <c r="T178" s="712"/>
      <c r="U178" s="242"/>
      <c r="V178" s="242"/>
      <c r="W178" s="1134"/>
      <c r="X178" s="1264"/>
      <c r="Y178" s="1531"/>
      <c r="Z178" s="1091"/>
    </row>
    <row r="179" spans="1:26">
      <c r="A179" s="240"/>
      <c r="B179" s="240"/>
      <c r="C179" s="240"/>
      <c r="D179" s="620"/>
      <c r="E179" s="620"/>
      <c r="F179" s="621"/>
      <c r="G179" s="466"/>
      <c r="H179" s="466"/>
      <c r="I179" s="434"/>
      <c r="J179" s="434"/>
      <c r="K179" s="435"/>
      <c r="L179" s="435"/>
      <c r="M179" s="242"/>
      <c r="N179" s="711"/>
      <c r="O179" s="242"/>
      <c r="P179" s="242"/>
      <c r="Q179" s="242"/>
      <c r="R179" s="242"/>
      <c r="S179" s="243"/>
      <c r="T179" s="712"/>
      <c r="U179" s="242"/>
      <c r="V179" s="242"/>
      <c r="W179" s="1134"/>
      <c r="X179" s="1264"/>
      <c r="Y179" s="1531"/>
      <c r="Z179" s="1091"/>
    </row>
    <row r="180" spans="1:26">
      <c r="A180" s="240"/>
      <c r="B180" s="240"/>
      <c r="C180" s="240"/>
      <c r="D180" s="620"/>
      <c r="E180" s="620"/>
      <c r="F180" s="621"/>
      <c r="G180" s="466"/>
      <c r="H180" s="466"/>
      <c r="I180" s="434"/>
      <c r="J180" s="434"/>
      <c r="K180" s="435"/>
      <c r="L180" s="435"/>
      <c r="M180" s="242"/>
      <c r="N180" s="711"/>
      <c r="O180" s="242"/>
      <c r="P180" s="242"/>
      <c r="Q180" s="242"/>
      <c r="R180" s="242"/>
      <c r="S180" s="243"/>
      <c r="T180" s="712"/>
      <c r="U180" s="242"/>
      <c r="V180" s="242"/>
      <c r="W180" s="1134"/>
      <c r="X180" s="1264"/>
      <c r="Y180" s="1531"/>
      <c r="Z180" s="1091"/>
    </row>
    <row r="181" spans="1:26">
      <c r="A181" s="240"/>
      <c r="B181" s="240"/>
      <c r="C181" s="240"/>
      <c r="D181" s="620"/>
      <c r="E181" s="620"/>
      <c r="F181" s="621"/>
      <c r="G181" s="466"/>
      <c r="H181" s="466"/>
      <c r="I181" s="434"/>
      <c r="J181" s="434"/>
      <c r="K181" s="435"/>
      <c r="L181" s="435"/>
      <c r="M181" s="242"/>
      <c r="N181" s="711"/>
      <c r="O181" s="242"/>
      <c r="P181" s="242"/>
      <c r="Q181" s="242"/>
      <c r="R181" s="242"/>
      <c r="S181" s="243"/>
      <c r="T181" s="712"/>
      <c r="U181" s="242"/>
      <c r="V181" s="242"/>
      <c r="W181" s="1134"/>
      <c r="X181" s="1264"/>
      <c r="Y181" s="1531"/>
      <c r="Z181" s="1091"/>
    </row>
    <row r="182" spans="1:26">
      <c r="A182" s="240"/>
      <c r="B182" s="240"/>
      <c r="C182" s="240"/>
      <c r="D182" s="620"/>
      <c r="E182" s="620"/>
      <c r="F182" s="621"/>
      <c r="G182" s="466"/>
      <c r="H182" s="466"/>
      <c r="I182" s="434"/>
      <c r="J182" s="434"/>
      <c r="K182" s="435"/>
      <c r="L182" s="435"/>
      <c r="M182" s="242"/>
      <c r="N182" s="711"/>
      <c r="O182" s="242"/>
      <c r="P182" s="242"/>
      <c r="Q182" s="242"/>
      <c r="R182" s="242"/>
      <c r="S182" s="243"/>
      <c r="T182" s="712"/>
      <c r="U182" s="242"/>
      <c r="V182" s="242"/>
      <c r="W182" s="1134"/>
      <c r="X182" s="1264"/>
      <c r="Y182" s="1531"/>
      <c r="Z182" s="1091"/>
    </row>
    <row r="183" spans="1:26">
      <c r="A183" s="240"/>
      <c r="B183" s="240"/>
      <c r="C183" s="240"/>
      <c r="D183" s="620"/>
      <c r="E183" s="620"/>
      <c r="F183" s="621"/>
      <c r="G183" s="466"/>
      <c r="H183" s="466"/>
      <c r="I183" s="434"/>
      <c r="J183" s="434"/>
      <c r="K183" s="435"/>
      <c r="L183" s="435"/>
      <c r="M183" s="242"/>
      <c r="N183" s="711"/>
      <c r="O183" s="242"/>
      <c r="P183" s="242"/>
      <c r="Q183" s="242"/>
      <c r="R183" s="242"/>
      <c r="S183" s="243"/>
      <c r="T183" s="712"/>
      <c r="U183" s="242"/>
      <c r="V183" s="242"/>
      <c r="W183" s="1134"/>
      <c r="X183" s="1264"/>
      <c r="Y183" s="1531"/>
      <c r="Z183" s="1091"/>
    </row>
  </sheetData>
  <sheetProtection formatCells="0" formatColumns="0" formatRows="0"/>
  <mergeCells count="2">
    <mergeCell ref="H28:I28"/>
    <mergeCell ref="H5:I5"/>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2"/>
    <pageSetUpPr fitToPage="1"/>
  </sheetPr>
  <dimension ref="A1:AS63"/>
  <sheetViews>
    <sheetView zoomScale="62" zoomScaleNormal="62" workbookViewId="0">
      <pane ySplit="5" topLeftCell="A11" activePane="bottomLeft" state="frozen"/>
      <selection pane="bottomLeft" activeCell="D13" sqref="D13"/>
    </sheetView>
  </sheetViews>
  <sheetFormatPr baseColWidth="10" defaultColWidth="11.44140625" defaultRowHeight="13.2"/>
  <cols>
    <col min="1" max="1" width="15" style="233" customWidth="1"/>
    <col min="2" max="2" width="11.109375" style="233" customWidth="1"/>
    <col min="3" max="3" width="12.6640625" style="233" customWidth="1"/>
    <col min="4" max="4" width="14.6640625" style="233" customWidth="1"/>
    <col min="5" max="5" width="11.44140625" style="233"/>
    <col min="6" max="6" width="10.6640625" style="233" customWidth="1"/>
    <col min="7" max="7" width="8.44140625" style="233" customWidth="1"/>
    <col min="8" max="8" width="12.33203125" style="233" customWidth="1"/>
    <col min="9" max="9" width="11.5546875" style="234" customWidth="1"/>
    <col min="10" max="10" width="16.109375" style="234" customWidth="1"/>
    <col min="11" max="11" width="12.5546875" style="233" customWidth="1"/>
    <col min="12" max="12" width="11.44140625" style="233"/>
    <col min="13" max="13" width="11.33203125" style="233" customWidth="1"/>
    <col min="14" max="14" width="8.6640625" style="233" customWidth="1"/>
    <col min="15" max="15" width="9.44140625" style="234" customWidth="1"/>
    <col min="16" max="16" width="10.5546875" style="233" customWidth="1"/>
    <col min="17" max="17" width="10.109375" style="234" customWidth="1"/>
    <col min="18" max="18" width="13.88671875" style="234" customWidth="1"/>
    <col min="19" max="19" width="14.44140625" style="234" customWidth="1"/>
    <col min="20" max="20" width="13.88671875" style="233" customWidth="1"/>
    <col min="21" max="21" width="12" style="233" customWidth="1"/>
    <col min="22" max="22" width="1.88671875" style="234" customWidth="1"/>
    <col min="23" max="23" width="5.44140625" style="234" customWidth="1"/>
    <col min="24" max="24" width="7.44140625" style="234" customWidth="1"/>
    <col min="25" max="25" width="3.88671875" style="234" customWidth="1"/>
    <col min="26" max="28" width="11.44140625" style="233"/>
    <col min="29" max="29" width="11.44140625" style="748"/>
    <col min="30" max="30" width="11.44140625" style="2460"/>
    <col min="31" max="36" width="11.44140625" style="2461"/>
    <col min="37" max="40" width="11.44140625" style="748"/>
    <col min="41" max="45" width="11.44140625" style="1519"/>
    <col min="46" max="16384" width="11.44140625" style="233"/>
  </cols>
  <sheetData>
    <row r="1" spans="1:45" s="1678" customFormat="1" ht="22.95" customHeight="1">
      <c r="I1" s="1682"/>
      <c r="J1" s="1682"/>
      <c r="O1" s="1682"/>
      <c r="Q1" s="1682"/>
      <c r="R1" s="1682"/>
      <c r="S1" s="1682"/>
      <c r="V1" s="1682"/>
      <c r="W1" s="1682"/>
      <c r="X1" s="1682"/>
      <c r="Y1" s="1682"/>
      <c r="AC1" s="1726"/>
      <c r="AD1" s="2458"/>
      <c r="AE1" s="2459"/>
      <c r="AF1" s="2459"/>
      <c r="AG1" s="2459"/>
      <c r="AH1" s="2459"/>
      <c r="AI1" s="2459"/>
      <c r="AJ1" s="2459"/>
      <c r="AK1" s="1726"/>
      <c r="AL1" s="1726"/>
      <c r="AM1" s="1726"/>
      <c r="AN1" s="1726"/>
      <c r="AO1" s="1734"/>
      <c r="AP1" s="1734"/>
      <c r="AQ1" s="1734"/>
      <c r="AR1" s="1734"/>
      <c r="AS1" s="1734"/>
    </row>
    <row r="2" spans="1:45" s="1678" customFormat="1" ht="22.95" customHeight="1">
      <c r="I2" s="1682"/>
      <c r="J2" s="1682"/>
      <c r="O2" s="1682"/>
      <c r="Q2" s="1682"/>
      <c r="R2" s="1682"/>
      <c r="S2" s="1682"/>
      <c r="V2" s="1682"/>
      <c r="W2" s="1682"/>
      <c r="X2" s="1682"/>
      <c r="Y2" s="1682"/>
      <c r="AC2" s="1726"/>
      <c r="AD2" s="2458"/>
      <c r="AE2" s="2459"/>
      <c r="AF2" s="2459"/>
      <c r="AG2" s="2459"/>
      <c r="AH2" s="2459"/>
      <c r="AI2" s="2459"/>
      <c r="AJ2" s="2459"/>
      <c r="AK2" s="1726"/>
      <c r="AL2" s="1726"/>
      <c r="AM2" s="1726"/>
      <c r="AN2" s="1726"/>
      <c r="AO2" s="1734"/>
      <c r="AP2" s="1734"/>
      <c r="AQ2" s="1734"/>
      <c r="AR2" s="1734"/>
      <c r="AS2" s="1734"/>
    </row>
    <row r="3" spans="1:45" s="1678" customFormat="1" ht="22.95" customHeight="1">
      <c r="I3" s="1682"/>
      <c r="J3" s="1682"/>
      <c r="O3" s="1682"/>
      <c r="Q3" s="1682"/>
      <c r="R3" s="1682"/>
      <c r="S3" s="1682"/>
      <c r="V3" s="1682"/>
      <c r="W3" s="1682"/>
      <c r="X3" s="1682"/>
      <c r="Y3" s="1682"/>
      <c r="AC3" s="1726"/>
      <c r="AD3" s="2458"/>
      <c r="AE3" s="2459"/>
      <c r="AF3" s="2459"/>
      <c r="AG3" s="2459"/>
      <c r="AH3" s="2459"/>
      <c r="AI3" s="2459"/>
      <c r="AJ3" s="2459"/>
      <c r="AK3" s="1726"/>
      <c r="AL3" s="1726"/>
      <c r="AM3" s="1726"/>
      <c r="AN3" s="1726"/>
      <c r="AO3" s="1734"/>
      <c r="AP3" s="1734"/>
      <c r="AQ3" s="1734"/>
      <c r="AR3" s="1734"/>
      <c r="AS3" s="1734"/>
    </row>
    <row r="4" spans="1:45" s="1678" customFormat="1" ht="22.95" customHeight="1">
      <c r="I4" s="1682"/>
      <c r="J4" s="1682"/>
      <c r="O4" s="1682"/>
      <c r="Q4" s="1682"/>
      <c r="R4" s="1682"/>
      <c r="S4" s="1682"/>
      <c r="V4" s="1682"/>
      <c r="W4" s="1682"/>
      <c r="X4" s="1682"/>
      <c r="Y4" s="1682"/>
      <c r="AC4" s="1726"/>
      <c r="AD4" s="2458"/>
      <c r="AE4" s="2459"/>
      <c r="AF4" s="2459"/>
      <c r="AG4" s="2459"/>
      <c r="AH4" s="2459"/>
      <c r="AI4" s="2459"/>
      <c r="AJ4" s="2459"/>
      <c r="AK4" s="1726"/>
      <c r="AL4" s="1726"/>
      <c r="AM4" s="1726"/>
      <c r="AN4" s="1726"/>
      <c r="AO4" s="1734"/>
      <c r="AP4" s="1734"/>
      <c r="AQ4" s="1734"/>
      <c r="AR4" s="1734"/>
      <c r="AS4" s="1734"/>
    </row>
    <row r="5" spans="1:45" s="1678" customFormat="1" ht="22.95" customHeight="1">
      <c r="A5" s="1679" t="s">
        <v>593</v>
      </c>
      <c r="B5" s="1679"/>
      <c r="F5" s="3095" t="s">
        <v>479</v>
      </c>
      <c r="G5" s="3095"/>
      <c r="I5" s="1682"/>
      <c r="J5" s="1682"/>
      <c r="O5" s="1682"/>
      <c r="Q5" s="1682"/>
      <c r="R5" s="1682"/>
      <c r="S5" s="1682"/>
      <c r="V5" s="1682"/>
      <c r="W5" s="1682"/>
      <c r="X5" s="1682"/>
      <c r="Y5" s="1682"/>
      <c r="AC5" s="1726"/>
      <c r="AD5" s="2458"/>
      <c r="AE5" s="2459"/>
      <c r="AF5" s="2459"/>
      <c r="AG5" s="2459"/>
      <c r="AH5" s="2459"/>
      <c r="AI5" s="2459"/>
      <c r="AJ5" s="2459"/>
      <c r="AK5" s="1726"/>
      <c r="AL5" s="1726"/>
      <c r="AM5" s="1726"/>
      <c r="AN5" s="1726"/>
      <c r="AO5" s="1734"/>
      <c r="AP5" s="1734"/>
      <c r="AQ5" s="1734"/>
      <c r="AR5" s="1734"/>
      <c r="AS5" s="1734"/>
    </row>
    <row r="6" spans="1:45">
      <c r="A6" s="239"/>
      <c r="B6" s="239"/>
      <c r="F6" s="25"/>
      <c r="AF6" s="1953" t="s">
        <v>33</v>
      </c>
      <c r="AG6" s="1953"/>
      <c r="AH6" s="1921"/>
      <c r="AI6" s="1921"/>
    </row>
    <row r="7" spans="1:45">
      <c r="A7" s="239"/>
      <c r="B7" s="236" t="s">
        <v>562</v>
      </c>
      <c r="C7" s="270"/>
      <c r="D7" s="270"/>
      <c r="E7" s="270"/>
      <c r="F7" s="270"/>
      <c r="G7" s="237"/>
      <c r="I7" s="3104" t="s">
        <v>532</v>
      </c>
      <c r="J7" s="3106"/>
      <c r="K7" s="3106"/>
      <c r="L7" s="3106"/>
      <c r="M7" s="3106"/>
      <c r="N7" s="3106"/>
      <c r="O7" s="3106"/>
      <c r="P7" s="3106"/>
      <c r="Q7" s="3106"/>
      <c r="R7" s="3106"/>
      <c r="S7" s="3105"/>
      <c r="U7" s="539" t="s">
        <v>538</v>
      </c>
      <c r="V7" s="540"/>
      <c r="W7" s="540"/>
      <c r="X7" s="541"/>
      <c r="AF7" s="1953" t="s">
        <v>29</v>
      </c>
      <c r="AG7" s="1953" t="s">
        <v>30</v>
      </c>
      <c r="AH7" s="1921" t="s">
        <v>31</v>
      </c>
      <c r="AI7" s="1921" t="s">
        <v>32</v>
      </c>
    </row>
    <row r="8" spans="1:45">
      <c r="B8" s="542" t="s">
        <v>563</v>
      </c>
      <c r="C8" s="273"/>
      <c r="D8" s="273"/>
      <c r="E8" s="273"/>
      <c r="F8" s="273"/>
      <c r="G8" s="543"/>
      <c r="I8" s="3108" t="s">
        <v>492</v>
      </c>
      <c r="J8" s="3109"/>
      <c r="K8" s="267"/>
      <c r="L8" s="3107" t="s">
        <v>507</v>
      </c>
      <c r="M8" s="3107"/>
      <c r="N8" s="267"/>
      <c r="O8" s="545" t="s">
        <v>508</v>
      </c>
      <c r="P8" s="267"/>
      <c r="Q8" s="545" t="s">
        <v>509</v>
      </c>
      <c r="R8" s="547"/>
      <c r="S8" s="548" t="s">
        <v>510</v>
      </c>
      <c r="U8" s="549" t="s">
        <v>537</v>
      </c>
      <c r="V8" s="546"/>
      <c r="W8" s="546" t="s">
        <v>337</v>
      </c>
      <c r="X8" s="550" t="s">
        <v>338</v>
      </c>
      <c r="AF8" s="2462">
        <f t="shared" ref="AF8:AF17" si="0">IF(G27="yes",H42*Q27*methane/1000,0)</f>
        <v>0</v>
      </c>
      <c r="AG8" s="2462">
        <f t="shared" ref="AG8:AG17" si="1">IF(G27="yes",I42*Q27*methane/1000,0)</f>
        <v>0</v>
      </c>
      <c r="AH8" s="2463">
        <f t="shared" ref="AH8:AH17" si="2">IF(G27="yes",H42*R27*Nitrous/1000,0)</f>
        <v>0</v>
      </c>
      <c r="AI8" s="2463">
        <f t="shared" ref="AI8:AI17" si="3">IF(G27="yes",I42*R27*Nitrous/1000,0)</f>
        <v>0</v>
      </c>
    </row>
    <row r="9" spans="1:45">
      <c r="B9" s="272"/>
      <c r="C9" s="273"/>
      <c r="D9" s="551" t="s">
        <v>489</v>
      </c>
      <c r="E9" s="552"/>
      <c r="F9" s="717" t="s">
        <v>1067</v>
      </c>
      <c r="G9" s="553"/>
      <c r="I9" s="544" t="s">
        <v>505</v>
      </c>
      <c r="J9" s="545" t="s">
        <v>506</v>
      </c>
      <c r="K9" s="273"/>
      <c r="L9" s="545" t="s">
        <v>505</v>
      </c>
      <c r="M9" s="545" t="s">
        <v>506</v>
      </c>
      <c r="N9" s="273"/>
      <c r="O9" s="545" t="s">
        <v>506</v>
      </c>
      <c r="P9" s="273"/>
      <c r="Q9" s="545" t="s">
        <v>524</v>
      </c>
      <c r="R9" s="545"/>
      <c r="S9" s="548" t="s">
        <v>524</v>
      </c>
      <c r="U9" s="549" t="s">
        <v>539</v>
      </c>
      <c r="V9" s="554"/>
      <c r="W9" s="97" t="s">
        <v>42</v>
      </c>
      <c r="X9" s="555"/>
      <c r="AF9" s="2462">
        <f t="shared" si="0"/>
        <v>0</v>
      </c>
      <c r="AG9" s="2462">
        <f t="shared" si="1"/>
        <v>0</v>
      </c>
      <c r="AH9" s="2463">
        <f t="shared" si="2"/>
        <v>0</v>
      </c>
      <c r="AI9" s="2463">
        <f t="shared" si="3"/>
        <v>0</v>
      </c>
    </row>
    <row r="10" spans="1:45" ht="12.75" customHeight="1">
      <c r="B10" s="3112" t="s">
        <v>504</v>
      </c>
      <c r="C10" s="556" t="s">
        <v>1301</v>
      </c>
      <c r="D10" s="557" t="str">
        <f>HLOOKUP(climate,' IPCC'!$B$7:$G$11,2,FALSE)</f>
        <v>Please specify the climate</v>
      </c>
      <c r="E10" s="528"/>
      <c r="F10" s="528"/>
      <c r="G10" s="529"/>
      <c r="I10" s="2169">
        <f>VLOOKUP(region,' IPCC'!$A$14:$G$26,1+MATCH(forest1,' IPCC'!$B$14:$G$14,),)</f>
        <v>0</v>
      </c>
      <c r="J10" s="2174">
        <f>IF('2.LUC'!F98&lt;&gt;"",'2.LUC'!F98,'2.LUC'!E98)</f>
        <v>0</v>
      </c>
      <c r="K10" s="267"/>
      <c r="L10" s="2171">
        <f>IF(I10&gt;0,I10*VLOOKUP(forest1,' IPCC'!$A$89:$F$103,IF(I10&lt;20,2,IF(I10&lt;50,3,IF(I10&lt;75,4,IF(I10&lt;125,5,6)))),),)</f>
        <v>0</v>
      </c>
      <c r="M10" s="2175">
        <f>IF('2.LUC'!H98&lt;&gt;"",'2.LUC'!H98,'2.LUC'!G98)</f>
        <v>0</v>
      </c>
      <c r="N10" s="267"/>
      <c r="O10" s="2174">
        <f>IF('2.LUC'!J98&lt;&gt;"",'2.LUC'!J98,'2.LUC'!I98)</f>
        <v>0</v>
      </c>
      <c r="P10" s="267"/>
      <c r="Q10" s="2174">
        <f>IF('2.LUC'!M98&lt;&gt;"",'2.LUC'!M98,'2.LUC'!K98)</f>
        <v>0</v>
      </c>
      <c r="R10" s="547"/>
      <c r="S10" s="2176">
        <f>IF('2.LUC'!Q98&lt;&gt;"",'2.LUC'!Q98,'2.LUC'!O98)</f>
        <v>0</v>
      </c>
      <c r="U10" s="560">
        <f>IF(forest1&lt;&gt;"",VLOOKUP(forest1,' IPCC'!$A$107:$E$122,2,),0)</f>
        <v>0</v>
      </c>
      <c r="V10" s="561"/>
      <c r="W10" s="561">
        <f>IF(forest1&lt;&gt;"",VLOOKUP(forest1,' IPCC'!$A$107:$E$122,4,),0)</f>
        <v>0</v>
      </c>
      <c r="X10" s="562">
        <f>IF(forest1&lt;&gt;"",VLOOKUP(forest1,' IPCC'!$A$107:$E$122,5,),0)</f>
        <v>0</v>
      </c>
      <c r="AF10" s="2462">
        <f t="shared" si="0"/>
        <v>0</v>
      </c>
      <c r="AG10" s="2462">
        <f t="shared" si="1"/>
        <v>0</v>
      </c>
      <c r="AH10" s="2463">
        <f t="shared" si="2"/>
        <v>0</v>
      </c>
      <c r="AI10" s="2463">
        <f t="shared" si="3"/>
        <v>0</v>
      </c>
    </row>
    <row r="11" spans="1:45">
      <c r="B11" s="3113"/>
      <c r="C11" s="556" t="s">
        <v>1302</v>
      </c>
      <c r="D11" s="557" t="str">
        <f>HLOOKUP(climate,' IPCC'!$B$7:$G$11,3,FALSE)</f>
        <v>Please specify the climate</v>
      </c>
      <c r="E11" s="528"/>
      <c r="F11" s="528"/>
      <c r="G11" s="529"/>
      <c r="I11" s="2169">
        <f>VLOOKUP(region,' IPCC'!$A$30:$G$41,1+MATCH(forest2,' IPCC'!$B$29:$G$29,),)</f>
        <v>0</v>
      </c>
      <c r="J11" s="2174">
        <f>IF('2.LUC'!F99&lt;&gt;"",'2.LUC'!F99,'2.LUC'!E99)</f>
        <v>0</v>
      </c>
      <c r="K11" s="267"/>
      <c r="L11" s="2171">
        <f>IF(I11&gt;0,I11*VLOOKUP(forest2,' IPCC'!$A$89:$F$103,IF(I11&lt;20,2,IF(I11&lt;50,3,IF(I11&lt;75,4,IF(I11&lt;125,5,6)))),),)</f>
        <v>0</v>
      </c>
      <c r="M11" s="2175">
        <f>IF('2.LUC'!H99&lt;&gt;"",'2.LUC'!H99,'2.LUC'!G99)</f>
        <v>0</v>
      </c>
      <c r="N11" s="267"/>
      <c r="O11" s="2174">
        <f>IF('2.LUC'!J99&lt;&gt;"",'2.LUC'!J99,'2.LUC'!I99)</f>
        <v>0</v>
      </c>
      <c r="P11" s="267"/>
      <c r="Q11" s="2174">
        <f>IF('2.LUC'!M99&lt;&gt;"",'2.LUC'!M99,'2.LUC'!K99)</f>
        <v>0</v>
      </c>
      <c r="R11" s="547"/>
      <c r="S11" s="2176">
        <f>IF('2.LUC'!Q99&lt;&gt;"",'2.LUC'!Q99,'2.LUC'!O99)</f>
        <v>0</v>
      </c>
      <c r="U11" s="549">
        <f>IF(forest2&lt;&gt;"",VLOOKUP(forest2,' IPCC'!$A$107:$E$122,2,),0)</f>
        <v>0</v>
      </c>
      <c r="V11" s="547"/>
      <c r="W11" s="547">
        <f>IF(forest2&lt;&gt;"",VLOOKUP(forest2,' IPCC'!$A$107:$E$122,4,),0)</f>
        <v>0</v>
      </c>
      <c r="X11" s="559">
        <f>IF(forest2&lt;&gt;"",VLOOKUP(forest2,' IPCC'!$A$107:$E$122,5,),0)</f>
        <v>0</v>
      </c>
      <c r="AF11" s="2462">
        <f t="shared" si="0"/>
        <v>0</v>
      </c>
      <c r="AG11" s="2462">
        <f t="shared" si="1"/>
        <v>0</v>
      </c>
      <c r="AH11" s="2463">
        <f t="shared" si="2"/>
        <v>0</v>
      </c>
      <c r="AI11" s="2463">
        <f t="shared" si="3"/>
        <v>0</v>
      </c>
    </row>
    <row r="12" spans="1:45">
      <c r="B12" s="3113"/>
      <c r="C12" s="556" t="s">
        <v>1303</v>
      </c>
      <c r="D12" s="557" t="str">
        <f>HLOOKUP(climate,' IPCC'!$B$7:$G$11,4,FALSE)</f>
        <v>Please specify the climate</v>
      </c>
      <c r="E12" s="528"/>
      <c r="F12" s="528"/>
      <c r="G12" s="529"/>
      <c r="I12" s="2169">
        <f>VLOOKUP(region,' IPCC'!$A$45:$H$56,1+MATCH(forest3,' IPCC'!$B$44:$H$44,),)</f>
        <v>0</v>
      </c>
      <c r="J12" s="2174">
        <f>IF('2.LUC'!F100&lt;&gt;"",'2.LUC'!F100,'2.LUC'!E100)</f>
        <v>0</v>
      </c>
      <c r="K12" s="267"/>
      <c r="L12" s="2171">
        <f>IF(I12&gt;0,I12*VLOOKUP(forest3,' IPCC'!$A$89:$F$103,IF(I12&lt;20,2,IF(I12&lt;50,3,IF(I12&lt;75,4,IF(I12&lt;125,5,6)))),),)</f>
        <v>0</v>
      </c>
      <c r="M12" s="2175">
        <f>IF('2.LUC'!H100&lt;&gt;"",'2.LUC'!H100,'2.LUC'!G100)</f>
        <v>0</v>
      </c>
      <c r="N12" s="267"/>
      <c r="O12" s="2174">
        <f>IF('2.LUC'!J100&lt;&gt;"",'2.LUC'!J100,'2.LUC'!I100)</f>
        <v>0</v>
      </c>
      <c r="P12" s="267"/>
      <c r="Q12" s="2174">
        <f>IF('2.LUC'!M100&lt;&gt;"",'2.LUC'!M100,'2.LUC'!K100)</f>
        <v>0</v>
      </c>
      <c r="R12" s="547"/>
      <c r="S12" s="2176">
        <f>IF('2.LUC'!Q100&lt;&gt;"",'2.LUC'!Q100,'2.LUC'!O100)</f>
        <v>0</v>
      </c>
      <c r="U12" s="549">
        <f>IF(forest3&lt;&gt;"",VLOOKUP(forest3,' IPCC'!$A$107:$E$122,2,),0)</f>
        <v>0</v>
      </c>
      <c r="V12" s="547"/>
      <c r="W12" s="547">
        <f>IF(forest3&lt;&gt;"",VLOOKUP(forest3,' IPCC'!$A$107:$E$122,4,),0)</f>
        <v>0</v>
      </c>
      <c r="X12" s="559">
        <f>IF(forest3&lt;&gt;"",VLOOKUP(forest3,' IPCC'!$A$107:$E$122,5,),0)</f>
        <v>0</v>
      </c>
      <c r="AF12" s="2462">
        <f t="shared" si="0"/>
        <v>0</v>
      </c>
      <c r="AG12" s="2462">
        <f t="shared" si="1"/>
        <v>0</v>
      </c>
      <c r="AH12" s="2463">
        <f t="shared" si="2"/>
        <v>0</v>
      </c>
      <c r="AI12" s="2463">
        <f t="shared" si="3"/>
        <v>0</v>
      </c>
    </row>
    <row r="13" spans="1:45">
      <c r="B13" s="3114"/>
      <c r="C13" s="556" t="s">
        <v>1304</v>
      </c>
      <c r="D13" s="557" t="str">
        <f>HLOOKUP(climate,' IPCC'!$B$7:$G$11,5,)</f>
        <v>Please specify the climate</v>
      </c>
      <c r="E13" s="528"/>
      <c r="F13" s="528"/>
      <c r="G13" s="529"/>
      <c r="I13" s="2169">
        <f>VLOOKUP(region,' IPCC'!$A$60:$H$71,1+MATCH(forest4,' IPCC'!$B$59:$H$59,),)</f>
        <v>0</v>
      </c>
      <c r="J13" s="2174">
        <f>IF('2.LUC'!F101&lt;&gt;"",'2.LUC'!F101,'2.LUC'!E101)</f>
        <v>0</v>
      </c>
      <c r="K13" s="267"/>
      <c r="L13" s="2171">
        <f>IF(I13&gt;0,I13*VLOOKUP(forest4,' IPCC'!$A$89:$F$103,IF(I13&lt;20,2,IF(I13&lt;50,3,IF(I13&lt;75,4,IF(I13&lt;125,5,6)))),),)</f>
        <v>0</v>
      </c>
      <c r="M13" s="2175">
        <f>IF('2.LUC'!H101&lt;&gt;"",'2.LUC'!H101,'2.LUC'!G101)</f>
        <v>0</v>
      </c>
      <c r="N13" s="267"/>
      <c r="O13" s="2174">
        <f>IF('2.LUC'!J101&lt;&gt;"",'2.LUC'!J101,'2.LUC'!I101)</f>
        <v>0</v>
      </c>
      <c r="P13" s="267"/>
      <c r="Q13" s="2174">
        <f>IF('2.LUC'!M101&lt;&gt;"",'2.LUC'!M101,'2.LUC'!K101)</f>
        <v>0</v>
      </c>
      <c r="R13" s="547"/>
      <c r="S13" s="2176">
        <f>IF('2.LUC'!Q101&lt;&gt;"",'2.LUC'!Q101,'2.LUC'!O101)</f>
        <v>0</v>
      </c>
      <c r="U13" s="549">
        <f>IF(forest4&lt;&gt;"",VLOOKUP(forest4,' IPCC'!$A$107:$E$122,2,),0)</f>
        <v>0</v>
      </c>
      <c r="V13" s="547"/>
      <c r="W13" s="547">
        <f>IF(forest4&lt;&gt;"",VLOOKUP(forest4,' IPCC'!$A$107:$E$122,4,),0)</f>
        <v>0</v>
      </c>
      <c r="X13" s="559">
        <f>IF(forest4&lt;&gt;"",VLOOKUP(forest4,' IPCC'!$A$107:$E$122,5,),0)</f>
        <v>0</v>
      </c>
      <c r="AF13" s="2462">
        <f t="shared" si="0"/>
        <v>0</v>
      </c>
      <c r="AG13" s="2462">
        <f t="shared" si="1"/>
        <v>0</v>
      </c>
      <c r="AH13" s="2463">
        <f t="shared" si="2"/>
        <v>0</v>
      </c>
      <c r="AI13" s="2463">
        <f t="shared" si="3"/>
        <v>0</v>
      </c>
    </row>
    <row r="14" spans="1:45">
      <c r="B14" s="3115" t="s">
        <v>392</v>
      </c>
      <c r="C14" s="556" t="s">
        <v>1305</v>
      </c>
      <c r="D14" s="565" t="str">
        <f>HLOOKUP(climate,' IPCC'!$B$7:$G$11,2,FALSE)</f>
        <v>Please specify the climate</v>
      </c>
      <c r="E14" s="566"/>
      <c r="F14" s="566"/>
      <c r="G14" s="567"/>
      <c r="I14" s="2169">
        <f>VLOOKUP(region,' IPCC'!$H$14:$N$26,1+MATCH(plantation1,' IPCC'!$I$14:$N$14,),)</f>
        <v>0</v>
      </c>
      <c r="J14" s="2174">
        <f>IF('2.LUC'!F102&lt;&gt;"",'2.LUC'!F102,'2.LUC'!E102)</f>
        <v>0</v>
      </c>
      <c r="K14" s="267"/>
      <c r="L14" s="2171">
        <f>IF(I14&gt;0,I14*VLOOKUP(plantation1,' IPCC'!$A$89:$F$103,IF(I14&lt;20,2,IF(I14&lt;50,3,IF(I14&lt;75,4,IF(I14&lt;125,5,6)))),),)</f>
        <v>0</v>
      </c>
      <c r="M14" s="2175">
        <f>IF('2.LUC'!H102&lt;&gt;"",'2.LUC'!H102,'2.LUC'!G102)</f>
        <v>0</v>
      </c>
      <c r="N14" s="267"/>
      <c r="O14" s="2174">
        <f>IF('2.LUC'!J102&lt;&gt;"",'2.LUC'!J102,'2.LUC'!I102)</f>
        <v>0</v>
      </c>
      <c r="P14" s="267"/>
      <c r="Q14" s="2174">
        <f>IF('2.LUC'!M102&lt;&gt;"",'2.LUC'!M102,'2.LUC'!K102)</f>
        <v>0</v>
      </c>
      <c r="R14" s="547"/>
      <c r="S14" s="2176">
        <f>IF('2.LUC'!Q102&lt;&gt;"",'2.LUC'!Q102,'2.LUC'!O102)</f>
        <v>0</v>
      </c>
      <c r="U14" s="549">
        <f>IF(plantation1&lt;&gt;"",VLOOKUP(plantation1,' IPCC'!$A$107:$E$122,2,),0)</f>
        <v>0</v>
      </c>
      <c r="V14" s="547"/>
      <c r="W14" s="547">
        <f>IF(plantation1&lt;&gt;"",VLOOKUP(plantation1,' IPCC'!$A$107:$E$122,4,),0)</f>
        <v>0</v>
      </c>
      <c r="X14" s="559">
        <f>IF(plantation1&lt;&gt;"",VLOOKUP(plantation1,' IPCC'!$A$107:$E$122,5,),0)</f>
        <v>0</v>
      </c>
      <c r="AF14" s="2462">
        <f t="shared" si="0"/>
        <v>0</v>
      </c>
      <c r="AG14" s="2462">
        <f t="shared" si="1"/>
        <v>0</v>
      </c>
      <c r="AH14" s="2463">
        <f t="shared" si="2"/>
        <v>0</v>
      </c>
      <c r="AI14" s="2463">
        <f t="shared" si="3"/>
        <v>0</v>
      </c>
    </row>
    <row r="15" spans="1:45">
      <c r="B15" s="3116"/>
      <c r="C15" s="556" t="s">
        <v>1306</v>
      </c>
      <c r="D15" s="557" t="str">
        <f>HLOOKUP(climate,' IPCC'!$B$7:$G$11,3,FALSE)</f>
        <v>Please specify the climate</v>
      </c>
      <c r="E15" s="528"/>
      <c r="F15" s="528"/>
      <c r="G15" s="529"/>
      <c r="I15" s="2169">
        <f>VLOOKUP(region,' IPCC'!$H$30:$N$41,1+MATCH(plantation2,' IPCC'!$I$29:$N$29,),)</f>
        <v>0</v>
      </c>
      <c r="J15" s="2174">
        <f>IF('2.LUC'!F103&lt;&gt;"",'2.LUC'!F103,'2.LUC'!E103)</f>
        <v>0</v>
      </c>
      <c r="K15" s="267"/>
      <c r="L15" s="2171">
        <f>IF(I15&gt;0,I15*VLOOKUP(plantation2,' IPCC'!$A$89:$F$103,IF(I15&lt;20,2,IF(I15&lt;50,3,IF(I15&lt;75,4,IF(I15&lt;125,5,6)))),),)</f>
        <v>0</v>
      </c>
      <c r="M15" s="2175">
        <f>IF('2.LUC'!H103&lt;&gt;"",'2.LUC'!H103,'2.LUC'!G103)</f>
        <v>0</v>
      </c>
      <c r="N15" s="267"/>
      <c r="O15" s="2174">
        <f>IF('2.LUC'!J103&lt;&gt;"",'2.LUC'!J103,'2.LUC'!I103)</f>
        <v>0</v>
      </c>
      <c r="P15" s="267"/>
      <c r="Q15" s="2174">
        <f>IF('2.LUC'!M103&lt;&gt;"",'2.LUC'!M103,'2.LUC'!K103)</f>
        <v>0</v>
      </c>
      <c r="R15" s="547"/>
      <c r="S15" s="2176">
        <f>IF('2.LUC'!Q103&lt;&gt;"",'2.LUC'!Q103,'2.LUC'!O103)</f>
        <v>0</v>
      </c>
      <c r="U15" s="549">
        <f>IF(plantation2&lt;&gt;"",VLOOKUP(plantation2,' IPCC'!$A$107:$E$122,2,),0)</f>
        <v>0</v>
      </c>
      <c r="V15" s="547"/>
      <c r="W15" s="547">
        <f>IF(plantation2&lt;&gt;"",VLOOKUP(plantation2,' IPCC'!$A$107:$E$122,4,),0)</f>
        <v>0</v>
      </c>
      <c r="X15" s="559">
        <f>IF(plantation2&lt;&gt;"",VLOOKUP(plantation2,' IPCC'!$A$107:$E$122,5,),0)</f>
        <v>0</v>
      </c>
      <c r="AF15" s="2462">
        <f t="shared" si="0"/>
        <v>0</v>
      </c>
      <c r="AG15" s="2462">
        <f t="shared" si="1"/>
        <v>0</v>
      </c>
      <c r="AH15" s="2463">
        <f t="shared" si="2"/>
        <v>0</v>
      </c>
      <c r="AI15" s="2463">
        <f t="shared" si="3"/>
        <v>0</v>
      </c>
    </row>
    <row r="16" spans="1:45">
      <c r="B16" s="3116"/>
      <c r="C16" s="556" t="s">
        <v>1307</v>
      </c>
      <c r="D16" s="557" t="str">
        <f>HLOOKUP(climate,' IPCC'!$B$7:$G$11,4,FALSE)</f>
        <v>Please specify the climate</v>
      </c>
      <c r="E16" s="528"/>
      <c r="F16" s="528"/>
      <c r="G16" s="529"/>
      <c r="I16" s="2169">
        <f>VLOOKUP(region,' IPCC'!$H$44:$N$56,1+MATCH(plantation3,' IPCC'!$I$44:$N$44,),)</f>
        <v>0</v>
      </c>
      <c r="J16" s="2174">
        <f>IF('2.LUC'!F104&lt;&gt;"",'2.LUC'!F104,'2.LUC'!E104)</f>
        <v>0</v>
      </c>
      <c r="K16" s="267"/>
      <c r="L16" s="2171">
        <f>IF(I16&gt;0,I16*VLOOKUP(plantation3,' IPCC'!$A$89:$F$103,IF(I16&lt;20,2,IF(I16&lt;50,3,IF(I16&lt;75,4,IF(I16&lt;125,5,6)))),),)</f>
        <v>0</v>
      </c>
      <c r="M16" s="2175">
        <f>IF('2.LUC'!H104&lt;&gt;"",'2.LUC'!H104,'2.LUC'!G104)</f>
        <v>0</v>
      </c>
      <c r="N16" s="267"/>
      <c r="O16" s="2174">
        <f>IF('2.LUC'!J104&lt;&gt;"",'2.LUC'!J104,'2.LUC'!I104)</f>
        <v>0</v>
      </c>
      <c r="P16" s="267"/>
      <c r="Q16" s="2174">
        <f>IF('2.LUC'!M104&lt;&gt;"",'2.LUC'!M104,'2.LUC'!K104)</f>
        <v>0</v>
      </c>
      <c r="R16" s="547"/>
      <c r="S16" s="2176">
        <f>IF('2.LUC'!Q104&lt;&gt;"",'2.LUC'!Q104,'2.LUC'!O104)</f>
        <v>0</v>
      </c>
      <c r="U16" s="549">
        <f>IF(plantation3&lt;&gt;"",VLOOKUP(plantation3,' IPCC'!$A$107:$E$122,2,),0)</f>
        <v>0</v>
      </c>
      <c r="V16" s="547"/>
      <c r="W16" s="547">
        <f>IF(plantation3&lt;&gt;"",VLOOKUP(plantation3,' IPCC'!$A$107:$E$122,4,),0)</f>
        <v>0</v>
      </c>
      <c r="X16" s="559">
        <f>IF(plantation3&lt;&gt;"",VLOOKUP(plantation3,' IPCC'!$A$107:$E$122,5,),0)</f>
        <v>0</v>
      </c>
      <c r="AF16" s="2462">
        <f t="shared" si="0"/>
        <v>0</v>
      </c>
      <c r="AG16" s="2462">
        <f t="shared" si="1"/>
        <v>0</v>
      </c>
      <c r="AH16" s="2463">
        <f t="shared" si="2"/>
        <v>0</v>
      </c>
      <c r="AI16" s="2463">
        <f t="shared" si="3"/>
        <v>0</v>
      </c>
    </row>
    <row r="17" spans="1:45">
      <c r="B17" s="3117"/>
      <c r="C17" s="556" t="s">
        <v>1308</v>
      </c>
      <c r="D17" s="568" t="str">
        <f>HLOOKUP(climate,' IPCC'!$B$7:$G$11,5,FALSE)</f>
        <v>Please specify the climate</v>
      </c>
      <c r="E17" s="569"/>
      <c r="F17" s="569"/>
      <c r="G17" s="530"/>
      <c r="I17" s="2170">
        <f>VLOOKUP(region,' IPCC'!$H$60:$N$71,1+MATCH(plantation4,' IPCC'!$I$59:$N$59,),)</f>
        <v>0</v>
      </c>
      <c r="J17" s="2174">
        <f>IF('2.LUC'!F105&lt;&gt;"",'2.LUC'!F105,'2.LUC'!E105)</f>
        <v>0</v>
      </c>
      <c r="K17" s="273"/>
      <c r="L17" s="2172">
        <f>IF(I17&gt;0,I17*VLOOKUP(plantation4,' IPCC'!$A$89:$F$103,IF(I17&lt;20,2,IF(I17&lt;50,3,IF(I17&lt;75,4,IF(I17&lt;125,5,6)))),),)</f>
        <v>0</v>
      </c>
      <c r="M17" s="2175">
        <f>IF('2.LUC'!H105&lt;&gt;"",'2.LUC'!H105,'2.LUC'!G105)</f>
        <v>0</v>
      </c>
      <c r="N17" s="273"/>
      <c r="O17" s="2174">
        <f>IF('2.LUC'!J105&lt;&gt;"",'2.LUC'!J105,'2.LUC'!I105)</f>
        <v>0</v>
      </c>
      <c r="P17" s="273"/>
      <c r="Q17" s="2174">
        <f>IF('2.LUC'!M105&lt;&gt;"",'2.LUC'!M105,'2.LUC'!K105)</f>
        <v>0</v>
      </c>
      <c r="R17" s="545"/>
      <c r="S17" s="2176">
        <f>IF('2.LUC'!Q105&lt;&gt;"",'2.LUC'!Q105,'2.LUC'!O105)</f>
        <v>0</v>
      </c>
      <c r="U17" s="544">
        <f>IF(plantation4&lt;&gt;"",VLOOKUP(plantation4,' IPCC'!$A$107:$E$122,2,),0)</f>
        <v>0</v>
      </c>
      <c r="V17" s="545"/>
      <c r="W17" s="545">
        <f>IF(plantation4&lt;&gt;"",VLOOKUP(plantation4,' IPCC'!$A$107:$E$122,4,),0)</f>
        <v>0</v>
      </c>
      <c r="X17" s="548">
        <f>IF(plantation4&lt;&gt;"",VLOOKUP(plantation4,' IPCC'!$A$107:$E$122,5,),0)</f>
        <v>0</v>
      </c>
      <c r="AF17" s="2462">
        <f t="shared" si="0"/>
        <v>0</v>
      </c>
      <c r="AG17" s="2462">
        <f t="shared" si="1"/>
        <v>0</v>
      </c>
      <c r="AH17" s="2463">
        <f t="shared" si="2"/>
        <v>0</v>
      </c>
      <c r="AI17" s="2463">
        <f t="shared" si="3"/>
        <v>0</v>
      </c>
    </row>
    <row r="18" spans="1:45" ht="13.8" thickBot="1">
      <c r="B18" s="571"/>
      <c r="D18" s="572"/>
      <c r="E18" s="240"/>
      <c r="F18" s="240"/>
      <c r="G18" s="240"/>
      <c r="I18" s="242"/>
      <c r="J18" s="242"/>
      <c r="K18" s="240"/>
      <c r="L18" s="573"/>
      <c r="M18" s="573"/>
      <c r="N18" s="240"/>
      <c r="O18" s="242"/>
      <c r="P18" s="240"/>
      <c r="Q18" s="242"/>
      <c r="R18" s="242"/>
      <c r="S18" s="242"/>
      <c r="U18" s="242"/>
      <c r="V18" s="242"/>
      <c r="W18" s="242"/>
      <c r="X18" s="242"/>
      <c r="AF18" s="2464"/>
      <c r="AG18" s="2464"/>
      <c r="AH18" s="2465"/>
      <c r="AI18" s="2465"/>
    </row>
    <row r="19" spans="1:45">
      <c r="B19" s="574" t="s">
        <v>1177</v>
      </c>
      <c r="D19" s="572"/>
      <c r="E19" s="240"/>
      <c r="F19" s="954" t="s">
        <v>1294</v>
      </c>
      <c r="G19" s="955"/>
      <c r="H19" s="270"/>
      <c r="I19" s="666">
        <v>0</v>
      </c>
      <c r="J19" s="575">
        <f>0.47*I19</f>
        <v>0</v>
      </c>
      <c r="K19" s="576"/>
      <c r="L19" s="925">
        <v>0</v>
      </c>
      <c r="M19" s="577">
        <f>0.47*L19</f>
        <v>0</v>
      </c>
      <c r="N19" s="576"/>
      <c r="O19" s="666">
        <v>0</v>
      </c>
      <c r="P19" s="576"/>
      <c r="Q19" s="666">
        <v>0</v>
      </c>
      <c r="R19" s="575"/>
      <c r="S19" s="666">
        <v>0</v>
      </c>
      <c r="U19" s="669">
        <f>U10</f>
        <v>0</v>
      </c>
      <c r="V19" s="670"/>
      <c r="W19" s="671">
        <f>W10</f>
        <v>0</v>
      </c>
      <c r="X19" s="672">
        <f>X10</f>
        <v>0</v>
      </c>
      <c r="AF19" s="2464"/>
      <c r="AG19" s="2464"/>
      <c r="AH19" s="2464"/>
      <c r="AI19" s="2464"/>
    </row>
    <row r="20" spans="1:45">
      <c r="D20" s="572"/>
      <c r="E20" s="240"/>
      <c r="F20" s="956" t="s">
        <v>10</v>
      </c>
      <c r="G20" s="957"/>
      <c r="H20" s="267"/>
      <c r="I20" s="667">
        <v>0</v>
      </c>
      <c r="J20" s="578">
        <f>0.47*I20</f>
        <v>0</v>
      </c>
      <c r="K20" s="579"/>
      <c r="L20" s="926">
        <v>0</v>
      </c>
      <c r="M20" s="580">
        <f>0.47*L20</f>
        <v>0</v>
      </c>
      <c r="N20" s="579"/>
      <c r="O20" s="667">
        <v>0</v>
      </c>
      <c r="P20" s="579"/>
      <c r="Q20" s="667">
        <v>0</v>
      </c>
      <c r="R20" s="578"/>
      <c r="S20" s="667">
        <v>0</v>
      </c>
      <c r="U20" s="673">
        <f>U19</f>
        <v>0</v>
      </c>
      <c r="V20" s="674"/>
      <c r="W20" s="675">
        <f t="shared" ref="W20:X22" si="4">W19</f>
        <v>0</v>
      </c>
      <c r="X20" s="676">
        <f t="shared" si="4"/>
        <v>0</v>
      </c>
      <c r="AF20" s="2464"/>
      <c r="AG20" s="2464"/>
      <c r="AH20" s="2464"/>
      <c r="AI20" s="2464"/>
    </row>
    <row r="21" spans="1:45">
      <c r="B21" s="571"/>
      <c r="C21" s="241"/>
      <c r="D21" s="572"/>
      <c r="E21" s="240"/>
      <c r="F21" s="956" t="s">
        <v>11</v>
      </c>
      <c r="G21" s="957"/>
      <c r="H21" s="267"/>
      <c r="I21" s="667">
        <v>0</v>
      </c>
      <c r="J21" s="578">
        <f>0.47*I21</f>
        <v>0</v>
      </c>
      <c r="K21" s="579"/>
      <c r="L21" s="926">
        <v>0</v>
      </c>
      <c r="M21" s="580">
        <f>0.47*L21</f>
        <v>0</v>
      </c>
      <c r="N21" s="579"/>
      <c r="O21" s="667">
        <v>0</v>
      </c>
      <c r="P21" s="579"/>
      <c r="Q21" s="667">
        <v>0</v>
      </c>
      <c r="R21" s="578"/>
      <c r="S21" s="667">
        <v>0</v>
      </c>
      <c r="U21" s="673">
        <f>U20</f>
        <v>0</v>
      </c>
      <c r="V21" s="674"/>
      <c r="W21" s="675">
        <f t="shared" si="4"/>
        <v>0</v>
      </c>
      <c r="X21" s="676">
        <f t="shared" si="4"/>
        <v>0</v>
      </c>
      <c r="AF21" s="2464"/>
      <c r="AG21" s="2464"/>
      <c r="AH21" s="2464"/>
      <c r="AI21" s="2464"/>
    </row>
    <row r="22" spans="1:45" ht="13.8" thickBot="1">
      <c r="B22" s="571"/>
      <c r="C22" s="241"/>
      <c r="D22" s="572"/>
      <c r="E22" s="240"/>
      <c r="F22" s="962" t="s">
        <v>12</v>
      </c>
      <c r="G22" s="959"/>
      <c r="H22" s="273"/>
      <c r="I22" s="668">
        <v>0</v>
      </c>
      <c r="J22" s="581">
        <f>0.47*I22</f>
        <v>0</v>
      </c>
      <c r="K22" s="582"/>
      <c r="L22" s="927">
        <v>0</v>
      </c>
      <c r="M22" s="583">
        <f>0.47*L22</f>
        <v>0</v>
      </c>
      <c r="N22" s="582"/>
      <c r="O22" s="668">
        <v>0</v>
      </c>
      <c r="P22" s="582"/>
      <c r="Q22" s="668">
        <v>0</v>
      </c>
      <c r="R22" s="581"/>
      <c r="S22" s="668">
        <v>0</v>
      </c>
      <c r="U22" s="677">
        <f>U21</f>
        <v>0</v>
      </c>
      <c r="V22" s="678"/>
      <c r="W22" s="679">
        <f t="shared" si="4"/>
        <v>0</v>
      </c>
      <c r="X22" s="680">
        <f t="shared" si="4"/>
        <v>0</v>
      </c>
      <c r="AB22" s="232" t="s">
        <v>56</v>
      </c>
      <c r="AC22" s="748" t="s">
        <v>279</v>
      </c>
      <c r="AF22" s="2464"/>
      <c r="AG22" s="2464" t="s">
        <v>28</v>
      </c>
      <c r="AH22" s="2464"/>
      <c r="AI22" s="2464"/>
    </row>
    <row r="23" spans="1:45">
      <c r="C23" s="241"/>
      <c r="D23" s="572"/>
      <c r="E23" s="240"/>
      <c r="F23" s="240"/>
      <c r="G23" s="240"/>
      <c r="I23" s="242"/>
      <c r="J23" s="242"/>
      <c r="K23" s="240"/>
      <c r="L23" s="240"/>
      <c r="M23" s="240"/>
      <c r="N23" s="240"/>
      <c r="O23" s="242"/>
      <c r="P23" s="240"/>
      <c r="Q23" s="242"/>
      <c r="R23" s="242"/>
      <c r="S23" s="242"/>
      <c r="AB23" s="1363">
        <f>SUM(J42:J51)+SUM(L42:L51)</f>
        <v>0</v>
      </c>
      <c r="AC23" s="1363">
        <f>SUM(K42:K51)+SUM(M42:M51)</f>
        <v>0</v>
      </c>
      <c r="AF23" s="2464" t="s">
        <v>25</v>
      </c>
      <c r="AG23" s="2464" t="s">
        <v>531</v>
      </c>
      <c r="AH23" s="2464" t="s">
        <v>37</v>
      </c>
      <c r="AI23" s="2464" t="s">
        <v>38</v>
      </c>
    </row>
    <row r="24" spans="1:45">
      <c r="B24" s="584"/>
      <c r="C24" s="585" t="s">
        <v>993</v>
      </c>
      <c r="D24" s="554"/>
      <c r="E24" s="554"/>
      <c r="F24" s="554"/>
      <c r="G24" s="554"/>
      <c r="H24" s="554"/>
      <c r="I24" s="554"/>
      <c r="J24" s="554"/>
      <c r="K24" s="546"/>
      <c r="L24" s="585" t="s">
        <v>1206</v>
      </c>
      <c r="M24" s="554"/>
      <c r="N24" s="554"/>
      <c r="O24" s="554"/>
      <c r="P24" s="554"/>
      <c r="Q24" s="554"/>
      <c r="R24" s="554"/>
      <c r="S24" s="555"/>
      <c r="U24" s="234"/>
      <c r="V24" s="233"/>
      <c r="W24" s="233"/>
      <c r="X24" s="233"/>
      <c r="Y24" s="233"/>
      <c r="AB24" s="1363">
        <f>SUM(N42:N51)</f>
        <v>0</v>
      </c>
      <c r="AC24" s="2844">
        <f>SUM(O42:O51)</f>
        <v>0</v>
      </c>
      <c r="AF24" s="2464" t="s">
        <v>26</v>
      </c>
      <c r="AG24" s="2464">
        <f>SUM(K42:K51)+SUM(M42:M51)-SUM(J42:J51)-SUM(L42:L51)</f>
        <v>0</v>
      </c>
      <c r="AH24" s="2464">
        <f>IF(time=0,0,AG24)</f>
        <v>0</v>
      </c>
      <c r="AI24" s="2464">
        <f>AG24-AH24</f>
        <v>0</v>
      </c>
    </row>
    <row r="25" spans="1:45">
      <c r="B25" s="586"/>
      <c r="C25" s="236" t="s">
        <v>499</v>
      </c>
      <c r="D25" s="587"/>
      <c r="E25" s="3104" t="s">
        <v>534</v>
      </c>
      <c r="F25" s="3105"/>
      <c r="G25" s="3104" t="s">
        <v>533</v>
      </c>
      <c r="H25" s="3105"/>
      <c r="I25" s="588" t="s">
        <v>684</v>
      </c>
      <c r="J25" s="589"/>
      <c r="K25" s="1378" t="s">
        <v>220</v>
      </c>
      <c r="L25" s="591" t="s">
        <v>550</v>
      </c>
      <c r="M25" s="592"/>
      <c r="N25" s="593" t="s">
        <v>555</v>
      </c>
      <c r="O25" s="591"/>
      <c r="P25" s="592"/>
      <c r="Q25" s="594" t="s">
        <v>337</v>
      </c>
      <c r="R25" s="547" t="s">
        <v>338</v>
      </c>
      <c r="S25" s="559" t="s">
        <v>531</v>
      </c>
      <c r="U25" s="234"/>
      <c r="V25" s="233"/>
      <c r="AB25" s="2849">
        <f>SUM(AF8:AF17)</f>
        <v>0</v>
      </c>
      <c r="AC25" s="2844">
        <f>SUM(AG8:AG17)</f>
        <v>0</v>
      </c>
      <c r="AF25" s="2464" t="s">
        <v>27</v>
      </c>
      <c r="AG25" s="2464">
        <f>SUM(O42:O51)-SUM(N42:N51)</f>
        <v>0</v>
      </c>
      <c r="AH25" s="2464">
        <f>IF(time=0,0,SUM(O42:O51)-SUM(N42:N51))</f>
        <v>0</v>
      </c>
      <c r="AI25" s="2464">
        <f>AG25-AH25</f>
        <v>0</v>
      </c>
    </row>
    <row r="26" spans="1:45" ht="16.2" thickBot="1">
      <c r="B26" s="595" t="s">
        <v>1144</v>
      </c>
      <c r="C26" s="596"/>
      <c r="D26" s="597"/>
      <c r="E26" s="549" t="s">
        <v>212</v>
      </c>
      <c r="F26" s="703" t="s">
        <v>213</v>
      </c>
      <c r="G26" s="549" t="s">
        <v>535</v>
      </c>
      <c r="H26" s="598" t="s">
        <v>537</v>
      </c>
      <c r="I26" s="596" t="s">
        <v>685</v>
      </c>
      <c r="J26" s="268"/>
      <c r="K26" s="599" t="s">
        <v>585</v>
      </c>
      <c r="L26" s="545" t="s">
        <v>506</v>
      </c>
      <c r="M26" s="548" t="s">
        <v>554</v>
      </c>
      <c r="N26" s="560" t="s">
        <v>557</v>
      </c>
      <c r="O26" s="561" t="s">
        <v>854</v>
      </c>
      <c r="P26" s="562" t="s">
        <v>855</v>
      </c>
      <c r="Q26" s="549" t="s">
        <v>552</v>
      </c>
      <c r="R26" s="737" t="s">
        <v>552</v>
      </c>
      <c r="S26" s="559" t="s">
        <v>553</v>
      </c>
      <c r="U26" s="234"/>
      <c r="W26" s="233"/>
      <c r="Z26" s="234"/>
      <c r="AB26" s="1363">
        <f>SUM(AH8:AH17)</f>
        <v>0</v>
      </c>
      <c r="AC26" s="1363">
        <f>SUM(AI8:AI17)</f>
        <v>0</v>
      </c>
      <c r="AF26" s="2464" t="s">
        <v>337</v>
      </c>
      <c r="AG26" s="2464">
        <f>SUM(AG8:AG17)-SUM(AF8:AF17)</f>
        <v>0</v>
      </c>
      <c r="AH26" s="2464">
        <f>IF(time=0,0,AG26)</f>
        <v>0</v>
      </c>
      <c r="AI26" s="2464">
        <f>AG26-AH26</f>
        <v>0</v>
      </c>
    </row>
    <row r="27" spans="1:45" s="1778" customFormat="1" ht="13.8" thickBot="1">
      <c r="A27" s="233"/>
      <c r="B27" s="1769" t="s">
        <v>155</v>
      </c>
      <c r="C27" s="3102" t="str">
        <f>'2.LUC'!B12</f>
        <v>Select the vegetation</v>
      </c>
      <c r="D27" s="3103"/>
      <c r="E27" s="2035">
        <f>'2.LUC'!D12</f>
        <v>0</v>
      </c>
      <c r="F27" s="1770">
        <f>IF(C27=List!$A$50,0,IF(E27*0.47&gt;VLOOKUP($C27,$C$10:$X$17,8,),VLOOKUP($C27,$C$10:$X$17,8,),E27*0.47))</f>
        <v>0</v>
      </c>
      <c r="G27" s="2035" t="str">
        <f>'2.LUC'!E12</f>
        <v>NO</v>
      </c>
      <c r="H27" s="1771">
        <f>IF(C27=List!$A$50,0,IF(G27="yes",VLOOKUP(C27,$C$10:$X$17,19,),0))</f>
        <v>0</v>
      </c>
      <c r="I27" s="3096" t="str">
        <f>'2.LUC'!F12</f>
        <v>Select Use after deforestation</v>
      </c>
      <c r="J27" s="3097"/>
      <c r="K27" s="1772">
        <f>IF(I27=List!$A$61,0,HLOOKUP(I27,' IPCC'!$B$125:$I$137,1+MATCH(clim_full,' IPCC'!$A$126:$A$137,),))</f>
        <v>0</v>
      </c>
      <c r="L27" s="1773">
        <f>IF(C27=List!$A$50,0,(VLOOKUP($C27,$C$10:$X$17,8,)-$F27)+(VLOOKUP(C$27,$C$10:$X$17,11,))+(VLOOKUP(C$27,$C$10:$X$17,13,))+(VLOOKUP(C$27,$C$10:$X$17,15,)))</f>
        <v>0</v>
      </c>
      <c r="M27" s="1774">
        <f>L27/12*44</f>
        <v>0</v>
      </c>
      <c r="N27" s="1775">
        <f>IF(I27=List!$A$61,0,VLOOKUP(clim_full,' IPCC'!$A$156:$I$167,1+MATCH($I27,' IPCC'!$B$155:$I$155,),))</f>
        <v>0</v>
      </c>
      <c r="O27" s="1773">
        <f>IF(C27=List!$A$50,0,(1-N27)*VLOOKUP($C27,$C$10:$X$17,17,))</f>
        <v>0</v>
      </c>
      <c r="P27" s="1776">
        <f>(O27/20)*44/12</f>
        <v>0</v>
      </c>
      <c r="Q27" s="1777">
        <f>IF(C27=List!$A$50,0,$H27*(VLOOKUP($C27,$C$10:$X$17,7,)-$E27)*VLOOKUP($C27,$C$10:$X$17,21,))</f>
        <v>0</v>
      </c>
      <c r="R27" s="1773">
        <f>IF(C27=List!$A$50,0,$H27*(VLOOKUP($C27,$C$10:$X$17,7,)-$E27)*VLOOKUP($C27,$C$10:$X$17,22,))</f>
        <v>0</v>
      </c>
      <c r="S27" s="1776">
        <f>(Q27*methane+R27*Nitrous)/1000</f>
        <v>0</v>
      </c>
      <c r="U27" s="1779"/>
      <c r="AD27" s="2460"/>
      <c r="AE27" s="2461"/>
      <c r="AF27" s="2464" t="s">
        <v>338</v>
      </c>
      <c r="AG27" s="2464">
        <f>SUM(AI8:AI17)-SUM(AH8:AH17)</f>
        <v>0</v>
      </c>
      <c r="AH27" s="2464">
        <f>IF(time=0,0,AG27)</f>
        <v>0</v>
      </c>
      <c r="AI27" s="2464">
        <f>AG27-AH27</f>
        <v>0</v>
      </c>
      <c r="AJ27" s="2461"/>
    </row>
    <row r="28" spans="1:45" s="1778" customFormat="1" ht="13.8" thickBot="1">
      <c r="A28" s="233"/>
      <c r="B28" s="1780" t="s">
        <v>156</v>
      </c>
      <c r="C28" s="3102" t="str">
        <f>'2.LUC'!B13</f>
        <v>Select the vegetation</v>
      </c>
      <c r="D28" s="3103"/>
      <c r="E28" s="2035">
        <f>'2.LUC'!D13</f>
        <v>0</v>
      </c>
      <c r="F28" s="1781">
        <f>IF(C28=List!$A$50,0,IF(E28*0.47&gt;VLOOKUP($C28,$C$10:$X$17,8,),VLOOKUP($C28,$C$10:$X$17,8,),E28*0.47))</f>
        <v>0</v>
      </c>
      <c r="G28" s="2035" t="str">
        <f>'2.LUC'!E13</f>
        <v>NO</v>
      </c>
      <c r="H28" s="1782">
        <f>IF(C28=List!$A$50,0,IF(G28="yes",VLOOKUP(C28,$C$10:$X$17,19,),0))</f>
        <v>0</v>
      </c>
      <c r="I28" s="3096" t="str">
        <f>'2.LUC'!F13</f>
        <v>Select Use after deforestation</v>
      </c>
      <c r="J28" s="3097"/>
      <c r="K28" s="1783">
        <f>IF(I28=List!$A$61,0,HLOOKUP(I28,' IPCC'!$B$125:$I$137,1+MATCH(clim_full,' IPCC'!$A$126:$A$137,),))</f>
        <v>0</v>
      </c>
      <c r="L28" s="1784">
        <f>IF(C28=List!$A$50,0,(VLOOKUP($C28,$C$10:$X$17,8,)-$F28)+(VLOOKUP(C$28,$C$10:$X$17,11,))+(VLOOKUP(C$28,$C$10:$X$17,13,))+(VLOOKUP(C$28,$C$10:$X$17,15,)))</f>
        <v>0</v>
      </c>
      <c r="M28" s="1785">
        <f t="shared" ref="M28:M36" si="5">L28/12*44</f>
        <v>0</v>
      </c>
      <c r="N28" s="1786">
        <f>IF(I28=List!$A$61,0,VLOOKUP(clim_full,' IPCC'!$A$156:$I$167,1+MATCH($I28,' IPCC'!$B$155:$I$155,),))</f>
        <v>0</v>
      </c>
      <c r="O28" s="1784">
        <f>IF(C28=List!$A$50,0,(1-N28)*VLOOKUP($C28,$C$10:$X$17,17,))</f>
        <v>0</v>
      </c>
      <c r="P28" s="1787">
        <f t="shared" ref="P28:P36" si="6">(O28/20)*44/12</f>
        <v>0</v>
      </c>
      <c r="Q28" s="1788">
        <f>IF(C28=List!$A$50,0,$H28*(VLOOKUP($C28,$C$10:$X$17,7,)-$E28)*VLOOKUP($C28,$C$10:$X$17,21,))</f>
        <v>0</v>
      </c>
      <c r="R28" s="1784">
        <f>IF(C28=List!$A$50,0,$H28*(VLOOKUP($C28,$C$10:$X$17,7,)-$E28)*VLOOKUP($C28,$C$10:$X$17,22,))</f>
        <v>0</v>
      </c>
      <c r="S28" s="1787">
        <f t="shared" ref="S28:S36" si="7">(Q28*methane+R28*Nitrous)/1000</f>
        <v>0</v>
      </c>
      <c r="U28" s="1779"/>
      <c r="AD28" s="2460"/>
      <c r="AE28" s="2461"/>
      <c r="AF28" s="2464"/>
      <c r="AG28" s="2464">
        <f>SUM(AG24:AG27)</f>
        <v>0</v>
      </c>
      <c r="AH28" s="2464">
        <f>SUM(AH24:AH27)</f>
        <v>0</v>
      </c>
      <c r="AI28" s="2464">
        <f>SUM(AI24:AI27)</f>
        <v>0</v>
      </c>
      <c r="AJ28" s="2461"/>
    </row>
    <row r="29" spans="1:45" s="1778" customFormat="1" ht="13.8" thickBot="1">
      <c r="A29" s="233"/>
      <c r="B29" s="1780" t="s">
        <v>157</v>
      </c>
      <c r="C29" s="3102" t="str">
        <f>'2.LUC'!B14</f>
        <v>Select the vegetation</v>
      </c>
      <c r="D29" s="3103"/>
      <c r="E29" s="2035">
        <f>'2.LUC'!D14</f>
        <v>0</v>
      </c>
      <c r="F29" s="1781">
        <f>IF(C29=List!$A$50,0,IF(E29*0.47&gt;VLOOKUP($C29,$C$10:$X$17,8,),VLOOKUP($C29,$C$10:$X$17,8,),E29*0.47))</f>
        <v>0</v>
      </c>
      <c r="G29" s="2035" t="str">
        <f>'2.LUC'!E14</f>
        <v>NO</v>
      </c>
      <c r="H29" s="1782">
        <f>IF(C29=List!$A$50,0,IF(G29="yes",VLOOKUP(C29,$C$10:$X$17,19,),0))</f>
        <v>0</v>
      </c>
      <c r="I29" s="3096" t="str">
        <f>'2.LUC'!F14</f>
        <v>Select Use after deforestation</v>
      </c>
      <c r="J29" s="3097"/>
      <c r="K29" s="1783">
        <f>IF(I29=List!$A$61,0,HLOOKUP(I29,' IPCC'!$B$125:$I$137,1+MATCH(clim_full,' IPCC'!$A$126:$A$137,),))</f>
        <v>0</v>
      </c>
      <c r="L29" s="1784">
        <f>IF(C29=List!$A$50,0,(VLOOKUP($C29,$C$10:$X$17,8,)-$F29)+(VLOOKUP(C$29,$C$10:$X$17,11,))+(VLOOKUP(C$29,$C$10:$X$17,13,))+(VLOOKUP(C$29,$C$10:$X$17,15,)))</f>
        <v>0</v>
      </c>
      <c r="M29" s="1785">
        <f t="shared" si="5"/>
        <v>0</v>
      </c>
      <c r="N29" s="1786">
        <f>IF(I29=List!$A$61,0,VLOOKUP(clim_full,' IPCC'!$A$156:$I$167,1+MATCH($I29,' IPCC'!$B$155:$I$155,),))</f>
        <v>0</v>
      </c>
      <c r="O29" s="1784">
        <f>IF(C29=List!$A$50,0,(1-N29)*VLOOKUP($C29,$C$10:$X$17,17,))</f>
        <v>0</v>
      </c>
      <c r="P29" s="1787">
        <f t="shared" si="6"/>
        <v>0</v>
      </c>
      <c r="Q29" s="1788">
        <f>IF(C29=List!$A$50,0,$H29*(VLOOKUP($C29,$C$10:$X$17,7,)-$E29)*VLOOKUP($C29,$C$10:$X$17,21,))</f>
        <v>0</v>
      </c>
      <c r="R29" s="1784">
        <f>IF(C29=List!$A$50,0,$H29*(VLOOKUP($C29,$C$10:$X$17,7,)-$E29)*VLOOKUP($C29,$C$10:$X$17,22,))</f>
        <v>0</v>
      </c>
      <c r="S29" s="1787">
        <f t="shared" si="7"/>
        <v>0</v>
      </c>
      <c r="U29" s="1779"/>
      <c r="AD29" s="2460"/>
      <c r="AE29" s="2461"/>
      <c r="AF29" s="1953"/>
      <c r="AG29" s="1953"/>
      <c r="AH29" s="1953"/>
      <c r="AI29" s="1953"/>
      <c r="AJ29" s="2461"/>
    </row>
    <row r="30" spans="1:45" s="1778" customFormat="1" ht="13.8" thickBot="1">
      <c r="A30" s="233"/>
      <c r="B30" s="1780" t="s">
        <v>158</v>
      </c>
      <c r="C30" s="3102" t="str">
        <f>'2.LUC'!B15</f>
        <v>Select the vegetation</v>
      </c>
      <c r="D30" s="3103"/>
      <c r="E30" s="2035">
        <f>'2.LUC'!D15</f>
        <v>0</v>
      </c>
      <c r="F30" s="1781">
        <f>IF(C30=List!$A$50,0,IF(E30*0.47&gt;VLOOKUP($C30,$C$10:$X$17,8,),VLOOKUP($C30,$C$10:$X$17,8,),E30*0.47))</f>
        <v>0</v>
      </c>
      <c r="G30" s="2035" t="str">
        <f>'2.LUC'!E15</f>
        <v>NO</v>
      </c>
      <c r="H30" s="1782">
        <f>IF(C30=List!$A$50,0,IF(G30="yes",VLOOKUP(C30,$C$10:$X$17,19,),0))</f>
        <v>0</v>
      </c>
      <c r="I30" s="3096" t="str">
        <f>'2.LUC'!F15</f>
        <v>Select Use after deforestation</v>
      </c>
      <c r="J30" s="3097"/>
      <c r="K30" s="1783">
        <f>IF(I30=List!$A$61,0,HLOOKUP(I30,' IPCC'!$B$125:$I$137,1+MATCH(clim_full,' IPCC'!$A$126:$A$137,),))</f>
        <v>0</v>
      </c>
      <c r="L30" s="1784">
        <f>IF(C30=List!$A$50,0,(VLOOKUP($C30,$C$10:$X$17,8,)-$F30)+(VLOOKUP(C$30,$C$10:$X$17,11,))+(VLOOKUP(C$30,$C$10:$X$17,13,))+(VLOOKUP(C$30,$C$10:$X$17,15,)))</f>
        <v>0</v>
      </c>
      <c r="M30" s="1785">
        <f t="shared" si="5"/>
        <v>0</v>
      </c>
      <c r="N30" s="1786">
        <f>IF(I30=List!$A$61,0,VLOOKUP(clim_full,' IPCC'!$A$156:$I$167,1+MATCH($I30,' IPCC'!$B$155:$I$155,),))</f>
        <v>0</v>
      </c>
      <c r="O30" s="1784">
        <f>IF(C30=List!$A$50,0,(1-N30)*VLOOKUP($C30,$C$10:$X$17,17,))</f>
        <v>0</v>
      </c>
      <c r="P30" s="1787">
        <f t="shared" si="6"/>
        <v>0</v>
      </c>
      <c r="Q30" s="1788">
        <f>IF(C30=List!$A$50,0,$H30*(VLOOKUP($C30,$C$10:$X$17,7,)-$E30)*VLOOKUP($C30,$C$10:$X$17,21,))</f>
        <v>0</v>
      </c>
      <c r="R30" s="1784">
        <f>IF(C30=List!$A$50,0,$H30*(VLOOKUP($C30,$C$10:$X$17,7,)-$E30)*VLOOKUP($C30,$C$10:$X$17,22,))</f>
        <v>0</v>
      </c>
      <c r="S30" s="1787">
        <f t="shared" si="7"/>
        <v>0</v>
      </c>
      <c r="U30" s="1779"/>
      <c r="AD30" s="2460"/>
      <c r="AE30" s="2461"/>
      <c r="AF30" s="1953"/>
      <c r="AG30" s="1953"/>
      <c r="AH30" s="1953"/>
      <c r="AI30" s="1953"/>
      <c r="AJ30" s="2461"/>
    </row>
    <row r="31" spans="1:45" s="605" customFormat="1" ht="13.8" thickBot="1">
      <c r="A31" s="233"/>
      <c r="B31" s="734" t="s">
        <v>159</v>
      </c>
      <c r="C31" s="3102" t="str">
        <f>'2.LUC'!B16</f>
        <v>Select the vegetation</v>
      </c>
      <c r="D31" s="3103"/>
      <c r="E31" s="2035">
        <f>'2.LUC'!D16</f>
        <v>0</v>
      </c>
      <c r="F31" s="937">
        <f>IF(C31=List!$A$50,0,IF(E31*0.47&gt;VLOOKUP($C31,$C$10:$X$17,8,),VLOOKUP($C31,$C$10:$X$17,8,),E31*0.47))</f>
        <v>0</v>
      </c>
      <c r="G31" s="2035" t="str">
        <f>'2.LUC'!E16</f>
        <v>NO</v>
      </c>
      <c r="H31" s="465">
        <f>IF(C31=List!$A$50,0,IF(G31="yes",VLOOKUP(C31,$C$10:$X$17,19,),0))</f>
        <v>0</v>
      </c>
      <c r="I31" s="3096" t="str">
        <f>'2.LUC'!F16</f>
        <v>Select Use after deforestation</v>
      </c>
      <c r="J31" s="3097"/>
      <c r="K31" s="1042">
        <f>IF(I31=List!$A$61,0,HLOOKUP(I31,' IPCC'!$B$125:$I$137,1+MATCH(clim_full,' IPCC'!$A$126:$A$137,),))</f>
        <v>0</v>
      </c>
      <c r="L31" s="601">
        <f>IF(C31=List!$A$50,0,(VLOOKUP($C31,$C$10:$X$17,8,)-$F31)+(VLOOKUP(C$31,$C$10:$X$17,11,))+(VLOOKUP(C$31,$C$10:$X$17,13,))+(VLOOKUP(C$31,$C$10:$X$17,15,)))</f>
        <v>0</v>
      </c>
      <c r="M31" s="1625">
        <f t="shared" si="5"/>
        <v>0</v>
      </c>
      <c r="N31" s="607">
        <f>IF(I31=List!$A$61,0,VLOOKUP(clim_full,' IPCC'!$A$156:$I$167,1+MATCH($I31,' IPCC'!$B$155:$I$155,),))</f>
        <v>0</v>
      </c>
      <c r="O31" s="601">
        <f>IF(C31=List!$A$50,0,(1-N31)*VLOOKUP($C31,$C$10:$X$17,17,))</f>
        <v>0</v>
      </c>
      <c r="P31" s="608">
        <f t="shared" si="6"/>
        <v>0</v>
      </c>
      <c r="Q31" s="609">
        <f>IF(C31=List!$A$50,0,$H31*(VLOOKUP($C31,$C$10:$X$17,7,)-$E31)*VLOOKUP($C31,$C$10:$X$17,21,))</f>
        <v>0</v>
      </c>
      <c r="R31" s="601">
        <f>IF(C31=List!$A$50,0,$H31*(VLOOKUP($C31,$C$10:$X$17,7,)-$E31)*VLOOKUP($C31,$C$10:$X$17,22,))</f>
        <v>0</v>
      </c>
      <c r="S31" s="608">
        <f t="shared" si="7"/>
        <v>0</v>
      </c>
      <c r="T31" s="233"/>
      <c r="U31" s="234"/>
      <c r="AC31" s="748"/>
      <c r="AD31" s="2460"/>
      <c r="AE31" s="2461"/>
      <c r="AF31" s="1921"/>
      <c r="AG31" s="1921"/>
      <c r="AH31" s="1953"/>
      <c r="AI31" s="1953"/>
      <c r="AJ31" s="2461"/>
      <c r="AK31" s="748"/>
      <c r="AL31" s="748"/>
      <c r="AM31" s="748"/>
      <c r="AN31" s="748"/>
      <c r="AO31" s="1519"/>
      <c r="AP31" s="1519"/>
      <c r="AQ31" s="1519"/>
      <c r="AR31" s="1519"/>
      <c r="AS31" s="1519"/>
    </row>
    <row r="32" spans="1:45" s="605" customFormat="1">
      <c r="A32" s="233"/>
      <c r="B32" s="734" t="s">
        <v>160</v>
      </c>
      <c r="C32" s="3102" t="str">
        <f>'2.LUC'!B17</f>
        <v>Select the vegetation</v>
      </c>
      <c r="D32" s="3103"/>
      <c r="E32" s="2035">
        <f>'2.LUC'!D17</f>
        <v>0</v>
      </c>
      <c r="F32" s="937">
        <f>IF(C32=List!$A$50,0,IF(E32*0.47&gt;VLOOKUP($C32,$C$10:$X$17,8,),VLOOKUP($C32,$C$10:$X$17,8,),E32*0.47))</f>
        <v>0</v>
      </c>
      <c r="G32" s="2035" t="str">
        <f>'2.LUC'!E17</f>
        <v>NO</v>
      </c>
      <c r="H32" s="465">
        <f>IF(C32=List!$A$50,0,IF(G32="yes",VLOOKUP(C32,$C$10:$X$17,19,),0))</f>
        <v>0</v>
      </c>
      <c r="I32" s="3096" t="str">
        <f>'2.LUC'!F17</f>
        <v>Select Use after deforestation</v>
      </c>
      <c r="J32" s="3097"/>
      <c r="K32" s="1042">
        <f>IF(I32=List!$A$61,0,HLOOKUP(I32,' IPCC'!$B$125:$I$137,1+MATCH(clim_full,' IPCC'!$A$126:$A$137,),))</f>
        <v>0</v>
      </c>
      <c r="L32" s="601">
        <f>IF(C32=List!$A$50,0,(VLOOKUP($C32,$C$10:$X$17,8,)-$F32)+(VLOOKUP(C$32,$C$10:$X$17,11,))+(VLOOKUP(C$32,$C$10:$X$17,13,))+(VLOOKUP(C$32,$C$10:$X$17,15,)))</f>
        <v>0</v>
      </c>
      <c r="M32" s="1625">
        <f t="shared" si="5"/>
        <v>0</v>
      </c>
      <c r="N32" s="607">
        <f>IF(I32=List!$A$61,0,VLOOKUP(clim_full,' IPCC'!$A$156:$I$167,1+MATCH($I32,' IPCC'!$B$155:$I$155,),))</f>
        <v>0</v>
      </c>
      <c r="O32" s="601">
        <f>IF(C32=List!$A$50,0,(1-N32)*VLOOKUP($C32,$C$10:$X$17,17,))</f>
        <v>0</v>
      </c>
      <c r="P32" s="608">
        <f t="shared" si="6"/>
        <v>0</v>
      </c>
      <c r="Q32" s="609">
        <f>IF(C32=List!$A$50,0,$H32*(VLOOKUP($C32,$C$10:$X$17,7,)-$E32)*VLOOKUP($C32,$C$10:$X$17,21,))</f>
        <v>0</v>
      </c>
      <c r="R32" s="601">
        <f>IF(C32=List!$A$50,0,$H32*(VLOOKUP($C32,$C$10:$X$17,7,)-$E32)*VLOOKUP($C32,$C$10:$X$17,22,))</f>
        <v>0</v>
      </c>
      <c r="S32" s="608">
        <f t="shared" si="7"/>
        <v>0</v>
      </c>
      <c r="T32" s="233"/>
      <c r="U32" s="234"/>
      <c r="AC32" s="748"/>
      <c r="AD32" s="2460"/>
      <c r="AE32" s="2461"/>
      <c r="AF32" s="1921"/>
      <c r="AG32" s="1921"/>
      <c r="AH32" s="1953" t="s">
        <v>39</v>
      </c>
      <c r="AI32" s="1953">
        <f>time_tot</f>
        <v>0</v>
      </c>
      <c r="AJ32" s="2461"/>
      <c r="AK32" s="748"/>
      <c r="AL32" s="748"/>
      <c r="AM32" s="748"/>
      <c r="AN32" s="748"/>
      <c r="AO32" s="1519"/>
      <c r="AP32" s="1519"/>
      <c r="AQ32" s="1519"/>
      <c r="AR32" s="1519"/>
      <c r="AS32" s="1519"/>
    </row>
    <row r="33" spans="1:45" s="605" customFormat="1">
      <c r="B33" s="606" t="s">
        <v>161</v>
      </c>
      <c r="C33" s="611" t="str">
        <f>F19</f>
        <v>Specific Vegetation 1</v>
      </c>
      <c r="D33" s="611"/>
      <c r="E33" s="682"/>
      <c r="F33" s="937">
        <f>IF(E33*0.47&gt;J19,J19,E33*0.47)</f>
        <v>0</v>
      </c>
      <c r="G33" s="682" t="s">
        <v>359</v>
      </c>
      <c r="H33" s="465">
        <f>IF(G33="yes",U19,0)</f>
        <v>0</v>
      </c>
      <c r="I33" s="3098" t="s">
        <v>13</v>
      </c>
      <c r="J33" s="3099"/>
      <c r="K33" s="1042">
        <f>IF(I33=List!$A$61,0,HLOOKUP(I33,' IPCC'!$B$125:$I$137,1+MATCH(clim_full,' IPCC'!$A$126:$A$137,),))</f>
        <v>0</v>
      </c>
      <c r="L33" s="1622">
        <f>($J19+M19+O19+Q19-$F33)</f>
        <v>0</v>
      </c>
      <c r="M33" s="1626">
        <f t="shared" si="5"/>
        <v>0</v>
      </c>
      <c r="N33" s="1268">
        <f>IF(I33=List!$A$61,0,VLOOKUP(clim_full,' IPCC'!$A$156:$I$167,1+MATCH($I33,' IPCC'!$B$155:$I$155,),))</f>
        <v>0</v>
      </c>
      <c r="O33" s="612">
        <f>(1-N33)*S19</f>
        <v>0</v>
      </c>
      <c r="P33" s="1214">
        <f t="shared" si="6"/>
        <v>0</v>
      </c>
      <c r="Q33" s="613">
        <f t="shared" ref="Q33:R36" si="8">$H33*($I19-$E33)*W19</f>
        <v>0</v>
      </c>
      <c r="R33" s="612">
        <f t="shared" si="8"/>
        <v>0</v>
      </c>
      <c r="S33" s="614">
        <f t="shared" si="7"/>
        <v>0</v>
      </c>
      <c r="T33" s="233"/>
      <c r="U33" s="234"/>
      <c r="AC33" s="748"/>
      <c r="AD33" s="2460"/>
      <c r="AE33" s="2461"/>
      <c r="AF33" s="2465"/>
      <c r="AG33" s="1953"/>
      <c r="AH33" s="1953" t="s">
        <v>40</v>
      </c>
      <c r="AI33" s="1953">
        <f>time2</f>
        <v>0</v>
      </c>
      <c r="AJ33" s="2461"/>
      <c r="AK33" s="748"/>
      <c r="AL33" s="748"/>
      <c r="AM33" s="748"/>
      <c r="AN33" s="748"/>
      <c r="AO33" s="1519"/>
      <c r="AP33" s="1519"/>
      <c r="AQ33" s="1519"/>
      <c r="AR33" s="1519"/>
      <c r="AS33" s="1519"/>
    </row>
    <row r="34" spans="1:45" s="605" customFormat="1">
      <c r="B34" s="606" t="s">
        <v>162</v>
      </c>
      <c r="C34" s="611" t="str">
        <f>F20</f>
        <v>Specific Vegetation 2</v>
      </c>
      <c r="D34" s="611"/>
      <c r="E34" s="682"/>
      <c r="F34" s="937">
        <f>IF(E34*0.47&gt;J20,J20,E34*0.47)</f>
        <v>0</v>
      </c>
      <c r="G34" s="682" t="s">
        <v>359</v>
      </c>
      <c r="H34" s="465">
        <f>IF(G34="yes",U20,0)</f>
        <v>0</v>
      </c>
      <c r="I34" s="3098" t="s">
        <v>13</v>
      </c>
      <c r="J34" s="3099"/>
      <c r="K34" s="1042">
        <f>IF(I34=List!$A$61,0,HLOOKUP(I34,' IPCC'!$B$125:$I$137,1+MATCH(clim_full,' IPCC'!$A$126:$A$137,),))</f>
        <v>0</v>
      </c>
      <c r="L34" s="1622">
        <f>($J20+M20+O20+Q20-$F34)</f>
        <v>0</v>
      </c>
      <c r="M34" s="1626">
        <f t="shared" si="5"/>
        <v>0</v>
      </c>
      <c r="N34" s="1268">
        <f>IF(I34=List!$A$61,0,VLOOKUP(clim_full,' IPCC'!$A$156:$I$167,1+MATCH($I34,' IPCC'!$B$155:$I$155,),))</f>
        <v>0</v>
      </c>
      <c r="O34" s="612">
        <f>(1-N34)*S20</f>
        <v>0</v>
      </c>
      <c r="P34" s="1214">
        <f t="shared" si="6"/>
        <v>0</v>
      </c>
      <c r="Q34" s="613">
        <f t="shared" si="8"/>
        <v>0</v>
      </c>
      <c r="R34" s="612">
        <f t="shared" si="8"/>
        <v>0</v>
      </c>
      <c r="S34" s="614">
        <f t="shared" si="7"/>
        <v>0</v>
      </c>
      <c r="T34" s="233"/>
      <c r="U34" s="234"/>
      <c r="AC34" s="748"/>
      <c r="AD34" s="2460"/>
      <c r="AE34" s="2461"/>
      <c r="AF34" s="1953"/>
      <c r="AG34" s="1921"/>
      <c r="AH34" s="1953" t="s">
        <v>41</v>
      </c>
      <c r="AI34" s="1953">
        <f>time</f>
        <v>0</v>
      </c>
      <c r="AJ34" s="2461"/>
      <c r="AK34" s="748"/>
      <c r="AL34" s="748"/>
      <c r="AM34" s="748"/>
      <c r="AN34" s="748"/>
      <c r="AO34" s="1519"/>
      <c r="AP34" s="1519"/>
      <c r="AQ34" s="1519"/>
      <c r="AR34" s="1519"/>
      <c r="AS34" s="1519"/>
    </row>
    <row r="35" spans="1:45" s="605" customFormat="1">
      <c r="B35" s="606" t="s">
        <v>163</v>
      </c>
      <c r="C35" s="611" t="str">
        <f>F21</f>
        <v>Specific Vegetation 3</v>
      </c>
      <c r="D35" s="611"/>
      <c r="E35" s="682"/>
      <c r="F35" s="937">
        <f>IF(E35*0.47&gt;J21,J21,E35*0.47)</f>
        <v>0</v>
      </c>
      <c r="G35" s="682" t="s">
        <v>359</v>
      </c>
      <c r="H35" s="465">
        <f>IF(G35="yes",U21,0)</f>
        <v>0</v>
      </c>
      <c r="I35" s="3098" t="s">
        <v>13</v>
      </c>
      <c r="J35" s="3099"/>
      <c r="K35" s="1042">
        <f>IF(I35=List!$A$61,0,HLOOKUP(I35,' IPCC'!$B$125:$I$137,1+MATCH(clim_full,' IPCC'!$A$126:$A$137,),))</f>
        <v>0</v>
      </c>
      <c r="L35" s="1622">
        <f>($J21+M21+O21+Q21-$F35)</f>
        <v>0</v>
      </c>
      <c r="M35" s="1626">
        <f t="shared" si="5"/>
        <v>0</v>
      </c>
      <c r="N35" s="1268">
        <f>IF(I35=List!$A$61,0,VLOOKUP(clim_full,' IPCC'!$A$156:$I$167,1+MATCH($I35,' IPCC'!$B$155:$I$155,),))</f>
        <v>0</v>
      </c>
      <c r="O35" s="612">
        <f>(1-N35)*S21</f>
        <v>0</v>
      </c>
      <c r="P35" s="1214">
        <f t="shared" si="6"/>
        <v>0</v>
      </c>
      <c r="Q35" s="613">
        <f t="shared" si="8"/>
        <v>0</v>
      </c>
      <c r="R35" s="612">
        <f t="shared" si="8"/>
        <v>0</v>
      </c>
      <c r="S35" s="614">
        <f t="shared" si="7"/>
        <v>0</v>
      </c>
      <c r="T35" s="233"/>
      <c r="U35" s="234"/>
      <c r="AC35" s="748"/>
      <c r="AD35" s="2460"/>
      <c r="AE35" s="2461"/>
      <c r="AF35" s="2461"/>
      <c r="AG35" s="2461"/>
      <c r="AH35" s="2461"/>
      <c r="AI35" s="2461"/>
      <c r="AJ35" s="2461"/>
      <c r="AK35" s="748"/>
      <c r="AL35" s="748"/>
      <c r="AM35" s="748"/>
      <c r="AN35" s="748"/>
      <c r="AO35" s="1519"/>
      <c r="AP35" s="1519"/>
      <c r="AQ35" s="1519"/>
      <c r="AR35" s="1519"/>
      <c r="AS35" s="1519"/>
    </row>
    <row r="36" spans="1:45" s="605" customFormat="1" ht="13.8" thickBot="1">
      <c r="B36" s="1272" t="s">
        <v>164</v>
      </c>
      <c r="C36" s="616" t="str">
        <f>F22</f>
        <v>Specific Vegetation 4</v>
      </c>
      <c r="D36" s="616"/>
      <c r="E36" s="683"/>
      <c r="F36" s="938">
        <f>IF(E36*0.47&gt;J22,J22,E36*0.47)</f>
        <v>0</v>
      </c>
      <c r="G36" s="683" t="s">
        <v>359</v>
      </c>
      <c r="H36" s="1293">
        <f>IF(G36="yes",U22,0)</f>
        <v>0</v>
      </c>
      <c r="I36" s="3110" t="s">
        <v>13</v>
      </c>
      <c r="J36" s="3111"/>
      <c r="K36" s="1043">
        <f>IF(I36=List!$A$61,0,HLOOKUP(I36,' IPCC'!$B$125:$I$137,1+MATCH(clim_full,' IPCC'!$A$126:$A$137,),))</f>
        <v>0</v>
      </c>
      <c r="L36" s="1623">
        <f>($J22+M22+O22+Q22-$F36)</f>
        <v>0</v>
      </c>
      <c r="M36" s="1627">
        <f t="shared" si="5"/>
        <v>0</v>
      </c>
      <c r="N36" s="1269">
        <f>IF(I36=List!$A$61,0,VLOOKUP(clim_full,' IPCC'!$A$156:$I$167,1+MATCH($I36,' IPCC'!$B$155:$I$155,),))</f>
        <v>0</v>
      </c>
      <c r="O36" s="617">
        <f>(1-N36)*S22</f>
        <v>0</v>
      </c>
      <c r="P36" s="1215">
        <f t="shared" si="6"/>
        <v>0</v>
      </c>
      <c r="Q36" s="618">
        <f t="shared" si="8"/>
        <v>0</v>
      </c>
      <c r="R36" s="617">
        <f t="shared" si="8"/>
        <v>0</v>
      </c>
      <c r="S36" s="619">
        <f t="shared" si="7"/>
        <v>0</v>
      </c>
      <c r="T36" s="233"/>
      <c r="U36" s="234"/>
      <c r="AC36" s="748"/>
      <c r="AD36" s="2460"/>
      <c r="AE36" s="2461"/>
      <c r="AF36" s="2461"/>
      <c r="AG36" s="2461"/>
      <c r="AH36" s="2461"/>
      <c r="AI36" s="2461"/>
      <c r="AJ36" s="2461"/>
      <c r="AK36" s="748"/>
      <c r="AL36" s="748"/>
      <c r="AM36" s="748"/>
      <c r="AN36" s="748"/>
      <c r="AO36" s="1519"/>
      <c r="AP36" s="1519"/>
      <c r="AQ36" s="1519"/>
      <c r="AR36" s="1519"/>
      <c r="AS36" s="1519"/>
    </row>
    <row r="37" spans="1:45" s="605" customFormat="1">
      <c r="B37" s="620"/>
      <c r="C37" s="621"/>
      <c r="D37" s="620"/>
      <c r="E37" s="620"/>
      <c r="F37" s="620"/>
      <c r="H37" s="622"/>
      <c r="I37" s="622"/>
      <c r="N37" s="622"/>
      <c r="O37" s="623"/>
      <c r="P37" s="623"/>
      <c r="Q37" s="624"/>
      <c r="R37" s="624"/>
      <c r="S37" s="624"/>
      <c r="T37" s="623"/>
      <c r="U37" s="234"/>
      <c r="V37" s="624"/>
      <c r="W37" s="624"/>
      <c r="X37" s="622"/>
      <c r="Y37" s="622"/>
      <c r="Z37" s="139"/>
      <c r="AC37" s="748"/>
      <c r="AD37" s="2460"/>
      <c r="AE37" s="1953"/>
      <c r="AF37" s="1953"/>
      <c r="AG37" s="2461"/>
      <c r="AH37" s="2461"/>
      <c r="AI37" s="2461"/>
      <c r="AJ37" s="2461"/>
      <c r="AK37" s="748"/>
      <c r="AL37" s="748"/>
      <c r="AM37" s="748"/>
      <c r="AN37" s="748"/>
      <c r="AO37" s="1519"/>
      <c r="AP37" s="1519"/>
      <c r="AQ37" s="1519"/>
      <c r="AR37" s="1519"/>
      <c r="AS37" s="1519"/>
    </row>
    <row r="38" spans="1:45">
      <c r="B38" s="625" t="s">
        <v>1017</v>
      </c>
      <c r="C38" s="626"/>
      <c r="D38" s="626"/>
      <c r="E38" s="626"/>
      <c r="F38" s="627"/>
      <c r="G38" s="626"/>
      <c r="H38" s="626"/>
      <c r="I38" s="627"/>
      <c r="J38" s="627"/>
      <c r="K38" s="627"/>
      <c r="L38" s="627"/>
      <c r="M38" s="627"/>
      <c r="N38" s="627"/>
      <c r="O38" s="626"/>
      <c r="P38" s="627"/>
      <c r="Q38" s="626"/>
      <c r="R38" s="626"/>
      <c r="S38" s="628"/>
      <c r="T38" s="628"/>
      <c r="X38" s="233"/>
      <c r="Y38" s="233"/>
      <c r="Z38" s="9"/>
      <c r="AE38" s="1953"/>
      <c r="AF38" s="1953"/>
    </row>
    <row r="39" spans="1:45" ht="13.8" thickBot="1">
      <c r="B39" s="269" t="s">
        <v>499</v>
      </c>
      <c r="C39" s="3100" t="s">
        <v>672</v>
      </c>
      <c r="D39" s="3100"/>
      <c r="E39" s="3100"/>
      <c r="F39" s="3100"/>
      <c r="G39" s="3101"/>
      <c r="H39" s="629" t="s">
        <v>549</v>
      </c>
      <c r="I39" s="237"/>
      <c r="J39" s="3093" t="s">
        <v>1013</v>
      </c>
      <c r="K39" s="3094"/>
      <c r="L39" s="630" t="s">
        <v>1276</v>
      </c>
      <c r="M39" s="630"/>
      <c r="N39" s="716" t="s">
        <v>224</v>
      </c>
      <c r="O39" s="562"/>
      <c r="P39" s="560" t="s">
        <v>559</v>
      </c>
      <c r="Q39" s="562"/>
      <c r="R39" s="537" t="s">
        <v>687</v>
      </c>
      <c r="S39" s="538"/>
      <c r="T39" s="20" t="s">
        <v>348</v>
      </c>
      <c r="AE39" s="1953"/>
      <c r="AH39" s="1921"/>
    </row>
    <row r="40" spans="1:45">
      <c r="B40" s="271"/>
      <c r="C40" s="631" t="s">
        <v>345</v>
      </c>
      <c r="D40" s="632" t="s">
        <v>689</v>
      </c>
      <c r="E40" s="633"/>
      <c r="F40" s="634" t="s">
        <v>688</v>
      </c>
      <c r="G40" s="635"/>
      <c r="H40" s="636" t="s">
        <v>690</v>
      </c>
      <c r="I40" s="637" t="s">
        <v>691</v>
      </c>
      <c r="J40" s="636" t="s">
        <v>690</v>
      </c>
      <c r="K40" s="637" t="s">
        <v>691</v>
      </c>
      <c r="L40" s="636" t="s">
        <v>690</v>
      </c>
      <c r="M40" s="637" t="s">
        <v>691</v>
      </c>
      <c r="N40" s="636" t="s">
        <v>690</v>
      </c>
      <c r="O40" s="637" t="s">
        <v>691</v>
      </c>
      <c r="P40" s="636" t="s">
        <v>690</v>
      </c>
      <c r="Q40" s="637" t="s">
        <v>691</v>
      </c>
      <c r="R40" s="636" t="s">
        <v>690</v>
      </c>
      <c r="S40" s="637" t="s">
        <v>691</v>
      </c>
      <c r="T40" s="171"/>
      <c r="AE40" s="1953"/>
      <c r="AF40" s="1953" t="s">
        <v>1595</v>
      </c>
    </row>
    <row r="41" spans="1:45" ht="13.8" thickBot="1">
      <c r="B41" s="271"/>
      <c r="C41" s="638" t="s">
        <v>352</v>
      </c>
      <c r="D41" s="639" t="s">
        <v>346</v>
      </c>
      <c r="E41" s="640" t="s">
        <v>353</v>
      </c>
      <c r="F41" s="641" t="s">
        <v>346</v>
      </c>
      <c r="G41" s="642" t="s">
        <v>353</v>
      </c>
      <c r="H41" s="643"/>
      <c r="I41" s="644"/>
      <c r="J41" s="645" t="s">
        <v>556</v>
      </c>
      <c r="K41" s="646" t="s">
        <v>556</v>
      </c>
      <c r="L41" s="645" t="s">
        <v>556</v>
      </c>
      <c r="M41" s="646" t="s">
        <v>556</v>
      </c>
      <c r="N41" s="645" t="s">
        <v>556</v>
      </c>
      <c r="O41" s="646" t="s">
        <v>556</v>
      </c>
      <c r="P41" s="645" t="s">
        <v>556</v>
      </c>
      <c r="Q41" s="646" t="s">
        <v>556</v>
      </c>
      <c r="R41" s="645" t="s">
        <v>556</v>
      </c>
      <c r="S41" s="646" t="s">
        <v>556</v>
      </c>
      <c r="T41" s="1030" t="s">
        <v>556</v>
      </c>
      <c r="AE41" s="1953"/>
      <c r="AF41" s="1953" t="s">
        <v>352</v>
      </c>
      <c r="AG41" s="2461" t="s">
        <v>1596</v>
      </c>
      <c r="AH41" s="2461" t="s">
        <v>1597</v>
      </c>
    </row>
    <row r="42" spans="1:45" ht="13.8" thickBot="1">
      <c r="A42" s="1768" t="s">
        <v>1310</v>
      </c>
      <c r="B42" s="271" t="str">
        <f t="shared" ref="B42:B50" si="9">B27</f>
        <v>Def.1</v>
      </c>
      <c r="C42" s="1914">
        <f>'2.LUC'!J12</f>
        <v>0</v>
      </c>
      <c r="D42" s="1914">
        <f>'2.LUC'!K12</f>
        <v>0</v>
      </c>
      <c r="E42" s="2225" t="str">
        <f>VLOOKUP('2.LUC'!L12,List!$D$35:$E$37,2,)</f>
        <v>Linear</v>
      </c>
      <c r="F42" s="1841">
        <f>'2.LUC'!M12</f>
        <v>0</v>
      </c>
      <c r="G42" s="2225" t="str">
        <f>VLOOKUP('2.LUC'!N12,List!$D$35:$E$37,2,)</f>
        <v>Linear</v>
      </c>
      <c r="H42" s="648">
        <f>IF(D42&gt;C42,0,C42-D42)</f>
        <v>0</v>
      </c>
      <c r="I42" s="649">
        <f>IF(F42&gt;C42,0,C42-F42)</f>
        <v>0</v>
      </c>
      <c r="J42" s="1390">
        <f t="shared" ref="J42:J51" si="10">$H42*($M27)</f>
        <v>0</v>
      </c>
      <c r="K42" s="1506">
        <f t="shared" ref="K42:K51" si="11">$I42*($M27)</f>
        <v>0</v>
      </c>
      <c r="L42" s="1822">
        <f>IF(J42=0,0,IF(C27=List!$A$50,0,-($H42*$K27*44/12)))</f>
        <v>0</v>
      </c>
      <c r="M42" s="1821">
        <f>IF(K42=0,0,IF(C27=List!$A$50,0,-($I42*$K27*44/12)))</f>
        <v>0</v>
      </c>
      <c r="N42" s="1475">
        <f>$P27*(IF(E42="immediate",IF(H42&gt;0,H42*MIN(20,time_tot),0),H42*IF(time_tot&gt;time+20,20,IF(time_tot&lt;20,(time*VLOOKUP(E42,List!$E$35:$F$37,2,))+(time_tot-time),((MIN(20,time)*VLOOKUP(E42,List!$E$35:$F$37,2,))+(time_tot-MIN(20,time))-IF(E42="exponential",time_tot-20+0.217*time*(EXP(4.606*(20-time_tot)/time)-1),((time_tot-20)^2)*(0.5/time)))))))</f>
        <v>0</v>
      </c>
      <c r="O42" s="1476">
        <f>$P27*(IF(G42="immediate",IF(I42&gt;0,I42*MIN(20,time_tot),0),I42*IF(time_tot&gt;time+20,20,IF(time_tot&lt;20,(time*VLOOKUP(G42,List!$E$35:$F$37,2,))+(time_tot-time),((MIN(20,time)*VLOOKUP(G42,List!$E$35:$F$37,2,))+(time_tot-MIN(20,time))-IF(G42="exponential",time_tot-20+0.217*time*(EXP(4.606*(20-time_tot)/time)-1),((time_tot-20)^2)*(0.5/time)))))))</f>
        <v>0</v>
      </c>
      <c r="P42" s="1506">
        <f>IF(G27="yes",$H42*$S27,0)</f>
        <v>0</v>
      </c>
      <c r="Q42" s="1391">
        <f t="shared" ref="Q42:Q51" si="12">$I42*$S27</f>
        <v>0</v>
      </c>
      <c r="R42" s="1497">
        <f>J42+N42+P42+L42</f>
        <v>0</v>
      </c>
      <c r="S42" s="1476">
        <f t="shared" ref="S42:S51" si="13">K42+O42+Q42+M42</f>
        <v>0</v>
      </c>
      <c r="T42" s="283">
        <f t="shared" ref="T42:T51" si="14">S42-R42</f>
        <v>0</v>
      </c>
      <c r="AE42" s="1953"/>
      <c r="AF42" s="1953">
        <v>0</v>
      </c>
      <c r="AG42" s="1953">
        <f>IF(H27&gt;0,H42,0)</f>
        <v>0</v>
      </c>
      <c r="AH42" s="1953">
        <f>IF(H27&gt;0,I42,0)</f>
        <v>0</v>
      </c>
      <c r="AI42" s="2466"/>
    </row>
    <row r="43" spans="1:45" ht="13.8" thickBot="1">
      <c r="A43" s="1768" t="s">
        <v>1310</v>
      </c>
      <c r="B43" s="271" t="str">
        <f t="shared" si="9"/>
        <v>Def.2</v>
      </c>
      <c r="C43" s="1914">
        <f>'2.LUC'!J13</f>
        <v>0</v>
      </c>
      <c r="D43" s="1914">
        <f>'2.LUC'!K13</f>
        <v>0</v>
      </c>
      <c r="E43" s="2225" t="str">
        <f>VLOOKUP('2.LUC'!L13,List!$D$35:$E$37,2,)</f>
        <v>Linear</v>
      </c>
      <c r="F43" s="1841">
        <f>'2.LUC'!M13</f>
        <v>0</v>
      </c>
      <c r="G43" s="2225" t="str">
        <f>VLOOKUP('2.LUC'!N13,List!$D$35:$E$37,2,)</f>
        <v>Linear</v>
      </c>
      <c r="H43" s="651">
        <f t="shared" ref="H43:H51" si="15">IF(D43&gt;C43,0,C43-D43)</f>
        <v>0</v>
      </c>
      <c r="I43" s="652">
        <f>IF(F43&gt;C43,0,C43-F43)</f>
        <v>0</v>
      </c>
      <c r="J43" s="1468">
        <f t="shared" si="10"/>
        <v>0</v>
      </c>
      <c r="K43" s="1507">
        <f t="shared" si="11"/>
        <v>0</v>
      </c>
      <c r="L43" s="1822">
        <f>IF(J43=0,0,IF(C28=List!$A$50,0,-($H43*$K28*44/12)))</f>
        <v>0</v>
      </c>
      <c r="M43" s="1821">
        <f>IF(K43=0,0,IF(C28=List!$A$50,0,-($I43*$K28*44/12)))</f>
        <v>0</v>
      </c>
      <c r="N43" s="1477">
        <f>$P28*(IF(E43="immediate",IF(H43&gt;0,H43*MIN(20,time_tot),0),H43*IF(time_tot&gt;time+20,20,IF(time_tot&lt;20,(time*VLOOKUP(E43,List!$E$35:$F$37,2,))+(time_tot-time),((MIN(20,time)*VLOOKUP(E43,List!$E$35:$F$37,2,))+(time_tot-MIN(20,time))-IF(E43="exponential",time_tot-20+0.217*time*(EXP(4.606*(20-time_tot)/time)-1),((time_tot-20)^2)*(0.5/time)))))))</f>
        <v>0</v>
      </c>
      <c r="O43" s="1478">
        <f>$P28*(IF(G43="immediate",IF(I43&gt;0,I43*MIN(20,time_tot),0),I43*IF(time_tot&gt;time+20,20,IF(time_tot&lt;20,(time*VLOOKUP(G43,List!$E$35:$F$37,2,))+(time_tot-time),((MIN(20,time)*VLOOKUP(G43,List!$E$35:$F$37,2,))+(time_tot-MIN(20,time))-IF(G43="exponential",time_tot-20+0.217*time*(EXP(4.606*(20-time_tot)/time)-1),((time_tot-20)^2)*(0.5/time)))))))</f>
        <v>0</v>
      </c>
      <c r="P43" s="1507">
        <f t="shared" ref="P43:P51" si="16">$H43*$S28</f>
        <v>0</v>
      </c>
      <c r="Q43" s="1469">
        <f t="shared" si="12"/>
        <v>0</v>
      </c>
      <c r="R43" s="1482">
        <f t="shared" ref="R43:R51" si="17">J43+N43+P43+L43</f>
        <v>0</v>
      </c>
      <c r="S43" s="1478">
        <f t="shared" si="13"/>
        <v>0</v>
      </c>
      <c r="T43" s="284">
        <f t="shared" si="14"/>
        <v>0</v>
      </c>
      <c r="AE43" s="1953"/>
      <c r="AF43" s="1953">
        <v>0</v>
      </c>
      <c r="AG43" s="1953">
        <f>IF(H28&gt;0,H43,0)</f>
        <v>0</v>
      </c>
      <c r="AH43" s="1953">
        <f t="shared" ref="AH43:AH51" si="18">IF(H28&gt;0,I43,0)</f>
        <v>0</v>
      </c>
      <c r="AI43" s="2466"/>
    </row>
    <row r="44" spans="1:45" ht="13.8" thickBot="1">
      <c r="A44" s="1768" t="s">
        <v>1310</v>
      </c>
      <c r="B44" s="271" t="str">
        <f t="shared" si="9"/>
        <v>Def.3</v>
      </c>
      <c r="C44" s="1914">
        <f>'2.LUC'!J14</f>
        <v>0</v>
      </c>
      <c r="D44" s="1914">
        <f>'2.LUC'!K14</f>
        <v>0</v>
      </c>
      <c r="E44" s="2225" t="str">
        <f>VLOOKUP('2.LUC'!L14,List!$D$35:$E$37,2,)</f>
        <v>Linear</v>
      </c>
      <c r="F44" s="1841">
        <f>'2.LUC'!M14</f>
        <v>0</v>
      </c>
      <c r="G44" s="2225" t="str">
        <f>VLOOKUP('2.LUC'!N14,List!$D$35:$E$37,2,)</f>
        <v>Linear</v>
      </c>
      <c r="H44" s="651">
        <f t="shared" si="15"/>
        <v>0</v>
      </c>
      <c r="I44" s="652">
        <f t="shared" ref="I44:I51" si="19">IF(F44&gt;C44,0,C44-F44)</f>
        <v>0</v>
      </c>
      <c r="J44" s="1468">
        <f>$H44*($M29)</f>
        <v>0</v>
      </c>
      <c r="K44" s="1507">
        <f t="shared" si="11"/>
        <v>0</v>
      </c>
      <c r="L44" s="1822">
        <f>IF(J44=0,0,IF(C29=List!$A$50,0,-($H44*$K29*44/12)))</f>
        <v>0</v>
      </c>
      <c r="M44" s="1821">
        <f>IF(K44=0,0,IF(C29=List!$A$50,0,-($I44*$K29*44/12)))</f>
        <v>0</v>
      </c>
      <c r="N44" s="1477">
        <f>$P29*(IF(E44="immediate",IF(H44&gt;0,H44*MIN(20,time_tot),0),H44*IF(time_tot&gt;time+20,20,IF(time_tot&lt;20,(time*VLOOKUP(E44,List!$E$35:$F$37,2,))+(time_tot-time),((MIN(20,time)*VLOOKUP(E44,List!$E$35:$F$37,2,))+(time_tot-MIN(20,time))-IF(E44="exponential",time_tot-20+0.217*time*(EXP(4.606*(20-time_tot)/time)-1),((time_tot-20)^2)*(0.5/time)))))))</f>
        <v>0</v>
      </c>
      <c r="O44" s="1478">
        <f>$P29*(IF(G44="immediate",IF(I44&gt;0,I44*MIN(20,time_tot),0),I44*IF(time_tot&gt;time+20,20,IF(time_tot&lt;20,(time*VLOOKUP(G44,List!$E$35:$F$37,2,))+(time_tot-time),((MIN(20,time)*VLOOKUP(G44,List!$E$35:$F$37,2,))+(time_tot-MIN(20,time))-IF(G44="exponential",time_tot-20+0.217*time*(EXP(4.606*(20-time_tot)/time)-1),((time_tot-20)^2)*(0.5/time)))))))</f>
        <v>0</v>
      </c>
      <c r="P44" s="1507">
        <f t="shared" si="16"/>
        <v>0</v>
      </c>
      <c r="Q44" s="1469">
        <f t="shared" si="12"/>
        <v>0</v>
      </c>
      <c r="R44" s="1482">
        <f t="shared" si="17"/>
        <v>0</v>
      </c>
      <c r="S44" s="1478">
        <f t="shared" si="13"/>
        <v>0</v>
      </c>
      <c r="T44" s="284">
        <f t="shared" si="14"/>
        <v>0</v>
      </c>
      <c r="AE44" s="1953"/>
      <c r="AF44" s="1953">
        <v>0</v>
      </c>
      <c r="AG44" s="1953">
        <f t="shared" ref="AG44:AG51" si="20">IF(H29&gt;0,H44,0)</f>
        <v>0</v>
      </c>
      <c r="AH44" s="1953">
        <f t="shared" si="18"/>
        <v>0</v>
      </c>
      <c r="AI44" s="2466"/>
    </row>
    <row r="45" spans="1:45" ht="13.8" thickBot="1">
      <c r="A45" s="1768" t="s">
        <v>1310</v>
      </c>
      <c r="B45" s="271" t="str">
        <f t="shared" si="9"/>
        <v>Def.4</v>
      </c>
      <c r="C45" s="1914">
        <f>'2.LUC'!J15</f>
        <v>0</v>
      </c>
      <c r="D45" s="1914">
        <f>'2.LUC'!K15</f>
        <v>0</v>
      </c>
      <c r="E45" s="2225" t="str">
        <f>VLOOKUP('2.LUC'!L15,List!$D$35:$E$37,2,)</f>
        <v>Linear</v>
      </c>
      <c r="F45" s="1841">
        <f>'2.LUC'!M15</f>
        <v>0</v>
      </c>
      <c r="G45" s="2225" t="str">
        <f>VLOOKUP('2.LUC'!N15,List!$D$35:$E$37,2,)</f>
        <v>Linear</v>
      </c>
      <c r="H45" s="651">
        <f t="shared" si="15"/>
        <v>0</v>
      </c>
      <c r="I45" s="652">
        <f t="shared" si="19"/>
        <v>0</v>
      </c>
      <c r="J45" s="1468">
        <f t="shared" si="10"/>
        <v>0</v>
      </c>
      <c r="K45" s="1507">
        <f t="shared" si="11"/>
        <v>0</v>
      </c>
      <c r="L45" s="1822">
        <f>IF(J45=0,0,IF(C30=List!$A$50,0,-($H45*$K30*44/12)))</f>
        <v>0</v>
      </c>
      <c r="M45" s="1821">
        <f>IF(K45=0,0,IF(C30=List!$A$50,0,-($I45*$K30*44/12)))</f>
        <v>0</v>
      </c>
      <c r="N45" s="1477">
        <f>$P30*(IF(E45="immediate",IF(H45&gt;0,H45*MIN(20,time_tot),0),H45*IF(time_tot&gt;time+20,20,IF(time_tot&lt;20,(time*VLOOKUP(E45,List!$E$35:$F$37,2,))+(time_tot-time),((MIN(20,time)*VLOOKUP(E45,List!$E$35:$F$37,2,))+(time_tot-MIN(20,time))-IF(E45="exponential",time_tot-20+0.217*time*(EXP(4.606*(20-time_tot)/time)-1),((time_tot-20)^2)*(0.5/time)))))))</f>
        <v>0</v>
      </c>
      <c r="O45" s="1478">
        <f>$P30*(IF(G45="immediate",IF(I45&gt;0,I45*MIN(20,time_tot),0),I45*IF(time_tot&gt;time+20,20,IF(time_tot&lt;20,(time*VLOOKUP(G45,List!$E$35:$F$37,2,))+(time_tot-time),((MIN(20,time)*VLOOKUP(G45,List!$E$35:$F$37,2,))+(time_tot-MIN(20,time))-IF(G45="exponential",time_tot-20+0.217*time*(EXP(4.606*(20-time_tot)/time)-1),((time_tot-20)^2)*(0.5/time)))))))</f>
        <v>0</v>
      </c>
      <c r="P45" s="1507">
        <f t="shared" si="16"/>
        <v>0</v>
      </c>
      <c r="Q45" s="1469">
        <f t="shared" si="12"/>
        <v>0</v>
      </c>
      <c r="R45" s="1482">
        <f t="shared" si="17"/>
        <v>0</v>
      </c>
      <c r="S45" s="1478">
        <f t="shared" si="13"/>
        <v>0</v>
      </c>
      <c r="T45" s="284">
        <f t="shared" si="14"/>
        <v>0</v>
      </c>
      <c r="AE45" s="1953"/>
      <c r="AF45" s="1953">
        <v>0</v>
      </c>
      <c r="AG45" s="1953">
        <f t="shared" si="20"/>
        <v>0</v>
      </c>
      <c r="AH45" s="1953">
        <f t="shared" si="18"/>
        <v>0</v>
      </c>
      <c r="AI45" s="2466"/>
    </row>
    <row r="46" spans="1:45" ht="13.8" thickBot="1">
      <c r="B46" s="271" t="str">
        <f t="shared" si="9"/>
        <v>Def.5</v>
      </c>
      <c r="C46" s="1914">
        <f>'2.LUC'!J16</f>
        <v>0</v>
      </c>
      <c r="D46" s="1914">
        <f>'2.LUC'!K16</f>
        <v>0</v>
      </c>
      <c r="E46" s="2225" t="str">
        <f>VLOOKUP('2.LUC'!L16,List!$D$35:$E$37,2,)</f>
        <v>Linear</v>
      </c>
      <c r="F46" s="1841">
        <f>'2.LUC'!M16</f>
        <v>0</v>
      </c>
      <c r="G46" s="2225" t="str">
        <f>VLOOKUP('2.LUC'!N16,List!$D$35:$E$37,2,)</f>
        <v>Linear</v>
      </c>
      <c r="H46" s="651">
        <f t="shared" si="15"/>
        <v>0</v>
      </c>
      <c r="I46" s="652">
        <f t="shared" si="19"/>
        <v>0</v>
      </c>
      <c r="J46" s="1468">
        <f t="shared" si="10"/>
        <v>0</v>
      </c>
      <c r="K46" s="1507">
        <f t="shared" si="11"/>
        <v>0</v>
      </c>
      <c r="L46" s="1822">
        <f>IF(J46=0,0,IF(C31=List!$A$50,0,-($H46*$K31*44/12)))</f>
        <v>0</v>
      </c>
      <c r="M46" s="1821">
        <f>IF(K46=0,0,IF(C31=List!$A$50,0,-($I46*$K31*44/12)))</f>
        <v>0</v>
      </c>
      <c r="N46" s="1477">
        <f>$P31*(IF(E46="immediate",IF(H46&gt;0,H46*MIN(20,time_tot),0),H46*IF(time_tot&gt;time+20,20,IF(time_tot&lt;20,(time*VLOOKUP(E46,List!$E$35:$F$37,2,))+(time_tot-time),((MIN(20,time)*VLOOKUP(E46,List!$E$35:$F$37,2,))+(time_tot-MIN(20,time))-IF(E46="exponential",time_tot-20+0.217*time*(EXP(4.606*(20-time_tot)/time)-1),((time_tot-20)^2)*(0.5/time)))))))</f>
        <v>0</v>
      </c>
      <c r="O46" s="1478">
        <f>$P31*(IF(G46="immediate",IF(I46&gt;0,I46*MIN(20,time_tot),0),I46*IF(time_tot&gt;time+20,20,IF(time_tot&lt;20,(time*VLOOKUP(G46,List!$E$35:$F$37,2,))+(time_tot-time),((MIN(20,time)*VLOOKUP(G46,List!$E$35:$F$37,2,))+(time_tot-MIN(20,time))-IF(G46="exponential",time_tot-20+0.217*time*(EXP(4.606*(20-time_tot)/time)-1),((time_tot-20)^2)*(0.5/time)))))))</f>
        <v>0</v>
      </c>
      <c r="P46" s="1507">
        <f t="shared" si="16"/>
        <v>0</v>
      </c>
      <c r="Q46" s="1469">
        <f t="shared" si="12"/>
        <v>0</v>
      </c>
      <c r="R46" s="1482">
        <f t="shared" si="17"/>
        <v>0</v>
      </c>
      <c r="S46" s="1478">
        <f t="shared" si="13"/>
        <v>0</v>
      </c>
      <c r="T46" s="284">
        <f t="shared" si="14"/>
        <v>0</v>
      </c>
      <c r="AE46" s="1953"/>
      <c r="AF46" s="1953">
        <v>0</v>
      </c>
      <c r="AG46" s="1953">
        <f t="shared" si="20"/>
        <v>0</v>
      </c>
      <c r="AH46" s="1953">
        <f t="shared" si="18"/>
        <v>0</v>
      </c>
      <c r="AI46" s="2466"/>
    </row>
    <row r="47" spans="1:45">
      <c r="B47" s="271" t="str">
        <f t="shared" si="9"/>
        <v>Def.6</v>
      </c>
      <c r="C47" s="1914">
        <f>'2.LUC'!J17</f>
        <v>0</v>
      </c>
      <c r="D47" s="1914">
        <f>'2.LUC'!K17</f>
        <v>0</v>
      </c>
      <c r="E47" s="2225" t="str">
        <f>VLOOKUP('2.LUC'!L17,List!$D$35:$E$37,2,)</f>
        <v>Linear</v>
      </c>
      <c r="F47" s="1841">
        <f>'2.LUC'!M17</f>
        <v>0</v>
      </c>
      <c r="G47" s="2225" t="str">
        <f>VLOOKUP('2.LUC'!N17,List!$D$35:$E$37,2,)</f>
        <v>Linear</v>
      </c>
      <c r="H47" s="651">
        <f t="shared" si="15"/>
        <v>0</v>
      </c>
      <c r="I47" s="652">
        <f t="shared" si="19"/>
        <v>0</v>
      </c>
      <c r="J47" s="1468">
        <f t="shared" si="10"/>
        <v>0</v>
      </c>
      <c r="K47" s="1507">
        <f t="shared" si="11"/>
        <v>0</v>
      </c>
      <c r="L47" s="1822">
        <f>IF(J47=0,0,IF(C32=List!$A$50,0,-($H47*$K32*44/12)))</f>
        <v>0</v>
      </c>
      <c r="M47" s="1821">
        <f>IF(K47=0,0,IF(C32=List!$A$50,0,-($I47*$K32*44/12)))</f>
        <v>0</v>
      </c>
      <c r="N47" s="1477">
        <f>$P32*(IF(E47="immediate",IF(H47&gt;0,H47*MIN(20,time_tot),0),H47*IF(time_tot&gt;time+20,20,IF(time_tot&lt;20,(time*VLOOKUP(E47,List!$E$35:$F$37,2,))+(time_tot-time),((MIN(20,time)*VLOOKUP(E47,List!$E$35:$F$37,2,))+(time_tot-MIN(20,time))-IF(E47="exponential",time_tot-20+0.217*time*(EXP(4.606*(20-time_tot)/time)-1),((time_tot-20)^2)*(0.5/time)))))))</f>
        <v>0</v>
      </c>
      <c r="O47" s="1478">
        <f>$P32*(IF(G47="immediate",IF(I47&gt;0,I47*MIN(20,time_tot),0),I47*IF(time_tot&gt;time+20,20,IF(time_tot&lt;20,(time*VLOOKUP(G47,List!$E$35:$F$37,2,))+(time_tot-time),((MIN(20,time)*VLOOKUP(G47,List!$E$35:$F$37,2,))+(time_tot-MIN(20,time))-IF(G47="exponential",time_tot-20+0.217*time*(EXP(4.606*(20-time_tot)/time)-1),((time_tot-20)^2)*(0.5/time)))))))</f>
        <v>0</v>
      </c>
      <c r="P47" s="1507">
        <f t="shared" si="16"/>
        <v>0</v>
      </c>
      <c r="Q47" s="1469">
        <f t="shared" si="12"/>
        <v>0</v>
      </c>
      <c r="R47" s="1482">
        <f t="shared" si="17"/>
        <v>0</v>
      </c>
      <c r="S47" s="1478">
        <f t="shared" si="13"/>
        <v>0</v>
      </c>
      <c r="T47" s="284">
        <f t="shared" si="14"/>
        <v>0</v>
      </c>
      <c r="AE47" s="1953"/>
      <c r="AF47" s="1953">
        <v>0</v>
      </c>
      <c r="AG47" s="1953">
        <f t="shared" si="20"/>
        <v>0</v>
      </c>
      <c r="AH47" s="1953">
        <f t="shared" si="18"/>
        <v>0</v>
      </c>
      <c r="AI47" s="2466"/>
    </row>
    <row r="48" spans="1:45">
      <c r="B48" s="271" t="str">
        <f t="shared" si="9"/>
        <v>Def.7</v>
      </c>
      <c r="C48" s="531">
        <v>0</v>
      </c>
      <c r="D48" s="532">
        <v>0</v>
      </c>
      <c r="E48" s="684" t="s">
        <v>356</v>
      </c>
      <c r="F48" s="535">
        <v>0</v>
      </c>
      <c r="G48" s="685" t="s">
        <v>356</v>
      </c>
      <c r="H48" s="651">
        <f>IF(D48&gt;C48,0,C48-D48)</f>
        <v>0</v>
      </c>
      <c r="I48" s="652">
        <f t="shared" si="19"/>
        <v>0</v>
      </c>
      <c r="J48" s="1468">
        <f t="shared" si="10"/>
        <v>0</v>
      </c>
      <c r="K48" s="1507">
        <f t="shared" si="11"/>
        <v>0</v>
      </c>
      <c r="L48" s="1468">
        <f>-($H48*$K33*44/12)</f>
        <v>0</v>
      </c>
      <c r="M48" s="1507">
        <f>-($I48*$K33*44/12)</f>
        <v>0</v>
      </c>
      <c r="N48" s="1477">
        <f>$P33*(IF(E48="immediate",IF(H48&gt;0,H48*MIN(20,time_tot),0),H48*IF(time_tot&gt;time+20,20,IF(time_tot&lt;20,(time*VLOOKUP(E48,List!$E$35:$F$37,2,))+(time_tot-time),((MIN(20,time)*VLOOKUP(E48,List!$E$35:$F$37,2,))+(time_tot-MIN(20,time))-IF(E48="exponential",time_tot-20+0.217*time*(EXP(4.606*(20-time_tot)/time)-1),((time_tot-20)^2)*(0.5/time)))))))</f>
        <v>0</v>
      </c>
      <c r="O48" s="1478">
        <f>$P33*(IF(G48="immediate",IF(I48&gt;0,I48*MIN(20,time_tot),0),I48*IF(time_tot&gt;time+20,20,IF(time_tot&lt;20,(time*VLOOKUP(G48,List!$E$35:$F$37,2,))+(time_tot-time),((MIN(20,time)*VLOOKUP(G48,List!$E$35:$F$37,2,))+(time_tot-MIN(20,time))-IF(G48="exponential",time_tot-20+0.217*time*(EXP(4.606*(20-time_tot)/time)-1),((time_tot-20)^2)*(0.5/time)))))))</f>
        <v>0</v>
      </c>
      <c r="P48" s="1507">
        <f t="shared" si="16"/>
        <v>0</v>
      </c>
      <c r="Q48" s="1469">
        <f t="shared" si="12"/>
        <v>0</v>
      </c>
      <c r="R48" s="1482">
        <f t="shared" si="17"/>
        <v>0</v>
      </c>
      <c r="S48" s="1478">
        <f t="shared" si="13"/>
        <v>0</v>
      </c>
      <c r="T48" s="284">
        <f t="shared" si="14"/>
        <v>0</v>
      </c>
      <c r="AE48" s="1953"/>
      <c r="AF48" s="1953">
        <v>0</v>
      </c>
      <c r="AG48" s="1953">
        <f t="shared" si="20"/>
        <v>0</v>
      </c>
      <c r="AH48" s="1953">
        <f t="shared" si="18"/>
        <v>0</v>
      </c>
      <c r="AI48" s="2466"/>
    </row>
    <row r="49" spans="1:35">
      <c r="B49" s="271" t="str">
        <f t="shared" si="9"/>
        <v>Def.8</v>
      </c>
      <c r="C49" s="531">
        <v>0</v>
      </c>
      <c r="D49" s="532">
        <v>0</v>
      </c>
      <c r="E49" s="684" t="s">
        <v>356</v>
      </c>
      <c r="F49" s="923">
        <v>0</v>
      </c>
      <c r="G49" s="685" t="s">
        <v>356</v>
      </c>
      <c r="H49" s="651">
        <f t="shared" si="15"/>
        <v>0</v>
      </c>
      <c r="I49" s="652">
        <f t="shared" si="19"/>
        <v>0</v>
      </c>
      <c r="J49" s="1468">
        <f t="shared" si="10"/>
        <v>0</v>
      </c>
      <c r="K49" s="1507">
        <f t="shared" si="11"/>
        <v>0</v>
      </c>
      <c r="L49" s="1468">
        <f>-($H49*$K34*44/12)</f>
        <v>0</v>
      </c>
      <c r="M49" s="1507">
        <f>-($I49*$K34*44/12)</f>
        <v>0</v>
      </c>
      <c r="N49" s="1477">
        <f>$P34*(IF(E49="immediate",IF(H49&gt;0,H49*MIN(20,time_tot),0),H49*IF(time_tot&gt;time+20,20,IF(time_tot&lt;20,(time*VLOOKUP(E49,List!$E$35:$F$37,2,))+(time_tot-time),((MIN(20,time)*VLOOKUP(E49,List!$E$35:$F$37,2,))+(time_tot-MIN(20,time))-IF(E49="exponential",time_tot-20+0.217*time*(EXP(4.606*(20-time_tot)/time)-1),((time_tot-20)^2)*(0.5/time)))))))</f>
        <v>0</v>
      </c>
      <c r="O49" s="1478">
        <f>$P34*(IF(G49="immediate",IF(I49&gt;0,I49*MIN(20,time_tot),0),I49*IF(time_tot&gt;time+20,20,IF(time_tot&lt;20,(time*VLOOKUP(G49,List!$E$35:$F$37,2,))+(time_tot-time),((MIN(20,time)*VLOOKUP(G49,List!$E$35:$F$37,2,))+(time_tot-MIN(20,time))-IF(G49="exponential",time_tot-20+0.217*time*(EXP(4.606*(20-time_tot)/time)-1),((time_tot-20)^2)*(0.5/time)))))))</f>
        <v>0</v>
      </c>
      <c r="P49" s="1507">
        <f t="shared" si="16"/>
        <v>0</v>
      </c>
      <c r="Q49" s="1469">
        <f t="shared" si="12"/>
        <v>0</v>
      </c>
      <c r="R49" s="1482">
        <f t="shared" si="17"/>
        <v>0</v>
      </c>
      <c r="S49" s="1478">
        <f t="shared" si="13"/>
        <v>0</v>
      </c>
      <c r="T49" s="284">
        <f t="shared" si="14"/>
        <v>0</v>
      </c>
      <c r="AE49" s="1953"/>
      <c r="AF49" s="1953">
        <v>0</v>
      </c>
      <c r="AG49" s="1953">
        <f t="shared" si="20"/>
        <v>0</v>
      </c>
      <c r="AH49" s="1953">
        <f t="shared" si="18"/>
        <v>0</v>
      </c>
      <c r="AI49" s="2466"/>
    </row>
    <row r="50" spans="1:35">
      <c r="B50" s="271" t="str">
        <f t="shared" si="9"/>
        <v>Def.9</v>
      </c>
      <c r="C50" s="531">
        <v>0</v>
      </c>
      <c r="D50" s="532">
        <v>0</v>
      </c>
      <c r="E50" s="684" t="s">
        <v>356</v>
      </c>
      <c r="F50" s="535">
        <v>0</v>
      </c>
      <c r="G50" s="685" t="s">
        <v>356</v>
      </c>
      <c r="H50" s="651">
        <f>IF(D50&gt;C50,0,C50-D50)</f>
        <v>0</v>
      </c>
      <c r="I50" s="652">
        <f t="shared" si="19"/>
        <v>0</v>
      </c>
      <c r="J50" s="1468">
        <f t="shared" si="10"/>
        <v>0</v>
      </c>
      <c r="K50" s="1507">
        <f t="shared" si="11"/>
        <v>0</v>
      </c>
      <c r="L50" s="1468">
        <f>-($H50*$K35*44/12)</f>
        <v>0</v>
      </c>
      <c r="M50" s="1507">
        <f>-($I50*$K35*44/12)</f>
        <v>0</v>
      </c>
      <c r="N50" s="1477">
        <f>$P35*(IF(E50="immediate",IF(H50&gt;0,H50*MIN(20,time_tot),0),H50*IF(time_tot&gt;time+20,20,IF(time_tot&lt;20,(time*VLOOKUP(E50,List!$E$35:$F$37,2,))+(time_tot-time),((MIN(20,time)*VLOOKUP(E50,List!$E$35:$F$37,2,))+(time_tot-MIN(20,time))-IF(E50="exponential",time_tot-20+0.217*time*(EXP(4.606*(20-time_tot)/time)-1),((time_tot-20)^2)*(0.5/time)))))))</f>
        <v>0</v>
      </c>
      <c r="O50" s="1478">
        <f>$P35*(IF(G50="immediate",IF(I50&gt;0,I50*MIN(20,time_tot),0),I50*IF(time_tot&gt;time+20,20,IF(time_tot&lt;20,(time*VLOOKUP(G50,List!$E$35:$F$37,2,))+(time_tot-time),((MIN(20,time)*VLOOKUP(G50,List!$E$35:$F$37,2,))+(time_tot-MIN(20,time))-IF(G50="exponential",time_tot-20+0.217*time*(EXP(4.606*(20-time_tot)/time)-1),((time_tot-20)^2)*(0.5/time)))))))</f>
        <v>0</v>
      </c>
      <c r="P50" s="1507">
        <f t="shared" si="16"/>
        <v>0</v>
      </c>
      <c r="Q50" s="1469">
        <f t="shared" si="12"/>
        <v>0</v>
      </c>
      <c r="R50" s="1482">
        <f t="shared" si="17"/>
        <v>0</v>
      </c>
      <c r="S50" s="1478">
        <f t="shared" si="13"/>
        <v>0</v>
      </c>
      <c r="T50" s="284">
        <f t="shared" si="14"/>
        <v>0</v>
      </c>
      <c r="AE50" s="1953"/>
      <c r="AF50" s="1953">
        <f>IF(I35&gt;0,D50,0)</f>
        <v>0</v>
      </c>
      <c r="AG50" s="1953">
        <f t="shared" si="20"/>
        <v>0</v>
      </c>
      <c r="AH50" s="1953">
        <f t="shared" si="18"/>
        <v>0</v>
      </c>
      <c r="AI50" s="2466"/>
    </row>
    <row r="51" spans="1:35" ht="13.8" thickBot="1">
      <c r="B51" s="272" t="str">
        <f>B36</f>
        <v>Def.10</v>
      </c>
      <c r="C51" s="533">
        <v>0</v>
      </c>
      <c r="D51" s="534">
        <v>0</v>
      </c>
      <c r="E51" s="686" t="s">
        <v>356</v>
      </c>
      <c r="F51" s="536">
        <v>0</v>
      </c>
      <c r="G51" s="687" t="s">
        <v>356</v>
      </c>
      <c r="H51" s="655">
        <f t="shared" si="15"/>
        <v>0</v>
      </c>
      <c r="I51" s="656">
        <f t="shared" si="19"/>
        <v>0</v>
      </c>
      <c r="J51" s="1392">
        <f t="shared" si="10"/>
        <v>0</v>
      </c>
      <c r="K51" s="1508">
        <f t="shared" si="11"/>
        <v>0</v>
      </c>
      <c r="L51" s="1392">
        <f>-($H51*$K36*44/12)</f>
        <v>0</v>
      </c>
      <c r="M51" s="1508">
        <f>-($I51*$K36*44/12)</f>
        <v>0</v>
      </c>
      <c r="N51" s="1479">
        <f>$P36*(IF(E51="immediate",IF(H51&gt;0,H51*MIN(20,time_tot),0),H51*IF(time_tot&gt;time+20,20,IF(time_tot&lt;20,(time*VLOOKUP(E51,List!$E$35:$F$37,2,))+(time_tot-time),((MIN(20,time)*VLOOKUP(E51,List!$E$35:$F$37,2,))+(time_tot-MIN(20,time))-IF(E51="exponential",time_tot-20+0.217*time*(EXP(4.606*(20-time_tot)/time)-1),((time_tot-20)^2)*(0.5/time)))))))</f>
        <v>0</v>
      </c>
      <c r="O51" s="1480">
        <f>$P36*(IF(G51="immediate",IF(I51&gt;0,I51*MIN(20,time_tot),0),I51*IF(time_tot&gt;time+20,20,IF(time_tot&lt;20,(time*VLOOKUP(G51,List!$E$35:$F$37,2,))+(time_tot-time),((MIN(20,time)*VLOOKUP(G51,List!$E$35:$F$37,2,))+(time_tot-MIN(20,time))-IF(G51="exponential",time_tot-20+0.217*time*(EXP(4.606*(20-time_tot)/time)-1),((time_tot-20)^2)*(0.5/time)))))))</f>
        <v>0</v>
      </c>
      <c r="P51" s="1508">
        <f t="shared" si="16"/>
        <v>0</v>
      </c>
      <c r="Q51" s="1393">
        <f t="shared" si="12"/>
        <v>0</v>
      </c>
      <c r="R51" s="1483">
        <f t="shared" si="17"/>
        <v>0</v>
      </c>
      <c r="S51" s="1480">
        <f t="shared" si="13"/>
        <v>0</v>
      </c>
      <c r="T51" s="285">
        <f t="shared" si="14"/>
        <v>0</v>
      </c>
      <c r="AE51" s="1953"/>
      <c r="AF51" s="1953">
        <f>IF(I36&gt;0,D51,0)</f>
        <v>0</v>
      </c>
      <c r="AG51" s="1953">
        <f t="shared" si="20"/>
        <v>0</v>
      </c>
      <c r="AH51" s="1953">
        <f t="shared" si="18"/>
        <v>0</v>
      </c>
      <c r="AI51" s="2466"/>
    </row>
    <row r="52" spans="1:35" ht="13.8" thickBot="1">
      <c r="O52" s="233"/>
      <c r="R52" s="233"/>
      <c r="T52" s="234"/>
      <c r="Z52" s="9"/>
      <c r="AE52" s="1953"/>
      <c r="AF52" s="1953"/>
      <c r="AG52" s="1953"/>
    </row>
    <row r="53" spans="1:35" ht="13.8" thickBot="1">
      <c r="H53" s="234"/>
      <c r="I53" s="922"/>
      <c r="J53" s="233"/>
      <c r="O53" s="657" t="s">
        <v>560</v>
      </c>
      <c r="P53" s="658"/>
      <c r="Q53" s="659"/>
      <c r="R53" s="660">
        <f>SUM(R42:R51)</f>
        <v>0</v>
      </c>
      <c r="S53" s="661">
        <f>SUM(S42:S51)</f>
        <v>0</v>
      </c>
      <c r="T53" s="934">
        <f>S53-R53</f>
        <v>0</v>
      </c>
      <c r="Y53" s="233"/>
      <c r="Z53" s="924"/>
      <c r="AE53" s="1953"/>
      <c r="AF53" s="1953">
        <f>SUM(AF42:AF51)</f>
        <v>0</v>
      </c>
      <c r="AG53" s="1953">
        <f>SUM(AG42:AG51)</f>
        <v>0</v>
      </c>
      <c r="AH53" s="1953">
        <f>SUM(AH42:AH51)</f>
        <v>0</v>
      </c>
    </row>
    <row r="54" spans="1:35">
      <c r="O54" s="233"/>
      <c r="T54" s="234"/>
      <c r="U54" s="234"/>
      <c r="X54" s="233"/>
      <c r="Y54" s="233"/>
    </row>
    <row r="55" spans="1:35">
      <c r="B55" s="248" t="s">
        <v>1116</v>
      </c>
      <c r="C55" s="662"/>
      <c r="D55" s="662"/>
      <c r="E55" s="662"/>
      <c r="F55" s="662"/>
      <c r="G55" s="662"/>
      <c r="H55" s="662"/>
      <c r="I55" s="663"/>
      <c r="J55" s="664"/>
      <c r="K55" s="664" t="str">
        <f>IF(Matrix!F10&gt;0, "Annual-System A1",IF(Matrix!F27&gt;0,"Annual-System A1",""))</f>
        <v/>
      </c>
      <c r="L55" s="662"/>
      <c r="R55" s="922"/>
      <c r="S55" s="922"/>
      <c r="T55" s="234"/>
      <c r="U55" s="234"/>
    </row>
    <row r="56" spans="1:35">
      <c r="A56" s="239"/>
      <c r="B56" s="665"/>
      <c r="C56" s="665"/>
      <c r="D56" s="662"/>
      <c r="E56" s="662"/>
      <c r="F56" s="662"/>
      <c r="G56" s="662"/>
      <c r="H56" s="665"/>
      <c r="I56" s="663"/>
      <c r="J56" s="664"/>
      <c r="K56" s="664" t="str">
        <f>IF(Matrix!G10&gt;0,"Perennial-System P1",IF(Matrix!G27&gt;0,"Perennial-System P1",""))</f>
        <v/>
      </c>
      <c r="L56" s="662"/>
    </row>
    <row r="57" spans="1:35">
      <c r="J57" s="664"/>
      <c r="K57" s="664" t="str">
        <f>IF(Matrix!H10&gt;0,"Rice-System R1",IF(Matrix!H27&gt;0,"Rice-System R1",""))</f>
        <v/>
      </c>
    </row>
    <row r="58" spans="1:35">
      <c r="J58" s="664"/>
      <c r="K58" s="664" t="str">
        <f>IF(Matrix!I10&gt;0,"Grassland-System G1",IF(Matrix!I27&gt;0,"Grassland-System G1",""))</f>
        <v/>
      </c>
      <c r="R58" s="922"/>
      <c r="S58" s="922"/>
    </row>
    <row r="59" spans="1:35">
      <c r="J59" s="233"/>
    </row>
    <row r="60" spans="1:35">
      <c r="J60" s="233"/>
    </row>
    <row r="61" spans="1:35">
      <c r="J61" s="233"/>
    </row>
    <row r="62" spans="1:35">
      <c r="J62" s="233"/>
    </row>
    <row r="63" spans="1:35">
      <c r="J63" s="233"/>
    </row>
  </sheetData>
  <sheetProtection formatCells="0" formatColumns="0" formatRows="0"/>
  <mergeCells count="26">
    <mergeCell ref="I27:J27"/>
    <mergeCell ref="I28:J28"/>
    <mergeCell ref="B10:B13"/>
    <mergeCell ref="B14:B17"/>
    <mergeCell ref="E25:F25"/>
    <mergeCell ref="C32:D32"/>
    <mergeCell ref="C30:D30"/>
    <mergeCell ref="C27:D27"/>
    <mergeCell ref="C28:D28"/>
    <mergeCell ref="C29:D29"/>
    <mergeCell ref="F5:G5"/>
    <mergeCell ref="I32:J32"/>
    <mergeCell ref="I33:J33"/>
    <mergeCell ref="C39:G39"/>
    <mergeCell ref="C31:D31"/>
    <mergeCell ref="I29:J29"/>
    <mergeCell ref="I30:J30"/>
    <mergeCell ref="G25:H25"/>
    <mergeCell ref="I7:S7"/>
    <mergeCell ref="L8:M8"/>
    <mergeCell ref="I8:J8"/>
    <mergeCell ref="J39:K39"/>
    <mergeCell ref="I34:J34"/>
    <mergeCell ref="I35:J35"/>
    <mergeCell ref="I36:J36"/>
    <mergeCell ref="I31:J31"/>
  </mergeCells>
  <phoneticPr fontId="11" type="noConversion"/>
  <dataValidations count="4">
    <dataValidation type="list" allowBlank="1" showInputMessage="1" showErrorMessage="1" sqref="E42:E51 G42:G51">
      <formula1>Rate</formula1>
    </dataValidation>
    <dataValidation type="decimal" operator="greaterThanOrEqual" allowBlank="1" showInputMessage="1" showErrorMessage="1" sqref="E27:E36 C42:D51 F42:F51">
      <formula1>0</formula1>
    </dataValidation>
    <dataValidation type="list" allowBlank="1" showInputMessage="1" showErrorMessage="1" sqref="G27:G36">
      <formula1>YES_NO</formula1>
    </dataValidation>
    <dataValidation type="list" allowBlank="1" showInputMessage="1" showErrorMessage="1" sqref="I27:I36">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19:X2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M569"/>
  <sheetViews>
    <sheetView zoomScale="90" zoomScaleNormal="90" workbookViewId="0">
      <pane ySplit="5" topLeftCell="A6" activePane="bottomLeft" state="frozen"/>
      <selection activeCell="J14" sqref="J14"/>
      <selection pane="bottomLeft" activeCell="A70" sqref="A70"/>
    </sheetView>
  </sheetViews>
  <sheetFormatPr baseColWidth="10" defaultColWidth="14.109375" defaultRowHeight="13.2"/>
  <cols>
    <col min="1" max="1" width="4.6640625" style="232" customWidth="1"/>
    <col min="2" max="2" width="29.5546875" style="232" customWidth="1"/>
    <col min="3" max="3" width="1.5546875" style="232" customWidth="1"/>
    <col min="4" max="4" width="11.33203125" style="232" customWidth="1"/>
    <col min="5" max="5" width="11.109375" style="232" customWidth="1"/>
    <col min="6" max="6" width="11" style="232" customWidth="1"/>
    <col min="7" max="7" width="0.6640625" style="232" customWidth="1"/>
    <col min="8" max="9" width="10.44140625" style="232" customWidth="1"/>
    <col min="10" max="10" width="3.33203125" style="232" customWidth="1"/>
    <col min="11" max="12" width="4.109375" style="232" customWidth="1"/>
    <col min="13" max="13" width="3.33203125" style="232" customWidth="1"/>
    <col min="14" max="14" width="12.44140625" style="244" customWidth="1"/>
    <col min="15" max="15" width="11.5546875" style="232" customWidth="1"/>
    <col min="16" max="16" width="11.5546875" style="244" customWidth="1"/>
    <col min="17" max="17" width="2.33203125" style="244" customWidth="1"/>
    <col min="18" max="18" width="1.6640625" style="232" customWidth="1"/>
    <col min="19" max="19" width="10.33203125" style="232" customWidth="1"/>
    <col min="20" max="20" width="2.5546875" style="232" customWidth="1"/>
    <col min="21" max="21" width="9.33203125" style="244" customWidth="1"/>
    <col min="22" max="23" width="10.33203125" style="244" customWidth="1"/>
    <col min="24" max="24" width="2.5546875" style="244" customWidth="1"/>
    <col min="25" max="25" width="10.33203125" style="244" customWidth="1"/>
    <col min="26" max="26" width="2.6640625" style="232" customWidth="1"/>
    <col min="27" max="28" width="13.33203125" style="232" customWidth="1"/>
    <col min="29" max="29" width="10.6640625" style="232" customWidth="1"/>
    <col min="30" max="16384" width="14.109375" style="232"/>
  </cols>
  <sheetData>
    <row r="1" spans="1:25" s="2290" customFormat="1" ht="22.95" customHeight="1">
      <c r="N1" s="2291"/>
      <c r="P1" s="2291"/>
      <c r="Q1" s="2291"/>
      <c r="U1" s="2291"/>
      <c r="V1" s="2291"/>
      <c r="W1" s="2291"/>
      <c r="X1" s="2291"/>
      <c r="Y1" s="2291"/>
    </row>
    <row r="2" spans="1:25" s="2290" customFormat="1" ht="22.95" customHeight="1">
      <c r="N2" s="2291"/>
      <c r="P2" s="2291"/>
      <c r="Q2" s="2291"/>
      <c r="U2" s="2291"/>
      <c r="V2" s="2291"/>
      <c r="W2" s="2291"/>
      <c r="X2" s="2291"/>
      <c r="Y2" s="2291"/>
    </row>
    <row r="3" spans="1:25" s="2290" customFormat="1" ht="22.95" customHeight="1">
      <c r="N3" s="2291"/>
      <c r="P3" s="2291"/>
      <c r="Q3" s="2291"/>
      <c r="U3" s="2291"/>
      <c r="V3" s="2291"/>
      <c r="W3" s="2291"/>
      <c r="X3" s="2291"/>
      <c r="Y3" s="2291"/>
    </row>
    <row r="4" spans="1:25" s="2290" customFormat="1" ht="22.95" customHeight="1">
      <c r="N4" s="2291"/>
      <c r="P4" s="2291"/>
      <c r="Q4" s="2291"/>
      <c r="U4" s="2291"/>
      <c r="V4" s="2291"/>
      <c r="W4" s="2291"/>
      <c r="X4" s="2291"/>
      <c r="Y4" s="2291"/>
    </row>
    <row r="5" spans="1:25" s="2292" customFormat="1" ht="22.95" customHeight="1">
      <c r="A5" s="2783" t="str">
        <f>HLOOKUP(select,translations!$B$436:$H$450,2,)</f>
        <v xml:space="preserve"> </v>
      </c>
      <c r="N5" s="2293"/>
      <c r="P5" s="2293"/>
      <c r="Q5" s="2293"/>
      <c r="U5" s="2293"/>
      <c r="V5" s="2293"/>
      <c r="W5" s="2293"/>
      <c r="X5" s="2293"/>
      <c r="Y5" s="2293"/>
    </row>
    <row r="6" spans="1:25" s="1749" customFormat="1">
      <c r="B6" s="1845"/>
      <c r="C6" s="1845"/>
      <c r="N6" s="1751"/>
      <c r="U6" s="1751"/>
      <c r="V6" s="1751"/>
      <c r="W6" s="1751"/>
      <c r="X6" s="1751"/>
      <c r="Y6" s="1751"/>
    </row>
    <row r="7" spans="1:25" s="1749" customFormat="1" ht="15.6">
      <c r="B7" s="2567" t="str">
        <f>HLOOKUP(select,translations!$A$76:$H$144,2,)</f>
        <v>3.1. Annual systems (to be used also for  pluri-annual systems such as  cotton or sugarcane)</v>
      </c>
      <c r="C7" s="2567"/>
      <c r="D7" s="2568"/>
      <c r="E7" s="2568"/>
      <c r="F7" s="2568"/>
      <c r="G7" s="2568"/>
      <c r="H7" s="2568"/>
      <c r="I7" s="2568"/>
      <c r="J7" s="2568"/>
      <c r="K7" s="2568"/>
      <c r="L7" s="2568"/>
      <c r="M7" s="2568"/>
      <c r="N7" s="2569"/>
      <c r="O7" s="2568"/>
      <c r="P7" s="2568"/>
      <c r="Q7" s="2568"/>
      <c r="R7" s="2568"/>
      <c r="S7" s="2568"/>
      <c r="T7" s="2568"/>
      <c r="U7" s="2568"/>
      <c r="V7" s="2568"/>
      <c r="W7" s="2568"/>
      <c r="X7" s="2568"/>
      <c r="Y7" s="2569"/>
    </row>
    <row r="8" spans="1:25" s="1749" customFormat="1">
      <c r="B8" s="1753"/>
      <c r="C8" s="1753"/>
      <c r="N8" s="1751"/>
      <c r="V8" s="1793"/>
      <c r="W8" s="1793"/>
      <c r="X8" s="1793"/>
      <c r="Y8" s="1793"/>
    </row>
    <row r="9" spans="1:25" s="1749" customFormat="1">
      <c r="B9" s="2227" t="str">
        <f>HLOOKUP(select,translations!$A$76:$H$144,3,)</f>
        <v>3.1.1. Annual systems from other LU or converted to other LU (please fill step 2.LUC previously)</v>
      </c>
      <c r="C9" s="2227"/>
      <c r="D9" s="1794"/>
      <c r="E9" s="1794"/>
      <c r="F9" s="1794"/>
      <c r="G9" s="1794"/>
      <c r="H9" s="1794"/>
      <c r="I9" s="1794"/>
      <c r="J9" s="1794"/>
      <c r="K9" s="1794"/>
      <c r="L9" s="1794"/>
      <c r="M9" s="1794"/>
      <c r="N9" s="1794"/>
      <c r="O9" s="1794"/>
      <c r="P9" s="1794"/>
      <c r="Q9" s="1794"/>
      <c r="R9" s="1794"/>
      <c r="S9" s="1794"/>
      <c r="T9" s="1794"/>
      <c r="U9" s="1795"/>
      <c r="V9" s="1795"/>
      <c r="W9" s="1795"/>
      <c r="X9" s="1795"/>
      <c r="Y9" s="1795"/>
    </row>
    <row r="10" spans="1:25" s="1749" customFormat="1">
      <c r="B10" s="1826"/>
      <c r="C10" s="1826"/>
      <c r="D10" s="2677" t="str">
        <f>HLOOKUP(select,translations!$A$76:$H$144,62,)</f>
        <v>Management options</v>
      </c>
      <c r="E10" s="2677"/>
      <c r="F10" s="2677"/>
      <c r="G10" s="2677"/>
      <c r="H10" s="3153" t="str">
        <f>HLOOKUP(select,translations!$A$76:$H$144,12,)</f>
        <v>Definitions?</v>
      </c>
      <c r="I10" s="3153"/>
      <c r="J10" s="1826"/>
      <c r="K10" s="1826"/>
      <c r="L10" s="1826"/>
      <c r="M10" s="1826"/>
      <c r="N10" s="2657" t="str">
        <f>HLOOKUP(select,translations!$A$76:$H$144,4,)</f>
        <v>Yield?</v>
      </c>
      <c r="O10" s="1826"/>
      <c r="P10" s="1826"/>
      <c r="Q10" s="1826"/>
      <c r="R10" s="1826"/>
      <c r="S10" s="1826"/>
      <c r="T10" s="1826"/>
      <c r="U10" s="1826"/>
      <c r="V10" s="1826"/>
      <c r="W10" s="1826"/>
      <c r="X10" s="1826"/>
      <c r="Y10" s="1826"/>
    </row>
    <row r="11" spans="1:25" s="1738" customFormat="1" ht="15.9" customHeight="1">
      <c r="B11" s="1826" t="str">
        <f>HLOOKUP(select,translations!$A$76:$H$144,5,)</f>
        <v>Description</v>
      </c>
      <c r="C11" s="1826"/>
      <c r="D11" s="3151" t="str">
        <f>HLOOKUP(select,translations!$A$76:$H$144,6,)</f>
        <v>Improved agronomic practices</v>
      </c>
      <c r="E11" s="3151" t="str">
        <f>HLOOKUP(select,translations!$A$76:$H$144,7,)</f>
        <v>Nutrient management</v>
      </c>
      <c r="F11" s="3152" t="str">
        <f>HLOOKUP(select,translations!$A$76:$H$144,8,)</f>
        <v>NoTill./residues management</v>
      </c>
      <c r="G11" s="3152"/>
      <c r="H11" s="3151" t="str">
        <f>HLOOKUP(select,translations!$A$76:$H$144,9,)</f>
        <v>Water  management</v>
      </c>
      <c r="I11" s="3151" t="str">
        <f>HLOOKUP(select,translations!$A$76:$H$144,10,)</f>
        <v>Manure application</v>
      </c>
      <c r="J11" s="2131"/>
      <c r="K11" s="3151" t="str">
        <f>HLOOKUP(select,translations!$A$76:$H$144,14,)</f>
        <v>Residue/ biomass burning</v>
      </c>
      <c r="L11" s="3151"/>
      <c r="M11" s="2132"/>
      <c r="N11" s="2127" t="str">
        <f>HLOOKUP(select,translations!$A$76:$H$144,11,)</f>
        <v>Yield</v>
      </c>
      <c r="O11" s="3156" t="str">
        <f>HLOOKUP(select,translations!$A$76:$H$144,13,)</f>
        <v>Area (ha)</v>
      </c>
      <c r="P11" s="3156"/>
      <c r="Q11" s="3156"/>
      <c r="R11" s="3156"/>
      <c r="S11" s="3156"/>
      <c r="T11" s="2179"/>
      <c r="U11" s="3127" t="str">
        <f>'2.LUC'!R10</f>
        <v>Total Emissions (tCO2-eq)</v>
      </c>
      <c r="V11" s="3127"/>
      <c r="W11" s="3127"/>
      <c r="X11" s="1903"/>
      <c r="Y11" s="2124" t="str">
        <f>'2.LUC'!T10</f>
        <v>Balance</v>
      </c>
    </row>
    <row r="12" spans="1:25" s="1738" customFormat="1" ht="15.9" customHeight="1">
      <c r="B12" s="1826"/>
      <c r="C12" s="1826"/>
      <c r="D12" s="3151"/>
      <c r="E12" s="3151"/>
      <c r="F12" s="3152"/>
      <c r="G12" s="3152"/>
      <c r="H12" s="3151"/>
      <c r="I12" s="3151"/>
      <c r="J12" s="2131"/>
      <c r="K12" s="3151"/>
      <c r="L12" s="3151"/>
      <c r="M12" s="2132"/>
      <c r="N12" s="2675" t="str">
        <f>HLOOKUP(select,translations!$A$76:$H$144,63,)</f>
        <v>(t/ha/yr)</v>
      </c>
      <c r="O12" s="1831" t="str">
        <f>'2.LUC'!J11</f>
        <v>Start</v>
      </c>
      <c r="P12" s="3157" t="str">
        <f>'2.LUC'!K11</f>
        <v>Without</v>
      </c>
      <c r="Q12" s="3157"/>
      <c r="R12" s="3157"/>
      <c r="S12" s="1790" t="str">
        <f>'2.LUC'!M11</f>
        <v>With</v>
      </c>
      <c r="T12" s="1790"/>
      <c r="U12" s="2126"/>
      <c r="V12" s="1790" t="str">
        <f>P12</f>
        <v>Without</v>
      </c>
      <c r="W12" s="1790" t="str">
        <f>S12</f>
        <v>With</v>
      </c>
      <c r="X12" s="2232"/>
      <c r="Y12" s="1789"/>
    </row>
    <row r="13" spans="1:25" s="1738" customFormat="1">
      <c r="B13" s="1758" t="str">
        <f>HLOOKUP(select,translations!$A$76:$H$144,15,)</f>
        <v>Annual after Deforestation</v>
      </c>
      <c r="C13" s="1758"/>
      <c r="D13" s="2125" t="s">
        <v>5</v>
      </c>
      <c r="E13" s="2125" t="s">
        <v>5</v>
      </c>
      <c r="F13" s="2125" t="s">
        <v>5</v>
      </c>
      <c r="G13" s="2125"/>
      <c r="H13" s="2125" t="s">
        <v>5</v>
      </c>
      <c r="I13" s="2125" t="s">
        <v>5</v>
      </c>
      <c r="J13" s="2131"/>
      <c r="K13" s="3134" t="s">
        <v>359</v>
      </c>
      <c r="L13" s="3134"/>
      <c r="M13" s="2132"/>
      <c r="N13" s="2377"/>
      <c r="O13" s="2126">
        <f>Annual!C34</f>
        <v>0</v>
      </c>
      <c r="P13" s="3133">
        <f>Annual!D34</f>
        <v>0</v>
      </c>
      <c r="Q13" s="3133"/>
      <c r="R13" s="3133"/>
      <c r="S13" s="2126">
        <f>Annual!F34</f>
        <v>0</v>
      </c>
      <c r="T13" s="2180"/>
      <c r="U13" s="2126"/>
      <c r="V13" s="1860">
        <f>Annual!L34</f>
        <v>0</v>
      </c>
      <c r="W13" s="1860">
        <f>Annual!M34</f>
        <v>0</v>
      </c>
      <c r="X13" s="1860"/>
      <c r="Y13" s="1860">
        <f>Annual!N34</f>
        <v>0</v>
      </c>
    </row>
    <row r="14" spans="1:25" s="1738" customFormat="1">
      <c r="B14" s="1758" t="str">
        <f>HLOOKUP(select,translations!$A$76:$H$144,16,)</f>
        <v>Converted to A/R</v>
      </c>
      <c r="C14" s="1758"/>
      <c r="D14" s="2125" t="s">
        <v>5</v>
      </c>
      <c r="E14" s="2125" t="s">
        <v>5</v>
      </c>
      <c r="F14" s="2125" t="s">
        <v>5</v>
      </c>
      <c r="G14" s="2125"/>
      <c r="H14" s="2125" t="s">
        <v>5</v>
      </c>
      <c r="I14" s="2125" t="s">
        <v>5</v>
      </c>
      <c r="J14" s="2131"/>
      <c r="K14" s="3134" t="s">
        <v>359</v>
      </c>
      <c r="L14" s="3134"/>
      <c r="M14" s="2132"/>
      <c r="N14" s="2377"/>
      <c r="O14" s="2126">
        <f>Annual!C35</f>
        <v>0</v>
      </c>
      <c r="P14" s="3133">
        <f>Annual!D35</f>
        <v>0</v>
      </c>
      <c r="Q14" s="3133"/>
      <c r="R14" s="3133"/>
      <c r="S14" s="2126">
        <f>Annual!F35</f>
        <v>0</v>
      </c>
      <c r="T14" s="2180"/>
      <c r="U14" s="2126"/>
      <c r="V14" s="1860">
        <f>Annual!L35</f>
        <v>0</v>
      </c>
      <c r="W14" s="1860">
        <f>Annual!M35</f>
        <v>0</v>
      </c>
      <c r="X14" s="1860"/>
      <c r="Y14" s="1860">
        <f>Annual!N35</f>
        <v>0</v>
      </c>
    </row>
    <row r="15" spans="1:25" s="1738" customFormat="1">
      <c r="B15" s="1758" t="str">
        <f>HLOOKUP(select,translations!$A$76:$H$144,17,)</f>
        <v>Annual after non-forest LU</v>
      </c>
      <c r="C15" s="1758"/>
      <c r="D15" s="2125" t="s">
        <v>5</v>
      </c>
      <c r="E15" s="2125" t="s">
        <v>5</v>
      </c>
      <c r="F15" s="2125" t="s">
        <v>5</v>
      </c>
      <c r="G15" s="2125"/>
      <c r="H15" s="2125" t="s">
        <v>5</v>
      </c>
      <c r="I15" s="2125" t="s">
        <v>5</v>
      </c>
      <c r="J15" s="2131"/>
      <c r="K15" s="3134" t="s">
        <v>359</v>
      </c>
      <c r="L15" s="3134"/>
      <c r="M15" s="2132"/>
      <c r="N15" s="2377"/>
      <c r="O15" s="2126">
        <f>Annual!C36</f>
        <v>0</v>
      </c>
      <c r="P15" s="3133">
        <f>Annual!D36</f>
        <v>0</v>
      </c>
      <c r="Q15" s="3133"/>
      <c r="R15" s="3133"/>
      <c r="S15" s="2126">
        <f>Annual!F36</f>
        <v>0</v>
      </c>
      <c r="T15" s="2180"/>
      <c r="U15" s="2126"/>
      <c r="V15" s="1860">
        <f>Annual!L36</f>
        <v>0</v>
      </c>
      <c r="W15" s="1860">
        <f>Annual!M36</f>
        <v>0</v>
      </c>
      <c r="X15" s="1860"/>
      <c r="Y15" s="1860">
        <f>Annual!N36</f>
        <v>0</v>
      </c>
    </row>
    <row r="16" spans="1:25" s="1738" customFormat="1">
      <c r="B16" s="1758" t="str">
        <f>HLOOKUP(select,translations!$A$76:$H$144,18,)</f>
        <v>Converted to OLUC</v>
      </c>
      <c r="C16" s="1758"/>
      <c r="D16" s="2683" t="s">
        <v>5</v>
      </c>
      <c r="E16" s="2683" t="s">
        <v>5</v>
      </c>
      <c r="F16" s="2683" t="s">
        <v>5</v>
      </c>
      <c r="G16" s="2683"/>
      <c r="H16" s="2683" t="s">
        <v>5</v>
      </c>
      <c r="I16" s="2683" t="s">
        <v>5</v>
      </c>
      <c r="J16" s="2131"/>
      <c r="K16" s="3134" t="s">
        <v>359</v>
      </c>
      <c r="L16" s="3134"/>
      <c r="M16" s="2132"/>
      <c r="N16" s="2377"/>
      <c r="O16" s="2126">
        <f>Annual!C37</f>
        <v>0</v>
      </c>
      <c r="P16" s="3133">
        <f>Annual!D37</f>
        <v>0</v>
      </c>
      <c r="Q16" s="3133"/>
      <c r="R16" s="3133"/>
      <c r="S16" s="2126">
        <f>Annual!F37</f>
        <v>0</v>
      </c>
      <c r="T16" s="2180"/>
      <c r="U16" s="2126"/>
      <c r="V16" s="1860">
        <f>Annual!L37</f>
        <v>0</v>
      </c>
      <c r="W16" s="1860">
        <f>Annual!M37</f>
        <v>0</v>
      </c>
      <c r="X16" s="1860"/>
      <c r="Y16" s="1860">
        <f>Annual!N37</f>
        <v>0</v>
      </c>
    </row>
    <row r="17" spans="2:25" s="1738" customFormat="1">
      <c r="N17" s="1743"/>
      <c r="P17" s="1743"/>
      <c r="Q17" s="1743"/>
      <c r="U17" s="1743"/>
      <c r="V17" s="1743"/>
      <c r="W17" s="1743"/>
      <c r="X17" s="1743"/>
      <c r="Y17" s="1743"/>
    </row>
    <row r="18" spans="2:25" s="1738" customFormat="1">
      <c r="B18" s="2227" t="str">
        <f>HLOOKUP(select,translations!$A$76:$H$144,19,)</f>
        <v>3.1.2. Annual systems remaining annual systems (total area must remain constant)</v>
      </c>
      <c r="C18" s="2227"/>
      <c r="D18" s="1794"/>
      <c r="E18" s="1794"/>
      <c r="F18" s="1794"/>
      <c r="G18" s="1794"/>
      <c r="H18" s="1794"/>
      <c r="I18" s="1794"/>
      <c r="J18" s="1794"/>
      <c r="K18" s="1794"/>
      <c r="L18" s="1794"/>
      <c r="M18" s="1794"/>
      <c r="N18" s="1794"/>
      <c r="O18" s="1794"/>
      <c r="P18" s="1794"/>
      <c r="Q18" s="1794"/>
      <c r="R18" s="1794"/>
      <c r="S18" s="1794"/>
      <c r="T18" s="1794"/>
      <c r="U18" s="1795"/>
      <c r="V18" s="1795"/>
      <c r="W18" s="1795"/>
      <c r="X18" s="1795"/>
      <c r="Y18" s="1795"/>
    </row>
    <row r="19" spans="2:25" s="1738" customFormat="1">
      <c r="B19" s="1826"/>
      <c r="C19" s="1826"/>
      <c r="D19" s="2677" t="str">
        <f>D10</f>
        <v>Management options</v>
      </c>
      <c r="E19" s="2677"/>
      <c r="F19" s="2677"/>
      <c r="G19" s="2677"/>
      <c r="H19" s="3153" t="str">
        <f>HLOOKUP(select,translations!$A$76:$H$144,12,)</f>
        <v>Definitions?</v>
      </c>
      <c r="I19" s="3153"/>
      <c r="J19" s="1826"/>
      <c r="K19" s="1826"/>
      <c r="L19" s="1826"/>
      <c r="M19" s="1826"/>
      <c r="N19" s="2657" t="str">
        <f>HLOOKUP(select,translations!$A$76:$H$144,4,)</f>
        <v>Yield?</v>
      </c>
      <c r="O19" s="1826"/>
      <c r="P19" s="1826"/>
      <c r="Q19" s="1826"/>
      <c r="R19" s="1826"/>
      <c r="S19" s="1826"/>
      <c r="T19" s="1826"/>
      <c r="U19" s="1826"/>
      <c r="V19" s="1826"/>
      <c r="W19" s="1826"/>
      <c r="X19" s="1826"/>
      <c r="Y19" s="1826"/>
    </row>
    <row r="20" spans="2:25" s="1738" customFormat="1" ht="15.9" customHeight="1">
      <c r="B20" s="2870" t="str">
        <f>'2.LUC'!B43</f>
        <v>Fill with your description</v>
      </c>
      <c r="C20" s="1826"/>
      <c r="D20" s="3151" t="str">
        <f>D11</f>
        <v>Improved agronomic practices</v>
      </c>
      <c r="E20" s="3151" t="str">
        <f>E11</f>
        <v>Nutrient management</v>
      </c>
      <c r="F20" s="3152" t="str">
        <f>F11</f>
        <v>NoTill./residues management</v>
      </c>
      <c r="G20" s="3152"/>
      <c r="H20" s="3151" t="str">
        <f>H11</f>
        <v>Water  management</v>
      </c>
      <c r="I20" s="3151" t="str">
        <f>I11</f>
        <v>Manure application</v>
      </c>
      <c r="J20" s="2131"/>
      <c r="K20" s="3151" t="str">
        <f>K11</f>
        <v>Residue/ biomass burning</v>
      </c>
      <c r="L20" s="3151"/>
      <c r="M20" s="2132"/>
      <c r="N20" s="2127" t="str">
        <f>N11</f>
        <v>Yield</v>
      </c>
      <c r="O20" s="3156" t="str">
        <f>O11</f>
        <v>Area (ha)</v>
      </c>
      <c r="P20" s="3156"/>
      <c r="Q20" s="3156"/>
      <c r="R20" s="3156"/>
      <c r="S20" s="3156"/>
      <c r="T20" s="2179"/>
      <c r="U20" s="3127" t="str">
        <f>U11</f>
        <v>Total Emissions (tCO2-eq)</v>
      </c>
      <c r="V20" s="3127"/>
      <c r="W20" s="3127"/>
      <c r="X20" s="1903"/>
      <c r="Y20" s="2124" t="str">
        <f>Y11</f>
        <v>Balance</v>
      </c>
    </row>
    <row r="21" spans="2:25" s="1738" customFormat="1" ht="15.9" customHeight="1">
      <c r="B21" s="1826"/>
      <c r="C21" s="1826"/>
      <c r="D21" s="3151"/>
      <c r="E21" s="3151"/>
      <c r="F21" s="3152"/>
      <c r="G21" s="3152"/>
      <c r="H21" s="3151"/>
      <c r="I21" s="3151"/>
      <c r="J21" s="2131"/>
      <c r="K21" s="3151"/>
      <c r="L21" s="3151"/>
      <c r="M21" s="2132"/>
      <c r="N21" s="2442" t="str">
        <f>N12</f>
        <v>(t/ha/yr)</v>
      </c>
      <c r="O21" s="1831" t="str">
        <f>O12</f>
        <v>Start</v>
      </c>
      <c r="P21" s="2182" t="str">
        <f>P12</f>
        <v>Without</v>
      </c>
      <c r="Q21" s="1790" t="s">
        <v>93</v>
      </c>
      <c r="R21" s="3150" t="str">
        <f>S12</f>
        <v>With</v>
      </c>
      <c r="S21" s="3150"/>
      <c r="T21" s="1790" t="s">
        <v>93</v>
      </c>
      <c r="U21" s="2126"/>
      <c r="V21" s="1790" t="str">
        <f>V12</f>
        <v>Without</v>
      </c>
      <c r="W21" s="1790" t="str">
        <f>W12</f>
        <v>With</v>
      </c>
      <c r="X21" s="2232"/>
      <c r="Y21" s="1789"/>
    </row>
    <row r="22" spans="2:25" s="1738" customFormat="1">
      <c r="B22" s="2230" t="s">
        <v>1624</v>
      </c>
      <c r="C22" s="1826"/>
      <c r="D22" s="2125" t="s">
        <v>5</v>
      </c>
      <c r="E22" s="2125" t="s">
        <v>5</v>
      </c>
      <c r="F22" s="2125" t="s">
        <v>5</v>
      </c>
      <c r="G22" s="2125"/>
      <c r="H22" s="2125" t="s">
        <v>5</v>
      </c>
      <c r="I22" s="2125" t="s">
        <v>5</v>
      </c>
      <c r="J22" s="2131"/>
      <c r="K22" s="3134" t="s">
        <v>359</v>
      </c>
      <c r="L22" s="3134"/>
      <c r="M22" s="2132"/>
      <c r="N22" s="2377"/>
      <c r="O22" s="2134">
        <v>0</v>
      </c>
      <c r="P22" s="2181">
        <v>0</v>
      </c>
      <c r="Q22" s="2164" t="s">
        <v>1525</v>
      </c>
      <c r="R22" s="3132">
        <v>0</v>
      </c>
      <c r="S22" s="3132"/>
      <c r="T22" s="2164" t="s">
        <v>1525</v>
      </c>
      <c r="U22" s="2126"/>
      <c r="V22" s="1860">
        <f>Annual!L38</f>
        <v>0</v>
      </c>
      <c r="W22" s="1860">
        <f>Annual!M38</f>
        <v>0</v>
      </c>
      <c r="X22" s="1860"/>
      <c r="Y22" s="1860">
        <f>Annual!N38</f>
        <v>0</v>
      </c>
    </row>
    <row r="23" spans="2:25" s="1738" customFormat="1">
      <c r="B23" s="2230" t="s">
        <v>1625</v>
      </c>
      <c r="C23" s="1826"/>
      <c r="D23" s="2125" t="s">
        <v>5</v>
      </c>
      <c r="E23" s="2549" t="s">
        <v>5</v>
      </c>
      <c r="F23" s="2549" t="s">
        <v>5</v>
      </c>
      <c r="G23" s="2549"/>
      <c r="H23" s="2549" t="s">
        <v>5</v>
      </c>
      <c r="I23" s="2549" t="s">
        <v>5</v>
      </c>
      <c r="J23" s="2131"/>
      <c r="K23" s="3134" t="s">
        <v>359</v>
      </c>
      <c r="L23" s="3134"/>
      <c r="M23" s="2132"/>
      <c r="N23" s="2377"/>
      <c r="O23" s="2134">
        <v>0</v>
      </c>
      <c r="P23" s="2181">
        <v>0</v>
      </c>
      <c r="Q23" s="2164" t="s">
        <v>1525</v>
      </c>
      <c r="R23" s="3132">
        <v>0</v>
      </c>
      <c r="S23" s="3132"/>
      <c r="T23" s="2164" t="s">
        <v>1525</v>
      </c>
      <c r="U23" s="2126"/>
      <c r="V23" s="1860">
        <f>Annual!L39</f>
        <v>0</v>
      </c>
      <c r="W23" s="1860">
        <f>Annual!M39</f>
        <v>0</v>
      </c>
      <c r="X23" s="1860"/>
      <c r="Y23" s="1860">
        <f>Annual!N39</f>
        <v>0</v>
      </c>
    </row>
    <row r="24" spans="2:25" s="1738" customFormat="1">
      <c r="B24" s="2230" t="s">
        <v>1626</v>
      </c>
      <c r="C24" s="1826"/>
      <c r="D24" s="2125" t="s">
        <v>5</v>
      </c>
      <c r="E24" s="2549" t="s">
        <v>5</v>
      </c>
      <c r="F24" s="2549" t="s">
        <v>5</v>
      </c>
      <c r="G24" s="2549"/>
      <c r="H24" s="2549" t="s">
        <v>5</v>
      </c>
      <c r="I24" s="2549" t="s">
        <v>5</v>
      </c>
      <c r="J24" s="2131"/>
      <c r="K24" s="3134" t="s">
        <v>359</v>
      </c>
      <c r="L24" s="3134"/>
      <c r="M24" s="2132"/>
      <c r="N24" s="2377"/>
      <c r="O24" s="2134">
        <v>0</v>
      </c>
      <c r="P24" s="2181">
        <v>0</v>
      </c>
      <c r="Q24" s="2164" t="s">
        <v>1525</v>
      </c>
      <c r="R24" s="3132">
        <v>0</v>
      </c>
      <c r="S24" s="3132"/>
      <c r="T24" s="2164" t="s">
        <v>1525</v>
      </c>
      <c r="U24" s="2126"/>
      <c r="V24" s="1860">
        <f>Annual!L40</f>
        <v>0</v>
      </c>
      <c r="W24" s="1860">
        <f>Annual!M40</f>
        <v>0</v>
      </c>
      <c r="X24" s="1860"/>
      <c r="Y24" s="1860">
        <f>Annual!N40</f>
        <v>0</v>
      </c>
    </row>
    <row r="25" spans="2:25" s="1738" customFormat="1">
      <c r="B25" s="2230" t="s">
        <v>1627</v>
      </c>
      <c r="C25" s="1826"/>
      <c r="D25" s="2125" t="s">
        <v>5</v>
      </c>
      <c r="E25" s="2549" t="s">
        <v>5</v>
      </c>
      <c r="F25" s="2549" t="s">
        <v>5</v>
      </c>
      <c r="G25" s="2549"/>
      <c r="H25" s="2549" t="s">
        <v>5</v>
      </c>
      <c r="I25" s="2549" t="s">
        <v>5</v>
      </c>
      <c r="J25" s="2131"/>
      <c r="K25" s="3134" t="s">
        <v>359</v>
      </c>
      <c r="L25" s="3134"/>
      <c r="M25" s="2132"/>
      <c r="N25" s="2377"/>
      <c r="O25" s="2134">
        <v>0</v>
      </c>
      <c r="P25" s="2181">
        <v>0</v>
      </c>
      <c r="Q25" s="2164" t="s">
        <v>1525</v>
      </c>
      <c r="R25" s="3132">
        <v>0</v>
      </c>
      <c r="S25" s="3132"/>
      <c r="T25" s="2164" t="s">
        <v>1525</v>
      </c>
      <c r="U25" s="2126"/>
      <c r="V25" s="1860">
        <f>Annual!L41</f>
        <v>0</v>
      </c>
      <c r="W25" s="1860">
        <f>Annual!M41</f>
        <v>0</v>
      </c>
      <c r="X25" s="1860"/>
      <c r="Y25" s="1860">
        <f>Annual!N41</f>
        <v>0</v>
      </c>
    </row>
    <row r="26" spans="2:25" s="1738" customFormat="1">
      <c r="B26" s="2230" t="s">
        <v>1535</v>
      </c>
      <c r="C26" s="1826"/>
      <c r="D26" s="2125" t="s">
        <v>5</v>
      </c>
      <c r="E26" s="2125" t="s">
        <v>5</v>
      </c>
      <c r="F26" s="2125" t="s">
        <v>5</v>
      </c>
      <c r="G26" s="2125"/>
      <c r="H26" s="2125" t="s">
        <v>5</v>
      </c>
      <c r="I26" s="2125" t="s">
        <v>5</v>
      </c>
      <c r="J26" s="2131"/>
      <c r="K26" s="3134" t="s">
        <v>359</v>
      </c>
      <c r="L26" s="3134"/>
      <c r="M26" s="2132"/>
      <c r="N26" s="2377"/>
      <c r="O26" s="2134">
        <v>0</v>
      </c>
      <c r="P26" s="2181">
        <v>0</v>
      </c>
      <c r="Q26" s="2164" t="s">
        <v>1525</v>
      </c>
      <c r="R26" s="3132">
        <v>0</v>
      </c>
      <c r="S26" s="3132"/>
      <c r="T26" s="2164" t="s">
        <v>1525</v>
      </c>
      <c r="U26" s="2126"/>
      <c r="V26" s="1860">
        <f>Annual!L42</f>
        <v>0</v>
      </c>
      <c r="W26" s="1860">
        <f>Annual!M42</f>
        <v>0</v>
      </c>
      <c r="X26" s="1860"/>
      <c r="Y26" s="1860">
        <f>Annual!N42</f>
        <v>0</v>
      </c>
    </row>
    <row r="27" spans="2:25" s="1738" customFormat="1">
      <c r="B27" s="2230" t="s">
        <v>1536</v>
      </c>
      <c r="C27" s="1826"/>
      <c r="D27" s="2125" t="s">
        <v>5</v>
      </c>
      <c r="E27" s="2125" t="s">
        <v>5</v>
      </c>
      <c r="F27" s="2125" t="s">
        <v>5</v>
      </c>
      <c r="G27" s="2125"/>
      <c r="H27" s="2125" t="s">
        <v>5</v>
      </c>
      <c r="I27" s="2125" t="s">
        <v>5</v>
      </c>
      <c r="J27" s="2131"/>
      <c r="K27" s="3134" t="s">
        <v>359</v>
      </c>
      <c r="L27" s="3134"/>
      <c r="M27" s="2132"/>
      <c r="N27" s="2377"/>
      <c r="O27" s="2134">
        <v>0</v>
      </c>
      <c r="P27" s="2181">
        <v>0</v>
      </c>
      <c r="Q27" s="2164" t="s">
        <v>1525</v>
      </c>
      <c r="R27" s="3132">
        <v>0</v>
      </c>
      <c r="S27" s="3132"/>
      <c r="T27" s="2164" t="s">
        <v>1525</v>
      </c>
      <c r="U27" s="2126"/>
      <c r="V27" s="1860">
        <f>Annual!L43</f>
        <v>0</v>
      </c>
      <c r="W27" s="1860">
        <f>Annual!M43</f>
        <v>0</v>
      </c>
      <c r="X27" s="1860"/>
      <c r="Y27" s="1860">
        <f>Annual!N43</f>
        <v>0</v>
      </c>
    </row>
    <row r="28" spans="2:25" s="1738" customFormat="1">
      <c r="B28" s="2230" t="s">
        <v>1537</v>
      </c>
      <c r="C28" s="1826"/>
      <c r="D28" s="2125" t="s">
        <v>5</v>
      </c>
      <c r="E28" s="2125" t="s">
        <v>5</v>
      </c>
      <c r="F28" s="2125" t="s">
        <v>5</v>
      </c>
      <c r="G28" s="2125"/>
      <c r="H28" s="2125" t="s">
        <v>5</v>
      </c>
      <c r="I28" s="2125" t="s">
        <v>5</v>
      </c>
      <c r="J28" s="2131"/>
      <c r="K28" s="3134" t="s">
        <v>359</v>
      </c>
      <c r="L28" s="3134"/>
      <c r="M28" s="2132"/>
      <c r="N28" s="2377"/>
      <c r="O28" s="2134">
        <v>0</v>
      </c>
      <c r="P28" s="2181">
        <v>0</v>
      </c>
      <c r="Q28" s="2164" t="s">
        <v>1525</v>
      </c>
      <c r="R28" s="3132">
        <v>0</v>
      </c>
      <c r="S28" s="3132"/>
      <c r="T28" s="2164" t="s">
        <v>1525</v>
      </c>
      <c r="U28" s="2126"/>
      <c r="V28" s="1860">
        <f>Annual!L44</f>
        <v>0</v>
      </c>
      <c r="W28" s="1860">
        <f>Annual!M44</f>
        <v>0</v>
      </c>
      <c r="X28" s="1860"/>
      <c r="Y28" s="1860">
        <f>Annual!N44</f>
        <v>0</v>
      </c>
    </row>
    <row r="29" spans="2:25" s="1738" customFormat="1">
      <c r="B29" s="2230" t="s">
        <v>1538</v>
      </c>
      <c r="C29" s="1826"/>
      <c r="D29" s="2125" t="s">
        <v>5</v>
      </c>
      <c r="E29" s="2125" t="s">
        <v>5</v>
      </c>
      <c r="F29" s="2125" t="s">
        <v>5</v>
      </c>
      <c r="G29" s="2125"/>
      <c r="H29" s="2125" t="s">
        <v>5</v>
      </c>
      <c r="I29" s="2125" t="s">
        <v>5</v>
      </c>
      <c r="J29" s="2131"/>
      <c r="K29" s="3134" t="s">
        <v>359</v>
      </c>
      <c r="L29" s="3134"/>
      <c r="M29" s="2132"/>
      <c r="N29" s="2377"/>
      <c r="O29" s="2134">
        <v>0</v>
      </c>
      <c r="P29" s="2181">
        <v>0</v>
      </c>
      <c r="Q29" s="2164" t="s">
        <v>1525</v>
      </c>
      <c r="R29" s="3132">
        <v>0</v>
      </c>
      <c r="S29" s="3132"/>
      <c r="T29" s="2164" t="s">
        <v>1525</v>
      </c>
      <c r="U29" s="2126"/>
      <c r="V29" s="1860">
        <f>Annual!L45</f>
        <v>0</v>
      </c>
      <c r="W29" s="1860">
        <f>Annual!M45</f>
        <v>0</v>
      </c>
      <c r="X29" s="1860"/>
      <c r="Y29" s="1860">
        <f>Annual!N45</f>
        <v>0</v>
      </c>
    </row>
    <row r="30" spans="2:25" s="1738" customFormat="1">
      <c r="B30" s="2230" t="s">
        <v>1539</v>
      </c>
      <c r="C30" s="1826"/>
      <c r="D30" s="2125" t="s">
        <v>5</v>
      </c>
      <c r="E30" s="2125" t="s">
        <v>5</v>
      </c>
      <c r="F30" s="2125" t="s">
        <v>5</v>
      </c>
      <c r="G30" s="2125"/>
      <c r="H30" s="2125" t="s">
        <v>5</v>
      </c>
      <c r="I30" s="2125" t="s">
        <v>5</v>
      </c>
      <c r="J30" s="2131"/>
      <c r="K30" s="3134" t="s">
        <v>359</v>
      </c>
      <c r="L30" s="3134"/>
      <c r="M30" s="2132"/>
      <c r="N30" s="2377"/>
      <c r="O30" s="2134">
        <v>0</v>
      </c>
      <c r="P30" s="2181">
        <v>0</v>
      </c>
      <c r="Q30" s="2164" t="s">
        <v>1525</v>
      </c>
      <c r="R30" s="3132">
        <v>0</v>
      </c>
      <c r="S30" s="3132"/>
      <c r="T30" s="2164" t="s">
        <v>1525</v>
      </c>
      <c r="U30" s="2126"/>
      <c r="V30" s="1860">
        <f>Annual!L46</f>
        <v>0</v>
      </c>
      <c r="W30" s="1860">
        <f>Annual!M46</f>
        <v>0</v>
      </c>
      <c r="X30" s="1860"/>
      <c r="Y30" s="1860">
        <f>Annual!N46</f>
        <v>0</v>
      </c>
    </row>
    <row r="31" spans="2:25" s="1738" customFormat="1">
      <c r="B31" s="2230" t="s">
        <v>1540</v>
      </c>
      <c r="C31" s="1826"/>
      <c r="D31" s="2683" t="s">
        <v>5</v>
      </c>
      <c r="E31" s="2683" t="s">
        <v>5</v>
      </c>
      <c r="F31" s="2683" t="s">
        <v>5</v>
      </c>
      <c r="G31" s="2683"/>
      <c r="H31" s="2683" t="s">
        <v>5</v>
      </c>
      <c r="I31" s="2683" t="s">
        <v>5</v>
      </c>
      <c r="J31" s="2131"/>
      <c r="K31" s="3134" t="s">
        <v>359</v>
      </c>
      <c r="L31" s="3134"/>
      <c r="M31" s="2132"/>
      <c r="N31" s="2377"/>
      <c r="O31" s="2134">
        <v>0</v>
      </c>
      <c r="P31" s="2181">
        <v>0</v>
      </c>
      <c r="Q31" s="2164" t="s">
        <v>1525</v>
      </c>
      <c r="R31" s="3132">
        <v>0</v>
      </c>
      <c r="S31" s="3132"/>
      <c r="T31" s="2164" t="s">
        <v>1525</v>
      </c>
      <c r="U31" s="2126"/>
      <c r="V31" s="1860">
        <f>Annual!L47</f>
        <v>0</v>
      </c>
      <c r="W31" s="1860">
        <f>Annual!M47</f>
        <v>0</v>
      </c>
      <c r="X31" s="1860"/>
      <c r="Y31" s="1860">
        <f>Annual!N47</f>
        <v>0</v>
      </c>
    </row>
    <row r="32" spans="2:25" s="1738" customFormat="1">
      <c r="B32" s="1799"/>
      <c r="C32" s="1799"/>
      <c r="D32" s="1799"/>
      <c r="E32" s="1799"/>
      <c r="F32" s="1799"/>
      <c r="G32" s="1799"/>
      <c r="H32" s="1799"/>
      <c r="I32" s="1799"/>
      <c r="J32" s="1799"/>
      <c r="K32" s="1799"/>
      <c r="L32" s="1799"/>
      <c r="M32" s="1799"/>
      <c r="N32" s="2823" t="str">
        <f>HLOOKUP(select,translations!$A$76:$H$144,20,)</f>
        <v>Total (ha)</v>
      </c>
      <c r="O32" s="2126">
        <f>Annual!C48</f>
        <v>0</v>
      </c>
      <c r="P32" s="2180">
        <f>Annual!D48</f>
        <v>0</v>
      </c>
      <c r="Q32" s="1916"/>
      <c r="R32" s="3133">
        <f>Annual!F48</f>
        <v>0</v>
      </c>
      <c r="S32" s="3133"/>
      <c r="T32" s="2180"/>
      <c r="U32" s="1864" t="str">
        <f>Annual!G48</f>
        <v/>
      </c>
      <c r="V32" s="2126"/>
      <c r="W32" s="2126"/>
      <c r="X32" s="2212"/>
      <c r="Y32" s="2126"/>
    </row>
    <row r="33" spans="2:25" s="1738" customFormat="1">
      <c r="I33" s="2190" t="str">
        <f>'2.LUC'!G18</f>
        <v>* Note concerning dynamics of change : "D" corresponds to default/linear, "I" to immediate and "E" to exponential (Please refer to the guidelines)</v>
      </c>
      <c r="J33" s="2188"/>
      <c r="K33" s="2188"/>
      <c r="L33" s="2188"/>
      <c r="M33" s="2188"/>
      <c r="N33" s="2485"/>
      <c r="O33" s="2188"/>
      <c r="P33" s="2188"/>
      <c r="Q33" s="2188"/>
      <c r="R33" s="2188"/>
      <c r="S33" s="2188"/>
      <c r="T33" s="2189"/>
      <c r="U33" s="2189"/>
      <c r="V33" s="2188"/>
      <c r="W33" s="2226"/>
      <c r="X33" s="2226"/>
      <c r="Y33" s="2226"/>
    </row>
    <row r="34" spans="2:25" s="1738" customFormat="1">
      <c r="N34" s="1743"/>
      <c r="P34" s="1743"/>
    </row>
    <row r="35" spans="2:25" s="1738" customFormat="1">
      <c r="N35" s="1743"/>
      <c r="P35" s="1743"/>
      <c r="Q35" s="1679" t="str">
        <f>HLOOKUP(select,translations!$A$76:$H$144,21,)</f>
        <v>Total Annual Systems</v>
      </c>
      <c r="R35" s="1729"/>
      <c r="S35" s="1730"/>
      <c r="T35" s="2228"/>
      <c r="U35" s="1730"/>
      <c r="V35" s="2229">
        <f>Annual!L49</f>
        <v>0</v>
      </c>
      <c r="W35" s="2229">
        <f>Annual!M49</f>
        <v>0</v>
      </c>
      <c r="X35" s="2229"/>
      <c r="Y35" s="2229">
        <f>Annual!N49</f>
        <v>0</v>
      </c>
    </row>
    <row r="36" spans="2:25" s="1738" customFormat="1">
      <c r="N36" s="1743"/>
      <c r="P36" s="1743"/>
      <c r="Q36" s="1743"/>
      <c r="U36" s="1743"/>
      <c r="V36" s="1743"/>
      <c r="W36" s="1743"/>
      <c r="X36" s="1743"/>
      <c r="Y36" s="1743"/>
    </row>
    <row r="37" spans="2:25" s="1738" customFormat="1">
      <c r="N37" s="1743"/>
      <c r="P37" s="1743"/>
      <c r="Q37" s="1743"/>
      <c r="U37" s="1743"/>
      <c r="V37" s="1743"/>
      <c r="W37" s="1743"/>
      <c r="X37" s="1743"/>
      <c r="Y37" s="1743"/>
    </row>
    <row r="38" spans="2:25" s="1738" customFormat="1">
      <c r="N38" s="1743"/>
      <c r="P38" s="1743"/>
      <c r="Q38" s="1743"/>
      <c r="U38" s="1743"/>
      <c r="V38" s="1743"/>
      <c r="W38" s="1743"/>
      <c r="X38" s="1743"/>
      <c r="Y38" s="1743"/>
    </row>
    <row r="39" spans="2:25" s="1749" customFormat="1" ht="15.6">
      <c r="B39" s="2564" t="str">
        <f>HLOOKUP(select,translations!$A$76:$H$144,22,)</f>
        <v>3.2. Perrenial systems (agroforestry, orchards, tree crops…)</v>
      </c>
      <c r="C39" s="2564"/>
      <c r="D39" s="2565"/>
      <c r="E39" s="2565"/>
      <c r="F39" s="2565"/>
      <c r="G39" s="2565"/>
      <c r="H39" s="2565"/>
      <c r="I39" s="2565"/>
      <c r="J39" s="2565"/>
      <c r="K39" s="2565"/>
      <c r="L39" s="2565"/>
      <c r="M39" s="2565"/>
      <c r="N39" s="2566"/>
      <c r="O39" s="2565"/>
      <c r="P39" s="2565"/>
      <c r="Q39" s="2565"/>
      <c r="R39" s="2565"/>
      <c r="S39" s="2565"/>
      <c r="T39" s="2565"/>
      <c r="U39" s="2565"/>
      <c r="V39" s="2565"/>
      <c r="W39" s="2565"/>
      <c r="X39" s="2565"/>
      <c r="Y39" s="2566"/>
    </row>
    <row r="40" spans="2:25" s="1749" customFormat="1">
      <c r="B40" s="1753"/>
      <c r="C40" s="1753"/>
      <c r="N40" s="2657" t="str">
        <f>HLOOKUP(select,translations!$A$76:$H$144,4,)</f>
        <v>Yield?</v>
      </c>
      <c r="V40" s="1793"/>
      <c r="W40" s="1793"/>
      <c r="X40" s="1793"/>
      <c r="Y40" s="1793"/>
    </row>
    <row r="41" spans="2:25" s="1749" customFormat="1">
      <c r="B41" s="1893" t="str">
        <f>HLOOKUP(select,translations!$A$76:$H$144,23,)</f>
        <v>3.2.1. Perrenial systems from other LU or converted to other LU (please fill step 2.LUC previously)</v>
      </c>
      <c r="C41" s="1893"/>
      <c r="D41" s="1894"/>
      <c r="E41" s="1894"/>
      <c r="F41" s="1894"/>
      <c r="G41" s="1894"/>
      <c r="H41" s="1894"/>
      <c r="I41" s="1894"/>
      <c r="J41" s="1894"/>
      <c r="K41" s="1894"/>
      <c r="L41" s="1894"/>
      <c r="M41" s="1894"/>
      <c r="N41" s="1895"/>
      <c r="O41" s="1894"/>
      <c r="P41" s="1894"/>
      <c r="Q41" s="1894"/>
      <c r="R41" s="1894"/>
      <c r="S41" s="1894"/>
      <c r="T41" s="1894"/>
      <c r="U41" s="1895"/>
      <c r="V41" s="1895"/>
      <c r="W41" s="1895"/>
      <c r="X41" s="1895"/>
      <c r="Y41" s="1895"/>
    </row>
    <row r="42" spans="2:25" s="1738" customFormat="1">
      <c r="B42" s="2362" t="str">
        <f>B11</f>
        <v>Description</v>
      </c>
      <c r="C42" s="2362"/>
      <c r="D42" s="2332"/>
      <c r="E42" s="2332"/>
      <c r="F42" s="2363"/>
      <c r="G42" s="2363"/>
      <c r="H42" s="2332"/>
      <c r="I42" s="2332"/>
      <c r="J42" s="3128" t="str">
        <f>K20</f>
        <v>Residue/ biomass burning</v>
      </c>
      <c r="K42" s="3128"/>
      <c r="L42" s="3128"/>
      <c r="M42" s="2364"/>
      <c r="N42" s="2667" t="str">
        <f>N20</f>
        <v>Yield</v>
      </c>
      <c r="O42" s="3071" t="str">
        <f>O20</f>
        <v>Area (ha)</v>
      </c>
      <c r="P42" s="3071"/>
      <c r="Q42" s="3071"/>
      <c r="R42" s="3071"/>
      <c r="S42" s="3071"/>
      <c r="T42" s="2196"/>
      <c r="U42" s="3129" t="str">
        <f>U20</f>
        <v>Total Emissions (tCO2-eq)</v>
      </c>
      <c r="V42" s="3129"/>
      <c r="W42" s="3129"/>
      <c r="X42" s="2365"/>
      <c r="Y42" s="2196" t="str">
        <f>Y20</f>
        <v>Balance</v>
      </c>
    </row>
    <row r="43" spans="2:25" s="1738" customFormat="1" ht="15" customHeight="1">
      <c r="B43" s="2362"/>
      <c r="C43" s="2362"/>
      <c r="D43" s="2366"/>
      <c r="E43" s="2332"/>
      <c r="F43" s="2332"/>
      <c r="G43" s="2332"/>
      <c r="H43" s="2332"/>
      <c r="I43" s="2332"/>
      <c r="J43" s="3128"/>
      <c r="K43" s="3128"/>
      <c r="L43" s="3128"/>
      <c r="M43" s="2364"/>
      <c r="N43" s="2440" t="str">
        <f>N21</f>
        <v>(t/ha/yr)</v>
      </c>
      <c r="O43" s="2202" t="str">
        <f>O21</f>
        <v>Start</v>
      </c>
      <c r="P43" s="3137" t="str">
        <f>P21</f>
        <v>Without</v>
      </c>
      <c r="Q43" s="3137"/>
      <c r="R43" s="3137"/>
      <c r="S43" s="2200" t="str">
        <f>R21</f>
        <v>With</v>
      </c>
      <c r="T43" s="2200"/>
      <c r="U43" s="2195"/>
      <c r="V43" s="2200" t="str">
        <f>P43</f>
        <v>Without</v>
      </c>
      <c r="W43" s="2200" t="str">
        <f>S43</f>
        <v>With</v>
      </c>
      <c r="X43" s="2200"/>
      <c r="Y43" s="2336"/>
    </row>
    <row r="44" spans="2:25" s="1738" customFormat="1">
      <c r="B44" s="2178" t="str">
        <f>HLOOKUP(select,translations!$A$76:$H$144,24,)</f>
        <v>Perennial after Deforestation</v>
      </c>
      <c r="C44" s="2178"/>
      <c r="D44" s="2193"/>
      <c r="E44" s="2193"/>
      <c r="F44" s="2193"/>
      <c r="G44" s="2193"/>
      <c r="H44" s="2193"/>
      <c r="I44" s="2193"/>
      <c r="J44" s="3134" t="s">
        <v>359</v>
      </c>
      <c r="K44" s="3134"/>
      <c r="L44" s="3134"/>
      <c r="M44" s="2364"/>
      <c r="N44" s="2377"/>
      <c r="O44" s="2353">
        <f>Perennial!C32</f>
        <v>0</v>
      </c>
      <c r="P44" s="2353">
        <f>Perennial!D32</f>
        <v>0</v>
      </c>
      <c r="Q44" s="2353"/>
      <c r="R44" s="2367"/>
      <c r="S44" s="2353">
        <f>Perennial!F32</f>
        <v>0</v>
      </c>
      <c r="T44" s="2353"/>
      <c r="U44" s="2195"/>
      <c r="V44" s="2353">
        <f>Perennial!N32</f>
        <v>0</v>
      </c>
      <c r="W44" s="2353">
        <f>Perennial!O32</f>
        <v>0</v>
      </c>
      <c r="X44" s="2353"/>
      <c r="Y44" s="2353">
        <f>Perennial!P32</f>
        <v>0</v>
      </c>
    </row>
    <row r="45" spans="2:25" s="1738" customFormat="1">
      <c r="B45" s="2178" t="str">
        <f>HLOOKUP(select,translations!$A$76:$H$144,25,)</f>
        <v>Converted to A/R</v>
      </c>
      <c r="C45" s="2150"/>
      <c r="D45" s="2193"/>
      <c r="E45" s="2193"/>
      <c r="F45" s="2193"/>
      <c r="G45" s="2193"/>
      <c r="H45" s="2193"/>
      <c r="I45" s="2193"/>
      <c r="J45" s="3134" t="s">
        <v>359</v>
      </c>
      <c r="K45" s="3134"/>
      <c r="L45" s="3134"/>
      <c r="M45" s="2364"/>
      <c r="N45" s="2377"/>
      <c r="O45" s="2353">
        <f>Perennial!C33</f>
        <v>0</v>
      </c>
      <c r="P45" s="2353">
        <f>Perennial!D33</f>
        <v>0</v>
      </c>
      <c r="Q45" s="2353"/>
      <c r="R45" s="2367"/>
      <c r="S45" s="2353">
        <f>Perennial!F33</f>
        <v>0</v>
      </c>
      <c r="T45" s="2353"/>
      <c r="U45" s="2195"/>
      <c r="V45" s="2353">
        <f>Perennial!N33</f>
        <v>0</v>
      </c>
      <c r="W45" s="2353">
        <f>Perennial!O33</f>
        <v>0</v>
      </c>
      <c r="X45" s="2353"/>
      <c r="Y45" s="2353">
        <f>Perennial!P33</f>
        <v>0</v>
      </c>
    </row>
    <row r="46" spans="2:25" s="1738" customFormat="1">
      <c r="B46" s="2178" t="str">
        <f>HLOOKUP(select,translations!$A$76:$H$144,26,)</f>
        <v>Perennial after non-forest LU</v>
      </c>
      <c r="C46" s="2178"/>
      <c r="D46" s="2193"/>
      <c r="E46" s="2193"/>
      <c r="F46" s="2193"/>
      <c r="G46" s="2193"/>
      <c r="H46" s="2193"/>
      <c r="I46" s="2193"/>
      <c r="J46" s="3134" t="s">
        <v>359</v>
      </c>
      <c r="K46" s="3134"/>
      <c r="L46" s="3134"/>
      <c r="M46" s="2364"/>
      <c r="N46" s="2377"/>
      <c r="O46" s="2353">
        <f>Perennial!C34</f>
        <v>0</v>
      </c>
      <c r="P46" s="2353">
        <f>Perennial!D34</f>
        <v>0</v>
      </c>
      <c r="Q46" s="2353"/>
      <c r="R46" s="2367"/>
      <c r="S46" s="2353">
        <f>Perennial!F34</f>
        <v>0</v>
      </c>
      <c r="T46" s="2353"/>
      <c r="U46" s="2195"/>
      <c r="V46" s="2353">
        <f>Perennial!N34</f>
        <v>0</v>
      </c>
      <c r="W46" s="2353">
        <f>Perennial!O34</f>
        <v>0</v>
      </c>
      <c r="X46" s="2353"/>
      <c r="Y46" s="2353">
        <f>Perennial!P34</f>
        <v>0</v>
      </c>
    </row>
    <row r="47" spans="2:25" s="1738" customFormat="1">
      <c r="B47" s="2178" t="str">
        <f>HLOOKUP(select,translations!$A$76:$H$144,27,)</f>
        <v>Converted to OLUC</v>
      </c>
      <c r="C47" s="2150"/>
      <c r="D47" s="2193"/>
      <c r="E47" s="2193"/>
      <c r="F47" s="2193"/>
      <c r="G47" s="2193"/>
      <c r="H47" s="2193"/>
      <c r="I47" s="2193"/>
      <c r="J47" s="3134" t="s">
        <v>359</v>
      </c>
      <c r="K47" s="3134"/>
      <c r="L47" s="3134"/>
      <c r="M47" s="2364"/>
      <c r="N47" s="2377"/>
      <c r="O47" s="2353">
        <f>Perennial!C35</f>
        <v>0</v>
      </c>
      <c r="P47" s="2353">
        <f>Perennial!D35</f>
        <v>0</v>
      </c>
      <c r="Q47" s="2353"/>
      <c r="R47" s="2367"/>
      <c r="S47" s="2353">
        <f>Perennial!F35</f>
        <v>0</v>
      </c>
      <c r="T47" s="2353"/>
      <c r="U47" s="2195"/>
      <c r="V47" s="2353">
        <f>Perennial!N35</f>
        <v>0</v>
      </c>
      <c r="W47" s="2353">
        <f>Perennial!O35</f>
        <v>0</v>
      </c>
      <c r="X47" s="2353"/>
      <c r="Y47" s="2353">
        <f>Perennial!P35</f>
        <v>0</v>
      </c>
    </row>
    <row r="48" spans="2:25" s="1738" customFormat="1">
      <c r="N48" s="1743"/>
      <c r="P48" s="1743"/>
      <c r="Q48" s="1743"/>
      <c r="U48" s="1743"/>
      <c r="V48" s="1743"/>
      <c r="W48" s="1743"/>
      <c r="X48" s="1743"/>
      <c r="Y48" s="1743"/>
    </row>
    <row r="49" spans="2:25" s="1738" customFormat="1">
      <c r="B49" s="1893" t="str">
        <f>HLOOKUP(select,translations!$A$76:$H$144,29,)</f>
        <v>3.2.2. Perennial systems remaining perrenial systems (total area must remain constant)</v>
      </c>
      <c r="C49" s="1893"/>
      <c r="D49" s="1894"/>
      <c r="E49" s="1894"/>
      <c r="F49" s="1894"/>
      <c r="G49" s="1894"/>
      <c r="H49" s="1894"/>
      <c r="I49" s="1894"/>
      <c r="J49" s="1894"/>
      <c r="K49" s="1894"/>
      <c r="L49" s="1894"/>
      <c r="M49" s="1894"/>
      <c r="N49" s="2657" t="str">
        <f>HLOOKUP(select,translations!$A$76:$H$144,4,)</f>
        <v>Yield?</v>
      </c>
      <c r="O49" s="1894"/>
      <c r="P49" s="1894"/>
      <c r="Q49" s="1894"/>
      <c r="R49" s="1894"/>
      <c r="S49" s="1894"/>
      <c r="T49" s="1894"/>
      <c r="U49" s="1895"/>
      <c r="V49" s="1895"/>
      <c r="W49" s="1895"/>
      <c r="X49" s="1895"/>
      <c r="Y49" s="1895"/>
    </row>
    <row r="50" spans="2:25" s="1738" customFormat="1">
      <c r="B50" s="2362" t="str">
        <f>B20</f>
        <v>Fill with your description</v>
      </c>
      <c r="C50" s="2362"/>
      <c r="D50" s="2332"/>
      <c r="E50" s="2332"/>
      <c r="F50" s="2363"/>
      <c r="G50" s="2363"/>
      <c r="H50" s="2332"/>
      <c r="I50" s="2332"/>
      <c r="J50" s="3128" t="str">
        <f>J42</f>
        <v>Residue/ biomass burning</v>
      </c>
      <c r="K50" s="3128"/>
      <c r="L50" s="3128"/>
      <c r="M50" s="2364"/>
      <c r="N50" s="2670" t="str">
        <f>N20</f>
        <v>Yield</v>
      </c>
      <c r="O50" s="3071" t="str">
        <f>O42</f>
        <v>Area (ha)</v>
      </c>
      <c r="P50" s="3071"/>
      <c r="Q50" s="3071"/>
      <c r="R50" s="3071"/>
      <c r="S50" s="3071"/>
      <c r="T50" s="2196"/>
      <c r="U50" s="3073" t="str">
        <f>U42</f>
        <v>Total Emissions (tCO2-eq)</v>
      </c>
      <c r="V50" s="3073"/>
      <c r="W50" s="3073"/>
      <c r="X50" s="2365"/>
      <c r="Y50" s="2196" t="str">
        <f>Y42</f>
        <v>Balance</v>
      </c>
    </row>
    <row r="51" spans="2:25" s="1738" customFormat="1" ht="15.6" customHeight="1">
      <c r="B51" s="2362"/>
      <c r="C51" s="2362"/>
      <c r="D51" s="2366"/>
      <c r="E51" s="2332"/>
      <c r="F51" s="2332"/>
      <c r="G51" s="2332"/>
      <c r="H51" s="2332"/>
      <c r="I51" s="2332"/>
      <c r="J51" s="3128"/>
      <c r="K51" s="3128"/>
      <c r="L51" s="3128"/>
      <c r="M51" s="2364"/>
      <c r="N51" s="2440" t="str">
        <f>N43</f>
        <v>(t/ha/yr)</v>
      </c>
      <c r="O51" s="2202" t="str">
        <f>O43</f>
        <v>Start</v>
      </c>
      <c r="P51" s="2368" t="str">
        <f>P43</f>
        <v>Without</v>
      </c>
      <c r="Q51" s="2200" t="s">
        <v>93</v>
      </c>
      <c r="R51" s="3140" t="str">
        <f>S43</f>
        <v>With</v>
      </c>
      <c r="S51" s="3140"/>
      <c r="T51" s="2200" t="s">
        <v>93</v>
      </c>
      <c r="U51" s="2195"/>
      <c r="V51" s="2200" t="str">
        <f>V43</f>
        <v>Without</v>
      </c>
      <c r="W51" s="2200" t="str">
        <f>W43</f>
        <v>With</v>
      </c>
      <c r="X51" s="2200"/>
      <c r="Y51" s="2336"/>
    </row>
    <row r="52" spans="2:25" s="1738" customFormat="1">
      <c r="B52" s="3135" t="s">
        <v>1628</v>
      </c>
      <c r="C52" s="3135"/>
      <c r="D52" s="3135"/>
      <c r="E52" s="3135"/>
      <c r="F52" s="2193"/>
      <c r="G52" s="2193"/>
      <c r="H52" s="2193"/>
      <c r="I52" s="2193"/>
      <c r="J52" s="3066" t="s">
        <v>359</v>
      </c>
      <c r="K52" s="3134"/>
      <c r="L52" s="3134"/>
      <c r="M52" s="2364"/>
      <c r="N52" s="2377"/>
      <c r="O52" s="2134">
        <v>0</v>
      </c>
      <c r="P52" s="2181">
        <v>0</v>
      </c>
      <c r="Q52" s="2164" t="s">
        <v>1525</v>
      </c>
      <c r="R52" s="3132">
        <v>0</v>
      </c>
      <c r="S52" s="3132"/>
      <c r="T52" s="2164" t="s">
        <v>1525</v>
      </c>
      <c r="U52" s="2195"/>
      <c r="V52" s="2353">
        <f>Perennial!N36</f>
        <v>0</v>
      </c>
      <c r="W52" s="2353">
        <f>Perennial!O36</f>
        <v>0</v>
      </c>
      <c r="X52" s="2353"/>
      <c r="Y52" s="2353">
        <f>Perennial!P36</f>
        <v>0</v>
      </c>
    </row>
    <row r="53" spans="2:25" s="1738" customFormat="1">
      <c r="B53" s="3135" t="s">
        <v>1629</v>
      </c>
      <c r="C53" s="3135"/>
      <c r="D53" s="3135"/>
      <c r="E53" s="3135"/>
      <c r="F53" s="2193"/>
      <c r="G53" s="2193"/>
      <c r="H53" s="2193"/>
      <c r="I53" s="2193"/>
      <c r="J53" s="3134" t="s">
        <v>359</v>
      </c>
      <c r="K53" s="3134"/>
      <c r="L53" s="3134"/>
      <c r="M53" s="2364"/>
      <c r="N53" s="2377"/>
      <c r="O53" s="2134">
        <v>0</v>
      </c>
      <c r="P53" s="2181">
        <v>0</v>
      </c>
      <c r="Q53" s="2164" t="s">
        <v>1525</v>
      </c>
      <c r="R53" s="3132">
        <v>0</v>
      </c>
      <c r="S53" s="3132"/>
      <c r="T53" s="2164" t="s">
        <v>1525</v>
      </c>
      <c r="U53" s="2195"/>
      <c r="V53" s="2353">
        <f>Perennial!N37</f>
        <v>0</v>
      </c>
      <c r="W53" s="2353">
        <f>Perennial!O37</f>
        <v>0</v>
      </c>
      <c r="X53" s="2353"/>
      <c r="Y53" s="2353">
        <f>Perennial!P37</f>
        <v>0</v>
      </c>
    </row>
    <row r="54" spans="2:25" s="1738" customFormat="1">
      <c r="B54" s="3135" t="s">
        <v>1630</v>
      </c>
      <c r="C54" s="3135"/>
      <c r="D54" s="3135"/>
      <c r="E54" s="3135"/>
      <c r="F54" s="2193"/>
      <c r="G54" s="2193"/>
      <c r="H54" s="2193"/>
      <c r="I54" s="2193"/>
      <c r="J54" s="3134" t="s">
        <v>359</v>
      </c>
      <c r="K54" s="3134"/>
      <c r="L54" s="3134"/>
      <c r="M54" s="2364"/>
      <c r="N54" s="2377"/>
      <c r="O54" s="2134">
        <v>0</v>
      </c>
      <c r="P54" s="2181">
        <v>0</v>
      </c>
      <c r="Q54" s="2164" t="s">
        <v>1525</v>
      </c>
      <c r="R54" s="3132">
        <v>0</v>
      </c>
      <c r="S54" s="3132"/>
      <c r="T54" s="2164" t="s">
        <v>1525</v>
      </c>
      <c r="U54" s="2195"/>
      <c r="V54" s="2353">
        <f>Perennial!N38</f>
        <v>0</v>
      </c>
      <c r="W54" s="2353">
        <f>Perennial!O38</f>
        <v>0</v>
      </c>
      <c r="X54" s="2353"/>
      <c r="Y54" s="2353">
        <f>Perennial!P38</f>
        <v>0</v>
      </c>
    </row>
    <row r="55" spans="2:25" s="1738" customFormat="1">
      <c r="B55" s="3135" t="s">
        <v>1546</v>
      </c>
      <c r="C55" s="3135"/>
      <c r="D55" s="3135"/>
      <c r="E55" s="3135"/>
      <c r="F55" s="2193"/>
      <c r="G55" s="2193"/>
      <c r="H55" s="2193"/>
      <c r="I55" s="2193"/>
      <c r="J55" s="3134" t="s">
        <v>359</v>
      </c>
      <c r="K55" s="3134"/>
      <c r="L55" s="3134"/>
      <c r="M55" s="2364"/>
      <c r="N55" s="2986"/>
      <c r="O55" s="2985">
        <v>0</v>
      </c>
      <c r="P55" s="2985">
        <v>0</v>
      </c>
      <c r="Q55" s="2164" t="s">
        <v>1525</v>
      </c>
      <c r="R55" s="3132">
        <v>0</v>
      </c>
      <c r="S55" s="3132"/>
      <c r="T55" s="2164" t="s">
        <v>1525</v>
      </c>
      <c r="U55" s="2989"/>
      <c r="V55" s="2353">
        <f>Perennial!N39</f>
        <v>0</v>
      </c>
      <c r="W55" s="2353">
        <f>Perennial!O39</f>
        <v>0</v>
      </c>
      <c r="X55" s="2353"/>
      <c r="Y55" s="2353">
        <f>Perennial!P39</f>
        <v>0</v>
      </c>
    </row>
    <row r="56" spans="2:25" s="1738" customFormat="1">
      <c r="B56" s="3135" t="s">
        <v>1547</v>
      </c>
      <c r="C56" s="3135"/>
      <c r="D56" s="3135"/>
      <c r="E56" s="3135"/>
      <c r="F56" s="2193"/>
      <c r="G56" s="2193"/>
      <c r="H56" s="2193"/>
      <c r="I56" s="2193"/>
      <c r="J56" s="3134" t="s">
        <v>359</v>
      </c>
      <c r="K56" s="3134"/>
      <c r="L56" s="3134"/>
      <c r="M56" s="2364"/>
      <c r="N56" s="2986"/>
      <c r="O56" s="2985">
        <v>0</v>
      </c>
      <c r="P56" s="2985">
        <v>0</v>
      </c>
      <c r="Q56" s="2164" t="s">
        <v>1525</v>
      </c>
      <c r="R56" s="3132">
        <v>0</v>
      </c>
      <c r="S56" s="3132"/>
      <c r="T56" s="2164" t="s">
        <v>1525</v>
      </c>
      <c r="U56" s="2989"/>
      <c r="V56" s="2353">
        <f>Perennial!N40</f>
        <v>0</v>
      </c>
      <c r="W56" s="2353">
        <f>Perennial!O40</f>
        <v>0</v>
      </c>
      <c r="X56" s="2353"/>
      <c r="Y56" s="2353">
        <f>Perennial!P40</f>
        <v>0</v>
      </c>
    </row>
    <row r="57" spans="2:25" s="1738" customFormat="1">
      <c r="B57" s="3135" t="s">
        <v>5553</v>
      </c>
      <c r="C57" s="3135"/>
      <c r="D57" s="3135"/>
      <c r="E57" s="3135"/>
      <c r="F57" s="2193"/>
      <c r="G57" s="2193"/>
      <c r="H57" s="2193"/>
      <c r="I57" s="2193"/>
      <c r="J57" s="3134" t="s">
        <v>359</v>
      </c>
      <c r="K57" s="3134"/>
      <c r="L57" s="3134"/>
      <c r="M57" s="2364"/>
      <c r="N57" s="2986"/>
      <c r="O57" s="2985">
        <v>0</v>
      </c>
      <c r="P57" s="2985">
        <v>0</v>
      </c>
      <c r="Q57" s="2164" t="s">
        <v>1525</v>
      </c>
      <c r="R57" s="3132">
        <v>0</v>
      </c>
      <c r="S57" s="3132"/>
      <c r="T57" s="2164" t="s">
        <v>1525</v>
      </c>
      <c r="U57" s="2989"/>
      <c r="V57" s="2353">
        <f>Perennial!N41</f>
        <v>0</v>
      </c>
      <c r="W57" s="2353">
        <f>Perennial!O41</f>
        <v>0</v>
      </c>
      <c r="X57" s="2353"/>
      <c r="Y57" s="2353">
        <f>Perennial!P41</f>
        <v>0</v>
      </c>
    </row>
    <row r="58" spans="2:25" s="1738" customFormat="1">
      <c r="B58" s="3135" t="s">
        <v>5554</v>
      </c>
      <c r="C58" s="3135"/>
      <c r="D58" s="3135"/>
      <c r="E58" s="3135"/>
      <c r="F58" s="2193"/>
      <c r="G58" s="2193"/>
      <c r="H58" s="2193"/>
      <c r="I58" s="2193"/>
      <c r="J58" s="3134" t="s">
        <v>359</v>
      </c>
      <c r="K58" s="3134"/>
      <c r="L58" s="3134"/>
      <c r="M58" s="2364"/>
      <c r="N58" s="2986"/>
      <c r="O58" s="2985">
        <v>0</v>
      </c>
      <c r="P58" s="2985">
        <v>0</v>
      </c>
      <c r="Q58" s="2164" t="s">
        <v>1525</v>
      </c>
      <c r="R58" s="3132">
        <v>0</v>
      </c>
      <c r="S58" s="3132"/>
      <c r="T58" s="2164" t="s">
        <v>1525</v>
      </c>
      <c r="U58" s="2989"/>
      <c r="V58" s="2353">
        <f>Perennial!N42</f>
        <v>0</v>
      </c>
      <c r="W58" s="2353">
        <f>Perennial!O42</f>
        <v>0</v>
      </c>
      <c r="X58" s="2353"/>
      <c r="Y58" s="2353">
        <f>Perennial!P42</f>
        <v>0</v>
      </c>
    </row>
    <row r="59" spans="2:25" s="1738" customFormat="1">
      <c r="B59" s="3135" t="s">
        <v>5555</v>
      </c>
      <c r="C59" s="3135"/>
      <c r="D59" s="3135"/>
      <c r="E59" s="3135"/>
      <c r="F59" s="2193"/>
      <c r="G59" s="2193"/>
      <c r="H59" s="2193"/>
      <c r="I59" s="2193"/>
      <c r="J59" s="3134" t="s">
        <v>359</v>
      </c>
      <c r="K59" s="3134"/>
      <c r="L59" s="3134"/>
      <c r="M59" s="2364"/>
      <c r="N59" s="2986"/>
      <c r="O59" s="2985">
        <v>0</v>
      </c>
      <c r="P59" s="2985">
        <v>0</v>
      </c>
      <c r="Q59" s="2164" t="s">
        <v>1525</v>
      </c>
      <c r="R59" s="3132">
        <v>0</v>
      </c>
      <c r="S59" s="3132"/>
      <c r="T59" s="2164" t="s">
        <v>1525</v>
      </c>
      <c r="U59" s="2989"/>
      <c r="V59" s="2353">
        <f>Perennial!N43</f>
        <v>0</v>
      </c>
      <c r="W59" s="2353">
        <f>Perennial!O43</f>
        <v>0</v>
      </c>
      <c r="X59" s="2353"/>
      <c r="Y59" s="2353">
        <f>Perennial!P43</f>
        <v>0</v>
      </c>
    </row>
    <row r="60" spans="2:25" s="1738" customFormat="1">
      <c r="B60" s="3135" t="s">
        <v>5556</v>
      </c>
      <c r="C60" s="3135"/>
      <c r="D60" s="3135"/>
      <c r="E60" s="3135"/>
      <c r="F60" s="2193"/>
      <c r="G60" s="2193"/>
      <c r="H60" s="2193"/>
      <c r="I60" s="2193"/>
      <c r="J60" s="3134" t="s">
        <v>359</v>
      </c>
      <c r="K60" s="3134"/>
      <c r="L60" s="3134"/>
      <c r="M60" s="2364"/>
      <c r="N60" s="2377"/>
      <c r="O60" s="2134">
        <v>0</v>
      </c>
      <c r="P60" s="2181">
        <v>0</v>
      </c>
      <c r="Q60" s="2164" t="s">
        <v>1525</v>
      </c>
      <c r="R60" s="3132">
        <v>0</v>
      </c>
      <c r="S60" s="3132"/>
      <c r="T60" s="2164" t="s">
        <v>1525</v>
      </c>
      <c r="U60" s="2195"/>
      <c r="V60" s="2353">
        <f>Perennial!N44</f>
        <v>0</v>
      </c>
      <c r="W60" s="2353">
        <f>Perennial!O44</f>
        <v>0</v>
      </c>
      <c r="X60" s="2353"/>
      <c r="Y60" s="2353">
        <f>Perennial!P44</f>
        <v>0</v>
      </c>
    </row>
    <row r="61" spans="2:25" s="1738" customFormat="1">
      <c r="B61" s="3135" t="s">
        <v>5557</v>
      </c>
      <c r="C61" s="3135"/>
      <c r="D61" s="3135"/>
      <c r="E61" s="3135"/>
      <c r="F61" s="2193"/>
      <c r="G61" s="2193"/>
      <c r="H61" s="2193"/>
      <c r="I61" s="2193"/>
      <c r="J61" s="3134" t="s">
        <v>359</v>
      </c>
      <c r="K61" s="3134"/>
      <c r="L61" s="3134"/>
      <c r="M61" s="2364"/>
      <c r="N61" s="2377"/>
      <c r="O61" s="2134">
        <v>0</v>
      </c>
      <c r="P61" s="2181">
        <v>0</v>
      </c>
      <c r="Q61" s="2164" t="s">
        <v>1525</v>
      </c>
      <c r="R61" s="3132">
        <v>0</v>
      </c>
      <c r="S61" s="3132"/>
      <c r="T61" s="2164" t="s">
        <v>1525</v>
      </c>
      <c r="U61" s="2195"/>
      <c r="V61" s="2353">
        <f>Perennial!N45</f>
        <v>0</v>
      </c>
      <c r="W61" s="2353">
        <f>Perennial!O45</f>
        <v>0</v>
      </c>
      <c r="X61" s="2353"/>
      <c r="Y61" s="2353">
        <f>Perennial!P45</f>
        <v>0</v>
      </c>
    </row>
    <row r="62" spans="2:25" s="1738" customFormat="1">
      <c r="B62" s="2193"/>
      <c r="C62" s="2193"/>
      <c r="D62" s="2193"/>
      <c r="E62" s="2193"/>
      <c r="F62" s="2193"/>
      <c r="G62" s="2193"/>
      <c r="H62" s="2193"/>
      <c r="I62" s="2193"/>
      <c r="J62" s="2193"/>
      <c r="K62" s="2193"/>
      <c r="L62" s="2193"/>
      <c r="M62" s="2193"/>
      <c r="N62" s="2559" t="str">
        <f>N32</f>
        <v>Total (ha)</v>
      </c>
      <c r="O62" s="2195">
        <f>Perennial!C46</f>
        <v>0</v>
      </c>
      <c r="P62" s="2195">
        <f>Perennial!D46</f>
        <v>0</v>
      </c>
      <c r="Q62" s="2195"/>
      <c r="R62" s="3139">
        <f>Perennial!F46</f>
        <v>0</v>
      </c>
      <c r="S62" s="3139"/>
      <c r="T62" s="2195"/>
      <c r="U62" s="2369" t="str">
        <f>Perennial!G46</f>
        <v/>
      </c>
      <c r="V62" s="2195"/>
      <c r="W62" s="2195"/>
      <c r="X62" s="2195"/>
      <c r="Y62" s="2195"/>
    </row>
    <row r="63" spans="2:25" s="1738" customFormat="1">
      <c r="I63" s="2190" t="str">
        <f>I33</f>
        <v>* Note concerning dynamics of change : "D" corresponds to default/linear, "I" to immediate and "E" to exponential (Please refer to the guidelines)</v>
      </c>
      <c r="J63" s="2188"/>
      <c r="K63" s="2188"/>
      <c r="L63" s="2188"/>
      <c r="M63" s="2188"/>
      <c r="N63" s="2485"/>
      <c r="O63" s="2188"/>
      <c r="P63" s="2188"/>
      <c r="Q63" s="2188"/>
      <c r="R63" s="2188"/>
      <c r="S63" s="2188"/>
      <c r="T63" s="2189"/>
      <c r="U63" s="2189"/>
      <c r="V63" s="2188"/>
      <c r="W63" s="2226"/>
      <c r="X63" s="2226"/>
      <c r="Y63" s="2226"/>
    </row>
    <row r="64" spans="2:25" s="1738" customFormat="1">
      <c r="N64" s="1743"/>
      <c r="P64" s="1743"/>
    </row>
    <row r="65" spans="2:39" s="1738" customFormat="1">
      <c r="N65" s="1743"/>
      <c r="P65" s="1743"/>
      <c r="Q65" s="2671" t="str">
        <f>HLOOKUP(select,translations!$A$76:$H$143,28,)</f>
        <v>Total Perennial Systems</v>
      </c>
      <c r="R65" s="1899"/>
      <c r="S65" s="1899"/>
      <c r="T65" s="1899"/>
      <c r="U65" s="1898"/>
      <c r="V65" s="1900">
        <f>Perennial!N47</f>
        <v>0</v>
      </c>
      <c r="W65" s="1900">
        <f>Perennial!O47</f>
        <v>0</v>
      </c>
      <c r="X65" s="1900"/>
      <c r="Y65" s="1900">
        <f>Perennial!P47</f>
        <v>0</v>
      </c>
    </row>
    <row r="66" spans="2:39" s="1738" customFormat="1">
      <c r="N66" s="1743"/>
      <c r="P66" s="1743"/>
      <c r="Q66" s="1743"/>
      <c r="R66" s="1743"/>
      <c r="S66" s="1743"/>
      <c r="T66" s="1743"/>
      <c r="U66" s="1743"/>
      <c r="V66" s="1743"/>
      <c r="W66" s="1743"/>
      <c r="X66" s="1743"/>
      <c r="Y66" s="1743"/>
    </row>
    <row r="67" spans="2:39" s="1738" customFormat="1">
      <c r="N67" s="1743"/>
      <c r="P67" s="1743"/>
      <c r="Q67" s="1743"/>
      <c r="R67" s="1743"/>
      <c r="S67" s="1743"/>
      <c r="T67" s="1743"/>
      <c r="U67" s="1743"/>
      <c r="V67" s="1743"/>
      <c r="W67" s="1743"/>
      <c r="X67" s="1743"/>
      <c r="Y67" s="1743"/>
    </row>
    <row r="68" spans="2:39" s="1738" customFormat="1">
      <c r="N68" s="1743"/>
      <c r="P68" s="1743"/>
      <c r="Q68" s="1743"/>
      <c r="R68" s="1743"/>
      <c r="S68" s="1743"/>
      <c r="T68" s="1743"/>
      <c r="U68" s="1743"/>
      <c r="V68" s="1743"/>
      <c r="W68" s="1743"/>
      <c r="X68" s="1743"/>
      <c r="Y68" s="1743"/>
    </row>
    <row r="69" spans="2:39" s="1738" customFormat="1">
      <c r="N69" s="1743"/>
      <c r="P69" s="1743"/>
      <c r="Q69" s="1743"/>
      <c r="U69" s="1743"/>
      <c r="V69" s="1743"/>
      <c r="W69" s="1743"/>
      <c r="X69" s="1743"/>
      <c r="Y69" s="1743"/>
    </row>
    <row r="70" spans="2:39" s="1738" customFormat="1" ht="15.6">
      <c r="B70" s="2570" t="str">
        <f>HLOOKUP(select,translations!$A$76:$H$144,30,)</f>
        <v>3.3. Flooded Rice systems</v>
      </c>
      <c r="C70" s="2570"/>
      <c r="D70" s="2571"/>
      <c r="E70" s="2571"/>
      <c r="F70" s="2571"/>
      <c r="G70" s="2571"/>
      <c r="H70" s="2571"/>
      <c r="I70" s="2571"/>
      <c r="J70" s="2571"/>
      <c r="K70" s="2571"/>
      <c r="L70" s="2571"/>
      <c r="M70" s="2571"/>
      <c r="N70" s="2572"/>
      <c r="O70" s="2571"/>
      <c r="P70" s="2571"/>
      <c r="Q70" s="2571"/>
      <c r="R70" s="2571"/>
      <c r="S70" s="2571"/>
      <c r="T70" s="2571"/>
      <c r="U70" s="2571"/>
      <c r="V70" s="2571"/>
      <c r="W70" s="2571"/>
      <c r="X70" s="2571"/>
      <c r="Y70" s="2572"/>
      <c r="Z70" s="2572"/>
      <c r="AA70" s="2572"/>
      <c r="AB70" s="2572"/>
      <c r="AC70" s="2572"/>
    </row>
    <row r="71" spans="2:39" s="1738" customFormat="1">
      <c r="N71" s="1743"/>
      <c r="P71" s="1743"/>
      <c r="Q71" s="1743"/>
      <c r="U71" s="1743"/>
      <c r="V71" s="1743"/>
      <c r="W71" s="1743"/>
      <c r="X71" s="1743"/>
      <c r="Y71" s="1743"/>
      <c r="Z71" s="1743"/>
      <c r="AA71" s="1743"/>
      <c r="AB71" s="1743"/>
      <c r="AC71" s="1743"/>
    </row>
    <row r="72" spans="2:39" s="1738" customFormat="1">
      <c r="B72" s="2240" t="str">
        <f>HLOOKUP(select,translations!$A$76:$H$144,31,)</f>
        <v>3.3.1. Flooded Rice systems from other LU or converted to other LU (please fill step 2.LUC previously)</v>
      </c>
      <c r="C72" s="2240"/>
      <c r="D72" s="2250"/>
      <c r="E72" s="2250"/>
      <c r="F72" s="2250"/>
      <c r="G72" s="2250"/>
      <c r="H72" s="2250"/>
      <c r="I72" s="2250"/>
      <c r="J72" s="2250"/>
      <c r="K72" s="2250"/>
      <c r="L72" s="2250"/>
      <c r="M72" s="2250"/>
      <c r="N72" s="2272"/>
      <c r="O72" s="2250"/>
      <c r="P72" s="2250"/>
      <c r="Q72" s="2250"/>
      <c r="R72" s="2250"/>
      <c r="S72" s="2657" t="str">
        <f>HLOOKUP(select,translations!$A$76:$H$144,4,)</f>
        <v>Yield?</v>
      </c>
      <c r="T72" s="2250"/>
      <c r="U72" s="2272"/>
      <c r="V72" s="2272"/>
      <c r="W72" s="2272"/>
      <c r="X72" s="2272"/>
      <c r="Y72" s="2272"/>
      <c r="Z72" s="2272"/>
      <c r="AA72" s="2272"/>
      <c r="AB72" s="2272"/>
      <c r="AC72" s="2272"/>
      <c r="AE72" s="1987" t="str">
        <f>'2.LUC'!V42</f>
        <v xml:space="preserve"> </v>
      </c>
    </row>
    <row r="73" spans="2:39" s="1738" customFormat="1">
      <c r="B73" s="2262" t="str">
        <f>B42</f>
        <v>Description</v>
      </c>
      <c r="C73" s="2262"/>
      <c r="D73" s="3138" t="str">
        <f>HLOOKUP(select,translations!$A$76:$H$144,32,)</f>
        <v>Cultivation period (days)</v>
      </c>
      <c r="E73" s="2264" t="str">
        <f>HLOOKUP(select,translations!$A$76:$H$144,33,)</f>
        <v>Water regime</v>
      </c>
      <c r="F73" s="2264"/>
      <c r="G73" s="2264"/>
      <c r="H73" s="2265"/>
      <c r="I73" s="2265"/>
      <c r="J73" s="2265"/>
      <c r="K73" s="2266"/>
      <c r="L73" s="2266"/>
      <c r="M73" s="2267"/>
      <c r="N73" s="3154" t="str">
        <f>HLOOKUP(select,translations!$A$76:$H$144,36,)</f>
        <v>Organic amendment type (straw or other)</v>
      </c>
      <c r="O73" s="3154"/>
      <c r="P73" s="3154"/>
      <c r="Q73" s="3154"/>
      <c r="R73" s="2267"/>
      <c r="S73" s="2268" t="str">
        <f>N42</f>
        <v>Yield</v>
      </c>
      <c r="T73" s="2268"/>
      <c r="U73" s="2192"/>
      <c r="V73" s="3119" t="str">
        <f>O20</f>
        <v>Area (ha)</v>
      </c>
      <c r="W73" s="3119"/>
      <c r="X73" s="3119"/>
      <c r="Y73" s="3119"/>
      <c r="Z73" s="2257"/>
      <c r="AA73" s="3147" t="str">
        <f>U20</f>
        <v>Total Emissions (tCO2-eq)</v>
      </c>
      <c r="AB73" s="3147"/>
      <c r="AC73" s="2032" t="str">
        <f>Y20</f>
        <v>Balance</v>
      </c>
      <c r="AE73" s="1987" t="str">
        <f>IF(Nlang=1,"",E73)</f>
        <v/>
      </c>
      <c r="AF73" s="1987"/>
      <c r="AG73" s="1987"/>
      <c r="AH73" s="1987"/>
      <c r="AI73" s="1987"/>
      <c r="AJ73" s="1987" t="str">
        <f>IF(Nlang=1,"",N73)</f>
        <v/>
      </c>
      <c r="AK73" s="1987"/>
      <c r="AL73" s="1987"/>
      <c r="AM73" s="1987"/>
    </row>
    <row r="74" spans="2:39" s="1738" customFormat="1" ht="12.6" customHeight="1">
      <c r="B74" s="2262"/>
      <c r="C74" s="2262"/>
      <c r="D74" s="3138"/>
      <c r="E74" s="2607" t="str">
        <f>HLOOKUP(select,translations!$A$76:$H$144,34,)</f>
        <v>During the cultivation period</v>
      </c>
      <c r="F74" s="2607"/>
      <c r="G74" s="2607"/>
      <c r="H74" s="2269" t="str">
        <f>HLOOKUP(select,translations!$A$76:$H$144,35,)</f>
        <v>Before the cultivation period</v>
      </c>
      <c r="I74" s="2269"/>
      <c r="J74" s="2269"/>
      <c r="K74" s="2269"/>
      <c r="L74" s="2269"/>
      <c r="M74" s="2267"/>
      <c r="N74" s="3154"/>
      <c r="O74" s="3154"/>
      <c r="P74" s="3154"/>
      <c r="Q74" s="3154"/>
      <c r="R74" s="2267"/>
      <c r="S74" s="2268" t="str">
        <f>N21</f>
        <v>(t/ha/yr)</v>
      </c>
      <c r="T74" s="2268"/>
      <c r="U74" s="2192"/>
      <c r="V74" s="2258" t="str">
        <f>O50</f>
        <v>Area (ha)</v>
      </c>
      <c r="W74" s="2672" t="str">
        <f>P51</f>
        <v>Without</v>
      </c>
      <c r="X74" s="2277"/>
      <c r="Y74" s="2259" t="str">
        <f>R51</f>
        <v>With</v>
      </c>
      <c r="Z74" s="2257"/>
      <c r="AA74" s="2259" t="str">
        <f>W74</f>
        <v>Without</v>
      </c>
      <c r="AB74" s="2259" t="str">
        <f>Y74</f>
        <v>With</v>
      </c>
      <c r="AC74" s="2260"/>
      <c r="AE74" s="1987" t="str">
        <f>IF(Nlang=1,"",E74)</f>
        <v/>
      </c>
      <c r="AF74" s="1987"/>
      <c r="AG74" s="1987" t="str">
        <f>IF(Nlang=1,"",H74)</f>
        <v/>
      </c>
      <c r="AH74" s="1987"/>
      <c r="AI74" s="1987"/>
      <c r="AJ74" s="1987"/>
      <c r="AK74" s="1987"/>
      <c r="AL74" s="1987"/>
      <c r="AM74" s="1987"/>
    </row>
    <row r="75" spans="2:39" s="1738" customFormat="1" ht="12.6" customHeight="1">
      <c r="B75" s="2270" t="str">
        <f>HLOOKUP(select,translations!$A$76:$H$144,39,)</f>
        <v>Rice after Deforestation</v>
      </c>
      <c r="C75" s="2270"/>
      <c r="D75" s="2134">
        <v>150</v>
      </c>
      <c r="E75" s="3130" t="s">
        <v>76</v>
      </c>
      <c r="F75" s="3130"/>
      <c r="G75" s="2263"/>
      <c r="H75" s="3131" t="s">
        <v>75</v>
      </c>
      <c r="I75" s="3131"/>
      <c r="J75" s="3131"/>
      <c r="K75" s="3131"/>
      <c r="L75" s="3131"/>
      <c r="M75" s="2267"/>
      <c r="N75" s="3130" t="s">
        <v>74</v>
      </c>
      <c r="O75" s="3130"/>
      <c r="P75" s="3130"/>
      <c r="Q75" s="3130"/>
      <c r="R75" s="2267"/>
      <c r="S75" s="3149"/>
      <c r="T75" s="3149"/>
      <c r="U75" s="2192"/>
      <c r="V75" s="2257">
        <f>'Irrigated Rice'!C32</f>
        <v>0</v>
      </c>
      <c r="W75" s="2257">
        <f>'Irrigated Rice'!D32</f>
        <v>0</v>
      </c>
      <c r="X75" s="2257"/>
      <c r="Y75" s="2257">
        <f>'Irrigated Rice'!F32</f>
        <v>0</v>
      </c>
      <c r="Z75" s="2257"/>
      <c r="AA75" s="2261">
        <f>'Irrigated Rice'!N32</f>
        <v>0</v>
      </c>
      <c r="AB75" s="2261">
        <f>'Irrigated Rice'!O32</f>
        <v>0</v>
      </c>
      <c r="AC75" s="2261">
        <f>'Irrigated Rice'!P32</f>
        <v>0</v>
      </c>
      <c r="AE75" s="2724" t="str">
        <f>IF(Nlang=1,"",VLOOKUP(E75,'Name translation'!$A$95:$H$115,Nlang+1,))</f>
        <v/>
      </c>
      <c r="AF75" s="2724"/>
      <c r="AG75" s="2724" t="str">
        <f>IF(Nlang=1,"",VLOOKUP(H75,'Name translation'!$A$95:$H$115,Nlang+1,))</f>
        <v/>
      </c>
      <c r="AH75" s="2724"/>
      <c r="AI75" s="2724"/>
      <c r="AJ75" s="2724" t="str">
        <f>IF(Nlang=1,"",VLOOKUP(N75,'Name translation'!$A$95:$H$115,Nlang+1,))</f>
        <v/>
      </c>
      <c r="AK75" s="2724"/>
      <c r="AL75" s="2724"/>
      <c r="AM75" s="2724"/>
    </row>
    <row r="76" spans="2:39" s="1738" customFormat="1" ht="12.6" customHeight="1">
      <c r="B76" s="2270" t="str">
        <f>HLOOKUP(select,translations!$A$76:$H$144,40,)</f>
        <v>Converted to A/R</v>
      </c>
      <c r="C76" s="2271"/>
      <c r="D76" s="2134">
        <v>150</v>
      </c>
      <c r="E76" s="3130" t="s">
        <v>76</v>
      </c>
      <c r="F76" s="3130"/>
      <c r="G76" s="2263"/>
      <c r="H76" s="3131" t="s">
        <v>75</v>
      </c>
      <c r="I76" s="3131"/>
      <c r="J76" s="3131"/>
      <c r="K76" s="3131"/>
      <c r="L76" s="3131"/>
      <c r="M76" s="2267"/>
      <c r="N76" s="3130" t="s">
        <v>74</v>
      </c>
      <c r="O76" s="3130"/>
      <c r="P76" s="3130"/>
      <c r="Q76" s="3130"/>
      <c r="R76" s="2267"/>
      <c r="S76" s="3149"/>
      <c r="T76" s="3149"/>
      <c r="U76" s="2192"/>
      <c r="V76" s="2257">
        <f>'Irrigated Rice'!C33</f>
        <v>0</v>
      </c>
      <c r="W76" s="2257">
        <f>'Irrigated Rice'!D33</f>
        <v>0</v>
      </c>
      <c r="X76" s="2257"/>
      <c r="Y76" s="2257">
        <f>'Irrigated Rice'!F33</f>
        <v>0</v>
      </c>
      <c r="Z76" s="2257"/>
      <c r="AA76" s="2261">
        <f>'Irrigated Rice'!N33</f>
        <v>0</v>
      </c>
      <c r="AB76" s="2261">
        <f>'Irrigated Rice'!O33</f>
        <v>0</v>
      </c>
      <c r="AC76" s="2261">
        <f>'Irrigated Rice'!P33</f>
        <v>0</v>
      </c>
      <c r="AE76" s="2724" t="str">
        <f>IF(Nlang=1,"",VLOOKUP(E76,'Name translation'!$A$95:$H$115,Nlang+1,))</f>
        <v/>
      </c>
      <c r="AF76" s="2724"/>
      <c r="AG76" s="2724" t="str">
        <f>IF(Nlang=1,"",VLOOKUP(H76,'Name translation'!$A$95:$H$115,Nlang+1,))</f>
        <v/>
      </c>
      <c r="AH76" s="2724"/>
      <c r="AI76" s="2724"/>
      <c r="AJ76" s="2724" t="str">
        <f>IF(Nlang=1,"",VLOOKUP(N76,'Name translation'!$A$95:$H$115,Nlang+1,))</f>
        <v/>
      </c>
      <c r="AK76" s="2724"/>
      <c r="AL76" s="2724"/>
      <c r="AM76" s="2724"/>
    </row>
    <row r="77" spans="2:39" s="1738" customFormat="1" ht="12.6" customHeight="1">
      <c r="B77" s="2270" t="str">
        <f>HLOOKUP(select,translations!$A$76:$H$144,41,)</f>
        <v>Rice after non-forest LU</v>
      </c>
      <c r="C77" s="2270"/>
      <c r="D77" s="2134">
        <v>150</v>
      </c>
      <c r="E77" s="3130" t="s">
        <v>76</v>
      </c>
      <c r="F77" s="3130"/>
      <c r="G77" s="2263"/>
      <c r="H77" s="3131" t="s">
        <v>75</v>
      </c>
      <c r="I77" s="3131"/>
      <c r="J77" s="3131"/>
      <c r="K77" s="3131"/>
      <c r="L77" s="3131"/>
      <c r="M77" s="2267"/>
      <c r="N77" s="3130" t="s">
        <v>74</v>
      </c>
      <c r="O77" s="3130"/>
      <c r="P77" s="3130"/>
      <c r="Q77" s="3130"/>
      <c r="R77" s="2267"/>
      <c r="S77" s="3149"/>
      <c r="T77" s="3149"/>
      <c r="U77" s="2192"/>
      <c r="V77" s="2257">
        <f>'Irrigated Rice'!C34</f>
        <v>0</v>
      </c>
      <c r="W77" s="2257">
        <f>'Irrigated Rice'!D34</f>
        <v>0</v>
      </c>
      <c r="X77" s="2257"/>
      <c r="Y77" s="2257">
        <f>'Irrigated Rice'!F34</f>
        <v>0</v>
      </c>
      <c r="Z77" s="2257"/>
      <c r="AA77" s="2261">
        <f>'Irrigated Rice'!N34</f>
        <v>0</v>
      </c>
      <c r="AB77" s="2261">
        <f>'Irrigated Rice'!O34</f>
        <v>0</v>
      </c>
      <c r="AC77" s="2261">
        <f>'Irrigated Rice'!P34</f>
        <v>0</v>
      </c>
      <c r="AE77" s="2724" t="str">
        <f>IF(Nlang=1,"",VLOOKUP(E77,'Name translation'!$A$95:$H$115,Nlang+1,))</f>
        <v/>
      </c>
      <c r="AF77" s="2724"/>
      <c r="AG77" s="2724" t="str">
        <f>IF(Nlang=1,"",VLOOKUP(H77,'Name translation'!$A$95:$H$115,Nlang+1,))</f>
        <v/>
      </c>
      <c r="AH77" s="2724"/>
      <c r="AI77" s="2724"/>
      <c r="AJ77" s="2724" t="str">
        <f>IF(Nlang=1,"",VLOOKUP(N77,'Name translation'!$A$95:$H$115,Nlang+1,))</f>
        <v/>
      </c>
      <c r="AK77" s="2724"/>
      <c r="AL77" s="2724"/>
      <c r="AM77" s="2724"/>
    </row>
    <row r="78" spans="2:39" s="1738" customFormat="1" ht="12.6" customHeight="1">
      <c r="B78" s="2270" t="str">
        <f>HLOOKUP(select,translations!$A$76:$H$144,42,)</f>
        <v>Converted to OLUC</v>
      </c>
      <c r="C78" s="2271"/>
      <c r="D78" s="2134">
        <v>150</v>
      </c>
      <c r="E78" s="3130" t="s">
        <v>76</v>
      </c>
      <c r="F78" s="3130"/>
      <c r="G78" s="2263"/>
      <c r="H78" s="3131" t="s">
        <v>75</v>
      </c>
      <c r="I78" s="3131"/>
      <c r="J78" s="3131"/>
      <c r="K78" s="3131"/>
      <c r="L78" s="3131"/>
      <c r="M78" s="2267"/>
      <c r="N78" s="3130" t="s">
        <v>74</v>
      </c>
      <c r="O78" s="3130"/>
      <c r="P78" s="3130"/>
      <c r="Q78" s="3130"/>
      <c r="R78" s="2267"/>
      <c r="S78" s="3149"/>
      <c r="T78" s="3149"/>
      <c r="U78" s="2192"/>
      <c r="V78" s="2257">
        <f>'Irrigated Rice'!C35</f>
        <v>0</v>
      </c>
      <c r="W78" s="2257">
        <f>'Irrigated Rice'!D35</f>
        <v>0</v>
      </c>
      <c r="X78" s="2257"/>
      <c r="Y78" s="2257">
        <f>'Irrigated Rice'!F35</f>
        <v>0</v>
      </c>
      <c r="Z78" s="2257"/>
      <c r="AA78" s="2261">
        <f>'Irrigated Rice'!N35</f>
        <v>0</v>
      </c>
      <c r="AB78" s="2261">
        <f>'Irrigated Rice'!O35</f>
        <v>0</v>
      </c>
      <c r="AC78" s="2261">
        <f>'Irrigated Rice'!P35</f>
        <v>0</v>
      </c>
      <c r="AE78" s="2724" t="str">
        <f>IF(Nlang=1,"",VLOOKUP(E78,'Name translation'!$A$95:$H$115,Nlang+1,))</f>
        <v/>
      </c>
      <c r="AF78" s="2724"/>
      <c r="AG78" s="2724" t="str">
        <f>IF(Nlang=1,"",VLOOKUP(H78,'Name translation'!$A$95:$H$115,Nlang+1,))</f>
        <v/>
      </c>
      <c r="AH78" s="2724"/>
      <c r="AI78" s="2724"/>
      <c r="AJ78" s="2724" t="str">
        <f>IF(Nlang=1,"",VLOOKUP(N78,'Name translation'!$A$95:$H$115,Nlang+1,))</f>
        <v/>
      </c>
      <c r="AK78" s="2724"/>
      <c r="AL78" s="2724"/>
      <c r="AM78" s="2724"/>
    </row>
    <row r="79" spans="2:39" s="1738" customFormat="1" ht="12.6" customHeight="1">
      <c r="N79" s="1743"/>
      <c r="P79" s="1743"/>
      <c r="Q79" s="1743"/>
      <c r="U79" s="1743"/>
      <c r="V79" s="1743"/>
      <c r="W79" s="1743"/>
      <c r="X79" s="1743"/>
      <c r="Y79" s="1743"/>
    </row>
    <row r="80" spans="2:39" s="1738" customFormat="1">
      <c r="B80" s="2240" t="str">
        <f>HLOOKUP(select,translations!$A$76:$H$144,37,)</f>
        <v>3.3.2. Flooded Rice systems remaining Flooded Rice systems (total area must remain constant)</v>
      </c>
      <c r="C80" s="2240"/>
      <c r="D80" s="2255"/>
      <c r="E80" s="2255"/>
      <c r="F80" s="2255"/>
      <c r="G80" s="2255"/>
      <c r="H80" s="2255"/>
      <c r="I80" s="2255"/>
      <c r="J80" s="2255"/>
      <c r="K80" s="2255"/>
      <c r="L80" s="2255"/>
      <c r="M80" s="2255"/>
      <c r="N80" s="2256"/>
      <c r="O80" s="2255"/>
      <c r="P80" s="2256"/>
      <c r="Q80" s="2256"/>
      <c r="R80" s="2255"/>
      <c r="S80" s="2657" t="str">
        <f>HLOOKUP(select,translations!$A$76:$H$144,4,)</f>
        <v>Yield?</v>
      </c>
      <c r="T80" s="2255"/>
      <c r="U80" s="2256"/>
      <c r="V80" s="2256"/>
      <c r="W80" s="2256"/>
      <c r="X80" s="2256"/>
      <c r="Y80" s="2256"/>
      <c r="Z80" s="2256"/>
      <c r="AA80" s="2256"/>
      <c r="AB80" s="2256"/>
      <c r="AC80" s="2256"/>
      <c r="AE80" s="1987"/>
    </row>
    <row r="81" spans="2:39" s="1738" customFormat="1">
      <c r="B81" s="2262" t="str">
        <f>B50</f>
        <v>Fill with your description</v>
      </c>
      <c r="C81" s="2262"/>
      <c r="D81" s="3138" t="str">
        <f>D73</f>
        <v>Cultivation period (days)</v>
      </c>
      <c r="E81" s="2264" t="str">
        <f>E73</f>
        <v>Water regime</v>
      </c>
      <c r="F81" s="2264"/>
      <c r="G81" s="2264"/>
      <c r="H81" s="2265"/>
      <c r="I81" s="2265"/>
      <c r="J81" s="2265"/>
      <c r="K81" s="2266"/>
      <c r="L81" s="2266"/>
      <c r="M81" s="2267"/>
      <c r="N81" s="3155" t="str">
        <f>N73</f>
        <v>Organic amendment type (straw or other)</v>
      </c>
      <c r="O81" s="3155"/>
      <c r="P81" s="3155"/>
      <c r="Q81" s="3155"/>
      <c r="R81" s="2267"/>
      <c r="S81" s="2268" t="str">
        <f>S73</f>
        <v>Yield</v>
      </c>
      <c r="T81" s="2268"/>
      <c r="U81" s="2192"/>
      <c r="V81" s="3119" t="str">
        <f>V73</f>
        <v>Area (ha)</v>
      </c>
      <c r="W81" s="3119"/>
      <c r="X81" s="3119"/>
      <c r="Y81" s="3119"/>
      <c r="Z81" s="2257"/>
      <c r="AA81" s="3147" t="str">
        <f>AA73</f>
        <v>Total Emissions (tCO2-eq)</v>
      </c>
      <c r="AB81" s="3147"/>
      <c r="AC81" s="2032" t="str">
        <f>AC73</f>
        <v>Balance</v>
      </c>
      <c r="AE81" s="1987" t="str">
        <f>IF(Nlang=1,"",E81)</f>
        <v/>
      </c>
      <c r="AF81" s="1987"/>
      <c r="AG81" s="1987"/>
      <c r="AH81" s="1987"/>
      <c r="AI81" s="1987"/>
      <c r="AJ81" s="1987" t="str">
        <f>IF(Nlang=1,"",N81)</f>
        <v/>
      </c>
      <c r="AK81" s="1987"/>
      <c r="AL81" s="1987"/>
      <c r="AM81" s="1987"/>
    </row>
    <row r="82" spans="2:39" s="1738" customFormat="1">
      <c r="B82" s="2262"/>
      <c r="C82" s="2262"/>
      <c r="D82" s="3138"/>
      <c r="E82" s="2607" t="str">
        <f>E74</f>
        <v>During the cultivation period</v>
      </c>
      <c r="F82" s="2607"/>
      <c r="G82" s="2607"/>
      <c r="H82" s="2269" t="str">
        <f>H74</f>
        <v>Before the cultivation period</v>
      </c>
      <c r="I82" s="2269"/>
      <c r="J82" s="2269"/>
      <c r="K82" s="2269"/>
      <c r="L82" s="2269"/>
      <c r="M82" s="2267"/>
      <c r="N82" s="3155"/>
      <c r="O82" s="3155"/>
      <c r="P82" s="3155"/>
      <c r="Q82" s="3155"/>
      <c r="R82" s="2267"/>
      <c r="S82" s="2268" t="str">
        <f>S74</f>
        <v>(t/ha/yr)</v>
      </c>
      <c r="T82" s="2268"/>
      <c r="U82" s="2192"/>
      <c r="V82" s="2258" t="str">
        <f>V73</f>
        <v>Area (ha)</v>
      </c>
      <c r="W82" s="2672" t="str">
        <f>W74</f>
        <v>Without</v>
      </c>
      <c r="X82" s="2259" t="s">
        <v>93</v>
      </c>
      <c r="Y82" s="2259" t="str">
        <f>Y74</f>
        <v>With</v>
      </c>
      <c r="Z82" s="2259" t="s">
        <v>93</v>
      </c>
      <c r="AA82" s="2259" t="str">
        <f>AA74</f>
        <v>Without</v>
      </c>
      <c r="AB82" s="2259" t="str">
        <f>AB74</f>
        <v>With</v>
      </c>
      <c r="AC82" s="2260"/>
      <c r="AE82" s="1987" t="str">
        <f>IF(Nlang=1,"",E82)</f>
        <v/>
      </c>
      <c r="AF82" s="1987"/>
      <c r="AG82" s="1987" t="str">
        <f>IF(Nlang=1,"",H82)</f>
        <v/>
      </c>
      <c r="AH82" s="1987"/>
      <c r="AI82" s="1987"/>
      <c r="AJ82" s="1987"/>
      <c r="AK82" s="1987"/>
      <c r="AL82" s="1987"/>
      <c r="AM82" s="1987"/>
    </row>
    <row r="83" spans="2:39" s="1738" customFormat="1">
      <c r="B83" s="2230" t="s">
        <v>1550</v>
      </c>
      <c r="C83" s="2262"/>
      <c r="D83" s="2134">
        <v>150</v>
      </c>
      <c r="E83" s="3130" t="s">
        <v>76</v>
      </c>
      <c r="F83" s="3130"/>
      <c r="G83" s="2263"/>
      <c r="H83" s="3131" t="s">
        <v>75</v>
      </c>
      <c r="I83" s="3131"/>
      <c r="J83" s="3131"/>
      <c r="K83" s="3131"/>
      <c r="L83" s="3131"/>
      <c r="M83" s="2267"/>
      <c r="N83" s="3130" t="s">
        <v>74</v>
      </c>
      <c r="O83" s="3130"/>
      <c r="P83" s="3130"/>
      <c r="Q83" s="3130"/>
      <c r="R83" s="2267"/>
      <c r="S83" s="3149"/>
      <c r="T83" s="3149"/>
      <c r="U83" s="2192"/>
      <c r="V83" s="2134">
        <v>0</v>
      </c>
      <c r="W83" s="2134">
        <v>0</v>
      </c>
      <c r="X83" s="2164" t="s">
        <v>1525</v>
      </c>
      <c r="Y83" s="2134">
        <v>0</v>
      </c>
      <c r="Z83" s="2164" t="s">
        <v>1525</v>
      </c>
      <c r="AA83" s="2261">
        <f>'Irrigated Rice'!N36</f>
        <v>0</v>
      </c>
      <c r="AB83" s="2261">
        <f>'Irrigated Rice'!O36</f>
        <v>0</v>
      </c>
      <c r="AC83" s="2261">
        <f>'Irrigated Rice'!P36</f>
        <v>0</v>
      </c>
      <c r="AE83" s="2724" t="str">
        <f>IF(Nlang=1,"",VLOOKUP(E83,'Name translation'!$A$95:$H$115,Nlang+1,))</f>
        <v/>
      </c>
      <c r="AF83" s="2724"/>
      <c r="AG83" s="2724" t="str">
        <f>IF(Nlang=1,"",VLOOKUP(H83,'Name translation'!$A$95:$H$115,Nlang+1,))</f>
        <v/>
      </c>
      <c r="AH83" s="2724"/>
      <c r="AI83" s="2724"/>
      <c r="AJ83" s="2724" t="str">
        <f>IF(Nlang=1,"",VLOOKUP(N83,'Name translation'!$A$95:$H$115,Nlang+1,))</f>
        <v/>
      </c>
      <c r="AK83" s="2724"/>
      <c r="AL83" s="2724"/>
      <c r="AM83" s="2724"/>
    </row>
    <row r="84" spans="2:39" s="1738" customFormat="1">
      <c r="B84" s="2230" t="s">
        <v>1551</v>
      </c>
      <c r="C84" s="2262"/>
      <c r="D84" s="2134">
        <v>150</v>
      </c>
      <c r="E84" s="3130" t="s">
        <v>76</v>
      </c>
      <c r="F84" s="3130"/>
      <c r="G84" s="2263"/>
      <c r="H84" s="3131" t="s">
        <v>75</v>
      </c>
      <c r="I84" s="3131"/>
      <c r="J84" s="3131"/>
      <c r="K84" s="3131"/>
      <c r="L84" s="3131"/>
      <c r="M84" s="2267"/>
      <c r="N84" s="3130" t="s">
        <v>74</v>
      </c>
      <c r="O84" s="3130"/>
      <c r="P84" s="3130"/>
      <c r="Q84" s="3130"/>
      <c r="R84" s="2267"/>
      <c r="S84" s="3149"/>
      <c r="T84" s="3149"/>
      <c r="U84" s="2192"/>
      <c r="V84" s="2134">
        <v>0</v>
      </c>
      <c r="W84" s="2134">
        <v>0</v>
      </c>
      <c r="X84" s="2164" t="s">
        <v>1525</v>
      </c>
      <c r="Y84" s="2134">
        <v>0</v>
      </c>
      <c r="Z84" s="2164" t="s">
        <v>1525</v>
      </c>
      <c r="AA84" s="2261">
        <f>'Irrigated Rice'!N37</f>
        <v>0</v>
      </c>
      <c r="AB84" s="2261">
        <f>'Irrigated Rice'!O37</f>
        <v>0</v>
      </c>
      <c r="AC84" s="2261">
        <f>'Irrigated Rice'!P37</f>
        <v>0</v>
      </c>
      <c r="AE84" s="2724" t="str">
        <f>IF(Nlang=1,"",VLOOKUP(E84,'Name translation'!$A$95:$H$115,Nlang+1,))</f>
        <v/>
      </c>
      <c r="AF84" s="2724"/>
      <c r="AG84" s="2724" t="str">
        <f>IF(Nlang=1,"",VLOOKUP(H84,'Name translation'!$A$95:$H$115,Nlang+1,))</f>
        <v/>
      </c>
      <c r="AH84" s="2724"/>
      <c r="AI84" s="2724"/>
      <c r="AJ84" s="2724" t="str">
        <f>IF(Nlang=1,"",VLOOKUP(N84,'Name translation'!$A$95:$H$115,Nlang+1,))</f>
        <v/>
      </c>
      <c r="AK84" s="2724"/>
      <c r="AL84" s="2724"/>
      <c r="AM84" s="2724"/>
    </row>
    <row r="85" spans="2:39" s="1738" customFormat="1">
      <c r="B85" s="2230" t="s">
        <v>1552</v>
      </c>
      <c r="C85" s="2262"/>
      <c r="D85" s="2134">
        <v>150</v>
      </c>
      <c r="E85" s="3130" t="s">
        <v>76</v>
      </c>
      <c r="F85" s="3130"/>
      <c r="G85" s="2263"/>
      <c r="H85" s="3131" t="s">
        <v>75</v>
      </c>
      <c r="I85" s="3131"/>
      <c r="J85" s="3131"/>
      <c r="K85" s="3131"/>
      <c r="L85" s="3131"/>
      <c r="M85" s="2267"/>
      <c r="N85" s="3130" t="s">
        <v>74</v>
      </c>
      <c r="O85" s="3130"/>
      <c r="P85" s="3130"/>
      <c r="Q85" s="3130"/>
      <c r="R85" s="2267"/>
      <c r="S85" s="3149"/>
      <c r="T85" s="3149"/>
      <c r="U85" s="2192"/>
      <c r="V85" s="2134">
        <v>0</v>
      </c>
      <c r="W85" s="2134">
        <v>0</v>
      </c>
      <c r="X85" s="2164" t="s">
        <v>1525</v>
      </c>
      <c r="Y85" s="2134">
        <v>0</v>
      </c>
      <c r="Z85" s="2164" t="s">
        <v>1525</v>
      </c>
      <c r="AA85" s="2261">
        <f>'Irrigated Rice'!N38</f>
        <v>0</v>
      </c>
      <c r="AB85" s="2261">
        <f>'Irrigated Rice'!O38</f>
        <v>0</v>
      </c>
      <c r="AC85" s="2261">
        <f>'Irrigated Rice'!P38</f>
        <v>0</v>
      </c>
      <c r="AE85" s="2724" t="str">
        <f>IF(Nlang=1,"",VLOOKUP(E85,'Name translation'!$A$95:$H$115,Nlang+1,))</f>
        <v/>
      </c>
      <c r="AF85" s="2724"/>
      <c r="AG85" s="2724" t="str">
        <f>IF(Nlang=1,"",VLOOKUP(H85,'Name translation'!$A$95:$H$115,Nlang+1,))</f>
        <v/>
      </c>
      <c r="AH85" s="2724"/>
      <c r="AI85" s="2724"/>
      <c r="AJ85" s="2724" t="str">
        <f>IF(Nlang=1,"",VLOOKUP(N85,'Name translation'!$A$95:$H$115,Nlang+1,))</f>
        <v/>
      </c>
      <c r="AK85" s="2724"/>
      <c r="AL85" s="2724"/>
      <c r="AM85" s="2724"/>
    </row>
    <row r="86" spans="2:39" s="1738" customFormat="1">
      <c r="B86" s="2230" t="s">
        <v>1553</v>
      </c>
      <c r="C86" s="2262"/>
      <c r="D86" s="2134">
        <v>150</v>
      </c>
      <c r="E86" s="3130" t="s">
        <v>76</v>
      </c>
      <c r="F86" s="3130"/>
      <c r="G86" s="2263"/>
      <c r="H86" s="3131" t="s">
        <v>75</v>
      </c>
      <c r="I86" s="3131"/>
      <c r="J86" s="3131"/>
      <c r="K86" s="3131"/>
      <c r="L86" s="3131"/>
      <c r="M86" s="2267"/>
      <c r="N86" s="3130" t="s">
        <v>74</v>
      </c>
      <c r="O86" s="3130"/>
      <c r="P86" s="3130"/>
      <c r="Q86" s="3130"/>
      <c r="R86" s="2267"/>
      <c r="S86" s="3149"/>
      <c r="T86" s="3149"/>
      <c r="U86" s="2192"/>
      <c r="V86" s="2134">
        <v>0</v>
      </c>
      <c r="W86" s="2134">
        <v>0</v>
      </c>
      <c r="X86" s="2164" t="s">
        <v>1525</v>
      </c>
      <c r="Y86" s="2134">
        <v>0</v>
      </c>
      <c r="Z86" s="2164" t="s">
        <v>1525</v>
      </c>
      <c r="AA86" s="2261">
        <f>'Irrigated Rice'!N39</f>
        <v>0</v>
      </c>
      <c r="AB86" s="2261">
        <f>'Irrigated Rice'!O39</f>
        <v>0</v>
      </c>
      <c r="AC86" s="2261">
        <f>'Irrigated Rice'!P39</f>
        <v>0</v>
      </c>
      <c r="AE86" s="2724" t="str">
        <f>IF(Nlang=1,"",VLOOKUP(E86,'Name translation'!$A$95:$H$115,Nlang+1,))</f>
        <v/>
      </c>
      <c r="AF86" s="2724"/>
      <c r="AG86" s="2724" t="str">
        <f>IF(Nlang=1,"",VLOOKUP(H86,'Name translation'!$A$95:$H$115,Nlang+1,))</f>
        <v/>
      </c>
      <c r="AH86" s="2724"/>
      <c r="AI86" s="2724"/>
      <c r="AJ86" s="2724" t="str">
        <f>IF(Nlang=1,"",VLOOKUP(N86,'Name translation'!$A$95:$H$115,Nlang+1,))</f>
        <v/>
      </c>
      <c r="AK86" s="2724"/>
      <c r="AL86" s="2724"/>
      <c r="AM86" s="2724"/>
    </row>
    <row r="87" spans="2:39" s="1738" customFormat="1">
      <c r="B87" s="2230" t="s">
        <v>1554</v>
      </c>
      <c r="C87" s="2262"/>
      <c r="D87" s="2134">
        <v>150</v>
      </c>
      <c r="E87" s="3130" t="s">
        <v>76</v>
      </c>
      <c r="F87" s="3130"/>
      <c r="G87" s="2263"/>
      <c r="H87" s="3131" t="s">
        <v>75</v>
      </c>
      <c r="I87" s="3131"/>
      <c r="J87" s="3131"/>
      <c r="K87" s="3131"/>
      <c r="L87" s="3131"/>
      <c r="M87" s="2267"/>
      <c r="N87" s="3130" t="s">
        <v>74</v>
      </c>
      <c r="O87" s="3130"/>
      <c r="P87" s="3130"/>
      <c r="Q87" s="3130"/>
      <c r="R87" s="2267"/>
      <c r="S87" s="3149"/>
      <c r="T87" s="3149"/>
      <c r="U87" s="2192"/>
      <c r="V87" s="2134">
        <v>0</v>
      </c>
      <c r="W87" s="2134">
        <v>0</v>
      </c>
      <c r="X87" s="2164" t="s">
        <v>1525</v>
      </c>
      <c r="Y87" s="2134">
        <v>0</v>
      </c>
      <c r="Z87" s="2164" t="s">
        <v>1525</v>
      </c>
      <c r="AA87" s="2261">
        <f>'Irrigated Rice'!N40</f>
        <v>0</v>
      </c>
      <c r="AB87" s="2261">
        <f>'Irrigated Rice'!O40</f>
        <v>0</v>
      </c>
      <c r="AC87" s="2261">
        <f>'Irrigated Rice'!P40</f>
        <v>0</v>
      </c>
      <c r="AE87" s="2724" t="str">
        <f>IF(Nlang=1,"",VLOOKUP(E87,'Name translation'!$A$95:$H$115,Nlang+1,))</f>
        <v/>
      </c>
      <c r="AF87" s="2724"/>
      <c r="AG87" s="2724" t="str">
        <f>IF(Nlang=1,"",VLOOKUP(H87,'Name translation'!$A$95:$H$115,Nlang+1,))</f>
        <v/>
      </c>
      <c r="AH87" s="2724"/>
      <c r="AI87" s="2724"/>
      <c r="AJ87" s="2724" t="str">
        <f>IF(Nlang=1,"",VLOOKUP(N87,'Name translation'!$A$95:$H$115,Nlang+1,))</f>
        <v/>
      </c>
      <c r="AK87" s="2724"/>
      <c r="AL87" s="2724"/>
      <c r="AM87" s="2724"/>
    </row>
    <row r="88" spans="2:39" s="1738" customFormat="1">
      <c r="B88" s="2230" t="s">
        <v>1555</v>
      </c>
      <c r="C88" s="2262"/>
      <c r="D88" s="2134">
        <v>150</v>
      </c>
      <c r="E88" s="3130" t="s">
        <v>76</v>
      </c>
      <c r="F88" s="3130"/>
      <c r="G88" s="2263"/>
      <c r="H88" s="3131" t="s">
        <v>75</v>
      </c>
      <c r="I88" s="3131"/>
      <c r="J88" s="3131"/>
      <c r="K88" s="3131"/>
      <c r="L88" s="3131"/>
      <c r="M88" s="2267"/>
      <c r="N88" s="3130" t="s">
        <v>74</v>
      </c>
      <c r="O88" s="3130"/>
      <c r="P88" s="3130"/>
      <c r="Q88" s="3130"/>
      <c r="R88" s="2267"/>
      <c r="S88" s="3149"/>
      <c r="T88" s="3149"/>
      <c r="U88" s="2192"/>
      <c r="V88" s="2134">
        <v>0</v>
      </c>
      <c r="W88" s="2134">
        <v>0</v>
      </c>
      <c r="X88" s="2164" t="s">
        <v>1525</v>
      </c>
      <c r="Y88" s="2134">
        <v>0</v>
      </c>
      <c r="Z88" s="2164" t="s">
        <v>1525</v>
      </c>
      <c r="AA88" s="2261">
        <f>'Irrigated Rice'!N41</f>
        <v>0</v>
      </c>
      <c r="AB88" s="2261">
        <f>'Irrigated Rice'!O41</f>
        <v>0</v>
      </c>
      <c r="AC88" s="2261">
        <f>'Irrigated Rice'!P41</f>
        <v>0</v>
      </c>
      <c r="AE88" s="2724" t="str">
        <f>IF(Nlang=1,"",VLOOKUP(E88,'Name translation'!$A$95:$H$115,Nlang+1,))</f>
        <v/>
      </c>
      <c r="AF88" s="2724"/>
      <c r="AG88" s="2724" t="str">
        <f>IF(Nlang=1,"",VLOOKUP(H88,'Name translation'!$A$95:$H$115,Nlang+1,))</f>
        <v/>
      </c>
      <c r="AH88" s="2724"/>
      <c r="AI88" s="2724"/>
      <c r="AJ88" s="2724" t="str">
        <f>IF(Nlang=1,"",VLOOKUP(N88,'Name translation'!$A$95:$H$115,Nlang+1,))</f>
        <v/>
      </c>
      <c r="AK88" s="2724"/>
      <c r="AL88" s="2724"/>
      <c r="AM88" s="2724"/>
    </row>
    <row r="89" spans="2:39" s="1738" customFormat="1">
      <c r="B89" s="2230" t="s">
        <v>1556</v>
      </c>
      <c r="C89" s="2262"/>
      <c r="D89" s="2134">
        <v>150</v>
      </c>
      <c r="E89" s="3130" t="s">
        <v>76</v>
      </c>
      <c r="F89" s="3130"/>
      <c r="G89" s="2263"/>
      <c r="H89" s="3131" t="s">
        <v>75</v>
      </c>
      <c r="I89" s="3131"/>
      <c r="J89" s="3131"/>
      <c r="K89" s="3131"/>
      <c r="L89" s="3131"/>
      <c r="M89" s="2267"/>
      <c r="N89" s="3130" t="s">
        <v>74</v>
      </c>
      <c r="O89" s="3130"/>
      <c r="P89" s="3130"/>
      <c r="Q89" s="3130"/>
      <c r="R89" s="2267"/>
      <c r="S89" s="3149"/>
      <c r="T89" s="3149"/>
      <c r="U89" s="2192"/>
      <c r="V89" s="2134">
        <v>0</v>
      </c>
      <c r="W89" s="2134">
        <v>0</v>
      </c>
      <c r="X89" s="2164" t="s">
        <v>1525</v>
      </c>
      <c r="Y89" s="2134">
        <v>0</v>
      </c>
      <c r="Z89" s="2164" t="s">
        <v>1525</v>
      </c>
      <c r="AA89" s="2261">
        <f>'Irrigated Rice'!N42</f>
        <v>0</v>
      </c>
      <c r="AB89" s="2261">
        <f>'Irrigated Rice'!O42</f>
        <v>0</v>
      </c>
      <c r="AC89" s="2261">
        <f>'Irrigated Rice'!P42</f>
        <v>0</v>
      </c>
      <c r="AE89" s="2724" t="str">
        <f>IF(Nlang=1,"",VLOOKUP(E89,'Name translation'!$A$95:$H$115,Nlang+1,))</f>
        <v/>
      </c>
      <c r="AF89" s="2724"/>
      <c r="AG89" s="2724" t="str">
        <f>IF(Nlang=1,"",VLOOKUP(H89,'Name translation'!$A$95:$H$115,Nlang+1,))</f>
        <v/>
      </c>
      <c r="AH89" s="2724"/>
      <c r="AI89" s="2724"/>
      <c r="AJ89" s="2724" t="str">
        <f>IF(Nlang=1,"",VLOOKUP(N89,'Name translation'!$A$95:$H$115,Nlang+1,))</f>
        <v/>
      </c>
      <c r="AK89" s="2724"/>
      <c r="AL89" s="2724"/>
      <c r="AM89" s="2724"/>
    </row>
    <row r="90" spans="2:39" s="1738" customFormat="1">
      <c r="B90" s="2230" t="s">
        <v>1557</v>
      </c>
      <c r="C90" s="2262"/>
      <c r="D90" s="2134">
        <v>150</v>
      </c>
      <c r="E90" s="3130" t="s">
        <v>76</v>
      </c>
      <c r="F90" s="3130"/>
      <c r="G90" s="2263"/>
      <c r="H90" s="3131" t="s">
        <v>75</v>
      </c>
      <c r="I90" s="3131"/>
      <c r="J90" s="3131"/>
      <c r="K90" s="3131"/>
      <c r="L90" s="3131"/>
      <c r="M90" s="2267"/>
      <c r="N90" s="3130" t="s">
        <v>74</v>
      </c>
      <c r="O90" s="3130"/>
      <c r="P90" s="3130"/>
      <c r="Q90" s="3130"/>
      <c r="R90" s="2267"/>
      <c r="S90" s="3149"/>
      <c r="T90" s="3149"/>
      <c r="U90" s="2192"/>
      <c r="V90" s="2134">
        <v>0</v>
      </c>
      <c r="W90" s="2134">
        <v>0</v>
      </c>
      <c r="X90" s="2164" t="s">
        <v>1525</v>
      </c>
      <c r="Y90" s="2134">
        <v>0</v>
      </c>
      <c r="Z90" s="2164" t="s">
        <v>1525</v>
      </c>
      <c r="AA90" s="2261">
        <f>'Irrigated Rice'!N43</f>
        <v>0</v>
      </c>
      <c r="AB90" s="2261">
        <f>'Irrigated Rice'!O43</f>
        <v>0</v>
      </c>
      <c r="AC90" s="2261">
        <f>'Irrigated Rice'!P43</f>
        <v>0</v>
      </c>
      <c r="AE90" s="2724" t="str">
        <f>IF(Nlang=1,"",VLOOKUP(E90,'Name translation'!$A$95:$H$115,Nlang+1,))</f>
        <v/>
      </c>
      <c r="AF90" s="2724"/>
      <c r="AG90" s="2724" t="str">
        <f>IF(Nlang=1,"",VLOOKUP(H90,'Name translation'!$A$95:$H$115,Nlang+1,))</f>
        <v/>
      </c>
      <c r="AH90" s="2724"/>
      <c r="AI90" s="2724"/>
      <c r="AJ90" s="2724" t="str">
        <f>IF(Nlang=1,"",VLOOKUP(N90,'Name translation'!$A$95:$H$115,Nlang+1,))</f>
        <v/>
      </c>
      <c r="AK90" s="2724"/>
      <c r="AL90" s="2724"/>
      <c r="AM90" s="2724"/>
    </row>
    <row r="91" spans="2:39" s="1738" customFormat="1">
      <c r="B91" s="2230" t="s">
        <v>1558</v>
      </c>
      <c r="C91" s="2262"/>
      <c r="D91" s="2134">
        <v>150</v>
      </c>
      <c r="E91" s="3130" t="s">
        <v>76</v>
      </c>
      <c r="F91" s="3130"/>
      <c r="G91" s="2263"/>
      <c r="H91" s="3131" t="s">
        <v>75</v>
      </c>
      <c r="I91" s="3131"/>
      <c r="J91" s="3131"/>
      <c r="K91" s="3131"/>
      <c r="L91" s="3131"/>
      <c r="M91" s="2267"/>
      <c r="N91" s="3130" t="s">
        <v>74</v>
      </c>
      <c r="O91" s="3130"/>
      <c r="P91" s="3130"/>
      <c r="Q91" s="3130"/>
      <c r="R91" s="2267"/>
      <c r="S91" s="3149"/>
      <c r="T91" s="3149"/>
      <c r="U91" s="2192"/>
      <c r="V91" s="2134">
        <v>0</v>
      </c>
      <c r="W91" s="2134">
        <v>0</v>
      </c>
      <c r="X91" s="2164" t="s">
        <v>1525</v>
      </c>
      <c r="Y91" s="2134">
        <v>0</v>
      </c>
      <c r="Z91" s="2164" t="s">
        <v>1525</v>
      </c>
      <c r="AA91" s="2261">
        <f>'Irrigated Rice'!N44</f>
        <v>0</v>
      </c>
      <c r="AB91" s="2261">
        <f>'Irrigated Rice'!O44</f>
        <v>0</v>
      </c>
      <c r="AC91" s="2261">
        <f>'Irrigated Rice'!P44</f>
        <v>0</v>
      </c>
      <c r="AE91" s="2724" t="str">
        <f>IF(Nlang=1,"",VLOOKUP(E91,'Name translation'!$A$95:$H$115,Nlang+1,))</f>
        <v/>
      </c>
      <c r="AF91" s="2724"/>
      <c r="AG91" s="2724" t="str">
        <f>IF(Nlang=1,"",VLOOKUP(H91,'Name translation'!$A$95:$H$115,Nlang+1,))</f>
        <v/>
      </c>
      <c r="AH91" s="2724"/>
      <c r="AI91" s="2724"/>
      <c r="AJ91" s="2724" t="str">
        <f>IF(Nlang=1,"",VLOOKUP(N91,'Name translation'!$A$95:$H$115,Nlang+1,))</f>
        <v/>
      </c>
      <c r="AK91" s="2724"/>
      <c r="AL91" s="2724"/>
      <c r="AM91" s="2724"/>
    </row>
    <row r="92" spans="2:39" s="1738" customFormat="1">
      <c r="B92" s="2230" t="s">
        <v>1559</v>
      </c>
      <c r="C92" s="2262"/>
      <c r="D92" s="2134">
        <v>150</v>
      </c>
      <c r="E92" s="3130" t="s">
        <v>76</v>
      </c>
      <c r="F92" s="3130"/>
      <c r="G92" s="2263"/>
      <c r="H92" s="3131" t="s">
        <v>75</v>
      </c>
      <c r="I92" s="3131"/>
      <c r="J92" s="3131"/>
      <c r="K92" s="3131"/>
      <c r="L92" s="3131"/>
      <c r="M92" s="2267"/>
      <c r="N92" s="3130" t="s">
        <v>74</v>
      </c>
      <c r="O92" s="3130"/>
      <c r="P92" s="3130"/>
      <c r="Q92" s="3130"/>
      <c r="R92" s="2267"/>
      <c r="S92" s="3149"/>
      <c r="T92" s="3149"/>
      <c r="U92" s="2192"/>
      <c r="V92" s="2134">
        <v>0</v>
      </c>
      <c r="W92" s="2134">
        <v>0</v>
      </c>
      <c r="X92" s="2164" t="s">
        <v>1525</v>
      </c>
      <c r="Y92" s="2134">
        <v>0</v>
      </c>
      <c r="Z92" s="2164" t="s">
        <v>1525</v>
      </c>
      <c r="AA92" s="2261">
        <f>'Irrigated Rice'!N45</f>
        <v>0</v>
      </c>
      <c r="AB92" s="2261">
        <f>'Irrigated Rice'!O45</f>
        <v>0</v>
      </c>
      <c r="AC92" s="2261">
        <f>'Irrigated Rice'!P45</f>
        <v>0</v>
      </c>
      <c r="AE92" s="2724" t="str">
        <f>IF(Nlang=1,"",VLOOKUP(E92,'Name translation'!$A$95:$H$115,Nlang+1,))</f>
        <v/>
      </c>
      <c r="AF92" s="2724"/>
      <c r="AG92" s="2724" t="str">
        <f>IF(Nlang=1,"",VLOOKUP(H92,'Name translation'!$A$95:$H$115,Nlang+1,))</f>
        <v/>
      </c>
      <c r="AH92" s="2724"/>
      <c r="AI92" s="2724"/>
      <c r="AJ92" s="2724" t="str">
        <f>IF(Nlang=1,"",VLOOKUP(N92,'Name translation'!$A$95:$H$115,Nlang+1,))</f>
        <v/>
      </c>
      <c r="AK92" s="2724"/>
      <c r="AL92" s="2724"/>
      <c r="AM92" s="2724"/>
    </row>
    <row r="93" spans="2:39" s="1738" customFormat="1">
      <c r="B93" s="2192"/>
      <c r="C93" s="2192"/>
      <c r="D93" s="2192"/>
      <c r="E93" s="2192"/>
      <c r="F93" s="2192"/>
      <c r="G93" s="2192"/>
      <c r="H93" s="2192"/>
      <c r="I93" s="2192"/>
      <c r="J93" s="2192"/>
      <c r="K93" s="2192"/>
      <c r="L93" s="2192"/>
      <c r="M93" s="2192"/>
      <c r="N93" s="2257"/>
      <c r="O93" s="2192"/>
      <c r="P93" s="2257"/>
      <c r="Q93" s="2257"/>
      <c r="R93" s="2192"/>
      <c r="S93" s="2257"/>
      <c r="T93" s="2257"/>
      <c r="U93" s="2681" t="str">
        <f>N62</f>
        <v>Total (ha)</v>
      </c>
      <c r="V93" s="2257">
        <f>'Irrigated Rice'!C46</f>
        <v>0</v>
      </c>
      <c r="W93" s="2257">
        <f>'Irrigated Rice'!D46</f>
        <v>0</v>
      </c>
      <c r="X93" s="2257"/>
      <c r="Y93" s="2257">
        <f>'Irrigated Rice'!F46</f>
        <v>0</v>
      </c>
      <c r="Z93" s="2273" t="str">
        <f>'Irrigated Rice'!G46</f>
        <v/>
      </c>
      <c r="AA93" s="2257"/>
      <c r="AB93" s="2257"/>
      <c r="AC93" s="2257"/>
    </row>
    <row r="94" spans="2:39" s="1738" customFormat="1">
      <c r="N94" s="1743"/>
      <c r="O94" s="2190" t="str">
        <f>I63</f>
        <v>* Note concerning dynamics of change : "D" corresponds to default/linear, "I" to immediate and "E" to exponential (Please refer to the guidelines)</v>
      </c>
      <c r="P94" s="2188"/>
      <c r="Q94" s="2188"/>
      <c r="R94" s="2188"/>
      <c r="S94" s="2188"/>
      <c r="T94" s="2188"/>
      <c r="U94" s="2188"/>
      <c r="V94" s="2188"/>
      <c r="W94" s="2188"/>
      <c r="X94" s="2188"/>
      <c r="Y94" s="2188"/>
      <c r="Z94" s="2188"/>
      <c r="AA94" s="2189"/>
      <c r="AB94" s="2189"/>
      <c r="AC94" s="2188"/>
    </row>
    <row r="95" spans="2:39" s="1738" customFormat="1">
      <c r="N95" s="1743"/>
      <c r="P95" s="1743"/>
      <c r="Q95" s="1743"/>
      <c r="U95" s="1743"/>
      <c r="V95" s="1743"/>
      <c r="W95" s="1743"/>
      <c r="X95" s="1743"/>
      <c r="Y95" s="1743"/>
    </row>
    <row r="96" spans="2:39" s="1738" customFormat="1">
      <c r="N96" s="1743"/>
      <c r="S96" s="1743"/>
      <c r="T96" s="1743"/>
      <c r="W96" s="2746" t="str">
        <f>HLOOKUP(select,translations!$A$76:$H$144,38,)</f>
        <v>Total Flooded Rice Systems</v>
      </c>
      <c r="X96" s="2307"/>
      <c r="Y96" s="2307"/>
      <c r="Z96" s="2308"/>
      <c r="AA96" s="2309">
        <f>'Irrigated Rice'!N47</f>
        <v>0</v>
      </c>
      <c r="AB96" s="2309">
        <f>'Irrigated Rice'!O47</f>
        <v>0</v>
      </c>
      <c r="AC96" s="2309">
        <f>'Irrigated Rice'!P47</f>
        <v>0</v>
      </c>
    </row>
    <row r="97" spans="14:25" s="1738" customFormat="1">
      <c r="N97" s="1743"/>
      <c r="P97" s="1743"/>
      <c r="Q97" s="1743"/>
      <c r="U97" s="1743"/>
      <c r="V97" s="1743"/>
      <c r="W97" s="1743"/>
      <c r="X97" s="1743"/>
      <c r="Y97" s="1743"/>
    </row>
    <row r="98" spans="14:25" s="1738" customFormat="1">
      <c r="N98" s="1743"/>
      <c r="P98" s="1743"/>
      <c r="Q98" s="1743"/>
      <c r="U98" s="1743"/>
      <c r="V98" s="1743"/>
      <c r="W98" s="1743"/>
      <c r="X98" s="1743"/>
      <c r="Y98" s="1743"/>
    </row>
    <row r="99" spans="14:25" s="1738" customFormat="1">
      <c r="N99" s="1743"/>
      <c r="P99" s="1743"/>
      <c r="Q99" s="1743"/>
      <c r="U99" s="1743"/>
      <c r="V99" s="1743"/>
      <c r="W99" s="1743"/>
      <c r="X99" s="1743"/>
      <c r="Y99" s="1743"/>
    </row>
    <row r="100" spans="14:25" s="1738" customFormat="1">
      <c r="N100" s="1743"/>
      <c r="P100" s="1743"/>
      <c r="Q100" s="1743"/>
      <c r="U100" s="1743"/>
      <c r="V100" s="1743"/>
      <c r="W100" s="1743"/>
      <c r="X100" s="1743"/>
      <c r="Y100" s="1743"/>
    </row>
    <row r="101" spans="14:25" s="1738" customFormat="1">
      <c r="N101" s="1743"/>
      <c r="P101" s="1743"/>
      <c r="Q101" s="1743"/>
      <c r="U101" s="1743"/>
      <c r="V101" s="1743"/>
      <c r="W101" s="1743"/>
      <c r="X101" s="1743"/>
      <c r="Y101" s="1743"/>
    </row>
    <row r="102" spans="14:25" s="1738" customFormat="1">
      <c r="N102" s="1743"/>
      <c r="P102" s="1743"/>
      <c r="Q102" s="1743"/>
      <c r="U102" s="1743"/>
      <c r="V102" s="1743"/>
      <c r="W102" s="1743"/>
      <c r="X102" s="1743"/>
      <c r="Y102" s="1743"/>
    </row>
    <row r="103" spans="14:25" s="1738" customFormat="1">
      <c r="N103" s="1743"/>
      <c r="P103" s="1743"/>
      <c r="Q103" s="1743"/>
      <c r="U103" s="1743"/>
      <c r="V103" s="1743"/>
      <c r="W103" s="1743"/>
      <c r="X103" s="1743"/>
      <c r="Y103" s="1743"/>
    </row>
    <row r="104" spans="14:25" s="1738" customFormat="1">
      <c r="N104" s="1743"/>
      <c r="P104" s="1743"/>
      <c r="Q104" s="1743"/>
      <c r="U104" s="1743"/>
      <c r="V104" s="1743"/>
      <c r="W104" s="1743"/>
      <c r="X104" s="1743"/>
      <c r="Y104" s="1743"/>
    </row>
    <row r="105" spans="14:25" s="1738" customFormat="1">
      <c r="N105" s="1743"/>
      <c r="P105" s="1743"/>
      <c r="Q105" s="1743"/>
      <c r="U105" s="1743"/>
      <c r="V105" s="1743"/>
      <c r="W105" s="1743"/>
      <c r="X105" s="1743"/>
      <c r="Y105" s="1743"/>
    </row>
    <row r="106" spans="14:25" s="1738" customFormat="1">
      <c r="N106" s="1743"/>
      <c r="P106" s="1743"/>
      <c r="Q106" s="1743"/>
      <c r="U106" s="1743"/>
      <c r="V106" s="1743"/>
      <c r="W106" s="1743"/>
      <c r="X106" s="1743"/>
      <c r="Y106" s="1743"/>
    </row>
    <row r="107" spans="14:25" s="1738" customFormat="1">
      <c r="N107" s="1743"/>
      <c r="P107" s="1743"/>
      <c r="Q107" s="1743"/>
      <c r="U107" s="1743"/>
      <c r="V107" s="1743"/>
      <c r="W107" s="1743"/>
      <c r="X107" s="1743"/>
      <c r="Y107" s="1743"/>
    </row>
    <row r="108" spans="14:25" s="1738" customFormat="1">
      <c r="N108" s="1743"/>
      <c r="P108" s="1743"/>
      <c r="Q108" s="1743"/>
      <c r="U108" s="1743"/>
      <c r="V108" s="1743"/>
      <c r="W108" s="1743"/>
      <c r="X108" s="1743"/>
      <c r="Y108" s="1743"/>
    </row>
    <row r="109" spans="14:25" s="1738" customFormat="1">
      <c r="N109" s="1743"/>
      <c r="P109" s="1743"/>
      <c r="Q109" s="1743"/>
      <c r="U109" s="1743"/>
      <c r="V109" s="1743"/>
      <c r="W109" s="1743"/>
      <c r="X109" s="1743"/>
      <c r="Y109" s="1743"/>
    </row>
    <row r="110" spans="14:25" s="1738" customFormat="1">
      <c r="N110" s="1743"/>
      <c r="P110" s="1743"/>
      <c r="Q110" s="1743"/>
      <c r="U110" s="1743"/>
      <c r="V110" s="1743"/>
      <c r="W110" s="1743"/>
      <c r="X110" s="1743"/>
      <c r="Y110" s="1743"/>
    </row>
    <row r="111" spans="14:25" s="1738" customFormat="1">
      <c r="N111" s="1743"/>
      <c r="P111" s="1743"/>
      <c r="Q111" s="1743"/>
      <c r="U111" s="1743"/>
      <c r="V111" s="1743"/>
      <c r="W111" s="1743"/>
      <c r="X111" s="1743"/>
      <c r="Y111" s="1743"/>
    </row>
    <row r="112" spans="14:25" s="1738" customFormat="1">
      <c r="N112" s="1743"/>
      <c r="P112" s="1743"/>
      <c r="Q112" s="1743"/>
      <c r="U112" s="1743"/>
      <c r="V112" s="1743"/>
      <c r="W112" s="1743"/>
      <c r="X112" s="1743"/>
      <c r="Y112" s="1743"/>
    </row>
    <row r="113" spans="2:25" s="1738" customFormat="1">
      <c r="N113" s="1743"/>
      <c r="P113" s="1743"/>
      <c r="Q113" s="1743"/>
      <c r="U113" s="1743"/>
      <c r="V113" s="1743"/>
      <c r="W113" s="1743"/>
      <c r="X113" s="1743"/>
      <c r="Y113" s="1743"/>
    </row>
    <row r="114" spans="2:25" s="1738" customFormat="1">
      <c r="N114" s="1743"/>
      <c r="P114" s="1743"/>
      <c r="Q114" s="1743"/>
      <c r="U114" s="1743"/>
      <c r="V114" s="1743"/>
      <c r="W114" s="1743"/>
      <c r="X114" s="1743"/>
      <c r="Y114" s="1743"/>
    </row>
    <row r="115" spans="2:25" s="1738" customFormat="1">
      <c r="N115" s="1743"/>
      <c r="P115" s="1743"/>
      <c r="Q115" s="1743"/>
      <c r="U115" s="1743"/>
      <c r="V115" s="1743"/>
      <c r="W115" s="1743"/>
      <c r="X115" s="1743"/>
      <c r="Y115" s="1743"/>
    </row>
    <row r="116" spans="2:25" s="1738" customFormat="1">
      <c r="N116" s="1743"/>
      <c r="P116" s="1743"/>
      <c r="Q116" s="1743"/>
      <c r="U116" s="1743"/>
      <c r="V116" s="1743"/>
      <c r="W116" s="1743"/>
      <c r="X116" s="1743"/>
      <c r="Y116" s="1743"/>
    </row>
    <row r="117" spans="2:25" s="1738" customFormat="1" ht="15.6">
      <c r="B117" s="2567" t="str">
        <f>B7</f>
        <v>3.1. Annual systems (to be used also for  pluri-annual systems such as  cotton or sugarcane)</v>
      </c>
      <c r="C117" s="2585"/>
      <c r="D117" s="2586"/>
      <c r="E117" s="2586"/>
      <c r="F117" s="2586"/>
      <c r="G117" s="2586"/>
      <c r="H117" s="2586"/>
      <c r="I117" s="2586"/>
      <c r="J117" s="2586"/>
      <c r="K117" s="2586"/>
      <c r="L117" s="2586"/>
      <c r="M117" s="2586"/>
      <c r="N117" s="2587"/>
      <c r="O117" s="2587"/>
    </row>
    <row r="118" spans="2:25" s="1738" customFormat="1">
      <c r="N118" s="1743"/>
    </row>
    <row r="119" spans="2:25" s="1738" customFormat="1">
      <c r="B119" s="1799"/>
      <c r="C119" s="1799"/>
      <c r="D119" s="1800"/>
      <c r="E119" s="1799"/>
      <c r="F119" s="1799"/>
      <c r="G119" s="1799"/>
      <c r="H119" s="1799"/>
      <c r="I119" s="1799"/>
      <c r="J119" s="1799"/>
      <c r="K119" s="1799"/>
      <c r="L119" s="1799"/>
      <c r="M119" s="1799"/>
      <c r="N119" s="2438"/>
      <c r="O119" s="2684"/>
    </row>
    <row r="120" spans="2:25" s="1738" customFormat="1">
      <c r="B120" s="1799"/>
      <c r="C120" s="1799"/>
      <c r="D120" s="1799"/>
      <c r="E120" s="1799"/>
      <c r="F120" s="1799"/>
      <c r="G120" s="1799"/>
      <c r="H120" s="1799"/>
      <c r="I120" s="1799"/>
      <c r="J120" s="1799"/>
      <c r="K120" s="1799"/>
      <c r="L120" s="1799"/>
      <c r="M120" s="1799"/>
      <c r="N120" s="2438"/>
      <c r="O120" s="2684"/>
    </row>
    <row r="121" spans="2:25" s="1738" customFormat="1">
      <c r="B121" s="1799"/>
      <c r="C121" s="1799"/>
      <c r="D121" s="1799"/>
      <c r="E121" s="1799"/>
      <c r="F121" s="1799"/>
      <c r="G121" s="1799"/>
      <c r="H121" s="1799"/>
      <c r="I121" s="1799"/>
      <c r="J121" s="1799"/>
      <c r="K121" s="1799"/>
      <c r="L121" s="1799"/>
      <c r="M121" s="1799"/>
      <c r="N121" s="2438"/>
      <c r="O121" s="2684"/>
    </row>
    <row r="122" spans="2:25" s="1738" customFormat="1">
      <c r="B122" s="1852" t="str">
        <f>'2.LUC'!B92</f>
        <v>Use this part only if you want to refine the analysis with Tier 2 coefficients.</v>
      </c>
      <c r="C122" s="2206"/>
      <c r="D122" s="1761"/>
      <c r="E122" s="1762"/>
      <c r="F122" s="1761"/>
      <c r="G122" s="1761"/>
      <c r="H122" s="1761"/>
      <c r="I122" s="1799"/>
      <c r="J122" s="1799"/>
      <c r="K122" s="1799"/>
      <c r="L122" s="1799"/>
      <c r="M122" s="1799"/>
      <c r="N122" s="2438"/>
      <c r="O122" s="2684"/>
    </row>
    <row r="123" spans="2:25" s="1738" customFormat="1">
      <c r="B123" s="3136" t="str">
        <f>'2.LUC'!$B$93</f>
        <v>(default values are provided for your information only, while EX-ACT will use Tier 2 values automatically wherever specified)</v>
      </c>
      <c r="C123" s="3136"/>
      <c r="D123" s="3136"/>
      <c r="E123" s="3136"/>
      <c r="F123" s="3136"/>
      <c r="G123" s="3136"/>
      <c r="H123" s="3136"/>
      <c r="I123" s="3136"/>
      <c r="J123" s="3136"/>
      <c r="K123" s="3136"/>
      <c r="L123" s="3136"/>
      <c r="M123" s="3136"/>
      <c r="N123" s="3136"/>
      <c r="O123" s="2684"/>
    </row>
    <row r="124" spans="2:25" s="1738" customFormat="1">
      <c r="B124" s="3136"/>
      <c r="C124" s="3136"/>
      <c r="D124" s="3136"/>
      <c r="E124" s="3136"/>
      <c r="F124" s="3136"/>
      <c r="G124" s="3136"/>
      <c r="H124" s="3136"/>
      <c r="I124" s="3136"/>
      <c r="J124" s="3136"/>
      <c r="K124" s="3136"/>
      <c r="L124" s="3136"/>
      <c r="M124" s="3136"/>
      <c r="N124" s="3136"/>
      <c r="O124" s="2684"/>
    </row>
    <row r="125" spans="2:25" s="1738" customFormat="1">
      <c r="N125" s="1743"/>
    </row>
    <row r="126" spans="2:25" s="1738" customFormat="1">
      <c r="B126" s="1800" t="str">
        <f>HLOOKUP(select,translations!$A$76:$H$144,43,)</f>
        <v>Systems</v>
      </c>
      <c r="C126" s="1799"/>
      <c r="D126" s="1799"/>
      <c r="E126" s="2554" t="str">
        <f>HLOOKUP(select,translations!$A$76:$H$144,44,)</f>
        <v>Rates of soil C sequestration</v>
      </c>
      <c r="F126" s="2231"/>
      <c r="G126" s="1799"/>
      <c r="H126" s="1799"/>
      <c r="I126" s="2554" t="str">
        <f>HLOOKUP(select,translations!$A$76:$H$144,45,)</f>
        <v>Residues/Biomass available for burning</v>
      </c>
      <c r="J126" s="1799"/>
      <c r="K126" s="1919"/>
      <c r="L126" s="1799"/>
      <c r="M126" s="1799"/>
      <c r="N126" s="2438"/>
      <c r="O126" s="2684"/>
    </row>
    <row r="127" spans="2:25" s="1738" customFormat="1">
      <c r="B127" s="1799"/>
      <c r="C127" s="1799"/>
      <c r="D127" s="1799"/>
      <c r="E127" s="3127" t="str">
        <f>HLOOKUP(select,translations!$A$76:$H$144,46,)</f>
        <v xml:space="preserve"> (t CO2/ha/yr)</v>
      </c>
      <c r="F127" s="3127"/>
      <c r="G127" s="1799"/>
      <c r="H127" s="1799"/>
      <c r="I127" s="3142" t="str">
        <f>HLOOKUP(select,translations!$A$76:$H$144,47,)</f>
        <v>(t Dry Matter per ha)</v>
      </c>
      <c r="J127" s="3142"/>
      <c r="K127" s="3142"/>
      <c r="L127" s="3142"/>
      <c r="M127" s="1799"/>
      <c r="N127" s="2438"/>
      <c r="O127" s="2684"/>
    </row>
    <row r="128" spans="2:25" s="1738" customFormat="1">
      <c r="B128" s="2682" t="str">
        <f>HLOOKUP(select,translations!$A$76:$H$144,48,)</f>
        <v>Annual systems from (or to) other LU</v>
      </c>
      <c r="C128" s="1799"/>
      <c r="D128" s="1799"/>
      <c r="E128" s="2183" t="str">
        <f>'2.LUC'!E97</f>
        <v>Default</v>
      </c>
      <c r="F128" s="1790" t="str">
        <f>'2.LUC'!F97</f>
        <v>Tier 2</v>
      </c>
      <c r="G128" s="1799"/>
      <c r="H128" s="1799"/>
      <c r="I128" s="1799" t="str">
        <f>E128</f>
        <v>Default</v>
      </c>
      <c r="J128" s="3133" t="str">
        <f>F128</f>
        <v>Tier 2</v>
      </c>
      <c r="K128" s="3133"/>
      <c r="L128" s="3133"/>
      <c r="M128" s="2675"/>
      <c r="N128" s="2438"/>
      <c r="O128" s="2684"/>
    </row>
    <row r="129" spans="2:25" s="1738" customFormat="1">
      <c r="B129" s="2573" t="str">
        <f>B13</f>
        <v>Annual after Deforestation</v>
      </c>
      <c r="C129" s="2608"/>
      <c r="D129" s="2608"/>
      <c r="E129" s="2609">
        <f>MAX(Annual!P9:T9)</f>
        <v>0</v>
      </c>
      <c r="F129" s="2173"/>
      <c r="G129" s="1799"/>
      <c r="H129" s="1799"/>
      <c r="I129" s="2609">
        <v>10</v>
      </c>
      <c r="J129" s="3120"/>
      <c r="K129" s="3120"/>
      <c r="L129" s="3120"/>
      <c r="M129" s="1799"/>
      <c r="N129" s="2438"/>
      <c r="O129" s="2684"/>
    </row>
    <row r="130" spans="2:25" s="1738" customFormat="1">
      <c r="B130" s="2573" t="str">
        <f>B14</f>
        <v>Converted to A/R</v>
      </c>
      <c r="C130" s="2608"/>
      <c r="D130" s="2608"/>
      <c r="E130" s="2609">
        <f>MAX(Annual!P10:T10)</f>
        <v>0</v>
      </c>
      <c r="F130" s="2173"/>
      <c r="G130" s="1799"/>
      <c r="H130" s="1799"/>
      <c r="I130" s="2609">
        <v>10</v>
      </c>
      <c r="J130" s="3120"/>
      <c r="K130" s="3120"/>
      <c r="L130" s="3120"/>
      <c r="M130" s="1799"/>
      <c r="N130" s="2438"/>
      <c r="O130" s="2684"/>
    </row>
    <row r="131" spans="2:25" s="1738" customFormat="1">
      <c r="B131" s="2573" t="str">
        <f>B15</f>
        <v>Annual after non-forest LU</v>
      </c>
      <c r="C131" s="2608"/>
      <c r="D131" s="2608"/>
      <c r="E131" s="2609">
        <f>MAX(Annual!P11:T11)</f>
        <v>0</v>
      </c>
      <c r="F131" s="2173"/>
      <c r="G131" s="1799"/>
      <c r="H131" s="1799"/>
      <c r="I131" s="2609">
        <v>10</v>
      </c>
      <c r="J131" s="3120"/>
      <c r="K131" s="3120"/>
      <c r="L131" s="3120"/>
      <c r="M131" s="1799"/>
      <c r="N131" s="2438"/>
      <c r="O131" s="2684"/>
    </row>
    <row r="132" spans="2:25" s="1738" customFormat="1">
      <c r="B132" s="2573" t="str">
        <f>B16</f>
        <v>Converted to OLUC</v>
      </c>
      <c r="C132" s="2608"/>
      <c r="D132" s="2608"/>
      <c r="E132" s="2609">
        <f>MAX(Annual!P12:T12)</f>
        <v>0</v>
      </c>
      <c r="F132" s="2173"/>
      <c r="G132" s="1799"/>
      <c r="H132" s="1799"/>
      <c r="I132" s="2609">
        <v>10</v>
      </c>
      <c r="J132" s="3120"/>
      <c r="K132" s="3120"/>
      <c r="L132" s="3120"/>
      <c r="M132" s="1799"/>
      <c r="N132" s="2438"/>
      <c r="O132" s="2684"/>
    </row>
    <row r="133" spans="2:25" s="1738" customFormat="1">
      <c r="B133" s="2682" t="str">
        <f>HLOOKUP(select,translations!$A$76:$H$144,49,)</f>
        <v xml:space="preserve">Annual systems remaining annual systems </v>
      </c>
      <c r="C133" s="1799"/>
      <c r="D133" s="1799"/>
      <c r="E133" s="1799"/>
      <c r="F133" s="1799"/>
      <c r="G133" s="1799"/>
      <c r="H133" s="1799"/>
      <c r="I133" s="1799"/>
      <c r="J133" s="1799"/>
      <c r="K133" s="1799"/>
      <c r="L133" s="1799"/>
      <c r="M133" s="1799"/>
      <c r="N133" s="2438"/>
      <c r="O133" s="2684"/>
    </row>
    <row r="134" spans="2:25" s="1738" customFormat="1">
      <c r="B134" s="2608" t="str">
        <f t="shared" ref="B134:B143" si="0">B22</f>
        <v>description 1</v>
      </c>
      <c r="C134" s="2608"/>
      <c r="D134" s="2608"/>
      <c r="E134" s="2609">
        <f>MAX(Annual!P13:T13)</f>
        <v>0</v>
      </c>
      <c r="F134" s="2173"/>
      <c r="G134" s="1799"/>
      <c r="H134" s="1799"/>
      <c r="I134" s="2609">
        <v>10</v>
      </c>
      <c r="J134" s="3120"/>
      <c r="K134" s="3120"/>
      <c r="L134" s="3120"/>
      <c r="M134" s="1799"/>
      <c r="N134" s="2438"/>
      <c r="O134" s="2684"/>
    </row>
    <row r="135" spans="2:25" s="1738" customFormat="1">
      <c r="B135" s="2608" t="str">
        <f t="shared" si="0"/>
        <v>description 2</v>
      </c>
      <c r="C135" s="2608"/>
      <c r="D135" s="2608"/>
      <c r="E135" s="2609">
        <f>MAX(Annual!P14:T14)</f>
        <v>0</v>
      </c>
      <c r="F135" s="2173"/>
      <c r="G135" s="1799"/>
      <c r="H135" s="1799"/>
      <c r="I135" s="2609">
        <v>10</v>
      </c>
      <c r="J135" s="3120"/>
      <c r="K135" s="3120"/>
      <c r="L135" s="3120"/>
      <c r="M135" s="1799"/>
      <c r="N135" s="2438"/>
      <c r="O135" s="2684"/>
    </row>
    <row r="136" spans="2:25" s="1738" customFormat="1">
      <c r="B136" s="2608" t="str">
        <f t="shared" si="0"/>
        <v>description 3</v>
      </c>
      <c r="C136" s="2608"/>
      <c r="D136" s="2608"/>
      <c r="E136" s="2609">
        <f>MAX(Annual!P15:T15)</f>
        <v>0</v>
      </c>
      <c r="F136" s="2173"/>
      <c r="G136" s="1799"/>
      <c r="H136" s="1799"/>
      <c r="I136" s="2609">
        <v>10</v>
      </c>
      <c r="J136" s="3120"/>
      <c r="K136" s="3120"/>
      <c r="L136" s="3120"/>
      <c r="M136" s="1799"/>
      <c r="N136" s="2438"/>
      <c r="O136" s="2684"/>
    </row>
    <row r="137" spans="2:25" s="1738" customFormat="1">
      <c r="B137" s="2608" t="str">
        <f t="shared" si="0"/>
        <v>description 4</v>
      </c>
      <c r="C137" s="2608"/>
      <c r="D137" s="2608"/>
      <c r="E137" s="2609">
        <f>MAX(Annual!P16:T16)</f>
        <v>0</v>
      </c>
      <c r="F137" s="2173"/>
      <c r="G137" s="1799"/>
      <c r="H137" s="1799"/>
      <c r="I137" s="2609">
        <v>10</v>
      </c>
      <c r="J137" s="3120"/>
      <c r="K137" s="3120"/>
      <c r="L137" s="3120"/>
      <c r="M137" s="1799"/>
      <c r="N137" s="2438"/>
      <c r="O137" s="2684"/>
    </row>
    <row r="138" spans="2:25" s="1738" customFormat="1">
      <c r="B138" s="2608" t="str">
        <f t="shared" si="0"/>
        <v>description 5</v>
      </c>
      <c r="C138" s="2608"/>
      <c r="D138" s="2608"/>
      <c r="E138" s="2609">
        <f>MAX(Annual!P17:T17)</f>
        <v>0</v>
      </c>
      <c r="F138" s="2173"/>
      <c r="G138" s="1799"/>
      <c r="H138" s="1799"/>
      <c r="I138" s="2609">
        <v>10</v>
      </c>
      <c r="J138" s="3120"/>
      <c r="K138" s="3120"/>
      <c r="L138" s="3120"/>
      <c r="M138" s="1799"/>
      <c r="N138" s="2438"/>
      <c r="O138" s="2684"/>
    </row>
    <row r="139" spans="2:25" s="1738" customFormat="1">
      <c r="B139" s="2608" t="str">
        <f t="shared" si="0"/>
        <v>description 6</v>
      </c>
      <c r="C139" s="2608"/>
      <c r="D139" s="2608"/>
      <c r="E139" s="2609">
        <f>MAX(Annual!P18:T18)</f>
        <v>0</v>
      </c>
      <c r="F139" s="2173"/>
      <c r="G139" s="1799"/>
      <c r="H139" s="1799"/>
      <c r="I139" s="2609">
        <v>10</v>
      </c>
      <c r="J139" s="3120"/>
      <c r="K139" s="3120"/>
      <c r="L139" s="3120"/>
      <c r="M139" s="1799"/>
      <c r="N139" s="2438"/>
      <c r="O139" s="2684"/>
    </row>
    <row r="140" spans="2:25" s="1738" customFormat="1">
      <c r="B140" s="2608" t="str">
        <f t="shared" si="0"/>
        <v>description 7</v>
      </c>
      <c r="C140" s="2608"/>
      <c r="D140" s="2608"/>
      <c r="E140" s="2609">
        <f>MAX(Annual!P19:T19)</f>
        <v>0</v>
      </c>
      <c r="F140" s="2173"/>
      <c r="G140" s="1799"/>
      <c r="H140" s="1799"/>
      <c r="I140" s="2609">
        <v>10</v>
      </c>
      <c r="J140" s="3120"/>
      <c r="K140" s="3120"/>
      <c r="L140" s="3120"/>
      <c r="M140" s="1799"/>
      <c r="N140" s="2438"/>
      <c r="O140" s="2684"/>
    </row>
    <row r="141" spans="2:25" s="1738" customFormat="1">
      <c r="B141" s="2608" t="str">
        <f t="shared" si="0"/>
        <v>description 8</v>
      </c>
      <c r="C141" s="2608"/>
      <c r="D141" s="2608"/>
      <c r="E141" s="2609">
        <f>MAX(Annual!P20:T20)</f>
        <v>0</v>
      </c>
      <c r="F141" s="2173"/>
      <c r="G141" s="1799"/>
      <c r="H141" s="1799"/>
      <c r="I141" s="2609">
        <v>10</v>
      </c>
      <c r="J141" s="3120"/>
      <c r="K141" s="3120"/>
      <c r="L141" s="3120"/>
      <c r="M141" s="1799"/>
      <c r="N141" s="2438"/>
      <c r="O141" s="2684"/>
    </row>
    <row r="142" spans="2:25" s="1738" customFormat="1">
      <c r="B142" s="2608" t="str">
        <f t="shared" si="0"/>
        <v>description 9</v>
      </c>
      <c r="C142" s="2608"/>
      <c r="D142" s="2608"/>
      <c r="E142" s="2609">
        <f>MAX(Annual!P21:T21)</f>
        <v>0</v>
      </c>
      <c r="F142" s="2173"/>
      <c r="G142" s="1799"/>
      <c r="H142" s="1799"/>
      <c r="I142" s="2609">
        <v>10</v>
      </c>
      <c r="J142" s="3120"/>
      <c r="K142" s="3120"/>
      <c r="L142" s="3120"/>
      <c r="M142" s="1799"/>
      <c r="N142" s="2438"/>
      <c r="O142" s="2684"/>
    </row>
    <row r="143" spans="2:25" s="1738" customFormat="1">
      <c r="B143" s="2608" t="str">
        <f t="shared" si="0"/>
        <v>description 10</v>
      </c>
      <c r="C143" s="2608"/>
      <c r="D143" s="2608"/>
      <c r="E143" s="2609">
        <f>MAX(Annual!P22:T22)</f>
        <v>0</v>
      </c>
      <c r="F143" s="2173"/>
      <c r="G143" s="1799"/>
      <c r="H143" s="1799"/>
      <c r="I143" s="2609">
        <v>10</v>
      </c>
      <c r="J143" s="3120"/>
      <c r="K143" s="3120"/>
      <c r="L143" s="3120"/>
      <c r="M143" s="1799"/>
      <c r="N143" s="2438"/>
      <c r="O143" s="2684"/>
    </row>
    <row r="144" spans="2:25" s="1738" customFormat="1">
      <c r="N144" s="1743"/>
      <c r="P144" s="1743"/>
      <c r="Q144" s="1743"/>
      <c r="U144" s="1743"/>
      <c r="V144" s="1743"/>
      <c r="W144" s="1743"/>
      <c r="X144" s="1743"/>
      <c r="Y144" s="1743"/>
    </row>
    <row r="145" spans="14:25" s="1738" customFormat="1">
      <c r="N145" s="1743"/>
      <c r="P145" s="1743"/>
      <c r="Q145" s="1743"/>
      <c r="U145" s="1743"/>
      <c r="V145" s="1743"/>
      <c r="W145" s="1743"/>
      <c r="X145" s="1743"/>
      <c r="Y145" s="1743"/>
    </row>
    <row r="146" spans="14:25" s="1738" customFormat="1">
      <c r="N146" s="1743"/>
      <c r="P146" s="1743"/>
      <c r="Q146" s="1743"/>
      <c r="U146" s="1743"/>
      <c r="V146" s="1743"/>
      <c r="W146" s="1743"/>
      <c r="X146" s="1743"/>
      <c r="Y146" s="1743"/>
    </row>
    <row r="147" spans="14:25" s="1738" customFormat="1">
      <c r="N147" s="1743"/>
      <c r="P147" s="1743"/>
      <c r="Q147" s="1743"/>
      <c r="U147" s="1743"/>
      <c r="V147" s="1743"/>
      <c r="W147" s="1743"/>
      <c r="X147" s="1743"/>
      <c r="Y147" s="1743"/>
    </row>
    <row r="148" spans="14:25" s="1738" customFormat="1">
      <c r="N148" s="1743"/>
      <c r="P148" s="1743"/>
      <c r="Q148" s="1743"/>
      <c r="U148" s="1743"/>
      <c r="V148" s="1743"/>
      <c r="W148" s="1743"/>
      <c r="X148" s="1743"/>
      <c r="Y148" s="1743"/>
    </row>
    <row r="149" spans="14:25" s="1738" customFormat="1">
      <c r="N149" s="1743"/>
      <c r="P149" s="1743"/>
      <c r="Q149" s="1743"/>
      <c r="U149" s="1743"/>
      <c r="V149" s="1743"/>
      <c r="W149" s="1743"/>
      <c r="X149" s="1743"/>
      <c r="Y149" s="1743"/>
    </row>
    <row r="150" spans="14:25" s="1738" customFormat="1">
      <c r="N150" s="1743"/>
      <c r="P150" s="1743"/>
      <c r="Q150" s="1743"/>
      <c r="U150" s="1743"/>
      <c r="V150" s="1743"/>
      <c r="W150" s="1743"/>
      <c r="X150" s="1743"/>
      <c r="Y150" s="1743"/>
    </row>
    <row r="151" spans="14:25" s="1738" customFormat="1">
      <c r="N151" s="1743"/>
      <c r="P151" s="1743"/>
      <c r="Q151" s="1743"/>
      <c r="U151" s="1743"/>
      <c r="V151" s="1743"/>
      <c r="W151" s="1743"/>
      <c r="X151" s="1743"/>
      <c r="Y151" s="1743"/>
    </row>
    <row r="152" spans="14:25" s="1738" customFormat="1">
      <c r="N152" s="1743"/>
      <c r="P152" s="1743"/>
      <c r="Q152" s="1743"/>
      <c r="U152" s="1743"/>
      <c r="V152" s="1743"/>
      <c r="W152" s="1743"/>
      <c r="X152" s="1743"/>
      <c r="Y152" s="1743"/>
    </row>
    <row r="153" spans="14:25" s="1738" customFormat="1">
      <c r="N153" s="1743"/>
      <c r="P153" s="1743"/>
      <c r="Q153" s="1743"/>
      <c r="U153" s="1743"/>
      <c r="V153" s="1743"/>
      <c r="W153" s="1743"/>
      <c r="X153" s="1743"/>
      <c r="Y153" s="1743"/>
    </row>
    <row r="154" spans="14:25" s="1738" customFormat="1">
      <c r="N154" s="1743"/>
      <c r="P154" s="1743"/>
      <c r="Q154" s="1743"/>
      <c r="U154" s="1743"/>
      <c r="V154" s="1743"/>
      <c r="W154" s="1743"/>
      <c r="X154" s="1743"/>
      <c r="Y154" s="1743"/>
    </row>
    <row r="155" spans="14:25" s="1738" customFormat="1">
      <c r="N155" s="1743"/>
      <c r="P155" s="1743"/>
      <c r="Q155" s="1743"/>
      <c r="U155" s="1743"/>
      <c r="V155" s="1743"/>
      <c r="W155" s="1743"/>
      <c r="X155" s="1743"/>
      <c r="Y155" s="1743"/>
    </row>
    <row r="156" spans="14:25" s="1738" customFormat="1">
      <c r="N156" s="1743"/>
      <c r="P156" s="1743"/>
      <c r="Q156" s="1743"/>
      <c r="U156" s="1743"/>
      <c r="V156" s="1743"/>
      <c r="W156" s="1743"/>
      <c r="X156" s="1743"/>
      <c r="Y156" s="1743"/>
    </row>
    <row r="157" spans="14:25" s="1738" customFormat="1">
      <c r="N157" s="1743"/>
      <c r="P157" s="1743"/>
      <c r="Q157" s="1743"/>
      <c r="U157" s="1743"/>
      <c r="V157" s="1743"/>
      <c r="W157" s="1743"/>
      <c r="X157" s="1743"/>
      <c r="Y157" s="1743"/>
    </row>
    <row r="158" spans="14:25" s="1738" customFormat="1">
      <c r="N158" s="1743"/>
      <c r="P158" s="1743"/>
      <c r="Q158" s="1743"/>
      <c r="U158" s="1743"/>
      <c r="V158" s="1743"/>
      <c r="W158" s="1743"/>
      <c r="X158" s="1743"/>
      <c r="Y158" s="1743"/>
    </row>
    <row r="159" spans="14:25" s="1738" customFormat="1">
      <c r="N159" s="1743"/>
      <c r="P159" s="1743"/>
      <c r="Q159" s="1743"/>
      <c r="U159" s="1743"/>
      <c r="V159" s="1743"/>
      <c r="W159" s="1743"/>
      <c r="X159" s="1743"/>
      <c r="Y159" s="1743"/>
    </row>
    <row r="160" spans="14:25" s="1738" customFormat="1">
      <c r="N160" s="1743"/>
      <c r="P160" s="1743"/>
      <c r="Q160" s="1743"/>
      <c r="U160" s="1743"/>
      <c r="V160" s="1743"/>
      <c r="W160" s="1743"/>
      <c r="X160" s="1743"/>
      <c r="Y160" s="1743"/>
    </row>
    <row r="161" spans="2:25" s="1738" customFormat="1">
      <c r="N161" s="1743"/>
      <c r="P161" s="1743"/>
      <c r="Q161" s="1743"/>
      <c r="U161" s="1743"/>
      <c r="V161" s="1743"/>
      <c r="W161" s="1743"/>
      <c r="X161" s="1743"/>
      <c r="Y161" s="1743"/>
    </row>
    <row r="162" spans="2:25" s="1738" customFormat="1" ht="15.6">
      <c r="B162" s="2564" t="str">
        <f>B39</f>
        <v>3.2. Perrenial systems (agroforestry, orchards, tree crops…)</v>
      </c>
      <c r="C162" s="2564"/>
      <c r="D162" s="2564"/>
      <c r="E162" s="2564"/>
      <c r="F162" s="2564"/>
      <c r="G162" s="2564"/>
      <c r="H162" s="2564"/>
      <c r="I162" s="2564"/>
      <c r="J162" s="2564"/>
      <c r="K162" s="2564"/>
      <c r="L162" s="2564"/>
      <c r="M162" s="2564"/>
      <c r="N162" s="2589"/>
      <c r="O162" s="2564"/>
      <c r="P162" s="2564"/>
      <c r="Q162" s="2564"/>
      <c r="R162" s="2564"/>
      <c r="S162" s="2564"/>
      <c r="T162" s="2564"/>
      <c r="U162" s="2564"/>
      <c r="V162" s="2564"/>
      <c r="W162" s="1743"/>
      <c r="X162" s="1743"/>
      <c r="Y162" s="1743"/>
    </row>
    <row r="163" spans="2:25" s="1738" customFormat="1">
      <c r="N163" s="1743"/>
      <c r="Q163" s="1743"/>
      <c r="U163" s="1743"/>
      <c r="V163" s="1743"/>
      <c r="W163" s="1743"/>
      <c r="X163" s="1743"/>
      <c r="Y163" s="1743"/>
    </row>
    <row r="164" spans="2:25" s="1738" customFormat="1">
      <c r="B164" s="2193"/>
      <c r="C164" s="2193"/>
      <c r="D164" s="2194"/>
      <c r="E164" s="2193"/>
      <c r="F164" s="2193"/>
      <c r="G164" s="2193"/>
      <c r="H164" s="2193"/>
      <c r="I164" s="2193"/>
      <c r="J164" s="2193"/>
      <c r="K164" s="2193"/>
      <c r="L164" s="2193"/>
      <c r="M164" s="2193"/>
      <c r="N164" s="2439"/>
      <c r="O164" s="2193"/>
      <c r="P164" s="2193"/>
      <c r="Q164" s="2193"/>
      <c r="R164" s="2193"/>
      <c r="S164" s="2193"/>
      <c r="T164" s="2193"/>
      <c r="U164" s="2193"/>
      <c r="V164" s="2193"/>
      <c r="W164" s="1743"/>
      <c r="X164" s="1743"/>
      <c r="Y164" s="1743"/>
    </row>
    <row r="165" spans="2:25" s="1738" customFormat="1">
      <c r="B165" s="2193"/>
      <c r="C165" s="2193"/>
      <c r="D165" s="2193"/>
      <c r="E165" s="2193"/>
      <c r="F165" s="2193"/>
      <c r="G165" s="2193"/>
      <c r="H165" s="2193"/>
      <c r="I165" s="2193"/>
      <c r="J165" s="2193"/>
      <c r="K165" s="2193"/>
      <c r="L165" s="2193"/>
      <c r="M165" s="2193"/>
      <c r="N165" s="2439"/>
      <c r="O165" s="2193"/>
      <c r="P165" s="2193"/>
      <c r="Q165" s="2193"/>
      <c r="R165" s="2193"/>
      <c r="S165" s="2193"/>
      <c r="T165" s="2193"/>
      <c r="U165" s="2193"/>
      <c r="V165" s="2193"/>
      <c r="W165" s="1743"/>
      <c r="X165" s="1743"/>
      <c r="Y165" s="1743"/>
    </row>
    <row r="166" spans="2:25" s="1738" customFormat="1">
      <c r="B166" s="2193"/>
      <c r="C166" s="2193"/>
      <c r="D166" s="2193"/>
      <c r="E166" s="2193"/>
      <c r="F166" s="2193"/>
      <c r="G166" s="2193"/>
      <c r="H166" s="2193"/>
      <c r="I166" s="2193"/>
      <c r="J166" s="2193"/>
      <c r="K166" s="2193"/>
      <c r="L166" s="2193"/>
      <c r="M166" s="2193"/>
      <c r="N166" s="2439"/>
      <c r="O166" s="2193"/>
      <c r="P166" s="2193"/>
      <c r="Q166" s="2193"/>
      <c r="R166" s="2193"/>
      <c r="S166" s="2193"/>
      <c r="T166" s="2193"/>
      <c r="U166" s="2193"/>
      <c r="V166" s="2193"/>
      <c r="W166" s="1743"/>
      <c r="X166" s="1743"/>
      <c r="Y166" s="1743"/>
    </row>
    <row r="167" spans="2:25" s="1738" customFormat="1">
      <c r="B167" s="2198" t="str">
        <f>B122</f>
        <v>Use this part only if you want to refine the analysis with Tier 2 coefficients.</v>
      </c>
      <c r="C167" s="2177"/>
      <c r="D167" s="2168"/>
      <c r="E167" s="2178"/>
      <c r="F167" s="2168"/>
      <c r="G167" s="2168"/>
      <c r="H167" s="2168"/>
      <c r="I167" s="2193"/>
      <c r="J167" s="2193"/>
      <c r="K167" s="2193"/>
      <c r="L167" s="2193"/>
      <c r="M167" s="2193"/>
      <c r="N167" s="2439"/>
      <c r="O167" s="2193"/>
      <c r="P167" s="2193"/>
      <c r="Q167" s="2193"/>
      <c r="R167" s="2193"/>
      <c r="S167" s="2193"/>
      <c r="T167" s="2193"/>
      <c r="U167" s="2193"/>
      <c r="V167" s="2193"/>
      <c r="W167" s="1743"/>
      <c r="X167" s="1743"/>
      <c r="Y167" s="1743"/>
    </row>
    <row r="168" spans="2:25" s="1738" customFormat="1">
      <c r="B168" s="2177" t="str">
        <f>B123</f>
        <v>(default values are provided for your information only, while EX-ACT will use Tier 2 values automatically wherever specified)</v>
      </c>
      <c r="C168" s="2177"/>
      <c r="D168" s="2168"/>
      <c r="E168" s="2168"/>
      <c r="F168" s="2168"/>
      <c r="G168" s="2168"/>
      <c r="H168" s="2168"/>
      <c r="I168" s="2193"/>
      <c r="J168" s="2193"/>
      <c r="K168" s="2193"/>
      <c r="L168" s="2193"/>
      <c r="M168" s="2193"/>
      <c r="N168" s="2578"/>
      <c r="O168" s="2193"/>
      <c r="P168" s="2193"/>
      <c r="Q168" s="2193"/>
      <c r="R168" s="2193"/>
      <c r="S168" s="2193"/>
      <c r="T168" s="2193"/>
      <c r="U168" s="2193"/>
      <c r="V168" s="2193"/>
      <c r="W168" s="1743"/>
      <c r="X168" s="1743"/>
      <c r="Y168" s="1743"/>
    </row>
    <row r="169" spans="2:25" s="1738" customFormat="1">
      <c r="N169" s="1743"/>
      <c r="P169" s="1743"/>
      <c r="Q169" s="1743"/>
      <c r="U169" s="1743"/>
      <c r="V169" s="1743"/>
      <c r="W169" s="1743"/>
      <c r="X169" s="1743"/>
      <c r="Y169" s="1743"/>
    </row>
    <row r="170" spans="2:25" s="1738" customFormat="1">
      <c r="B170" s="2194" t="str">
        <f>B126</f>
        <v>Systems</v>
      </c>
      <c r="C170" s="2193"/>
      <c r="D170" s="2168"/>
      <c r="E170" s="3141" t="str">
        <f>'2.LUC'!E96</f>
        <v>Above-ground</v>
      </c>
      <c r="F170" s="3141"/>
      <c r="G170" s="2357"/>
      <c r="H170" s="3141" t="str">
        <f>'2.LUC'!G96</f>
        <v>Below-ground</v>
      </c>
      <c r="I170" s="3141"/>
      <c r="J170" s="2358" t="str">
        <f>E126</f>
        <v>Rates of soil C sequestration</v>
      </c>
      <c r="K170" s="2193"/>
      <c r="L170" s="2168"/>
      <c r="M170" s="2168"/>
      <c r="N170" s="2441"/>
      <c r="O170" s="3141" t="str">
        <f>HLOOKUP(select,translations!$A$76:$H$144,51,)</f>
        <v>Burning (quantity of residues and periodicity)</v>
      </c>
      <c r="P170" s="3141"/>
      <c r="Q170" s="3141"/>
      <c r="R170" s="3141"/>
      <c r="S170" s="3141"/>
      <c r="T170" s="3141"/>
      <c r="U170" s="3141"/>
      <c r="V170" s="3141"/>
      <c r="Y170" s="1743"/>
    </row>
    <row r="171" spans="2:25" s="1738" customFormat="1">
      <c r="B171" s="2193"/>
      <c r="C171" s="2193"/>
      <c r="D171" s="2168"/>
      <c r="E171" s="2168"/>
      <c r="F171" s="2365" t="str">
        <f>HLOOKUP(select,translations!$A$76:$H$144,50,)</f>
        <v>Growth rate (t C/ha/yr)</v>
      </c>
      <c r="G171" s="2357"/>
      <c r="H171" s="3129" t="str">
        <f>F171</f>
        <v>Growth rate (t C/ha/yr)</v>
      </c>
      <c r="I171" s="3129"/>
      <c r="J171" s="2168"/>
      <c r="K171" s="3129" t="str">
        <f>E127</f>
        <v xml:space="preserve"> (t CO2/ha/yr)</v>
      </c>
      <c r="L171" s="3129"/>
      <c r="M171" s="3129"/>
      <c r="N171" s="3129"/>
      <c r="O171" s="3129" t="str">
        <f>I127</f>
        <v>(t Dry Matter per ha)</v>
      </c>
      <c r="P171" s="3129"/>
      <c r="Q171" s="2195"/>
      <c r="R171" s="2193"/>
      <c r="S171" s="3145" t="str">
        <f>HLOOKUP(select,translations!$A$76:$H$144,52,)</f>
        <v>Periodicity (yr)</v>
      </c>
      <c r="T171" s="3145"/>
      <c r="U171" s="3145"/>
      <c r="V171" s="2193"/>
      <c r="Y171" s="1743"/>
    </row>
    <row r="172" spans="2:25" s="1738" customFormat="1">
      <c r="B172" s="2359" t="str">
        <f>HLOOKUP(select,translations!$A$76:$H$144,53,)</f>
        <v>Perennial systems from (or to) other LU</v>
      </c>
      <c r="C172" s="2193"/>
      <c r="D172" s="2168"/>
      <c r="E172" s="2200" t="str">
        <f>E128</f>
        <v>Default</v>
      </c>
      <c r="F172" s="2360" t="str">
        <f>F128</f>
        <v>Tier 2</v>
      </c>
      <c r="G172" s="2360"/>
      <c r="H172" s="2200" t="str">
        <f>E172</f>
        <v>Default</v>
      </c>
      <c r="I172" s="2168" t="str">
        <f>F172</f>
        <v>Tier 2</v>
      </c>
      <c r="J172" s="2168"/>
      <c r="K172" s="3143" t="str">
        <f>H172</f>
        <v>Default</v>
      </c>
      <c r="L172" s="3143"/>
      <c r="M172" s="3143"/>
      <c r="N172" s="2676" t="str">
        <f>I172</f>
        <v>Tier 2</v>
      </c>
      <c r="O172" s="2200" t="str">
        <f>K172</f>
        <v>Default</v>
      </c>
      <c r="P172" s="2676" t="str">
        <f>N172</f>
        <v>Tier 2</v>
      </c>
      <c r="Q172" s="2195"/>
      <c r="R172" s="2193"/>
      <c r="S172" s="2200" t="str">
        <f>O172</f>
        <v>Default</v>
      </c>
      <c r="T172" s="3139" t="str">
        <f>P172</f>
        <v>Tier 2</v>
      </c>
      <c r="U172" s="3139"/>
      <c r="V172" s="2193"/>
      <c r="Y172" s="1743"/>
    </row>
    <row r="173" spans="2:25" s="1738" customFormat="1">
      <c r="B173" s="2610" t="str">
        <f>B44</f>
        <v>Perennial after Deforestation</v>
      </c>
      <c r="C173" s="2611"/>
      <c r="D173" s="2611"/>
      <c r="E173" s="2612">
        <f>Perennial!G10</f>
        <v>0</v>
      </c>
      <c r="F173" s="2233"/>
      <c r="G173" s="2360"/>
      <c r="H173" s="2612">
        <f>Perennial!I10</f>
        <v>0</v>
      </c>
      <c r="I173" s="2233"/>
      <c r="J173" s="2168"/>
      <c r="K173" s="3144">
        <f>Perennial!K10</f>
        <v>0</v>
      </c>
      <c r="L173" s="3144"/>
      <c r="M173" s="3144"/>
      <c r="N173" s="2437"/>
      <c r="O173" s="2612">
        <v>10</v>
      </c>
      <c r="P173" s="2233"/>
      <c r="Q173" s="2195"/>
      <c r="R173" s="2193"/>
      <c r="S173" s="2612">
        <v>1</v>
      </c>
      <c r="T173" s="3120"/>
      <c r="U173" s="3120"/>
      <c r="V173" s="2193"/>
      <c r="Y173" s="1743"/>
    </row>
    <row r="174" spans="2:25" s="1738" customFormat="1">
      <c r="B174" s="2610" t="str">
        <f>B45</f>
        <v>Converted to A/R</v>
      </c>
      <c r="C174" s="2611"/>
      <c r="D174" s="2611"/>
      <c r="E174" s="2612">
        <f>Perennial!G11</f>
        <v>0</v>
      </c>
      <c r="F174" s="2233"/>
      <c r="G174" s="2360"/>
      <c r="H174" s="2612">
        <f>Perennial!I11</f>
        <v>0</v>
      </c>
      <c r="I174" s="2233"/>
      <c r="J174" s="2168"/>
      <c r="K174" s="3144">
        <f>Perennial!K11</f>
        <v>0</v>
      </c>
      <c r="L174" s="3144"/>
      <c r="M174" s="3144"/>
      <c r="N174" s="2437"/>
      <c r="O174" s="2612">
        <v>10</v>
      </c>
      <c r="P174" s="2233"/>
      <c r="Q174" s="2195"/>
      <c r="R174" s="2193"/>
      <c r="S174" s="2612">
        <v>1</v>
      </c>
      <c r="T174" s="3120"/>
      <c r="U174" s="3120"/>
      <c r="V174" s="2193"/>
      <c r="Y174" s="1743"/>
    </row>
    <row r="175" spans="2:25" s="1738" customFormat="1">
      <c r="B175" s="2610" t="str">
        <f>B46</f>
        <v>Perennial after non-forest LU</v>
      </c>
      <c r="C175" s="2611"/>
      <c r="D175" s="2611"/>
      <c r="E175" s="2612">
        <f>Perennial!G12</f>
        <v>0</v>
      </c>
      <c r="F175" s="2233"/>
      <c r="G175" s="2360"/>
      <c r="H175" s="2612">
        <f>Perennial!I12</f>
        <v>0</v>
      </c>
      <c r="I175" s="2233"/>
      <c r="J175" s="2168"/>
      <c r="K175" s="3144">
        <f>Perennial!K12</f>
        <v>0</v>
      </c>
      <c r="L175" s="3144"/>
      <c r="M175" s="3144"/>
      <c r="N175" s="2437"/>
      <c r="O175" s="2612">
        <v>10</v>
      </c>
      <c r="P175" s="2233"/>
      <c r="Q175" s="2195"/>
      <c r="R175" s="2193"/>
      <c r="S175" s="2612">
        <v>1</v>
      </c>
      <c r="T175" s="3120"/>
      <c r="U175" s="3120"/>
      <c r="V175" s="2193"/>
      <c r="Y175" s="1743"/>
    </row>
    <row r="176" spans="2:25" s="1738" customFormat="1">
      <c r="B176" s="2610" t="str">
        <f>B47</f>
        <v>Converted to OLUC</v>
      </c>
      <c r="C176" s="2611"/>
      <c r="D176" s="2611"/>
      <c r="E176" s="2612">
        <f>Perennial!G13</f>
        <v>0</v>
      </c>
      <c r="F176" s="2233"/>
      <c r="G176" s="2360"/>
      <c r="H176" s="2612">
        <f>Perennial!I13</f>
        <v>0</v>
      </c>
      <c r="I176" s="2233"/>
      <c r="J176" s="2168"/>
      <c r="K176" s="3144">
        <f>Perennial!K13</f>
        <v>0</v>
      </c>
      <c r="L176" s="3144"/>
      <c r="M176" s="3144"/>
      <c r="N176" s="2437"/>
      <c r="O176" s="2612">
        <v>10</v>
      </c>
      <c r="P176" s="2233"/>
      <c r="Q176" s="2195"/>
      <c r="R176" s="2193"/>
      <c r="S176" s="2612">
        <v>1</v>
      </c>
      <c r="T176" s="3120"/>
      <c r="U176" s="3120"/>
      <c r="V176" s="2193"/>
      <c r="Y176" s="1743"/>
    </row>
    <row r="177" spans="2:25" s="1738" customFormat="1">
      <c r="B177" s="2359" t="str">
        <f>HLOOKUP(select,translations!$A$76:$H$144,54,)</f>
        <v>Perennial syst. remaining perennial syst.</v>
      </c>
      <c r="C177" s="2193"/>
      <c r="D177" s="2193"/>
      <c r="E177" s="2195"/>
      <c r="F177" s="2193"/>
      <c r="G177" s="2360"/>
      <c r="H177" s="2195"/>
      <c r="I177" s="2193"/>
      <c r="J177" s="2168"/>
      <c r="K177" s="2193"/>
      <c r="L177" s="2193"/>
      <c r="M177" s="2193"/>
      <c r="N177" s="2439"/>
      <c r="O177" s="2193"/>
      <c r="P177" s="2193"/>
      <c r="Q177" s="2195"/>
      <c r="R177" s="2193"/>
      <c r="S177" s="2195"/>
      <c r="T177" s="2195"/>
      <c r="U177" s="2195"/>
      <c r="V177" s="2195"/>
      <c r="Y177" s="1743"/>
    </row>
    <row r="178" spans="2:25" s="1738" customFormat="1">
      <c r="B178" s="2611" t="str">
        <f>B52</f>
        <v>Enter description of your system 1</v>
      </c>
      <c r="C178" s="2611"/>
      <c r="D178" s="2611"/>
      <c r="E178" s="2612">
        <f>Perennial!G14</f>
        <v>0</v>
      </c>
      <c r="F178" s="2233"/>
      <c r="G178" s="2360"/>
      <c r="H178" s="2612">
        <f>Perennial!I14</f>
        <v>0</v>
      </c>
      <c r="I178" s="2233"/>
      <c r="J178" s="2168"/>
      <c r="K178" s="3144">
        <f>Perennial!K14</f>
        <v>0</v>
      </c>
      <c r="L178" s="3144"/>
      <c r="M178" s="3144"/>
      <c r="N178" s="2437"/>
      <c r="O178" s="2612">
        <v>10</v>
      </c>
      <c r="P178" s="2233"/>
      <c r="Q178" s="2195"/>
      <c r="R178" s="2193"/>
      <c r="S178" s="2612">
        <v>1</v>
      </c>
      <c r="T178" s="3120"/>
      <c r="U178" s="3120"/>
      <c r="V178" s="2193"/>
      <c r="Y178" s="1743"/>
    </row>
    <row r="179" spans="2:25" s="1738" customFormat="1">
      <c r="B179" s="2611" t="str">
        <f>B53</f>
        <v>Enter description of your system 2</v>
      </c>
      <c r="C179" s="2611"/>
      <c r="D179" s="2611"/>
      <c r="E179" s="2612">
        <f>Perennial!G15</f>
        <v>0</v>
      </c>
      <c r="F179" s="2233"/>
      <c r="G179" s="2360"/>
      <c r="H179" s="2612">
        <f>Perennial!I15</f>
        <v>0</v>
      </c>
      <c r="I179" s="2233"/>
      <c r="J179" s="2168"/>
      <c r="K179" s="3144">
        <f>Perennial!K15</f>
        <v>0</v>
      </c>
      <c r="L179" s="3144"/>
      <c r="M179" s="3144"/>
      <c r="N179" s="2437"/>
      <c r="O179" s="2612">
        <v>10</v>
      </c>
      <c r="P179" s="2233"/>
      <c r="Q179" s="2195"/>
      <c r="R179" s="2193"/>
      <c r="S179" s="2612">
        <v>1</v>
      </c>
      <c r="T179" s="3120"/>
      <c r="U179" s="3120"/>
      <c r="V179" s="2193"/>
      <c r="Y179" s="1743"/>
    </row>
    <row r="180" spans="2:25" s="1738" customFormat="1">
      <c r="B180" s="2611" t="str">
        <f t="shared" ref="B180:B187" si="1">B54</f>
        <v>Enter description of your system 3</v>
      </c>
      <c r="C180" s="2611"/>
      <c r="D180" s="2611"/>
      <c r="E180" s="2612">
        <f>Perennial!G16</f>
        <v>0</v>
      </c>
      <c r="F180" s="2233"/>
      <c r="G180" s="2360"/>
      <c r="H180" s="2988">
        <f>Perennial!I16</f>
        <v>0</v>
      </c>
      <c r="I180" s="2233"/>
      <c r="J180" s="2168"/>
      <c r="K180" s="3144">
        <f>Perennial!K16</f>
        <v>0</v>
      </c>
      <c r="L180" s="3144"/>
      <c r="M180" s="3144"/>
      <c r="N180" s="2437"/>
      <c r="O180" s="2612">
        <v>10</v>
      </c>
      <c r="P180" s="2233"/>
      <c r="Q180" s="2195"/>
      <c r="R180" s="2193"/>
      <c r="S180" s="2612">
        <v>1</v>
      </c>
      <c r="T180" s="3120"/>
      <c r="U180" s="3120"/>
      <c r="V180" s="2193"/>
      <c r="Y180" s="1743"/>
    </row>
    <row r="181" spans="2:25" s="1738" customFormat="1">
      <c r="B181" s="2611" t="str">
        <f t="shared" si="1"/>
        <v>Enter description of your system 4</v>
      </c>
      <c r="C181" s="2611"/>
      <c r="D181" s="2611"/>
      <c r="E181" s="2988">
        <f>Perennial!G17</f>
        <v>0</v>
      </c>
      <c r="F181" s="2987"/>
      <c r="G181" s="2360"/>
      <c r="H181" s="2988">
        <f>Perennial!I17</f>
        <v>0</v>
      </c>
      <c r="I181" s="2987"/>
      <c r="J181" s="2168"/>
      <c r="K181" s="3144">
        <f>Perennial!K17</f>
        <v>0</v>
      </c>
      <c r="L181" s="3144"/>
      <c r="M181" s="3144"/>
      <c r="N181" s="2987"/>
      <c r="O181" s="2988">
        <v>10</v>
      </c>
      <c r="P181" s="2987"/>
      <c r="Q181" s="2989"/>
      <c r="R181" s="2193"/>
      <c r="S181" s="2988">
        <v>1</v>
      </c>
      <c r="T181" s="2987"/>
      <c r="U181" s="2987"/>
      <c r="V181" s="2193"/>
      <c r="Y181" s="1743"/>
    </row>
    <row r="182" spans="2:25" s="1738" customFormat="1">
      <c r="B182" s="2611" t="str">
        <f t="shared" si="1"/>
        <v>Enter description of your system 5</v>
      </c>
      <c r="C182" s="2611"/>
      <c r="D182" s="2611"/>
      <c r="E182" s="2988">
        <f>Perennial!G18</f>
        <v>0</v>
      </c>
      <c r="F182" s="2987"/>
      <c r="G182" s="2360"/>
      <c r="H182" s="2988">
        <f>Perennial!I18</f>
        <v>0</v>
      </c>
      <c r="I182" s="2987"/>
      <c r="J182" s="2168"/>
      <c r="K182" s="3144">
        <f>Perennial!K18</f>
        <v>0</v>
      </c>
      <c r="L182" s="3144"/>
      <c r="M182" s="3144"/>
      <c r="N182" s="2987"/>
      <c r="O182" s="2988">
        <v>10</v>
      </c>
      <c r="P182" s="2987"/>
      <c r="Q182" s="2989"/>
      <c r="R182" s="2193"/>
      <c r="S182" s="2988">
        <v>1</v>
      </c>
      <c r="T182" s="2987"/>
      <c r="U182" s="2987"/>
      <c r="V182" s="2193"/>
      <c r="Y182" s="1743"/>
    </row>
    <row r="183" spans="2:25" s="1738" customFormat="1">
      <c r="B183" s="2611" t="str">
        <f t="shared" si="1"/>
        <v>Enter description of your system 6</v>
      </c>
      <c r="C183" s="2611"/>
      <c r="D183" s="2611"/>
      <c r="E183" s="2988">
        <f>Perennial!G19</f>
        <v>0</v>
      </c>
      <c r="F183" s="2987"/>
      <c r="G183" s="2360"/>
      <c r="H183" s="2988">
        <f>Perennial!I19</f>
        <v>0</v>
      </c>
      <c r="I183" s="2987"/>
      <c r="J183" s="2168"/>
      <c r="K183" s="3144">
        <f>Perennial!K19</f>
        <v>0</v>
      </c>
      <c r="L183" s="3144"/>
      <c r="M183" s="3144"/>
      <c r="N183" s="2987"/>
      <c r="O183" s="2988">
        <v>10</v>
      </c>
      <c r="P183" s="2987"/>
      <c r="Q183" s="2989"/>
      <c r="R183" s="2193"/>
      <c r="S183" s="2988">
        <v>1</v>
      </c>
      <c r="T183" s="2987"/>
      <c r="U183" s="2987"/>
      <c r="V183" s="2193"/>
      <c r="Y183" s="1743"/>
    </row>
    <row r="184" spans="2:25" s="1738" customFormat="1">
      <c r="B184" s="2611" t="str">
        <f t="shared" si="1"/>
        <v>Enter description of your system 7</v>
      </c>
      <c r="C184" s="2611"/>
      <c r="D184" s="2611"/>
      <c r="E184" s="2988">
        <f>Perennial!G20</f>
        <v>0</v>
      </c>
      <c r="F184" s="2987"/>
      <c r="G184" s="2360"/>
      <c r="H184" s="2988">
        <f>Perennial!I20</f>
        <v>0</v>
      </c>
      <c r="I184" s="2987"/>
      <c r="J184" s="2168"/>
      <c r="K184" s="3144">
        <f>Perennial!K20</f>
        <v>0</v>
      </c>
      <c r="L184" s="3144"/>
      <c r="M184" s="3144"/>
      <c r="N184" s="2987"/>
      <c r="O184" s="2988">
        <v>10</v>
      </c>
      <c r="P184" s="2987"/>
      <c r="Q184" s="2989"/>
      <c r="R184" s="2193"/>
      <c r="S184" s="2988">
        <v>1</v>
      </c>
      <c r="T184" s="2987"/>
      <c r="U184" s="2987"/>
      <c r="V184" s="2193"/>
      <c r="Y184" s="1743"/>
    </row>
    <row r="185" spans="2:25" s="1738" customFormat="1">
      <c r="B185" s="2611" t="str">
        <f t="shared" si="1"/>
        <v>Enter description of your system 8</v>
      </c>
      <c r="C185" s="2611"/>
      <c r="D185" s="2611"/>
      <c r="E185" s="2988">
        <f>Perennial!G21</f>
        <v>0</v>
      </c>
      <c r="F185" s="2987"/>
      <c r="G185" s="2360"/>
      <c r="H185" s="2988">
        <f>Perennial!I21</f>
        <v>0</v>
      </c>
      <c r="I185" s="2987"/>
      <c r="J185" s="2168"/>
      <c r="K185" s="3144">
        <f>Perennial!K21</f>
        <v>0</v>
      </c>
      <c r="L185" s="3144"/>
      <c r="M185" s="3144"/>
      <c r="N185" s="2987"/>
      <c r="O185" s="2988">
        <v>10</v>
      </c>
      <c r="P185" s="2987"/>
      <c r="Q185" s="2989"/>
      <c r="R185" s="2193"/>
      <c r="S185" s="2988">
        <v>1</v>
      </c>
      <c r="T185" s="2987"/>
      <c r="U185" s="2987"/>
      <c r="V185" s="2193"/>
      <c r="Y185" s="1743"/>
    </row>
    <row r="186" spans="2:25" s="1738" customFormat="1">
      <c r="B186" s="2611" t="str">
        <f t="shared" si="1"/>
        <v>Enter description of your system 9</v>
      </c>
      <c r="C186" s="2611"/>
      <c r="D186" s="2611"/>
      <c r="E186" s="2988">
        <f>Perennial!G22</f>
        <v>0</v>
      </c>
      <c r="F186" s="2233"/>
      <c r="G186" s="2360"/>
      <c r="H186" s="2988">
        <f>Perennial!I22</f>
        <v>0</v>
      </c>
      <c r="I186" s="2233"/>
      <c r="J186" s="2168"/>
      <c r="K186" s="3144">
        <f>Perennial!K22</f>
        <v>0</v>
      </c>
      <c r="L186" s="3144"/>
      <c r="M186" s="3144"/>
      <c r="N186" s="2437"/>
      <c r="O186" s="2988">
        <v>10</v>
      </c>
      <c r="P186" s="2233"/>
      <c r="Q186" s="2195"/>
      <c r="R186" s="2193"/>
      <c r="S186" s="2988">
        <v>1</v>
      </c>
      <c r="T186" s="3120"/>
      <c r="U186" s="3120"/>
      <c r="V186" s="2193"/>
      <c r="Y186" s="1743"/>
    </row>
    <row r="187" spans="2:25" s="1738" customFormat="1">
      <c r="B187" s="2611" t="str">
        <f t="shared" si="1"/>
        <v>Enter description of your system 10</v>
      </c>
      <c r="C187" s="2611"/>
      <c r="D187" s="2611"/>
      <c r="E187" s="2988">
        <f>Perennial!G23</f>
        <v>0</v>
      </c>
      <c r="F187" s="2233"/>
      <c r="G187" s="2360"/>
      <c r="H187" s="2988">
        <f>Perennial!I23</f>
        <v>0</v>
      </c>
      <c r="I187" s="2233"/>
      <c r="J187" s="2168"/>
      <c r="K187" s="3144">
        <f>Perennial!K23</f>
        <v>0</v>
      </c>
      <c r="L187" s="3144"/>
      <c r="M187" s="3144"/>
      <c r="N187" s="2437"/>
      <c r="O187" s="2988">
        <v>10</v>
      </c>
      <c r="P187" s="2233"/>
      <c r="Q187" s="2195"/>
      <c r="R187" s="2193"/>
      <c r="S187" s="2988">
        <v>1</v>
      </c>
      <c r="T187" s="3120"/>
      <c r="U187" s="3120"/>
      <c r="V187" s="2193"/>
      <c r="Y187" s="1743"/>
    </row>
    <row r="188" spans="2:25" s="1738" customFormat="1">
      <c r="N188" s="1743"/>
      <c r="Q188" s="1743"/>
      <c r="U188" s="1743"/>
      <c r="V188" s="1743"/>
      <c r="W188" s="1743"/>
      <c r="X188" s="1743"/>
      <c r="Y188" s="1743"/>
    </row>
    <row r="189" spans="2:25" s="1738" customFormat="1">
      <c r="N189" s="1743"/>
      <c r="P189" s="1743"/>
      <c r="Q189" s="1743"/>
      <c r="U189" s="1743"/>
      <c r="V189" s="1743"/>
      <c r="W189" s="1743"/>
      <c r="X189" s="1743"/>
      <c r="Y189" s="1743"/>
    </row>
    <row r="190" spans="2:25" s="1738" customFormat="1">
      <c r="N190" s="1743"/>
      <c r="P190" s="1743"/>
      <c r="Q190" s="1743"/>
      <c r="U190" s="1743"/>
      <c r="V190" s="1743"/>
      <c r="W190" s="1743"/>
      <c r="X190" s="1743"/>
      <c r="Y190" s="1743"/>
    </row>
    <row r="191" spans="2:25" s="1738" customFormat="1">
      <c r="N191" s="1743"/>
      <c r="P191" s="1743"/>
      <c r="Q191" s="1743"/>
      <c r="U191" s="1743"/>
      <c r="V191" s="1743"/>
      <c r="W191" s="1743"/>
      <c r="X191" s="1743"/>
      <c r="Y191" s="1743"/>
    </row>
    <row r="192" spans="2:25" s="1738" customFormat="1">
      <c r="N192" s="1743"/>
      <c r="P192" s="1743"/>
      <c r="Q192" s="1743"/>
      <c r="U192" s="1743"/>
      <c r="V192" s="1743"/>
      <c r="W192" s="1743"/>
      <c r="X192" s="1743"/>
      <c r="Y192" s="1743"/>
    </row>
    <row r="193" spans="14:25" s="1738" customFormat="1">
      <c r="N193" s="1743"/>
      <c r="P193" s="1743"/>
      <c r="Q193" s="1743"/>
      <c r="U193" s="1743"/>
      <c r="V193" s="1743"/>
      <c r="W193" s="1743"/>
      <c r="X193" s="1743"/>
      <c r="Y193" s="1743"/>
    </row>
    <row r="194" spans="14:25" s="1738" customFormat="1">
      <c r="N194" s="1743"/>
      <c r="P194" s="1743"/>
      <c r="Q194" s="1743"/>
      <c r="U194" s="1743"/>
      <c r="V194" s="1743"/>
      <c r="W194" s="1743"/>
      <c r="X194" s="1743"/>
      <c r="Y194" s="1743"/>
    </row>
    <row r="195" spans="14:25" s="1738" customFormat="1">
      <c r="N195" s="1743"/>
      <c r="P195" s="1743"/>
      <c r="Q195" s="1743"/>
      <c r="U195" s="1743"/>
      <c r="V195" s="1743"/>
      <c r="W195" s="1743"/>
      <c r="X195" s="1743"/>
      <c r="Y195" s="1743"/>
    </row>
    <row r="196" spans="14:25" s="1738" customFormat="1">
      <c r="N196" s="1743"/>
      <c r="P196" s="1743"/>
      <c r="Q196" s="1743"/>
      <c r="U196" s="1743"/>
      <c r="V196" s="1743"/>
      <c r="W196" s="1743"/>
      <c r="X196" s="1743"/>
      <c r="Y196" s="1743"/>
    </row>
    <row r="197" spans="14:25" s="1738" customFormat="1">
      <c r="N197" s="1743"/>
      <c r="P197" s="1743"/>
      <c r="Q197" s="1743"/>
      <c r="U197" s="1743"/>
      <c r="V197" s="1743"/>
      <c r="W197" s="1743"/>
      <c r="X197" s="1743"/>
      <c r="Y197" s="1743"/>
    </row>
    <row r="198" spans="14:25" s="1738" customFormat="1">
      <c r="N198" s="1743"/>
      <c r="P198" s="1743"/>
      <c r="Q198" s="1743"/>
      <c r="U198" s="1743"/>
      <c r="V198" s="1743"/>
      <c r="W198" s="1743"/>
      <c r="X198" s="1743"/>
      <c r="Y198" s="1743"/>
    </row>
    <row r="199" spans="14:25" s="1738" customFormat="1">
      <c r="N199" s="1743"/>
      <c r="P199" s="1743"/>
      <c r="Q199" s="1743"/>
      <c r="U199" s="1743"/>
      <c r="V199" s="1743"/>
      <c r="W199" s="1743"/>
      <c r="X199" s="1743"/>
      <c r="Y199" s="1743"/>
    </row>
    <row r="200" spans="14:25" s="1738" customFormat="1">
      <c r="N200" s="1743"/>
      <c r="P200" s="1743"/>
      <c r="Q200" s="1743"/>
      <c r="U200" s="1743"/>
      <c r="V200" s="1743"/>
      <c r="W200" s="1743"/>
      <c r="X200" s="1743"/>
      <c r="Y200" s="1743"/>
    </row>
    <row r="201" spans="14:25" s="1738" customFormat="1">
      <c r="N201" s="1743"/>
      <c r="P201" s="1743"/>
      <c r="Q201" s="1743"/>
      <c r="U201" s="1743"/>
      <c r="V201" s="1743"/>
      <c r="W201" s="1743"/>
      <c r="X201" s="1743"/>
      <c r="Y201" s="1743"/>
    </row>
    <row r="202" spans="14:25" s="1738" customFormat="1">
      <c r="N202" s="1743"/>
      <c r="P202" s="1743"/>
      <c r="Q202" s="1743"/>
      <c r="U202" s="1743"/>
      <c r="V202" s="1743"/>
      <c r="W202" s="1743"/>
      <c r="X202" s="1743"/>
      <c r="Y202" s="1743"/>
    </row>
    <row r="203" spans="14:25" s="1738" customFormat="1">
      <c r="N203" s="1743"/>
      <c r="P203" s="1743"/>
      <c r="Q203" s="1743"/>
      <c r="U203" s="1743"/>
      <c r="V203" s="1743"/>
      <c r="W203" s="1743"/>
      <c r="X203" s="1743"/>
      <c r="Y203" s="1743"/>
    </row>
    <row r="204" spans="14:25" s="1738" customFormat="1">
      <c r="N204" s="1743"/>
      <c r="P204" s="1743"/>
      <c r="Q204" s="1743"/>
      <c r="U204" s="1743"/>
      <c r="V204" s="1743"/>
      <c r="W204" s="1743"/>
      <c r="X204" s="1743"/>
      <c r="Y204" s="1743"/>
    </row>
    <row r="205" spans="14:25" s="1738" customFormat="1">
      <c r="N205" s="1743"/>
      <c r="P205" s="1743"/>
      <c r="Q205" s="1743"/>
      <c r="U205" s="1743"/>
      <c r="V205" s="1743"/>
      <c r="W205" s="1743"/>
      <c r="X205" s="1743"/>
      <c r="Y205" s="1743"/>
    </row>
    <row r="206" spans="14:25" s="1738" customFormat="1">
      <c r="N206" s="1743"/>
      <c r="P206" s="1743"/>
      <c r="Q206" s="1743"/>
      <c r="U206" s="1743"/>
      <c r="V206" s="1743"/>
      <c r="W206" s="1743"/>
      <c r="X206" s="1743"/>
      <c r="Y206" s="1743"/>
    </row>
    <row r="207" spans="14:25" s="1738" customFormat="1">
      <c r="N207" s="1743"/>
      <c r="P207" s="1743"/>
      <c r="Q207" s="1743"/>
      <c r="U207" s="1743"/>
      <c r="V207" s="1743"/>
      <c r="W207" s="1743"/>
      <c r="X207" s="1743"/>
      <c r="Y207" s="1743"/>
    </row>
    <row r="208" spans="14:25" s="1738" customFormat="1">
      <c r="N208" s="1743"/>
      <c r="P208" s="1743"/>
      <c r="Q208" s="1743"/>
      <c r="U208" s="1743"/>
      <c r="V208" s="1743"/>
      <c r="W208" s="1743"/>
      <c r="X208" s="1743"/>
      <c r="Y208" s="1743"/>
    </row>
    <row r="209" spans="2:25" s="1738" customFormat="1">
      <c r="N209" s="1743"/>
      <c r="P209" s="1743"/>
      <c r="Q209" s="1743"/>
      <c r="U209" s="1743"/>
      <c r="V209" s="1743"/>
      <c r="W209" s="1743"/>
      <c r="X209" s="1743"/>
      <c r="Y209" s="1743"/>
    </row>
    <row r="210" spans="2:25" s="1738" customFormat="1">
      <c r="N210" s="1743"/>
      <c r="P210" s="1743"/>
      <c r="Q210" s="1743"/>
      <c r="U210" s="1743"/>
      <c r="V210" s="1743"/>
      <c r="W210" s="1743"/>
      <c r="X210" s="1743"/>
      <c r="Y210" s="1743"/>
    </row>
    <row r="211" spans="2:25" s="1738" customFormat="1">
      <c r="N211" s="1743"/>
      <c r="P211" s="1743"/>
      <c r="Q211" s="1743"/>
      <c r="U211" s="1743"/>
      <c r="V211" s="1743"/>
      <c r="W211" s="1743"/>
      <c r="X211" s="1743"/>
      <c r="Y211" s="1743"/>
    </row>
    <row r="212" spans="2:25" s="1738" customFormat="1">
      <c r="N212" s="1743"/>
      <c r="P212" s="1743"/>
      <c r="Q212" s="1743"/>
      <c r="U212" s="1743"/>
      <c r="V212" s="1743"/>
      <c r="W212" s="1743"/>
      <c r="X212" s="1743"/>
      <c r="Y212" s="1743"/>
    </row>
    <row r="213" spans="2:25" s="1738" customFormat="1">
      <c r="N213" s="1743"/>
      <c r="P213" s="1743"/>
      <c r="Q213" s="1743"/>
      <c r="U213" s="1743"/>
      <c r="V213" s="1743"/>
      <c r="W213" s="1743"/>
      <c r="X213" s="1743"/>
      <c r="Y213" s="1743"/>
    </row>
    <row r="214" spans="2:25" s="1738" customFormat="1">
      <c r="N214" s="1743"/>
      <c r="P214" s="1743"/>
      <c r="Q214" s="1743"/>
      <c r="U214" s="1743"/>
      <c r="V214" s="1743"/>
      <c r="W214" s="1743"/>
      <c r="X214" s="1743"/>
      <c r="Y214" s="1743"/>
    </row>
    <row r="215" spans="2:25" s="1738" customFormat="1">
      <c r="N215" s="1743"/>
      <c r="P215" s="1743"/>
      <c r="Q215" s="1743"/>
      <c r="U215" s="1743"/>
      <c r="V215" s="1743"/>
      <c r="W215" s="1743"/>
      <c r="X215" s="1743"/>
      <c r="Y215" s="1743"/>
    </row>
    <row r="216" spans="2:25" s="1738" customFormat="1">
      <c r="N216" s="1743"/>
      <c r="P216" s="1743"/>
      <c r="Q216" s="1743"/>
      <c r="U216" s="1743"/>
      <c r="V216" s="1743"/>
      <c r="W216" s="1743"/>
      <c r="X216" s="1743"/>
      <c r="Y216" s="1743"/>
    </row>
    <row r="217" spans="2:25" s="1738" customFormat="1">
      <c r="N217" s="1743"/>
      <c r="P217" s="1743"/>
      <c r="Q217" s="1743"/>
      <c r="U217" s="1743"/>
      <c r="V217" s="1743"/>
      <c r="W217" s="1743"/>
      <c r="X217" s="1743"/>
      <c r="Y217" s="1743"/>
    </row>
    <row r="218" spans="2:25" s="1738" customFormat="1">
      <c r="N218" s="1743"/>
      <c r="P218" s="1743"/>
      <c r="Q218" s="1743"/>
      <c r="U218" s="1743"/>
      <c r="V218" s="1743"/>
      <c r="W218" s="1743"/>
      <c r="X218" s="1743"/>
      <c r="Y218" s="1743"/>
    </row>
    <row r="219" spans="2:25" s="1738" customFormat="1">
      <c r="N219" s="1743"/>
      <c r="P219" s="1743"/>
      <c r="Q219" s="1743"/>
      <c r="U219" s="1743"/>
      <c r="V219" s="1743"/>
      <c r="W219" s="1743"/>
      <c r="X219" s="1743"/>
      <c r="Y219" s="1743"/>
    </row>
    <row r="220" spans="2:25" s="1738" customFormat="1">
      <c r="N220" s="1743"/>
      <c r="P220" s="1743"/>
      <c r="Q220" s="1743"/>
      <c r="U220" s="1743"/>
      <c r="V220" s="1743"/>
      <c r="W220" s="1743"/>
      <c r="X220" s="1743"/>
      <c r="Y220" s="1743"/>
    </row>
    <row r="221" spans="2:25" s="1738" customFormat="1">
      <c r="N221" s="1743"/>
      <c r="P221" s="1743"/>
      <c r="Q221" s="1743"/>
      <c r="U221" s="1743"/>
      <c r="V221" s="1743"/>
      <c r="W221" s="1743"/>
      <c r="X221" s="1743"/>
      <c r="Y221" s="1743"/>
    </row>
    <row r="222" spans="2:25" s="1738" customFormat="1" ht="15.6">
      <c r="B222" s="2570" t="str">
        <f>B70</f>
        <v>3.3. Flooded Rice systems</v>
      </c>
      <c r="C222" s="2570"/>
      <c r="D222" s="2571"/>
      <c r="E222" s="2571"/>
      <c r="F222" s="2571"/>
      <c r="G222" s="2571"/>
      <c r="H222" s="2571"/>
      <c r="I222" s="2571"/>
      <c r="J222" s="2571"/>
      <c r="K222" s="2571"/>
      <c r="L222" s="2571"/>
      <c r="M222" s="2571"/>
      <c r="N222" s="2572"/>
      <c r="P222" s="1743"/>
      <c r="Q222" s="1743"/>
      <c r="U222" s="1743"/>
      <c r="V222" s="1743"/>
      <c r="W222" s="1743"/>
      <c r="X222" s="1743"/>
      <c r="Y222" s="1743"/>
    </row>
    <row r="223" spans="2:25" s="1738" customFormat="1">
      <c r="N223" s="1743"/>
      <c r="P223" s="1743"/>
      <c r="Q223" s="1743"/>
      <c r="U223" s="1743"/>
      <c r="V223" s="1743"/>
      <c r="W223" s="1743"/>
      <c r="X223" s="1743"/>
      <c r="Y223" s="1743"/>
    </row>
    <row r="224" spans="2:25" s="1738" customFormat="1">
      <c r="B224" s="2192"/>
      <c r="C224" s="2192"/>
      <c r="D224" s="2033"/>
      <c r="E224" s="2192"/>
      <c r="F224" s="2192"/>
      <c r="G224" s="2192"/>
      <c r="H224" s="2192"/>
      <c r="I224" s="2192"/>
      <c r="J224" s="2192"/>
      <c r="K224" s="2192"/>
      <c r="L224" s="2192"/>
      <c r="M224" s="2192"/>
      <c r="N224" s="2257"/>
      <c r="P224" s="3124" t="str">
        <f>HLOOKUP(select,translations!$A$76:$H$144,58,)</f>
        <v>Water regime prior to rice cultivation (schematic presentation showing flooded periods as shaded)</v>
      </c>
      <c r="Q224" s="3124"/>
      <c r="R224" s="3124"/>
      <c r="S224" s="3124"/>
      <c r="T224" s="3124"/>
      <c r="U224" s="3124"/>
      <c r="V224" s="3124"/>
      <c r="W224" s="3124"/>
      <c r="X224" s="3124"/>
      <c r="Y224" s="3124"/>
    </row>
    <row r="225" spans="2:25" s="1738" customFormat="1">
      <c r="B225" s="2192"/>
      <c r="C225" s="2192"/>
      <c r="D225" s="2192"/>
      <c r="E225" s="2192"/>
      <c r="F225" s="2192"/>
      <c r="G225" s="2192"/>
      <c r="H225" s="2192"/>
      <c r="I225" s="2192"/>
      <c r="J225" s="2192"/>
      <c r="K225" s="2192"/>
      <c r="L225" s="2192"/>
      <c r="M225" s="2192"/>
      <c r="N225" s="2257"/>
      <c r="P225" s="3124"/>
      <c r="Q225" s="3124"/>
      <c r="R225" s="3124"/>
      <c r="S225" s="3124"/>
      <c r="T225" s="3124"/>
      <c r="U225" s="3124"/>
      <c r="V225" s="3124"/>
      <c r="W225" s="3124"/>
      <c r="X225" s="3124"/>
      <c r="Y225" s="3124"/>
    </row>
    <row r="226" spans="2:25" s="1738" customFormat="1">
      <c r="B226" s="2192"/>
      <c r="C226" s="2192"/>
      <c r="D226" s="2192"/>
      <c r="E226" s="2192"/>
      <c r="F226" s="2192"/>
      <c r="G226" s="2192"/>
      <c r="H226" s="2192"/>
      <c r="I226" s="2192"/>
      <c r="J226" s="2192"/>
      <c r="K226" s="2192"/>
      <c r="L226" s="2192"/>
      <c r="M226" s="2192"/>
      <c r="N226" s="2257"/>
      <c r="P226" s="3124"/>
      <c r="Q226" s="3124"/>
      <c r="R226" s="3124"/>
      <c r="S226" s="3124"/>
      <c r="T226" s="3124"/>
      <c r="U226" s="3124"/>
      <c r="V226" s="3124"/>
      <c r="W226" s="3124"/>
      <c r="X226" s="3124"/>
      <c r="Y226" s="3124"/>
    </row>
    <row r="227" spans="2:25" s="1738" customFormat="1">
      <c r="B227" s="2871" t="str">
        <f>B167</f>
        <v>Use this part only if you want to refine the analysis with Tier 2 coefficients.</v>
      </c>
      <c r="C227" s="2279"/>
      <c r="D227" s="2260"/>
      <c r="E227" s="2270"/>
      <c r="F227" s="2260"/>
      <c r="G227" s="2260"/>
      <c r="H227" s="2260"/>
      <c r="I227" s="2192"/>
      <c r="J227" s="2192"/>
      <c r="K227" s="2192"/>
      <c r="L227" s="2192"/>
      <c r="M227" s="2192"/>
      <c r="N227" s="2257"/>
      <c r="P227" s="3124"/>
      <c r="Q227" s="3124"/>
      <c r="R227" s="3124"/>
      <c r="S227" s="3124"/>
      <c r="T227" s="3124"/>
      <c r="U227" s="3124"/>
      <c r="V227" s="3124"/>
      <c r="W227" s="3124"/>
      <c r="X227" s="3124"/>
      <c r="Y227" s="3124"/>
    </row>
    <row r="228" spans="2:25" s="1738" customFormat="1">
      <c r="B228" s="3146" t="str">
        <f>B168</f>
        <v>(default values are provided for your information only, while EX-ACT will use Tier 2 values automatically wherever specified)</v>
      </c>
      <c r="C228" s="3146"/>
      <c r="D228" s="3146"/>
      <c r="E228" s="3146"/>
      <c r="F228" s="3146"/>
      <c r="G228" s="3146"/>
      <c r="H228" s="3146"/>
      <c r="I228" s="3146"/>
      <c r="J228" s="3146"/>
      <c r="K228" s="3146"/>
      <c r="L228" s="3146"/>
      <c r="M228" s="3146"/>
      <c r="N228" s="3146"/>
      <c r="P228" s="3125"/>
      <c r="Q228" s="3125"/>
      <c r="R228" s="3125"/>
      <c r="S228" s="3125"/>
      <c r="T228" s="3125"/>
      <c r="U228" s="3125"/>
      <c r="V228" s="3125"/>
      <c r="W228" s="3125"/>
      <c r="X228" s="3125"/>
      <c r="Y228" s="3125"/>
    </row>
    <row r="229" spans="2:25" s="1738" customFormat="1">
      <c r="B229" s="3146"/>
      <c r="C229" s="3146"/>
      <c r="D229" s="3146"/>
      <c r="E229" s="3146"/>
      <c r="F229" s="3146"/>
      <c r="G229" s="3146"/>
      <c r="H229" s="3146"/>
      <c r="I229" s="3146"/>
      <c r="J229" s="3146"/>
      <c r="K229" s="3146"/>
      <c r="L229" s="3146"/>
      <c r="M229" s="3146"/>
      <c r="N229" s="3146"/>
      <c r="P229" s="3124" t="str">
        <f>HLOOKUP(select,translations!$A$76:$H$144,59,)</f>
        <v>Non flooded preseason &lt;180 d</v>
      </c>
      <c r="Q229" s="3124"/>
      <c r="R229" s="3124"/>
      <c r="S229" s="3124"/>
      <c r="T229" s="2673"/>
      <c r="U229" s="2674"/>
      <c r="V229" s="2674"/>
      <c r="W229" s="2674"/>
      <c r="X229" s="2674"/>
      <c r="Y229" s="2674"/>
    </row>
    <row r="230" spans="2:25" s="1738" customFormat="1">
      <c r="N230" s="1743"/>
      <c r="P230" s="3124"/>
      <c r="Q230" s="3124"/>
      <c r="R230" s="3124"/>
      <c r="S230" s="3124"/>
      <c r="T230" s="2673"/>
      <c r="U230" s="2674"/>
      <c r="V230" s="2674"/>
      <c r="W230" s="2674"/>
      <c r="X230" s="2674"/>
      <c r="Y230" s="2674"/>
    </row>
    <row r="231" spans="2:25" s="1738" customFormat="1">
      <c r="B231" s="2033" t="str">
        <f>B170</f>
        <v>Systems</v>
      </c>
      <c r="C231" s="2192"/>
      <c r="D231" s="2192"/>
      <c r="E231" s="2280" t="str">
        <f>J170</f>
        <v>Rates of soil C sequestration</v>
      </c>
      <c r="F231" s="2192"/>
      <c r="G231" s="2260"/>
      <c r="H231" s="2280"/>
      <c r="I231" s="2033" t="str">
        <f>HLOOKUP(select,translations!$A$76:$H$144,55,)</f>
        <v>Amount of Straw burned</v>
      </c>
      <c r="J231" s="2033"/>
      <c r="K231" s="2033"/>
      <c r="L231" s="2033"/>
      <c r="M231" s="2192"/>
      <c r="N231" s="2257"/>
      <c r="P231" s="3124"/>
      <c r="Q231" s="3124"/>
      <c r="R231" s="3124"/>
      <c r="S231" s="3124"/>
      <c r="T231" s="2673"/>
      <c r="U231" s="2674"/>
      <c r="V231" s="2674"/>
      <c r="W231" s="2674"/>
      <c r="X231" s="2674"/>
      <c r="Y231" s="2674"/>
    </row>
    <row r="232" spans="2:25" s="1738" customFormat="1">
      <c r="B232" s="2192"/>
      <c r="C232" s="2192"/>
      <c r="D232" s="2192"/>
      <c r="E232" s="3147" t="str">
        <f>K171</f>
        <v xml:space="preserve"> (t CO2/ha/yr)</v>
      </c>
      <c r="F232" s="3147"/>
      <c r="G232" s="2281"/>
      <c r="H232" s="2281"/>
      <c r="I232" s="3148" t="str">
        <f>O171</f>
        <v>(t Dry Matter per ha)</v>
      </c>
      <c r="J232" s="3148"/>
      <c r="K232" s="3148"/>
      <c r="L232" s="3148"/>
      <c r="M232" s="2192"/>
      <c r="N232" s="2257"/>
      <c r="P232" s="3125"/>
      <c r="Q232" s="3125"/>
      <c r="R232" s="3125"/>
      <c r="S232" s="3125"/>
      <c r="T232" s="2673"/>
      <c r="U232" s="2674"/>
      <c r="V232" s="2674"/>
      <c r="W232" s="2674"/>
      <c r="X232" s="2674"/>
      <c r="Y232" s="2674"/>
    </row>
    <row r="233" spans="2:25" s="1738" customFormat="1">
      <c r="B233" s="3038" t="str">
        <f>HLOOKUP(select,translations!$A$76:$H$144,56,)</f>
        <v>Rice systems from (or to) other LU</v>
      </c>
      <c r="C233" s="2192"/>
      <c r="D233" s="2192"/>
      <c r="E233" s="2268" t="str">
        <f>E172</f>
        <v>Default</v>
      </c>
      <c r="F233" s="2192" t="str">
        <f>F172</f>
        <v>Tier 2</v>
      </c>
      <c r="G233" s="2192"/>
      <c r="H233" s="2192"/>
      <c r="I233" s="3042" t="str">
        <f>E233</f>
        <v>Default</v>
      </c>
      <c r="J233" s="3121" t="str">
        <f>F233</f>
        <v>Tier 2</v>
      </c>
      <c r="K233" s="3121"/>
      <c r="L233" s="3121"/>
      <c r="M233" s="2257"/>
      <c r="N233" s="2257"/>
      <c r="P233" s="3124" t="str">
        <f>HLOOKUP(select,translations!$A$76:$H$144,60,)</f>
        <v>Non flooded preseason &gt;180 d</v>
      </c>
      <c r="Q233" s="3124"/>
      <c r="R233" s="3124"/>
      <c r="S233" s="3124"/>
      <c r="T233" s="2673"/>
      <c r="U233" s="2674"/>
      <c r="V233" s="2674"/>
      <c r="W233" s="2674"/>
      <c r="X233" s="2674"/>
      <c r="Y233" s="2674"/>
    </row>
    <row r="234" spans="2:25" s="1738" customFormat="1">
      <c r="B234" s="3037" t="str">
        <f>B75</f>
        <v>Rice after Deforestation</v>
      </c>
      <c r="C234" s="2613"/>
      <c r="D234" s="2613"/>
      <c r="E234" s="2614">
        <v>0</v>
      </c>
      <c r="F234" s="3040"/>
      <c r="G234" s="2613"/>
      <c r="H234" s="2613"/>
      <c r="I234" s="2614">
        <v>5.5</v>
      </c>
      <c r="J234" s="3120"/>
      <c r="K234" s="3120"/>
      <c r="L234" s="3120"/>
      <c r="M234" s="2192"/>
      <c r="N234" s="2257"/>
      <c r="P234" s="3124"/>
      <c r="Q234" s="3124"/>
      <c r="R234" s="3124"/>
      <c r="S234" s="3124"/>
      <c r="T234" s="2673"/>
      <c r="U234" s="2674"/>
      <c r="V234" s="2674"/>
      <c r="W234" s="2674"/>
      <c r="X234" s="2674"/>
      <c r="Y234" s="2674"/>
    </row>
    <row r="235" spans="2:25" s="1738" customFormat="1">
      <c r="B235" s="3037" t="str">
        <f>B76</f>
        <v>Converted to A/R</v>
      </c>
      <c r="C235" s="2613"/>
      <c r="D235" s="2613"/>
      <c r="E235" s="2614">
        <v>0</v>
      </c>
      <c r="F235" s="3040"/>
      <c r="G235" s="2613"/>
      <c r="H235" s="2613"/>
      <c r="I235" s="2614">
        <v>5.5</v>
      </c>
      <c r="J235" s="3120"/>
      <c r="K235" s="3120"/>
      <c r="L235" s="3120"/>
      <c r="M235" s="2192"/>
      <c r="N235" s="2257"/>
      <c r="P235" s="3125"/>
      <c r="Q235" s="3125"/>
      <c r="R235" s="3125"/>
      <c r="S235" s="3125"/>
      <c r="T235" s="2673"/>
      <c r="U235" s="2674"/>
      <c r="V235" s="2674"/>
      <c r="W235" s="2674"/>
      <c r="X235" s="2674"/>
      <c r="Y235" s="2674"/>
    </row>
    <row r="236" spans="2:25" s="1738" customFormat="1">
      <c r="B236" s="3037" t="str">
        <f>B77</f>
        <v>Rice after non-forest LU</v>
      </c>
      <c r="C236" s="2613"/>
      <c r="D236" s="2613"/>
      <c r="E236" s="2614">
        <v>0</v>
      </c>
      <c r="F236" s="2233"/>
      <c r="G236" s="2613"/>
      <c r="H236" s="2613"/>
      <c r="I236" s="2614">
        <v>5.5</v>
      </c>
      <c r="J236" s="3120"/>
      <c r="K236" s="3120"/>
      <c r="L236" s="3120"/>
      <c r="M236" s="2192"/>
      <c r="N236" s="2257"/>
      <c r="P236" s="3126" t="str">
        <f>HLOOKUP(select,translations!$A$76:$H$144,61,)</f>
        <v>Flooded preseason (&gt;30 d)</v>
      </c>
      <c r="Q236" s="3126"/>
      <c r="R236" s="3126"/>
      <c r="S236" s="3126"/>
      <c r="T236" s="2673"/>
      <c r="U236" s="2674"/>
      <c r="V236" s="2674"/>
      <c r="W236" s="2674"/>
      <c r="X236" s="2674"/>
      <c r="Y236" s="2674"/>
    </row>
    <row r="237" spans="2:25" s="1738" customFormat="1">
      <c r="B237" s="3037" t="str">
        <f>B78</f>
        <v>Converted to OLUC</v>
      </c>
      <c r="C237" s="2613"/>
      <c r="D237" s="2613"/>
      <c r="E237" s="2614">
        <v>0</v>
      </c>
      <c r="F237" s="2233"/>
      <c r="G237" s="2613"/>
      <c r="H237" s="2613"/>
      <c r="I237" s="2614">
        <v>5.5</v>
      </c>
      <c r="J237" s="3120"/>
      <c r="K237" s="3120"/>
      <c r="L237" s="3120"/>
      <c r="M237" s="2192"/>
      <c r="N237" s="2257"/>
      <c r="P237" s="3126"/>
      <c r="Q237" s="3126"/>
      <c r="R237" s="3126"/>
      <c r="S237" s="3126"/>
      <c r="T237" s="2673"/>
      <c r="U237" s="2674"/>
      <c r="V237" s="2674"/>
      <c r="W237" s="2674"/>
      <c r="X237" s="2674"/>
      <c r="Y237" s="2674"/>
    </row>
    <row r="238" spans="2:25" s="1738" customFormat="1">
      <c r="B238" s="3038" t="str">
        <f>HLOOKUP(select,translations!$A$76:$H$144,57,)</f>
        <v>Rice syst. remaining rice syst.</v>
      </c>
      <c r="C238" s="2192"/>
      <c r="D238" s="2192"/>
      <c r="E238" s="2192"/>
      <c r="F238" s="2192"/>
      <c r="G238" s="2192"/>
      <c r="H238" s="2192"/>
      <c r="I238" s="2192"/>
      <c r="J238" s="2192"/>
      <c r="K238" s="2192"/>
      <c r="L238" s="2192"/>
      <c r="M238" s="2192"/>
      <c r="N238" s="2257"/>
      <c r="P238" s="3126"/>
      <c r="Q238" s="3126"/>
      <c r="R238" s="3126"/>
      <c r="S238" s="3126"/>
      <c r="T238" s="2673"/>
      <c r="U238" s="2674"/>
      <c r="V238" s="2674"/>
      <c r="W238" s="2674"/>
      <c r="X238" s="2674"/>
      <c r="Y238" s="2674"/>
    </row>
    <row r="239" spans="2:25" s="1738" customFormat="1">
      <c r="B239" s="2613" t="str">
        <f t="shared" ref="B239:B248" si="2">B83</f>
        <v>Rice 1</v>
      </c>
      <c r="C239" s="2613"/>
      <c r="D239" s="2613"/>
      <c r="E239" s="2614">
        <v>0</v>
      </c>
      <c r="F239" s="2233"/>
      <c r="G239" s="2192"/>
      <c r="H239" s="2613"/>
      <c r="I239" s="2614">
        <v>5.5</v>
      </c>
      <c r="J239" s="3120"/>
      <c r="K239" s="3120"/>
      <c r="L239" s="3120"/>
      <c r="M239" s="2192"/>
      <c r="N239" s="2257"/>
      <c r="P239" s="1743"/>
      <c r="Q239" s="1743"/>
      <c r="U239" s="1743"/>
      <c r="V239" s="1743"/>
      <c r="W239" s="1743"/>
      <c r="X239" s="1743"/>
      <c r="Y239" s="1743"/>
    </row>
    <row r="240" spans="2:25" s="1738" customFormat="1">
      <c r="B240" s="2613" t="str">
        <f t="shared" si="2"/>
        <v>Rice 2</v>
      </c>
      <c r="C240" s="2613"/>
      <c r="D240" s="2613"/>
      <c r="E240" s="2614">
        <v>0</v>
      </c>
      <c r="F240" s="2233"/>
      <c r="G240" s="2192"/>
      <c r="H240" s="2613"/>
      <c r="I240" s="2614">
        <v>5.5</v>
      </c>
      <c r="J240" s="3120"/>
      <c r="K240" s="3120"/>
      <c r="L240" s="3120"/>
      <c r="M240" s="2192"/>
      <c r="N240" s="2257"/>
      <c r="P240" s="1743"/>
      <c r="Q240" s="1743"/>
      <c r="U240" s="1743"/>
      <c r="V240" s="1743"/>
      <c r="W240" s="1743"/>
      <c r="X240" s="1743"/>
      <c r="Y240" s="1743"/>
    </row>
    <row r="241" spans="2:25" s="1738" customFormat="1">
      <c r="B241" s="2613" t="str">
        <f t="shared" si="2"/>
        <v>Rice 3</v>
      </c>
      <c r="C241" s="2613"/>
      <c r="D241" s="2613"/>
      <c r="E241" s="2614">
        <v>0</v>
      </c>
      <c r="F241" s="2233"/>
      <c r="G241" s="2192"/>
      <c r="H241" s="2613"/>
      <c r="I241" s="2614">
        <v>5.5</v>
      </c>
      <c r="J241" s="3120"/>
      <c r="K241" s="3120"/>
      <c r="L241" s="3120"/>
      <c r="M241" s="2192"/>
      <c r="N241" s="2257"/>
      <c r="P241" s="1743"/>
      <c r="Q241" s="1743"/>
      <c r="U241" s="1743"/>
      <c r="V241" s="1743"/>
      <c r="W241" s="1743"/>
      <c r="X241" s="1743"/>
      <c r="Y241" s="1743"/>
    </row>
    <row r="242" spans="2:25" s="1738" customFormat="1">
      <c r="B242" s="2613" t="str">
        <f t="shared" si="2"/>
        <v>Rice 4</v>
      </c>
      <c r="C242" s="2613"/>
      <c r="D242" s="2613"/>
      <c r="E242" s="2614">
        <v>0</v>
      </c>
      <c r="F242" s="2233"/>
      <c r="G242" s="2192"/>
      <c r="H242" s="2613"/>
      <c r="I242" s="2614">
        <v>5.5</v>
      </c>
      <c r="J242" s="3120"/>
      <c r="K242" s="3120"/>
      <c r="L242" s="3120"/>
      <c r="M242" s="2192"/>
      <c r="N242" s="2257"/>
      <c r="P242" s="1743"/>
      <c r="Q242" s="1743"/>
      <c r="U242" s="1743"/>
      <c r="V242" s="1743"/>
      <c r="W242" s="1743"/>
      <c r="X242" s="1743"/>
      <c r="Y242" s="1743"/>
    </row>
    <row r="243" spans="2:25" s="1738" customFormat="1">
      <c r="B243" s="2613" t="str">
        <f t="shared" si="2"/>
        <v>Rice 5</v>
      </c>
      <c r="C243" s="2613"/>
      <c r="D243" s="2613"/>
      <c r="E243" s="2614">
        <v>0</v>
      </c>
      <c r="F243" s="2233"/>
      <c r="G243" s="2192"/>
      <c r="H243" s="2613"/>
      <c r="I243" s="2614">
        <v>5.5</v>
      </c>
      <c r="J243" s="3120"/>
      <c r="K243" s="3120"/>
      <c r="L243" s="3120"/>
      <c r="M243" s="2192"/>
      <c r="N243" s="2257"/>
      <c r="P243" s="1743"/>
      <c r="Q243" s="1743"/>
      <c r="U243" s="1743"/>
      <c r="V243" s="1743"/>
      <c r="W243" s="1743"/>
      <c r="X243" s="1743"/>
      <c r="Y243" s="1743"/>
    </row>
    <row r="244" spans="2:25" s="1738" customFormat="1">
      <c r="B244" s="2613" t="str">
        <f t="shared" si="2"/>
        <v>Rice 6</v>
      </c>
      <c r="C244" s="2613"/>
      <c r="D244" s="2613"/>
      <c r="E244" s="2614">
        <v>0</v>
      </c>
      <c r="F244" s="2233"/>
      <c r="G244" s="2192"/>
      <c r="H244" s="2613"/>
      <c r="I244" s="2614">
        <v>5.5</v>
      </c>
      <c r="J244" s="3120"/>
      <c r="K244" s="3120"/>
      <c r="L244" s="3120"/>
      <c r="M244" s="2192"/>
      <c r="N244" s="2257"/>
      <c r="P244" s="1743"/>
      <c r="Q244" s="1743"/>
      <c r="U244" s="1743"/>
      <c r="V244" s="1743"/>
      <c r="W244" s="1743"/>
      <c r="X244" s="1743"/>
      <c r="Y244" s="1743"/>
    </row>
    <row r="245" spans="2:25" s="1738" customFormat="1">
      <c r="B245" s="2613" t="str">
        <f t="shared" si="2"/>
        <v>Rice 7</v>
      </c>
      <c r="C245" s="2613"/>
      <c r="D245" s="2613"/>
      <c r="E245" s="2614">
        <v>0</v>
      </c>
      <c r="F245" s="2233"/>
      <c r="G245" s="2192"/>
      <c r="H245" s="2613"/>
      <c r="I245" s="2614">
        <v>5.5</v>
      </c>
      <c r="J245" s="3120"/>
      <c r="K245" s="3120"/>
      <c r="L245" s="3120"/>
      <c r="M245" s="2192"/>
      <c r="N245" s="2257"/>
      <c r="P245" s="1743"/>
      <c r="Q245" s="1743"/>
      <c r="U245" s="1743"/>
      <c r="V245" s="1743"/>
      <c r="W245" s="1743"/>
      <c r="X245" s="1743"/>
      <c r="Y245" s="1743"/>
    </row>
    <row r="246" spans="2:25" s="1738" customFormat="1">
      <c r="B246" s="2613" t="str">
        <f t="shared" si="2"/>
        <v>Rice 8</v>
      </c>
      <c r="C246" s="2613"/>
      <c r="D246" s="2613"/>
      <c r="E246" s="2614">
        <v>0</v>
      </c>
      <c r="F246" s="2233"/>
      <c r="G246" s="2192"/>
      <c r="H246" s="2613"/>
      <c r="I246" s="2614">
        <v>5.5</v>
      </c>
      <c r="J246" s="3120"/>
      <c r="K246" s="3120"/>
      <c r="L246" s="3120"/>
      <c r="M246" s="2192"/>
      <c r="N246" s="2257"/>
      <c r="P246" s="1743"/>
      <c r="Q246" s="1743"/>
      <c r="U246" s="1743"/>
      <c r="V246" s="1743"/>
      <c r="W246" s="1743"/>
      <c r="X246" s="1743"/>
      <c r="Y246" s="1743"/>
    </row>
    <row r="247" spans="2:25" s="1738" customFormat="1">
      <c r="B247" s="2613" t="str">
        <f t="shared" si="2"/>
        <v>Rice 9</v>
      </c>
      <c r="C247" s="2613"/>
      <c r="D247" s="2613"/>
      <c r="E247" s="2614">
        <v>0</v>
      </c>
      <c r="F247" s="2233"/>
      <c r="G247" s="2192"/>
      <c r="H247" s="2613"/>
      <c r="I247" s="2614">
        <v>5.5</v>
      </c>
      <c r="J247" s="3120"/>
      <c r="K247" s="3120"/>
      <c r="L247" s="3120"/>
      <c r="M247" s="2192"/>
      <c r="N247" s="2257"/>
      <c r="P247" s="1743"/>
      <c r="Q247" s="1743"/>
      <c r="U247" s="1743"/>
      <c r="V247" s="1743"/>
      <c r="W247" s="1743"/>
      <c r="X247" s="1743"/>
      <c r="Y247" s="1743"/>
    </row>
    <row r="248" spans="2:25" s="1738" customFormat="1">
      <c r="B248" s="2613" t="str">
        <f t="shared" si="2"/>
        <v>Rice 10</v>
      </c>
      <c r="C248" s="2613"/>
      <c r="D248" s="2613"/>
      <c r="E248" s="2614">
        <v>0</v>
      </c>
      <c r="F248" s="2233"/>
      <c r="G248" s="2192"/>
      <c r="H248" s="2613"/>
      <c r="I248" s="2614">
        <v>5.5</v>
      </c>
      <c r="J248" s="3120"/>
      <c r="K248" s="3120"/>
      <c r="L248" s="3120"/>
      <c r="M248" s="2192"/>
      <c r="N248" s="2257"/>
      <c r="P248" s="1743"/>
      <c r="Q248" s="1743"/>
      <c r="U248" s="1743"/>
      <c r="V248" s="1743"/>
      <c r="W248" s="1743"/>
      <c r="X248" s="1743"/>
      <c r="Y248" s="1743"/>
    </row>
    <row r="249" spans="2:25" s="1738" customFormat="1">
      <c r="N249" s="1743"/>
      <c r="P249" s="1743"/>
      <c r="Q249" s="1743"/>
      <c r="U249" s="1743"/>
      <c r="V249" s="1743"/>
      <c r="W249" s="1743"/>
      <c r="X249" s="1743"/>
      <c r="Y249" s="1743"/>
    </row>
    <row r="250" spans="2:25" s="1738" customFormat="1">
      <c r="B250" s="2033" t="str">
        <f>B231</f>
        <v>Systems</v>
      </c>
      <c r="C250" s="3077" t="str">
        <f>HLOOKUP(select,translations!$A$511:$H$520,2,)</f>
        <v>Daily emission factor for Rice  (EF) = EF-Basis × EF-Before × EF-During × EF-Org. Amendment</v>
      </c>
      <c r="D250" s="3077"/>
      <c r="E250" s="3077"/>
      <c r="F250" s="3077"/>
      <c r="G250" s="3077"/>
      <c r="H250" s="3077"/>
      <c r="I250" s="3077"/>
      <c r="J250" s="3077"/>
      <c r="K250" s="3077"/>
      <c r="L250" s="3077"/>
      <c r="M250" s="3077"/>
      <c r="N250" s="3077"/>
      <c r="O250" s="3077"/>
      <c r="P250" s="3077"/>
      <c r="Q250" s="1743"/>
      <c r="U250" s="1743"/>
      <c r="V250" s="1743"/>
      <c r="W250" s="1743"/>
      <c r="X250" s="1743"/>
      <c r="Y250" s="1743"/>
    </row>
    <row r="251" spans="2:25" s="1738" customFormat="1">
      <c r="B251" s="2192"/>
      <c r="C251" s="2192"/>
      <c r="D251" s="3119" t="str">
        <f>HLOOKUP(select,translations!$A$511:$H$520,3,)</f>
        <v>(EF are in kg CH4 per ha per day)</v>
      </c>
      <c r="E251" s="3119"/>
      <c r="F251" s="3119"/>
      <c r="G251" s="3119"/>
      <c r="H251" s="3119"/>
      <c r="I251" s="3119"/>
      <c r="J251" s="3119"/>
      <c r="K251" s="3119"/>
      <c r="L251" s="3119"/>
      <c r="M251" s="3119"/>
      <c r="N251" s="3119"/>
      <c r="O251" s="3119"/>
      <c r="P251" s="3119"/>
      <c r="Q251" s="1743"/>
      <c r="U251" s="1743"/>
      <c r="V251" s="1743"/>
      <c r="W251" s="1743"/>
      <c r="X251" s="1743"/>
      <c r="Y251" s="1743"/>
    </row>
    <row r="252" spans="2:25" s="1738" customFormat="1">
      <c r="B252" s="2192"/>
      <c r="C252" s="2192"/>
      <c r="D252" s="3118" t="str">
        <f>HLOOKUP(select,translations!$A$511:$H$520,4,)</f>
        <v>EF-Basis</v>
      </c>
      <c r="E252" s="3118"/>
      <c r="F252" s="3118" t="str">
        <f>HLOOKUP(select,translations!$A$511:$H$520,6,)</f>
        <v>EF-During</v>
      </c>
      <c r="G252" s="3118"/>
      <c r="H252" s="3118"/>
      <c r="I252" s="3118" t="str">
        <f>HLOOKUP(select,translations!$A$511:$H$520,5,)</f>
        <v>EF-Before</v>
      </c>
      <c r="J252" s="3118"/>
      <c r="K252" s="3118"/>
      <c r="L252" s="3118"/>
      <c r="M252" s="3041"/>
      <c r="N252" s="3118" t="str">
        <f>HLOOKUP(select,translations!$A$511:$H$520,7,)</f>
        <v>EF-Org. Amendement</v>
      </c>
      <c r="O252" s="3118"/>
      <c r="P252" s="3039" t="str">
        <f>HLOOKUP(select,translations!$A$511:$H$520,8,)</f>
        <v>EF</v>
      </c>
      <c r="Q252" s="1743"/>
      <c r="U252" s="1743"/>
      <c r="V252" s="1743"/>
      <c r="W252" s="1743"/>
      <c r="X252" s="1743"/>
      <c r="Y252" s="1743"/>
    </row>
    <row r="253" spans="2:25" s="1738" customFormat="1">
      <c r="B253" s="3038" t="str">
        <f t="shared" ref="B253:B268" si="3">B233</f>
        <v>Rice systems from (or to) other LU</v>
      </c>
      <c r="C253" s="2192"/>
      <c r="D253" s="3041" t="str">
        <f>E233</f>
        <v>Default</v>
      </c>
      <c r="E253" s="3041" t="str">
        <f>F233</f>
        <v>Tier 2</v>
      </c>
      <c r="F253" s="3041" t="str">
        <f>D253</f>
        <v>Default</v>
      </c>
      <c r="G253" s="3041"/>
      <c r="H253" s="3041" t="str">
        <f>E253</f>
        <v>Tier 2</v>
      </c>
      <c r="I253" s="3041" t="str">
        <f>F253</f>
        <v>Default</v>
      </c>
      <c r="J253" s="3121" t="str">
        <f>H253</f>
        <v>Tier 2</v>
      </c>
      <c r="K253" s="3121"/>
      <c r="L253" s="3121"/>
      <c r="M253" s="3041"/>
      <c r="N253" s="3041" t="str">
        <f>I253</f>
        <v>Default</v>
      </c>
      <c r="O253" s="3041" t="str">
        <f>J253</f>
        <v>Tier 2</v>
      </c>
      <c r="P253" s="3041"/>
      <c r="Q253" s="1743"/>
      <c r="U253" s="1743"/>
      <c r="V253" s="1743"/>
      <c r="W253" s="1743"/>
      <c r="X253" s="1743"/>
      <c r="Y253" s="1743"/>
    </row>
    <row r="254" spans="2:25" s="1738" customFormat="1">
      <c r="B254" s="3037" t="str">
        <f t="shared" si="3"/>
        <v>Rice after Deforestation</v>
      </c>
      <c r="C254" s="2192"/>
      <c r="D254" s="2614">
        <v>1.3</v>
      </c>
      <c r="E254" s="3040"/>
      <c r="F254" s="2614">
        <f>(IF(E75=' IPCC'!$A$608,0,VLOOKUP(E75,' IPCC'!$A$609:$B$611,2,)))</f>
        <v>0</v>
      </c>
      <c r="G254" s="3041"/>
      <c r="H254" s="3040"/>
      <c r="I254" s="2614">
        <f>(IF(H75=' IPCC'!$A$615,0,VLOOKUP(H75,' IPCC'!$A$616:$B$618,2,)))</f>
        <v>0</v>
      </c>
      <c r="J254" s="3120"/>
      <c r="K254" s="3120"/>
      <c r="L254" s="3120"/>
      <c r="M254" s="3049"/>
      <c r="N254" s="3049">
        <f>(1+(IF(ISBLANK(J234),I234,J234))*IF(N75=' IPCC'!$A$622,0,VLOOKUP(N75,' IPCC'!$A$623:$B$629,2,)))^0.59</f>
        <v>1</v>
      </c>
      <c r="O254" s="3040"/>
      <c r="P254" s="3048">
        <f>IF(ISBLANK(E254),D254,E254)*IF(ISBLANK(H254),F254,H254)*IF(ISBLANK(J254),I254,J254)*IF(ISBLANK(O254),N254,O254)</f>
        <v>0</v>
      </c>
      <c r="Q254" s="1743"/>
      <c r="U254" s="1743"/>
      <c r="V254" s="1743"/>
      <c r="W254" s="1743"/>
      <c r="X254" s="1743"/>
      <c r="Y254" s="1743"/>
    </row>
    <row r="255" spans="2:25" s="1738" customFormat="1">
      <c r="B255" s="3037" t="str">
        <f t="shared" si="3"/>
        <v>Converted to A/R</v>
      </c>
      <c r="C255" s="2192"/>
      <c r="D255" s="2614">
        <f>D254</f>
        <v>1.3</v>
      </c>
      <c r="E255" s="3040"/>
      <c r="F255" s="2614">
        <f>(IF(E76=' IPCC'!$A$608,0,VLOOKUP(E76,' IPCC'!$A$609:$B$611,2,)))</f>
        <v>0</v>
      </c>
      <c r="G255" s="3041"/>
      <c r="H255" s="3040"/>
      <c r="I255" s="2614">
        <f>(IF(H76=' IPCC'!$A$615,0,VLOOKUP(H76,' IPCC'!$A$616:$B$618,2,)))</f>
        <v>0</v>
      </c>
      <c r="J255" s="3120"/>
      <c r="K255" s="3120"/>
      <c r="L255" s="3120"/>
      <c r="M255" s="3049"/>
      <c r="N255" s="3049">
        <f>(1+(IF(ISBLANK(J235),I235,J235))*IF(N76=' IPCC'!$A$622,0,VLOOKUP(N76,' IPCC'!$A$623:$B$629,2,)))^0.59</f>
        <v>1</v>
      </c>
      <c r="O255" s="3040"/>
      <c r="P255" s="3048">
        <f>IF(ISBLANK(E255),D255,E255)*IF(ISBLANK(H255),F255,H255)*IF(ISBLANK(J255),I255,J255)*IF(ISBLANK(O255),N255,O255)</f>
        <v>0</v>
      </c>
      <c r="Q255" s="1743"/>
      <c r="U255" s="1743"/>
      <c r="V255" s="1743"/>
      <c r="W255" s="1743"/>
      <c r="X255" s="1743"/>
      <c r="Y255" s="1743"/>
    </row>
    <row r="256" spans="2:25" s="1738" customFormat="1">
      <c r="B256" s="3037" t="str">
        <f t="shared" si="3"/>
        <v>Rice after non-forest LU</v>
      </c>
      <c r="C256" s="2192"/>
      <c r="D256" s="2614">
        <f t="shared" ref="D256:D268" si="4">D255</f>
        <v>1.3</v>
      </c>
      <c r="E256" s="3040"/>
      <c r="F256" s="2614">
        <f>(IF(E77=' IPCC'!$A$608,0,VLOOKUP(E77,' IPCC'!$A$609:$B$611,2,)))</f>
        <v>0</v>
      </c>
      <c r="G256" s="3041"/>
      <c r="H256" s="3040"/>
      <c r="I256" s="2614">
        <f>(IF(H77=' IPCC'!$A$615,0,VLOOKUP(H77,' IPCC'!$A$616:$B$618,2,)))</f>
        <v>0</v>
      </c>
      <c r="J256" s="3120"/>
      <c r="K256" s="3120"/>
      <c r="L256" s="3120"/>
      <c r="M256" s="3049"/>
      <c r="N256" s="3049">
        <f>(1+(IF(ISBLANK(J236),I236,J236))*IF(N77=' IPCC'!$A$622,0,VLOOKUP(N77,' IPCC'!$A$623:$B$629,2,)))^0.59</f>
        <v>1</v>
      </c>
      <c r="O256" s="3040"/>
      <c r="P256" s="3048">
        <f>IF(ISBLANK(E256),D256,E256)*IF(ISBLANK(H256),F256,H256)*IF(ISBLANK(J256),I256,J256)*IF(ISBLANK(O256),N256,O256)</f>
        <v>0</v>
      </c>
      <c r="Q256" s="1743"/>
      <c r="U256" s="1743"/>
      <c r="V256" s="1743"/>
      <c r="W256" s="1743"/>
      <c r="X256" s="1743"/>
      <c r="Y256" s="1743"/>
    </row>
    <row r="257" spans="2:25" s="1738" customFormat="1">
      <c r="B257" s="3037" t="str">
        <f t="shared" si="3"/>
        <v>Converted to OLUC</v>
      </c>
      <c r="C257" s="2192"/>
      <c r="D257" s="2614">
        <f t="shared" si="4"/>
        <v>1.3</v>
      </c>
      <c r="E257" s="3040"/>
      <c r="F257" s="2614">
        <f>(IF(E78=' IPCC'!$A$608,0,VLOOKUP(E78,' IPCC'!$A$609:$B$611,2,)))</f>
        <v>0</v>
      </c>
      <c r="G257" s="3041"/>
      <c r="H257" s="3040"/>
      <c r="I257" s="2614">
        <f>(IF(H78=' IPCC'!$A$615,0,VLOOKUP(H78,' IPCC'!$A$616:$B$618,2,)))</f>
        <v>0</v>
      </c>
      <c r="J257" s="3120"/>
      <c r="K257" s="3120"/>
      <c r="L257" s="3120"/>
      <c r="M257" s="3049"/>
      <c r="N257" s="3049">
        <f>(1+(IF(ISBLANK(J237),I237,J237))*IF(N78=' IPCC'!$A$622,0,VLOOKUP(N78,' IPCC'!$A$623:$B$629,2,)))^0.59</f>
        <v>1</v>
      </c>
      <c r="O257" s="3040"/>
      <c r="P257" s="3048">
        <f>IF(ISBLANK(E257),D257,E257)*IF(ISBLANK(H257),F257,H257)*IF(ISBLANK(J257),I257,J257)*IF(ISBLANK(O257),N257,O257)</f>
        <v>0</v>
      </c>
      <c r="Q257" s="1743"/>
      <c r="U257" s="1743"/>
      <c r="V257" s="1743"/>
      <c r="W257" s="1743"/>
      <c r="X257" s="1743"/>
      <c r="Y257" s="1743"/>
    </row>
    <row r="258" spans="2:25" s="1738" customFormat="1">
      <c r="B258" s="3038" t="str">
        <f t="shared" si="3"/>
        <v>Rice syst. remaining rice syst.</v>
      </c>
      <c r="C258" s="2192"/>
      <c r="D258" s="2614"/>
      <c r="E258" s="2192"/>
      <c r="F258" s="2614"/>
      <c r="G258" s="3041"/>
      <c r="H258" s="2192"/>
      <c r="I258" s="2614"/>
      <c r="J258" s="2192"/>
      <c r="K258" s="2192"/>
      <c r="L258" s="2192"/>
      <c r="M258" s="3049"/>
      <c r="N258" s="3049"/>
      <c r="O258" s="2192"/>
      <c r="P258" s="3048"/>
      <c r="Q258" s="1743"/>
      <c r="U258" s="1743"/>
      <c r="V258" s="1743"/>
      <c r="W258" s="1743"/>
      <c r="X258" s="1743"/>
      <c r="Y258" s="1743"/>
    </row>
    <row r="259" spans="2:25" s="1738" customFormat="1">
      <c r="B259" s="2613" t="str">
        <f t="shared" si="3"/>
        <v>Rice 1</v>
      </c>
      <c r="C259" s="2192"/>
      <c r="D259" s="2614">
        <f>D257</f>
        <v>1.3</v>
      </c>
      <c r="E259" s="3040"/>
      <c r="F259" s="2614">
        <f>(IF(E83=' IPCC'!$A$608,0,VLOOKUP(E83,' IPCC'!$A$609:$B$611,2,)))</f>
        <v>0</v>
      </c>
      <c r="G259" s="3041"/>
      <c r="H259" s="3040"/>
      <c r="I259" s="2614">
        <f>(IF(H83=' IPCC'!$A$615,0,VLOOKUP(H83,' IPCC'!$A$616:$B$618,2,)))</f>
        <v>0</v>
      </c>
      <c r="J259" s="3120"/>
      <c r="K259" s="3120"/>
      <c r="L259" s="3120"/>
      <c r="M259" s="3049"/>
      <c r="N259" s="3049">
        <f>(1+(IF(ISBLANK(J239),I239,J239))*IF(N83=' IPCC'!$A$622,0,VLOOKUP(N83,' IPCC'!$A$623:$B$629,2,)))^0.59</f>
        <v>1</v>
      </c>
      <c r="O259" s="3040"/>
      <c r="P259" s="3048">
        <f t="shared" ref="P259:P268" si="5">IF(ISBLANK(E259),D259,E259)*IF(ISBLANK(H259),F259,H259)*IF(ISBLANK(J259),I259,J259)*IF(ISBLANK(O259),N259,O259)</f>
        <v>0</v>
      </c>
      <c r="Q259" s="1743"/>
      <c r="U259" s="1743"/>
      <c r="V259" s="1743"/>
      <c r="W259" s="1743"/>
      <c r="X259" s="1743"/>
      <c r="Y259" s="1743"/>
    </row>
    <row r="260" spans="2:25" s="1738" customFormat="1">
      <c r="B260" s="2613" t="str">
        <f t="shared" si="3"/>
        <v>Rice 2</v>
      </c>
      <c r="C260" s="2192"/>
      <c r="D260" s="2614">
        <f t="shared" si="4"/>
        <v>1.3</v>
      </c>
      <c r="E260" s="3040"/>
      <c r="F260" s="2614">
        <f>(IF(E84=' IPCC'!$A$608,0,VLOOKUP(E84,' IPCC'!$A$609:$B$611,2,)))</f>
        <v>0</v>
      </c>
      <c r="G260" s="3041"/>
      <c r="H260" s="3040"/>
      <c r="I260" s="2614">
        <f>(IF(H84=' IPCC'!$A$615,0,VLOOKUP(H84,' IPCC'!$A$616:$B$618,2,)))</f>
        <v>0</v>
      </c>
      <c r="J260" s="3120"/>
      <c r="K260" s="3120"/>
      <c r="L260" s="3120"/>
      <c r="M260" s="3049"/>
      <c r="N260" s="3049">
        <f>(1+(IF(ISBLANK(J240),I240,J240))*IF(N84=' IPCC'!$A$622,0,VLOOKUP(N84,' IPCC'!$A$623:$B$629,2,)))^0.59</f>
        <v>1</v>
      </c>
      <c r="O260" s="3040"/>
      <c r="P260" s="3048">
        <f t="shared" si="5"/>
        <v>0</v>
      </c>
      <c r="Q260" s="1743"/>
      <c r="U260" s="1743"/>
      <c r="V260" s="1743"/>
      <c r="W260" s="1743"/>
      <c r="X260" s="1743"/>
      <c r="Y260" s="1743"/>
    </row>
    <row r="261" spans="2:25" s="1738" customFormat="1">
      <c r="B261" s="2613" t="str">
        <f t="shared" si="3"/>
        <v>Rice 3</v>
      </c>
      <c r="C261" s="2192"/>
      <c r="D261" s="2614">
        <f t="shared" si="4"/>
        <v>1.3</v>
      </c>
      <c r="E261" s="3040"/>
      <c r="F261" s="2614">
        <f>(IF(E85=' IPCC'!$A$608,0,VLOOKUP(E85,' IPCC'!$A$609:$B$611,2,)))</f>
        <v>0</v>
      </c>
      <c r="G261" s="3041"/>
      <c r="H261" s="3040"/>
      <c r="I261" s="2614">
        <f>(IF(H85=' IPCC'!$A$615,0,VLOOKUP(H85,' IPCC'!$A$616:$B$618,2,)))</f>
        <v>0</v>
      </c>
      <c r="J261" s="3120"/>
      <c r="K261" s="3120"/>
      <c r="L261" s="3120"/>
      <c r="M261" s="3049"/>
      <c r="N261" s="3049">
        <f>(1+(IF(ISBLANK(J241),I241,J241))*IF(N85=' IPCC'!$A$622,0,VLOOKUP(N85,' IPCC'!$A$623:$B$629,2,)))^0.59</f>
        <v>1</v>
      </c>
      <c r="O261" s="3040"/>
      <c r="P261" s="3048">
        <f t="shared" si="5"/>
        <v>0</v>
      </c>
      <c r="Q261" s="1743"/>
      <c r="U261" s="1743"/>
      <c r="V261" s="1743"/>
      <c r="W261" s="1743"/>
      <c r="X261" s="1743"/>
      <c r="Y261" s="1743"/>
    </row>
    <row r="262" spans="2:25" s="1738" customFormat="1">
      <c r="B262" s="2613" t="str">
        <f t="shared" si="3"/>
        <v>Rice 4</v>
      </c>
      <c r="C262" s="2192"/>
      <c r="D262" s="2614">
        <f t="shared" si="4"/>
        <v>1.3</v>
      </c>
      <c r="E262" s="3040"/>
      <c r="F262" s="2614">
        <f>(IF(E86=' IPCC'!$A$608,0,VLOOKUP(E86,' IPCC'!$A$609:$B$611,2,)))</f>
        <v>0</v>
      </c>
      <c r="G262" s="3041"/>
      <c r="H262" s="3040"/>
      <c r="I262" s="2614">
        <f>(IF(H86=' IPCC'!$A$615,0,VLOOKUP(H86,' IPCC'!$A$616:$B$618,2,)))</f>
        <v>0</v>
      </c>
      <c r="J262" s="3120"/>
      <c r="K262" s="3120"/>
      <c r="L262" s="3120"/>
      <c r="M262" s="3049"/>
      <c r="N262" s="3049">
        <f>(1+(IF(ISBLANK(J242),I242,J242))*IF(N86=' IPCC'!$A$622,0,VLOOKUP(N86,' IPCC'!$A$623:$B$629,2,)))^0.59</f>
        <v>1</v>
      </c>
      <c r="O262" s="3040"/>
      <c r="P262" s="3048">
        <f t="shared" si="5"/>
        <v>0</v>
      </c>
      <c r="Q262" s="1743"/>
      <c r="U262" s="1743"/>
      <c r="V262" s="1743"/>
      <c r="W262" s="1743"/>
      <c r="X262" s="1743"/>
      <c r="Y262" s="1743"/>
    </row>
    <row r="263" spans="2:25" s="1738" customFormat="1">
      <c r="B263" s="2613" t="str">
        <f t="shared" si="3"/>
        <v>Rice 5</v>
      </c>
      <c r="C263" s="2192"/>
      <c r="D263" s="2614">
        <f t="shared" si="4"/>
        <v>1.3</v>
      </c>
      <c r="E263" s="3040"/>
      <c r="F263" s="2614">
        <f>(IF(E87=' IPCC'!$A$608,0,VLOOKUP(E87,' IPCC'!$A$609:$B$611,2,)))</f>
        <v>0</v>
      </c>
      <c r="G263" s="3041"/>
      <c r="H263" s="3040"/>
      <c r="I263" s="2614">
        <f>(IF(H87=' IPCC'!$A$615,0,VLOOKUP(H87,' IPCC'!$A$616:$B$618,2,)))</f>
        <v>0</v>
      </c>
      <c r="J263" s="3120"/>
      <c r="K263" s="3120"/>
      <c r="L263" s="3120"/>
      <c r="M263" s="3049"/>
      <c r="N263" s="3049">
        <f>(1+(IF(ISBLANK(J243),I243,J243))*IF(N87=' IPCC'!$A$622,0,VLOOKUP(N87,' IPCC'!$A$623:$B$629,2,)))^0.59</f>
        <v>1</v>
      </c>
      <c r="O263" s="3040"/>
      <c r="P263" s="3048">
        <f t="shared" si="5"/>
        <v>0</v>
      </c>
      <c r="Q263" s="1743"/>
      <c r="U263" s="1743"/>
      <c r="V263" s="1743"/>
      <c r="W263" s="1743"/>
      <c r="X263" s="1743"/>
      <c r="Y263" s="1743"/>
    </row>
    <row r="264" spans="2:25" s="1738" customFormat="1">
      <c r="B264" s="2613" t="str">
        <f t="shared" si="3"/>
        <v>Rice 6</v>
      </c>
      <c r="C264" s="2192"/>
      <c r="D264" s="2614">
        <f t="shared" si="4"/>
        <v>1.3</v>
      </c>
      <c r="E264" s="3040"/>
      <c r="F264" s="2614">
        <f>(IF(E88=' IPCC'!$A$608,0,VLOOKUP(E88,' IPCC'!$A$609:$B$611,2,)))</f>
        <v>0</v>
      </c>
      <c r="G264" s="3041"/>
      <c r="H264" s="3040"/>
      <c r="I264" s="2614">
        <f>(IF(H88=' IPCC'!$A$615,0,VLOOKUP(H88,' IPCC'!$A$616:$B$618,2,)))</f>
        <v>0</v>
      </c>
      <c r="J264" s="3120"/>
      <c r="K264" s="3120"/>
      <c r="L264" s="3120"/>
      <c r="M264" s="3049"/>
      <c r="N264" s="3049">
        <f>(1+(IF(ISBLANK(J244),I244,J244))*IF(N88=' IPCC'!$A$622,0,VLOOKUP(N88,' IPCC'!$A$623:$B$629,2,)))^0.59</f>
        <v>1</v>
      </c>
      <c r="O264" s="3040"/>
      <c r="P264" s="3048">
        <f t="shared" si="5"/>
        <v>0</v>
      </c>
      <c r="Q264" s="1743"/>
      <c r="U264" s="1743"/>
      <c r="V264" s="1743"/>
      <c r="W264" s="1743"/>
      <c r="X264" s="1743"/>
      <c r="Y264" s="1743"/>
    </row>
    <row r="265" spans="2:25" s="1738" customFormat="1">
      <c r="B265" s="2613" t="str">
        <f t="shared" si="3"/>
        <v>Rice 7</v>
      </c>
      <c r="C265" s="2192"/>
      <c r="D265" s="2614">
        <f t="shared" si="4"/>
        <v>1.3</v>
      </c>
      <c r="E265" s="3040"/>
      <c r="F265" s="2614">
        <f>(IF(E89=' IPCC'!$A$608,0,VLOOKUP(E89,' IPCC'!$A$609:$B$611,2,)))</f>
        <v>0</v>
      </c>
      <c r="G265" s="3041"/>
      <c r="H265" s="3040"/>
      <c r="I265" s="2614">
        <f>(IF(H89=' IPCC'!$A$615,0,VLOOKUP(H89,' IPCC'!$A$616:$B$618,2,)))</f>
        <v>0</v>
      </c>
      <c r="J265" s="3120"/>
      <c r="K265" s="3120"/>
      <c r="L265" s="3120"/>
      <c r="M265" s="3049"/>
      <c r="N265" s="3049">
        <f>(1+(IF(ISBLANK(J245),I245,J245))*IF(N89=' IPCC'!$A$622,0,VLOOKUP(N89,' IPCC'!$A$623:$B$629,2,)))^0.59</f>
        <v>1</v>
      </c>
      <c r="O265" s="3040"/>
      <c r="P265" s="3048">
        <f t="shared" si="5"/>
        <v>0</v>
      </c>
      <c r="Q265" s="1743"/>
      <c r="U265" s="1743"/>
      <c r="V265" s="1743"/>
      <c r="W265" s="1743"/>
      <c r="X265" s="1743"/>
      <c r="Y265" s="1743"/>
    </row>
    <row r="266" spans="2:25" s="1738" customFormat="1">
      <c r="B266" s="2613" t="str">
        <f t="shared" si="3"/>
        <v>Rice 8</v>
      </c>
      <c r="C266" s="2192"/>
      <c r="D266" s="2614">
        <f t="shared" si="4"/>
        <v>1.3</v>
      </c>
      <c r="E266" s="3040"/>
      <c r="F266" s="2614">
        <f>(IF(E90=' IPCC'!$A$608,0,VLOOKUP(E90,' IPCC'!$A$609:$B$611,2,)))</f>
        <v>0</v>
      </c>
      <c r="G266" s="3041"/>
      <c r="H266" s="3040"/>
      <c r="I266" s="2614">
        <f>(IF(H90=' IPCC'!$A$615,0,VLOOKUP(H90,' IPCC'!$A$616:$B$618,2,)))</f>
        <v>0</v>
      </c>
      <c r="J266" s="3120"/>
      <c r="K266" s="3120"/>
      <c r="L266" s="3120"/>
      <c r="M266" s="3049"/>
      <c r="N266" s="3049">
        <f>(1+(IF(ISBLANK(J246),I246,J246))*IF(N90=' IPCC'!$A$622,0,VLOOKUP(N90,' IPCC'!$A$623:$B$629,2,)))^0.59</f>
        <v>1</v>
      </c>
      <c r="O266" s="3040"/>
      <c r="P266" s="3048">
        <f t="shared" si="5"/>
        <v>0</v>
      </c>
      <c r="Q266" s="1743"/>
      <c r="U266" s="1743"/>
      <c r="V266" s="1743"/>
      <c r="W266" s="1743"/>
      <c r="X266" s="1743"/>
      <c r="Y266" s="1743"/>
    </row>
    <row r="267" spans="2:25" s="1738" customFormat="1">
      <c r="B267" s="2613" t="str">
        <f t="shared" si="3"/>
        <v>Rice 9</v>
      </c>
      <c r="C267" s="2192"/>
      <c r="D267" s="2614">
        <f t="shared" si="4"/>
        <v>1.3</v>
      </c>
      <c r="E267" s="3040"/>
      <c r="F267" s="2614">
        <f>(IF(E91=' IPCC'!$A$608,0,VLOOKUP(E91,' IPCC'!$A$609:$B$611,2,)))</f>
        <v>0</v>
      </c>
      <c r="G267" s="3041"/>
      <c r="H267" s="3040"/>
      <c r="I267" s="2614">
        <f>(IF(H91=' IPCC'!$A$615,0,VLOOKUP(H91,' IPCC'!$A$616:$B$618,2,)))</f>
        <v>0</v>
      </c>
      <c r="J267" s="3120"/>
      <c r="K267" s="3120"/>
      <c r="L267" s="3120"/>
      <c r="M267" s="3049"/>
      <c r="N267" s="3049">
        <f>(1+(IF(ISBLANK(J247),I247,J247))*IF(N91=' IPCC'!$A$622,0,VLOOKUP(N91,' IPCC'!$A$623:$B$629,2,)))^0.59</f>
        <v>1</v>
      </c>
      <c r="O267" s="3040"/>
      <c r="P267" s="3048">
        <f t="shared" si="5"/>
        <v>0</v>
      </c>
      <c r="Q267" s="1743"/>
      <c r="U267" s="1743"/>
      <c r="V267" s="1743"/>
      <c r="W267" s="1743"/>
      <c r="X267" s="1743"/>
      <c r="Y267" s="1743"/>
    </row>
    <row r="268" spans="2:25" s="1738" customFormat="1">
      <c r="B268" s="2613" t="str">
        <f t="shared" si="3"/>
        <v>Rice 10</v>
      </c>
      <c r="C268" s="2192"/>
      <c r="D268" s="2614">
        <f t="shared" si="4"/>
        <v>1.3</v>
      </c>
      <c r="E268" s="3040"/>
      <c r="F268" s="2614">
        <f>(IF(E92=' IPCC'!$A$608,0,VLOOKUP(E92,' IPCC'!$A$609:$B$611,2,)))</f>
        <v>0</v>
      </c>
      <c r="G268" s="3041"/>
      <c r="H268" s="3040"/>
      <c r="I268" s="2614">
        <f>(IF(H92=' IPCC'!$A$615,0,VLOOKUP(H92,' IPCC'!$A$616:$B$618,2,)))</f>
        <v>0</v>
      </c>
      <c r="J268" s="3120"/>
      <c r="K268" s="3120"/>
      <c r="L268" s="3120"/>
      <c r="M268" s="3049"/>
      <c r="N268" s="3049">
        <f>(1+(IF(ISBLANK(J248),I248,J248))*IF(N92=' IPCC'!$A$622,0,VLOOKUP(N92,' IPCC'!$A$623:$B$629,2,)))^0.59</f>
        <v>1</v>
      </c>
      <c r="O268" s="3040"/>
      <c r="P268" s="3048">
        <f t="shared" si="5"/>
        <v>0</v>
      </c>
      <c r="Q268" s="1743"/>
      <c r="U268" s="1743"/>
      <c r="V268" s="1743"/>
      <c r="W268" s="1743"/>
      <c r="X268" s="1743"/>
      <c r="Y268" s="1743"/>
    </row>
    <row r="269" spans="2:25" s="1738" customFormat="1">
      <c r="N269" s="1743"/>
      <c r="P269" s="1743"/>
      <c r="Q269" s="1743"/>
      <c r="U269" s="1743"/>
      <c r="V269" s="1743"/>
      <c r="W269" s="1743"/>
      <c r="X269" s="1743"/>
      <c r="Y269" s="1743"/>
    </row>
    <row r="270" spans="2:25" s="1738" customFormat="1">
      <c r="N270" s="1743"/>
      <c r="P270" s="1743"/>
      <c r="Q270" s="1743"/>
      <c r="U270" s="1743"/>
      <c r="V270" s="1743"/>
      <c r="W270" s="1743"/>
      <c r="X270" s="1743"/>
      <c r="Y270" s="1743"/>
    </row>
    <row r="271" spans="2:25" s="1738" customFormat="1">
      <c r="N271" s="1743"/>
      <c r="P271" s="1743"/>
      <c r="Q271" s="1743"/>
      <c r="U271" s="1743"/>
      <c r="V271" s="1743"/>
      <c r="W271" s="1743"/>
      <c r="X271" s="1743"/>
      <c r="Y271" s="1743"/>
    </row>
    <row r="272" spans="2:25" s="1738" customFormat="1">
      <c r="N272" s="1743"/>
      <c r="P272" s="1743"/>
      <c r="Q272" s="1743"/>
      <c r="U272" s="1743"/>
      <c r="V272" s="1743"/>
      <c r="W272" s="1743"/>
      <c r="X272" s="1743"/>
      <c r="Y272" s="1743"/>
    </row>
    <row r="273" spans="2:25" s="1738" customFormat="1">
      <c r="N273" s="1743"/>
      <c r="P273" s="1743"/>
      <c r="Q273" s="1743"/>
      <c r="U273" s="1743"/>
      <c r="V273" s="1743"/>
      <c r="W273" s="1743"/>
      <c r="X273" s="1743"/>
      <c r="Y273" s="1743"/>
    </row>
    <row r="274" spans="2:25" s="1738" customFormat="1">
      <c r="N274" s="1743"/>
      <c r="P274" s="1743"/>
      <c r="Q274" s="1743"/>
      <c r="U274" s="1743"/>
      <c r="V274" s="1743"/>
      <c r="W274" s="1743"/>
      <c r="X274" s="1743"/>
      <c r="Y274" s="1743"/>
    </row>
    <row r="275" spans="2:25" s="1738" customFormat="1">
      <c r="N275" s="1743"/>
      <c r="P275" s="1743"/>
      <c r="Q275" s="1743"/>
      <c r="U275" s="1743"/>
      <c r="V275" s="1743"/>
      <c r="W275" s="1743"/>
      <c r="X275" s="1743"/>
      <c r="Y275" s="1743"/>
    </row>
    <row r="276" spans="2:25" s="1738" customFormat="1">
      <c r="N276" s="1743"/>
      <c r="P276" s="1743"/>
      <c r="Q276" s="1743"/>
      <c r="U276" s="1743"/>
      <c r="V276" s="1743"/>
      <c r="W276" s="1743"/>
      <c r="X276" s="1743"/>
      <c r="Y276" s="1743"/>
    </row>
    <row r="277" spans="2:25" s="1738" customFormat="1">
      <c r="N277" s="1743"/>
      <c r="P277" s="1743"/>
      <c r="Q277" s="1743"/>
      <c r="U277" s="1743"/>
      <c r="V277" s="1743"/>
      <c r="W277" s="1743"/>
      <c r="X277" s="1743"/>
      <c r="Y277" s="1743"/>
    </row>
    <row r="278" spans="2:25" s="1738" customFormat="1">
      <c r="N278" s="1743"/>
      <c r="P278" s="1743"/>
      <c r="Q278" s="1743"/>
      <c r="U278" s="1743"/>
      <c r="V278" s="1743"/>
      <c r="W278" s="1743"/>
      <c r="X278" s="1743"/>
      <c r="Y278" s="1743"/>
    </row>
    <row r="279" spans="2:25" s="1738" customFormat="1">
      <c r="N279" s="1743"/>
      <c r="P279" s="1743"/>
      <c r="Q279" s="1743"/>
      <c r="U279" s="1743"/>
      <c r="V279" s="1743"/>
      <c r="W279" s="1743"/>
      <c r="X279" s="1743"/>
      <c r="Y279" s="1743"/>
    </row>
    <row r="280" spans="2:25" s="1738" customFormat="1">
      <c r="N280" s="1743"/>
      <c r="P280" s="1743"/>
      <c r="Q280" s="1743"/>
      <c r="U280" s="1743"/>
      <c r="V280" s="1743"/>
      <c r="W280" s="1743"/>
      <c r="X280" s="1743"/>
      <c r="Y280" s="1743"/>
    </row>
    <row r="281" spans="2:25" s="1738" customFormat="1" ht="15.6">
      <c r="B281" s="2567" t="str">
        <f>B117</f>
        <v>3.1. Annual systems (to be used also for  pluri-annual systems such as  cotton or sugarcane)</v>
      </c>
      <c r="C281" s="2585"/>
      <c r="D281" s="2586"/>
      <c r="E281" s="2586"/>
      <c r="F281" s="2586"/>
      <c r="G281" s="2586"/>
      <c r="H281" s="2586"/>
      <c r="I281" s="2586"/>
      <c r="J281" s="2586"/>
      <c r="K281" s="2586"/>
      <c r="L281" s="2586"/>
      <c r="M281" s="2586"/>
      <c r="N281" s="2587"/>
      <c r="O281" s="2587"/>
      <c r="P281" s="1743"/>
      <c r="Q281" s="1743"/>
      <c r="U281" s="1743"/>
      <c r="V281" s="1743"/>
      <c r="W281" s="1743"/>
      <c r="X281" s="1743"/>
      <c r="Y281" s="1743"/>
    </row>
    <row r="282" spans="2:25" s="1738" customFormat="1">
      <c r="P282" s="1743"/>
      <c r="Q282" s="1743"/>
      <c r="U282" s="1743"/>
      <c r="V282" s="1743"/>
      <c r="W282" s="1743"/>
      <c r="X282" s="1743"/>
      <c r="Y282" s="1743"/>
    </row>
    <row r="283" spans="2:25" s="1738" customFormat="1">
      <c r="U283" s="1743"/>
      <c r="V283" s="1743"/>
      <c r="W283" s="1743"/>
      <c r="X283" s="1743"/>
      <c r="Y283" s="1743"/>
    </row>
    <row r="284" spans="2:25" s="1738" customFormat="1">
      <c r="N284" s="1743"/>
      <c r="P284" s="1743"/>
      <c r="Q284" s="1743"/>
      <c r="U284" s="1743"/>
      <c r="V284" s="1743"/>
      <c r="W284" s="1743"/>
      <c r="X284" s="1743"/>
      <c r="Y284" s="1743"/>
    </row>
    <row r="285" spans="2:25" s="1738" customFormat="1" ht="13.8">
      <c r="B285" s="2763" t="str">
        <f>HLOOKUP(select,translations!$A$76:$H$144,64,)</f>
        <v>Definitions of land management options</v>
      </c>
      <c r="C285" s="2761"/>
      <c r="D285" s="2761"/>
      <c r="E285" s="2761"/>
      <c r="F285" s="2761"/>
      <c r="G285" s="2761"/>
      <c r="H285" s="2761"/>
      <c r="I285" s="2761"/>
      <c r="J285" s="2761"/>
      <c r="K285" s="2761"/>
      <c r="L285" s="2761"/>
      <c r="M285" s="2761"/>
      <c r="N285" s="2762"/>
      <c r="O285" s="2761"/>
      <c r="P285" s="1743"/>
      <c r="Q285" s="1743"/>
      <c r="U285" s="1743"/>
      <c r="V285" s="1743"/>
      <c r="W285" s="1743"/>
      <c r="X285" s="1743"/>
      <c r="Y285" s="1743"/>
    </row>
    <row r="286" spans="2:25" s="1738" customFormat="1">
      <c r="N286" s="1743"/>
      <c r="P286" s="1743"/>
      <c r="Q286" s="1743"/>
      <c r="U286" s="1743"/>
      <c r="V286" s="1743"/>
      <c r="W286" s="1743"/>
      <c r="X286" s="1743"/>
      <c r="Y286" s="1743"/>
    </row>
    <row r="287" spans="2:25" s="1738" customFormat="1">
      <c r="B287" s="2764" t="str">
        <f>D11</f>
        <v>Improved agronomic practices</v>
      </c>
      <c r="C287" s="2765"/>
      <c r="D287" s="3122" t="str">
        <f>HLOOKUP(select,translations!$A$76:$H$144,65,)</f>
        <v>Using improved varieties, extending crop rotation, increasing crop residues.</v>
      </c>
      <c r="E287" s="3122"/>
      <c r="F287" s="3122"/>
      <c r="G287" s="3122"/>
      <c r="H287" s="3122"/>
      <c r="I287" s="3122"/>
      <c r="J287" s="3122"/>
      <c r="K287" s="3122"/>
      <c r="L287" s="3122"/>
      <c r="M287" s="3122"/>
      <c r="N287" s="3122"/>
      <c r="O287" s="3122"/>
      <c r="P287" s="1743"/>
      <c r="Q287" s="1743"/>
      <c r="U287" s="1743"/>
      <c r="V287" s="1743"/>
      <c r="W287" s="1743"/>
      <c r="X287" s="1743"/>
      <c r="Y287" s="1743"/>
    </row>
    <row r="288" spans="2:25" s="1738" customFormat="1">
      <c r="B288" s="2764"/>
      <c r="C288" s="2765"/>
      <c r="D288" s="3122"/>
      <c r="E288" s="3122"/>
      <c r="F288" s="3122"/>
      <c r="G288" s="3122"/>
      <c r="H288" s="3122"/>
      <c r="I288" s="3122"/>
      <c r="J288" s="3122"/>
      <c r="K288" s="3122"/>
      <c r="L288" s="3122"/>
      <c r="M288" s="3122"/>
      <c r="N288" s="3122"/>
      <c r="O288" s="3122"/>
      <c r="P288" s="1743"/>
      <c r="Q288" s="1743"/>
      <c r="U288" s="1743"/>
      <c r="V288" s="1743"/>
      <c r="W288" s="1743"/>
      <c r="X288" s="1743"/>
      <c r="Y288" s="1743"/>
    </row>
    <row r="289" spans="1:25" s="1738" customFormat="1">
      <c r="B289" s="1743"/>
      <c r="C289" s="1743"/>
      <c r="D289" s="1743"/>
      <c r="E289" s="1743"/>
      <c r="F289" s="1743"/>
      <c r="G289" s="1743"/>
      <c r="H289" s="1743"/>
      <c r="I289" s="1743"/>
      <c r="J289" s="1743"/>
      <c r="K289" s="1743"/>
      <c r="L289" s="1743"/>
      <c r="M289" s="1743"/>
      <c r="N289" s="1743"/>
      <c r="O289" s="1743"/>
      <c r="P289" s="1743"/>
      <c r="Q289" s="1743"/>
      <c r="U289" s="1743"/>
      <c r="V289" s="1743"/>
      <c r="W289" s="1743"/>
      <c r="X289" s="1743"/>
      <c r="Y289" s="1743"/>
    </row>
    <row r="290" spans="1:25" s="1738" customFormat="1">
      <c r="B290" s="2764" t="str">
        <f>E11</f>
        <v>Nutrient management</v>
      </c>
      <c r="C290" s="2765"/>
      <c r="D290" s="3123" t="str">
        <f>HLOOKUP(select,translations!$A$76:$H$144,66,)</f>
        <v>Improve N use efficiency &amp; decrease N losses: Microdosing, adjusted application rate, timing &amp; location…</v>
      </c>
      <c r="E290" s="3123"/>
      <c r="F290" s="3123"/>
      <c r="G290" s="3123"/>
      <c r="H290" s="3123"/>
      <c r="I290" s="3123"/>
      <c r="J290" s="3123"/>
      <c r="K290" s="3123"/>
      <c r="L290" s="3123"/>
      <c r="M290" s="3123"/>
      <c r="N290" s="3123"/>
      <c r="O290" s="3123"/>
      <c r="P290" s="1743"/>
      <c r="Q290" s="1743"/>
      <c r="U290" s="1743"/>
      <c r="V290" s="1743"/>
      <c r="W290" s="1743"/>
      <c r="X290" s="1743"/>
      <c r="Y290" s="1743"/>
    </row>
    <row r="291" spans="1:25" s="1738" customFormat="1">
      <c r="B291" s="2764"/>
      <c r="C291" s="2765"/>
      <c r="D291" s="3123"/>
      <c r="E291" s="3123"/>
      <c r="F291" s="3123"/>
      <c r="G291" s="3123"/>
      <c r="H291" s="3123"/>
      <c r="I291" s="3123"/>
      <c r="J291" s="3123"/>
      <c r="K291" s="3123"/>
      <c r="L291" s="3123"/>
      <c r="M291" s="3123"/>
      <c r="N291" s="3123"/>
      <c r="O291" s="3123"/>
      <c r="P291" s="1743"/>
      <c r="Q291" s="1743"/>
      <c r="U291" s="1743"/>
      <c r="V291" s="1743"/>
      <c r="W291" s="1743"/>
      <c r="X291" s="1743"/>
      <c r="Y291" s="1743"/>
    </row>
    <row r="292" spans="1:25" s="1738" customFormat="1">
      <c r="B292" s="2764"/>
      <c r="C292" s="2765"/>
      <c r="D292" s="3123"/>
      <c r="E292" s="3123"/>
      <c r="F292" s="3123"/>
      <c r="G292" s="3123"/>
      <c r="H292" s="3123"/>
      <c r="I292" s="3123"/>
      <c r="J292" s="3123"/>
      <c r="K292" s="3123"/>
      <c r="L292" s="3123"/>
      <c r="M292" s="3123"/>
      <c r="N292" s="3123"/>
      <c r="O292" s="3123"/>
      <c r="P292" s="1743"/>
      <c r="Q292" s="1743"/>
      <c r="U292" s="1743"/>
      <c r="V292" s="1743"/>
      <c r="W292" s="1743"/>
      <c r="X292" s="1743"/>
      <c r="Y292" s="1743"/>
    </row>
    <row r="293" spans="1:25" s="1738" customFormat="1">
      <c r="B293" s="1743"/>
      <c r="C293" s="1743"/>
      <c r="D293" s="1743"/>
      <c r="E293" s="1743"/>
      <c r="F293" s="1743"/>
      <c r="G293" s="1743"/>
      <c r="H293" s="1743"/>
      <c r="I293" s="1743"/>
      <c r="J293" s="1743"/>
      <c r="K293" s="1743"/>
      <c r="L293" s="1743"/>
      <c r="M293" s="1743"/>
      <c r="N293" s="1743"/>
      <c r="O293" s="1743"/>
      <c r="P293" s="1743"/>
      <c r="Q293" s="1743"/>
      <c r="U293" s="1743"/>
      <c r="V293" s="1743"/>
      <c r="W293" s="1743"/>
      <c r="X293" s="1743"/>
      <c r="Y293" s="1743"/>
    </row>
    <row r="294" spans="1:25" s="1738" customFormat="1">
      <c r="B294" s="2764" t="str">
        <f>F11</f>
        <v>NoTill./residues management</v>
      </c>
      <c r="C294" s="2765"/>
      <c r="D294" s="3123" t="str">
        <f>HLOOKUP(select,translations!$A$76:$H$144,67,)</f>
        <v>Adoption of reduced, minimum or zero tillage, with or without mulching, including Conservation Agriculture.</v>
      </c>
      <c r="E294" s="3123"/>
      <c r="F294" s="3123"/>
      <c r="G294" s="3123"/>
      <c r="H294" s="3123"/>
      <c r="I294" s="3123"/>
      <c r="J294" s="3123"/>
      <c r="K294" s="3123"/>
      <c r="L294" s="3123"/>
      <c r="M294" s="3123"/>
      <c r="N294" s="3123"/>
      <c r="O294" s="3123"/>
      <c r="P294" s="1743"/>
      <c r="Q294" s="1743"/>
      <c r="U294" s="1743"/>
      <c r="V294" s="1743"/>
      <c r="W294" s="1743"/>
      <c r="X294" s="1743"/>
      <c r="Y294" s="1743"/>
    </row>
    <row r="295" spans="1:25" s="1738" customFormat="1">
      <c r="B295" s="2764"/>
      <c r="C295" s="2765"/>
      <c r="D295" s="3123"/>
      <c r="E295" s="3123"/>
      <c r="F295" s="3123"/>
      <c r="G295" s="3123"/>
      <c r="H295" s="3123"/>
      <c r="I295" s="3123"/>
      <c r="J295" s="3123"/>
      <c r="K295" s="3123"/>
      <c r="L295" s="3123"/>
      <c r="M295" s="3123"/>
      <c r="N295" s="3123"/>
      <c r="O295" s="3123"/>
      <c r="P295" s="1743"/>
      <c r="Q295" s="1743"/>
      <c r="U295" s="1743"/>
      <c r="V295" s="1743"/>
      <c r="W295" s="1743"/>
      <c r="X295" s="1743"/>
      <c r="Y295" s="1743"/>
    </row>
    <row r="296" spans="1:25" s="1738" customFormat="1">
      <c r="A296" s="1743"/>
      <c r="B296" s="1743"/>
      <c r="C296" s="1743"/>
      <c r="D296" s="1743"/>
      <c r="E296" s="1743"/>
      <c r="F296" s="1743"/>
      <c r="G296" s="1743"/>
      <c r="H296" s="1743"/>
      <c r="I296" s="1743"/>
      <c r="J296" s="1743"/>
      <c r="K296" s="1743"/>
      <c r="L296" s="1743"/>
      <c r="M296" s="1743"/>
      <c r="N296" s="1743"/>
      <c r="O296" s="1743"/>
      <c r="P296" s="1743"/>
      <c r="Q296" s="1743"/>
      <c r="U296" s="1743"/>
      <c r="V296" s="1743"/>
      <c r="W296" s="1743"/>
      <c r="X296" s="1743"/>
      <c r="Y296" s="1743"/>
    </row>
    <row r="297" spans="1:25" s="1738" customFormat="1">
      <c r="B297" s="2764" t="str">
        <f>H11</f>
        <v>Water  management</v>
      </c>
      <c r="C297" s="2765"/>
      <c r="D297" s="2765" t="str">
        <f>HLOOKUP(select,translations!$A$76:$H$144,68,)</f>
        <v>Effective irrigation measure.</v>
      </c>
      <c r="E297" s="2765"/>
      <c r="F297" s="2765"/>
      <c r="G297" s="2765"/>
      <c r="H297" s="2765"/>
      <c r="I297" s="2765"/>
      <c r="J297" s="2765"/>
      <c r="K297" s="2765"/>
      <c r="L297" s="2765"/>
      <c r="M297" s="2765"/>
      <c r="N297" s="2766"/>
      <c r="O297" s="2765"/>
      <c r="P297" s="1743"/>
      <c r="Q297" s="1743"/>
      <c r="U297" s="1743"/>
      <c r="V297" s="1743"/>
      <c r="W297" s="1743"/>
      <c r="X297" s="1743"/>
      <c r="Y297" s="1743"/>
    </row>
    <row r="298" spans="1:25" s="1738" customFormat="1">
      <c r="A298" s="1743"/>
      <c r="B298" s="1743"/>
      <c r="C298" s="1743"/>
      <c r="D298" s="1743"/>
      <c r="E298" s="1743"/>
      <c r="F298" s="1743"/>
      <c r="G298" s="1743"/>
      <c r="H298" s="1743"/>
      <c r="I298" s="1743"/>
      <c r="J298" s="1743"/>
      <c r="K298" s="1743"/>
      <c r="L298" s="1743"/>
      <c r="M298" s="1743"/>
      <c r="N298" s="1743"/>
      <c r="O298" s="1743"/>
      <c r="P298" s="1743"/>
      <c r="Q298" s="1743"/>
      <c r="U298" s="1743"/>
      <c r="V298" s="1743"/>
      <c r="W298" s="1743"/>
      <c r="X298" s="1743"/>
      <c r="Y298" s="1743"/>
    </row>
    <row r="299" spans="1:25" s="1738" customFormat="1">
      <c r="B299" s="2764" t="str">
        <f>I11</f>
        <v>Manure application</v>
      </c>
      <c r="C299" s="2765"/>
      <c r="D299" s="2765" t="str">
        <f>HLOOKUP(select,translations!$A$76:$H$144,69,)</f>
        <v>Manure or Biosolids application to the field as input.</v>
      </c>
      <c r="E299" s="2765"/>
      <c r="F299" s="2765"/>
      <c r="G299" s="2765"/>
      <c r="H299" s="2765"/>
      <c r="I299" s="2765"/>
      <c r="J299" s="2765"/>
      <c r="K299" s="2765"/>
      <c r="L299" s="2765"/>
      <c r="M299" s="2765"/>
      <c r="N299" s="2766"/>
      <c r="O299" s="2765"/>
      <c r="P299" s="1743"/>
      <c r="Q299" s="1743"/>
      <c r="U299" s="1743"/>
      <c r="V299" s="1743"/>
      <c r="W299" s="1743"/>
      <c r="X299" s="1743"/>
      <c r="Y299" s="1743"/>
    </row>
    <row r="300" spans="1:25" s="1738" customFormat="1">
      <c r="N300" s="1743"/>
      <c r="P300" s="1743"/>
      <c r="Q300" s="1743"/>
      <c r="U300" s="1743"/>
      <c r="V300" s="1743"/>
      <c r="W300" s="1743"/>
      <c r="X300" s="1743"/>
      <c r="Y300" s="1743"/>
    </row>
    <row r="301" spans="1:25" s="1738" customFormat="1">
      <c r="N301" s="1743"/>
      <c r="P301" s="1743"/>
      <c r="Q301" s="1743"/>
      <c r="U301" s="1743"/>
      <c r="V301" s="1743"/>
      <c r="W301" s="1743"/>
      <c r="X301" s="1743"/>
      <c r="Y301" s="1743"/>
    </row>
    <row r="302" spans="1:25" s="1738" customFormat="1">
      <c r="N302" s="1743"/>
      <c r="P302" s="1743"/>
      <c r="Q302" s="1743"/>
      <c r="U302" s="1743"/>
      <c r="V302" s="1743"/>
      <c r="W302" s="1743"/>
      <c r="X302" s="1743"/>
      <c r="Y302" s="1743"/>
    </row>
    <row r="303" spans="1:25" s="1738" customFormat="1">
      <c r="N303" s="1743"/>
      <c r="P303" s="1743"/>
      <c r="Q303" s="1743"/>
      <c r="U303" s="1743"/>
      <c r="V303" s="1743"/>
      <c r="W303" s="1743"/>
      <c r="X303" s="1743"/>
      <c r="Y303" s="1743"/>
    </row>
    <row r="304" spans="1:25" s="1738" customFormat="1">
      <c r="N304" s="1743"/>
      <c r="P304" s="1743"/>
      <c r="Q304" s="1743"/>
      <c r="U304" s="1743"/>
      <c r="V304" s="1743"/>
      <c r="W304" s="1743"/>
      <c r="X304" s="1743"/>
      <c r="Y304" s="1743"/>
    </row>
    <row r="305" spans="14:25" s="1738" customFormat="1">
      <c r="N305" s="1743"/>
      <c r="P305" s="1743"/>
      <c r="Q305" s="1743"/>
      <c r="U305" s="1743"/>
      <c r="V305" s="1743"/>
      <c r="W305" s="1743"/>
      <c r="X305" s="1743"/>
      <c r="Y305" s="1743"/>
    </row>
    <row r="306" spans="14:25" s="1738" customFormat="1">
      <c r="N306" s="1743"/>
      <c r="P306" s="1743"/>
      <c r="Q306" s="1743"/>
      <c r="U306" s="1743"/>
      <c r="V306" s="1743"/>
      <c r="W306" s="1743"/>
      <c r="X306" s="1743"/>
      <c r="Y306" s="1743"/>
    </row>
    <row r="307" spans="14:25" s="1738" customFormat="1">
      <c r="N307" s="1743"/>
      <c r="P307" s="1743"/>
      <c r="Q307" s="1743"/>
      <c r="U307" s="1743"/>
      <c r="V307" s="1743"/>
      <c r="W307" s="1743"/>
      <c r="X307" s="1743"/>
      <c r="Y307" s="1743"/>
    </row>
    <row r="308" spans="14:25" s="1738" customFormat="1">
      <c r="N308" s="1743"/>
      <c r="P308" s="1743"/>
      <c r="Q308" s="1743"/>
      <c r="U308" s="1743"/>
      <c r="V308" s="1743"/>
      <c r="W308" s="1743"/>
      <c r="X308" s="1743"/>
      <c r="Y308" s="1743"/>
    </row>
    <row r="309" spans="14:25" s="1738" customFormat="1">
      <c r="N309" s="1743"/>
      <c r="P309" s="1743"/>
      <c r="Q309" s="1743"/>
      <c r="U309" s="1743"/>
      <c r="V309" s="1743"/>
      <c r="W309" s="1743"/>
      <c r="X309" s="1743"/>
      <c r="Y309" s="1743"/>
    </row>
    <row r="310" spans="14:25" s="1738" customFormat="1">
      <c r="N310" s="1743"/>
      <c r="P310" s="1743"/>
      <c r="Q310" s="1743"/>
      <c r="U310" s="1743"/>
      <c r="V310" s="1743"/>
      <c r="W310" s="1743"/>
      <c r="X310" s="1743"/>
      <c r="Y310" s="1743"/>
    </row>
    <row r="311" spans="14:25" s="1738" customFormat="1">
      <c r="N311" s="1743"/>
      <c r="P311" s="1743"/>
      <c r="Q311" s="1743"/>
      <c r="U311" s="1743"/>
      <c r="V311" s="1743"/>
      <c r="W311" s="1743"/>
      <c r="X311" s="1743"/>
      <c r="Y311" s="1743"/>
    </row>
    <row r="312" spans="14:25" s="1738" customFormat="1">
      <c r="N312" s="1743"/>
      <c r="P312" s="1743"/>
      <c r="Q312" s="1743"/>
      <c r="U312" s="1743"/>
      <c r="V312" s="1743"/>
      <c r="W312" s="1743"/>
      <c r="X312" s="1743"/>
      <c r="Y312" s="1743"/>
    </row>
    <row r="313" spans="14:25" s="1738" customFormat="1">
      <c r="N313" s="1743"/>
      <c r="P313" s="1743"/>
      <c r="Q313" s="1743"/>
      <c r="U313" s="1743"/>
      <c r="V313" s="1743"/>
      <c r="W313" s="1743"/>
      <c r="X313" s="1743"/>
      <c r="Y313" s="1743"/>
    </row>
    <row r="314" spans="14:25" s="1738" customFormat="1">
      <c r="N314" s="1743"/>
      <c r="P314" s="1743"/>
      <c r="Q314" s="1743"/>
      <c r="U314" s="1743"/>
      <c r="V314" s="1743"/>
      <c r="W314" s="1743"/>
      <c r="X314" s="1743"/>
      <c r="Y314" s="1743"/>
    </row>
    <row r="315" spans="14:25" s="1738" customFormat="1">
      <c r="N315" s="1743"/>
      <c r="P315" s="1743"/>
      <c r="Q315" s="1743"/>
      <c r="U315" s="1743"/>
      <c r="V315" s="1743"/>
      <c r="W315" s="1743"/>
      <c r="X315" s="1743"/>
      <c r="Y315" s="1743"/>
    </row>
    <row r="316" spans="14:25" s="1738" customFormat="1">
      <c r="N316" s="1743"/>
      <c r="P316" s="1743"/>
      <c r="Q316" s="1743"/>
      <c r="U316" s="1743"/>
      <c r="V316" s="1743"/>
      <c r="W316" s="1743"/>
      <c r="X316" s="1743"/>
      <c r="Y316" s="1743"/>
    </row>
    <row r="317" spans="14:25" s="1738" customFormat="1">
      <c r="N317" s="1743"/>
      <c r="P317" s="1743"/>
      <c r="Q317" s="1743"/>
      <c r="U317" s="1743"/>
      <c r="V317" s="1743"/>
      <c r="W317" s="1743"/>
      <c r="X317" s="1743"/>
      <c r="Y317" s="1743"/>
    </row>
    <row r="318" spans="14:25" s="1738" customFormat="1">
      <c r="N318" s="1743"/>
      <c r="P318" s="1743"/>
      <c r="Q318" s="1743"/>
      <c r="U318" s="1743"/>
      <c r="V318" s="1743"/>
      <c r="W318" s="1743"/>
      <c r="X318" s="1743"/>
      <c r="Y318" s="1743"/>
    </row>
    <row r="319" spans="14:25" s="1738" customFormat="1">
      <c r="N319" s="1743"/>
      <c r="P319" s="1743"/>
      <c r="Q319" s="1743"/>
      <c r="U319" s="1743"/>
      <c r="V319" s="1743"/>
      <c r="W319" s="1743"/>
      <c r="X319" s="1743"/>
      <c r="Y319" s="1743"/>
    </row>
    <row r="320" spans="14:25" s="1738" customFormat="1">
      <c r="N320" s="1743"/>
      <c r="P320" s="1743"/>
      <c r="Q320" s="1743"/>
      <c r="U320" s="1743"/>
      <c r="V320" s="1743"/>
      <c r="W320" s="1743"/>
      <c r="X320" s="1743"/>
      <c r="Y320" s="1743"/>
    </row>
    <row r="321" spans="14:25" s="1738" customFormat="1">
      <c r="N321" s="1743"/>
      <c r="P321" s="1743"/>
      <c r="Q321" s="1743"/>
      <c r="U321" s="1743"/>
      <c r="V321" s="1743"/>
      <c r="W321" s="1743"/>
      <c r="X321" s="1743"/>
      <c r="Y321" s="1743"/>
    </row>
    <row r="322" spans="14:25" s="1738" customFormat="1">
      <c r="N322" s="1743"/>
      <c r="P322" s="1743"/>
      <c r="Q322" s="1743"/>
      <c r="U322" s="1743"/>
      <c r="V322" s="1743"/>
      <c r="W322" s="1743"/>
      <c r="X322" s="1743"/>
      <c r="Y322" s="1743"/>
    </row>
    <row r="323" spans="14:25" s="1738" customFormat="1">
      <c r="N323" s="1743"/>
      <c r="P323" s="1743"/>
      <c r="Q323" s="1743"/>
      <c r="U323" s="1743"/>
      <c r="V323" s="1743"/>
      <c r="W323" s="1743"/>
      <c r="X323" s="1743"/>
      <c r="Y323" s="1743"/>
    </row>
    <row r="324" spans="14:25" s="1738" customFormat="1">
      <c r="N324" s="1743"/>
      <c r="P324" s="1743"/>
      <c r="Q324" s="1743"/>
      <c r="U324" s="1743"/>
      <c r="V324" s="1743"/>
      <c r="W324" s="1743"/>
      <c r="X324" s="1743"/>
      <c r="Y324" s="1743"/>
    </row>
    <row r="325" spans="14:25" s="1738" customFormat="1">
      <c r="N325" s="1743"/>
      <c r="P325" s="1743"/>
      <c r="Q325" s="1743"/>
      <c r="U325" s="1743"/>
      <c r="V325" s="1743"/>
      <c r="W325" s="1743"/>
      <c r="X325" s="1743"/>
      <c r="Y325" s="1743"/>
    </row>
    <row r="326" spans="14:25" s="1738" customFormat="1">
      <c r="N326" s="1743"/>
      <c r="P326" s="1743"/>
      <c r="Q326" s="1743"/>
      <c r="U326" s="1743"/>
      <c r="V326" s="1743"/>
      <c r="W326" s="1743"/>
      <c r="X326" s="1743"/>
      <c r="Y326" s="1743"/>
    </row>
    <row r="327" spans="14:25" s="1738" customFormat="1">
      <c r="N327" s="1743"/>
      <c r="P327" s="1743"/>
      <c r="Q327" s="1743"/>
      <c r="U327" s="1743"/>
      <c r="V327" s="1743"/>
      <c r="W327" s="1743"/>
      <c r="X327" s="1743"/>
      <c r="Y327" s="1743"/>
    </row>
    <row r="328" spans="14:25" s="1738" customFormat="1">
      <c r="N328" s="1743"/>
      <c r="P328" s="1743"/>
      <c r="Q328" s="1743"/>
      <c r="U328" s="1743"/>
      <c r="V328" s="1743"/>
      <c r="W328" s="1743"/>
      <c r="X328" s="1743"/>
      <c r="Y328" s="1743"/>
    </row>
    <row r="329" spans="14:25" s="1738" customFormat="1">
      <c r="N329" s="1743"/>
      <c r="P329" s="1743"/>
      <c r="Q329" s="1743"/>
      <c r="U329" s="1743"/>
      <c r="V329" s="1743"/>
      <c r="W329" s="1743"/>
      <c r="X329" s="1743"/>
      <c r="Y329" s="1743"/>
    </row>
    <row r="330" spans="14:25" s="1738" customFormat="1">
      <c r="N330" s="1743"/>
      <c r="P330" s="1743"/>
      <c r="Q330" s="1743"/>
      <c r="U330" s="1743"/>
      <c r="V330" s="1743"/>
      <c r="W330" s="1743"/>
      <c r="X330" s="1743"/>
      <c r="Y330" s="1743"/>
    </row>
    <row r="331" spans="14:25" s="1738" customFormat="1">
      <c r="N331" s="1743"/>
      <c r="P331" s="1743"/>
      <c r="Q331" s="1743"/>
      <c r="U331" s="1743"/>
      <c r="V331" s="1743"/>
      <c r="W331" s="1743"/>
      <c r="X331" s="1743"/>
      <c r="Y331" s="1743"/>
    </row>
    <row r="332" spans="14:25" s="1738" customFormat="1">
      <c r="N332" s="1743"/>
      <c r="P332" s="1743"/>
      <c r="Q332" s="1743"/>
      <c r="U332" s="1743"/>
      <c r="V332" s="1743"/>
      <c r="W332" s="1743"/>
      <c r="X332" s="1743"/>
      <c r="Y332" s="1743"/>
    </row>
    <row r="333" spans="14:25" s="1738" customFormat="1">
      <c r="N333" s="1743"/>
      <c r="P333" s="1743"/>
      <c r="Q333" s="1743"/>
      <c r="U333" s="1743"/>
      <c r="V333" s="1743"/>
      <c r="W333" s="1743"/>
      <c r="X333" s="1743"/>
      <c r="Y333" s="1743"/>
    </row>
    <row r="334" spans="14:25" s="1738" customFormat="1">
      <c r="N334" s="1743"/>
      <c r="P334" s="1743"/>
      <c r="Q334" s="1743"/>
      <c r="U334" s="1743"/>
      <c r="V334" s="1743"/>
      <c r="W334" s="1743"/>
      <c r="X334" s="1743"/>
      <c r="Y334" s="1743"/>
    </row>
    <row r="335" spans="14:25" s="1738" customFormat="1">
      <c r="N335" s="1743"/>
      <c r="P335" s="1743"/>
      <c r="Q335" s="1743"/>
      <c r="U335" s="1743"/>
      <c r="V335" s="1743"/>
      <c r="W335" s="1743"/>
      <c r="X335" s="1743"/>
      <c r="Y335" s="1743"/>
    </row>
    <row r="336" spans="14:25" s="1738" customFormat="1">
      <c r="N336" s="1743"/>
      <c r="P336" s="1743"/>
      <c r="Q336" s="1743"/>
      <c r="U336" s="1743"/>
      <c r="V336" s="1743"/>
      <c r="W336" s="1743"/>
      <c r="X336" s="1743"/>
      <c r="Y336" s="1743"/>
    </row>
    <row r="337" spans="14:25" s="1738" customFormat="1">
      <c r="N337" s="1743"/>
      <c r="P337" s="1743"/>
      <c r="Q337" s="1743"/>
      <c r="U337" s="1743"/>
      <c r="V337" s="1743"/>
      <c r="W337" s="1743"/>
      <c r="X337" s="1743"/>
      <c r="Y337" s="1743"/>
    </row>
    <row r="338" spans="14:25" s="1738" customFormat="1">
      <c r="N338" s="1743"/>
      <c r="P338" s="1743"/>
      <c r="Q338" s="1743"/>
      <c r="U338" s="1743"/>
      <c r="V338" s="1743"/>
      <c r="W338" s="1743"/>
      <c r="X338" s="1743"/>
      <c r="Y338" s="1743"/>
    </row>
    <row r="339" spans="14:25" s="1738" customFormat="1">
      <c r="N339" s="1743"/>
      <c r="P339" s="1743"/>
      <c r="Q339" s="1743"/>
      <c r="U339" s="1743"/>
      <c r="V339" s="1743"/>
      <c r="W339" s="1743"/>
      <c r="X339" s="1743"/>
      <c r="Y339" s="1743"/>
    </row>
    <row r="340" spans="14:25" s="1738" customFormat="1">
      <c r="N340" s="1743"/>
      <c r="P340" s="1743"/>
      <c r="Q340" s="1743"/>
      <c r="U340" s="1743"/>
      <c r="V340" s="1743"/>
      <c r="W340" s="1743"/>
      <c r="X340" s="1743"/>
      <c r="Y340" s="1743"/>
    </row>
    <row r="341" spans="14:25" s="1738" customFormat="1">
      <c r="N341" s="1743"/>
      <c r="P341" s="1743"/>
      <c r="Q341" s="1743"/>
      <c r="U341" s="1743"/>
      <c r="V341" s="1743"/>
      <c r="W341" s="1743"/>
      <c r="X341" s="1743"/>
      <c r="Y341" s="1743"/>
    </row>
    <row r="342" spans="14:25" s="1738" customFormat="1">
      <c r="N342" s="1743"/>
      <c r="P342" s="1743"/>
      <c r="Q342" s="1743"/>
      <c r="U342" s="1743"/>
      <c r="V342" s="1743"/>
      <c r="W342" s="1743"/>
      <c r="X342" s="1743"/>
      <c r="Y342" s="1743"/>
    </row>
    <row r="343" spans="14:25" s="1738" customFormat="1">
      <c r="N343" s="1743"/>
      <c r="P343" s="1743"/>
      <c r="Q343" s="1743"/>
      <c r="U343" s="1743"/>
      <c r="V343" s="1743"/>
      <c r="W343" s="1743"/>
      <c r="X343" s="1743"/>
      <c r="Y343" s="1743"/>
    </row>
    <row r="344" spans="14:25" s="1738" customFormat="1">
      <c r="N344" s="1743"/>
      <c r="P344" s="1743"/>
      <c r="Q344" s="1743"/>
      <c r="U344" s="1743"/>
      <c r="V344" s="1743"/>
      <c r="W344" s="1743"/>
      <c r="X344" s="1743"/>
      <c r="Y344" s="1743"/>
    </row>
    <row r="345" spans="14:25" s="1738" customFormat="1">
      <c r="N345" s="1743"/>
      <c r="P345" s="1743"/>
      <c r="Q345" s="1743"/>
      <c r="U345" s="1743"/>
      <c r="V345" s="1743"/>
      <c r="W345" s="1743"/>
      <c r="X345" s="1743"/>
      <c r="Y345" s="1743"/>
    </row>
    <row r="346" spans="14:25" s="1738" customFormat="1">
      <c r="N346" s="1743"/>
      <c r="P346" s="1743"/>
      <c r="Q346" s="1743"/>
      <c r="U346" s="1743"/>
      <c r="V346" s="1743"/>
      <c r="W346" s="1743"/>
      <c r="X346" s="1743"/>
      <c r="Y346" s="1743"/>
    </row>
    <row r="347" spans="14:25" s="1738" customFormat="1">
      <c r="N347" s="1743"/>
      <c r="P347" s="1743"/>
      <c r="Q347" s="1743"/>
      <c r="U347" s="1743"/>
      <c r="V347" s="1743"/>
      <c r="W347" s="1743"/>
      <c r="X347" s="1743"/>
      <c r="Y347" s="1743"/>
    </row>
    <row r="348" spans="14:25" s="1738" customFormat="1">
      <c r="N348" s="1743"/>
      <c r="P348" s="1743"/>
      <c r="Q348" s="1743"/>
      <c r="U348" s="1743"/>
      <c r="V348" s="1743"/>
      <c r="W348" s="1743"/>
      <c r="X348" s="1743"/>
      <c r="Y348" s="1743"/>
    </row>
    <row r="349" spans="14:25" s="1738" customFormat="1">
      <c r="N349" s="1743"/>
      <c r="P349" s="1743"/>
      <c r="Q349" s="1743"/>
      <c r="U349" s="1743"/>
      <c r="V349" s="1743"/>
      <c r="W349" s="1743"/>
      <c r="X349" s="1743"/>
      <c r="Y349" s="1743"/>
    </row>
    <row r="350" spans="14:25" s="1738" customFormat="1">
      <c r="N350" s="1743"/>
      <c r="P350" s="1743"/>
      <c r="Q350" s="1743"/>
      <c r="U350" s="1743"/>
      <c r="V350" s="1743"/>
      <c r="W350" s="1743"/>
      <c r="X350" s="1743"/>
      <c r="Y350" s="1743"/>
    </row>
    <row r="351" spans="14:25" s="1738" customFormat="1">
      <c r="N351" s="1743"/>
      <c r="P351" s="1743"/>
      <c r="Q351" s="1743"/>
      <c r="U351" s="1743"/>
      <c r="V351" s="1743"/>
      <c r="W351" s="1743"/>
      <c r="X351" s="1743"/>
      <c r="Y351" s="1743"/>
    </row>
    <row r="352" spans="14:25" s="1738" customFormat="1">
      <c r="N352" s="1743"/>
      <c r="P352" s="1743"/>
      <c r="Q352" s="1743"/>
      <c r="U352" s="1743"/>
      <c r="V352" s="1743"/>
      <c r="W352" s="1743"/>
      <c r="X352" s="1743"/>
      <c r="Y352" s="1743"/>
    </row>
    <row r="353" spans="14:25" s="1738" customFormat="1">
      <c r="N353" s="1743"/>
      <c r="P353" s="1743"/>
      <c r="Q353" s="1743"/>
      <c r="U353" s="1743"/>
      <c r="V353" s="1743"/>
      <c r="W353" s="1743"/>
      <c r="X353" s="1743"/>
      <c r="Y353" s="1743"/>
    </row>
    <row r="354" spans="14:25" s="1738" customFormat="1">
      <c r="N354" s="1743"/>
      <c r="P354" s="1743"/>
      <c r="Q354" s="1743"/>
      <c r="U354" s="1743"/>
      <c r="V354" s="1743"/>
      <c r="W354" s="1743"/>
      <c r="X354" s="1743"/>
      <c r="Y354" s="1743"/>
    </row>
    <row r="355" spans="14:25" s="1738" customFormat="1">
      <c r="N355" s="1743"/>
      <c r="P355" s="1743"/>
      <c r="Q355" s="1743"/>
      <c r="U355" s="1743"/>
      <c r="V355" s="1743"/>
      <c r="W355" s="1743"/>
      <c r="X355" s="1743"/>
      <c r="Y355" s="1743"/>
    </row>
    <row r="356" spans="14:25" s="1738" customFormat="1">
      <c r="N356" s="1743"/>
      <c r="P356" s="1743"/>
      <c r="Q356" s="1743"/>
      <c r="U356" s="1743"/>
      <c r="V356" s="1743"/>
      <c r="W356" s="1743"/>
      <c r="X356" s="1743"/>
      <c r="Y356" s="1743"/>
    </row>
    <row r="357" spans="14:25" s="1738" customFormat="1">
      <c r="N357" s="1743"/>
      <c r="P357" s="1743"/>
      <c r="Q357" s="1743"/>
      <c r="U357" s="1743"/>
      <c r="V357" s="1743"/>
      <c r="W357" s="1743"/>
      <c r="X357" s="1743"/>
      <c r="Y357" s="1743"/>
    </row>
    <row r="358" spans="14:25" s="1738" customFormat="1">
      <c r="N358" s="1743"/>
      <c r="P358" s="1743"/>
      <c r="Q358" s="1743"/>
      <c r="U358" s="1743"/>
      <c r="V358" s="1743"/>
      <c r="W358" s="1743"/>
      <c r="X358" s="1743"/>
      <c r="Y358" s="1743"/>
    </row>
    <row r="359" spans="14:25" s="1738" customFormat="1">
      <c r="N359" s="1743"/>
      <c r="P359" s="1743"/>
      <c r="Q359" s="1743"/>
      <c r="U359" s="1743"/>
      <c r="V359" s="1743"/>
      <c r="W359" s="1743"/>
      <c r="X359" s="1743"/>
      <c r="Y359" s="1743"/>
    </row>
    <row r="360" spans="14:25" s="1738" customFormat="1">
      <c r="N360" s="1743"/>
      <c r="P360" s="1743"/>
      <c r="Q360" s="1743"/>
      <c r="U360" s="1743"/>
      <c r="V360" s="1743"/>
      <c r="W360" s="1743"/>
      <c r="X360" s="1743"/>
      <c r="Y360" s="1743"/>
    </row>
    <row r="361" spans="14:25" s="1738" customFormat="1">
      <c r="N361" s="1743"/>
      <c r="P361" s="1743"/>
      <c r="Q361" s="1743"/>
      <c r="U361" s="1743"/>
      <c r="V361" s="1743"/>
      <c r="W361" s="1743"/>
      <c r="X361" s="1743"/>
      <c r="Y361" s="1743"/>
    </row>
    <row r="362" spans="14:25" s="1738" customFormat="1">
      <c r="N362" s="1743"/>
      <c r="P362" s="1743"/>
      <c r="Q362" s="1743"/>
      <c r="U362" s="1743"/>
      <c r="V362" s="1743"/>
      <c r="W362" s="1743"/>
      <c r="X362" s="1743"/>
      <c r="Y362" s="1743"/>
    </row>
    <row r="363" spans="14:25" s="1738" customFormat="1">
      <c r="N363" s="1743"/>
      <c r="P363" s="1743"/>
      <c r="Q363" s="1743"/>
      <c r="U363" s="1743"/>
      <c r="V363" s="1743"/>
      <c r="W363" s="1743"/>
      <c r="X363" s="1743"/>
      <c r="Y363" s="1743"/>
    </row>
    <row r="364" spans="14:25" s="1738" customFormat="1">
      <c r="N364" s="1743"/>
      <c r="P364" s="1743"/>
      <c r="Q364" s="1743"/>
      <c r="U364" s="1743"/>
      <c r="V364" s="1743"/>
      <c r="W364" s="1743"/>
      <c r="X364" s="1743"/>
      <c r="Y364" s="1743"/>
    </row>
    <row r="365" spans="14:25" s="1738" customFormat="1">
      <c r="N365" s="1743"/>
      <c r="P365" s="1743"/>
      <c r="Q365" s="1743"/>
      <c r="U365" s="1743"/>
      <c r="V365" s="1743"/>
      <c r="W365" s="1743"/>
      <c r="X365" s="1743"/>
      <c r="Y365" s="1743"/>
    </row>
    <row r="366" spans="14:25" s="1738" customFormat="1">
      <c r="N366" s="1743"/>
      <c r="P366" s="1743"/>
      <c r="Q366" s="1743"/>
      <c r="U366" s="1743"/>
      <c r="V366" s="1743"/>
      <c r="W366" s="1743"/>
      <c r="X366" s="1743"/>
      <c r="Y366" s="1743"/>
    </row>
    <row r="367" spans="14:25" s="1738" customFormat="1">
      <c r="N367" s="1743"/>
      <c r="P367" s="1743"/>
      <c r="Q367" s="1743"/>
      <c r="U367" s="1743"/>
      <c r="V367" s="1743"/>
      <c r="W367" s="1743"/>
      <c r="X367" s="1743"/>
      <c r="Y367" s="1743"/>
    </row>
    <row r="368" spans="14:25" s="1738" customFormat="1">
      <c r="N368" s="1743"/>
      <c r="P368" s="1743"/>
      <c r="Q368" s="1743"/>
      <c r="U368" s="1743"/>
      <c r="V368" s="1743"/>
      <c r="W368" s="1743"/>
      <c r="X368" s="1743"/>
      <c r="Y368" s="1743"/>
    </row>
    <row r="369" spans="14:25" s="1738" customFormat="1">
      <c r="N369" s="1743"/>
      <c r="P369" s="1743"/>
      <c r="Q369" s="1743"/>
      <c r="U369" s="1743"/>
      <c r="V369" s="1743"/>
      <c r="W369" s="1743"/>
      <c r="X369" s="1743"/>
      <c r="Y369" s="1743"/>
    </row>
    <row r="370" spans="14:25" s="1738" customFormat="1">
      <c r="N370" s="1743"/>
      <c r="P370" s="1743"/>
      <c r="Q370" s="1743"/>
      <c r="U370" s="1743"/>
      <c r="V370" s="1743"/>
      <c r="W370" s="1743"/>
      <c r="X370" s="1743"/>
      <c r="Y370" s="1743"/>
    </row>
    <row r="371" spans="14:25" s="1738" customFormat="1">
      <c r="N371" s="1743"/>
      <c r="P371" s="1743"/>
      <c r="Q371" s="1743"/>
      <c r="U371" s="1743"/>
      <c r="V371" s="1743"/>
      <c r="W371" s="1743"/>
      <c r="X371" s="1743"/>
      <c r="Y371" s="1743"/>
    </row>
    <row r="372" spans="14:25" s="1738" customFormat="1">
      <c r="N372" s="1743"/>
      <c r="P372" s="1743"/>
      <c r="Q372" s="1743"/>
      <c r="U372" s="1743"/>
      <c r="V372" s="1743"/>
      <c r="W372" s="1743"/>
      <c r="X372" s="1743"/>
      <c r="Y372" s="1743"/>
    </row>
    <row r="373" spans="14:25" s="1738" customFormat="1">
      <c r="N373" s="1743"/>
      <c r="P373" s="1743"/>
      <c r="Q373" s="1743"/>
      <c r="U373" s="1743"/>
      <c r="V373" s="1743"/>
      <c r="W373" s="1743"/>
      <c r="X373" s="1743"/>
      <c r="Y373" s="1743"/>
    </row>
    <row r="374" spans="14:25" s="1738" customFormat="1">
      <c r="N374" s="1743"/>
      <c r="P374" s="1743"/>
      <c r="Q374" s="1743"/>
      <c r="U374" s="1743"/>
      <c r="V374" s="1743"/>
      <c r="W374" s="1743"/>
      <c r="X374" s="1743"/>
      <c r="Y374" s="1743"/>
    </row>
    <row r="375" spans="14:25" s="1738" customFormat="1">
      <c r="N375" s="1743"/>
      <c r="P375" s="1743"/>
      <c r="Q375" s="1743"/>
      <c r="U375" s="1743"/>
      <c r="V375" s="1743"/>
      <c r="W375" s="1743"/>
      <c r="X375" s="1743"/>
      <c r="Y375" s="1743"/>
    </row>
    <row r="376" spans="14:25" s="1738" customFormat="1">
      <c r="N376" s="1743"/>
      <c r="P376" s="1743"/>
      <c r="Q376" s="1743"/>
      <c r="U376" s="1743"/>
      <c r="V376" s="1743"/>
      <c r="W376" s="1743"/>
      <c r="X376" s="1743"/>
      <c r="Y376" s="1743"/>
    </row>
    <row r="377" spans="14:25" s="1738" customFormat="1">
      <c r="N377" s="1743"/>
      <c r="P377" s="1743"/>
      <c r="Q377" s="1743"/>
      <c r="U377" s="1743"/>
      <c r="V377" s="1743"/>
      <c r="W377" s="1743"/>
      <c r="X377" s="1743"/>
      <c r="Y377" s="1743"/>
    </row>
    <row r="378" spans="14:25" s="1738" customFormat="1">
      <c r="N378" s="1743"/>
      <c r="P378" s="1743"/>
      <c r="Q378" s="1743"/>
      <c r="U378" s="1743"/>
      <c r="V378" s="1743"/>
      <c r="W378" s="1743"/>
      <c r="X378" s="1743"/>
      <c r="Y378" s="1743"/>
    </row>
    <row r="379" spans="14:25" s="1738" customFormat="1">
      <c r="N379" s="1743"/>
      <c r="P379" s="1743"/>
      <c r="Q379" s="1743"/>
      <c r="U379" s="1743"/>
      <c r="V379" s="1743"/>
      <c r="W379" s="1743"/>
      <c r="X379" s="1743"/>
      <c r="Y379" s="1743"/>
    </row>
    <row r="380" spans="14:25" s="1738" customFormat="1">
      <c r="N380" s="1743"/>
      <c r="P380" s="1743"/>
      <c r="Q380" s="1743"/>
      <c r="U380" s="1743"/>
      <c r="V380" s="1743"/>
      <c r="W380" s="1743"/>
      <c r="X380" s="1743"/>
      <c r="Y380" s="1743"/>
    </row>
    <row r="381" spans="14:25" s="1738" customFormat="1">
      <c r="N381" s="1743"/>
      <c r="P381" s="1743"/>
      <c r="Q381" s="1743"/>
      <c r="U381" s="1743"/>
      <c r="V381" s="1743"/>
      <c r="W381" s="1743"/>
      <c r="X381" s="1743"/>
      <c r="Y381" s="1743"/>
    </row>
    <row r="382" spans="14:25" s="1738" customFormat="1">
      <c r="N382" s="1743"/>
      <c r="P382" s="1743"/>
      <c r="Q382" s="1743"/>
      <c r="U382" s="1743"/>
      <c r="V382" s="1743"/>
      <c r="W382" s="1743"/>
      <c r="X382" s="1743"/>
      <c r="Y382" s="1743"/>
    </row>
    <row r="383" spans="14:25" s="1738" customFormat="1">
      <c r="N383" s="1743"/>
      <c r="P383" s="1743"/>
      <c r="Q383" s="1743"/>
      <c r="U383" s="1743"/>
      <c r="V383" s="1743"/>
      <c r="W383" s="1743"/>
      <c r="X383" s="1743"/>
      <c r="Y383" s="1743"/>
    </row>
    <row r="384" spans="14:25" s="1738" customFormat="1">
      <c r="N384" s="1743"/>
      <c r="P384" s="1743"/>
      <c r="Q384" s="1743"/>
      <c r="U384" s="1743"/>
      <c r="V384" s="1743"/>
      <c r="W384" s="1743"/>
      <c r="X384" s="1743"/>
      <c r="Y384" s="1743"/>
    </row>
    <row r="385" spans="14:25" s="1738" customFormat="1">
      <c r="N385" s="1743"/>
      <c r="P385" s="1743"/>
      <c r="Q385" s="1743"/>
      <c r="U385" s="1743"/>
      <c r="V385" s="1743"/>
      <c r="W385" s="1743"/>
      <c r="X385" s="1743"/>
      <c r="Y385" s="1743"/>
    </row>
    <row r="386" spans="14:25" s="1738" customFormat="1">
      <c r="N386" s="1743"/>
      <c r="P386" s="1743"/>
      <c r="Q386" s="1743"/>
      <c r="U386" s="1743"/>
      <c r="V386" s="1743"/>
      <c r="W386" s="1743"/>
      <c r="X386" s="1743"/>
      <c r="Y386" s="1743"/>
    </row>
    <row r="387" spans="14:25" s="1738" customFormat="1">
      <c r="N387" s="1743"/>
      <c r="P387" s="1743"/>
      <c r="Q387" s="1743"/>
      <c r="U387" s="1743"/>
      <c r="V387" s="1743"/>
      <c r="W387" s="1743"/>
      <c r="X387" s="1743"/>
      <c r="Y387" s="1743"/>
    </row>
    <row r="388" spans="14:25" s="1738" customFormat="1">
      <c r="N388" s="1743"/>
      <c r="P388" s="1743"/>
      <c r="Q388" s="1743"/>
      <c r="U388" s="1743"/>
      <c r="V388" s="1743"/>
      <c r="W388" s="1743"/>
      <c r="X388" s="1743"/>
      <c r="Y388" s="1743"/>
    </row>
    <row r="389" spans="14:25" s="1738" customFormat="1">
      <c r="N389" s="1743"/>
      <c r="P389" s="1743"/>
      <c r="Q389" s="1743"/>
      <c r="U389" s="1743"/>
      <c r="V389" s="1743"/>
      <c r="W389" s="1743"/>
      <c r="X389" s="1743"/>
      <c r="Y389" s="1743"/>
    </row>
    <row r="390" spans="14:25" s="1738" customFormat="1">
      <c r="N390" s="1743"/>
      <c r="P390" s="1743"/>
      <c r="Q390" s="1743"/>
      <c r="U390" s="1743"/>
      <c r="V390" s="1743"/>
      <c r="W390" s="1743"/>
      <c r="X390" s="1743"/>
      <c r="Y390" s="1743"/>
    </row>
    <row r="391" spans="14:25" s="1738" customFormat="1">
      <c r="N391" s="1743"/>
      <c r="P391" s="1743"/>
      <c r="Q391" s="1743"/>
      <c r="U391" s="1743"/>
      <c r="V391" s="1743"/>
      <c r="W391" s="1743"/>
      <c r="X391" s="1743"/>
      <c r="Y391" s="1743"/>
    </row>
    <row r="392" spans="14:25" s="1738" customFormat="1">
      <c r="N392" s="1743"/>
      <c r="P392" s="1743"/>
      <c r="Q392" s="1743"/>
      <c r="U392" s="1743"/>
      <c r="V392" s="1743"/>
      <c r="W392" s="1743"/>
      <c r="X392" s="1743"/>
      <c r="Y392" s="1743"/>
    </row>
    <row r="393" spans="14:25" s="1738" customFormat="1">
      <c r="N393" s="1743"/>
      <c r="P393" s="1743"/>
      <c r="Q393" s="1743"/>
      <c r="U393" s="1743"/>
      <c r="V393" s="1743"/>
      <c r="W393" s="1743"/>
      <c r="X393" s="1743"/>
      <c r="Y393" s="1743"/>
    </row>
    <row r="394" spans="14:25" s="1738" customFormat="1">
      <c r="N394" s="1743"/>
      <c r="P394" s="1743"/>
      <c r="Q394" s="1743"/>
      <c r="U394" s="1743"/>
      <c r="V394" s="1743"/>
      <c r="W394" s="1743"/>
      <c r="X394" s="1743"/>
      <c r="Y394" s="1743"/>
    </row>
    <row r="395" spans="14:25" s="1738" customFormat="1">
      <c r="N395" s="1743"/>
      <c r="P395" s="1743"/>
      <c r="Q395" s="1743"/>
      <c r="U395" s="1743"/>
      <c r="V395" s="1743"/>
      <c r="W395" s="1743"/>
      <c r="X395" s="1743"/>
      <c r="Y395" s="1743"/>
    </row>
    <row r="396" spans="14:25" s="1738" customFormat="1">
      <c r="N396" s="1743"/>
      <c r="P396" s="1743"/>
      <c r="Q396" s="1743"/>
      <c r="U396" s="1743"/>
      <c r="V396" s="1743"/>
      <c r="W396" s="1743"/>
      <c r="X396" s="1743"/>
      <c r="Y396" s="1743"/>
    </row>
    <row r="397" spans="14:25" s="1738" customFormat="1">
      <c r="N397" s="1743"/>
      <c r="P397" s="1743"/>
      <c r="Q397" s="1743"/>
      <c r="U397" s="1743"/>
      <c r="V397" s="1743"/>
      <c r="W397" s="1743"/>
      <c r="X397" s="1743"/>
      <c r="Y397" s="1743"/>
    </row>
    <row r="398" spans="14:25" s="1738" customFormat="1">
      <c r="N398" s="1743"/>
      <c r="P398" s="1743"/>
      <c r="Q398" s="1743"/>
      <c r="U398" s="1743"/>
      <c r="V398" s="1743"/>
      <c r="W398" s="1743"/>
      <c r="X398" s="1743"/>
      <c r="Y398" s="1743"/>
    </row>
    <row r="399" spans="14:25" s="1738" customFormat="1">
      <c r="N399" s="1743"/>
      <c r="P399" s="1743"/>
      <c r="Q399" s="1743"/>
      <c r="U399" s="1743"/>
      <c r="V399" s="1743"/>
      <c r="W399" s="1743"/>
      <c r="X399" s="1743"/>
      <c r="Y399" s="1743"/>
    </row>
    <row r="400" spans="14:25" s="1738" customFormat="1">
      <c r="N400" s="1743"/>
      <c r="P400" s="1743"/>
      <c r="Q400" s="1743"/>
      <c r="U400" s="1743"/>
      <c r="V400" s="1743"/>
      <c r="W400" s="1743"/>
      <c r="X400" s="1743"/>
      <c r="Y400" s="1743"/>
    </row>
    <row r="401" spans="14:25" s="1738" customFormat="1">
      <c r="N401" s="1743"/>
      <c r="P401" s="1743"/>
      <c r="Q401" s="1743"/>
      <c r="U401" s="1743"/>
      <c r="V401" s="1743"/>
      <c r="W401" s="1743"/>
      <c r="X401" s="1743"/>
      <c r="Y401" s="1743"/>
    </row>
    <row r="402" spans="14:25" s="1738" customFormat="1">
      <c r="N402" s="1743"/>
      <c r="P402" s="1743"/>
      <c r="Q402" s="1743"/>
      <c r="U402" s="1743"/>
      <c r="V402" s="1743"/>
      <c r="W402" s="1743"/>
      <c r="X402" s="1743"/>
      <c r="Y402" s="1743"/>
    </row>
    <row r="403" spans="14:25" s="1738" customFormat="1">
      <c r="N403" s="1743"/>
      <c r="P403" s="1743"/>
      <c r="Q403" s="1743"/>
      <c r="U403" s="1743"/>
      <c r="V403" s="1743"/>
      <c r="W403" s="1743"/>
      <c r="X403" s="1743"/>
      <c r="Y403" s="1743"/>
    </row>
    <row r="404" spans="14:25" s="1738" customFormat="1">
      <c r="N404" s="1743"/>
      <c r="P404" s="1743"/>
      <c r="Q404" s="1743"/>
      <c r="U404" s="1743"/>
      <c r="V404" s="1743"/>
      <c r="W404" s="1743"/>
      <c r="X404" s="1743"/>
      <c r="Y404" s="1743"/>
    </row>
    <row r="405" spans="14:25" s="1738" customFormat="1">
      <c r="N405" s="1743"/>
      <c r="P405" s="1743"/>
      <c r="Q405" s="1743"/>
      <c r="U405" s="1743"/>
      <c r="V405" s="1743"/>
      <c r="W405" s="1743"/>
      <c r="X405" s="1743"/>
      <c r="Y405" s="1743"/>
    </row>
    <row r="406" spans="14:25" s="1738" customFormat="1">
      <c r="N406" s="1743"/>
      <c r="P406" s="1743"/>
      <c r="Q406" s="1743"/>
      <c r="U406" s="1743"/>
      <c r="V406" s="1743"/>
      <c r="W406" s="1743"/>
      <c r="X406" s="1743"/>
      <c r="Y406" s="1743"/>
    </row>
    <row r="407" spans="14:25" s="1738" customFormat="1">
      <c r="N407" s="1743"/>
      <c r="P407" s="1743"/>
      <c r="Q407" s="1743"/>
      <c r="U407" s="1743"/>
      <c r="V407" s="1743"/>
      <c r="W407" s="1743"/>
      <c r="X407" s="1743"/>
      <c r="Y407" s="1743"/>
    </row>
    <row r="408" spans="14:25" s="1738" customFormat="1">
      <c r="N408" s="1743"/>
      <c r="P408" s="1743"/>
      <c r="Q408" s="1743"/>
      <c r="U408" s="1743"/>
      <c r="V408" s="1743"/>
      <c r="W408" s="1743"/>
      <c r="X408" s="1743"/>
      <c r="Y408" s="1743"/>
    </row>
    <row r="409" spans="14:25" s="1738" customFormat="1">
      <c r="N409" s="1743"/>
      <c r="P409" s="1743"/>
      <c r="Q409" s="1743"/>
      <c r="U409" s="1743"/>
      <c r="V409" s="1743"/>
      <c r="W409" s="1743"/>
      <c r="X409" s="1743"/>
      <c r="Y409" s="1743"/>
    </row>
    <row r="410" spans="14:25" s="1738" customFormat="1">
      <c r="N410" s="1743"/>
      <c r="P410" s="1743"/>
      <c r="Q410" s="1743"/>
      <c r="U410" s="1743"/>
      <c r="V410" s="1743"/>
      <c r="W410" s="1743"/>
      <c r="X410" s="1743"/>
      <c r="Y410" s="1743"/>
    </row>
    <row r="411" spans="14:25" s="1738" customFormat="1">
      <c r="N411" s="1743"/>
      <c r="P411" s="1743"/>
      <c r="Q411" s="1743"/>
      <c r="U411" s="1743"/>
      <c r="V411" s="1743"/>
      <c r="W411" s="1743"/>
      <c r="X411" s="1743"/>
      <c r="Y411" s="1743"/>
    </row>
    <row r="412" spans="14:25" s="1738" customFormat="1">
      <c r="N412" s="1743"/>
      <c r="P412" s="1743"/>
      <c r="Q412" s="1743"/>
      <c r="U412" s="1743"/>
      <c r="V412" s="1743"/>
      <c r="W412" s="1743"/>
      <c r="X412" s="1743"/>
      <c r="Y412" s="1743"/>
    </row>
    <row r="413" spans="14:25" s="1738" customFormat="1">
      <c r="N413" s="1743"/>
      <c r="P413" s="1743"/>
      <c r="Q413" s="1743"/>
      <c r="U413" s="1743"/>
      <c r="V413" s="1743"/>
      <c r="W413" s="1743"/>
      <c r="X413" s="1743"/>
      <c r="Y413" s="1743"/>
    </row>
    <row r="414" spans="14:25" s="1738" customFormat="1">
      <c r="N414" s="1743"/>
      <c r="P414" s="1743"/>
      <c r="Q414" s="1743"/>
      <c r="U414" s="1743"/>
      <c r="V414" s="1743"/>
      <c r="W414" s="1743"/>
      <c r="X414" s="1743"/>
      <c r="Y414" s="1743"/>
    </row>
    <row r="415" spans="14:25" s="1738" customFormat="1">
      <c r="N415" s="1743"/>
      <c r="P415" s="1743"/>
      <c r="Q415" s="1743"/>
      <c r="U415" s="1743"/>
      <c r="V415" s="1743"/>
      <c r="W415" s="1743"/>
      <c r="X415" s="1743"/>
      <c r="Y415" s="1743"/>
    </row>
    <row r="416" spans="14:25" s="1738" customFormat="1">
      <c r="N416" s="1743"/>
      <c r="P416" s="1743"/>
      <c r="Q416" s="1743"/>
      <c r="U416" s="1743"/>
      <c r="V416" s="1743"/>
      <c r="W416" s="1743"/>
      <c r="X416" s="1743"/>
      <c r="Y416" s="1743"/>
    </row>
    <row r="417" spans="14:25" s="1738" customFormat="1">
      <c r="N417" s="1743"/>
      <c r="P417" s="1743"/>
      <c r="Q417" s="1743"/>
      <c r="U417" s="1743"/>
      <c r="V417" s="1743"/>
      <c r="W417" s="1743"/>
      <c r="X417" s="1743"/>
      <c r="Y417" s="1743"/>
    </row>
    <row r="418" spans="14:25" s="1738" customFormat="1">
      <c r="N418" s="1743"/>
      <c r="P418" s="1743"/>
      <c r="Q418" s="1743"/>
      <c r="U418" s="1743"/>
      <c r="V418" s="1743"/>
      <c r="W418" s="1743"/>
      <c r="X418" s="1743"/>
      <c r="Y418" s="1743"/>
    </row>
    <row r="419" spans="14:25" s="1738" customFormat="1">
      <c r="N419" s="1743"/>
      <c r="P419" s="1743"/>
      <c r="Q419" s="1743"/>
      <c r="U419" s="1743"/>
      <c r="V419" s="1743"/>
      <c r="W419" s="1743"/>
      <c r="X419" s="1743"/>
      <c r="Y419" s="1743"/>
    </row>
    <row r="420" spans="14:25" s="1738" customFormat="1">
      <c r="N420" s="1743"/>
      <c r="P420" s="1743"/>
      <c r="Q420" s="1743"/>
      <c r="U420" s="1743"/>
      <c r="V420" s="1743"/>
      <c r="W420" s="1743"/>
      <c r="X420" s="1743"/>
      <c r="Y420" s="1743"/>
    </row>
    <row r="421" spans="14:25" s="1738" customFormat="1">
      <c r="N421" s="1743"/>
      <c r="P421" s="1743"/>
      <c r="Q421" s="1743"/>
      <c r="U421" s="1743"/>
      <c r="V421" s="1743"/>
      <c r="W421" s="1743"/>
      <c r="X421" s="1743"/>
      <c r="Y421" s="1743"/>
    </row>
    <row r="422" spans="14:25" s="1738" customFormat="1">
      <c r="N422" s="1743"/>
      <c r="P422" s="1743"/>
      <c r="Q422" s="1743"/>
      <c r="U422" s="1743"/>
      <c r="V422" s="1743"/>
      <c r="W422" s="1743"/>
      <c r="X422" s="1743"/>
      <c r="Y422" s="1743"/>
    </row>
    <row r="423" spans="14:25" s="1738" customFormat="1">
      <c r="N423" s="1743"/>
      <c r="P423" s="1743"/>
      <c r="Q423" s="1743"/>
      <c r="U423" s="1743"/>
      <c r="V423" s="1743"/>
      <c r="W423" s="1743"/>
      <c r="X423" s="1743"/>
      <c r="Y423" s="1743"/>
    </row>
    <row r="424" spans="14:25" s="1738" customFormat="1">
      <c r="N424" s="1743"/>
      <c r="P424" s="1743"/>
      <c r="Q424" s="1743"/>
      <c r="U424" s="1743"/>
      <c r="V424" s="1743"/>
      <c r="W424" s="1743"/>
      <c r="X424" s="1743"/>
      <c r="Y424" s="1743"/>
    </row>
    <row r="425" spans="14:25" s="1738" customFormat="1">
      <c r="N425" s="1743"/>
      <c r="P425" s="1743"/>
      <c r="Q425" s="1743"/>
      <c r="U425" s="1743"/>
      <c r="V425" s="1743"/>
      <c r="W425" s="1743"/>
      <c r="X425" s="1743"/>
      <c r="Y425" s="1743"/>
    </row>
    <row r="426" spans="14:25" s="1738" customFormat="1">
      <c r="N426" s="1743"/>
      <c r="P426" s="1743"/>
      <c r="Q426" s="1743"/>
      <c r="U426" s="1743"/>
      <c r="V426" s="1743"/>
      <c r="W426" s="1743"/>
      <c r="X426" s="1743"/>
      <c r="Y426" s="1743"/>
    </row>
    <row r="427" spans="14:25" s="1738" customFormat="1">
      <c r="N427" s="1743"/>
      <c r="P427" s="1743"/>
      <c r="Q427" s="1743"/>
      <c r="U427" s="1743"/>
      <c r="V427" s="1743"/>
      <c r="W427" s="1743"/>
      <c r="X427" s="1743"/>
      <c r="Y427" s="1743"/>
    </row>
    <row r="428" spans="14:25" s="1738" customFormat="1">
      <c r="N428" s="1743"/>
      <c r="P428" s="1743"/>
      <c r="Q428" s="1743"/>
      <c r="U428" s="1743"/>
      <c r="V428" s="1743"/>
      <c r="W428" s="1743"/>
      <c r="X428" s="1743"/>
      <c r="Y428" s="1743"/>
    </row>
    <row r="429" spans="14:25" s="1738" customFormat="1">
      <c r="N429" s="1743"/>
      <c r="P429" s="1743"/>
      <c r="Q429" s="1743"/>
      <c r="U429" s="1743"/>
      <c r="V429" s="1743"/>
      <c r="W429" s="1743"/>
      <c r="X429" s="1743"/>
      <c r="Y429" s="1743"/>
    </row>
    <row r="430" spans="14:25" s="1738" customFormat="1">
      <c r="N430" s="1743"/>
      <c r="P430" s="1743"/>
      <c r="Q430" s="1743"/>
      <c r="U430" s="1743"/>
      <c r="V430" s="1743"/>
      <c r="W430" s="1743"/>
      <c r="X430" s="1743"/>
      <c r="Y430" s="1743"/>
    </row>
    <row r="431" spans="14:25" s="1738" customFormat="1">
      <c r="N431" s="1743"/>
      <c r="P431" s="1743"/>
      <c r="Q431" s="1743"/>
      <c r="U431" s="1743"/>
      <c r="V431" s="1743"/>
      <c r="W431" s="1743"/>
      <c r="X431" s="1743"/>
      <c r="Y431" s="1743"/>
    </row>
    <row r="432" spans="14:25" s="1738" customFormat="1">
      <c r="N432" s="1743"/>
      <c r="P432" s="1743"/>
      <c r="Q432" s="1743"/>
      <c r="U432" s="1743"/>
      <c r="V432" s="1743"/>
      <c r="W432" s="1743"/>
      <c r="X432" s="1743"/>
      <c r="Y432" s="1743"/>
    </row>
    <row r="433" spans="14:25" s="1738" customFormat="1">
      <c r="N433" s="1743"/>
      <c r="P433" s="1743"/>
      <c r="Q433" s="1743"/>
      <c r="U433" s="1743"/>
      <c r="V433" s="1743"/>
      <c r="W433" s="1743"/>
      <c r="X433" s="1743"/>
      <c r="Y433" s="1743"/>
    </row>
    <row r="434" spans="14:25" s="1738" customFormat="1">
      <c r="N434" s="1743"/>
      <c r="P434" s="1743"/>
      <c r="Q434" s="1743"/>
      <c r="U434" s="1743"/>
      <c r="V434" s="1743"/>
      <c r="W434" s="1743"/>
      <c r="X434" s="1743"/>
      <c r="Y434" s="1743"/>
    </row>
    <row r="435" spans="14:25" s="1738" customFormat="1">
      <c r="N435" s="1743"/>
      <c r="P435" s="1743"/>
      <c r="Q435" s="1743"/>
      <c r="U435" s="1743"/>
      <c r="V435" s="1743"/>
      <c r="W435" s="1743"/>
      <c r="X435" s="1743"/>
      <c r="Y435" s="1743"/>
    </row>
    <row r="436" spans="14:25" s="1738" customFormat="1">
      <c r="N436" s="1743"/>
      <c r="P436" s="1743"/>
      <c r="Q436" s="1743"/>
      <c r="U436" s="1743"/>
      <c r="V436" s="1743"/>
      <c r="W436" s="1743"/>
      <c r="X436" s="1743"/>
      <c r="Y436" s="1743"/>
    </row>
    <row r="437" spans="14:25" s="1738" customFormat="1">
      <c r="N437" s="1743"/>
      <c r="P437" s="1743"/>
      <c r="Q437" s="1743"/>
      <c r="U437" s="1743"/>
      <c r="V437" s="1743"/>
      <c r="W437" s="1743"/>
      <c r="X437" s="1743"/>
      <c r="Y437" s="1743"/>
    </row>
    <row r="438" spans="14:25" s="1738" customFormat="1">
      <c r="N438" s="1743"/>
      <c r="P438" s="1743"/>
      <c r="Q438" s="1743"/>
      <c r="U438" s="1743"/>
      <c r="V438" s="1743"/>
      <c r="W438" s="1743"/>
      <c r="X438" s="1743"/>
      <c r="Y438" s="1743"/>
    </row>
    <row r="439" spans="14:25" s="1738" customFormat="1">
      <c r="N439" s="1743"/>
      <c r="P439" s="1743"/>
      <c r="Q439" s="1743"/>
      <c r="U439" s="1743"/>
      <c r="V439" s="1743"/>
      <c r="W439" s="1743"/>
      <c r="X439" s="1743"/>
      <c r="Y439" s="1743"/>
    </row>
    <row r="440" spans="14:25" s="1738" customFormat="1">
      <c r="N440" s="1743"/>
      <c r="P440" s="1743"/>
      <c r="Q440" s="1743"/>
      <c r="U440" s="1743"/>
      <c r="V440" s="1743"/>
      <c r="W440" s="1743"/>
      <c r="X440" s="1743"/>
      <c r="Y440" s="1743"/>
    </row>
    <row r="441" spans="14:25" s="1738" customFormat="1">
      <c r="N441" s="1743"/>
      <c r="P441" s="1743"/>
      <c r="Q441" s="1743"/>
      <c r="U441" s="1743"/>
      <c r="V441" s="1743"/>
      <c r="W441" s="1743"/>
      <c r="X441" s="1743"/>
      <c r="Y441" s="1743"/>
    </row>
    <row r="442" spans="14:25" s="1738" customFormat="1">
      <c r="N442" s="1743"/>
      <c r="P442" s="1743"/>
      <c r="Q442" s="1743"/>
      <c r="U442" s="1743"/>
      <c r="V442" s="1743"/>
      <c r="W442" s="1743"/>
      <c r="X442" s="1743"/>
      <c r="Y442" s="1743"/>
    </row>
    <row r="443" spans="14:25" s="1738" customFormat="1">
      <c r="N443" s="1743"/>
      <c r="P443" s="1743"/>
      <c r="Q443" s="1743"/>
      <c r="U443" s="1743"/>
      <c r="V443" s="1743"/>
      <c r="W443" s="1743"/>
      <c r="X443" s="1743"/>
      <c r="Y443" s="1743"/>
    </row>
    <row r="444" spans="14:25" s="1738" customFormat="1">
      <c r="N444" s="1743"/>
      <c r="P444" s="1743"/>
      <c r="Q444" s="1743"/>
      <c r="U444" s="1743"/>
      <c r="V444" s="1743"/>
      <c r="W444" s="1743"/>
      <c r="X444" s="1743"/>
      <c r="Y444" s="1743"/>
    </row>
    <row r="445" spans="14:25" s="1738" customFormat="1">
      <c r="N445" s="1743"/>
      <c r="P445" s="1743"/>
      <c r="Q445" s="1743"/>
      <c r="U445" s="1743"/>
      <c r="V445" s="1743"/>
      <c r="W445" s="1743"/>
      <c r="X445" s="1743"/>
      <c r="Y445" s="1743"/>
    </row>
    <row r="446" spans="14:25" s="1738" customFormat="1">
      <c r="N446" s="1743"/>
      <c r="P446" s="1743"/>
      <c r="Q446" s="1743"/>
      <c r="U446" s="1743"/>
      <c r="V446" s="1743"/>
      <c r="W446" s="1743"/>
      <c r="X446" s="1743"/>
      <c r="Y446" s="1743"/>
    </row>
    <row r="447" spans="14:25" s="1738" customFormat="1">
      <c r="N447" s="1743"/>
      <c r="P447" s="1743"/>
      <c r="Q447" s="1743"/>
      <c r="U447" s="1743"/>
      <c r="V447" s="1743"/>
      <c r="W447" s="1743"/>
      <c r="X447" s="1743"/>
      <c r="Y447" s="1743"/>
    </row>
    <row r="448" spans="14:25" s="1738" customFormat="1">
      <c r="N448" s="1743"/>
      <c r="P448" s="1743"/>
      <c r="Q448" s="1743"/>
      <c r="U448" s="1743"/>
      <c r="V448" s="1743"/>
      <c r="W448" s="1743"/>
      <c r="X448" s="1743"/>
      <c r="Y448" s="1743"/>
    </row>
    <row r="449" spans="14:25" s="1738" customFormat="1">
      <c r="N449" s="1743"/>
      <c r="P449" s="1743"/>
      <c r="Q449" s="1743"/>
      <c r="U449" s="1743"/>
      <c r="V449" s="1743"/>
      <c r="W449" s="1743"/>
      <c r="X449" s="1743"/>
      <c r="Y449" s="1743"/>
    </row>
    <row r="450" spans="14:25" s="1738" customFormat="1">
      <c r="N450" s="1743"/>
      <c r="P450" s="1743"/>
      <c r="Q450" s="1743"/>
      <c r="U450" s="1743"/>
      <c r="V450" s="1743"/>
      <c r="W450" s="1743"/>
      <c r="X450" s="1743"/>
      <c r="Y450" s="1743"/>
    </row>
    <row r="451" spans="14:25" s="1738" customFormat="1">
      <c r="N451" s="1743"/>
      <c r="P451" s="1743"/>
      <c r="Q451" s="1743"/>
      <c r="U451" s="1743"/>
      <c r="V451" s="1743"/>
      <c r="W451" s="1743"/>
      <c r="X451" s="1743"/>
      <c r="Y451" s="1743"/>
    </row>
    <row r="452" spans="14:25" s="1738" customFormat="1">
      <c r="N452" s="1743"/>
      <c r="P452" s="1743"/>
      <c r="Q452" s="1743"/>
      <c r="U452" s="1743"/>
      <c r="V452" s="1743"/>
      <c r="W452" s="1743"/>
      <c r="X452" s="1743"/>
      <c r="Y452" s="1743"/>
    </row>
    <row r="453" spans="14:25" s="1738" customFormat="1">
      <c r="N453" s="1743"/>
      <c r="P453" s="1743"/>
      <c r="Q453" s="1743"/>
      <c r="U453" s="1743"/>
      <c r="V453" s="1743"/>
      <c r="W453" s="1743"/>
      <c r="X453" s="1743"/>
      <c r="Y453" s="1743"/>
    </row>
    <row r="454" spans="14:25" s="1738" customFormat="1">
      <c r="N454" s="1743"/>
      <c r="P454" s="1743"/>
      <c r="Q454" s="1743"/>
      <c r="U454" s="1743"/>
      <c r="V454" s="1743"/>
      <c r="W454" s="1743"/>
      <c r="X454" s="1743"/>
      <c r="Y454" s="1743"/>
    </row>
    <row r="455" spans="14:25" s="1738" customFormat="1">
      <c r="N455" s="1743"/>
      <c r="P455" s="1743"/>
      <c r="Q455" s="1743"/>
      <c r="U455" s="1743"/>
      <c r="V455" s="1743"/>
      <c r="W455" s="1743"/>
      <c r="X455" s="1743"/>
      <c r="Y455" s="1743"/>
    </row>
    <row r="456" spans="14:25" s="1738" customFormat="1">
      <c r="N456" s="1743"/>
      <c r="P456" s="1743"/>
      <c r="Q456" s="1743"/>
      <c r="U456" s="1743"/>
      <c r="V456" s="1743"/>
      <c r="W456" s="1743"/>
      <c r="X456" s="1743"/>
      <c r="Y456" s="1743"/>
    </row>
    <row r="457" spans="14:25" s="1738" customFormat="1">
      <c r="N457" s="1743"/>
      <c r="P457" s="1743"/>
      <c r="Q457" s="1743"/>
      <c r="U457" s="1743"/>
      <c r="V457" s="1743"/>
      <c r="W457" s="1743"/>
      <c r="X457" s="1743"/>
      <c r="Y457" s="1743"/>
    </row>
    <row r="458" spans="14:25" s="1738" customFormat="1">
      <c r="N458" s="1743"/>
      <c r="P458" s="1743"/>
      <c r="Q458" s="1743"/>
      <c r="U458" s="1743"/>
      <c r="V458" s="1743"/>
      <c r="W458" s="1743"/>
      <c r="X458" s="1743"/>
      <c r="Y458" s="1743"/>
    </row>
    <row r="459" spans="14:25" s="1738" customFormat="1">
      <c r="N459" s="1743"/>
      <c r="P459" s="1743"/>
      <c r="Q459" s="1743"/>
      <c r="U459" s="1743"/>
      <c r="V459" s="1743"/>
      <c r="W459" s="1743"/>
      <c r="X459" s="1743"/>
      <c r="Y459" s="1743"/>
    </row>
    <row r="460" spans="14:25" s="1738" customFormat="1">
      <c r="N460" s="1743"/>
      <c r="P460" s="1743"/>
      <c r="Q460" s="1743"/>
      <c r="U460" s="1743"/>
      <c r="V460" s="1743"/>
      <c r="W460" s="1743"/>
      <c r="X460" s="1743"/>
      <c r="Y460" s="1743"/>
    </row>
    <row r="461" spans="14:25" s="1738" customFormat="1">
      <c r="N461" s="1743"/>
      <c r="P461" s="1743"/>
      <c r="Q461" s="1743"/>
      <c r="U461" s="1743"/>
      <c r="V461" s="1743"/>
      <c r="W461" s="1743"/>
      <c r="X461" s="1743"/>
      <c r="Y461" s="1743"/>
    </row>
    <row r="462" spans="14:25" s="1738" customFormat="1">
      <c r="N462" s="1743"/>
      <c r="P462" s="1743"/>
      <c r="Q462" s="1743"/>
      <c r="U462" s="1743"/>
      <c r="V462" s="1743"/>
      <c r="W462" s="1743"/>
      <c r="X462" s="1743"/>
      <c r="Y462" s="1743"/>
    </row>
    <row r="463" spans="14:25" s="1738" customFormat="1">
      <c r="N463" s="1743"/>
      <c r="P463" s="1743"/>
      <c r="Q463" s="1743"/>
      <c r="U463" s="1743"/>
      <c r="V463" s="1743"/>
      <c r="W463" s="1743"/>
      <c r="X463" s="1743"/>
      <c r="Y463" s="1743"/>
    </row>
    <row r="464" spans="14:25" s="1738" customFormat="1">
      <c r="N464" s="1743"/>
      <c r="P464" s="1743"/>
      <c r="Q464" s="1743"/>
      <c r="U464" s="1743"/>
      <c r="V464" s="1743"/>
      <c r="W464" s="1743"/>
      <c r="X464" s="1743"/>
      <c r="Y464" s="1743"/>
    </row>
    <row r="465" spans="14:25" s="1738" customFormat="1">
      <c r="N465" s="1743"/>
      <c r="P465" s="1743"/>
      <c r="Q465" s="1743"/>
      <c r="U465" s="1743"/>
      <c r="V465" s="1743"/>
      <c r="W465" s="1743"/>
      <c r="X465" s="1743"/>
      <c r="Y465" s="1743"/>
    </row>
    <row r="466" spans="14:25" s="1738" customFormat="1">
      <c r="N466" s="1743"/>
      <c r="P466" s="1743"/>
      <c r="Q466" s="1743"/>
      <c r="U466" s="1743"/>
      <c r="V466" s="1743"/>
      <c r="W466" s="1743"/>
      <c r="X466" s="1743"/>
      <c r="Y466" s="1743"/>
    </row>
    <row r="467" spans="14:25" s="1738" customFormat="1">
      <c r="N467" s="1743"/>
      <c r="P467" s="1743"/>
      <c r="Q467" s="1743"/>
      <c r="U467" s="1743"/>
      <c r="V467" s="1743"/>
      <c r="W467" s="1743"/>
      <c r="X467" s="1743"/>
      <c r="Y467" s="1743"/>
    </row>
    <row r="468" spans="14:25" s="1738" customFormat="1">
      <c r="N468" s="1743"/>
      <c r="P468" s="1743"/>
      <c r="Q468" s="1743"/>
      <c r="U468" s="1743"/>
      <c r="V468" s="1743"/>
      <c r="W468" s="1743"/>
      <c r="X468" s="1743"/>
      <c r="Y468" s="1743"/>
    </row>
    <row r="469" spans="14:25" s="1738" customFormat="1">
      <c r="N469" s="1743"/>
      <c r="P469" s="1743"/>
      <c r="Q469" s="1743"/>
      <c r="U469" s="1743"/>
      <c r="V469" s="1743"/>
      <c r="W469" s="1743"/>
      <c r="X469" s="1743"/>
      <c r="Y469" s="1743"/>
    </row>
    <row r="470" spans="14:25" s="1738" customFormat="1">
      <c r="N470" s="1743"/>
      <c r="P470" s="1743"/>
      <c r="Q470" s="1743"/>
      <c r="U470" s="1743"/>
      <c r="V470" s="1743"/>
      <c r="W470" s="1743"/>
      <c r="X470" s="1743"/>
      <c r="Y470" s="1743"/>
    </row>
    <row r="471" spans="14:25" s="1738" customFormat="1">
      <c r="N471" s="1743"/>
      <c r="P471" s="1743"/>
      <c r="Q471" s="1743"/>
      <c r="U471" s="1743"/>
      <c r="V471" s="1743"/>
      <c r="W471" s="1743"/>
      <c r="X471" s="1743"/>
      <c r="Y471" s="1743"/>
    </row>
    <row r="472" spans="14:25" s="1738" customFormat="1">
      <c r="N472" s="1743"/>
      <c r="P472" s="1743"/>
      <c r="Q472" s="1743"/>
      <c r="U472" s="1743"/>
      <c r="V472" s="1743"/>
      <c r="W472" s="1743"/>
      <c r="X472" s="1743"/>
      <c r="Y472" s="1743"/>
    </row>
    <row r="473" spans="14:25" s="1738" customFormat="1">
      <c r="N473" s="1743"/>
      <c r="P473" s="1743"/>
      <c r="Q473" s="1743"/>
      <c r="U473" s="1743"/>
      <c r="V473" s="1743"/>
      <c r="W473" s="1743"/>
      <c r="X473" s="1743"/>
      <c r="Y473" s="1743"/>
    </row>
    <row r="474" spans="14:25" s="1738" customFormat="1">
      <c r="N474" s="1743"/>
      <c r="P474" s="1743"/>
      <c r="Q474" s="1743"/>
      <c r="U474" s="1743"/>
      <c r="V474" s="1743"/>
      <c r="W474" s="1743"/>
      <c r="X474" s="1743"/>
      <c r="Y474" s="1743"/>
    </row>
    <row r="475" spans="14:25" s="1738" customFormat="1">
      <c r="N475" s="1743"/>
      <c r="P475" s="1743"/>
      <c r="Q475" s="1743"/>
      <c r="U475" s="1743"/>
      <c r="V475" s="1743"/>
      <c r="W475" s="1743"/>
      <c r="X475" s="1743"/>
      <c r="Y475" s="1743"/>
    </row>
    <row r="476" spans="14:25" s="1738" customFormat="1">
      <c r="N476" s="1743"/>
      <c r="P476" s="1743"/>
      <c r="Q476" s="1743"/>
      <c r="U476" s="1743"/>
      <c r="V476" s="1743"/>
      <c r="W476" s="1743"/>
      <c r="X476" s="1743"/>
      <c r="Y476" s="1743"/>
    </row>
    <row r="477" spans="14:25" s="1738" customFormat="1">
      <c r="N477" s="1743"/>
      <c r="P477" s="1743"/>
      <c r="Q477" s="1743"/>
      <c r="U477" s="1743"/>
      <c r="V477" s="1743"/>
      <c r="W477" s="1743"/>
      <c r="X477" s="1743"/>
      <c r="Y477" s="1743"/>
    </row>
    <row r="478" spans="14:25" s="1738" customFormat="1">
      <c r="N478" s="1743"/>
      <c r="P478" s="1743"/>
      <c r="Q478" s="1743"/>
      <c r="U478" s="1743"/>
      <c r="V478" s="1743"/>
      <c r="W478" s="1743"/>
      <c r="X478" s="1743"/>
      <c r="Y478" s="1743"/>
    </row>
    <row r="479" spans="14:25" s="1738" customFormat="1">
      <c r="N479" s="1743"/>
      <c r="P479" s="1743"/>
      <c r="Q479" s="1743"/>
      <c r="U479" s="1743"/>
      <c r="V479" s="1743"/>
      <c r="W479" s="1743"/>
      <c r="X479" s="1743"/>
      <c r="Y479" s="1743"/>
    </row>
    <row r="480" spans="14:25" s="1738" customFormat="1">
      <c r="N480" s="1743"/>
      <c r="P480" s="1743"/>
      <c r="Q480" s="1743"/>
      <c r="U480" s="1743"/>
      <c r="V480" s="1743"/>
      <c r="W480" s="1743"/>
      <c r="X480" s="1743"/>
      <c r="Y480" s="1743"/>
    </row>
    <row r="481" spans="14:25" s="1738" customFormat="1">
      <c r="N481" s="1743"/>
      <c r="P481" s="1743"/>
      <c r="Q481" s="1743"/>
      <c r="U481" s="1743"/>
      <c r="V481" s="1743"/>
      <c r="W481" s="1743"/>
      <c r="X481" s="1743"/>
      <c r="Y481" s="1743"/>
    </row>
    <row r="482" spans="14:25" s="1738" customFormat="1">
      <c r="N482" s="1743"/>
      <c r="P482" s="1743"/>
      <c r="Q482" s="1743"/>
      <c r="U482" s="1743"/>
      <c r="V482" s="1743"/>
      <c r="W482" s="1743"/>
      <c r="X482" s="1743"/>
      <c r="Y482" s="1743"/>
    </row>
    <row r="483" spans="14:25" s="1738" customFormat="1">
      <c r="N483" s="1743"/>
      <c r="P483" s="1743"/>
      <c r="Q483" s="1743"/>
      <c r="U483" s="1743"/>
      <c r="V483" s="1743"/>
      <c r="W483" s="1743"/>
      <c r="X483" s="1743"/>
      <c r="Y483" s="1743"/>
    </row>
    <row r="484" spans="14:25" s="1738" customFormat="1">
      <c r="N484" s="1743"/>
      <c r="P484" s="1743"/>
      <c r="Q484" s="1743"/>
      <c r="U484" s="1743"/>
      <c r="V484" s="1743"/>
      <c r="W484" s="1743"/>
      <c r="X484" s="1743"/>
      <c r="Y484" s="1743"/>
    </row>
    <row r="485" spans="14:25" s="1738" customFormat="1">
      <c r="N485" s="1743"/>
      <c r="P485" s="1743"/>
      <c r="Q485" s="1743"/>
      <c r="U485" s="1743"/>
      <c r="V485" s="1743"/>
      <c r="W485" s="1743"/>
      <c r="X485" s="1743"/>
      <c r="Y485" s="1743"/>
    </row>
    <row r="486" spans="14:25" s="1738" customFormat="1">
      <c r="N486" s="1743"/>
      <c r="P486" s="1743"/>
      <c r="Q486" s="1743"/>
      <c r="U486" s="1743"/>
      <c r="V486" s="1743"/>
      <c r="W486" s="1743"/>
      <c r="X486" s="1743"/>
      <c r="Y486" s="1743"/>
    </row>
    <row r="487" spans="14:25" s="1738" customFormat="1">
      <c r="N487" s="1743"/>
      <c r="P487" s="1743"/>
      <c r="Q487" s="1743"/>
      <c r="U487" s="1743"/>
      <c r="V487" s="1743"/>
      <c r="W487" s="1743"/>
      <c r="X487" s="1743"/>
      <c r="Y487" s="1743"/>
    </row>
    <row r="488" spans="14:25" s="1738" customFormat="1">
      <c r="N488" s="1743"/>
      <c r="P488" s="1743"/>
      <c r="Q488" s="1743"/>
      <c r="U488" s="1743"/>
      <c r="V488" s="1743"/>
      <c r="W488" s="1743"/>
      <c r="X488" s="1743"/>
      <c r="Y488" s="1743"/>
    </row>
    <row r="489" spans="14:25" s="1738" customFormat="1">
      <c r="N489" s="1743"/>
      <c r="P489" s="1743"/>
      <c r="Q489" s="1743"/>
      <c r="U489" s="1743"/>
      <c r="V489" s="1743"/>
      <c r="W489" s="1743"/>
      <c r="X489" s="1743"/>
      <c r="Y489" s="1743"/>
    </row>
    <row r="490" spans="14:25" s="1738" customFormat="1">
      <c r="N490" s="1743"/>
      <c r="P490" s="1743"/>
      <c r="Q490" s="1743"/>
      <c r="U490" s="1743"/>
      <c r="V490" s="1743"/>
      <c r="W490" s="1743"/>
      <c r="X490" s="1743"/>
      <c r="Y490" s="1743"/>
    </row>
    <row r="491" spans="14:25" s="1738" customFormat="1">
      <c r="N491" s="1743"/>
      <c r="P491" s="1743"/>
      <c r="Q491" s="1743"/>
      <c r="U491" s="1743"/>
      <c r="V491" s="1743"/>
      <c r="W491" s="1743"/>
      <c r="X491" s="1743"/>
      <c r="Y491" s="1743"/>
    </row>
    <row r="492" spans="14:25" s="1738" customFormat="1">
      <c r="N492" s="1743"/>
      <c r="P492" s="1743"/>
      <c r="Q492" s="1743"/>
      <c r="U492" s="1743"/>
      <c r="V492" s="1743"/>
      <c r="W492" s="1743"/>
      <c r="X492" s="1743"/>
      <c r="Y492" s="1743"/>
    </row>
    <row r="493" spans="14:25" s="1738" customFormat="1">
      <c r="N493" s="1743"/>
      <c r="P493" s="1743"/>
      <c r="Q493" s="1743"/>
      <c r="U493" s="1743"/>
      <c r="V493" s="1743"/>
      <c r="W493" s="1743"/>
      <c r="X493" s="1743"/>
      <c r="Y493" s="1743"/>
    </row>
    <row r="494" spans="14:25" s="1738" customFormat="1">
      <c r="N494" s="1743"/>
      <c r="P494" s="1743"/>
      <c r="Q494" s="1743"/>
      <c r="U494" s="1743"/>
      <c r="V494" s="1743"/>
      <c r="W494" s="1743"/>
      <c r="X494" s="1743"/>
      <c r="Y494" s="1743"/>
    </row>
    <row r="495" spans="14:25" s="1738" customFormat="1">
      <c r="N495" s="1743"/>
      <c r="P495" s="1743"/>
      <c r="Q495" s="1743"/>
      <c r="U495" s="1743"/>
      <c r="V495" s="1743"/>
      <c r="W495" s="1743"/>
      <c r="X495" s="1743"/>
      <c r="Y495" s="1743"/>
    </row>
    <row r="496" spans="14:25" s="1738" customFormat="1">
      <c r="N496" s="1743"/>
      <c r="P496" s="1743"/>
      <c r="Q496" s="1743"/>
      <c r="U496" s="1743"/>
      <c r="V496" s="1743"/>
      <c r="W496" s="1743"/>
      <c r="X496" s="1743"/>
      <c r="Y496" s="1743"/>
    </row>
    <row r="497" spans="14:25" s="1738" customFormat="1">
      <c r="N497" s="1743"/>
      <c r="P497" s="1743"/>
      <c r="Q497" s="1743"/>
      <c r="U497" s="1743"/>
      <c r="V497" s="1743"/>
      <c r="W497" s="1743"/>
      <c r="X497" s="1743"/>
      <c r="Y497" s="1743"/>
    </row>
    <row r="498" spans="14:25" s="1738" customFormat="1">
      <c r="N498" s="1743"/>
      <c r="P498" s="1743"/>
      <c r="Q498" s="1743"/>
      <c r="U498" s="1743"/>
      <c r="V498" s="1743"/>
      <c r="W498" s="1743"/>
      <c r="X498" s="1743"/>
      <c r="Y498" s="1743"/>
    </row>
    <row r="499" spans="14:25" s="1738" customFormat="1">
      <c r="N499" s="1743"/>
      <c r="P499" s="1743"/>
      <c r="Q499" s="1743"/>
      <c r="U499" s="1743"/>
      <c r="V499" s="1743"/>
      <c r="W499" s="1743"/>
      <c r="X499" s="1743"/>
      <c r="Y499" s="1743"/>
    </row>
    <row r="500" spans="14:25" s="1738" customFormat="1">
      <c r="N500" s="1743"/>
      <c r="P500" s="1743"/>
      <c r="Q500" s="1743"/>
      <c r="U500" s="1743"/>
      <c r="V500" s="1743"/>
      <c r="W500" s="1743"/>
      <c r="X500" s="1743"/>
      <c r="Y500" s="1743"/>
    </row>
    <row r="501" spans="14:25" s="1738" customFormat="1">
      <c r="N501" s="1743"/>
      <c r="P501" s="1743"/>
      <c r="Q501" s="1743"/>
      <c r="U501" s="1743"/>
      <c r="V501" s="1743"/>
      <c r="W501" s="1743"/>
      <c r="X501" s="1743"/>
      <c r="Y501" s="1743"/>
    </row>
    <row r="502" spans="14:25" s="1738" customFormat="1">
      <c r="N502" s="1743"/>
      <c r="P502" s="1743"/>
      <c r="Q502" s="1743"/>
      <c r="U502" s="1743"/>
      <c r="V502" s="1743"/>
      <c r="W502" s="1743"/>
      <c r="X502" s="1743"/>
      <c r="Y502" s="1743"/>
    </row>
    <row r="503" spans="14:25" s="1738" customFormat="1">
      <c r="N503" s="1743"/>
      <c r="P503" s="1743"/>
      <c r="Q503" s="1743"/>
      <c r="U503" s="1743"/>
      <c r="V503" s="1743"/>
      <c r="W503" s="1743"/>
      <c r="X503" s="1743"/>
      <c r="Y503" s="1743"/>
    </row>
    <row r="504" spans="14:25" s="1738" customFormat="1">
      <c r="N504" s="1743"/>
      <c r="P504" s="1743"/>
      <c r="Q504" s="1743"/>
      <c r="U504" s="1743"/>
      <c r="V504" s="1743"/>
      <c r="W504" s="1743"/>
      <c r="X504" s="1743"/>
      <c r="Y504" s="1743"/>
    </row>
    <row r="505" spans="14:25" s="1738" customFormat="1">
      <c r="N505" s="1743"/>
      <c r="P505" s="1743"/>
      <c r="Q505" s="1743"/>
      <c r="U505" s="1743"/>
      <c r="V505" s="1743"/>
      <c r="W505" s="1743"/>
      <c r="X505" s="1743"/>
      <c r="Y505" s="1743"/>
    </row>
    <row r="506" spans="14:25" s="1738" customFormat="1">
      <c r="N506" s="1743"/>
      <c r="P506" s="1743"/>
      <c r="Q506" s="1743"/>
      <c r="U506" s="1743"/>
      <c r="V506" s="1743"/>
      <c r="W506" s="1743"/>
      <c r="X506" s="1743"/>
      <c r="Y506" s="1743"/>
    </row>
    <row r="507" spans="14:25" s="1738" customFormat="1">
      <c r="N507" s="1743"/>
      <c r="P507" s="1743"/>
      <c r="Q507" s="1743"/>
      <c r="U507" s="1743"/>
      <c r="V507" s="1743"/>
      <c r="W507" s="1743"/>
      <c r="X507" s="1743"/>
      <c r="Y507" s="1743"/>
    </row>
    <row r="508" spans="14:25" s="1738" customFormat="1">
      <c r="N508" s="1743"/>
      <c r="P508" s="1743"/>
      <c r="Q508" s="1743"/>
      <c r="U508" s="1743"/>
      <c r="V508" s="1743"/>
      <c r="W508" s="1743"/>
      <c r="X508" s="1743"/>
      <c r="Y508" s="1743"/>
    </row>
    <row r="509" spans="14:25" s="1738" customFormat="1">
      <c r="N509" s="1743"/>
      <c r="P509" s="1743"/>
      <c r="Q509" s="1743"/>
      <c r="U509" s="1743"/>
      <c r="V509" s="1743"/>
      <c r="W509" s="1743"/>
      <c r="X509" s="1743"/>
      <c r="Y509" s="1743"/>
    </row>
    <row r="510" spans="14:25" s="1738" customFormat="1">
      <c r="N510" s="1743"/>
      <c r="P510" s="1743"/>
      <c r="Q510" s="1743"/>
      <c r="U510" s="1743"/>
      <c r="V510" s="1743"/>
      <c r="W510" s="1743"/>
      <c r="X510" s="1743"/>
      <c r="Y510" s="1743"/>
    </row>
    <row r="511" spans="14:25" s="1738" customFormat="1">
      <c r="N511" s="1743"/>
      <c r="P511" s="1743"/>
      <c r="Q511" s="1743"/>
      <c r="U511" s="1743"/>
      <c r="V511" s="1743"/>
      <c r="W511" s="1743"/>
      <c r="X511" s="1743"/>
      <c r="Y511" s="1743"/>
    </row>
    <row r="512" spans="14:25" s="1738" customFormat="1">
      <c r="N512" s="1743"/>
      <c r="P512" s="1743"/>
      <c r="Q512" s="1743"/>
      <c r="U512" s="1743"/>
      <c r="V512" s="1743"/>
      <c r="W512" s="1743"/>
      <c r="X512" s="1743"/>
      <c r="Y512" s="1743"/>
    </row>
    <row r="513" spans="14:25" s="1738" customFormat="1">
      <c r="N513" s="1743"/>
      <c r="P513" s="1743"/>
      <c r="Q513" s="1743"/>
      <c r="U513" s="1743"/>
      <c r="V513" s="1743"/>
      <c r="W513" s="1743"/>
      <c r="X513" s="1743"/>
      <c r="Y513" s="1743"/>
    </row>
    <row r="514" spans="14:25" s="1738" customFormat="1">
      <c r="N514" s="1743"/>
      <c r="P514" s="1743"/>
      <c r="Q514" s="1743"/>
      <c r="U514" s="1743"/>
      <c r="V514" s="1743"/>
      <c r="W514" s="1743"/>
      <c r="X514" s="1743"/>
      <c r="Y514" s="1743"/>
    </row>
    <row r="515" spans="14:25" s="1738" customFormat="1">
      <c r="N515" s="1743"/>
      <c r="P515" s="1743"/>
      <c r="Q515" s="1743"/>
      <c r="U515" s="1743"/>
      <c r="V515" s="1743"/>
      <c r="W515" s="1743"/>
      <c r="X515" s="1743"/>
      <c r="Y515" s="1743"/>
    </row>
    <row r="516" spans="14:25" s="1738" customFormat="1">
      <c r="N516" s="1743"/>
      <c r="P516" s="1743"/>
      <c r="Q516" s="1743"/>
      <c r="U516" s="1743"/>
      <c r="V516" s="1743"/>
      <c r="W516" s="1743"/>
      <c r="X516" s="1743"/>
      <c r="Y516" s="1743"/>
    </row>
    <row r="517" spans="14:25" s="1738" customFormat="1">
      <c r="N517" s="1743"/>
      <c r="P517" s="1743"/>
      <c r="Q517" s="1743"/>
      <c r="U517" s="1743"/>
      <c r="V517" s="1743"/>
      <c r="W517" s="1743"/>
      <c r="X517" s="1743"/>
      <c r="Y517" s="1743"/>
    </row>
    <row r="518" spans="14:25" s="1738" customFormat="1">
      <c r="N518" s="1743"/>
      <c r="P518" s="1743"/>
      <c r="Q518" s="1743"/>
      <c r="U518" s="1743"/>
      <c r="V518" s="1743"/>
      <c r="W518" s="1743"/>
      <c r="X518" s="1743"/>
      <c r="Y518" s="1743"/>
    </row>
    <row r="519" spans="14:25" s="1738" customFormat="1">
      <c r="N519" s="1743"/>
      <c r="P519" s="1743"/>
      <c r="Q519" s="1743"/>
      <c r="U519" s="1743"/>
      <c r="V519" s="1743"/>
      <c r="W519" s="1743"/>
      <c r="X519" s="1743"/>
      <c r="Y519" s="1743"/>
    </row>
    <row r="520" spans="14:25" s="1738" customFormat="1">
      <c r="N520" s="1743"/>
      <c r="P520" s="1743"/>
      <c r="Q520" s="1743"/>
      <c r="U520" s="1743"/>
      <c r="V520" s="1743"/>
      <c r="W520" s="1743"/>
      <c r="X520" s="1743"/>
      <c r="Y520" s="1743"/>
    </row>
    <row r="521" spans="14:25" s="1738" customFormat="1">
      <c r="N521" s="1743"/>
      <c r="P521" s="1743"/>
      <c r="Q521" s="1743"/>
      <c r="U521" s="1743"/>
      <c r="V521" s="1743"/>
      <c r="W521" s="1743"/>
      <c r="X521" s="1743"/>
      <c r="Y521" s="1743"/>
    </row>
    <row r="522" spans="14:25" s="1738" customFormat="1">
      <c r="N522" s="1743"/>
      <c r="P522" s="1743"/>
      <c r="Q522" s="1743"/>
      <c r="U522" s="1743"/>
      <c r="V522" s="1743"/>
      <c r="W522" s="1743"/>
      <c r="X522" s="1743"/>
      <c r="Y522" s="1743"/>
    </row>
    <row r="523" spans="14:25" s="1738" customFormat="1">
      <c r="N523" s="1743"/>
      <c r="P523" s="1743"/>
      <c r="Q523" s="1743"/>
      <c r="U523" s="1743"/>
      <c r="V523" s="1743"/>
      <c r="W523" s="1743"/>
      <c r="X523" s="1743"/>
      <c r="Y523" s="1743"/>
    </row>
    <row r="524" spans="14:25" s="1738" customFormat="1">
      <c r="N524" s="1743"/>
      <c r="P524" s="1743"/>
      <c r="Q524" s="1743"/>
      <c r="U524" s="1743"/>
      <c r="V524" s="1743"/>
      <c r="W524" s="1743"/>
      <c r="X524" s="1743"/>
      <c r="Y524" s="1743"/>
    </row>
    <row r="525" spans="14:25" s="1738" customFormat="1">
      <c r="N525" s="1743"/>
      <c r="P525" s="1743"/>
      <c r="Q525" s="1743"/>
      <c r="U525" s="1743"/>
      <c r="V525" s="1743"/>
      <c r="W525" s="1743"/>
      <c r="X525" s="1743"/>
      <c r="Y525" s="1743"/>
    </row>
    <row r="526" spans="14:25" s="1738" customFormat="1">
      <c r="N526" s="1743"/>
      <c r="P526" s="1743"/>
      <c r="Q526" s="1743"/>
      <c r="U526" s="1743"/>
      <c r="V526" s="1743"/>
      <c r="W526" s="1743"/>
      <c r="X526" s="1743"/>
      <c r="Y526" s="1743"/>
    </row>
    <row r="527" spans="14:25" s="1738" customFormat="1">
      <c r="N527" s="1743"/>
      <c r="P527" s="1743"/>
      <c r="Q527" s="1743"/>
      <c r="U527" s="1743"/>
      <c r="V527" s="1743"/>
      <c r="W527" s="1743"/>
      <c r="X527" s="1743"/>
      <c r="Y527" s="1743"/>
    </row>
    <row r="528" spans="14:25" s="1738" customFormat="1">
      <c r="N528" s="1743"/>
      <c r="P528" s="1743"/>
      <c r="Q528" s="1743"/>
      <c r="U528" s="1743"/>
      <c r="V528" s="1743"/>
      <c r="W528" s="1743"/>
      <c r="X528" s="1743"/>
      <c r="Y528" s="1743"/>
    </row>
    <row r="529" spans="14:25" s="1738" customFormat="1">
      <c r="N529" s="1743"/>
      <c r="P529" s="1743"/>
      <c r="Q529" s="1743"/>
      <c r="U529" s="1743"/>
      <c r="V529" s="1743"/>
      <c r="W529" s="1743"/>
      <c r="X529" s="1743"/>
      <c r="Y529" s="1743"/>
    </row>
    <row r="530" spans="14:25" s="1738" customFormat="1">
      <c r="N530" s="1743"/>
      <c r="P530" s="1743"/>
      <c r="Q530" s="1743"/>
      <c r="U530" s="1743"/>
      <c r="V530" s="1743"/>
      <c r="W530" s="1743"/>
      <c r="X530" s="1743"/>
      <c r="Y530" s="1743"/>
    </row>
    <row r="531" spans="14:25" s="1738" customFormat="1">
      <c r="N531" s="1743"/>
      <c r="P531" s="1743"/>
      <c r="Q531" s="1743"/>
      <c r="U531" s="1743"/>
      <c r="V531" s="1743"/>
      <c r="W531" s="1743"/>
      <c r="X531" s="1743"/>
      <c r="Y531" s="1743"/>
    </row>
    <row r="532" spans="14:25" s="1738" customFormat="1">
      <c r="N532" s="1743"/>
      <c r="P532" s="1743"/>
      <c r="Q532" s="1743"/>
      <c r="U532" s="1743"/>
      <c r="V532" s="1743"/>
      <c r="W532" s="1743"/>
      <c r="X532" s="1743"/>
      <c r="Y532" s="1743"/>
    </row>
    <row r="533" spans="14:25" s="1738" customFormat="1">
      <c r="N533" s="1743"/>
      <c r="P533" s="1743"/>
      <c r="Q533" s="1743"/>
      <c r="U533" s="1743"/>
      <c r="V533" s="1743"/>
      <c r="W533" s="1743"/>
      <c r="X533" s="1743"/>
      <c r="Y533" s="1743"/>
    </row>
    <row r="534" spans="14:25" s="1738" customFormat="1">
      <c r="N534" s="1743"/>
      <c r="P534" s="1743"/>
      <c r="Q534" s="1743"/>
      <c r="U534" s="1743"/>
      <c r="V534" s="1743"/>
      <c r="W534" s="1743"/>
      <c r="X534" s="1743"/>
      <c r="Y534" s="1743"/>
    </row>
    <row r="535" spans="14:25" s="1738" customFormat="1">
      <c r="N535" s="1743"/>
      <c r="P535" s="1743"/>
      <c r="Q535" s="1743"/>
      <c r="U535" s="1743"/>
      <c r="V535" s="1743"/>
      <c r="W535" s="1743"/>
      <c r="X535" s="1743"/>
      <c r="Y535" s="1743"/>
    </row>
    <row r="536" spans="14:25" s="1738" customFormat="1">
      <c r="N536" s="1743"/>
      <c r="P536" s="1743"/>
      <c r="Q536" s="1743"/>
      <c r="U536" s="1743"/>
      <c r="V536" s="1743"/>
      <c r="W536" s="1743"/>
      <c r="X536" s="1743"/>
      <c r="Y536" s="1743"/>
    </row>
    <row r="537" spans="14:25" s="1738" customFormat="1">
      <c r="N537" s="1743"/>
      <c r="P537" s="1743"/>
      <c r="Q537" s="1743"/>
      <c r="U537" s="1743"/>
      <c r="V537" s="1743"/>
      <c r="W537" s="1743"/>
      <c r="X537" s="1743"/>
      <c r="Y537" s="1743"/>
    </row>
    <row r="538" spans="14:25" s="1738" customFormat="1">
      <c r="N538" s="1743"/>
      <c r="P538" s="1743"/>
      <c r="Q538" s="1743"/>
      <c r="U538" s="1743"/>
      <c r="V538" s="1743"/>
      <c r="W538" s="1743"/>
      <c r="X538" s="1743"/>
      <c r="Y538" s="1743"/>
    </row>
    <row r="539" spans="14:25" s="1738" customFormat="1">
      <c r="N539" s="1743"/>
      <c r="P539" s="1743"/>
      <c r="Q539" s="1743"/>
      <c r="U539" s="1743"/>
      <c r="V539" s="1743"/>
      <c r="W539" s="1743"/>
      <c r="X539" s="1743"/>
      <c r="Y539" s="1743"/>
    </row>
    <row r="540" spans="14:25" s="1738" customFormat="1">
      <c r="N540" s="1743"/>
      <c r="P540" s="1743"/>
      <c r="Q540" s="1743"/>
      <c r="U540" s="1743"/>
      <c r="V540" s="1743"/>
      <c r="W540" s="1743"/>
      <c r="X540" s="1743"/>
      <c r="Y540" s="1743"/>
    </row>
    <row r="541" spans="14:25" s="1738" customFormat="1">
      <c r="N541" s="1743"/>
      <c r="P541" s="1743"/>
      <c r="Q541" s="1743"/>
      <c r="U541" s="1743"/>
      <c r="V541" s="1743"/>
      <c r="W541" s="1743"/>
      <c r="X541" s="1743"/>
      <c r="Y541" s="1743"/>
    </row>
    <row r="542" spans="14:25" s="1738" customFormat="1">
      <c r="N542" s="1743"/>
      <c r="P542" s="1743"/>
      <c r="Q542" s="1743"/>
      <c r="U542" s="1743"/>
      <c r="V542" s="1743"/>
      <c r="W542" s="1743"/>
      <c r="X542" s="1743"/>
      <c r="Y542" s="1743"/>
    </row>
    <row r="543" spans="14:25" s="1738" customFormat="1">
      <c r="N543" s="1743"/>
      <c r="P543" s="1743"/>
      <c r="Q543" s="1743"/>
      <c r="U543" s="1743"/>
      <c r="V543" s="1743"/>
      <c r="W543" s="1743"/>
      <c r="X543" s="1743"/>
      <c r="Y543" s="1743"/>
    </row>
    <row r="544" spans="14:25" s="1738" customFormat="1">
      <c r="N544" s="1743"/>
      <c r="P544" s="1743"/>
      <c r="Q544" s="1743"/>
      <c r="U544" s="1743"/>
      <c r="V544" s="1743"/>
      <c r="W544" s="1743"/>
      <c r="X544" s="1743"/>
      <c r="Y544" s="1743"/>
    </row>
    <row r="545" spans="14:25" s="1738" customFormat="1">
      <c r="N545" s="1743"/>
      <c r="P545" s="1743"/>
      <c r="Q545" s="1743"/>
      <c r="U545" s="1743"/>
      <c r="V545" s="1743"/>
      <c r="W545" s="1743"/>
      <c r="X545" s="1743"/>
      <c r="Y545" s="1743"/>
    </row>
    <row r="546" spans="14:25" s="1738" customFormat="1">
      <c r="N546" s="1743"/>
      <c r="P546" s="1743"/>
      <c r="Q546" s="1743"/>
      <c r="U546" s="1743"/>
      <c r="V546" s="1743"/>
      <c r="W546" s="1743"/>
      <c r="X546" s="1743"/>
      <c r="Y546" s="1743"/>
    </row>
    <row r="547" spans="14:25" s="1738" customFormat="1">
      <c r="N547" s="1743"/>
      <c r="P547" s="1743"/>
      <c r="Q547" s="1743"/>
      <c r="U547" s="1743"/>
      <c r="V547" s="1743"/>
      <c r="W547" s="1743"/>
      <c r="X547" s="1743"/>
      <c r="Y547" s="1743"/>
    </row>
    <row r="548" spans="14:25" s="1738" customFormat="1">
      <c r="N548" s="1743"/>
      <c r="P548" s="1743"/>
      <c r="Q548" s="1743"/>
      <c r="U548" s="1743"/>
      <c r="V548" s="1743"/>
      <c r="W548" s="1743"/>
      <c r="X548" s="1743"/>
      <c r="Y548" s="1743"/>
    </row>
    <row r="549" spans="14:25" s="1738" customFormat="1">
      <c r="N549" s="1743"/>
      <c r="P549" s="1743"/>
      <c r="Q549" s="1743"/>
      <c r="U549" s="1743"/>
      <c r="V549" s="1743"/>
      <c r="W549" s="1743"/>
      <c r="X549" s="1743"/>
      <c r="Y549" s="1743"/>
    </row>
    <row r="550" spans="14:25" s="1738" customFormat="1">
      <c r="N550" s="1743"/>
      <c r="P550" s="1743"/>
      <c r="Q550" s="1743"/>
      <c r="U550" s="1743"/>
      <c r="V550" s="1743"/>
      <c r="W550" s="1743"/>
      <c r="X550" s="1743"/>
      <c r="Y550" s="1743"/>
    </row>
    <row r="551" spans="14:25" s="1738" customFormat="1">
      <c r="N551" s="1743"/>
      <c r="P551" s="1743"/>
      <c r="Q551" s="1743"/>
      <c r="U551" s="1743"/>
      <c r="V551" s="1743"/>
      <c r="W551" s="1743"/>
      <c r="X551" s="1743"/>
      <c r="Y551" s="1743"/>
    </row>
    <row r="552" spans="14:25" s="1738" customFormat="1">
      <c r="N552" s="1743"/>
      <c r="P552" s="1743"/>
      <c r="Q552" s="1743"/>
      <c r="U552" s="1743"/>
      <c r="V552" s="1743"/>
      <c r="W552" s="1743"/>
      <c r="X552" s="1743"/>
      <c r="Y552" s="1743"/>
    </row>
    <row r="553" spans="14:25" s="1738" customFormat="1">
      <c r="N553" s="1743"/>
      <c r="P553" s="1743"/>
      <c r="Q553" s="1743"/>
      <c r="U553" s="1743"/>
      <c r="V553" s="1743"/>
      <c r="W553" s="1743"/>
      <c r="X553" s="1743"/>
      <c r="Y553" s="1743"/>
    </row>
    <row r="554" spans="14:25" s="1738" customFormat="1">
      <c r="N554" s="1743"/>
      <c r="P554" s="1743"/>
      <c r="Q554" s="1743"/>
      <c r="U554" s="1743"/>
      <c r="V554" s="1743"/>
      <c r="W554" s="1743"/>
      <c r="X554" s="1743"/>
      <c r="Y554" s="1743"/>
    </row>
    <row r="555" spans="14:25" s="1738" customFormat="1">
      <c r="N555" s="1743"/>
      <c r="P555" s="1743"/>
      <c r="Q555" s="1743"/>
      <c r="U555" s="1743"/>
      <c r="V555" s="1743"/>
      <c r="W555" s="1743"/>
      <c r="X555" s="1743"/>
      <c r="Y555" s="1743"/>
    </row>
    <row r="556" spans="14:25" s="1738" customFormat="1">
      <c r="N556" s="1743"/>
      <c r="P556" s="1743"/>
      <c r="Q556" s="1743"/>
      <c r="U556" s="1743"/>
      <c r="V556" s="1743"/>
      <c r="W556" s="1743"/>
      <c r="X556" s="1743"/>
      <c r="Y556" s="1743"/>
    </row>
    <row r="557" spans="14:25" s="1738" customFormat="1">
      <c r="N557" s="1743"/>
      <c r="P557" s="1743"/>
      <c r="Q557" s="1743"/>
      <c r="U557" s="1743"/>
      <c r="V557" s="1743"/>
      <c r="W557" s="1743"/>
      <c r="X557" s="1743"/>
      <c r="Y557" s="1743"/>
    </row>
    <row r="558" spans="14:25" s="1738" customFormat="1">
      <c r="N558" s="1743"/>
      <c r="P558" s="1743"/>
      <c r="Q558" s="1743"/>
      <c r="U558" s="1743"/>
      <c r="V558" s="1743"/>
      <c r="W558" s="1743"/>
      <c r="X558" s="1743"/>
      <c r="Y558" s="1743"/>
    </row>
    <row r="559" spans="14:25" s="1738" customFormat="1">
      <c r="N559" s="1743"/>
      <c r="P559" s="1743"/>
      <c r="Q559" s="1743"/>
      <c r="U559" s="1743"/>
      <c r="V559" s="1743"/>
      <c r="W559" s="1743"/>
      <c r="X559" s="1743"/>
      <c r="Y559" s="1743"/>
    </row>
    <row r="560" spans="14:25" s="1738" customFormat="1">
      <c r="N560" s="1743"/>
      <c r="P560" s="1743"/>
      <c r="Q560" s="1743"/>
      <c r="U560" s="1743"/>
      <c r="V560" s="1743"/>
      <c r="W560" s="1743"/>
      <c r="X560" s="1743"/>
      <c r="Y560" s="1743"/>
    </row>
    <row r="561" spans="2:25" s="1738" customFormat="1">
      <c r="N561" s="1743"/>
      <c r="P561" s="1743"/>
      <c r="Q561" s="1743"/>
      <c r="U561" s="1743"/>
      <c r="V561" s="1743"/>
      <c r="W561" s="1743"/>
      <c r="X561" s="1743"/>
      <c r="Y561" s="1743"/>
    </row>
    <row r="562" spans="2:25" s="1738" customFormat="1">
      <c r="N562" s="1743"/>
      <c r="P562" s="1743"/>
      <c r="Q562" s="1743"/>
      <c r="U562" s="1743"/>
      <c r="V562" s="1743"/>
      <c r="W562" s="1743"/>
      <c r="X562" s="1743"/>
      <c r="Y562" s="1743"/>
    </row>
    <row r="563" spans="2:25" s="1738" customFormat="1">
      <c r="N563" s="1743"/>
      <c r="P563" s="1743"/>
      <c r="Q563" s="1743"/>
      <c r="U563" s="1743"/>
      <c r="V563" s="1743"/>
      <c r="W563" s="1743"/>
      <c r="X563" s="1743"/>
      <c r="Y563" s="1743"/>
    </row>
    <row r="564" spans="2:25" s="1738" customFormat="1">
      <c r="N564" s="1743"/>
      <c r="P564" s="1743"/>
      <c r="Q564" s="1743"/>
      <c r="U564" s="1743"/>
      <c r="V564" s="1743"/>
      <c r="W564" s="1743"/>
      <c r="X564" s="1743"/>
      <c r="Y564" s="1743"/>
    </row>
    <row r="565" spans="2:25" s="1738" customFormat="1">
      <c r="N565" s="1743"/>
      <c r="P565" s="1743"/>
      <c r="Q565" s="1743"/>
      <c r="U565" s="1743"/>
      <c r="V565" s="1743"/>
      <c r="W565" s="1743"/>
      <c r="X565" s="1743"/>
      <c r="Y565" s="1743"/>
    </row>
    <row r="566" spans="2:25" s="1738" customFormat="1">
      <c r="N566" s="1743"/>
      <c r="P566" s="1743"/>
      <c r="Q566" s="1743"/>
      <c r="U566" s="1743"/>
      <c r="V566" s="1743"/>
      <c r="W566" s="1743"/>
      <c r="X566" s="1743"/>
      <c r="Y566" s="1743"/>
    </row>
    <row r="567" spans="2:25" s="1738" customFormat="1">
      <c r="N567" s="1743"/>
      <c r="P567" s="1743"/>
      <c r="Q567" s="1743"/>
      <c r="U567" s="1743"/>
      <c r="V567" s="1743"/>
      <c r="W567" s="1743"/>
      <c r="X567" s="1743"/>
      <c r="Y567" s="1743"/>
    </row>
    <row r="568" spans="2:25" s="1738" customFormat="1">
      <c r="B568" s="232"/>
      <c r="C568" s="232"/>
      <c r="N568" s="1743"/>
      <c r="P568" s="1743"/>
      <c r="Q568" s="1743"/>
      <c r="U568" s="1743"/>
      <c r="V568" s="1743"/>
      <c r="W568" s="1743"/>
      <c r="X568" s="1743"/>
      <c r="Y568" s="1743"/>
    </row>
    <row r="569" spans="2:25" s="1738" customFormat="1">
      <c r="B569" s="232"/>
      <c r="C569" s="232"/>
      <c r="N569" s="1743"/>
      <c r="P569" s="1743"/>
      <c r="Q569" s="1743"/>
      <c r="U569" s="1743"/>
      <c r="V569" s="1743"/>
      <c r="W569" s="1743"/>
      <c r="X569" s="1743"/>
      <c r="Y569" s="1743"/>
    </row>
  </sheetData>
  <sheetProtection password="E8A2" sheet="1" objects="1" scenarios="1" formatCells="0" formatColumns="0" formatRows="0"/>
  <mergeCells count="252">
    <mergeCell ref="H10:I10"/>
    <mergeCell ref="H19:I19"/>
    <mergeCell ref="U50:W50"/>
    <mergeCell ref="V73:Y73"/>
    <mergeCell ref="AA73:AB73"/>
    <mergeCell ref="AA81:AB81"/>
    <mergeCell ref="V81:Y81"/>
    <mergeCell ref="N73:Q74"/>
    <mergeCell ref="N81:Q82"/>
    <mergeCell ref="K28:L28"/>
    <mergeCell ref="K29:L29"/>
    <mergeCell ref="K30:L30"/>
    <mergeCell ref="O11:S11"/>
    <mergeCell ref="O20:S20"/>
    <mergeCell ref="P12:R12"/>
    <mergeCell ref="P13:R13"/>
    <mergeCell ref="P14:R14"/>
    <mergeCell ref="P15:R15"/>
    <mergeCell ref="P16:R16"/>
    <mergeCell ref="R22:S22"/>
    <mergeCell ref="R55:S55"/>
    <mergeCell ref="R56:S56"/>
    <mergeCell ref="R57:S57"/>
    <mergeCell ref="R58:S58"/>
    <mergeCell ref="D11:D12"/>
    <mergeCell ref="E11:E12"/>
    <mergeCell ref="H11:H12"/>
    <mergeCell ref="I11:I12"/>
    <mergeCell ref="K11:L12"/>
    <mergeCell ref="D20:D21"/>
    <mergeCell ref="E20:E21"/>
    <mergeCell ref="F20:G21"/>
    <mergeCell ref="H20:H21"/>
    <mergeCell ref="I20:I21"/>
    <mergeCell ref="K20:L21"/>
    <mergeCell ref="F11:G12"/>
    <mergeCell ref="N89:Q89"/>
    <mergeCell ref="N90:Q90"/>
    <mergeCell ref="N91:Q91"/>
    <mergeCell ref="N92:Q92"/>
    <mergeCell ref="E89:F89"/>
    <mergeCell ref="E90:F90"/>
    <mergeCell ref="R23:S23"/>
    <mergeCell ref="R21:S21"/>
    <mergeCell ref="R24:S24"/>
    <mergeCell ref="R25:S25"/>
    <mergeCell ref="N88:Q88"/>
    <mergeCell ref="N75:Q75"/>
    <mergeCell ref="H87:L87"/>
    <mergeCell ref="H88:L88"/>
    <mergeCell ref="E83:F83"/>
    <mergeCell ref="E84:F84"/>
    <mergeCell ref="H84:L84"/>
    <mergeCell ref="K31:L31"/>
    <mergeCell ref="R59:S59"/>
    <mergeCell ref="J55:L55"/>
    <mergeCell ref="J56:L56"/>
    <mergeCell ref="J57:L57"/>
    <mergeCell ref="J58:L58"/>
    <mergeCell ref="J59:L59"/>
    <mergeCell ref="S89:T89"/>
    <mergeCell ref="S90:T90"/>
    <mergeCell ref="S91:T91"/>
    <mergeCell ref="S92:T92"/>
    <mergeCell ref="S75:T75"/>
    <mergeCell ref="S76:T76"/>
    <mergeCell ref="S77:T77"/>
    <mergeCell ref="S78:T78"/>
    <mergeCell ref="S83:T83"/>
    <mergeCell ref="S84:T84"/>
    <mergeCell ref="S85:T85"/>
    <mergeCell ref="S86:T86"/>
    <mergeCell ref="S87:T87"/>
    <mergeCell ref="S88:T88"/>
    <mergeCell ref="J245:L245"/>
    <mergeCell ref="J246:L246"/>
    <mergeCell ref="J247:L247"/>
    <mergeCell ref="J248:L248"/>
    <mergeCell ref="E232:F232"/>
    <mergeCell ref="J233:L233"/>
    <mergeCell ref="J234:L234"/>
    <mergeCell ref="J235:L235"/>
    <mergeCell ref="J236:L236"/>
    <mergeCell ref="J237:L237"/>
    <mergeCell ref="J239:L239"/>
    <mergeCell ref="J240:L240"/>
    <mergeCell ref="J241:L241"/>
    <mergeCell ref="J242:L242"/>
    <mergeCell ref="J243:L243"/>
    <mergeCell ref="I232:L232"/>
    <mergeCell ref="J244:L244"/>
    <mergeCell ref="B228:N229"/>
    <mergeCell ref="T186:U186"/>
    <mergeCell ref="T187:U187"/>
    <mergeCell ref="K176:M176"/>
    <mergeCell ref="K178:M178"/>
    <mergeCell ref="K179:M179"/>
    <mergeCell ref="K180:M180"/>
    <mergeCell ref="K186:M186"/>
    <mergeCell ref="J143:L143"/>
    <mergeCell ref="E170:F170"/>
    <mergeCell ref="P224:Y228"/>
    <mergeCell ref="P229:S232"/>
    <mergeCell ref="K185:M185"/>
    <mergeCell ref="K181:M181"/>
    <mergeCell ref="K182:M182"/>
    <mergeCell ref="K183:M183"/>
    <mergeCell ref="K184:M184"/>
    <mergeCell ref="K187:M187"/>
    <mergeCell ref="K171:N171"/>
    <mergeCell ref="H170:I170"/>
    <mergeCell ref="T172:U172"/>
    <mergeCell ref="T173:U173"/>
    <mergeCell ref="T174:U174"/>
    <mergeCell ref="T175:U175"/>
    <mergeCell ref="T176:U176"/>
    <mergeCell ref="T178:U178"/>
    <mergeCell ref="T179:U179"/>
    <mergeCell ref="T180:U180"/>
    <mergeCell ref="K172:M172"/>
    <mergeCell ref="K173:M173"/>
    <mergeCell ref="K174:M174"/>
    <mergeCell ref="K175:M175"/>
    <mergeCell ref="H171:I171"/>
    <mergeCell ref="O171:P171"/>
    <mergeCell ref="S171:U171"/>
    <mergeCell ref="E127:F127"/>
    <mergeCell ref="J128:L128"/>
    <mergeCell ref="J129:L129"/>
    <mergeCell ref="J130:L130"/>
    <mergeCell ref="O170:V170"/>
    <mergeCell ref="I127:L127"/>
    <mergeCell ref="J131:L131"/>
    <mergeCell ref="J132:L132"/>
    <mergeCell ref="J134:L134"/>
    <mergeCell ref="J135:L135"/>
    <mergeCell ref="J136:L136"/>
    <mergeCell ref="J140:L140"/>
    <mergeCell ref="E91:F91"/>
    <mergeCell ref="E92:F92"/>
    <mergeCell ref="J142:L142"/>
    <mergeCell ref="B123:N124"/>
    <mergeCell ref="J137:L137"/>
    <mergeCell ref="J138:L138"/>
    <mergeCell ref="J139:L139"/>
    <mergeCell ref="N83:Q83"/>
    <mergeCell ref="O42:S42"/>
    <mergeCell ref="P43:R43"/>
    <mergeCell ref="J44:L44"/>
    <mergeCell ref="J45:L45"/>
    <mergeCell ref="J46:L46"/>
    <mergeCell ref="J47:L47"/>
    <mergeCell ref="B52:E52"/>
    <mergeCell ref="B53:E53"/>
    <mergeCell ref="B54:E54"/>
    <mergeCell ref="B60:E60"/>
    <mergeCell ref="B61:E61"/>
    <mergeCell ref="D73:D74"/>
    <mergeCell ref="D81:D82"/>
    <mergeCell ref="R62:S62"/>
    <mergeCell ref="R51:S51"/>
    <mergeCell ref="R60:S60"/>
    <mergeCell ref="R61:S61"/>
    <mergeCell ref="N78:Q78"/>
    <mergeCell ref="B55:E55"/>
    <mergeCell ref="B56:E56"/>
    <mergeCell ref="B57:E57"/>
    <mergeCell ref="B58:E58"/>
    <mergeCell ref="B59:E59"/>
    <mergeCell ref="K13:L13"/>
    <mergeCell ref="K14:L14"/>
    <mergeCell ref="K15:L15"/>
    <mergeCell ref="K16:L16"/>
    <mergeCell ref="K27:L27"/>
    <mergeCell ref="K22:L22"/>
    <mergeCell ref="K23:L23"/>
    <mergeCell ref="K24:L24"/>
    <mergeCell ref="K25:L25"/>
    <mergeCell ref="K26:L26"/>
    <mergeCell ref="E75:F75"/>
    <mergeCell ref="J50:L51"/>
    <mergeCell ref="N76:Q76"/>
    <mergeCell ref="N77:Q77"/>
    <mergeCell ref="H86:L86"/>
    <mergeCell ref="H89:L89"/>
    <mergeCell ref="H90:L90"/>
    <mergeCell ref="N84:Q84"/>
    <mergeCell ref="N85:Q85"/>
    <mergeCell ref="N86:Q86"/>
    <mergeCell ref="N87:Q87"/>
    <mergeCell ref="H83:L83"/>
    <mergeCell ref="R26:S26"/>
    <mergeCell ref="R27:S27"/>
    <mergeCell ref="R28:S28"/>
    <mergeCell ref="R29:S29"/>
    <mergeCell ref="R30:S30"/>
    <mergeCell ref="R31:S31"/>
    <mergeCell ref="R32:S32"/>
    <mergeCell ref="O50:S50"/>
    <mergeCell ref="J61:L61"/>
    <mergeCell ref="J52:L52"/>
    <mergeCell ref="J53:L53"/>
    <mergeCell ref="J54:L54"/>
    <mergeCell ref="J60:L60"/>
    <mergeCell ref="R52:S52"/>
    <mergeCell ref="R53:S53"/>
    <mergeCell ref="R54:S54"/>
    <mergeCell ref="D287:O288"/>
    <mergeCell ref="D290:O292"/>
    <mergeCell ref="D294:O295"/>
    <mergeCell ref="P233:S235"/>
    <mergeCell ref="P236:S238"/>
    <mergeCell ref="U11:W11"/>
    <mergeCell ref="U20:W20"/>
    <mergeCell ref="J42:L43"/>
    <mergeCell ref="U42:W42"/>
    <mergeCell ref="J141:L141"/>
    <mergeCell ref="E76:F76"/>
    <mergeCell ref="E77:F77"/>
    <mergeCell ref="E78:F78"/>
    <mergeCell ref="H75:L75"/>
    <mergeCell ref="H76:L76"/>
    <mergeCell ref="H77:L77"/>
    <mergeCell ref="H78:L78"/>
    <mergeCell ref="E85:F85"/>
    <mergeCell ref="H85:L85"/>
    <mergeCell ref="H91:L91"/>
    <mergeCell ref="H92:L92"/>
    <mergeCell ref="E86:F86"/>
    <mergeCell ref="E87:F87"/>
    <mergeCell ref="E88:F88"/>
    <mergeCell ref="N252:O252"/>
    <mergeCell ref="D251:P251"/>
    <mergeCell ref="C250:P250"/>
    <mergeCell ref="J264:L264"/>
    <mergeCell ref="J265:L265"/>
    <mergeCell ref="J266:L266"/>
    <mergeCell ref="J267:L267"/>
    <mergeCell ref="J268:L268"/>
    <mergeCell ref="J253:L253"/>
    <mergeCell ref="D252:E252"/>
    <mergeCell ref="F252:H252"/>
    <mergeCell ref="I252:L252"/>
    <mergeCell ref="J254:L254"/>
    <mergeCell ref="J255:L255"/>
    <mergeCell ref="J256:L256"/>
    <mergeCell ref="J257:L257"/>
    <mergeCell ref="J259:L259"/>
    <mergeCell ref="J260:L260"/>
    <mergeCell ref="J261:L261"/>
    <mergeCell ref="J262:L262"/>
    <mergeCell ref="J263:L263"/>
  </mergeCells>
  <conditionalFormatting sqref="B129:E129 I129 B130:B132">
    <cfRule type="expression" dxfId="74" priority="61">
      <formula>($O$13+$P$13+$S$13)&gt;0</formula>
    </cfRule>
  </conditionalFormatting>
  <conditionalFormatting sqref="C130:E130 I130">
    <cfRule type="expression" dxfId="73" priority="60">
      <formula>($O$14+$P$14+$S$14)&gt;0</formula>
    </cfRule>
  </conditionalFormatting>
  <conditionalFormatting sqref="C131:E131 I131">
    <cfRule type="expression" dxfId="72" priority="59">
      <formula>($O$15+$P$15+$S$15)&gt;0</formula>
    </cfRule>
  </conditionalFormatting>
  <conditionalFormatting sqref="C132:E132 I132">
    <cfRule type="expression" dxfId="71" priority="58">
      <formula>($O$16+$P$16+$S$16)&gt;0</formula>
    </cfRule>
  </conditionalFormatting>
  <conditionalFormatting sqref="B134:E134 I134">
    <cfRule type="expression" dxfId="70" priority="57">
      <formula>($O$22+$P$22+$R$22)&gt;0</formula>
    </cfRule>
  </conditionalFormatting>
  <conditionalFormatting sqref="B135:E135 I135">
    <cfRule type="expression" dxfId="69" priority="56">
      <formula>($O$23+$P$23+$R$23)&gt;0</formula>
    </cfRule>
  </conditionalFormatting>
  <conditionalFormatting sqref="B136:E136 I136">
    <cfRule type="expression" dxfId="68" priority="55">
      <formula>($O$24+$P$24+$R$24)&gt;0</formula>
    </cfRule>
  </conditionalFormatting>
  <conditionalFormatting sqref="B137:E137 I137">
    <cfRule type="expression" dxfId="67" priority="54">
      <formula>($O$25+$P$25+$R$25)&gt;0</formula>
    </cfRule>
  </conditionalFormatting>
  <conditionalFormatting sqref="B138:E138 I138">
    <cfRule type="expression" dxfId="66" priority="53">
      <formula>($O$26+$P$26+$R$26)&gt;0</formula>
    </cfRule>
  </conditionalFormatting>
  <conditionalFormatting sqref="B139:E139 I139">
    <cfRule type="expression" dxfId="65" priority="52">
      <formula>($O$27+$P$27+$R$27)&gt;0</formula>
    </cfRule>
  </conditionalFormatting>
  <conditionalFormatting sqref="B140:E140 I140">
    <cfRule type="expression" dxfId="64" priority="51">
      <formula>($O$28+$P$28+$R$28)&gt;0</formula>
    </cfRule>
  </conditionalFormatting>
  <conditionalFormatting sqref="B141:E141 I141">
    <cfRule type="expression" dxfId="63" priority="50">
      <formula>($O$29+$P$29+$R$29)&gt;0</formula>
    </cfRule>
  </conditionalFormatting>
  <conditionalFormatting sqref="B142:E142 I142">
    <cfRule type="expression" dxfId="62" priority="49">
      <formula>($O$30+$P$30+$R$30)&gt;0</formula>
    </cfRule>
  </conditionalFormatting>
  <conditionalFormatting sqref="B143:E143 I143">
    <cfRule type="expression" dxfId="61" priority="48">
      <formula>($O$31+$P$31+$R$31)&gt;0</formula>
    </cfRule>
  </conditionalFormatting>
  <conditionalFormatting sqref="C173:E173 G173:H173 J173:M173 O173 Q173:S173">
    <cfRule type="expression" dxfId="60" priority="47">
      <formula>($O$44+$P$44+$S$44)&gt;0</formula>
    </cfRule>
  </conditionalFormatting>
  <conditionalFormatting sqref="C174:E174 G174:H174 J174:M174 O174 Q174:S174 B173:B176">
    <cfRule type="expression" dxfId="59" priority="46">
      <formula>($O$45+$P$45+$S$45)&gt;0</formula>
    </cfRule>
  </conditionalFormatting>
  <conditionalFormatting sqref="C175:E175 G175:H175 J175:M175 O175 Q175:S175">
    <cfRule type="expression" dxfId="58" priority="45">
      <formula>($O$46+$P$46+$S$46)&gt;0</formula>
    </cfRule>
  </conditionalFormatting>
  <conditionalFormatting sqref="C176:E176 G176:H176 J176:M176 O176 Q176:S176">
    <cfRule type="expression" dxfId="57" priority="44">
      <formula>($O$47+$P$47+$S$47)&gt;0</formula>
    </cfRule>
  </conditionalFormatting>
  <conditionalFormatting sqref="B234:E234 G234:I234 B235:B237">
    <cfRule type="expression" dxfId="56" priority="38">
      <formula>($V$75+$W$75+$Y$75)&gt;0</formula>
    </cfRule>
  </conditionalFormatting>
  <conditionalFormatting sqref="C235:E235 G235:I235">
    <cfRule type="expression" dxfId="55" priority="37">
      <formula>($V$76+$W$76+$Y$76)&gt;0</formula>
    </cfRule>
  </conditionalFormatting>
  <conditionalFormatting sqref="C236:E236 G236:I236">
    <cfRule type="expression" dxfId="54" priority="36">
      <formula>($V$77+$W$77+$Y$77)&gt;0</formula>
    </cfRule>
  </conditionalFormatting>
  <conditionalFormatting sqref="C237:E237 G237:I237">
    <cfRule type="expression" dxfId="53" priority="35">
      <formula>($V$78+$W$78+$Y$78)&gt;0</formula>
    </cfRule>
  </conditionalFormatting>
  <conditionalFormatting sqref="B239:E239 G239:I239">
    <cfRule type="expression" dxfId="52" priority="34">
      <formula>($V$83+$W$83+$Y$83)&gt;0</formula>
    </cfRule>
  </conditionalFormatting>
  <conditionalFormatting sqref="B240:E240 G240:I240">
    <cfRule type="expression" dxfId="51" priority="33">
      <formula>($V$84+$W$84+$Y$84)&gt;0</formula>
    </cfRule>
  </conditionalFormatting>
  <conditionalFormatting sqref="B241:E241 G241:I241">
    <cfRule type="expression" dxfId="50" priority="32">
      <formula>($V$85+$W$85+$Y$85)&gt;0</formula>
    </cfRule>
  </conditionalFormatting>
  <conditionalFormatting sqref="B242:E242 G242:I242">
    <cfRule type="expression" dxfId="49" priority="31">
      <formula>($V$86+$W$86+$Y$86)&gt;0</formula>
    </cfRule>
  </conditionalFormatting>
  <conditionalFormatting sqref="B243:E243 G243:I243">
    <cfRule type="expression" dxfId="48" priority="30">
      <formula>($V$87+$W$87+$Y$87)&gt;0</formula>
    </cfRule>
  </conditionalFormatting>
  <conditionalFormatting sqref="B244:E244 G244:I244">
    <cfRule type="expression" dxfId="47" priority="29">
      <formula>($V$88+$W$88+$Y$88)&gt;0</formula>
    </cfRule>
  </conditionalFormatting>
  <conditionalFormatting sqref="B245:E245 G245:I245">
    <cfRule type="expression" dxfId="46" priority="28">
      <formula>($V$89+$W$89+$Y$89)&gt;0</formula>
    </cfRule>
  </conditionalFormatting>
  <conditionalFormatting sqref="B246:E246 G246:I246">
    <cfRule type="expression" dxfId="45" priority="27">
      <formula>($V$90+$W$90+$Y$90)&gt;0</formula>
    </cfRule>
  </conditionalFormatting>
  <conditionalFormatting sqref="B247:E247 G247:I247">
    <cfRule type="expression" dxfId="44" priority="26">
      <formula>($V$91+$W$91+$Y$91)&gt;0</formula>
    </cfRule>
  </conditionalFormatting>
  <conditionalFormatting sqref="B248:E248 G248:I248">
    <cfRule type="expression" dxfId="43" priority="25">
      <formula>($V$92+$W$92+$Y$92)&gt;0</formula>
    </cfRule>
  </conditionalFormatting>
  <conditionalFormatting sqref="AE75:AM75">
    <cfRule type="expression" dxfId="42" priority="24">
      <formula>Nlang&gt;1</formula>
    </cfRule>
  </conditionalFormatting>
  <conditionalFormatting sqref="AE76:AM78">
    <cfRule type="expression" dxfId="41" priority="23">
      <formula>Nlang&gt;1</formula>
    </cfRule>
  </conditionalFormatting>
  <conditionalFormatting sqref="AE83:AM92">
    <cfRule type="expression" dxfId="40" priority="22">
      <formula>Nlang&gt;1</formula>
    </cfRule>
  </conditionalFormatting>
  <conditionalFormatting sqref="B178:E178 J178:M178 O178 Q178:S178 G178:H178">
    <cfRule type="expression" dxfId="39" priority="21">
      <formula>$O$52+$P$52+$R$53&gt;0</formula>
    </cfRule>
  </conditionalFormatting>
  <conditionalFormatting sqref="B179:E179 G179:H179 J179:M179 O179 Q179:S179">
    <cfRule type="expression" dxfId="38" priority="19">
      <formula>$O$53+$P$53+$R$53&gt;0</formula>
    </cfRule>
  </conditionalFormatting>
  <conditionalFormatting sqref="B180:E180 G180:H180 J180:M180 O180 S180 R180 Q180">
    <cfRule type="expression" dxfId="37" priority="18">
      <formula>$O$54+$P$54+$R$54&gt;0</formula>
    </cfRule>
  </conditionalFormatting>
  <conditionalFormatting sqref="B181:E181 G181:H181 J181:M181 O181 S181 Q181:R181">
    <cfRule type="expression" dxfId="36" priority="17">
      <formula>$O$55+$P$55+$R$55&gt;0</formula>
    </cfRule>
  </conditionalFormatting>
  <conditionalFormatting sqref="B182 B182:E182 G182:H182 J182:M182 O182 R182 Q182 S182">
    <cfRule type="expression" dxfId="35" priority="16">
      <formula>$O$56+$P$56+$R$56&gt;0</formula>
    </cfRule>
  </conditionalFormatting>
  <conditionalFormatting sqref="B183:E183 G183:H183 J183:M183 O183 Q183:S183">
    <cfRule type="expression" dxfId="34" priority="15">
      <formula>$O$57+$P$57+$R$57&gt;0</formula>
    </cfRule>
  </conditionalFormatting>
  <conditionalFormatting sqref="B184:E184 G184:H184 J184:M184 O184 Q184:S184">
    <cfRule type="expression" dxfId="33" priority="14">
      <formula>$O$58+$P$58+$R$58&gt;0</formula>
    </cfRule>
  </conditionalFormatting>
  <conditionalFormatting sqref="B185 B185:E185 G185:H185 J185:M185 O185 Q185:S185">
    <cfRule type="expression" dxfId="32" priority="13">
      <formula>$O$59+$P$59+$R$59&gt;0</formula>
    </cfRule>
  </conditionalFormatting>
  <conditionalFormatting sqref="B186 B186:E186 H186 G186 J186:M186 O186 R186 Q186 S186">
    <cfRule type="expression" dxfId="31" priority="12">
      <formula>$O$60+$P$60+$R$60&gt;0</formula>
    </cfRule>
  </conditionalFormatting>
  <conditionalFormatting sqref="B187 B187:E187 G187:H187 J187:M187 O187 Q187:S187">
    <cfRule type="expression" dxfId="30" priority="11">
      <formula>$O$61+$P$61+$R$61&gt;0</formula>
    </cfRule>
  </conditionalFormatting>
  <conditionalFormatting sqref="B254:B257">
    <cfRule type="expression" dxfId="29" priority="10">
      <formula>($V$75+$W$75+$Y$75)&gt;0</formula>
    </cfRule>
  </conditionalFormatting>
  <conditionalFormatting sqref="B259:B268">
    <cfRule type="expression" dxfId="28" priority="9">
      <formula>($V$83+$W$83+$Y$83)&gt;0</formula>
    </cfRule>
  </conditionalFormatting>
  <conditionalFormatting sqref="D254">
    <cfRule type="expression" dxfId="27" priority="8">
      <formula>($V$75+$W$75+$Y$75)&gt;0</formula>
    </cfRule>
  </conditionalFormatting>
  <conditionalFormatting sqref="D255:D268">
    <cfRule type="expression" dxfId="26" priority="7">
      <formula>($V$75+$W$75+$Y$75)&gt;0</formula>
    </cfRule>
  </conditionalFormatting>
  <conditionalFormatting sqref="F254">
    <cfRule type="expression" dxfId="25" priority="6">
      <formula>($V$75+$W$75+$Y$75)&gt;0</formula>
    </cfRule>
  </conditionalFormatting>
  <conditionalFormatting sqref="F255:F268">
    <cfRule type="expression" dxfId="24" priority="5">
      <formula>($V$75+$W$75+$Y$75)&gt;0</formula>
    </cfRule>
  </conditionalFormatting>
  <conditionalFormatting sqref="I254">
    <cfRule type="expression" dxfId="23" priority="4">
      <formula>($V$75+$W$75+$Y$75)&gt;0</formula>
    </cfRule>
  </conditionalFormatting>
  <conditionalFormatting sqref="I255:I268">
    <cfRule type="expression" dxfId="22" priority="3">
      <formula>($V$75+$W$75+$Y$75)&gt;0</formula>
    </cfRule>
  </conditionalFormatting>
  <conditionalFormatting sqref="M254:N254">
    <cfRule type="expression" dxfId="21" priority="2">
      <formula>($V$75+$W$75+$Y$75)&gt;0</formula>
    </cfRule>
  </conditionalFormatting>
  <conditionalFormatting sqref="M255:N268">
    <cfRule type="expression" dxfId="20" priority="1">
      <formula>($V$75+$W$75+$Y$75)&gt;0</formula>
    </cfRule>
  </conditionalFormatting>
  <dataValidations count="7">
    <dataValidation type="list" allowBlank="1" showInputMessage="1" showErrorMessage="1" sqref="K12:K16 K21:K31 J43:J46 J51:J61">
      <formula1>YES_NO</formula1>
    </dataValidation>
    <dataValidation type="list" allowBlank="1" showInputMessage="1" showErrorMessage="1" sqref="D12:I16 D21:I31">
      <formula1>Yes_No_Annual</formula1>
    </dataValidation>
    <dataValidation type="list" allowBlank="1" showInputMessage="1" showErrorMessage="1" sqref="E83:E92 E75:E78">
      <formula1>Rice_water</formula1>
    </dataValidation>
    <dataValidation type="list" allowBlank="1" showInputMessage="1" showErrorMessage="1" sqref="H83:H92 H75:H78">
      <formula1>Rice_pre</formula1>
    </dataValidation>
    <dataValidation type="list" allowBlank="1" showInputMessage="1" showErrorMessage="1" sqref="N82:N92 N74:N78">
      <formula1>Rice_org</formula1>
    </dataValidation>
    <dataValidation type="list" allowBlank="1" showInputMessage="1" showErrorMessage="1" sqref="Q21:Q31 T21:T31 Z82:Z91 X82:X91 Q51:Q61 T51:T61">
      <formula1>dyn_simple</formula1>
    </dataValidation>
    <dataValidation type="decimal" operator="greaterThanOrEqual" allowBlank="1" showInputMessage="1" showErrorMessage="1" sqref="F128:F131 F133:F142 J238:J247 J133:J142 I173:I175 P177:P186 J129:J131 F177:F186 F173:F175 I177:I186 P173:P175 N177:N186 N173:N175 T177:T186 T173:T175 F238:F247 F234:F236 J234:J236 E258:E267 E254:E256 H258:H267 H254:H256 J254:J256 O254:O256 O258:O267 J258:J267 K258:L258">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3"/>
    <pageSetUpPr fitToPage="1"/>
  </sheetPr>
  <dimension ref="A1:BE54"/>
  <sheetViews>
    <sheetView topLeftCell="V1" zoomScale="70" zoomScaleNormal="70" workbookViewId="0">
      <selection activeCell="AS24" sqref="AS24"/>
    </sheetView>
  </sheetViews>
  <sheetFormatPr baseColWidth="10" defaultColWidth="11.44140625" defaultRowHeight="13.2"/>
  <cols>
    <col min="1" max="1" width="3.6640625" style="1" customWidth="1"/>
    <col min="2" max="2" width="22.33203125" style="1" customWidth="1"/>
    <col min="3" max="3" width="17.88671875" style="1" customWidth="1"/>
    <col min="4" max="4" width="8.6640625" style="1" customWidth="1"/>
    <col min="5" max="5" width="11.6640625" style="1" customWidth="1"/>
    <col min="6" max="6" width="12.88671875" style="1" customWidth="1"/>
    <col min="7" max="7" width="13.33203125" style="1" customWidth="1"/>
    <col min="8" max="8" width="14.44140625" style="1" customWidth="1"/>
    <col min="9" max="9" width="15.44140625" style="9" customWidth="1"/>
    <col min="10" max="10" width="11.6640625" style="1" customWidth="1"/>
    <col min="11" max="11" width="12.109375" style="1" customWidth="1"/>
    <col min="12" max="12" width="10.44140625" style="1" customWidth="1"/>
    <col min="13" max="13" width="10" style="1" customWidth="1"/>
    <col min="14" max="14" width="11.88671875" style="1" customWidth="1"/>
    <col min="15" max="15" width="5.109375" style="1" customWidth="1"/>
    <col min="16" max="16" width="7.88671875" style="1" customWidth="1"/>
    <col min="17" max="17" width="10.33203125" style="1" customWidth="1"/>
    <col min="18" max="18" width="7.88671875" style="1" customWidth="1"/>
    <col min="19" max="19" width="5.109375" style="1" customWidth="1"/>
    <col min="20" max="21" width="6.44140625" style="1" customWidth="1"/>
    <col min="22" max="23" width="6.33203125" style="1" customWidth="1"/>
    <col min="24" max="24" width="6.33203125" style="9" customWidth="1"/>
    <col min="25" max="29" width="11.44140625" style="1"/>
    <col min="30" max="30" width="11.44140625" style="1532"/>
    <col min="31" max="57" width="11.44140625" style="1128"/>
    <col min="58" max="16384" width="11.44140625" style="1"/>
  </cols>
  <sheetData>
    <row r="1" spans="1:57" s="1670" customFormat="1" ht="22.95" customHeight="1">
      <c r="I1" s="1671"/>
      <c r="X1" s="1671"/>
      <c r="AD1" s="1727"/>
      <c r="AE1" s="1703"/>
      <c r="AF1" s="1703"/>
      <c r="AG1" s="1703"/>
      <c r="AH1" s="1703"/>
      <c r="AI1" s="1703"/>
      <c r="AJ1" s="1703"/>
      <c r="AK1" s="1703"/>
      <c r="AL1" s="1703"/>
      <c r="AM1" s="1703"/>
      <c r="AN1" s="1703"/>
      <c r="AO1" s="1703"/>
      <c r="AP1" s="1703"/>
      <c r="AQ1" s="1703"/>
      <c r="AR1" s="1703"/>
      <c r="AS1" s="1703"/>
      <c r="AT1" s="1703"/>
      <c r="AU1" s="1703"/>
      <c r="AV1" s="1703"/>
      <c r="AW1" s="1703"/>
      <c r="AX1" s="1703"/>
      <c r="AY1" s="1703"/>
      <c r="AZ1" s="1703"/>
      <c r="BA1" s="1703"/>
      <c r="BB1" s="1703"/>
      <c r="BC1" s="1703"/>
      <c r="BD1" s="1703"/>
      <c r="BE1" s="1703"/>
    </row>
    <row r="2" spans="1:57" s="1670" customFormat="1" ht="22.95" customHeight="1">
      <c r="I2" s="1671"/>
      <c r="X2" s="1671"/>
      <c r="AD2" s="1727"/>
      <c r="AE2" s="1703"/>
      <c r="AF2" s="1703"/>
      <c r="AG2" s="1703"/>
      <c r="AH2" s="1703"/>
      <c r="AI2" s="1703"/>
      <c r="AJ2" s="1703"/>
      <c r="AK2" s="1703"/>
      <c r="AL2" s="1703"/>
      <c r="AM2" s="1703"/>
      <c r="AN2" s="1703"/>
      <c r="AO2" s="1703"/>
      <c r="AP2" s="1703"/>
      <c r="AQ2" s="1703"/>
      <c r="AR2" s="1703"/>
      <c r="AS2" s="1703"/>
      <c r="AT2" s="1703"/>
      <c r="AU2" s="1703"/>
      <c r="AV2" s="1703"/>
      <c r="AW2" s="1703"/>
      <c r="AX2" s="1703"/>
      <c r="AY2" s="1703"/>
      <c r="AZ2" s="1703"/>
      <c r="BA2" s="1703"/>
      <c r="BB2" s="1703"/>
      <c r="BC2" s="1703"/>
      <c r="BD2" s="1703"/>
      <c r="BE2" s="1703"/>
    </row>
    <row r="3" spans="1:57" s="1670" customFormat="1" ht="22.95" customHeight="1">
      <c r="I3" s="1671"/>
      <c r="X3" s="1671"/>
      <c r="AD3" s="1727"/>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row>
    <row r="4" spans="1:57" s="1670" customFormat="1" ht="22.95" customHeight="1">
      <c r="I4" s="1671"/>
      <c r="X4" s="1671"/>
      <c r="AD4" s="1727"/>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03"/>
      <c r="BB4" s="1703"/>
      <c r="BC4" s="1703"/>
      <c r="BD4" s="1703"/>
      <c r="BE4" s="1703"/>
    </row>
    <row r="5" spans="1:57" s="1717" customFormat="1" ht="22.95" customHeight="1">
      <c r="A5" s="1717" t="s">
        <v>482</v>
      </c>
      <c r="E5" s="3095" t="s">
        <v>479</v>
      </c>
      <c r="F5" s="3095"/>
      <c r="I5" s="1718"/>
      <c r="X5" s="1718"/>
      <c r="AD5" s="1728"/>
      <c r="AE5" s="1720"/>
      <c r="AF5" s="1720"/>
      <c r="AG5" s="1720"/>
      <c r="AH5" s="1720"/>
      <c r="AI5" s="1720"/>
      <c r="AJ5" s="1720"/>
      <c r="AK5" s="1720"/>
      <c r="AL5" s="1720"/>
      <c r="AM5" s="1720"/>
      <c r="AN5" s="1720"/>
      <c r="AO5" s="1720"/>
      <c r="AP5" s="1720"/>
      <c r="AQ5" s="1720"/>
      <c r="AR5" s="1720"/>
      <c r="AS5" s="1720"/>
      <c r="AT5" s="1720"/>
      <c r="AU5" s="1720"/>
      <c r="AV5" s="1720"/>
      <c r="AW5" s="1720"/>
      <c r="AX5" s="1720"/>
      <c r="AY5" s="1720"/>
      <c r="AZ5" s="1720"/>
      <c r="BA5" s="1720"/>
      <c r="BB5" s="1720"/>
      <c r="BC5" s="1720"/>
      <c r="BD5" s="1720"/>
      <c r="BE5" s="1720"/>
    </row>
    <row r="6" spans="1:57" s="49" customFormat="1">
      <c r="E6" s="192"/>
      <c r="I6" s="46"/>
      <c r="X6" s="46"/>
      <c r="AD6" s="1951"/>
      <c r="AE6" s="1951"/>
      <c r="AF6" s="1951"/>
      <c r="AG6" s="1951"/>
      <c r="AH6" s="1951"/>
      <c r="AI6" s="1951"/>
      <c r="AJ6" s="1951"/>
      <c r="AK6" s="1951"/>
      <c r="AL6" s="1951"/>
      <c r="AM6" s="1951"/>
      <c r="AN6" s="1951"/>
      <c r="AO6" s="1951"/>
      <c r="AP6" s="1951"/>
      <c r="AQ6" s="1951"/>
      <c r="AR6" s="1951"/>
      <c r="AS6" s="1951"/>
      <c r="AT6" s="1951"/>
      <c r="AU6" s="1951"/>
      <c r="AV6" s="1951"/>
      <c r="AW6" s="1951"/>
      <c r="AX6" s="1951"/>
      <c r="AY6" s="1128"/>
      <c r="AZ6" s="1128"/>
      <c r="BA6" s="1128"/>
      <c r="BB6" s="1128"/>
      <c r="BC6" s="1128"/>
      <c r="BD6" s="1128"/>
      <c r="BE6" s="1128"/>
    </row>
    <row r="7" spans="1:57" s="49" customFormat="1">
      <c r="B7" s="193"/>
      <c r="C7" s="219"/>
      <c r="D7" s="193" t="s">
        <v>1282</v>
      </c>
      <c r="E7" s="194"/>
      <c r="F7" s="196"/>
      <c r="G7" s="194" t="s">
        <v>980</v>
      </c>
      <c r="H7" s="194" t="s">
        <v>605</v>
      </c>
      <c r="I7" s="195" t="s">
        <v>1285</v>
      </c>
      <c r="J7" s="194" t="s">
        <v>607</v>
      </c>
      <c r="K7" s="196" t="s">
        <v>608</v>
      </c>
      <c r="L7" s="193" t="s">
        <v>679</v>
      </c>
      <c r="M7" s="255"/>
      <c r="N7" s="1859" t="s">
        <v>1329</v>
      </c>
      <c r="P7" s="193" t="s">
        <v>603</v>
      </c>
      <c r="Q7" s="194"/>
      <c r="R7" s="194"/>
      <c r="S7" s="194"/>
      <c r="T7" s="194"/>
      <c r="U7" s="194"/>
      <c r="V7" s="309" t="s">
        <v>1289</v>
      </c>
      <c r="W7" s="141" t="s">
        <v>337</v>
      </c>
      <c r="X7" s="206" t="s">
        <v>338</v>
      </c>
      <c r="Y7" s="255" t="s">
        <v>620</v>
      </c>
      <c r="AD7" s="1951"/>
      <c r="AE7" s="1951"/>
      <c r="AF7" s="1951"/>
      <c r="AG7" s="1951"/>
      <c r="AH7" s="1951"/>
      <c r="AI7" s="1951"/>
      <c r="AJ7" s="1951"/>
      <c r="AK7" s="1922" t="s">
        <v>65</v>
      </c>
      <c r="AL7" s="1951"/>
      <c r="AM7" s="1951"/>
      <c r="AN7" s="1952"/>
      <c r="AO7" s="1951"/>
      <c r="AP7" s="1951"/>
      <c r="AQ7" s="1951"/>
      <c r="AR7" s="1951"/>
      <c r="AS7" s="1951"/>
      <c r="AT7" s="1951"/>
      <c r="AU7" s="1951"/>
      <c r="AV7" s="1951"/>
      <c r="AW7" s="1951"/>
      <c r="AX7" s="1951"/>
      <c r="AY7" s="1128"/>
      <c r="AZ7" s="1128"/>
      <c r="BA7" s="1128"/>
      <c r="BB7" s="1128"/>
      <c r="BC7" s="1128"/>
      <c r="BD7" s="1128"/>
      <c r="BE7" s="1128"/>
    </row>
    <row r="8" spans="1:57" s="49" customFormat="1" ht="13.8" thickBot="1">
      <c r="B8" s="116"/>
      <c r="C8" s="413" t="s">
        <v>686</v>
      </c>
      <c r="D8" s="899"/>
      <c r="E8" s="278" t="s">
        <v>1144</v>
      </c>
      <c r="F8" s="902" t="s">
        <v>1283</v>
      </c>
      <c r="G8" s="1022" t="s">
        <v>981</v>
      </c>
      <c r="H8" s="186" t="s">
        <v>606</v>
      </c>
      <c r="I8" s="186" t="s">
        <v>606</v>
      </c>
      <c r="J8" s="186" t="s">
        <v>606</v>
      </c>
      <c r="K8" s="203" t="s">
        <v>609</v>
      </c>
      <c r="L8" s="254" t="s">
        <v>680</v>
      </c>
      <c r="M8" s="1426" t="s">
        <v>141</v>
      </c>
      <c r="N8" s="1858" t="s">
        <v>1331</v>
      </c>
      <c r="P8" s="254"/>
      <c r="Q8" s="186" t="s">
        <v>617</v>
      </c>
      <c r="R8" s="186"/>
      <c r="S8" s="186"/>
      <c r="T8" s="186"/>
      <c r="U8" s="186" t="s">
        <v>1284</v>
      </c>
      <c r="V8" s="203"/>
      <c r="W8" s="287" t="s">
        <v>1623</v>
      </c>
      <c r="X8" s="142" t="s">
        <v>1623</v>
      </c>
      <c r="Y8" s="901" t="s">
        <v>1331</v>
      </c>
      <c r="AD8" s="1951"/>
      <c r="AE8" s="1951"/>
      <c r="AF8" s="1951"/>
      <c r="AG8" s="1951"/>
      <c r="AH8" s="1951"/>
      <c r="AI8" s="1951"/>
      <c r="AJ8" s="1951"/>
      <c r="AK8" s="1922" t="s">
        <v>55</v>
      </c>
      <c r="AL8" s="2460"/>
      <c r="AM8" s="1951"/>
      <c r="AN8" s="1952"/>
      <c r="AO8" s="1951"/>
      <c r="AP8" s="1951"/>
      <c r="AQ8" s="1951"/>
      <c r="AR8" s="1951"/>
      <c r="AS8" s="1951"/>
      <c r="AT8" s="1951"/>
      <c r="AU8" s="1951"/>
      <c r="AV8" s="1951"/>
      <c r="AW8" s="1951"/>
      <c r="AX8" s="1951"/>
      <c r="AY8" s="1128"/>
      <c r="AZ8" s="1128"/>
      <c r="BA8" s="1128"/>
      <c r="BB8" s="1128"/>
      <c r="BC8" s="1128"/>
      <c r="BD8" s="1128"/>
      <c r="BE8" s="1128"/>
    </row>
    <row r="9" spans="1:57" s="49" customFormat="1" ht="13.8" thickBot="1">
      <c r="B9" s="900" t="s">
        <v>1122</v>
      </c>
      <c r="C9" s="931" t="s">
        <v>1115</v>
      </c>
      <c r="D9" s="904" t="s">
        <v>359</v>
      </c>
      <c r="E9" s="952"/>
      <c r="F9" s="952"/>
      <c r="G9" s="1856" t="str">
        <f>'3.Cropland'!D13</f>
        <v>?</v>
      </c>
      <c r="H9" s="1856" t="str">
        <f>'3.Cropland'!E13</f>
        <v>?</v>
      </c>
      <c r="I9" s="1856" t="str">
        <f>'3.Cropland'!F13</f>
        <v>?</v>
      </c>
      <c r="J9" s="1856" t="str">
        <f>'3.Cropland'!H13</f>
        <v>?</v>
      </c>
      <c r="K9" s="1856" t="str">
        <f>'3.Cropland'!I13</f>
        <v>?</v>
      </c>
      <c r="L9" s="1856" t="str">
        <f>'3.Cropland'!K13</f>
        <v>NO</v>
      </c>
      <c r="M9" s="2235">
        <f>IF('3.Cropland'!J129="",'3.Cropland'!I129,'3.Cropland'!J129)</f>
        <v>10</v>
      </c>
      <c r="N9" s="1857">
        <f>'3.Cropland'!N13</f>
        <v>0</v>
      </c>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8">
        <f t="shared" ref="U9:U22" si="0">F9*44/12</f>
        <v>0</v>
      </c>
      <c r="V9" s="2234">
        <f>IF('3.Cropland'!F129="",'3.Cropland'!E129,'3.Cropland'!F129)</f>
        <v>0</v>
      </c>
      <c r="W9" s="205">
        <f>IF($L9="yes",$M9*$AA$17,0)*$Z$17</f>
        <v>0</v>
      </c>
      <c r="X9" s="205">
        <f t="shared" ref="X9:X22" si="1">IF($L9="yes",$M9*$AB$17,0)*$Z$17</f>
        <v>0</v>
      </c>
      <c r="Y9" s="2679">
        <f t="shared" ref="Y9:Y14" si="2">(W9*methane+X9*Nitrous)/1000</f>
        <v>0</v>
      </c>
      <c r="AD9" s="1951"/>
      <c r="AE9" s="1951"/>
      <c r="AF9" s="2886"/>
      <c r="AG9" s="1951" t="s">
        <v>337</v>
      </c>
      <c r="AH9" s="1951"/>
      <c r="AI9" s="1951" t="s">
        <v>50</v>
      </c>
      <c r="AJ9" s="1951"/>
      <c r="AK9" s="1951" t="s">
        <v>555</v>
      </c>
      <c r="AL9" s="2460"/>
      <c r="AM9" s="1951" t="s">
        <v>337</v>
      </c>
      <c r="AN9" s="1951"/>
      <c r="AO9" s="1951"/>
      <c r="AP9" s="1951" t="s">
        <v>50</v>
      </c>
      <c r="AQ9" s="1951"/>
      <c r="AR9" s="1951"/>
      <c r="AS9" s="1951"/>
      <c r="AT9" s="1951"/>
      <c r="AU9" s="1951"/>
      <c r="AV9" s="1951"/>
      <c r="AW9" s="1951"/>
      <c r="AX9" s="1951"/>
      <c r="AY9" s="1128"/>
      <c r="AZ9" s="1128"/>
      <c r="BA9" s="1128"/>
      <c r="BB9" s="1128"/>
      <c r="BC9" s="1128"/>
      <c r="BD9" s="1128"/>
      <c r="BE9" s="1128"/>
    </row>
    <row r="10" spans="1:57" s="49" customFormat="1" ht="13.8" thickBot="1">
      <c r="B10" s="18" t="s">
        <v>1123</v>
      </c>
      <c r="C10" s="932" t="s">
        <v>1169</v>
      </c>
      <c r="D10" s="953" t="s">
        <v>359</v>
      </c>
      <c r="E10" s="933"/>
      <c r="F10" s="933"/>
      <c r="G10" s="1856" t="str">
        <f>'3.Cropland'!D14</f>
        <v>?</v>
      </c>
      <c r="H10" s="1856" t="str">
        <f>'3.Cropland'!E14</f>
        <v>?</v>
      </c>
      <c r="I10" s="1856" t="str">
        <f>'3.Cropland'!F14</f>
        <v>?</v>
      </c>
      <c r="J10" s="1856" t="str">
        <f>'3.Cropland'!H14</f>
        <v>?</v>
      </c>
      <c r="K10" s="1856" t="str">
        <f>'3.Cropland'!I14</f>
        <v>?</v>
      </c>
      <c r="L10" s="1856" t="str">
        <f>'3.Cropland'!K14</f>
        <v>NO</v>
      </c>
      <c r="M10" s="2235">
        <f>IF('3.Cropland'!J130="",'3.Cropland'!I130,'3.Cropland'!J130)</f>
        <v>10</v>
      </c>
      <c r="N10" s="1857">
        <f>'3.Cropland'!N14</f>
        <v>0</v>
      </c>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9">
        <f t="shared" si="0"/>
        <v>0</v>
      </c>
      <c r="V10" s="2234">
        <f>IF('3.Cropland'!F130="",'3.Cropland'!E130,'3.Cropland'!F130)</f>
        <v>0</v>
      </c>
      <c r="W10" s="197">
        <f t="shared" ref="W10:W22" si="3">IF($L10="yes",$M10*$AA$17,0)*$Z$17</f>
        <v>0</v>
      </c>
      <c r="X10" s="197">
        <f t="shared" si="1"/>
        <v>0</v>
      </c>
      <c r="Y10" s="939">
        <f t="shared" si="2"/>
        <v>0</v>
      </c>
      <c r="AD10" s="1951"/>
      <c r="AE10" s="1951"/>
      <c r="AF10" s="1951" t="s">
        <v>51</v>
      </c>
      <c r="AG10" s="1951" t="s">
        <v>691</v>
      </c>
      <c r="AH10" s="1951" t="s">
        <v>52</v>
      </c>
      <c r="AI10" s="1951" t="s">
        <v>691</v>
      </c>
      <c r="AJ10" s="1951"/>
      <c r="AK10" s="2460" t="s">
        <v>56</v>
      </c>
      <c r="AL10" s="2460" t="s">
        <v>691</v>
      </c>
      <c r="AM10" s="1951" t="s">
        <v>51</v>
      </c>
      <c r="AN10" s="1951" t="s">
        <v>691</v>
      </c>
      <c r="AO10" s="1951" t="s">
        <v>52</v>
      </c>
      <c r="AP10" s="1951" t="s">
        <v>691</v>
      </c>
      <c r="AQ10" s="1951"/>
      <c r="AR10" s="1951"/>
      <c r="AS10" s="1951"/>
      <c r="AT10" s="1951"/>
      <c r="AU10" s="1951"/>
      <c r="AV10" s="1951"/>
      <c r="AW10" s="1951"/>
      <c r="AX10" s="1951"/>
      <c r="AY10" s="1128"/>
      <c r="AZ10" s="1128"/>
      <c r="BA10" s="1128"/>
      <c r="BB10" s="1128"/>
      <c r="BC10" s="1128"/>
      <c r="BD10" s="1128"/>
      <c r="BE10" s="1128"/>
    </row>
    <row r="11" spans="1:57" s="49" customFormat="1" ht="13.8" thickBot="1">
      <c r="B11" s="18" t="s">
        <v>1241</v>
      </c>
      <c r="C11" s="932" t="s">
        <v>71</v>
      </c>
      <c r="D11" s="953" t="s">
        <v>359</v>
      </c>
      <c r="E11" s="933"/>
      <c r="F11" s="933"/>
      <c r="G11" s="1856" t="str">
        <f>'3.Cropland'!D15</f>
        <v>?</v>
      </c>
      <c r="H11" s="1856" t="str">
        <f>'3.Cropland'!E15</f>
        <v>?</v>
      </c>
      <c r="I11" s="1856" t="str">
        <f>'3.Cropland'!F15</f>
        <v>?</v>
      </c>
      <c r="J11" s="1856" t="str">
        <f>'3.Cropland'!H15</f>
        <v>?</v>
      </c>
      <c r="K11" s="1856" t="str">
        <f>'3.Cropland'!I15</f>
        <v>?</v>
      </c>
      <c r="L11" s="1856" t="str">
        <f>'3.Cropland'!K15</f>
        <v>NO</v>
      </c>
      <c r="M11" s="2235">
        <f>IF('3.Cropland'!J131="",'3.Cropland'!I131,'3.Cropland'!J131)</f>
        <v>10</v>
      </c>
      <c r="N11" s="1857">
        <f>'3.Cropland'!N15</f>
        <v>0</v>
      </c>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9">
        <f t="shared" si="0"/>
        <v>0</v>
      </c>
      <c r="V11" s="2234">
        <f>IF('3.Cropland'!F131="",'3.Cropland'!E131,'3.Cropland'!F131)</f>
        <v>0</v>
      </c>
      <c r="W11" s="197">
        <f t="shared" si="3"/>
        <v>0</v>
      </c>
      <c r="X11" s="197">
        <f t="shared" si="1"/>
        <v>0</v>
      </c>
      <c r="Y11" s="939">
        <f t="shared" si="2"/>
        <v>0</v>
      </c>
      <c r="AD11" s="1951"/>
      <c r="AE11" s="1951"/>
      <c r="AF11" s="1951">
        <f>(MIN(C34,D34)*time_tot+ABS(D34-C34)*IF(D34&gt;C34,time2+time*(VLOOKUP(E34,List!$E$35:$F$37,2,)),time*(1-(VLOOKUP(E34,List!$E$35:$F$37,2,)))))*W9*methane/1000</f>
        <v>0</v>
      </c>
      <c r="AG11" s="1951">
        <f>(MIN(C34,F34)*time_tot+ABS(F34-C34)*IF(F34&gt;C34,time2+time*(VLOOKUP(G34,List!$E$35:$F$37,2,)),time*(1-(VLOOKUP(G34,List!$E$35:$F$37,2,)))))*W9*methane/1000</f>
        <v>0</v>
      </c>
      <c r="AH11" s="1951">
        <f>(MIN(C34,D34)*time_tot+ABS(D34-C34)*IF(D34&gt;C34,time2+time*(VLOOKUP(E34,List!$E$35:$F$37,2,)),time*(1-(VLOOKUP(E34,List!$E$35:$F$37,2,)))))*X9*Nitrous/1000</f>
        <v>0</v>
      </c>
      <c r="AI11" s="1951">
        <f>(MIN(C34,F34)*time_tot+ABS(F34-C34)*IF(F34&gt;C34,time2+time*(VLOOKUP(G34,List!$E$35:$F$37,2,)),time*(1-(VLOOKUP(G34,List!$E$35:$F$37,2,)))))*X9*Nitrous/1000</f>
        <v>0</v>
      </c>
      <c r="AJ11" s="1951"/>
      <c r="AK11" s="1964">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64">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64">
        <f>(MIN(C34,D34)*time+ABS(D34-C34)*IF(D34&gt;C34,time*(VLOOKUP(E34,List!$E$35:$F$37,2,)),time*(1-(VLOOKUP(E34,List!$E$35:$F$37,2,)))))*W9*methane/1000</f>
        <v>0</v>
      </c>
      <c r="AN11" s="1964">
        <f>(MIN(C34,F34)*time+ABS(F34-C34)*IF(F34&gt;C34,time*(VLOOKUP(G34,List!$E$35:$F$37,2,)),time*(1-(VLOOKUP(G34,List!$E$35:$F$37,2,)))))*W9*methane/1000</f>
        <v>0</v>
      </c>
      <c r="AO11" s="1964">
        <f>(MIN(C34,D34)*time+ABS(D34-C34)*IF(D34&gt;C34,time*(VLOOKUP(E34,List!$E$35:$F$37,2,)),time*(1-(VLOOKUP(E34,List!$E$35:$F$37,2,)))))*X9*Nitrous/1000</f>
        <v>0</v>
      </c>
      <c r="AP11" s="1964">
        <f>(MIN(C34,F34)*time+ABS(F34-C34)*IF(F34&gt;C34,time*(VLOOKUP(G34,List!$E$35:$F$37,2,)),time*(1-(VLOOKUP(G34,List!$E$35:$F$37,2,)))))*X9*Nitrous/1000</f>
        <v>0</v>
      </c>
      <c r="AQ11" s="1965" t="s">
        <v>25</v>
      </c>
      <c r="AR11" s="1965" t="s">
        <v>531</v>
      </c>
      <c r="AS11" s="1965" t="s">
        <v>37</v>
      </c>
      <c r="AT11" s="1965" t="s">
        <v>38</v>
      </c>
      <c r="AU11" s="1951"/>
      <c r="AV11" s="1951"/>
      <c r="AW11" s="1951"/>
      <c r="AX11" s="1951"/>
      <c r="AY11" s="1128"/>
      <c r="AZ11" s="1128"/>
      <c r="BA11" s="1128"/>
      <c r="BB11" s="1128"/>
      <c r="BC11" s="1128"/>
      <c r="BD11" s="1128"/>
      <c r="BE11" s="1128"/>
    </row>
    <row r="12" spans="1:57" s="49" customFormat="1" ht="13.8" thickBot="1">
      <c r="B12" s="18" t="s">
        <v>1242</v>
      </c>
      <c r="C12" s="1657" t="s">
        <v>1244</v>
      </c>
      <c r="D12" s="1658" t="s">
        <v>359</v>
      </c>
      <c r="E12" s="1659"/>
      <c r="F12" s="1659"/>
      <c r="G12" s="1856" t="str">
        <f>'3.Cropland'!D16</f>
        <v>?</v>
      </c>
      <c r="H12" s="1856" t="str">
        <f>'3.Cropland'!E16</f>
        <v>?</v>
      </c>
      <c r="I12" s="1856" t="str">
        <f>'3.Cropland'!F16</f>
        <v>?</v>
      </c>
      <c r="J12" s="1856" t="str">
        <f>'3.Cropland'!H16</f>
        <v>?</v>
      </c>
      <c r="K12" s="1856" t="str">
        <f>'3.Cropland'!I16</f>
        <v>?</v>
      </c>
      <c r="L12" s="1856" t="str">
        <f>'3.Cropland'!K16</f>
        <v>NO</v>
      </c>
      <c r="M12" s="2235">
        <f>IF('3.Cropland'!J132="",'3.Cropland'!I132,'3.Cropland'!J132)</f>
        <v>10</v>
      </c>
      <c r="N12" s="1857">
        <f>'3.Cropland'!N16</f>
        <v>0</v>
      </c>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300">
        <f t="shared" si="0"/>
        <v>0</v>
      </c>
      <c r="V12" s="2680">
        <f>IF('3.Cropland'!F132="",'3.Cropland'!E132,'3.Cropland'!F132)</f>
        <v>0</v>
      </c>
      <c r="W12" s="198">
        <f t="shared" si="3"/>
        <v>0</v>
      </c>
      <c r="X12" s="198">
        <f t="shared" si="1"/>
        <v>0</v>
      </c>
      <c r="Y12" s="940">
        <f t="shared" si="2"/>
        <v>0</v>
      </c>
      <c r="AD12" s="1951"/>
      <c r="AE12" s="1951"/>
      <c r="AF12" s="1951">
        <f>(MIN(C35,D35)*time_tot+ABS(D35-C35)*IF(D35&gt;C35,time2+time*(VLOOKUP(E35,List!$E$35:$F$37,2,)),time*(1-(VLOOKUP(E35,List!$E$35:$F$37,2,)))))*W10*methane/1000</f>
        <v>0</v>
      </c>
      <c r="AG12" s="1951">
        <f>(MIN(C35,F35)*time_tot+ABS(F35-C35)*IF(F35&gt;C35,time2+time*(VLOOKUP(G35,List!$E$35:$F$37,2,)),time*(1-(VLOOKUP(G35,List!$E$35:$F$37,2,)))))*W10*methane/1000</f>
        <v>0</v>
      </c>
      <c r="AH12" s="1951">
        <f>(MIN(C35,D35)*time_tot+ABS(D35-C35)*IF(D35&gt;C35,time2+time*(VLOOKUP(E35,List!$E$35:$F$37,2,)),time*(1-(VLOOKUP(E35,List!$E$35:$F$37,2,)))))*X10*Nitrous/1000</f>
        <v>0</v>
      </c>
      <c r="AI12" s="1951">
        <f>(MIN(C35,F35)*time_tot+ABS(F35-C35)*IF(F35&gt;C35,time2+time*(VLOOKUP(G35,List!$E$35:$F$37,2,)),time*(1-(VLOOKUP(G35,List!$E$35:$F$37,2,)))))*X10*Nitrous/1000</f>
        <v>0</v>
      </c>
      <c r="AJ12" s="1951"/>
      <c r="AK12" s="1964">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64">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64">
        <f>(MIN(C35,D35)*time+ABS(D35-C35)*IF(D35&gt;C35,time*(VLOOKUP(E35,List!$E$35:$F$37,2,)),time*(1-(VLOOKUP(E35,List!$E$35:$F$37,2,)))))*W10*methane/1000</f>
        <v>0</v>
      </c>
      <c r="AN12" s="1964">
        <f>(MIN(C35,F35)*time+ABS(F35-C35)*IF(F35&gt;C35,time*(VLOOKUP(G35,List!$E$35:$F$37,2,)),time*(1-(VLOOKUP(G35,List!$E$35:$F$37,2,)))))*W10*methane/1000</f>
        <v>0</v>
      </c>
      <c r="AO12" s="1964">
        <f>(MIN(C35,D35)*time+ABS(D35-C35)*IF(D35&gt;C35,time*(VLOOKUP(E35,List!$E$35:$F$37,2,)),time*(1-(VLOOKUP(E35,List!$E$35:$F$37,2,)))))*X10*Nitrous/1000</f>
        <v>0</v>
      </c>
      <c r="AP12" s="1964">
        <f>(MIN(C35,F35)*time+ABS(F35-C35)*IF(F35&gt;C35,time*(VLOOKUP(G35,List!$E$35:$F$37,2,)),time*(1-(VLOOKUP(G35,List!$E$35:$F$37,2,)))))*X10*Nitrous/1000</f>
        <v>0</v>
      </c>
      <c r="AQ12" s="1965" t="s">
        <v>26</v>
      </c>
      <c r="AR12" s="1965">
        <v>0</v>
      </c>
      <c r="AS12" s="1965">
        <v>0</v>
      </c>
      <c r="AT12" s="1965">
        <f>AR12-AS12</f>
        <v>0</v>
      </c>
      <c r="AU12" s="1951"/>
      <c r="AV12" s="1951"/>
      <c r="AW12" s="1951"/>
      <c r="AX12" s="1951"/>
      <c r="AY12" s="1128"/>
      <c r="AZ12" s="1128"/>
      <c r="BA12" s="1128"/>
      <c r="BB12" s="1128"/>
      <c r="BC12" s="1128"/>
      <c r="BD12" s="1128"/>
      <c r="BE12" s="1128"/>
    </row>
    <row r="13" spans="1:57" ht="13.8" thickBot="1">
      <c r="B13" s="1530" t="s">
        <v>1145</v>
      </c>
      <c r="C13" s="1660"/>
      <c r="D13" s="903" t="s">
        <v>359</v>
      </c>
      <c r="E13" s="1939"/>
      <c r="F13" s="1939"/>
      <c r="G13" s="1861" t="str">
        <f>'3.Cropland'!D22</f>
        <v>?</v>
      </c>
      <c r="H13" s="1861" t="str">
        <f>'3.Cropland'!E22</f>
        <v>?</v>
      </c>
      <c r="I13" s="1861" t="str">
        <f>'3.Cropland'!F22</f>
        <v>?</v>
      </c>
      <c r="J13" s="1861" t="str">
        <f>'3.Cropland'!H22</f>
        <v>?</v>
      </c>
      <c r="K13" s="1861" t="str">
        <f>'3.Cropland'!I22</f>
        <v>?</v>
      </c>
      <c r="L13" s="1861" t="str">
        <f>'3.Cropland'!K22</f>
        <v>NO</v>
      </c>
      <c r="M13" s="2235">
        <f>IF('3.Cropland'!J134="",'3.Cropland'!I134,'3.Cropland'!J134)</f>
        <v>10</v>
      </c>
      <c r="N13" s="1862">
        <f>'3.Cropland'!N22</f>
        <v>0</v>
      </c>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9">
        <f>F13*44/12</f>
        <v>0</v>
      </c>
      <c r="V13" s="2678">
        <f>IF('3.Cropland'!F134="",'3.Cropland'!E134,'3.Cropland'!F134)</f>
        <v>0</v>
      </c>
      <c r="W13" s="197">
        <f t="shared" si="3"/>
        <v>0</v>
      </c>
      <c r="X13" s="197">
        <f t="shared" si="1"/>
        <v>0</v>
      </c>
      <c r="Y13" s="939">
        <f t="shared" si="2"/>
        <v>0</v>
      </c>
      <c r="AD13" s="1951"/>
      <c r="AE13" s="1951"/>
      <c r="AF13" s="1951">
        <f>(MIN(C36,D36)*time_tot+ABS(D36-C36)*IF(D36&gt;C36,time2+time*(VLOOKUP(E36,List!$E$35:$F$37,2,)),time*(1-(VLOOKUP(E36,List!$E$35:$F$37,2,)))))*W11*methane/1000</f>
        <v>0</v>
      </c>
      <c r="AG13" s="1951">
        <f>(MIN(C36,F36)*time_tot+ABS(F36-C36)*IF(F36&gt;C36,time2+time*(VLOOKUP(G36,List!$E$35:$F$37,2,)),time*(1-(VLOOKUP(G36,List!$E$35:$F$37,2,)))))*W11*methane/1000</f>
        <v>0</v>
      </c>
      <c r="AH13" s="1951">
        <f>(MIN(C36,D36)*time_tot+ABS(D36-C36)*IF(D36&gt;C36,time2+time*(VLOOKUP(E36,List!$E$35:$F$37,2,)),time*(1-(VLOOKUP(E36,List!$E$35:$F$37,2,)))))*X11*Nitrous/1000</f>
        <v>0</v>
      </c>
      <c r="AI13" s="1951">
        <f>(MIN(C36,F36)*time_tot+ABS(F36-C36)*IF(F36&gt;C36,time2+time*(VLOOKUP(G36,List!$E$35:$F$37,2,)),time*(1-(VLOOKUP(G36,List!$E$35:$F$37,2,)))))*X11*Nitrous/1000</f>
        <v>0</v>
      </c>
      <c r="AJ13" s="1951"/>
      <c r="AK13" s="1964">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64">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64">
        <f>(MIN(C36,D36)*time+ABS(D36-C36)*IF(D36&gt;C36,time*(VLOOKUP(E36,List!$E$35:$F$37,2,)),time*(1-(VLOOKUP(E36,List!$E$35:$F$37,2,)))))*W11*methane/1000</f>
        <v>0</v>
      </c>
      <c r="AN13" s="1964">
        <f>(MIN(C36,F36)*time+ABS(F36-C36)*IF(F36&gt;C36,time*(VLOOKUP(G36,List!$E$35:$F$37,2,)),time*(1-(VLOOKUP(G36,List!$E$35:$F$37,2,)))))*W11*methane/1000</f>
        <v>0</v>
      </c>
      <c r="AO13" s="1964">
        <f>(MIN(C36,D36)*time+ABS(D36-C36)*IF(D36&gt;C36,time*(VLOOKUP(E36,List!$E$35:$F$37,2,)),time*(1-(VLOOKUP(E36,List!$E$35:$F$37,2,)))))*X11*Nitrous/1000</f>
        <v>0</v>
      </c>
      <c r="AP13" s="1964">
        <f>(MIN(C36,F36)*time+ABS(F36-C36)*IF(F36&gt;C36,time*(VLOOKUP(G36,List!$E$35:$F$37,2,)),time*(1-(VLOOKUP(G36,List!$E$35:$F$37,2,)))))*X11*Nitrous/1000</f>
        <v>0</v>
      </c>
      <c r="AQ13" s="1965" t="s">
        <v>27</v>
      </c>
      <c r="AR13" s="1965">
        <f>SUM(I34:I47)-SUM(H34:H47)</f>
        <v>0</v>
      </c>
      <c r="AS13" s="1965">
        <f>SUM(AL11:AL24)-SUM(AK11:AK24)</f>
        <v>0</v>
      </c>
      <c r="AT13" s="1965">
        <f>AR13-AS13</f>
        <v>0</v>
      </c>
      <c r="AU13" s="1951"/>
      <c r="AV13" s="1951"/>
      <c r="AW13" s="1951"/>
      <c r="AX13" s="1951"/>
    </row>
    <row r="14" spans="1:57" ht="13.8" thickBot="1">
      <c r="B14" s="88" t="s">
        <v>1146</v>
      </c>
      <c r="C14" s="905"/>
      <c r="D14" s="903" t="s">
        <v>359</v>
      </c>
      <c r="E14" s="897"/>
      <c r="F14" s="897"/>
      <c r="G14" s="1861" t="str">
        <f>'3.Cropland'!D23</f>
        <v>?</v>
      </c>
      <c r="H14" s="1861" t="str">
        <f>'3.Cropland'!E23</f>
        <v>?</v>
      </c>
      <c r="I14" s="1861" t="str">
        <f>'3.Cropland'!F23</f>
        <v>?</v>
      </c>
      <c r="J14" s="1861" t="str">
        <f>'3.Cropland'!H23</f>
        <v>?</v>
      </c>
      <c r="K14" s="1861" t="str">
        <f>'3.Cropland'!I23</f>
        <v>?</v>
      </c>
      <c r="L14" s="1861" t="str">
        <f>'3.Cropland'!K23</f>
        <v>NO</v>
      </c>
      <c r="M14" s="2235">
        <f>IF('3.Cropland'!J135="",'3.Cropland'!I135,'3.Cropland'!J135)</f>
        <v>10</v>
      </c>
      <c r="N14" s="1862">
        <f>'3.Cropland'!N23</f>
        <v>0</v>
      </c>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9">
        <f t="shared" si="0"/>
        <v>0</v>
      </c>
      <c r="V14" s="2234">
        <f>IF('3.Cropland'!F135="",'3.Cropland'!E135,'3.Cropland'!F135)</f>
        <v>0</v>
      </c>
      <c r="W14" s="197">
        <f t="shared" si="3"/>
        <v>0</v>
      </c>
      <c r="X14" s="197">
        <f t="shared" si="1"/>
        <v>0</v>
      </c>
      <c r="Y14" s="939">
        <f t="shared" si="2"/>
        <v>0</v>
      </c>
      <c r="Z14" s="129" t="s">
        <v>538</v>
      </c>
      <c r="AA14" s="57"/>
      <c r="AB14" s="56"/>
      <c r="AD14" s="1951"/>
      <c r="AE14" s="1951"/>
      <c r="AF14" s="1951">
        <f>(MIN(C37,D37)*time_tot+ABS(D37-C37)*IF(D37&gt;C37,time2+time*(VLOOKUP(E37,List!$E$35:$F$37,2,)),time*(1-(VLOOKUP(E37,List!$E$35:$F$37,2,)))))*W12*methane/1000</f>
        <v>0</v>
      </c>
      <c r="AG14" s="1951">
        <f>(MIN(C37,F37)*time_tot+ABS(F37-C37)*IF(F37&gt;C37,time2+time*(VLOOKUP(G37,List!$E$35:$F$37,2,)),time*(1-(VLOOKUP(G37,List!$E$35:$F$37,2,)))))*W12*methane/1000</f>
        <v>0</v>
      </c>
      <c r="AH14" s="1951">
        <f>(MIN(C37,D37)*time_tot+ABS(D37-C37)*IF(D37&gt;C37,time2+time*(VLOOKUP(E37,List!$E$35:$F$37,2,)),time*(1-(VLOOKUP(E37,List!$E$35:$F$37,2,)))))*X12*Nitrous/1000</f>
        <v>0</v>
      </c>
      <c r="AI14" s="1951">
        <f>(MIN(C37,F37)*time_tot+ABS(F37-C37)*IF(F37&gt;C37,time2+time*(VLOOKUP(G37,List!$E$35:$F$37,2,)),time*(1-(VLOOKUP(G37,List!$E$35:$F$37,2,)))))*X12*Nitrous/1000</f>
        <v>0</v>
      </c>
      <c r="AJ14" s="1951"/>
      <c r="AK14" s="1964">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64">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64">
        <f>(MIN(C37,D37)*time+ABS(D37-C37)*IF(D37&gt;C37,time*(VLOOKUP(E37,List!$E$35:$F$37,2,)),time*(1-(VLOOKUP(E37,List!$E$35:$F$37,2,)))))*W12*methane/1000</f>
        <v>0</v>
      </c>
      <c r="AN14" s="1964">
        <f>(MIN(C37,F37)*time+ABS(F37-C37)*IF(F37&gt;C37,time*(VLOOKUP(G37,List!$E$35:$F$37,2,)),time*(1-(VLOOKUP(G37,List!$E$35:$F$37,2,)))))*W12*methane/1000</f>
        <v>0</v>
      </c>
      <c r="AO14" s="1964">
        <f>(MIN(C37,D37)*time+ABS(D37-C37)*IF(D37&gt;C37,time*(VLOOKUP(E37,List!$E$35:$F$37,2,)),time*(1-(VLOOKUP(E37,List!$E$35:$F$37,2,)))))*X12*Nitrous/1000</f>
        <v>0</v>
      </c>
      <c r="AP14" s="1964">
        <f>(MIN(C37,F37)*time+ABS(F37-C37)*IF(F37&gt;C37,time*(VLOOKUP(G37,List!$E$35:$F$37,2,)),time*(1-(VLOOKUP(G37,List!$E$35:$F$37,2,)))))*X12*Nitrous/1000</f>
        <v>0</v>
      </c>
      <c r="AQ14" s="1965" t="s">
        <v>337</v>
      </c>
      <c r="AR14" s="1965">
        <f>SUM(AG11:AG24)-SUM(AF11:AF24)</f>
        <v>0</v>
      </c>
      <c r="AS14" s="1965">
        <f>SUM(AN11:AN24)-SUM(AM11:AM24)</f>
        <v>0</v>
      </c>
      <c r="AT14" s="1965">
        <f>AR14-AS14</f>
        <v>0</v>
      </c>
      <c r="AU14" s="1951"/>
      <c r="AV14" s="1951"/>
      <c r="AW14" s="1951"/>
      <c r="AX14" s="1951"/>
    </row>
    <row r="15" spans="1:57" ht="13.8" thickBot="1">
      <c r="B15" s="88" t="s">
        <v>1147</v>
      </c>
      <c r="C15" s="905"/>
      <c r="D15" s="903" t="s">
        <v>359</v>
      </c>
      <c r="E15" s="897"/>
      <c r="F15" s="897"/>
      <c r="G15" s="1861" t="str">
        <f>'3.Cropland'!D24</f>
        <v>?</v>
      </c>
      <c r="H15" s="1861" t="str">
        <f>'3.Cropland'!E24</f>
        <v>?</v>
      </c>
      <c r="I15" s="1861" t="str">
        <f>'3.Cropland'!F24</f>
        <v>?</v>
      </c>
      <c r="J15" s="1861" t="str">
        <f>'3.Cropland'!H24</f>
        <v>?</v>
      </c>
      <c r="K15" s="1861" t="str">
        <f>'3.Cropland'!I24</f>
        <v>?</v>
      </c>
      <c r="L15" s="1861" t="str">
        <f>'3.Cropland'!K24</f>
        <v>NO</v>
      </c>
      <c r="M15" s="2235">
        <f>IF('3.Cropland'!J136="",'3.Cropland'!I136,'3.Cropland'!J136)</f>
        <v>10</v>
      </c>
      <c r="N15" s="1862">
        <f>'3.Cropland'!N24</f>
        <v>0</v>
      </c>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9">
        <f t="shared" si="0"/>
        <v>0</v>
      </c>
      <c r="V15" s="2234">
        <f>IF('3.Cropland'!F136="",'3.Cropland'!E136,'3.Cropland'!F136)</f>
        <v>0</v>
      </c>
      <c r="W15" s="197">
        <f t="shared" si="3"/>
        <v>0</v>
      </c>
      <c r="X15" s="197">
        <f t="shared" si="1"/>
        <v>0</v>
      </c>
      <c r="Y15" s="939">
        <f t="shared" ref="Y15:Y22" si="4">(W15*methane+X15*Nitrous)/1000</f>
        <v>0</v>
      </c>
      <c r="Z15" s="126" t="s">
        <v>537</v>
      </c>
      <c r="AA15" s="57" t="s">
        <v>337</v>
      </c>
      <c r="AB15" s="56" t="s">
        <v>338</v>
      </c>
      <c r="AD15" s="1951"/>
      <c r="AE15" s="1951"/>
      <c r="AF15" s="1951">
        <f>(MIN(C38,D38)*time_tot+ABS(D38-C38)*IF(D38&gt;C38,time2+time*(VLOOKUP(E38,List!$E$35:$F$37,2,)),time*(1-(VLOOKUP(E38,List!$E$35:$F$37,2,)))))*W13*methane/1000</f>
        <v>0</v>
      </c>
      <c r="AG15" s="1951">
        <f>(MIN(C38,F38)*time_tot+ABS(F38-C38)*IF(F38&gt;C38,time2+time*(VLOOKUP(G38,List!$E$35:$F$37,2,)),time*(1-(VLOOKUP(G38,List!$E$35:$F$37,2,)))))*W13*methane/1000</f>
        <v>0</v>
      </c>
      <c r="AH15" s="1951">
        <f>(MIN(C38,D38)*time_tot+ABS(D38-C38)*IF(D38&gt;C38,time2+time*(VLOOKUP(E38,List!$E$35:$F$37,2,)),time*(1-(VLOOKUP(E38,List!$E$35:$F$37,2,)))))*X13*Nitrous/1000</f>
        <v>0</v>
      </c>
      <c r="AI15" s="1951">
        <f>(MIN(C38,F38)*time_tot+ABS(F38-C38)*IF(F38&gt;C38,time2+time*(VLOOKUP(G38,List!$E$35:$F$37,2,)),time*(1-(VLOOKUP(G38,List!$E$35:$F$37,2,)))))*X13*Nitrous/1000</f>
        <v>0</v>
      </c>
      <c r="AJ15" s="1951"/>
      <c r="AK15" s="1964">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64">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64">
        <f>(MIN(C38,D38)*time+ABS(D38-C38)*IF(D38&gt;C38,time*(VLOOKUP(E38,List!$E$35:$F$37,2,)),time*(1-(VLOOKUP(E38,List!$E$35:$F$37,2,)))))*W13*methane/1000</f>
        <v>0</v>
      </c>
      <c r="AN15" s="1964">
        <f>(MIN(C38,F38)*time+ABS(F38-C38)*IF(F38&gt;C38,time*(VLOOKUP(G38,List!$E$35:$F$37,2,)),time*(1-(VLOOKUP(G38,List!$E$35:$F$37,2,)))))*W13*methane/1000</f>
        <v>0</v>
      </c>
      <c r="AO15" s="1964">
        <f>(MIN(C38,D38)*time+ABS(D38-C38)*IF(D38&gt;C38,time*(VLOOKUP(E38,List!$E$35:$F$37,2,)),time*(1-(VLOOKUP(E38,List!$E$35:$F$37,2,)))))*X13*Nitrous/1000</f>
        <v>0</v>
      </c>
      <c r="AP15" s="1964">
        <f>(MIN(C38,F38)*time+ABS(F38-C38)*IF(F38&gt;C38,time*(VLOOKUP(G38,List!$E$35:$F$37,2,)),time*(1-(VLOOKUP(G38,List!$E$35:$F$37,2,)))))*X13*Nitrous/1000</f>
        <v>0</v>
      </c>
      <c r="AQ15" s="1965" t="s">
        <v>338</v>
      </c>
      <c r="AR15" s="1965">
        <f>SUM(AI11:AI24)-SUM(AH11:AH24)</f>
        <v>0</v>
      </c>
      <c r="AS15" s="1965">
        <f>SUM(AP11:AP24)-SUM(AO11:AO24)</f>
        <v>0</v>
      </c>
      <c r="AT15" s="1965">
        <f>AR15-AS15</f>
        <v>0</v>
      </c>
      <c r="AU15" s="1951"/>
      <c r="AV15" s="1951"/>
      <c r="AW15" s="1951"/>
      <c r="AX15" s="1951"/>
    </row>
    <row r="16" spans="1:57" ht="13.8" thickBot="1">
      <c r="B16" s="88" t="s">
        <v>1148</v>
      </c>
      <c r="C16" s="905"/>
      <c r="D16" s="903" t="s">
        <v>359</v>
      </c>
      <c r="E16" s="897"/>
      <c r="F16" s="897"/>
      <c r="G16" s="1861" t="str">
        <f>'3.Cropland'!D25</f>
        <v>?</v>
      </c>
      <c r="H16" s="1861" t="str">
        <f>'3.Cropland'!E25</f>
        <v>?</v>
      </c>
      <c r="I16" s="1861" t="str">
        <f>'3.Cropland'!F25</f>
        <v>?</v>
      </c>
      <c r="J16" s="1861" t="str">
        <f>'3.Cropland'!H25</f>
        <v>?</v>
      </c>
      <c r="K16" s="1861" t="str">
        <f>'3.Cropland'!I25</f>
        <v>?</v>
      </c>
      <c r="L16" s="1861" t="str">
        <f>'3.Cropland'!K25</f>
        <v>NO</v>
      </c>
      <c r="M16" s="2235">
        <f>IF('3.Cropland'!J137="",'3.Cropland'!I137,'3.Cropland'!J137)</f>
        <v>10</v>
      </c>
      <c r="N16" s="1862">
        <f>'3.Cropland'!N25</f>
        <v>0</v>
      </c>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9">
        <f t="shared" si="0"/>
        <v>0</v>
      </c>
      <c r="V16" s="2234">
        <f>IF('3.Cropland'!F137="",'3.Cropland'!E137,'3.Cropland'!F137)</f>
        <v>0</v>
      </c>
      <c r="W16" s="197">
        <f t="shared" si="3"/>
        <v>0</v>
      </c>
      <c r="X16" s="197">
        <f t="shared" si="1"/>
        <v>0</v>
      </c>
      <c r="Y16" s="939">
        <f t="shared" si="4"/>
        <v>0</v>
      </c>
      <c r="Z16" s="126" t="s">
        <v>539</v>
      </c>
      <c r="AA16" s="128" t="s">
        <v>540</v>
      </c>
      <c r="AB16" s="203"/>
      <c r="AD16" s="1951"/>
      <c r="AE16" s="1951"/>
      <c r="AF16" s="1951">
        <f>(MIN(C39,D39)*time_tot+ABS(D39-C39)*IF(D39&gt;C39,time2+time*(VLOOKUP(E39,List!$E$35:$F$37,2,)),time*(1-(VLOOKUP(E39,List!$E$35:$F$37,2,)))))*W14*methane/1000</f>
        <v>0</v>
      </c>
      <c r="AG16" s="1951">
        <f>(MIN(C39,F39)*time_tot+ABS(F39-C39)*IF(F39&gt;C39,time2+time*(VLOOKUP(G39,List!$E$35:$F$37,2,)),time*(1-(VLOOKUP(G39,List!$E$35:$F$37,2,)))))*W14*methane/1000</f>
        <v>0</v>
      </c>
      <c r="AH16" s="1951">
        <f>(MIN(C39,D39)*time_tot+ABS(D39-C39)*IF(D39&gt;C39,time2+time*(VLOOKUP(E39,List!$E$35:$F$37,2,)),time*(1-(VLOOKUP(E39,List!$E$35:$F$37,2,)))))*X14*Nitrous/1000</f>
        <v>0</v>
      </c>
      <c r="AI16" s="1951">
        <f>(MIN(C39,F39)*time_tot+ABS(F39-C39)*IF(F39&gt;C39,time2+time*(VLOOKUP(G39,List!$E$35:$F$37,2,)),time*(1-(VLOOKUP(G39,List!$E$35:$F$37,2,)))))*X14*Nitrous/1000</f>
        <v>0</v>
      </c>
      <c r="AJ16" s="1951"/>
      <c r="AK16" s="1964">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64">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64">
        <f>(MIN(C39,D39)*time+ABS(D39-C39)*IF(D39&gt;C39,time*(VLOOKUP(E39,List!$E$35:$F$37,2,)),time*(1-(VLOOKUP(E39,List!$E$35:$F$37,2,)))))*W14*methane/1000</f>
        <v>0</v>
      </c>
      <c r="AN16" s="1964">
        <f>(MIN(C39,F39)*time+ABS(F39-C39)*IF(F39&gt;C39,time*(VLOOKUP(G39,List!$E$35:$F$37,2,)),time*(1-(VLOOKUP(G39,List!$E$35:$F$37,2,)))))*W14*methane/1000</f>
        <v>0</v>
      </c>
      <c r="AO16" s="1964">
        <f>(MIN(C39,D39)*time+ABS(D39-C39)*IF(D39&gt;C39,time*(VLOOKUP(E39,List!$E$35:$F$37,2,)),time*(1-(VLOOKUP(E39,List!$E$35:$F$37,2,)))))*X14*Nitrous/1000</f>
        <v>0</v>
      </c>
      <c r="AP16" s="1964">
        <f>(MIN(C39,F39)*time+ABS(F39-C39)*IF(F39&gt;C39,time*(VLOOKUP(G39,List!$E$35:$F$37,2,)),time*(1-(VLOOKUP(G39,List!$E$35:$F$37,2,)))))*X14*Nitrous/1000</f>
        <v>0</v>
      </c>
      <c r="AQ16" s="1951"/>
      <c r="AR16" s="1965">
        <f>SUM(AR12:AR15)</f>
        <v>0</v>
      </c>
      <c r="AS16" s="1965">
        <f>SUM(AS12:AS15)</f>
        <v>0</v>
      </c>
      <c r="AT16" s="1965">
        <f>SUM(AT12:AT15)</f>
        <v>0</v>
      </c>
      <c r="AU16" s="1951"/>
      <c r="AV16" s="1951"/>
      <c r="AW16" s="1951"/>
      <c r="AX16" s="1951"/>
    </row>
    <row r="17" spans="2:52" ht="13.8" thickBot="1">
      <c r="B17" s="88" t="s">
        <v>1149</v>
      </c>
      <c r="C17" s="905"/>
      <c r="D17" s="903" t="s">
        <v>359</v>
      </c>
      <c r="E17" s="897"/>
      <c r="F17" s="897"/>
      <c r="G17" s="1861" t="str">
        <f>'3.Cropland'!D26</f>
        <v>?</v>
      </c>
      <c r="H17" s="1861" t="str">
        <f>'3.Cropland'!E26</f>
        <v>?</v>
      </c>
      <c r="I17" s="1861" t="str">
        <f>'3.Cropland'!F26</f>
        <v>?</v>
      </c>
      <c r="J17" s="1861" t="str">
        <f>'3.Cropland'!H26</f>
        <v>?</v>
      </c>
      <c r="K17" s="1861" t="str">
        <f>'3.Cropland'!I26</f>
        <v>?</v>
      </c>
      <c r="L17" s="1861" t="str">
        <f>'3.Cropland'!K26</f>
        <v>NO</v>
      </c>
      <c r="M17" s="2235">
        <f>IF('3.Cropland'!J138="",'3.Cropland'!I138,'3.Cropland'!J138)</f>
        <v>10</v>
      </c>
      <c r="N17" s="1862">
        <f>'3.Cropland'!N26</f>
        <v>0</v>
      </c>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9">
        <f t="shared" si="0"/>
        <v>0</v>
      </c>
      <c r="V17" s="2234">
        <f>IF('3.Cropland'!F138="",'3.Cropland'!E138,'3.Cropland'!F138)</f>
        <v>0</v>
      </c>
      <c r="W17" s="197">
        <f t="shared" si="3"/>
        <v>0</v>
      </c>
      <c r="X17" s="197">
        <f t="shared" si="1"/>
        <v>0</v>
      </c>
      <c r="Y17" s="939">
        <f t="shared" si="4"/>
        <v>0</v>
      </c>
      <c r="Z17" s="129">
        <v>0.8</v>
      </c>
      <c r="AA17" s="57">
        <v>2.7</v>
      </c>
      <c r="AB17" s="56">
        <v>7.0000000000000007E-2</v>
      </c>
      <c r="AD17" s="1951"/>
      <c r="AE17" s="1951"/>
      <c r="AF17" s="1951">
        <f>(MIN(C40,D40)*time_tot+ABS(D40-C40)*IF(D40&gt;C40,time2+time*(VLOOKUP(E40,List!$E$35:$F$37,2,)),time*(1-(VLOOKUP(E40,List!$E$35:$F$37,2,)))))*W15*methane/1000</f>
        <v>0</v>
      </c>
      <c r="AG17" s="1951">
        <f>(MIN(C40,F40)*time_tot+ABS(F40-C40)*IF(F40&gt;C40,time2+time*(VLOOKUP(G40,List!$E$35:$F$37,2,)),time*(1-(VLOOKUP(G40,List!$E$35:$F$37,2,)))))*W15*methane/1000</f>
        <v>0</v>
      </c>
      <c r="AH17" s="1951">
        <f>(MIN(C40,D40)*time_tot+ABS(D40-C40)*IF(D40&gt;C40,time2+time*(VLOOKUP(E40,List!$E$35:$F$37,2,)),time*(1-(VLOOKUP(E40,List!$E$35:$F$37,2,)))))*X15*Nitrous/1000</f>
        <v>0</v>
      </c>
      <c r="AI17" s="1951">
        <f>(MIN(C40,F40)*time_tot+ABS(F40-C40)*IF(F40&gt;C40,time2+time*(VLOOKUP(G40,List!$E$35:$F$37,2,)),time*(1-(VLOOKUP(G40,List!$E$35:$F$37,2,)))))*X15*Nitrous/1000</f>
        <v>0</v>
      </c>
      <c r="AJ17" s="1951"/>
      <c r="AK17" s="1964">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64">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64">
        <f>(MIN(C40,D40)*time+ABS(D40-C40)*IF(D40&gt;C40,time*(VLOOKUP(E40,List!$E$35:$F$37,2,)),time*(1-(VLOOKUP(E40,List!$E$35:$F$37,2,)))))*W15*methane/1000</f>
        <v>0</v>
      </c>
      <c r="AN17" s="1964">
        <f>(MIN(C40,F40)*time+ABS(F40-C40)*IF(F40&gt;C40,time*(VLOOKUP(G40,List!$E$35:$F$37,2,)),time*(1-(VLOOKUP(G40,List!$E$35:$F$37,2,)))))*W15*methane/1000</f>
        <v>0</v>
      </c>
      <c r="AO17" s="1964">
        <f>(MIN(C40,D40)*time+ABS(D40-C40)*IF(D40&gt;C40,time*(VLOOKUP(E40,List!$E$35:$F$37,2,)),time*(1-(VLOOKUP(E40,List!$E$35:$F$37,2,)))))*X15*Nitrous/1000</f>
        <v>0</v>
      </c>
      <c r="AP17" s="1964">
        <f>(MIN(C40,F40)*time+ABS(F40-C40)*IF(F40&gt;C40,time*(VLOOKUP(G40,List!$E$35:$F$37,2,)),time*(1-(VLOOKUP(G40,List!$E$35:$F$37,2,)))))*X15*Nitrous/1000</f>
        <v>0</v>
      </c>
      <c r="AQ17" s="1951"/>
      <c r="AR17" s="1951"/>
      <c r="AS17" s="1951"/>
      <c r="AT17" s="1951"/>
      <c r="AU17" s="1951"/>
      <c r="AV17" s="1951"/>
      <c r="AW17" s="1951"/>
      <c r="AX17" s="1951"/>
    </row>
    <row r="18" spans="2:52" ht="13.8" thickBot="1">
      <c r="B18" s="88" t="s">
        <v>1150</v>
      </c>
      <c r="C18" s="905"/>
      <c r="D18" s="903" t="s">
        <v>359</v>
      </c>
      <c r="E18" s="897"/>
      <c r="F18" s="897"/>
      <c r="G18" s="1861" t="str">
        <f>'3.Cropland'!D27</f>
        <v>?</v>
      </c>
      <c r="H18" s="1861" t="str">
        <f>'3.Cropland'!E27</f>
        <v>?</v>
      </c>
      <c r="I18" s="1861" t="str">
        <f>'3.Cropland'!F27</f>
        <v>?</v>
      </c>
      <c r="J18" s="1861" t="str">
        <f>'3.Cropland'!H27</f>
        <v>?</v>
      </c>
      <c r="K18" s="1861" t="str">
        <f>'3.Cropland'!I27</f>
        <v>?</v>
      </c>
      <c r="L18" s="1861" t="str">
        <f>'3.Cropland'!K27</f>
        <v>NO</v>
      </c>
      <c r="M18" s="2235">
        <f>IF('3.Cropland'!J139="",'3.Cropland'!I139,'3.Cropland'!J139)</f>
        <v>10</v>
      </c>
      <c r="N18" s="1862">
        <f>'3.Cropland'!N27</f>
        <v>0</v>
      </c>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9">
        <f t="shared" si="0"/>
        <v>0</v>
      </c>
      <c r="V18" s="2234">
        <f>IF('3.Cropland'!F139="",'3.Cropland'!E139,'3.Cropland'!F139)</f>
        <v>0</v>
      </c>
      <c r="W18" s="197">
        <f t="shared" si="3"/>
        <v>0</v>
      </c>
      <c r="X18" s="197">
        <f t="shared" si="1"/>
        <v>0</v>
      </c>
      <c r="Y18" s="939">
        <f t="shared" si="4"/>
        <v>0</v>
      </c>
      <c r="AD18" s="1951"/>
      <c r="AE18" s="1951"/>
      <c r="AF18" s="1951">
        <f>(MIN(C41,D41)*time_tot+ABS(D41-C41)*IF(D41&gt;C41,time2+time*(VLOOKUP(E41,List!$E$35:$F$37,2,)),time*(1-(VLOOKUP(E41,List!$E$35:$F$37,2,)))))*W16*methane/1000</f>
        <v>0</v>
      </c>
      <c r="AG18" s="1951">
        <f>(MIN(C41,F41)*time_tot+ABS(F41-C41)*IF(F41&gt;C41,time2+time*(VLOOKUP(G41,List!$E$35:$F$37,2,)),time*(1-(VLOOKUP(G41,List!$E$35:$F$37,2,)))))*W16*methane/1000</f>
        <v>0</v>
      </c>
      <c r="AH18" s="1951">
        <f>(MIN(C41,D41)*time_tot+ABS(D41-C41)*IF(D41&gt;C41,time2+time*(VLOOKUP(E41,List!$E$35:$F$37,2,)),time*(1-(VLOOKUP(E41,List!$E$35:$F$37,2,)))))*X16*Nitrous/1000</f>
        <v>0</v>
      </c>
      <c r="AI18" s="1951">
        <f>(MIN(C41,F41)*time_tot+ABS(F41-C41)*IF(F41&gt;C41,time2+time*(VLOOKUP(G41,List!$E$35:$F$37,2,)),time*(1-(VLOOKUP(G41,List!$E$35:$F$37,2,)))))*X16*Nitrous/1000</f>
        <v>0</v>
      </c>
      <c r="AJ18" s="1951"/>
      <c r="AK18" s="1964">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64">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64">
        <f>(MIN(C41,D41)*time+ABS(D41-C41)*IF(D41&gt;C41,time*(VLOOKUP(E41,List!$E$35:$F$37,2,)),time*(1-(VLOOKUP(E41,List!$E$35:$F$37,2,)))))*W16*methane/1000</f>
        <v>0</v>
      </c>
      <c r="AN18" s="1964">
        <f>(MIN(C41,F41)*time+ABS(F41-C41)*IF(F41&gt;C41,time*(VLOOKUP(G41,List!$E$35:$F$37,2,)),time*(1-(VLOOKUP(G41,List!$E$35:$F$37,2,)))))*W16*methane/1000</f>
        <v>0</v>
      </c>
      <c r="AO18" s="1964">
        <f>(MIN(C41,D41)*time+ABS(D41-C41)*IF(D41&gt;C41,time*(VLOOKUP(E41,List!$E$35:$F$37,2,)),time*(1-(VLOOKUP(E41,List!$E$35:$F$37,2,)))))*X16*Nitrous/1000</f>
        <v>0</v>
      </c>
      <c r="AP18" s="1964">
        <f>(MIN(C41,F41)*time+ABS(F41-C41)*IF(F41&gt;C41,time*(VLOOKUP(G41,List!$E$35:$F$37,2,)),time*(1-(VLOOKUP(G41,List!$E$35:$F$37,2,)))))*X16*Nitrous/1000</f>
        <v>0</v>
      </c>
      <c r="AQ18" s="1951"/>
      <c r="AR18" s="1951"/>
      <c r="AS18" s="1951"/>
      <c r="AT18" s="1951"/>
      <c r="AU18" s="1951"/>
      <c r="AV18" s="1951"/>
      <c r="AW18" s="1951"/>
      <c r="AX18" s="1951"/>
    </row>
    <row r="19" spans="2:52" ht="13.8" thickBot="1">
      <c r="B19" s="88" t="s">
        <v>1151</v>
      </c>
      <c r="C19" s="905"/>
      <c r="D19" s="903" t="s">
        <v>359</v>
      </c>
      <c r="E19" s="897"/>
      <c r="F19" s="897"/>
      <c r="G19" s="1861" t="str">
        <f>'3.Cropland'!D28</f>
        <v>?</v>
      </c>
      <c r="H19" s="1861" t="str">
        <f>'3.Cropland'!E28</f>
        <v>?</v>
      </c>
      <c r="I19" s="1861" t="str">
        <f>'3.Cropland'!F28</f>
        <v>?</v>
      </c>
      <c r="J19" s="1861" t="str">
        <f>'3.Cropland'!H28</f>
        <v>?</v>
      </c>
      <c r="K19" s="1861" t="str">
        <f>'3.Cropland'!I28</f>
        <v>?</v>
      </c>
      <c r="L19" s="1861" t="str">
        <f>'3.Cropland'!K28</f>
        <v>NO</v>
      </c>
      <c r="M19" s="2235">
        <f>IF('3.Cropland'!J140="",'3.Cropland'!I140,'3.Cropland'!J140)</f>
        <v>10</v>
      </c>
      <c r="N19" s="1862">
        <f>'3.Cropland'!N28</f>
        <v>0</v>
      </c>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9">
        <f t="shared" si="0"/>
        <v>0</v>
      </c>
      <c r="V19" s="2234">
        <f>IF('3.Cropland'!F140="",'3.Cropland'!E140,'3.Cropland'!F140)</f>
        <v>0</v>
      </c>
      <c r="W19" s="197">
        <f t="shared" si="3"/>
        <v>0</v>
      </c>
      <c r="X19" s="197">
        <f t="shared" si="1"/>
        <v>0</v>
      </c>
      <c r="Y19" s="939">
        <f t="shared" si="4"/>
        <v>0</v>
      </c>
      <c r="AD19" s="1951"/>
      <c r="AE19" s="1951"/>
      <c r="AF19" s="1951">
        <f>(MIN(C42,D42)*time_tot+ABS(D42-C42)*IF(D42&gt;C42,time2+time*(VLOOKUP(E42,List!$E$35:$F$37,2,)),time*(1-(VLOOKUP(E42,List!$E$35:$F$37,2,)))))*W17*methane/1000</f>
        <v>0</v>
      </c>
      <c r="AG19" s="1951">
        <f>(MIN(C42,F42)*time_tot+ABS(F42-C42)*IF(F42&gt;C42,time2+time*(VLOOKUP(G42,List!$E$35:$F$37,2,)),time*(1-(VLOOKUP(G42,List!$E$35:$F$37,2,)))))*W17*methane/1000</f>
        <v>0</v>
      </c>
      <c r="AH19" s="1951">
        <f>(MIN(C42,D42)*time_tot+ABS(D42-C42)*IF(D42&gt;C42,time2+time*(VLOOKUP(E42,List!$E$35:$F$37,2,)),time*(1-(VLOOKUP(E42,List!$E$35:$F$37,2,)))))*X17*Nitrous/1000</f>
        <v>0</v>
      </c>
      <c r="AI19" s="1951">
        <f>(MIN(C42,F42)*time_tot+ABS(F42-C42)*IF(F42&gt;C42,time2+time*(VLOOKUP(G42,List!$E$35:$F$37,2,)),time*(1-(VLOOKUP(G42,List!$E$35:$F$37,2,)))))*X17*Nitrous/1000</f>
        <v>0</v>
      </c>
      <c r="AJ19" s="1951"/>
      <c r="AK19" s="1964">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64">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64">
        <f>(MIN(C42,D42)*time+ABS(D42-C42)*IF(D42&gt;C42,time*(VLOOKUP(E42,List!$E$35:$F$37,2,)),time*(1-(VLOOKUP(E42,List!$E$35:$F$37,2,)))))*W17*methane/1000</f>
        <v>0</v>
      </c>
      <c r="AN19" s="1964">
        <f>(MIN(C42,F42)*time+ABS(F42-C42)*IF(F42&gt;C42,time*(VLOOKUP(G42,List!$E$35:$F$37,2,)),time*(1-(VLOOKUP(G42,List!$E$35:$F$37,2,)))))*W17*methane/1000</f>
        <v>0</v>
      </c>
      <c r="AO19" s="1964">
        <f>(MIN(C42,D42)*time+ABS(D42-C42)*IF(D42&gt;C42,time*(VLOOKUP(E42,List!$E$35:$F$37,2,)),time*(1-(VLOOKUP(E42,List!$E$35:$F$37,2,)))))*X17*Nitrous/1000</f>
        <v>0</v>
      </c>
      <c r="AP19" s="1964">
        <f>(MIN(C42,F42)*time+ABS(F42-C42)*IF(F42&gt;C42,time*(VLOOKUP(G42,List!$E$35:$F$37,2,)),time*(1-(VLOOKUP(G42,List!$E$35:$F$37,2,)))))*X17*Nitrous/1000</f>
        <v>0</v>
      </c>
      <c r="AQ19" s="1965" t="s">
        <v>25</v>
      </c>
      <c r="AR19" s="1965" t="s">
        <v>690</v>
      </c>
      <c r="AS19" s="1951" t="s">
        <v>691</v>
      </c>
      <c r="AT19" s="1951"/>
      <c r="AU19" s="1951"/>
      <c r="AV19" s="1951"/>
      <c r="AW19" s="1951"/>
      <c r="AX19" s="1951"/>
    </row>
    <row r="20" spans="2:52" ht="13.8" thickBot="1">
      <c r="B20" s="88" t="s">
        <v>1152</v>
      </c>
      <c r="C20" s="905"/>
      <c r="D20" s="903" t="s">
        <v>359</v>
      </c>
      <c r="E20" s="897"/>
      <c r="F20" s="897"/>
      <c r="G20" s="1861" t="str">
        <f>'3.Cropland'!D29</f>
        <v>?</v>
      </c>
      <c r="H20" s="1861" t="str">
        <f>'3.Cropland'!E29</f>
        <v>?</v>
      </c>
      <c r="I20" s="1861" t="str">
        <f>'3.Cropland'!F29</f>
        <v>?</v>
      </c>
      <c r="J20" s="1861" t="str">
        <f>'3.Cropland'!H29</f>
        <v>?</v>
      </c>
      <c r="K20" s="1861" t="str">
        <f>'3.Cropland'!I29</f>
        <v>?</v>
      </c>
      <c r="L20" s="1861" t="str">
        <f>'3.Cropland'!K29</f>
        <v>NO</v>
      </c>
      <c r="M20" s="2235">
        <f>IF('3.Cropland'!J141="",'3.Cropland'!I141,'3.Cropland'!J141)</f>
        <v>10</v>
      </c>
      <c r="N20" s="1862">
        <f>'3.Cropland'!N29</f>
        <v>0</v>
      </c>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9">
        <f t="shared" si="0"/>
        <v>0</v>
      </c>
      <c r="V20" s="2234">
        <f>IF('3.Cropland'!F141="",'3.Cropland'!E141,'3.Cropland'!F141)</f>
        <v>0</v>
      </c>
      <c r="W20" s="197">
        <f t="shared" si="3"/>
        <v>0</v>
      </c>
      <c r="X20" s="197">
        <f t="shared" si="1"/>
        <v>0</v>
      </c>
      <c r="Y20" s="939">
        <f t="shared" si="4"/>
        <v>0</v>
      </c>
      <c r="AD20" s="1951"/>
      <c r="AE20" s="1951"/>
      <c r="AF20" s="1951">
        <f>(MIN(C43,D43)*time_tot+ABS(D43-C43)*IF(D43&gt;C43,time2+time*(VLOOKUP(E43,List!$E$35:$F$37,2,)),time*(1-(VLOOKUP(E43,List!$E$35:$F$37,2,)))))*W18*methane/1000</f>
        <v>0</v>
      </c>
      <c r="AG20" s="1951">
        <f>(MIN(C43,F43)*time_tot+ABS(F43-C43)*IF(F43&gt;C43,time2+time*(VLOOKUP(G43,List!$E$35:$F$37,2,)),time*(1-(VLOOKUP(G43,List!$E$35:$F$37,2,)))))*W18*methane/1000</f>
        <v>0</v>
      </c>
      <c r="AH20" s="1951">
        <f>(MIN(C43,D43)*time_tot+ABS(D43-C43)*IF(D43&gt;C43,time2+time*(VLOOKUP(E43,List!$E$35:$F$37,2,)),time*(1-(VLOOKUP(E43,List!$E$35:$F$37,2,)))))*X18*Nitrous/1000</f>
        <v>0</v>
      </c>
      <c r="AI20" s="1951">
        <f>(MIN(C43,F43)*time_tot+ABS(F43-C43)*IF(F43&gt;C43,time2+time*(VLOOKUP(G43,List!$E$35:$F$37,2,)),time*(1-(VLOOKUP(G43,List!$E$35:$F$37,2,)))))*X18*Nitrous/1000</f>
        <v>0</v>
      </c>
      <c r="AJ20" s="1951"/>
      <c r="AK20" s="1964">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64">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64">
        <f>(MIN(C43,D43)*time+ABS(D43-C43)*IF(D43&gt;C43,time*(VLOOKUP(E43,List!$E$35:$F$37,2,)),time*(1-(VLOOKUP(E43,List!$E$35:$F$37,2,)))))*W18*methane/1000</f>
        <v>0</v>
      </c>
      <c r="AN20" s="1964">
        <f>(MIN(C43,F43)*time+ABS(F43-C43)*IF(F43&gt;C43,time*(VLOOKUP(G43,List!$E$35:$F$37,2,)),time*(1-(VLOOKUP(G43,List!$E$35:$F$37,2,)))))*W18*methane/1000</f>
        <v>0</v>
      </c>
      <c r="AO20" s="1964">
        <f>(MIN(C43,D43)*time+ABS(D43-C43)*IF(D43&gt;C43,time*(VLOOKUP(E43,List!$E$35:$F$37,2,)),time*(1-(VLOOKUP(E43,List!$E$35:$F$37,2,)))))*X18*Nitrous/1000</f>
        <v>0</v>
      </c>
      <c r="AP20" s="1964">
        <f>(MIN(C43,F43)*time+ABS(F43-C43)*IF(F43&gt;C43,time*(VLOOKUP(G43,List!$E$35:$F$37,2,)),time*(1-(VLOOKUP(G43,List!$E$35:$F$37,2,)))))*X18*Nitrous/1000</f>
        <v>0</v>
      </c>
      <c r="AQ20" s="1965" t="s">
        <v>26</v>
      </c>
      <c r="AR20" s="1965">
        <v>0</v>
      </c>
      <c r="AS20" s="1951">
        <v>0</v>
      </c>
      <c r="AT20" s="1951"/>
      <c r="AU20" s="1951"/>
      <c r="AV20" s="1951"/>
      <c r="AW20" s="1951"/>
      <c r="AX20" s="1951"/>
    </row>
    <row r="21" spans="2:52" ht="13.8" thickBot="1">
      <c r="B21" s="88" t="s">
        <v>1153</v>
      </c>
      <c r="C21" s="905"/>
      <c r="D21" s="903" t="s">
        <v>359</v>
      </c>
      <c r="E21" s="897"/>
      <c r="F21" s="897"/>
      <c r="G21" s="1861" t="str">
        <f>'3.Cropland'!D30</f>
        <v>?</v>
      </c>
      <c r="H21" s="1861" t="str">
        <f>'3.Cropland'!E30</f>
        <v>?</v>
      </c>
      <c r="I21" s="1861" t="str">
        <f>'3.Cropland'!F30</f>
        <v>?</v>
      </c>
      <c r="J21" s="1861" t="str">
        <f>'3.Cropland'!H30</f>
        <v>?</v>
      </c>
      <c r="K21" s="1861" t="str">
        <f>'3.Cropland'!I30</f>
        <v>?</v>
      </c>
      <c r="L21" s="1861" t="str">
        <f>'3.Cropland'!K30</f>
        <v>NO</v>
      </c>
      <c r="M21" s="2235">
        <f>IF('3.Cropland'!J142="",'3.Cropland'!I142,'3.Cropland'!J142)</f>
        <v>10</v>
      </c>
      <c r="N21" s="1862">
        <f>'3.Cropland'!N30</f>
        <v>0</v>
      </c>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9">
        <f t="shared" si="0"/>
        <v>0</v>
      </c>
      <c r="V21" s="2234">
        <f>IF('3.Cropland'!F142="",'3.Cropland'!E142,'3.Cropland'!F142)</f>
        <v>0</v>
      </c>
      <c r="W21" s="197">
        <f t="shared" si="3"/>
        <v>0</v>
      </c>
      <c r="X21" s="197">
        <f t="shared" si="1"/>
        <v>0</v>
      </c>
      <c r="Y21" s="939">
        <f t="shared" si="4"/>
        <v>0</v>
      </c>
      <c r="AD21" s="1951"/>
      <c r="AE21" s="1951"/>
      <c r="AF21" s="1951">
        <f>(MIN(C44,D44)*time_tot+ABS(D44-C44)*IF(D44&gt;C44,time2+time*(VLOOKUP(E44,List!$E$35:$F$37,2,)),time*(1-(VLOOKUP(E44,List!$E$35:$F$37,2,)))))*W19*methane/1000</f>
        <v>0</v>
      </c>
      <c r="AG21" s="1951">
        <f>(MIN(C44,F44)*time_tot+ABS(F44-C44)*IF(F44&gt;C44,time2+time*(VLOOKUP(G44,List!$E$35:$F$37,2,)),time*(1-(VLOOKUP(G44,List!$E$35:$F$37,2,)))))*W19*methane/1000</f>
        <v>0</v>
      </c>
      <c r="AH21" s="1951">
        <f>(MIN(C44,D44)*time_tot+ABS(D44-C44)*IF(D44&gt;C44,time2+time*(VLOOKUP(E44,List!$E$35:$F$37,2,)),time*(1-(VLOOKUP(E44,List!$E$35:$F$37,2,)))))*X19*Nitrous/1000</f>
        <v>0</v>
      </c>
      <c r="AI21" s="1951">
        <f>(MIN(C44,F44)*time_tot+ABS(F44-C44)*IF(F44&gt;C44,time2+time*(VLOOKUP(G44,List!$E$35:$F$37,2,)),time*(1-(VLOOKUP(G44,List!$E$35:$F$37,2,)))))*X19*Nitrous/1000</f>
        <v>0</v>
      </c>
      <c r="AJ21" s="1951"/>
      <c r="AK21" s="1964">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64">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64">
        <f>(MIN(C44,D44)*time+ABS(D44-C44)*IF(D44&gt;C44,time*(VLOOKUP(E44,List!$E$35:$F$37,2,)),time*(1-(VLOOKUP(E44,List!$E$35:$F$37,2,)))))*W19*methane/1000</f>
        <v>0</v>
      </c>
      <c r="AN21" s="1964">
        <f>(MIN(C44,F44)*time+ABS(F44-C44)*IF(F44&gt;C44,time*(VLOOKUP(G44,List!$E$35:$F$37,2,)),time*(1-(VLOOKUP(G44,List!$E$35:$F$37,2,)))))*W19*methane/1000</f>
        <v>0</v>
      </c>
      <c r="AO21" s="1964">
        <f>(MIN(C44,D44)*time+ABS(D44-C44)*IF(D44&gt;C44,time*(VLOOKUP(E44,List!$E$35:$F$37,2,)),time*(1-(VLOOKUP(E44,List!$E$35:$F$37,2,)))))*X19*Nitrous/1000</f>
        <v>0</v>
      </c>
      <c r="AP21" s="1964">
        <f>(MIN(C44,F44)*time+ABS(F44-C44)*IF(F44&gt;C44,time*(VLOOKUP(G44,List!$E$35:$F$37,2,)),time*(1-(VLOOKUP(G44,List!$E$35:$F$37,2,)))))*X19*Nitrous/1000</f>
        <v>0</v>
      </c>
      <c r="AQ21" s="1965" t="s">
        <v>27</v>
      </c>
      <c r="AR21" s="1965">
        <f>SUM(H34:H47)</f>
        <v>0</v>
      </c>
      <c r="AS21" s="1951">
        <f>SUM(I34:I47)</f>
        <v>0</v>
      </c>
      <c r="AT21" s="1951"/>
      <c r="AU21" s="1951"/>
      <c r="AV21" s="1951"/>
      <c r="AW21" s="1951"/>
      <c r="AX21" s="1951"/>
    </row>
    <row r="22" spans="2:52" ht="13.8" thickBot="1">
      <c r="B22" s="162" t="s">
        <v>1154</v>
      </c>
      <c r="C22" s="906"/>
      <c r="D22" s="904" t="s">
        <v>359</v>
      </c>
      <c r="E22" s="896"/>
      <c r="F22" s="896"/>
      <c r="G22" s="1861" t="str">
        <f>'3.Cropland'!D31</f>
        <v>?</v>
      </c>
      <c r="H22" s="1861" t="str">
        <f>'3.Cropland'!E31</f>
        <v>?</v>
      </c>
      <c r="I22" s="1861" t="str">
        <f>'3.Cropland'!F31</f>
        <v>?</v>
      </c>
      <c r="J22" s="1861" t="str">
        <f>'3.Cropland'!H31</f>
        <v>?</v>
      </c>
      <c r="K22" s="1861" t="str">
        <f>'3.Cropland'!I31</f>
        <v>?</v>
      </c>
      <c r="L22" s="1861" t="str">
        <f>'3.Cropland'!K31</f>
        <v>NO</v>
      </c>
      <c r="M22" s="2235">
        <f>IF('3.Cropland'!J143="",'3.Cropland'!I143,'3.Cropland'!J143)</f>
        <v>10</v>
      </c>
      <c r="N22" s="1862">
        <f>'3.Cropland'!N31</f>
        <v>0</v>
      </c>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300">
        <f t="shared" si="0"/>
        <v>0</v>
      </c>
      <c r="V22" s="2234">
        <f>IF('3.Cropland'!F143="",'3.Cropland'!E143,'3.Cropland'!F143)</f>
        <v>0</v>
      </c>
      <c r="W22" s="198">
        <f t="shared" si="3"/>
        <v>0</v>
      </c>
      <c r="X22" s="198">
        <f t="shared" si="1"/>
        <v>0</v>
      </c>
      <c r="Y22" s="940">
        <f t="shared" si="4"/>
        <v>0</v>
      </c>
      <c r="AD22" s="1951"/>
      <c r="AE22" s="1951"/>
      <c r="AF22" s="1951">
        <f>(MIN(C45,D45)*time_tot+ABS(D45-C45)*IF(D45&gt;C45,time2+time*(VLOOKUP(E45,List!$E$35:$F$37,2,)),time*(1-(VLOOKUP(E45,List!$E$35:$F$37,2,)))))*W20*methane/1000</f>
        <v>0</v>
      </c>
      <c r="AG22" s="1951">
        <f>(MIN(C45,F45)*time_tot+ABS(F45-C45)*IF(F45&gt;C45,time2+time*(VLOOKUP(G45,List!$E$35:$F$37,2,)),time*(1-(VLOOKUP(G45,List!$E$35:$F$37,2,)))))*W20*methane/1000</f>
        <v>0</v>
      </c>
      <c r="AH22" s="1951">
        <f>(MIN(C45,D45)*time_tot+ABS(D45-C45)*IF(D45&gt;C45,time2+time*(VLOOKUP(E45,List!$E$35:$F$37,2,)),time*(1-(VLOOKUP(E45,List!$E$35:$F$37,2,)))))*X20*Nitrous/1000</f>
        <v>0</v>
      </c>
      <c r="AI22" s="1951">
        <f>(MIN(C45,F45)*time_tot+ABS(F45-C45)*IF(F45&gt;C45,time2+time*(VLOOKUP(G45,List!$E$35:$F$37,2,)),time*(1-(VLOOKUP(G45,List!$E$35:$F$37,2,)))))*X20*Nitrous/1000</f>
        <v>0</v>
      </c>
      <c r="AJ22" s="1951"/>
      <c r="AK22" s="1964">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64">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64">
        <f>(MIN(C45,D45)*time+ABS(D45-C45)*IF(D45&gt;C45,time*(VLOOKUP(E45,List!$E$35:$F$37,2,)),time*(1-(VLOOKUP(E45,List!$E$35:$F$37,2,)))))*W20*methane/1000</f>
        <v>0</v>
      </c>
      <c r="AN22" s="1964">
        <f>(MIN(C45,F45)*time+ABS(F45-C45)*IF(F45&gt;C45,time*(VLOOKUP(G45,List!$E$35:$F$37,2,)),time*(1-(VLOOKUP(G45,List!$E$35:$F$37,2,)))))*W20*methane/1000</f>
        <v>0</v>
      </c>
      <c r="AO22" s="1964">
        <f>(MIN(C45,D45)*time+ABS(D45-C45)*IF(D45&gt;C45,time*(VLOOKUP(E45,List!$E$35:$F$37,2,)),time*(1-(VLOOKUP(E45,List!$E$35:$F$37,2,)))))*X20*Nitrous/1000</f>
        <v>0</v>
      </c>
      <c r="AP22" s="1964">
        <f>(MIN(C45,F45)*time+ABS(F45-C45)*IF(F45&gt;C45,time*(VLOOKUP(G45,List!$E$35:$F$37,2,)),time*(1-(VLOOKUP(G45,List!$E$35:$F$37,2,)))))*X20*Nitrous/1000</f>
        <v>0</v>
      </c>
      <c r="AQ22" s="1965" t="s">
        <v>337</v>
      </c>
      <c r="AR22" s="1965">
        <f>SUM(AF11:AF24)</f>
        <v>0</v>
      </c>
      <c r="AS22" s="1951">
        <f>SUM(AG11:AG24)</f>
        <v>0</v>
      </c>
      <c r="AT22" s="1951"/>
      <c r="AU22" s="1951"/>
      <c r="AV22" s="1951"/>
      <c r="AW22" s="1951"/>
      <c r="AX22" s="1951"/>
    </row>
    <row r="23" spans="2:52">
      <c r="E23" s="572" t="s">
        <v>1288</v>
      </c>
      <c r="G23" s="199" t="s">
        <v>1068</v>
      </c>
      <c r="H23" s="898"/>
      <c r="I23" s="898"/>
      <c r="J23" s="200"/>
      <c r="M23" s="214" t="s">
        <v>639</v>
      </c>
      <c r="P23" s="1" t="s">
        <v>856</v>
      </c>
      <c r="X23" s="1"/>
      <c r="Y23" s="9"/>
      <c r="AD23" s="1951"/>
      <c r="AE23" s="1951"/>
      <c r="AF23" s="1951">
        <f>(MIN(C46,D46)*time_tot+ABS(D46-C46)*IF(D46&gt;C46,time2+time*(VLOOKUP(E46,List!$E$35:$F$37,2,)),time*(1-(VLOOKUP(E46,List!$E$35:$F$37,2,)))))*W21*methane/1000</f>
        <v>0</v>
      </c>
      <c r="AG23" s="1951">
        <f>(MIN(C46,F46)*time_tot+ABS(F46-C46)*IF(F46&gt;C46,time2+time*(VLOOKUP(G46,List!$E$35:$F$37,2,)),time*(1-(VLOOKUP(G46,List!$E$35:$F$37,2,)))))*W21*methane/1000</f>
        <v>0</v>
      </c>
      <c r="AH23" s="1951">
        <f>(MIN(C46,D46)*time_tot+ABS(D46-C46)*IF(D46&gt;C46,time2+time*(VLOOKUP(E46,List!$E$35:$F$37,2,)),time*(1-(VLOOKUP(E46,List!$E$35:$F$37,2,)))))*X21*Nitrous/1000</f>
        <v>0</v>
      </c>
      <c r="AI23" s="1951">
        <f>(MIN(C46,F46)*time_tot+ABS(F46-C46)*IF(F46&gt;C46,time2+time*(VLOOKUP(G46,List!$E$35:$F$37,2,)),time*(1-(VLOOKUP(G46,List!$E$35:$F$37,2,)))))*X21*Nitrous/1000</f>
        <v>0</v>
      </c>
      <c r="AJ23" s="1951"/>
      <c r="AK23" s="1964">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64">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64">
        <f>(MIN(C46,D46)*time+ABS(D46-C46)*IF(D46&gt;C46,time*(VLOOKUP(E46,List!$E$35:$F$37,2,)),time*(1-(VLOOKUP(E46,List!$E$35:$F$37,2,)))))*W21*methane/1000</f>
        <v>0</v>
      </c>
      <c r="AN23" s="1964">
        <f>(MIN(C46,F46)*time+ABS(F46-C46)*IF(F46&gt;C46,time*(VLOOKUP(G46,List!$E$35:$F$37,2,)),time*(1-(VLOOKUP(G46,List!$E$35:$F$37,2,)))))*W21*methane/1000</f>
        <v>0</v>
      </c>
      <c r="AO23" s="1964">
        <f>(MIN(C46,D46)*time+ABS(D46-C46)*IF(D46&gt;C46,time*(VLOOKUP(E46,List!$E$35:$F$37,2,)),time*(1-(VLOOKUP(E46,List!$E$35:$F$37,2,)))))*X21*Nitrous/1000</f>
        <v>0</v>
      </c>
      <c r="AP23" s="1964">
        <f>(MIN(C46,F46)*time+ABS(F46-C46)*IF(F46&gt;C46,time*(VLOOKUP(G46,List!$E$35:$F$37,2,)),time*(1-(VLOOKUP(G46,List!$E$35:$F$37,2,)))))*X21*Nitrous/1000</f>
        <v>0</v>
      </c>
      <c r="AQ23" s="1965" t="s">
        <v>338</v>
      </c>
      <c r="AR23" s="1965">
        <f>SUM(AH11:AH24)</f>
        <v>0</v>
      </c>
      <c r="AS23" s="1951">
        <f>SUM(AI11:AI24)</f>
        <v>0</v>
      </c>
      <c r="AT23" s="1951"/>
      <c r="AU23" s="1951"/>
      <c r="AV23" s="1951"/>
      <c r="AW23" s="1951"/>
      <c r="AX23" s="1951"/>
    </row>
    <row r="24" spans="2:52">
      <c r="G24" s="200" t="s">
        <v>610</v>
      </c>
      <c r="H24" s="200"/>
      <c r="I24" s="200" t="s">
        <v>611</v>
      </c>
      <c r="J24" s="200"/>
      <c r="P24" s="572" t="s">
        <v>1288</v>
      </c>
      <c r="X24" s="1"/>
      <c r="Y24" s="9"/>
      <c r="AD24" s="1951"/>
      <c r="AE24" s="1951"/>
      <c r="AF24" s="1951">
        <f>(MIN(C47,D47)*time_tot+ABS(D47-C47)*IF(D47&gt;C47,time2+time*(VLOOKUP(E47,List!$E$35:$F$37,2,)),time*(1-(VLOOKUP(E47,List!$E$35:$F$37,2,)))))*W22*methane/1000</f>
        <v>0</v>
      </c>
      <c r="AG24" s="1951">
        <f>(MIN(C47,F47)*time_tot+ABS(F47-C47)*IF(F47&gt;C47,time2+time*(VLOOKUP(G47,List!$E$35:$F$37,2,)),time*(1-(VLOOKUP(G47,List!$E$35:$F$37,2,)))))*W22*methane/1000</f>
        <v>0</v>
      </c>
      <c r="AH24" s="1951">
        <f>(MIN(C47,D47)*time_tot+ABS(D47-C47)*IF(D47&gt;C47,time2+time*(VLOOKUP(E47,List!$E$35:$F$37,2,)),time*(1-(VLOOKUP(E47,List!$E$35:$F$37,2,)))))*X22*Nitrous/1000</f>
        <v>0</v>
      </c>
      <c r="AI24" s="1951">
        <f>(MIN(C47,F47)*time_tot+ABS(F47-C47)*IF(F47&gt;C47,time2+time*(VLOOKUP(G47,List!$E$35:$F$37,2,)),time*(1-(VLOOKUP(G47,List!$E$35:$F$37,2,)))))*X22*Nitrous/1000</f>
        <v>0</v>
      </c>
      <c r="AJ24" s="1951"/>
      <c r="AK24" s="1964">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64">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64">
        <f>(MIN(C47,D47)*time+ABS(D47-C47)*IF(D47&gt;C47,time*(VLOOKUP(E47,List!$E$35:$F$37,2,)),time*(1-(VLOOKUP(E47,List!$E$35:$F$37,2,)))))*W22*methane/1000</f>
        <v>0</v>
      </c>
      <c r="AN24" s="1964">
        <f>(MIN(C47,F47)*time+ABS(F47-C47)*IF(F47&gt;C47,time*(VLOOKUP(G47,List!$E$35:$F$37,2,)),time*(1-(VLOOKUP(G47,List!$E$35:$F$37,2,)))))*W22*methane/1000</f>
        <v>0</v>
      </c>
      <c r="AO24" s="1964">
        <f>(MIN(C47,D47)*time+ABS(D47-C47)*IF(D47&gt;C47,time*(VLOOKUP(E47,List!$E$35:$F$37,2,)),time*(1-(VLOOKUP(E47,List!$E$35:$F$37,2,)))))*X22*Nitrous/1000</f>
        <v>0</v>
      </c>
      <c r="AP24" s="1964">
        <f>(MIN(C47,F47)*time+ABS(F47-C47)*IF(F47&gt;C47,time*(VLOOKUP(G47,List!$E$35:$F$37,2,)),time*(1-(VLOOKUP(G47,List!$E$35:$F$37,2,)))))*X22*Nitrous/1000</f>
        <v>0</v>
      </c>
      <c r="AQ24" s="1951" t="s">
        <v>4680</v>
      </c>
      <c r="AR24" s="1965">
        <f>SUM(AR20:AR23)</f>
        <v>0</v>
      </c>
      <c r="AS24" s="1965">
        <f>SUM(AS20:AS23)</f>
        <v>0</v>
      </c>
      <c r="AT24" s="1951"/>
      <c r="AU24" s="1951"/>
      <c r="AV24" s="1951"/>
      <c r="AW24" s="1951"/>
      <c r="AX24" s="1951"/>
    </row>
    <row r="25" spans="2:52">
      <c r="G25" s="200" t="s">
        <v>612</v>
      </c>
      <c r="H25" s="200"/>
      <c r="I25" s="200" t="s">
        <v>613</v>
      </c>
      <c r="J25" s="200"/>
      <c r="AD25" s="1951"/>
      <c r="AE25" s="1951"/>
      <c r="AF25" s="1951"/>
      <c r="AG25" s="1951"/>
      <c r="AH25" s="1951"/>
      <c r="AI25" s="1951"/>
      <c r="AJ25" s="1951"/>
      <c r="AK25" s="1951"/>
      <c r="AL25" s="1951"/>
      <c r="AM25" s="1951"/>
      <c r="AN25" s="1951"/>
      <c r="AO25" s="1951"/>
      <c r="AP25" s="1951"/>
      <c r="AQ25" s="1951"/>
      <c r="AR25" s="1951"/>
      <c r="AS25" s="1951"/>
      <c r="AT25" s="1951"/>
      <c r="AU25" s="1951"/>
      <c r="AV25" s="1951"/>
      <c r="AW25" s="1951"/>
      <c r="AX25" s="1951"/>
    </row>
    <row r="26" spans="2:52">
      <c r="G26" s="200" t="s">
        <v>604</v>
      </c>
      <c r="H26" s="200"/>
      <c r="I26" s="200" t="s">
        <v>695</v>
      </c>
      <c r="J26" s="200"/>
      <c r="AD26" s="1951"/>
      <c r="AE26" s="1951"/>
      <c r="AF26" s="1951"/>
      <c r="AG26" s="1951"/>
      <c r="AH26" s="1951"/>
      <c r="AI26" s="1951"/>
      <c r="AJ26" s="1951"/>
      <c r="AK26" s="1951"/>
      <c r="AL26" s="1951"/>
      <c r="AM26" s="1951"/>
      <c r="AN26" s="1951"/>
      <c r="AO26" s="1951"/>
      <c r="AP26" s="1951"/>
      <c r="AQ26" s="1951"/>
      <c r="AR26" s="1951"/>
      <c r="AS26" s="1951"/>
      <c r="AT26" s="1951"/>
      <c r="AU26" s="1951"/>
      <c r="AV26" s="1951"/>
      <c r="AW26" s="1951"/>
      <c r="AX26" s="1951"/>
    </row>
    <row r="27" spans="2:52">
      <c r="G27" s="200" t="s">
        <v>614</v>
      </c>
      <c r="H27" s="200"/>
      <c r="I27" s="200" t="s">
        <v>615</v>
      </c>
      <c r="J27" s="200"/>
      <c r="AD27" s="1951"/>
      <c r="AE27" s="1951"/>
      <c r="AF27" s="1951"/>
      <c r="AG27" s="1951"/>
      <c r="AH27" s="1951"/>
      <c r="AI27" s="1951"/>
      <c r="AJ27" s="1951"/>
      <c r="AK27" s="1951"/>
      <c r="AL27" s="1951"/>
      <c r="AM27" s="1951"/>
      <c r="AN27" s="1951"/>
      <c r="AO27" s="1951"/>
      <c r="AP27" s="1951"/>
      <c r="AQ27" s="1951"/>
      <c r="AR27" s="1951"/>
      <c r="AS27" s="1951"/>
      <c r="AT27" s="1951"/>
      <c r="AU27" s="1951"/>
      <c r="AV27" s="1951"/>
      <c r="AW27" s="1951"/>
      <c r="AX27" s="1951"/>
    </row>
    <row r="28" spans="2:52">
      <c r="G28" s="200" t="s">
        <v>602</v>
      </c>
      <c r="H28" s="200"/>
      <c r="I28" s="200" t="s">
        <v>616</v>
      </c>
      <c r="J28" s="200"/>
      <c r="AD28" s="1951"/>
      <c r="AE28" s="1951"/>
      <c r="AF28" s="1951"/>
      <c r="AG28" s="1951"/>
      <c r="AH28" s="1951"/>
      <c r="AI28" s="1951"/>
      <c r="AJ28" s="1951"/>
      <c r="AK28" s="1951"/>
      <c r="AL28" s="1951"/>
      <c r="AM28" s="1951"/>
      <c r="AN28" s="1951"/>
      <c r="AO28" s="1951"/>
      <c r="AP28" s="1951"/>
      <c r="AQ28" s="1951"/>
      <c r="AR28" s="1951"/>
      <c r="AS28" s="1951"/>
      <c r="AT28" s="1951"/>
      <c r="AU28" s="1951"/>
      <c r="AV28" s="1951"/>
      <c r="AW28" s="1951"/>
      <c r="AX28" s="1951"/>
    </row>
    <row r="29" spans="2:52">
      <c r="AD29" s="1951"/>
      <c r="AE29" s="1951"/>
      <c r="AF29" s="1951"/>
      <c r="AG29" s="1951"/>
      <c r="AH29" s="1951"/>
      <c r="AI29" s="1951"/>
      <c r="AJ29" s="1951"/>
      <c r="AK29" s="1951"/>
      <c r="AL29" s="1951"/>
      <c r="AM29" s="1951"/>
      <c r="AN29" s="1951"/>
      <c r="AO29" s="1951"/>
      <c r="AP29" s="1951"/>
      <c r="AQ29" s="1951"/>
      <c r="AR29" s="1951"/>
      <c r="AS29" s="1951"/>
      <c r="AT29" s="1951"/>
      <c r="AU29" s="1951"/>
      <c r="AV29" s="1951"/>
      <c r="AW29" s="1951"/>
      <c r="AX29" s="1951"/>
    </row>
    <row r="30" spans="2:52">
      <c r="B30" s="50" t="s">
        <v>618</v>
      </c>
      <c r="C30" s="53"/>
      <c r="D30" s="52"/>
      <c r="E30" s="52"/>
      <c r="F30" s="53"/>
      <c r="G30" s="54"/>
      <c r="H30" s="51"/>
      <c r="I30" s="54"/>
      <c r="J30" s="54"/>
      <c r="K30" s="54"/>
      <c r="L30" s="54"/>
      <c r="M30" s="54"/>
      <c r="N30" s="54"/>
      <c r="P30" s="2087" t="s">
        <v>1513</v>
      </c>
      <c r="Q30" s="2083"/>
      <c r="R30" s="2089"/>
      <c r="AF30" s="1953" t="s">
        <v>1587</v>
      </c>
      <c r="AG30" s="1951"/>
      <c r="AH30" s="1951"/>
      <c r="AI30" s="1951"/>
      <c r="AJ30" s="1951"/>
      <c r="AK30" s="1951"/>
      <c r="AL30" s="1953" t="s">
        <v>1588</v>
      </c>
      <c r="AM30" s="2455"/>
      <c r="AN30" s="1951"/>
      <c r="AO30" s="1951"/>
      <c r="AP30" s="1951"/>
      <c r="AQ30" s="1951"/>
      <c r="AR30" s="1953" t="s">
        <v>1589</v>
      </c>
      <c r="AS30" s="1951"/>
      <c r="AT30" s="1951"/>
      <c r="AU30" s="1951"/>
      <c r="AV30" s="1951"/>
      <c r="AW30" s="1951"/>
      <c r="AX30" s="1951"/>
      <c r="AY30" s="1951"/>
      <c r="AZ30" s="1951"/>
    </row>
    <row r="31" spans="2:52">
      <c r="B31" s="150" t="s">
        <v>1069</v>
      </c>
      <c r="C31" s="270" t="s">
        <v>619</v>
      </c>
      <c r="D31" s="135"/>
      <c r="E31" s="178"/>
      <c r="F31" s="178"/>
      <c r="G31" s="178"/>
      <c r="H31" s="133" t="s">
        <v>218</v>
      </c>
      <c r="I31" s="28"/>
      <c r="J31" s="150" t="s">
        <v>678</v>
      </c>
      <c r="K31" s="135"/>
      <c r="L31" s="3088" t="s">
        <v>687</v>
      </c>
      <c r="M31" s="3090"/>
      <c r="N31" s="20" t="s">
        <v>348</v>
      </c>
      <c r="P31" s="2082" t="s">
        <v>1514</v>
      </c>
      <c r="Q31" s="2079"/>
      <c r="R31" s="2085"/>
      <c r="AF31" s="1951" t="s">
        <v>1590</v>
      </c>
      <c r="AG31" s="1951"/>
      <c r="AH31" s="1951"/>
      <c r="AI31" s="1951"/>
      <c r="AJ31" s="1951"/>
      <c r="AK31" s="1951"/>
      <c r="AL31" s="1951" t="str">
        <f>AF31</f>
        <v>Surface under management option</v>
      </c>
      <c r="AM31" s="1951"/>
      <c r="AN31" s="1951"/>
      <c r="AO31" s="1951"/>
      <c r="AP31" s="1951"/>
      <c r="AQ31" s="1951"/>
      <c r="AR31" s="1951" t="str">
        <f>AL31</f>
        <v>Surface under management option</v>
      </c>
      <c r="AS31" s="1951"/>
      <c r="AT31" s="1951"/>
      <c r="AU31" s="1951"/>
      <c r="AV31" s="1951"/>
      <c r="AW31" s="1951"/>
      <c r="AX31" s="1951"/>
      <c r="AY31" s="1951"/>
      <c r="AZ31" s="1951"/>
    </row>
    <row r="32" spans="2:52">
      <c r="B32" s="113" t="s">
        <v>667</v>
      </c>
      <c r="C32" s="259" t="s">
        <v>1291</v>
      </c>
      <c r="D32" s="261" t="s">
        <v>692</v>
      </c>
      <c r="E32" s="201"/>
      <c r="F32" s="202" t="s">
        <v>688</v>
      </c>
      <c r="G32" s="202"/>
      <c r="H32" s="249" t="s">
        <v>690</v>
      </c>
      <c r="I32" s="250" t="s">
        <v>691</v>
      </c>
      <c r="J32" s="1502" t="s">
        <v>690</v>
      </c>
      <c r="K32" s="1503" t="s">
        <v>691</v>
      </c>
      <c r="L32" s="1504" t="s">
        <v>690</v>
      </c>
      <c r="M32" s="1505" t="s">
        <v>691</v>
      </c>
      <c r="N32" s="171"/>
      <c r="P32" s="2086" t="s">
        <v>690</v>
      </c>
      <c r="Q32" s="2088" t="s">
        <v>691</v>
      </c>
      <c r="R32" s="2081" t="s">
        <v>348</v>
      </c>
      <c r="AF32" s="1951" t="s">
        <v>980</v>
      </c>
      <c r="AG32" s="1951" t="s">
        <v>605</v>
      </c>
      <c r="AH32" s="1951" t="s">
        <v>1285</v>
      </c>
      <c r="AI32" s="1951" t="s">
        <v>607</v>
      </c>
      <c r="AJ32" s="1951" t="s">
        <v>608</v>
      </c>
      <c r="AK32" s="1951" t="s">
        <v>679</v>
      </c>
      <c r="AL32" s="1951" t="str">
        <f>AF32</f>
        <v>Improved agro-</v>
      </c>
      <c r="AM32" s="1951" t="str">
        <f t="shared" ref="AM32:AQ33" si="5">AG32</f>
        <v>Nutrient</v>
      </c>
      <c r="AN32" s="1951" t="str">
        <f t="shared" si="5"/>
        <v>NoTillage/residues</v>
      </c>
      <c r="AO32" s="1951" t="str">
        <f t="shared" si="5"/>
        <v xml:space="preserve">Water </v>
      </c>
      <c r="AP32" s="1951" t="str">
        <f t="shared" si="5"/>
        <v>Manure</v>
      </c>
      <c r="AQ32" s="1951" t="str">
        <f t="shared" si="5"/>
        <v>Residue/Biomass</v>
      </c>
      <c r="AR32" s="1951" t="str">
        <f>AL32</f>
        <v>Improved agro-</v>
      </c>
      <c r="AS32" s="1951" t="str">
        <f t="shared" ref="AS32:AW33" si="6">AM32</f>
        <v>Nutrient</v>
      </c>
      <c r="AT32" s="1951" t="str">
        <f t="shared" si="6"/>
        <v>NoTillage/residues</v>
      </c>
      <c r="AU32" s="1951" t="str">
        <f t="shared" si="6"/>
        <v xml:space="preserve">Water </v>
      </c>
      <c r="AV32" s="1951" t="str">
        <f t="shared" si="6"/>
        <v>Manure</v>
      </c>
      <c r="AW32" s="1951" t="str">
        <f t="shared" si="6"/>
        <v>Residue/Biomass</v>
      </c>
      <c r="AX32" s="1951"/>
      <c r="AY32" s="1951" t="s">
        <v>1591</v>
      </c>
      <c r="AZ32" s="1951"/>
    </row>
    <row r="33" spans="2:52">
      <c r="B33" s="113"/>
      <c r="C33" s="907" t="s">
        <v>352</v>
      </c>
      <c r="D33" s="151" t="s">
        <v>346</v>
      </c>
      <c r="E33" s="1559" t="s">
        <v>353</v>
      </c>
      <c r="F33" s="224" t="s">
        <v>346</v>
      </c>
      <c r="G33" s="401" t="s">
        <v>353</v>
      </c>
      <c r="H33" s="146" t="s">
        <v>556</v>
      </c>
      <c r="I33" s="149" t="s">
        <v>556</v>
      </c>
      <c r="J33" s="1504" t="s">
        <v>556</v>
      </c>
      <c r="K33" s="1505" t="s">
        <v>556</v>
      </c>
      <c r="L33" s="1504" t="s">
        <v>556</v>
      </c>
      <c r="M33" s="1505" t="s">
        <v>556</v>
      </c>
      <c r="N33" s="917" t="s">
        <v>556</v>
      </c>
      <c r="P33" s="2090" t="s">
        <v>1461</v>
      </c>
      <c r="Q33" s="2091" t="s">
        <v>1461</v>
      </c>
      <c r="R33" s="2080"/>
      <c r="AF33" s="1951" t="s">
        <v>981</v>
      </c>
      <c r="AG33" s="2455" t="s">
        <v>606</v>
      </c>
      <c r="AH33" s="2455" t="s">
        <v>606</v>
      </c>
      <c r="AI33" s="2455" t="s">
        <v>606</v>
      </c>
      <c r="AJ33" s="2455" t="s">
        <v>609</v>
      </c>
      <c r="AK33" s="2455" t="s">
        <v>680</v>
      </c>
      <c r="AL33" s="1951" t="str">
        <f>AF33</f>
        <v>-nomic practices</v>
      </c>
      <c r="AM33" s="1951" t="str">
        <f t="shared" si="5"/>
        <v>management</v>
      </c>
      <c r="AN33" s="1951" t="str">
        <f t="shared" si="5"/>
        <v>management</v>
      </c>
      <c r="AO33" s="1951" t="str">
        <f t="shared" si="5"/>
        <v>management</v>
      </c>
      <c r="AP33" s="1951" t="str">
        <f t="shared" si="5"/>
        <v>application</v>
      </c>
      <c r="AQ33" s="1951" t="str">
        <f t="shared" si="5"/>
        <v>Burning</v>
      </c>
      <c r="AR33" s="1951" t="str">
        <f>AL33</f>
        <v>-nomic practices</v>
      </c>
      <c r="AS33" s="1951" t="str">
        <f t="shared" si="6"/>
        <v>management</v>
      </c>
      <c r="AT33" s="1951" t="str">
        <f t="shared" si="6"/>
        <v>management</v>
      </c>
      <c r="AU33" s="1951" t="str">
        <f t="shared" si="6"/>
        <v>management</v>
      </c>
      <c r="AV33" s="1951" t="str">
        <f t="shared" si="6"/>
        <v>application</v>
      </c>
      <c r="AW33" s="1951" t="str">
        <f t="shared" si="6"/>
        <v>Burning</v>
      </c>
      <c r="AX33" s="1951"/>
      <c r="AY33" s="1951" t="s">
        <v>56</v>
      </c>
      <c r="AZ33" s="1951" t="s">
        <v>691</v>
      </c>
    </row>
    <row r="34" spans="2:52">
      <c r="B34" s="412" t="s">
        <v>1124</v>
      </c>
      <c r="C34" s="908">
        <v>0</v>
      </c>
      <c r="D34" s="402">
        <f>Matrix!X19</f>
        <v>0</v>
      </c>
      <c r="E34" s="1560" t="s">
        <v>356</v>
      </c>
      <c r="F34" s="402">
        <f>Matrix!F27</f>
        <v>0</v>
      </c>
      <c r="G34" s="1560" t="s">
        <v>356</v>
      </c>
      <c r="H34" s="1485">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87">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86">
        <f>(MIN(C34,D34)*time_tot+ABS(D34-C34)*IF(D34&gt;C34,time2+time*(VLOOKUP(E34,List!$E$35:$F$37,2,)),time*(1-(VLOOKUP(E34,List!$E$35:$F$37,2,)))))*Y9</f>
        <v>0</v>
      </c>
      <c r="K34" s="1487">
        <f>(MIN(C34,F34)*time_tot+ABS(F34-C34)*IF(F34&gt;C34,time2+time*(VLOOKUP(G34,List!$E$35:$F$37,2,)),time*(1-(VLOOKUP(G34,List!$E$35:$F$37,2,)))))*Y9</f>
        <v>0</v>
      </c>
      <c r="L34" s="1495">
        <f t="shared" ref="L34:M38" si="7">J34+H34</f>
        <v>0</v>
      </c>
      <c r="M34" s="1494">
        <f t="shared" si="7"/>
        <v>0</v>
      </c>
      <c r="N34" s="283">
        <f>M34-L34</f>
        <v>0</v>
      </c>
      <c r="P34" s="2093">
        <f>$N9*(time*((ABS(D34-C34)*(IF(C34&lt;=D34,VLOOKUP(E34,List!$E$35:$F$37,2,),1-VLOOKUP(E34,List!$E$35:$F$37,2,))))+MIN(D34,C34))+(D34*time2))</f>
        <v>0</v>
      </c>
      <c r="Q34" s="2093">
        <f>$N9*(time*((ABS(F34-C34)*(IF(C34&lt;=F34,VLOOKUP(G34,List!$E$35:$F$37,2,),1-VLOOKUP(G34,List!$E$35:$F$37,2,))))+MIN(F34,C34))+(F34*time2))</f>
        <v>0</v>
      </c>
      <c r="R34" s="2084">
        <f>Q34-P34</f>
        <v>0</v>
      </c>
      <c r="AF34" s="1952">
        <f t="shared" ref="AF34:AK34" si="8">IF(G9="Yes",$C34,0)</f>
        <v>0</v>
      </c>
      <c r="AG34" s="1952">
        <f t="shared" si="8"/>
        <v>0</v>
      </c>
      <c r="AH34" s="1952">
        <f t="shared" si="8"/>
        <v>0</v>
      </c>
      <c r="AI34" s="1952">
        <f t="shared" si="8"/>
        <v>0</v>
      </c>
      <c r="AJ34" s="1952">
        <f t="shared" si="8"/>
        <v>0</v>
      </c>
      <c r="AK34" s="1952">
        <f t="shared" si="8"/>
        <v>0</v>
      </c>
      <c r="AL34" s="1952">
        <f t="shared" ref="AL34:AQ34" si="9">IF(G9="Yes",$D34,0)</f>
        <v>0</v>
      </c>
      <c r="AM34" s="1952">
        <f t="shared" si="9"/>
        <v>0</v>
      </c>
      <c r="AN34" s="1952">
        <f t="shared" si="9"/>
        <v>0</v>
      </c>
      <c r="AO34" s="1952">
        <f t="shared" si="9"/>
        <v>0</v>
      </c>
      <c r="AP34" s="1952">
        <f t="shared" si="9"/>
        <v>0</v>
      </c>
      <c r="AQ34" s="1952">
        <f t="shared" si="9"/>
        <v>0</v>
      </c>
      <c r="AR34" s="1952">
        <f t="shared" ref="AR34:AW34" si="10">IF(G9="Yes",$F34,0)</f>
        <v>0</v>
      </c>
      <c r="AS34" s="1952">
        <f t="shared" si="10"/>
        <v>0</v>
      </c>
      <c r="AT34" s="1952">
        <f t="shared" si="10"/>
        <v>0</v>
      </c>
      <c r="AU34" s="1952">
        <f t="shared" si="10"/>
        <v>0</v>
      </c>
      <c r="AV34" s="1952">
        <f t="shared" si="10"/>
        <v>0</v>
      </c>
      <c r="AW34" s="1952">
        <f t="shared" si="10"/>
        <v>0</v>
      </c>
      <c r="AX34" s="1952"/>
      <c r="AY34" s="1952">
        <f>IF($Y9&gt;0,J34/$Y9,0)</f>
        <v>0</v>
      </c>
      <c r="AZ34" s="1952">
        <f>IF($Y9&gt;0,K34/$Y9,0)</f>
        <v>0</v>
      </c>
    </row>
    <row r="35" spans="2:52">
      <c r="B35" s="428" t="s">
        <v>1125</v>
      </c>
      <c r="C35" s="908">
        <f>MAX(Matrix!E28,Matrix!E11)</f>
        <v>0</v>
      </c>
      <c r="D35" s="402">
        <f>MAX(Matrix!E28,Matrix!E11)-Matrix!E11</f>
        <v>0</v>
      </c>
      <c r="E35" s="1560" t="s">
        <v>356</v>
      </c>
      <c r="F35" s="402">
        <f>MAX(Matrix!E28,Matrix!E11)-Matrix!E28</f>
        <v>0</v>
      </c>
      <c r="G35" s="1560" t="s">
        <v>356</v>
      </c>
      <c r="H35" s="1485">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87">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86">
        <f>(MIN(C35,D35)*time_tot+ABS(D35-C35)*IF(D35&gt;C35,time2+time*(VLOOKUP(E35,List!$E$35:$F$37,2,)),time*(1-(VLOOKUP(E35,List!$E$35:$F$37,2,)))))*Y10</f>
        <v>0</v>
      </c>
      <c r="K35" s="1487">
        <f>(MIN(C35,F35)*time_tot+ABS(F35-C35)*IF(F35&gt;C35,time2+time*(VLOOKUP(G35,List!$E$35:$F$37,2,)),time*(1-(VLOOKUP(G35,List!$E$35:$F$37,2,)))))*Y10</f>
        <v>0</v>
      </c>
      <c r="L35" s="1495">
        <f t="shared" si="7"/>
        <v>0</v>
      </c>
      <c r="M35" s="1494">
        <f t="shared" si="7"/>
        <v>0</v>
      </c>
      <c r="N35" s="284">
        <f t="shared" ref="N35:N47" si="11">M35-L35</f>
        <v>0</v>
      </c>
      <c r="P35" s="2093">
        <f>$N10*(time*((ABS(D35-C35)*(IF(C35&lt;=D35,VLOOKUP(E35,List!$E$35:$F$37,2,),1-VLOOKUP(E35,List!$E$35:$F$37,2,))))+MIN(D35,C35))+(D35*time2))</f>
        <v>0</v>
      </c>
      <c r="Q35" s="2093">
        <f>$N10*(time*((ABS(F35-C35)*(IF(C35&lt;=F35,VLOOKUP(G35,List!$E$35:$F$37,2,),1-VLOOKUP(G35,List!$E$35:$F$37,2,))))+MIN(F35,C35))+(F35*time2))</f>
        <v>0</v>
      </c>
      <c r="R35" s="2084">
        <f t="shared" ref="R35:R47" si="12">Q35-P35</f>
        <v>0</v>
      </c>
      <c r="AF35" s="1952">
        <f t="shared" ref="AF35:AF47" si="13">IF(G10="Yes",$C35,0)</f>
        <v>0</v>
      </c>
      <c r="AG35" s="1952">
        <f t="shared" ref="AG35:AG47" si="14">IF(H10="Yes",$C35,0)</f>
        <v>0</v>
      </c>
      <c r="AH35" s="1952">
        <f t="shared" ref="AH35:AH47" si="15">IF(I10="Yes",$C35,0)</f>
        <v>0</v>
      </c>
      <c r="AI35" s="1952">
        <f t="shared" ref="AI35:AI47" si="16">IF(J10="Yes",$C35,0)</f>
        <v>0</v>
      </c>
      <c r="AJ35" s="1952">
        <f t="shared" ref="AJ35:AJ47" si="17">IF(K10="Yes",$C35,0)</f>
        <v>0</v>
      </c>
      <c r="AK35" s="1952">
        <f t="shared" ref="AK35:AK47" si="18">IF(L10="Yes",$C35,0)</f>
        <v>0</v>
      </c>
      <c r="AL35" s="1952">
        <f t="shared" ref="AL35:AL45" si="19">IF(G10="Yes",$D35,0)</f>
        <v>0</v>
      </c>
      <c r="AM35" s="1952">
        <f t="shared" ref="AM35:AM45" si="20">IF(H10="Yes",$D35,0)</f>
        <v>0</v>
      </c>
      <c r="AN35" s="1952">
        <f t="shared" ref="AN35:AN45" si="21">IF(I10="Yes",$D35,0)</f>
        <v>0</v>
      </c>
      <c r="AO35" s="1952">
        <f t="shared" ref="AO35:AO45" si="22">IF(J10="Yes",$D35,0)</f>
        <v>0</v>
      </c>
      <c r="AP35" s="1952">
        <f t="shared" ref="AP35:AP45" si="23">IF(K10="Yes",$D35,0)</f>
        <v>0</v>
      </c>
      <c r="AQ35" s="1952">
        <f t="shared" ref="AQ35:AQ45" si="24">IF(L10="Yes",$D35,0)</f>
        <v>0</v>
      </c>
      <c r="AR35" s="1952">
        <f t="shared" ref="AR35:AR45" si="25">IF(G10="Yes",$F35,0)</f>
        <v>0</v>
      </c>
      <c r="AS35" s="1952">
        <f t="shared" ref="AS35:AS45" si="26">IF(H10="Yes",$F35,0)</f>
        <v>0</v>
      </c>
      <c r="AT35" s="1952">
        <f t="shared" ref="AT35:AT45" si="27">IF(I10="Yes",$F35,0)</f>
        <v>0</v>
      </c>
      <c r="AU35" s="1952">
        <f t="shared" ref="AU35:AU45" si="28">IF(J10="Yes",$F35,0)</f>
        <v>0</v>
      </c>
      <c r="AV35" s="1952">
        <f t="shared" ref="AV35:AV45" si="29">IF(K10="Yes",$F35,0)</f>
        <v>0</v>
      </c>
      <c r="AW35" s="1952">
        <f t="shared" ref="AW35:AW45" si="30">IF(L10="Yes",$F35,0)</f>
        <v>0</v>
      </c>
      <c r="AX35" s="1952"/>
      <c r="AY35" s="1952">
        <f t="shared" ref="AY35:AY47" si="31">IF($Y10&gt;0,J35/$Y10,0)</f>
        <v>0</v>
      </c>
      <c r="AZ35" s="1952">
        <f t="shared" ref="AZ35:AZ47" si="32">IF($Y10&gt;0,K35/$Y10,0)</f>
        <v>0</v>
      </c>
    </row>
    <row r="36" spans="2:52">
      <c r="B36" s="428" t="s">
        <v>1245</v>
      </c>
      <c r="C36" s="908">
        <v>0</v>
      </c>
      <c r="D36" s="402">
        <f>Matrix!AX22+Matrix!BE22+Matrix!BL22+Matrix!BS22+Matrix!BZ22+Matrix!CG22</f>
        <v>0</v>
      </c>
      <c r="E36" s="1560" t="s">
        <v>356</v>
      </c>
      <c r="F36" s="402">
        <f>Matrix!CG38+Matrix!BZ38+Matrix!BS38+Matrix!BL38+Matrix!BE38+Matrix!AX38</f>
        <v>0</v>
      </c>
      <c r="G36" s="1560" t="s">
        <v>356</v>
      </c>
      <c r="H36" s="1496">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94">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86">
        <f>(MIN(C36,D36)*time_tot+ABS(D36-C36)*IF(D36&gt;C36,time2+time*(VLOOKUP(E36,List!$E$35:$F$37,2,)),time*(1-(VLOOKUP(E36,List!$E$35:$F$37,2,)))))*Y11</f>
        <v>0</v>
      </c>
      <c r="K36" s="1487">
        <f>(MIN(C36,F36)*time_tot+ABS(F36-C36)*IF(F36&gt;C36,time2+time*(VLOOKUP(G36,List!$E$35:$F$37,2,)),time*(1-(VLOOKUP(G36,List!$E$35:$F$37,2,)))))*Y11</f>
        <v>0</v>
      </c>
      <c r="L36" s="1495">
        <f>J36+H36</f>
        <v>0</v>
      </c>
      <c r="M36" s="1494">
        <f>K36+I36</f>
        <v>0</v>
      </c>
      <c r="N36" s="284">
        <f t="shared" si="11"/>
        <v>0</v>
      </c>
      <c r="P36" s="2093">
        <f>$N11*(time*((ABS(D36-C36)*(IF(C36&lt;=D36,VLOOKUP(E36,List!$E$35:$F$37,2,),1-VLOOKUP(E36,List!$E$35:$F$37,2,))))+MIN(D36,C36))+(D36*time2))</f>
        <v>0</v>
      </c>
      <c r="Q36" s="2093">
        <f>$N11*(time*((ABS(F36-C36)*(IF(C36&lt;=F36,VLOOKUP(G36,List!$E$35:$F$37,2,),1-VLOOKUP(G36,List!$E$35:$F$37,2,))))+MIN(F36,C36))+(F36*time2))</f>
        <v>0</v>
      </c>
      <c r="R36" s="2084">
        <f t="shared" si="12"/>
        <v>0</v>
      </c>
      <c r="AF36" s="1952">
        <f t="shared" si="13"/>
        <v>0</v>
      </c>
      <c r="AG36" s="1952">
        <f t="shared" si="14"/>
        <v>0</v>
      </c>
      <c r="AH36" s="1952">
        <f t="shared" si="15"/>
        <v>0</v>
      </c>
      <c r="AI36" s="1952">
        <f t="shared" si="16"/>
        <v>0</v>
      </c>
      <c r="AJ36" s="1952">
        <f t="shared" si="17"/>
        <v>0</v>
      </c>
      <c r="AK36" s="1952">
        <f t="shared" si="18"/>
        <v>0</v>
      </c>
      <c r="AL36" s="1952">
        <f t="shared" si="19"/>
        <v>0</v>
      </c>
      <c r="AM36" s="1952">
        <f t="shared" si="20"/>
        <v>0</v>
      </c>
      <c r="AN36" s="1952">
        <f t="shared" si="21"/>
        <v>0</v>
      </c>
      <c r="AO36" s="1952">
        <f t="shared" si="22"/>
        <v>0</v>
      </c>
      <c r="AP36" s="1952">
        <f t="shared" si="23"/>
        <v>0</v>
      </c>
      <c r="AQ36" s="1952">
        <f t="shared" si="24"/>
        <v>0</v>
      </c>
      <c r="AR36" s="1952">
        <f t="shared" si="25"/>
        <v>0</v>
      </c>
      <c r="AS36" s="1952">
        <f t="shared" si="26"/>
        <v>0</v>
      </c>
      <c r="AT36" s="1952">
        <f t="shared" si="27"/>
        <v>0</v>
      </c>
      <c r="AU36" s="1952">
        <f t="shared" si="28"/>
        <v>0</v>
      </c>
      <c r="AV36" s="1952">
        <f t="shared" si="29"/>
        <v>0</v>
      </c>
      <c r="AW36" s="1952">
        <f t="shared" si="30"/>
        <v>0</v>
      </c>
      <c r="AX36" s="1952"/>
      <c r="AY36" s="1952">
        <f t="shared" si="31"/>
        <v>0</v>
      </c>
      <c r="AZ36" s="1952">
        <f t="shared" si="32"/>
        <v>0</v>
      </c>
    </row>
    <row r="37" spans="2:52">
      <c r="B37" s="296" t="s">
        <v>1246</v>
      </c>
      <c r="C37" s="204">
        <f>MAX(SUM(Matrix!AQ22:AV22),SUM(Matrix!AQ38:AV38))</f>
        <v>0</v>
      </c>
      <c r="D37" s="429">
        <f>MAX(SUM(Matrix!AQ22:AV22),SUM(Matrix!AQ38:AV38))-SUM(Matrix!AQ22:AV22)</f>
        <v>0</v>
      </c>
      <c r="E37" s="1560" t="s">
        <v>356</v>
      </c>
      <c r="F37" s="429">
        <f>MAX(SUM(Matrix!AQ22:AV22),SUM(Matrix!AQ38:AV38))-SUM(Matrix!AQ38:AV38)</f>
        <v>0</v>
      </c>
      <c r="G37" s="1560" t="s">
        <v>356</v>
      </c>
      <c r="H37" s="1490">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91">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86">
        <f>(MIN(C37,D37)*time_tot+ABS(D37-C37)*IF(D37&gt;C37,time2+time*(VLOOKUP(E37,List!$E$35:$F$37,2,)),time*(1-(VLOOKUP(E37,List!$E$35:$F$37,2,)))))*Y12</f>
        <v>0</v>
      </c>
      <c r="K37" s="1487">
        <f>(MIN(C37,F37)*time_tot+ABS(F37-C37)*IF(F37&gt;C37,time2+time*(VLOOKUP(G37,List!$E$35:$F$37,2,)),time*(1-(VLOOKUP(G37,List!$E$35:$F$37,2,)))))*Y12</f>
        <v>0</v>
      </c>
      <c r="L37" s="1495">
        <f>J37+H37</f>
        <v>0</v>
      </c>
      <c r="M37" s="1494">
        <f>K37+I37</f>
        <v>0</v>
      </c>
      <c r="N37" s="284">
        <f t="shared" si="11"/>
        <v>0</v>
      </c>
      <c r="P37" s="2093">
        <f>$N12*(time*((ABS(D37-C37)*(IF(C37&lt;=D37,VLOOKUP(E37,List!$E$35:$F$37,2,),1-VLOOKUP(E37,List!$E$35:$F$37,2,))))+MIN(D37,C37))+(D37*time2))</f>
        <v>0</v>
      </c>
      <c r="Q37" s="2093">
        <f>$N12*(time*((ABS(F37-C37)*(IF(C37&lt;=F37,VLOOKUP(G37,List!$E$35:$F$37,2,),1-VLOOKUP(G37,List!$E$35:$F$37,2,))))+MIN(F37,C37))+(F37*time2))</f>
        <v>0</v>
      </c>
      <c r="R37" s="2084">
        <f t="shared" si="12"/>
        <v>0</v>
      </c>
      <c r="AF37" s="1952">
        <f t="shared" si="13"/>
        <v>0</v>
      </c>
      <c r="AG37" s="1952">
        <f t="shared" si="14"/>
        <v>0</v>
      </c>
      <c r="AH37" s="1952">
        <f t="shared" si="15"/>
        <v>0</v>
      </c>
      <c r="AI37" s="1952">
        <f t="shared" si="16"/>
        <v>0</v>
      </c>
      <c r="AJ37" s="1952">
        <f t="shared" si="17"/>
        <v>0</v>
      </c>
      <c r="AK37" s="1952">
        <f t="shared" si="18"/>
        <v>0</v>
      </c>
      <c r="AL37" s="1952">
        <f t="shared" si="19"/>
        <v>0</v>
      </c>
      <c r="AM37" s="1952">
        <f t="shared" si="20"/>
        <v>0</v>
      </c>
      <c r="AN37" s="1952">
        <f t="shared" si="21"/>
        <v>0</v>
      </c>
      <c r="AO37" s="1952">
        <f t="shared" si="22"/>
        <v>0</v>
      </c>
      <c r="AP37" s="1952">
        <f t="shared" si="23"/>
        <v>0</v>
      </c>
      <c r="AQ37" s="1952">
        <f t="shared" si="24"/>
        <v>0</v>
      </c>
      <c r="AR37" s="1952">
        <f t="shared" si="25"/>
        <v>0</v>
      </c>
      <c r="AS37" s="1952">
        <f t="shared" si="26"/>
        <v>0</v>
      </c>
      <c r="AT37" s="1952">
        <f t="shared" si="27"/>
        <v>0</v>
      </c>
      <c r="AU37" s="1952">
        <f t="shared" si="28"/>
        <v>0</v>
      </c>
      <c r="AV37" s="1952">
        <f t="shared" si="29"/>
        <v>0</v>
      </c>
      <c r="AW37" s="1952">
        <f t="shared" si="30"/>
        <v>0</v>
      </c>
      <c r="AX37" s="1952"/>
      <c r="AY37" s="1952">
        <f t="shared" si="31"/>
        <v>0</v>
      </c>
      <c r="AZ37" s="1952">
        <f t="shared" si="32"/>
        <v>0</v>
      </c>
    </row>
    <row r="38" spans="2:52">
      <c r="B38" s="153" t="str">
        <f>B13</f>
        <v>Annual System1</v>
      </c>
      <c r="C38" s="1861">
        <f>'3.Cropland'!O22</f>
        <v>0</v>
      </c>
      <c r="D38" s="1861">
        <f>'3.Cropland'!P22</f>
        <v>0</v>
      </c>
      <c r="E38" s="2236" t="str">
        <f>VLOOKUP('3.Cropland'!Q22,List!$D$35:$E$37,2,)</f>
        <v>Linear</v>
      </c>
      <c r="F38" s="1863">
        <f>'3.Cropland'!R22</f>
        <v>0</v>
      </c>
      <c r="G38" s="2237" t="str">
        <f>VLOOKUP('3.Cropland'!T22,List!$D$35:$E$37,2,)</f>
        <v>Linear</v>
      </c>
      <c r="H38" s="1488">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89">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86">
        <f>(MIN(C38,D38)*time_tot+ABS(D38-C38)*IF(D38&gt;C38,time2+time*(VLOOKUP(E38,List!$E$35:$F$37,2,)),time*(1-(VLOOKUP(E38,List!$E$35:$F$37,2,)))))*Y13</f>
        <v>0</v>
      </c>
      <c r="K38" s="1487">
        <f>(MIN(C38,F38)*time_tot+ABS(F38-C38)*IF(F38&gt;C38,time2+time*(VLOOKUP(G38,List!$E$35:$F$37,2,)),time*(1-(VLOOKUP(G38,List!$E$35:$F$37,2,)))))*Y13</f>
        <v>0</v>
      </c>
      <c r="L38" s="1492">
        <f t="shared" si="7"/>
        <v>0</v>
      </c>
      <c r="M38" s="1489">
        <f t="shared" si="7"/>
        <v>0</v>
      </c>
      <c r="N38" s="284">
        <f t="shared" si="11"/>
        <v>0</v>
      </c>
      <c r="P38" s="2093">
        <f>$N13*(time*((ABS(D38-C38)*(IF(C38&lt;=D38,VLOOKUP(E38,List!$E$35:$F$37,2,),1-VLOOKUP(E38,List!$E$35:$F$37,2,))))+MIN(D38,C38))+(D38*time2))</f>
        <v>0</v>
      </c>
      <c r="Q38" s="2093">
        <f>$N13*(time*((ABS(F38-C38)*(IF(C38&lt;=F38,VLOOKUP(G38,List!$E$35:$F$37,2,),1-VLOOKUP(G38,List!$E$35:$F$37,2,))))+MIN(F38,C38))+(F38*time2))</f>
        <v>0</v>
      </c>
      <c r="R38" s="2084">
        <f t="shared" si="12"/>
        <v>0</v>
      </c>
      <c r="AF38" s="1952">
        <f t="shared" si="13"/>
        <v>0</v>
      </c>
      <c r="AG38" s="1952">
        <f t="shared" si="14"/>
        <v>0</v>
      </c>
      <c r="AH38" s="1952">
        <f t="shared" si="15"/>
        <v>0</v>
      </c>
      <c r="AI38" s="1952">
        <f t="shared" si="16"/>
        <v>0</v>
      </c>
      <c r="AJ38" s="1952">
        <f t="shared" si="17"/>
        <v>0</v>
      </c>
      <c r="AK38" s="1952">
        <f t="shared" si="18"/>
        <v>0</v>
      </c>
      <c r="AL38" s="1952">
        <f t="shared" si="19"/>
        <v>0</v>
      </c>
      <c r="AM38" s="1952">
        <f t="shared" si="20"/>
        <v>0</v>
      </c>
      <c r="AN38" s="1952">
        <f t="shared" si="21"/>
        <v>0</v>
      </c>
      <c r="AO38" s="1952">
        <f t="shared" si="22"/>
        <v>0</v>
      </c>
      <c r="AP38" s="1952">
        <f t="shared" si="23"/>
        <v>0</v>
      </c>
      <c r="AQ38" s="1952">
        <f t="shared" si="24"/>
        <v>0</v>
      </c>
      <c r="AR38" s="1952">
        <f t="shared" si="25"/>
        <v>0</v>
      </c>
      <c r="AS38" s="1952">
        <f t="shared" si="26"/>
        <v>0</v>
      </c>
      <c r="AT38" s="1952">
        <f t="shared" si="27"/>
        <v>0</v>
      </c>
      <c r="AU38" s="1952">
        <f t="shared" si="28"/>
        <v>0</v>
      </c>
      <c r="AV38" s="1952">
        <f t="shared" si="29"/>
        <v>0</v>
      </c>
      <c r="AW38" s="1952">
        <f t="shared" si="30"/>
        <v>0</v>
      </c>
      <c r="AX38" s="1952"/>
      <c r="AY38" s="1952">
        <f t="shared" si="31"/>
        <v>0</v>
      </c>
      <c r="AZ38" s="1952">
        <f t="shared" si="32"/>
        <v>0</v>
      </c>
    </row>
    <row r="39" spans="2:52">
      <c r="B39" s="153" t="str">
        <f>B14</f>
        <v>Annual System2</v>
      </c>
      <c r="C39" s="1861">
        <f>'3.Cropland'!O23</f>
        <v>0</v>
      </c>
      <c r="D39" s="1861">
        <f>'3.Cropland'!P23</f>
        <v>0</v>
      </c>
      <c r="E39" s="2236" t="str">
        <f>VLOOKUP('3.Cropland'!Q23,List!$D$35:$E$37,2,)</f>
        <v>Linear</v>
      </c>
      <c r="F39" s="1863">
        <f>'3.Cropland'!R23</f>
        <v>0</v>
      </c>
      <c r="G39" s="2237" t="str">
        <f>VLOOKUP('3.Cropland'!T23,List!$D$35:$E$37,2,)</f>
        <v>Linear</v>
      </c>
      <c r="H39" s="1488">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89">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92">
        <f>(MIN(C39,D39)*time_tot+ABS(D39-C39)*IF(D39&gt;C39,time2+time*(VLOOKUP(E39,List!$E$35:$F$37,2,)),time*(1-(VLOOKUP(E39,List!$E$35:$F$37,2,)))))*Y14</f>
        <v>0</v>
      </c>
      <c r="K39" s="1489">
        <f>(MIN(C39,F39)*time_tot+ABS(F39-C39)*IF(F39&gt;C39,time2+time*(VLOOKUP(G39,List!$E$35:$F$37,2,)),time*(1-(VLOOKUP(G39,List!$E$35:$F$37,2,)))))*Y14</f>
        <v>0</v>
      </c>
      <c r="L39" s="1492">
        <f t="shared" ref="L39:L47" si="33">J39+H39</f>
        <v>0</v>
      </c>
      <c r="M39" s="1489">
        <f t="shared" ref="M39:M47" si="34">K39+I39</f>
        <v>0</v>
      </c>
      <c r="N39" s="284">
        <f t="shared" si="11"/>
        <v>0</v>
      </c>
      <c r="P39" s="2093">
        <f>$N14*(time*((ABS(D39-C39)*(IF(C39&lt;=D39,VLOOKUP(E39,List!$E$35:$F$37,2,),1-VLOOKUP(E39,List!$E$35:$F$37,2,))))+MIN(D39,C39))+(D39*time2))</f>
        <v>0</v>
      </c>
      <c r="Q39" s="2093">
        <f>$N14*(time*((ABS(F39-C39)*(IF(C39&lt;=F39,VLOOKUP(G39,List!$E$35:$F$37,2,),1-VLOOKUP(G39,List!$E$35:$F$37,2,))))+MIN(F39,C39))+(F39*time2))</f>
        <v>0</v>
      </c>
      <c r="R39" s="2084">
        <f t="shared" si="12"/>
        <v>0</v>
      </c>
      <c r="AF39" s="1952">
        <f t="shared" si="13"/>
        <v>0</v>
      </c>
      <c r="AG39" s="1952">
        <f t="shared" si="14"/>
        <v>0</v>
      </c>
      <c r="AH39" s="1952">
        <f t="shared" si="15"/>
        <v>0</v>
      </c>
      <c r="AI39" s="1952">
        <f t="shared" si="16"/>
        <v>0</v>
      </c>
      <c r="AJ39" s="1952">
        <f t="shared" si="17"/>
        <v>0</v>
      </c>
      <c r="AK39" s="1952">
        <f t="shared" si="18"/>
        <v>0</v>
      </c>
      <c r="AL39" s="1952">
        <f t="shared" si="19"/>
        <v>0</v>
      </c>
      <c r="AM39" s="1952">
        <f t="shared" si="20"/>
        <v>0</v>
      </c>
      <c r="AN39" s="1952">
        <f t="shared" si="21"/>
        <v>0</v>
      </c>
      <c r="AO39" s="1952">
        <f t="shared" si="22"/>
        <v>0</v>
      </c>
      <c r="AP39" s="1952">
        <f t="shared" si="23"/>
        <v>0</v>
      </c>
      <c r="AQ39" s="1952">
        <f t="shared" si="24"/>
        <v>0</v>
      </c>
      <c r="AR39" s="1952">
        <f t="shared" si="25"/>
        <v>0</v>
      </c>
      <c r="AS39" s="1952">
        <f t="shared" si="26"/>
        <v>0</v>
      </c>
      <c r="AT39" s="1952">
        <f t="shared" si="27"/>
        <v>0</v>
      </c>
      <c r="AU39" s="1952">
        <f t="shared" si="28"/>
        <v>0</v>
      </c>
      <c r="AV39" s="1952">
        <f t="shared" si="29"/>
        <v>0</v>
      </c>
      <c r="AW39" s="1952">
        <f t="shared" si="30"/>
        <v>0</v>
      </c>
      <c r="AX39" s="1952"/>
      <c r="AY39" s="1952">
        <f t="shared" si="31"/>
        <v>0</v>
      </c>
      <c r="AZ39" s="1952">
        <f t="shared" si="32"/>
        <v>0</v>
      </c>
    </row>
    <row r="40" spans="2:52">
      <c r="B40" s="153" t="str">
        <f t="shared" ref="B40:B46" si="35">B15</f>
        <v>Annual System3</v>
      </c>
      <c r="C40" s="1861">
        <f>'3.Cropland'!O24</f>
        <v>0</v>
      </c>
      <c r="D40" s="1861">
        <f>'3.Cropland'!P24</f>
        <v>0</v>
      </c>
      <c r="E40" s="2236" t="str">
        <f>VLOOKUP('3.Cropland'!Q24,List!$D$35:$E$37,2,)</f>
        <v>Linear</v>
      </c>
      <c r="F40" s="1863">
        <f>'3.Cropland'!R24</f>
        <v>0</v>
      </c>
      <c r="G40" s="2237" t="str">
        <f>VLOOKUP('3.Cropland'!T24,List!$D$35:$E$37,2,)</f>
        <v>Linear</v>
      </c>
      <c r="H40" s="1488">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89">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92">
        <f>(MIN(C40,D40)*time_tot+ABS(D40-C40)*IF(D40&gt;C40,time2+time*(VLOOKUP(E40,List!$E$35:$F$37,2,)),time*(1-(VLOOKUP(E40,List!$E$35:$F$37,2,)))))*Y15</f>
        <v>0</v>
      </c>
      <c r="K40" s="1489">
        <f>(MIN(C40,F40)*time_tot+ABS(F40-C40)*IF(F40&gt;C40,time2+time*(VLOOKUP(G40,List!$E$35:$F$37,2,)),time*(1-(VLOOKUP(G40,List!$E$35:$F$37,2,)))))*Y15</f>
        <v>0</v>
      </c>
      <c r="L40" s="1492">
        <f t="shared" si="33"/>
        <v>0</v>
      </c>
      <c r="M40" s="1489">
        <f t="shared" si="34"/>
        <v>0</v>
      </c>
      <c r="N40" s="284">
        <f t="shared" si="11"/>
        <v>0</v>
      </c>
      <c r="P40" s="2093">
        <f>$N15*(time*((ABS(D40-C40)*(IF(C40&lt;=D40,VLOOKUP(E40,List!$E$35:$F$37,2,),1-VLOOKUP(E40,List!$E$35:$F$37,2,))))+MIN(D40,C40))+(D40*time2))</f>
        <v>0</v>
      </c>
      <c r="Q40" s="2093">
        <f>$N15*(time*((ABS(F40-C40)*(IF(C40&lt;=F40,VLOOKUP(G40,List!$E$35:$F$37,2,),1-VLOOKUP(G40,List!$E$35:$F$37,2,))))+MIN(F40,C40))+(F40*time2))</f>
        <v>0</v>
      </c>
      <c r="R40" s="2084">
        <f t="shared" si="12"/>
        <v>0</v>
      </c>
      <c r="AF40" s="1952">
        <f t="shared" si="13"/>
        <v>0</v>
      </c>
      <c r="AG40" s="1952">
        <f t="shared" si="14"/>
        <v>0</v>
      </c>
      <c r="AH40" s="1952">
        <f t="shared" si="15"/>
        <v>0</v>
      </c>
      <c r="AI40" s="1952">
        <f t="shared" si="16"/>
        <v>0</v>
      </c>
      <c r="AJ40" s="1952">
        <f t="shared" si="17"/>
        <v>0</v>
      </c>
      <c r="AK40" s="1952">
        <f t="shared" si="18"/>
        <v>0</v>
      </c>
      <c r="AL40" s="1952">
        <f t="shared" si="19"/>
        <v>0</v>
      </c>
      <c r="AM40" s="1952">
        <f t="shared" si="20"/>
        <v>0</v>
      </c>
      <c r="AN40" s="1952">
        <f t="shared" si="21"/>
        <v>0</v>
      </c>
      <c r="AO40" s="1952">
        <f t="shared" si="22"/>
        <v>0</v>
      </c>
      <c r="AP40" s="1952">
        <f t="shared" si="23"/>
        <v>0</v>
      </c>
      <c r="AQ40" s="1952">
        <f t="shared" si="24"/>
        <v>0</v>
      </c>
      <c r="AR40" s="1952">
        <f t="shared" si="25"/>
        <v>0</v>
      </c>
      <c r="AS40" s="1952">
        <f t="shared" si="26"/>
        <v>0</v>
      </c>
      <c r="AT40" s="1952">
        <f t="shared" si="27"/>
        <v>0</v>
      </c>
      <c r="AU40" s="1952">
        <f t="shared" si="28"/>
        <v>0</v>
      </c>
      <c r="AV40" s="1952">
        <f t="shared" si="29"/>
        <v>0</v>
      </c>
      <c r="AW40" s="1952">
        <f t="shared" si="30"/>
        <v>0</v>
      </c>
      <c r="AX40" s="1952"/>
      <c r="AY40" s="1952">
        <f t="shared" si="31"/>
        <v>0</v>
      </c>
      <c r="AZ40" s="1952">
        <f t="shared" si="32"/>
        <v>0</v>
      </c>
    </row>
    <row r="41" spans="2:52">
      <c r="B41" s="153" t="str">
        <f t="shared" si="35"/>
        <v>Annual System4</v>
      </c>
      <c r="C41" s="1861">
        <f>'3.Cropland'!O25</f>
        <v>0</v>
      </c>
      <c r="D41" s="1861">
        <f>'3.Cropland'!P25</f>
        <v>0</v>
      </c>
      <c r="E41" s="2236" t="str">
        <f>VLOOKUP('3.Cropland'!Q25,List!$D$35:$E$37,2,)</f>
        <v>Linear</v>
      </c>
      <c r="F41" s="1863">
        <f>'3.Cropland'!R25</f>
        <v>0</v>
      </c>
      <c r="G41" s="2237" t="str">
        <f>VLOOKUP('3.Cropland'!T25,List!$D$35:$E$37,2,)</f>
        <v>Linear</v>
      </c>
      <c r="H41" s="1488">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89">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92">
        <f>(MIN(C41,D41)*time_tot+ABS(D41-C41)*IF(D41&gt;C41,time2+time*(VLOOKUP(E41,List!$E$35:$F$37,2,)),time*(1-(VLOOKUP(E41,List!$E$35:$F$37,2,)))))*Y16</f>
        <v>0</v>
      </c>
      <c r="K41" s="1489">
        <f>(MIN(C41,F41)*time_tot+ABS(F41-C41)*IF(F41&gt;C41,time2+time*(VLOOKUP(G41,List!$E$35:$F$37,2,)),time*(1-(VLOOKUP(G41,List!$E$35:$F$37,2,)))))*Y16</f>
        <v>0</v>
      </c>
      <c r="L41" s="1492">
        <f t="shared" si="33"/>
        <v>0</v>
      </c>
      <c r="M41" s="1489">
        <f t="shared" si="34"/>
        <v>0</v>
      </c>
      <c r="N41" s="284">
        <f t="shared" si="11"/>
        <v>0</v>
      </c>
      <c r="P41" s="2093">
        <f>$N16*(time*((ABS(D41-C41)*(IF(C41&lt;=D41,VLOOKUP(E41,List!$E$35:$F$37,2,),1-VLOOKUP(E41,List!$E$35:$F$37,2,))))+MIN(D41,C41))+(D41*time2))</f>
        <v>0</v>
      </c>
      <c r="Q41" s="2093">
        <f>$N16*(time*((ABS(F41-C41)*(IF(C41&lt;=F41,VLOOKUP(G41,List!$E$35:$F$37,2,),1-VLOOKUP(G41,List!$E$35:$F$37,2,))))+MIN(F41,C41))+(F41*time2))</f>
        <v>0</v>
      </c>
      <c r="R41" s="2084">
        <f t="shared" si="12"/>
        <v>0</v>
      </c>
      <c r="AF41" s="1952">
        <f t="shared" si="13"/>
        <v>0</v>
      </c>
      <c r="AG41" s="1952">
        <f t="shared" si="14"/>
        <v>0</v>
      </c>
      <c r="AH41" s="1952">
        <f t="shared" si="15"/>
        <v>0</v>
      </c>
      <c r="AI41" s="1952">
        <f t="shared" si="16"/>
        <v>0</v>
      </c>
      <c r="AJ41" s="1952">
        <f t="shared" si="17"/>
        <v>0</v>
      </c>
      <c r="AK41" s="1952">
        <f t="shared" si="18"/>
        <v>0</v>
      </c>
      <c r="AL41" s="1952">
        <f t="shared" si="19"/>
        <v>0</v>
      </c>
      <c r="AM41" s="1952">
        <f t="shared" si="20"/>
        <v>0</v>
      </c>
      <c r="AN41" s="1952">
        <f t="shared" si="21"/>
        <v>0</v>
      </c>
      <c r="AO41" s="1952">
        <f t="shared" si="22"/>
        <v>0</v>
      </c>
      <c r="AP41" s="1952">
        <f t="shared" si="23"/>
        <v>0</v>
      </c>
      <c r="AQ41" s="1952">
        <f t="shared" si="24"/>
        <v>0</v>
      </c>
      <c r="AR41" s="1952">
        <f t="shared" si="25"/>
        <v>0</v>
      </c>
      <c r="AS41" s="1952">
        <f t="shared" si="26"/>
        <v>0</v>
      </c>
      <c r="AT41" s="1952">
        <f t="shared" si="27"/>
        <v>0</v>
      </c>
      <c r="AU41" s="1952">
        <f t="shared" si="28"/>
        <v>0</v>
      </c>
      <c r="AV41" s="1952">
        <f t="shared" si="29"/>
        <v>0</v>
      </c>
      <c r="AW41" s="1952">
        <f t="shared" si="30"/>
        <v>0</v>
      </c>
      <c r="AX41" s="1952"/>
      <c r="AY41" s="1952">
        <f t="shared" si="31"/>
        <v>0</v>
      </c>
      <c r="AZ41" s="1952">
        <f t="shared" si="32"/>
        <v>0</v>
      </c>
    </row>
    <row r="42" spans="2:52">
      <c r="B42" s="153" t="str">
        <f t="shared" si="35"/>
        <v>Annual System5</v>
      </c>
      <c r="C42" s="1861">
        <f>'3.Cropland'!O26</f>
        <v>0</v>
      </c>
      <c r="D42" s="1861">
        <f>'3.Cropland'!P26</f>
        <v>0</v>
      </c>
      <c r="E42" s="2236" t="str">
        <f>VLOOKUP('3.Cropland'!Q26,List!$D$35:$E$37,2,)</f>
        <v>Linear</v>
      </c>
      <c r="F42" s="1863">
        <f>'3.Cropland'!R26</f>
        <v>0</v>
      </c>
      <c r="G42" s="2237" t="str">
        <f>VLOOKUP('3.Cropland'!T26,List!$D$35:$E$37,2,)</f>
        <v>Linear</v>
      </c>
      <c r="H42" s="1488">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89">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92">
        <f>(MIN(C42,D42)*time_tot+ABS(D42-C42)*IF(D42&gt;C42,time2+time*(VLOOKUP(E42,List!$E$35:$F$37,2,)),time*(1-(VLOOKUP(E42,List!$E$35:$F$37,2,)))))*Y17</f>
        <v>0</v>
      </c>
      <c r="K42" s="1489">
        <f>(MIN(C42,F42)*time_tot+ABS(F42-C42)*IF(F42&gt;C42,time2+time*(VLOOKUP(G42,List!$E$35:$F$37,2,)),time*(1-(VLOOKUP(G42,List!$E$35:$F$37,2,)))))*Y17</f>
        <v>0</v>
      </c>
      <c r="L42" s="1492">
        <f t="shared" si="33"/>
        <v>0</v>
      </c>
      <c r="M42" s="1489">
        <f t="shared" si="34"/>
        <v>0</v>
      </c>
      <c r="N42" s="284">
        <f t="shared" si="11"/>
        <v>0</v>
      </c>
      <c r="P42" s="2093">
        <f>$N17*(time*((ABS(D42-C42)*(IF(C42&lt;=D42,VLOOKUP(E42,List!$E$35:$F$37,2,),1-VLOOKUP(E42,List!$E$35:$F$37,2,))))+MIN(D42,C42))+(D42*time2))</f>
        <v>0</v>
      </c>
      <c r="Q42" s="2093">
        <f>$N17*(time*((ABS(F42-C42)*(IF(C42&lt;=F42,VLOOKUP(G42,List!$E$35:$F$37,2,),1-VLOOKUP(G42,List!$E$35:$F$37,2,))))+MIN(F42,C42))+(F42*time2))</f>
        <v>0</v>
      </c>
      <c r="R42" s="2084">
        <f t="shared" si="12"/>
        <v>0</v>
      </c>
      <c r="AF42" s="1952">
        <f t="shared" si="13"/>
        <v>0</v>
      </c>
      <c r="AG42" s="1952">
        <f t="shared" si="14"/>
        <v>0</v>
      </c>
      <c r="AH42" s="1952">
        <f t="shared" si="15"/>
        <v>0</v>
      </c>
      <c r="AI42" s="1952">
        <f t="shared" si="16"/>
        <v>0</v>
      </c>
      <c r="AJ42" s="1952">
        <f t="shared" si="17"/>
        <v>0</v>
      </c>
      <c r="AK42" s="1952">
        <f t="shared" si="18"/>
        <v>0</v>
      </c>
      <c r="AL42" s="1952">
        <f t="shared" si="19"/>
        <v>0</v>
      </c>
      <c r="AM42" s="1952">
        <f t="shared" si="20"/>
        <v>0</v>
      </c>
      <c r="AN42" s="1952">
        <f t="shared" si="21"/>
        <v>0</v>
      </c>
      <c r="AO42" s="1952">
        <f t="shared" si="22"/>
        <v>0</v>
      </c>
      <c r="AP42" s="1952">
        <f t="shared" si="23"/>
        <v>0</v>
      </c>
      <c r="AQ42" s="1952">
        <f t="shared" si="24"/>
        <v>0</v>
      </c>
      <c r="AR42" s="1952">
        <f t="shared" si="25"/>
        <v>0</v>
      </c>
      <c r="AS42" s="1952">
        <f t="shared" si="26"/>
        <v>0</v>
      </c>
      <c r="AT42" s="1952">
        <f t="shared" si="27"/>
        <v>0</v>
      </c>
      <c r="AU42" s="1952">
        <f t="shared" si="28"/>
        <v>0</v>
      </c>
      <c r="AV42" s="1952">
        <f t="shared" si="29"/>
        <v>0</v>
      </c>
      <c r="AW42" s="1952">
        <f t="shared" si="30"/>
        <v>0</v>
      </c>
      <c r="AX42" s="1952"/>
      <c r="AY42" s="1952">
        <f t="shared" si="31"/>
        <v>0</v>
      </c>
      <c r="AZ42" s="1952">
        <f t="shared" si="32"/>
        <v>0</v>
      </c>
    </row>
    <row r="43" spans="2:52">
      <c r="B43" s="153" t="str">
        <f t="shared" si="35"/>
        <v>Annual System6</v>
      </c>
      <c r="C43" s="1861">
        <f>'3.Cropland'!O27</f>
        <v>0</v>
      </c>
      <c r="D43" s="1861">
        <f>'3.Cropland'!P27</f>
        <v>0</v>
      </c>
      <c r="E43" s="2236" t="str">
        <f>VLOOKUP('3.Cropland'!Q27,List!$D$35:$E$37,2,)</f>
        <v>Linear</v>
      </c>
      <c r="F43" s="1863">
        <f>'3.Cropland'!R27</f>
        <v>0</v>
      </c>
      <c r="G43" s="2237" t="str">
        <f>VLOOKUP('3.Cropland'!T27,List!$D$35:$E$37,2,)</f>
        <v>Linear</v>
      </c>
      <c r="H43" s="1488">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89">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92">
        <f>(MIN(C43,D43)*time_tot+ABS(D43-C43)*IF(D43&gt;C43,time2+time*(VLOOKUP(E43,List!$E$35:$F$37,2,)),time*(1-(VLOOKUP(E43,List!$E$35:$F$37,2,)))))*Y18</f>
        <v>0</v>
      </c>
      <c r="K43" s="1489">
        <f>(MIN(C43,F43)*time_tot+ABS(F43-C43)*IF(F43&gt;C43,time2+time*(VLOOKUP(G43,List!$E$35:$F$37,2,)),time*(1-(VLOOKUP(G43,List!$E$35:$F$37,2,)))))*Y18</f>
        <v>0</v>
      </c>
      <c r="L43" s="1492">
        <f t="shared" si="33"/>
        <v>0</v>
      </c>
      <c r="M43" s="1489">
        <f t="shared" si="34"/>
        <v>0</v>
      </c>
      <c r="N43" s="284">
        <f t="shared" si="11"/>
        <v>0</v>
      </c>
      <c r="P43" s="2093">
        <f>$N18*(time*((ABS(D43-C43)*(IF(C43&lt;=D43,VLOOKUP(E43,List!$E$35:$F$37,2,),1-VLOOKUP(E43,List!$E$35:$F$37,2,))))+MIN(D43,C43))+(D43*time2))</f>
        <v>0</v>
      </c>
      <c r="Q43" s="2093">
        <f>$N18*(time*((ABS(F43-C43)*(IF(C43&lt;=F43,VLOOKUP(G43,List!$E$35:$F$37,2,),1-VLOOKUP(G43,List!$E$35:$F$37,2,))))+MIN(F43,C43))+(F43*time2))</f>
        <v>0</v>
      </c>
      <c r="R43" s="2084">
        <f t="shared" si="12"/>
        <v>0</v>
      </c>
      <c r="AF43" s="1952">
        <f t="shared" si="13"/>
        <v>0</v>
      </c>
      <c r="AG43" s="1952">
        <f t="shared" si="14"/>
        <v>0</v>
      </c>
      <c r="AH43" s="1952">
        <f t="shared" si="15"/>
        <v>0</v>
      </c>
      <c r="AI43" s="1952">
        <f t="shared" si="16"/>
        <v>0</v>
      </c>
      <c r="AJ43" s="1952">
        <f t="shared" si="17"/>
        <v>0</v>
      </c>
      <c r="AK43" s="1952">
        <f t="shared" si="18"/>
        <v>0</v>
      </c>
      <c r="AL43" s="1952">
        <f t="shared" si="19"/>
        <v>0</v>
      </c>
      <c r="AM43" s="1952">
        <f t="shared" si="20"/>
        <v>0</v>
      </c>
      <c r="AN43" s="1952">
        <f t="shared" si="21"/>
        <v>0</v>
      </c>
      <c r="AO43" s="1952">
        <f t="shared" si="22"/>
        <v>0</v>
      </c>
      <c r="AP43" s="1952">
        <f t="shared" si="23"/>
        <v>0</v>
      </c>
      <c r="AQ43" s="1952">
        <f t="shared" si="24"/>
        <v>0</v>
      </c>
      <c r="AR43" s="1952">
        <f t="shared" si="25"/>
        <v>0</v>
      </c>
      <c r="AS43" s="1952">
        <f t="shared" si="26"/>
        <v>0</v>
      </c>
      <c r="AT43" s="1952">
        <f t="shared" si="27"/>
        <v>0</v>
      </c>
      <c r="AU43" s="1952">
        <f t="shared" si="28"/>
        <v>0</v>
      </c>
      <c r="AV43" s="1952">
        <f t="shared" si="29"/>
        <v>0</v>
      </c>
      <c r="AW43" s="1952">
        <f t="shared" si="30"/>
        <v>0</v>
      </c>
      <c r="AX43" s="1952"/>
      <c r="AY43" s="1952">
        <f t="shared" si="31"/>
        <v>0</v>
      </c>
      <c r="AZ43" s="1952">
        <f t="shared" si="32"/>
        <v>0</v>
      </c>
    </row>
    <row r="44" spans="2:52">
      <c r="B44" s="153" t="str">
        <f t="shared" si="35"/>
        <v>Annual System7</v>
      </c>
      <c r="C44" s="1861">
        <f>'3.Cropland'!O28</f>
        <v>0</v>
      </c>
      <c r="D44" s="1861">
        <f>'3.Cropland'!P28</f>
        <v>0</v>
      </c>
      <c r="E44" s="2236" t="str">
        <f>VLOOKUP('3.Cropland'!Q28,List!$D$35:$E$37,2,)</f>
        <v>Linear</v>
      </c>
      <c r="F44" s="1863">
        <f>'3.Cropland'!R28</f>
        <v>0</v>
      </c>
      <c r="G44" s="2237" t="str">
        <f>VLOOKUP('3.Cropland'!T28,List!$D$35:$E$37,2,)</f>
        <v>Linear</v>
      </c>
      <c r="H44" s="1488">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89">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92">
        <f>(MIN(C44,D44)*time_tot+ABS(D44-C44)*IF(D44&gt;C44,time2+time*(VLOOKUP(E44,List!$E$35:$F$37,2,)),time*(1-(VLOOKUP(E44,List!$E$35:$F$37,2,)))))*Y19</f>
        <v>0</v>
      </c>
      <c r="K44" s="1489">
        <f>(MIN(C44,F44)*time_tot+ABS(F44-C44)*IF(F44&gt;C44,time2+time*(VLOOKUP(G44,List!$E$35:$F$37,2,)),time*(1-(VLOOKUP(G44,List!$E$35:$F$37,2,)))))*Y19</f>
        <v>0</v>
      </c>
      <c r="L44" s="1492">
        <f t="shared" si="33"/>
        <v>0</v>
      </c>
      <c r="M44" s="1489">
        <f t="shared" si="34"/>
        <v>0</v>
      </c>
      <c r="N44" s="284">
        <f t="shared" si="11"/>
        <v>0</v>
      </c>
      <c r="P44" s="2093">
        <f>$N19*(time*((ABS(D44-C44)*(IF(C44&lt;=D44,VLOOKUP(E44,List!$E$35:$F$37,2,),1-VLOOKUP(E44,List!$E$35:$F$37,2,))))+MIN(D44,C44))+(D44*time2))</f>
        <v>0</v>
      </c>
      <c r="Q44" s="2093">
        <f>$N19*(time*((ABS(F44-C44)*(IF(C44&lt;=F44,VLOOKUP(G44,List!$E$35:$F$37,2,),1-VLOOKUP(G44,List!$E$35:$F$37,2,))))+MIN(F44,C44))+(F44*time2))</f>
        <v>0</v>
      </c>
      <c r="R44" s="2084">
        <f t="shared" si="12"/>
        <v>0</v>
      </c>
      <c r="AF44" s="1952">
        <f t="shared" si="13"/>
        <v>0</v>
      </c>
      <c r="AG44" s="1952">
        <f t="shared" si="14"/>
        <v>0</v>
      </c>
      <c r="AH44" s="1952">
        <f t="shared" si="15"/>
        <v>0</v>
      </c>
      <c r="AI44" s="1952">
        <f t="shared" si="16"/>
        <v>0</v>
      </c>
      <c r="AJ44" s="1952">
        <f t="shared" si="17"/>
        <v>0</v>
      </c>
      <c r="AK44" s="1952">
        <f t="shared" si="18"/>
        <v>0</v>
      </c>
      <c r="AL44" s="1952">
        <f t="shared" si="19"/>
        <v>0</v>
      </c>
      <c r="AM44" s="1952">
        <f t="shared" si="20"/>
        <v>0</v>
      </c>
      <c r="AN44" s="1952">
        <f t="shared" si="21"/>
        <v>0</v>
      </c>
      <c r="AO44" s="1952">
        <f t="shared" si="22"/>
        <v>0</v>
      </c>
      <c r="AP44" s="1952">
        <f t="shared" si="23"/>
        <v>0</v>
      </c>
      <c r="AQ44" s="1952">
        <f t="shared" si="24"/>
        <v>0</v>
      </c>
      <c r="AR44" s="1952">
        <f t="shared" si="25"/>
        <v>0</v>
      </c>
      <c r="AS44" s="1952">
        <f t="shared" si="26"/>
        <v>0</v>
      </c>
      <c r="AT44" s="1952">
        <f t="shared" si="27"/>
        <v>0</v>
      </c>
      <c r="AU44" s="1952">
        <f t="shared" si="28"/>
        <v>0</v>
      </c>
      <c r="AV44" s="1952">
        <f t="shared" si="29"/>
        <v>0</v>
      </c>
      <c r="AW44" s="1952">
        <f t="shared" si="30"/>
        <v>0</v>
      </c>
      <c r="AX44" s="1952"/>
      <c r="AY44" s="1952">
        <f t="shared" si="31"/>
        <v>0</v>
      </c>
      <c r="AZ44" s="1952">
        <f t="shared" si="32"/>
        <v>0</v>
      </c>
    </row>
    <row r="45" spans="2:52">
      <c r="B45" s="153" t="str">
        <f t="shared" si="35"/>
        <v>Annual System8</v>
      </c>
      <c r="C45" s="1861">
        <f>'3.Cropland'!O29</f>
        <v>0</v>
      </c>
      <c r="D45" s="1861">
        <f>'3.Cropland'!P29</f>
        <v>0</v>
      </c>
      <c r="E45" s="2236" t="str">
        <f>VLOOKUP('3.Cropland'!Q29,List!$D$35:$E$37,2,)</f>
        <v>Linear</v>
      </c>
      <c r="F45" s="1863">
        <f>'3.Cropland'!R29</f>
        <v>0</v>
      </c>
      <c r="G45" s="2237" t="str">
        <f>VLOOKUP('3.Cropland'!T29,List!$D$35:$E$37,2,)</f>
        <v>Linear</v>
      </c>
      <c r="H45" s="1488">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89">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92">
        <f>(MIN(C45,D45)*time_tot+ABS(D45-C45)*IF(D45&gt;C45,time2+time*(VLOOKUP(E45,List!$E$35:$F$37,2,)),time*(1-(VLOOKUP(E45,List!$E$35:$F$37,2,)))))*Y20</f>
        <v>0</v>
      </c>
      <c r="K45" s="1489">
        <f>(MIN(C45,F45)*time_tot+ABS(F45-C45)*IF(F45&gt;C45,time2+time*(VLOOKUP(G45,List!$E$35:$F$37,2,)),time*(1-(VLOOKUP(G45,List!$E$35:$F$37,2,)))))*Y20</f>
        <v>0</v>
      </c>
      <c r="L45" s="1492">
        <f t="shared" si="33"/>
        <v>0</v>
      </c>
      <c r="M45" s="1489">
        <f t="shared" si="34"/>
        <v>0</v>
      </c>
      <c r="N45" s="284">
        <f t="shared" si="11"/>
        <v>0</v>
      </c>
      <c r="P45" s="2093">
        <f>$N20*(time*((ABS(D45-C45)*(IF(C45&lt;=D45,VLOOKUP(E45,List!$E$35:$F$37,2,),1-VLOOKUP(E45,List!$E$35:$F$37,2,))))+MIN(D45,C45))+(D45*time2))</f>
        <v>0</v>
      </c>
      <c r="Q45" s="2093">
        <f>$N20*(time*((ABS(F45-C45)*(IF(C45&lt;=F45,VLOOKUP(G45,List!$E$35:$F$37,2,),1-VLOOKUP(G45,List!$E$35:$F$37,2,))))+MIN(F45,C45))+(F45*time2))</f>
        <v>0</v>
      </c>
      <c r="R45" s="2084">
        <f t="shared" si="12"/>
        <v>0</v>
      </c>
      <c r="AF45" s="1952">
        <f t="shared" si="13"/>
        <v>0</v>
      </c>
      <c r="AG45" s="1952">
        <f t="shared" si="14"/>
        <v>0</v>
      </c>
      <c r="AH45" s="1952">
        <f t="shared" si="15"/>
        <v>0</v>
      </c>
      <c r="AI45" s="1952">
        <f t="shared" si="16"/>
        <v>0</v>
      </c>
      <c r="AJ45" s="1952">
        <f t="shared" si="17"/>
        <v>0</v>
      </c>
      <c r="AK45" s="1952">
        <f t="shared" si="18"/>
        <v>0</v>
      </c>
      <c r="AL45" s="1952">
        <f t="shared" si="19"/>
        <v>0</v>
      </c>
      <c r="AM45" s="1952">
        <f t="shared" si="20"/>
        <v>0</v>
      </c>
      <c r="AN45" s="1952">
        <f t="shared" si="21"/>
        <v>0</v>
      </c>
      <c r="AO45" s="1952">
        <f t="shared" si="22"/>
        <v>0</v>
      </c>
      <c r="AP45" s="1952">
        <f t="shared" si="23"/>
        <v>0</v>
      </c>
      <c r="AQ45" s="1952">
        <f t="shared" si="24"/>
        <v>0</v>
      </c>
      <c r="AR45" s="1952">
        <f t="shared" si="25"/>
        <v>0</v>
      </c>
      <c r="AS45" s="1952">
        <f t="shared" si="26"/>
        <v>0</v>
      </c>
      <c r="AT45" s="1952">
        <f t="shared" si="27"/>
        <v>0</v>
      </c>
      <c r="AU45" s="1952">
        <f t="shared" si="28"/>
        <v>0</v>
      </c>
      <c r="AV45" s="1952">
        <f t="shared" si="29"/>
        <v>0</v>
      </c>
      <c r="AW45" s="1952">
        <f t="shared" si="30"/>
        <v>0</v>
      </c>
      <c r="AX45" s="1952"/>
      <c r="AY45" s="1952">
        <f t="shared" si="31"/>
        <v>0</v>
      </c>
      <c r="AZ45" s="1952">
        <f t="shared" si="32"/>
        <v>0</v>
      </c>
    </row>
    <row r="46" spans="2:52">
      <c r="B46" s="153" t="str">
        <f t="shared" si="35"/>
        <v>Annual System9</v>
      </c>
      <c r="C46" s="1861">
        <f>'3.Cropland'!O30</f>
        <v>0</v>
      </c>
      <c r="D46" s="1861">
        <f>'3.Cropland'!P30</f>
        <v>0</v>
      </c>
      <c r="E46" s="2236" t="str">
        <f>VLOOKUP('3.Cropland'!Q30,List!$D$35:$E$37,2,)</f>
        <v>Linear</v>
      </c>
      <c r="F46" s="1863">
        <f>'3.Cropland'!R30</f>
        <v>0</v>
      </c>
      <c r="G46" s="2237" t="str">
        <f>VLOOKUP('3.Cropland'!T30,List!$D$35:$E$37,2,)</f>
        <v>Linear</v>
      </c>
      <c r="H46" s="1488">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89">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92">
        <f>(MIN(C46,D46)*time_tot+ABS(D46-C46)*IF(D46&gt;C46,time2+time*(VLOOKUP(E46,List!$E$35:$F$37,2,)),time*(1-(VLOOKUP(E46,List!$E$35:$F$37,2,)))))*Y21</f>
        <v>0</v>
      </c>
      <c r="K46" s="1489">
        <f>(MIN(C46,F46)*time_tot+ABS(F46-C46)*IF(F46&gt;C46,time2+time*(VLOOKUP(G46,List!$E$35:$F$37,2,)),time*(1-(VLOOKUP(G46,List!$E$35:$F$37,2,)))))*Y21</f>
        <v>0</v>
      </c>
      <c r="L46" s="1492">
        <f t="shared" si="33"/>
        <v>0</v>
      </c>
      <c r="M46" s="1489">
        <f t="shared" si="34"/>
        <v>0</v>
      </c>
      <c r="N46" s="284">
        <f t="shared" si="11"/>
        <v>0</v>
      </c>
      <c r="P46" s="2093">
        <f>$N21*(time*((ABS(D46-C46)*(IF(C46&lt;=D46,VLOOKUP(E46,List!$E$35:$F$37,2,),1-VLOOKUP(E46,List!$E$35:$F$37,2,))))+MIN(D46,C46))+(D46*time2))</f>
        <v>0</v>
      </c>
      <c r="Q46" s="2093">
        <f>$N21*(time*((ABS(F46-C46)*(IF(C46&lt;=F46,VLOOKUP(G46,List!$E$35:$F$37,2,),1-VLOOKUP(G46,List!$E$35:$F$37,2,))))+MIN(F46,C46))+(F46*time2))</f>
        <v>0</v>
      </c>
      <c r="R46" s="2084">
        <f t="shared" si="12"/>
        <v>0</v>
      </c>
      <c r="AF46" s="1952">
        <f t="shared" si="13"/>
        <v>0</v>
      </c>
      <c r="AG46" s="1952">
        <f t="shared" si="14"/>
        <v>0</v>
      </c>
      <c r="AH46" s="1952">
        <f t="shared" si="15"/>
        <v>0</v>
      </c>
      <c r="AI46" s="1952">
        <f t="shared" si="16"/>
        <v>0</v>
      </c>
      <c r="AJ46" s="1952">
        <f t="shared" si="17"/>
        <v>0</v>
      </c>
      <c r="AK46" s="1952">
        <f t="shared" si="18"/>
        <v>0</v>
      </c>
      <c r="AL46" s="1952">
        <f t="shared" ref="AL46:AQ47" si="36">IF(G21="Yes",$D46,0)</f>
        <v>0</v>
      </c>
      <c r="AM46" s="1952">
        <f t="shared" si="36"/>
        <v>0</v>
      </c>
      <c r="AN46" s="1952">
        <f t="shared" si="36"/>
        <v>0</v>
      </c>
      <c r="AO46" s="1952">
        <f t="shared" si="36"/>
        <v>0</v>
      </c>
      <c r="AP46" s="1952">
        <f t="shared" si="36"/>
        <v>0</v>
      </c>
      <c r="AQ46" s="1952">
        <f t="shared" si="36"/>
        <v>0</v>
      </c>
      <c r="AR46" s="1952">
        <f t="shared" ref="AR46:AW47" si="37">IF(G21="Yes",$F46,0)</f>
        <v>0</v>
      </c>
      <c r="AS46" s="1952">
        <f t="shared" si="37"/>
        <v>0</v>
      </c>
      <c r="AT46" s="1952">
        <f t="shared" si="37"/>
        <v>0</v>
      </c>
      <c r="AU46" s="1952">
        <f t="shared" si="37"/>
        <v>0</v>
      </c>
      <c r="AV46" s="1952">
        <f t="shared" si="37"/>
        <v>0</v>
      </c>
      <c r="AW46" s="1952">
        <f t="shared" si="37"/>
        <v>0</v>
      </c>
      <c r="AX46" s="1952"/>
      <c r="AY46" s="1952">
        <f t="shared" si="31"/>
        <v>0</v>
      </c>
      <c r="AZ46" s="1952">
        <f t="shared" si="32"/>
        <v>0</v>
      </c>
    </row>
    <row r="47" spans="2:52">
      <c r="B47" s="153" t="str">
        <f>B22</f>
        <v>Annual System10</v>
      </c>
      <c r="C47" s="1861">
        <f>'3.Cropland'!O31</f>
        <v>0</v>
      </c>
      <c r="D47" s="1861">
        <f>'3.Cropland'!P31</f>
        <v>0</v>
      </c>
      <c r="E47" s="2236" t="str">
        <f>VLOOKUP('3.Cropland'!Q31,List!$D$35:$E$37,2,)</f>
        <v>Linear</v>
      </c>
      <c r="F47" s="1863">
        <f>'3.Cropland'!R31</f>
        <v>0</v>
      </c>
      <c r="G47" s="2237" t="str">
        <f>VLOOKUP('3.Cropland'!T31,List!$D$35:$E$37,2,)</f>
        <v>Linear</v>
      </c>
      <c r="H47" s="1490">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91">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93">
        <f>(MIN(C47,D47)*time_tot+ABS(D47-C47)*IF(D47&gt;C47,time2+time*(VLOOKUP(E47,List!$E$35:$F$37,2,)),time*(1-(VLOOKUP(E47,List!$E$35:$F$37,2,)))))*Y22</f>
        <v>0</v>
      </c>
      <c r="K47" s="1491">
        <f>(MIN(C47,F47)*time_tot+ABS(F47-C47)*IF(F47&gt;C47,time2+time*(VLOOKUP(G47,List!$E$35:$F$37,2,)),time*(1-(VLOOKUP(G47,List!$E$35:$F$37,2,)))))*Y22</f>
        <v>0</v>
      </c>
      <c r="L47" s="1493">
        <f t="shared" si="33"/>
        <v>0</v>
      </c>
      <c r="M47" s="1491">
        <f t="shared" si="34"/>
        <v>0</v>
      </c>
      <c r="N47" s="285">
        <f t="shared" si="11"/>
        <v>0</v>
      </c>
      <c r="P47" s="2093">
        <f>$N22*(time*((ABS(D47-C47)*(IF(C47&lt;=D47,VLOOKUP(E47,List!$E$35:$F$37,2,),1-VLOOKUP(E47,List!$E$35:$F$37,2,))))+MIN(D47,C47))+(D47*time2))</f>
        <v>0</v>
      </c>
      <c r="Q47" s="2093">
        <f>$N22*(time*((ABS(F47-C47)*(IF(C47&lt;=F47,VLOOKUP(G47,List!$E$35:$F$37,2,),1-VLOOKUP(G47,List!$E$35:$F$37,2,))))+MIN(F47,C47))+(F47*time2))</f>
        <v>0</v>
      </c>
      <c r="R47" s="2084">
        <f t="shared" si="12"/>
        <v>0</v>
      </c>
      <c r="AF47" s="1952">
        <f t="shared" si="13"/>
        <v>0</v>
      </c>
      <c r="AG47" s="1952">
        <f t="shared" si="14"/>
        <v>0</v>
      </c>
      <c r="AH47" s="1952">
        <f t="shared" si="15"/>
        <v>0</v>
      </c>
      <c r="AI47" s="1952">
        <f t="shared" si="16"/>
        <v>0</v>
      </c>
      <c r="AJ47" s="1952">
        <f t="shared" si="17"/>
        <v>0</v>
      </c>
      <c r="AK47" s="1952">
        <f t="shared" si="18"/>
        <v>0</v>
      </c>
      <c r="AL47" s="1952">
        <f t="shared" si="36"/>
        <v>0</v>
      </c>
      <c r="AM47" s="1952">
        <f t="shared" si="36"/>
        <v>0</v>
      </c>
      <c r="AN47" s="1952">
        <f t="shared" si="36"/>
        <v>0</v>
      </c>
      <c r="AO47" s="1952">
        <f t="shared" si="36"/>
        <v>0</v>
      </c>
      <c r="AP47" s="1952">
        <f t="shared" si="36"/>
        <v>0</v>
      </c>
      <c r="AQ47" s="1952">
        <f t="shared" si="36"/>
        <v>0</v>
      </c>
      <c r="AR47" s="1952">
        <f t="shared" si="37"/>
        <v>0</v>
      </c>
      <c r="AS47" s="1952">
        <f t="shared" si="37"/>
        <v>0</v>
      </c>
      <c r="AT47" s="1952">
        <f t="shared" si="37"/>
        <v>0</v>
      </c>
      <c r="AU47" s="1952">
        <f t="shared" si="37"/>
        <v>0</v>
      </c>
      <c r="AV47" s="1952">
        <f t="shared" si="37"/>
        <v>0</v>
      </c>
      <c r="AW47" s="1952">
        <f t="shared" si="37"/>
        <v>0</v>
      </c>
      <c r="AX47" s="1952"/>
      <c r="AY47" s="1952">
        <f t="shared" si="31"/>
        <v>0</v>
      </c>
      <c r="AZ47" s="1952">
        <f t="shared" si="32"/>
        <v>0</v>
      </c>
    </row>
    <row r="48" spans="2:52" ht="13.8" thickBot="1">
      <c r="B48" s="293" t="s">
        <v>1120</v>
      </c>
      <c r="C48" s="914">
        <f>SUM(C38:C47)</f>
        <v>0</v>
      </c>
      <c r="D48" s="914">
        <f>SUM(D38:D47)</f>
        <v>0</v>
      </c>
      <c r="E48" s="915"/>
      <c r="F48" s="914">
        <f>SUM(F38:F47)</f>
        <v>0</v>
      </c>
      <c r="G48" s="295" t="str">
        <f>IF(C48=D48,IF(D48=F48,"","Check areas !"),"Check areas !")</f>
        <v/>
      </c>
      <c r="H48" s="9"/>
      <c r="N48" s="916"/>
      <c r="P48" s="2078"/>
      <c r="Q48" s="2078"/>
      <c r="R48" s="2078"/>
      <c r="AF48" s="1127"/>
      <c r="AG48" s="1127"/>
      <c r="AH48" s="1127"/>
      <c r="AI48" s="1127"/>
      <c r="AJ48" s="1127"/>
      <c r="AK48" s="1127"/>
      <c r="AL48" s="1127"/>
      <c r="AM48" s="1127"/>
      <c r="AN48" s="1127"/>
      <c r="AO48" s="1127"/>
      <c r="AP48" s="1127"/>
      <c r="AQ48" s="1127"/>
      <c r="AR48" s="1127"/>
      <c r="AS48" s="1127"/>
      <c r="AT48" s="1127"/>
      <c r="AU48" s="1127"/>
      <c r="AV48" s="1127"/>
      <c r="AW48" s="1127"/>
      <c r="AX48" s="1127"/>
      <c r="AY48" s="1127"/>
      <c r="AZ48" s="1127"/>
    </row>
    <row r="49" spans="2:52" ht="13.8" thickBot="1">
      <c r="H49" s="9"/>
      <c r="I49" s="155" t="s">
        <v>622</v>
      </c>
      <c r="J49" s="156"/>
      <c r="K49" s="157"/>
      <c r="L49" s="158">
        <f>SUM(L34:L47)</f>
        <v>0</v>
      </c>
      <c r="M49" s="159">
        <f>SUM(M34:M47)</f>
        <v>0</v>
      </c>
      <c r="N49" s="934">
        <f>SUM(N34:N47)</f>
        <v>0</v>
      </c>
      <c r="P49" s="2092">
        <f>SUM(P34:P47)</f>
        <v>0</v>
      </c>
      <c r="Q49" s="2092">
        <f>SUM(Q34:Q47)</f>
        <v>0</v>
      </c>
      <c r="R49" s="2092">
        <f>SUM(R34:R47)</f>
        <v>0</v>
      </c>
      <c r="AF49" s="1952">
        <f t="shared" ref="AF49:AK49" si="38">SUM(AF34:AF47)</f>
        <v>0</v>
      </c>
      <c r="AG49" s="1952">
        <f t="shared" si="38"/>
        <v>0</v>
      </c>
      <c r="AH49" s="1952">
        <f t="shared" si="38"/>
        <v>0</v>
      </c>
      <c r="AI49" s="1952">
        <f t="shared" si="38"/>
        <v>0</v>
      </c>
      <c r="AJ49" s="1952">
        <f t="shared" si="38"/>
        <v>0</v>
      </c>
      <c r="AK49" s="1952">
        <f t="shared" si="38"/>
        <v>0</v>
      </c>
      <c r="AL49" s="1952">
        <f t="shared" ref="AL49:AZ49" si="39">SUM(AL34:AL47)</f>
        <v>0</v>
      </c>
      <c r="AM49" s="1952">
        <f t="shared" si="39"/>
        <v>0</v>
      </c>
      <c r="AN49" s="1952">
        <f t="shared" si="39"/>
        <v>0</v>
      </c>
      <c r="AO49" s="1952">
        <f t="shared" si="39"/>
        <v>0</v>
      </c>
      <c r="AP49" s="1952">
        <f t="shared" si="39"/>
        <v>0</v>
      </c>
      <c r="AQ49" s="1952">
        <f t="shared" si="39"/>
        <v>0</v>
      </c>
      <c r="AR49" s="1952">
        <f t="shared" si="39"/>
        <v>0</v>
      </c>
      <c r="AS49" s="1952">
        <f t="shared" si="39"/>
        <v>0</v>
      </c>
      <c r="AT49" s="1952">
        <f t="shared" si="39"/>
        <v>0</v>
      </c>
      <c r="AU49" s="1952">
        <f t="shared" si="39"/>
        <v>0</v>
      </c>
      <c r="AV49" s="1952">
        <f t="shared" si="39"/>
        <v>0</v>
      </c>
      <c r="AW49" s="1952">
        <f t="shared" si="39"/>
        <v>0</v>
      </c>
      <c r="AX49" s="1952"/>
      <c r="AY49" s="1952">
        <f t="shared" si="39"/>
        <v>0</v>
      </c>
      <c r="AZ49" s="1952">
        <f t="shared" si="39"/>
        <v>0</v>
      </c>
    </row>
    <row r="50" spans="2:52">
      <c r="H50" s="9"/>
      <c r="I50" s="1"/>
    </row>
    <row r="52" spans="2:52">
      <c r="B52" s="403" t="s">
        <v>677</v>
      </c>
      <c r="M52" s="80"/>
    </row>
    <row r="53" spans="2:52">
      <c r="B53" s="403" t="s">
        <v>857</v>
      </c>
      <c r="F53" s="9"/>
      <c r="G53" s="720" t="s">
        <v>858</v>
      </c>
    </row>
    <row r="54" spans="2:52">
      <c r="G54" s="721" t="s">
        <v>859</v>
      </c>
    </row>
  </sheetData>
  <sheetProtection formatCells="0" formatColumns="0" formatRows="0"/>
  <mergeCells count="2">
    <mergeCell ref="L31:M31"/>
    <mergeCell ref="E5:F5"/>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L9:L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3"/>
    <pageSetUpPr fitToPage="1"/>
  </sheetPr>
  <dimension ref="A1:BA52"/>
  <sheetViews>
    <sheetView topLeftCell="A16" zoomScale="74" zoomScaleNormal="74" workbookViewId="0">
      <selection activeCell="E45" sqref="E45"/>
    </sheetView>
  </sheetViews>
  <sheetFormatPr baseColWidth="10" defaultColWidth="11.44140625" defaultRowHeight="13.2"/>
  <cols>
    <col min="1" max="1" width="4.88671875" style="233" customWidth="1"/>
    <col min="2" max="2" width="23.109375" style="233" customWidth="1"/>
    <col min="3" max="3" width="20.88671875" style="233" customWidth="1"/>
    <col min="4" max="4" width="11.44140625" style="233"/>
    <col min="5" max="6" width="10.6640625" style="233" customWidth="1"/>
    <col min="7" max="7" width="13.44140625" style="233" customWidth="1"/>
    <col min="8" max="8" width="10.5546875" style="233" customWidth="1"/>
    <col min="9" max="9" width="13.6640625" style="234" customWidth="1"/>
    <col min="10" max="10" width="12.109375" style="234" bestFit="1" customWidth="1"/>
    <col min="11" max="11" width="10" style="233" customWidth="1"/>
    <col min="12" max="12" width="11" style="233" customWidth="1"/>
    <col min="13" max="13" width="10.44140625" style="233" customWidth="1"/>
    <col min="14" max="14" width="8.6640625" style="234" customWidth="1"/>
    <col min="15" max="15" width="11.33203125" style="234" customWidth="1"/>
    <col min="16" max="16" width="12" style="234" customWidth="1"/>
    <col min="17" max="17" width="6.5546875" style="234" customWidth="1"/>
    <col min="18" max="18" width="11.88671875" style="234" customWidth="1"/>
    <col min="19" max="19" width="9" style="234" customWidth="1"/>
    <col min="20" max="20" width="9" style="233" customWidth="1"/>
    <col min="21" max="21" width="9" style="1533" customWidth="1"/>
    <col min="22" max="22" width="9" style="1534" customWidth="1"/>
    <col min="23" max="25" width="9" style="2467" customWidth="1"/>
    <col min="26" max="27" width="9" style="2460" customWidth="1"/>
    <col min="28" max="28" width="10.33203125" style="2460" customWidth="1"/>
    <col min="29" max="32" width="9" style="2460" customWidth="1"/>
    <col min="33" max="47" width="11.44140625" style="2460"/>
    <col min="48" max="53" width="11.44140625" style="1089"/>
    <col min="54" max="16384" width="11.44140625" style="233"/>
  </cols>
  <sheetData>
    <row r="1" spans="1:53" s="1678" customFormat="1" ht="22.95" customHeight="1">
      <c r="I1" s="1682"/>
      <c r="J1" s="1682"/>
      <c r="N1" s="1682"/>
      <c r="O1" s="1682"/>
      <c r="P1" s="1682"/>
      <c r="Q1" s="1682"/>
      <c r="R1" s="1682"/>
      <c r="S1" s="1682"/>
      <c r="U1" s="1721"/>
      <c r="V1" s="1722"/>
      <c r="W1" s="2854"/>
      <c r="X1" s="2854"/>
      <c r="Y1" s="2854"/>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1725"/>
      <c r="AW1" s="1725"/>
      <c r="AX1" s="1725"/>
      <c r="AY1" s="1725"/>
      <c r="AZ1" s="1725"/>
      <c r="BA1" s="1725"/>
    </row>
    <row r="2" spans="1:53" s="1678" customFormat="1" ht="22.95" customHeight="1">
      <c r="I2" s="1682"/>
      <c r="J2" s="1682"/>
      <c r="N2" s="1682"/>
      <c r="O2" s="1682"/>
      <c r="P2" s="1682"/>
      <c r="Q2" s="1682"/>
      <c r="R2" s="1682"/>
      <c r="S2" s="1682"/>
      <c r="U2" s="1721"/>
      <c r="V2" s="1722"/>
      <c r="W2" s="2854"/>
      <c r="X2" s="2854"/>
      <c r="Y2" s="2854"/>
      <c r="Z2" s="2458"/>
      <c r="AA2" s="2458"/>
      <c r="AB2" s="2458"/>
      <c r="AC2" s="2458"/>
      <c r="AD2" s="2458"/>
      <c r="AE2" s="2458"/>
      <c r="AF2" s="2458"/>
      <c r="AG2" s="2458"/>
      <c r="AH2" s="2458"/>
      <c r="AI2" s="2458"/>
      <c r="AJ2" s="2458"/>
      <c r="AK2" s="2458"/>
      <c r="AL2" s="2458"/>
      <c r="AM2" s="2458"/>
      <c r="AN2" s="2458"/>
      <c r="AO2" s="2458"/>
      <c r="AP2" s="2458"/>
      <c r="AQ2" s="2458"/>
      <c r="AR2" s="2458"/>
      <c r="AS2" s="2458"/>
      <c r="AT2" s="2458"/>
      <c r="AU2" s="2458"/>
      <c r="AV2" s="1725"/>
      <c r="AW2" s="1725"/>
      <c r="AX2" s="1725"/>
      <c r="AY2" s="1725"/>
      <c r="AZ2" s="1725"/>
      <c r="BA2" s="1725"/>
    </row>
    <row r="3" spans="1:53" s="1678" customFormat="1" ht="22.95" customHeight="1">
      <c r="I3" s="1682"/>
      <c r="J3" s="1682"/>
      <c r="N3" s="1682"/>
      <c r="O3" s="1682"/>
      <c r="P3" s="1682"/>
      <c r="Q3" s="1682"/>
      <c r="R3" s="1682"/>
      <c r="S3" s="1682"/>
      <c r="U3" s="1721"/>
      <c r="V3" s="1722"/>
      <c r="W3" s="2854"/>
      <c r="X3" s="2854"/>
      <c r="Y3" s="2854"/>
      <c r="Z3" s="2458"/>
      <c r="AA3" s="2458"/>
      <c r="AB3" s="2458"/>
      <c r="AC3" s="2458"/>
      <c r="AD3" s="2458"/>
      <c r="AE3" s="2458"/>
      <c r="AF3" s="2458"/>
      <c r="AG3" s="2458"/>
      <c r="AH3" s="2458"/>
      <c r="AI3" s="2458"/>
      <c r="AJ3" s="2458"/>
      <c r="AK3" s="2458"/>
      <c r="AL3" s="2458"/>
      <c r="AM3" s="2458"/>
      <c r="AN3" s="2458"/>
      <c r="AO3" s="2458"/>
      <c r="AP3" s="2458"/>
      <c r="AQ3" s="2458"/>
      <c r="AR3" s="2458"/>
      <c r="AS3" s="2458"/>
      <c r="AT3" s="2458"/>
      <c r="AU3" s="2458"/>
      <c r="AV3" s="1725"/>
      <c r="AW3" s="1725"/>
      <c r="AX3" s="1725"/>
      <c r="AY3" s="1725"/>
      <c r="AZ3" s="1725"/>
      <c r="BA3" s="1725"/>
    </row>
    <row r="4" spans="1:53" s="1678" customFormat="1" ht="22.95" customHeight="1">
      <c r="I4" s="1682"/>
      <c r="J4" s="1682"/>
      <c r="N4" s="1682"/>
      <c r="O4" s="1682"/>
      <c r="P4" s="1682"/>
      <c r="Q4" s="1682"/>
      <c r="R4" s="1682"/>
      <c r="S4" s="1682"/>
      <c r="U4" s="1721"/>
      <c r="V4" s="1722"/>
      <c r="W4" s="2854"/>
      <c r="X4" s="2854"/>
      <c r="Y4" s="2854"/>
      <c r="Z4" s="2458"/>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1725"/>
      <c r="AW4" s="1725"/>
      <c r="AX4" s="1725"/>
      <c r="AY4" s="1725"/>
      <c r="AZ4" s="1725"/>
      <c r="BA4" s="1725"/>
    </row>
    <row r="5" spans="1:53" s="1678" customFormat="1" ht="22.95" customHeight="1">
      <c r="A5" s="1679" t="s">
        <v>1121</v>
      </c>
      <c r="E5" s="3095" t="s">
        <v>479</v>
      </c>
      <c r="F5" s="3095"/>
      <c r="N5" s="1682"/>
      <c r="O5" s="1682"/>
      <c r="P5" s="1682"/>
      <c r="U5" s="1721"/>
      <c r="V5" s="1721"/>
      <c r="W5" s="2458"/>
      <c r="X5" s="2458"/>
      <c r="Y5" s="2458"/>
      <c r="Z5" s="2458"/>
      <c r="AA5" s="2458"/>
      <c r="AB5" s="2458"/>
      <c r="AC5" s="2458"/>
      <c r="AD5" s="2458"/>
      <c r="AE5" s="2458"/>
      <c r="AF5" s="2458"/>
      <c r="AG5" s="2458"/>
      <c r="AH5" s="2458"/>
      <c r="AI5" s="2458"/>
      <c r="AJ5" s="2458"/>
      <c r="AK5" s="2458"/>
      <c r="AL5" s="2458"/>
      <c r="AM5" s="2458"/>
      <c r="AN5" s="2458"/>
      <c r="AO5" s="2458"/>
      <c r="AP5" s="2458"/>
      <c r="AQ5" s="2458"/>
      <c r="AR5" s="2458"/>
      <c r="AS5" s="2458"/>
      <c r="AT5" s="2458"/>
      <c r="AU5" s="2458"/>
      <c r="AV5" s="1725"/>
      <c r="AW5" s="1725"/>
      <c r="AX5" s="1725"/>
      <c r="AY5" s="1725"/>
      <c r="AZ5" s="1725"/>
      <c r="BA5" s="1725"/>
    </row>
    <row r="6" spans="1:53">
      <c r="B6" s="605"/>
      <c r="C6" s="605"/>
      <c r="D6" s="622"/>
      <c r="E6" s="622"/>
      <c r="F6" s="605"/>
      <c r="G6" s="605"/>
      <c r="H6" s="605"/>
      <c r="I6" s="605"/>
      <c r="J6" s="605"/>
      <c r="K6" s="605"/>
      <c r="L6" s="605"/>
      <c r="M6" s="605"/>
      <c r="N6" s="622"/>
      <c r="O6" s="622"/>
      <c r="Q6" s="233"/>
      <c r="T6" s="234"/>
      <c r="X6" s="2460"/>
      <c r="Y6" s="2460"/>
      <c r="AA6" s="2467"/>
      <c r="AB6" s="2467"/>
      <c r="AC6" s="2467"/>
      <c r="AD6" s="1922" t="s">
        <v>65</v>
      </c>
      <c r="AE6" s="2467"/>
      <c r="AF6" s="2467"/>
      <c r="AG6" s="1951"/>
      <c r="AH6" s="1951"/>
      <c r="AI6" s="1952"/>
      <c r="AJ6" s="1951"/>
      <c r="AK6" s="1951"/>
    </row>
    <row r="7" spans="1:53">
      <c r="B7" s="728"/>
      <c r="C7" s="600"/>
      <c r="D7" s="3158" t="s">
        <v>679</v>
      </c>
      <c r="E7" s="3159"/>
      <c r="F7" s="3160"/>
      <c r="G7" s="3158" t="s">
        <v>1167</v>
      </c>
      <c r="H7" s="3159"/>
      <c r="I7" s="3161" t="s">
        <v>1262</v>
      </c>
      <c r="J7" s="3094"/>
      <c r="K7" s="600" t="s">
        <v>1031</v>
      </c>
      <c r="L7" s="3158" t="s">
        <v>1287</v>
      </c>
      <c r="M7" s="3160"/>
      <c r="N7" s="731" t="s">
        <v>337</v>
      </c>
      <c r="O7" s="732" t="s">
        <v>338</v>
      </c>
      <c r="P7" s="730" t="s">
        <v>620</v>
      </c>
      <c r="Q7" s="1764" t="s">
        <v>1426</v>
      </c>
      <c r="R7" s="539" t="s">
        <v>538</v>
      </c>
      <c r="S7" s="546"/>
      <c r="T7" s="550"/>
      <c r="W7" s="2460"/>
      <c r="AA7" s="2467"/>
      <c r="AB7" s="2467"/>
      <c r="AC7" s="2467"/>
      <c r="AD7" s="2477" t="s">
        <v>55</v>
      </c>
      <c r="AE7" s="2470"/>
      <c r="AF7" s="2470"/>
      <c r="AG7" s="2470"/>
      <c r="AH7" s="1964"/>
      <c r="AI7" s="1964"/>
      <c r="AJ7" s="1964"/>
      <c r="AK7" s="1964"/>
    </row>
    <row r="8" spans="1:53">
      <c r="B8" s="734"/>
      <c r="C8" s="606" t="s">
        <v>686</v>
      </c>
      <c r="D8" s="1241" t="s">
        <v>680</v>
      </c>
      <c r="E8" s="1242"/>
      <c r="F8" s="736" t="s">
        <v>211</v>
      </c>
      <c r="G8" s="3162" t="s">
        <v>219</v>
      </c>
      <c r="H8" s="3163"/>
      <c r="I8" s="3164" t="s">
        <v>219</v>
      </c>
      <c r="J8" s="3165"/>
      <c r="K8" s="1248" t="s">
        <v>344</v>
      </c>
      <c r="L8" s="734"/>
      <c r="M8" s="734"/>
      <c r="N8" s="594"/>
      <c r="O8" s="737"/>
      <c r="P8" s="736"/>
      <c r="Q8" s="1901"/>
      <c r="R8" s="560"/>
      <c r="S8" s="546"/>
      <c r="T8" s="550"/>
      <c r="W8" s="2460"/>
      <c r="Z8" s="2468"/>
      <c r="AA8" s="1964" t="s">
        <v>337</v>
      </c>
      <c r="AB8" s="1964"/>
      <c r="AC8" s="1964" t="s">
        <v>50</v>
      </c>
      <c r="AD8" s="2470" t="s">
        <v>550</v>
      </c>
      <c r="AE8" s="2470"/>
      <c r="AF8" s="1964" t="s">
        <v>555</v>
      </c>
      <c r="AG8" s="2470"/>
      <c r="AH8" s="1964" t="s">
        <v>337</v>
      </c>
      <c r="AI8" s="1964"/>
      <c r="AJ8" s="1964"/>
      <c r="AK8" s="1964" t="s">
        <v>50</v>
      </c>
      <c r="AL8" s="2470"/>
      <c r="AM8" s="2470"/>
      <c r="AN8" s="2470"/>
      <c r="AO8" s="2470"/>
    </row>
    <row r="9" spans="1:53" ht="13.8" thickBot="1">
      <c r="B9" s="734"/>
      <c r="C9" s="606"/>
      <c r="D9" s="734"/>
      <c r="E9" s="735" t="s">
        <v>138</v>
      </c>
      <c r="F9" s="736"/>
      <c r="G9" s="549" t="s">
        <v>344</v>
      </c>
      <c r="H9" s="547" t="s">
        <v>343</v>
      </c>
      <c r="I9" s="547" t="s">
        <v>344</v>
      </c>
      <c r="J9" s="559" t="s">
        <v>343</v>
      </c>
      <c r="K9" s="606" t="s">
        <v>1290</v>
      </c>
      <c r="L9" s="734"/>
      <c r="M9" s="734" t="s">
        <v>1293</v>
      </c>
      <c r="N9" s="594" t="s">
        <v>552</v>
      </c>
      <c r="O9" s="737" t="s">
        <v>552</v>
      </c>
      <c r="P9" s="736" t="s">
        <v>621</v>
      </c>
      <c r="Q9" s="1901"/>
      <c r="R9" s="549" t="s">
        <v>537</v>
      </c>
      <c r="S9" s="546" t="s">
        <v>337</v>
      </c>
      <c r="T9" s="550" t="s">
        <v>338</v>
      </c>
      <c r="W9" s="2460"/>
      <c r="Z9" s="1964" t="s">
        <v>51</v>
      </c>
      <c r="AA9" s="1964" t="s">
        <v>691</v>
      </c>
      <c r="AB9" s="1964" t="s">
        <v>52</v>
      </c>
      <c r="AC9" s="1964" t="s">
        <v>691</v>
      </c>
      <c r="AD9" s="2470" t="s">
        <v>690</v>
      </c>
      <c r="AE9" s="2470" t="s">
        <v>691</v>
      </c>
      <c r="AF9" s="2470" t="s">
        <v>56</v>
      </c>
      <c r="AG9" s="2470" t="s">
        <v>691</v>
      </c>
      <c r="AH9" s="1964" t="s">
        <v>51</v>
      </c>
      <c r="AI9" s="1964" t="s">
        <v>691</v>
      </c>
      <c r="AJ9" s="1964" t="s">
        <v>52</v>
      </c>
      <c r="AK9" s="1964" t="s">
        <v>691</v>
      </c>
      <c r="AL9" s="2470"/>
      <c r="AM9" s="2470"/>
      <c r="AN9" s="2470"/>
      <c r="AO9" s="2470"/>
    </row>
    <row r="10" spans="1:53" ht="13.8" thickBot="1">
      <c r="B10" s="740" t="s">
        <v>1155</v>
      </c>
      <c r="C10" s="935" t="s">
        <v>1273</v>
      </c>
      <c r="D10" s="1896" t="str">
        <f>'3.Cropland'!J44</f>
        <v>NO</v>
      </c>
      <c r="E10" s="2274">
        <f>IF('3.Cropland'!T173="",'3.Cropland'!S173,'3.Cropland'!T173)</f>
        <v>1</v>
      </c>
      <c r="F10" s="2276">
        <f>IF('3.Cropland'!P173="",'3.Cropland'!O173,'3.Cropland'!P173)</f>
        <v>10</v>
      </c>
      <c r="G10" s="741">
        <f>VLOOKUP(clim_full,' IPCC'!$A$126:$C$137,3,)</f>
        <v>0</v>
      </c>
      <c r="H10" s="2274">
        <f>IF('3.Cropland'!F173&lt;&gt;"",'3.Cropland'!F173,G10)</f>
        <v>0</v>
      </c>
      <c r="I10" s="659">
        <v>0</v>
      </c>
      <c r="J10" s="2274">
        <f>IF('3.Cropland'!I173&lt;&gt;"",'3.Cropland'!I173,I10)</f>
        <v>0</v>
      </c>
      <c r="K10" s="741">
        <f>HLOOKUP(clim_simple,' IPCC'!$A$598:$F$604,7,)</f>
        <v>0</v>
      </c>
      <c r="L10" s="722" t="s">
        <v>355</v>
      </c>
      <c r="M10" s="2275">
        <f>IF('3.Cropland'!N173="",K10,'3.Cropland'!N173)</f>
        <v>0</v>
      </c>
      <c r="N10" s="741">
        <f t="shared" ref="N10:N23" si="0">IF($D10="yes",$F10*$S$11,0)*$R$11/$E10</f>
        <v>0</v>
      </c>
      <c r="O10" s="742">
        <f t="shared" ref="O10:O23" si="1">IF($D10="yes",$F10*$T$11,0)*$R$11/$E10</f>
        <v>0</v>
      </c>
      <c r="P10" s="1246">
        <f>(N10*methane+O10*Nitrous)/1000</f>
        <v>0</v>
      </c>
      <c r="Q10" s="1901">
        <f>'3.Cropland'!N44</f>
        <v>0</v>
      </c>
      <c r="R10" s="739" t="s">
        <v>539</v>
      </c>
      <c r="S10" s="611" t="s">
        <v>540</v>
      </c>
      <c r="T10" s="738"/>
      <c r="W10" s="2460"/>
      <c r="Z10" s="1964">
        <f>(MIN(C32,D32)*time_tot+ABS(D32-C32)*IF(D32&gt;C32,time2+time*(VLOOKUP(E32,List!$E$35:$F$37,2,)),time*(1-(VLOOKUP(E32,List!$E$35:$F$37,2,)))))*N10*methane/1000</f>
        <v>0</v>
      </c>
      <c r="AA10" s="1964">
        <f>(MIN(C32,F32)*time_tot+ABS(F32-C32)*IF(F32&gt;C32,time2+time*(VLOOKUP(G32,List!$E$35:$F$37,2,)),time*(1-(VLOOKUP(G32,List!$E$35:$F$37,2,)))))*N10*methane/1000</f>
        <v>0</v>
      </c>
      <c r="AB10" s="1964">
        <f>(MIN(C32,D32)*time_tot+ABS(D32-C32)*IF(D32&gt;C32,time2+time*(VLOOKUP(E32,List!$E$35:$F$37,2,)),time*(1-(VLOOKUP(E32,List!$E$35:$F$37,2,)))))*O10*Nitrous/1000</f>
        <v>0</v>
      </c>
      <c r="AC10" s="1964">
        <f>(MIN(C32,F32)*time_tot+ABS(F32-C32)*IF(F32&gt;C32,time2+time*(VLOOKUP(G32,List!$E$35:$F$37,2,)),time*(1-(VLOOKUP(G32,List!$E$35:$F$37,2,)))))*O10*Nitrous/1000</f>
        <v>0</v>
      </c>
      <c r="AD10" s="2470">
        <f>-(MIN(C32,D32)*time+ABS(D32-C32)*IF(D32&gt;C32,(time-1)*(VLOOKUP(E32,List!$E$35:$F$37,2,)),(time-1)*(1-(VLOOKUP(E32,List!$E$35:$F$37,2,)))))*(IF($H10&gt;0,$H10,$G10)+IF($J10&gt;0,$J10,$I10))*(44/12)</f>
        <v>0</v>
      </c>
      <c r="AE10" s="2470">
        <f>-(MIN(C32,F32)*time+ABS(F32-C32)*IF(F32&gt;C32,(time-1)*(VLOOKUP(G32,List!$E$35:$F$37,2,)),(time-1)*(1-(VLOOKUP(G32,List!$E$35:$F$37,2,)))))*(IF($H10&gt;0,$H10,$G10)+IF($J10&gt;0,$J10,$I10))*44/12</f>
        <v>0</v>
      </c>
      <c r="AF10" s="1964">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64">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64">
        <f>(MIN(C32,D32)*time+ABS(D32-C32)*IF(D32&gt;C32,time*(VLOOKUP(E32,List!$E$35:$F$37,2,)),time*(1-(VLOOKUP(E32,List!$E$35:$F$37,2,)))))*N10*methane/1000</f>
        <v>0</v>
      </c>
      <c r="AI10" s="1964">
        <f>(MIN(C32,F32)*time+ABS(F32-C32)*IF(F32&gt;C32,time*(VLOOKUP(G32,List!$E$35:$F$37,2,)),time*(1-(VLOOKUP(G32,List!$E$35:$F$37,2,)))))*N10*methane/1000</f>
        <v>0</v>
      </c>
      <c r="AJ10" s="1964">
        <f>(MIN(C32,D32)*time+ABS(D32-C32)*IF(D32&gt;C32,time*(VLOOKUP(E32,List!$E$35:$F$37,2,)),time*(1-(VLOOKUP(E32,List!$E$35:$F$37,2,)))))*O10*Nitrous/1000</f>
        <v>0</v>
      </c>
      <c r="AK10" s="1964">
        <f>(MIN(C32,F32)*time+ABS(F32-C32)*IF(F32&gt;C32,time*(VLOOKUP(G32,List!$E$35:$F$37,2,)),time*(1-(VLOOKUP(G32,List!$E$35:$F$37,2,)))))*O10*Nitrous/1000</f>
        <v>0</v>
      </c>
      <c r="AL10" s="1964" t="s">
        <v>25</v>
      </c>
      <c r="AM10" s="1964" t="s">
        <v>531</v>
      </c>
      <c r="AN10" s="1964" t="s">
        <v>37</v>
      </c>
      <c r="AO10" s="1964" t="s">
        <v>38</v>
      </c>
    </row>
    <row r="11" spans="1:53" ht="13.8" thickBot="1">
      <c r="B11" s="740" t="s">
        <v>1156</v>
      </c>
      <c r="C11" s="935" t="s">
        <v>1169</v>
      </c>
      <c r="D11" s="1896" t="str">
        <f>'3.Cropland'!J45</f>
        <v>NO</v>
      </c>
      <c r="E11" s="2274">
        <f>IF('3.Cropland'!T174="",'3.Cropland'!S174,'3.Cropland'!T174)</f>
        <v>1</v>
      </c>
      <c r="F11" s="2276">
        <f>IF('3.Cropland'!P174="",'3.Cropland'!O174,'3.Cropland'!P174)</f>
        <v>10</v>
      </c>
      <c r="G11" s="741">
        <v>0</v>
      </c>
      <c r="H11" s="2274">
        <f>IF('3.Cropland'!F174&lt;&gt;"",'3.Cropland'!F174,G11)</f>
        <v>0</v>
      </c>
      <c r="I11" s="659">
        <v>0</v>
      </c>
      <c r="J11" s="2274">
        <f>IF('3.Cropland'!I174&lt;&gt;"",'3.Cropland'!I174,I11)</f>
        <v>0</v>
      </c>
      <c r="K11" s="741">
        <f>HLOOKUP(clim_simple,' IPCC'!$A$598:$F$604,7,)</f>
        <v>0</v>
      </c>
      <c r="L11" s="722" t="s">
        <v>355</v>
      </c>
      <c r="M11" s="2275">
        <f>IF('3.Cropland'!N174="",K11,'3.Cropland'!N174)</f>
        <v>0</v>
      </c>
      <c r="N11" s="741">
        <f t="shared" si="0"/>
        <v>0</v>
      </c>
      <c r="O11" s="742">
        <f t="shared" si="1"/>
        <v>0</v>
      </c>
      <c r="P11" s="1246">
        <f t="shared" ref="P11:P16" si="2">(N11*methane+O11*Nitrous)/1000</f>
        <v>0</v>
      </c>
      <c r="Q11" s="1901">
        <f>'3.Cropland'!N45</f>
        <v>0</v>
      </c>
      <c r="R11" s="733">
        <v>0.8</v>
      </c>
      <c r="S11" s="546">
        <v>2.2999999999999998</v>
      </c>
      <c r="T11" s="550">
        <v>0.21</v>
      </c>
      <c r="W11" s="2460"/>
      <c r="Z11" s="1964">
        <f>(MIN(C33,D33)*time_tot+ABS(D33-C33)*IF(D33&gt;C33,time2+time*(VLOOKUP(E33,List!$E$35:$F$37,2,)),time*(1-(VLOOKUP(E33,List!$E$35:$F$37,2,)))))*N11*methane/1000</f>
        <v>0</v>
      </c>
      <c r="AA11" s="1964">
        <f>(($C33*time)+((F33-$C33))*(VLOOKUP(G33,List!$E$35:$F$37,2,)*time)+(F33*time2))*N11*methane/1000</f>
        <v>0</v>
      </c>
      <c r="AB11" s="1964">
        <f>(MIN(C33,D33)*time_tot+ABS(D33-C33)*IF(D33&gt;C33,time2+time*(VLOOKUP(E33,List!$E$35:$F$37,2,)),time*(1-(VLOOKUP(E33,List!$E$35:$F$37,2,)))))*O11*Nitrous/1000</f>
        <v>0</v>
      </c>
      <c r="AC11" s="1964">
        <f>(MIN(C33,F33)*time_tot+ABS(F33-C33)*IF(F33&gt;C33,time2+time*(VLOOKUP(G33,List!$E$35:$F$37,2,)),time*(1-(VLOOKUP(G33,List!$E$35:$F$37,2,)))))*O11*Nitrous/1000</f>
        <v>0</v>
      </c>
      <c r="AD11" s="2470">
        <f>-(MIN(C33,D33)*time+ABS(D33-C33)*IF(D33&gt;C33,time*(VLOOKUP(E33,List!$E$35:$F$37,2,)),time*(1-(VLOOKUP(E33,List!$E$35:$F$37,2,)))))*(IF($H11&gt;0,$H11,$G11)+IF($J11&gt;0,$J11,$I11))*(44/12)</f>
        <v>0</v>
      </c>
      <c r="AE11" s="2470">
        <f>-(MIN(C33,F33)*time+ABS(F33-C33)*IF(F33&gt;C33,time*(VLOOKUP(G33,List!$E$35:$F$37,2,)),time*(1-(VLOOKUP(G33,List!$E$35:$F$37,2,)))))*(IF($H11&gt;0,$H11,$G11)+IF($J11&gt;0,$J11,$I11))*44/12</f>
        <v>0</v>
      </c>
      <c r="AF11" s="1964">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64">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64">
        <f>(MIN(C33,D33)*time+ABS(D33-C33)*IF(D33&gt;C33,time*(VLOOKUP(E33,List!$E$35:$F$37,2,)),time*(1-(VLOOKUP(E33,List!$E$35:$F$37,2,)))))*N11*methane/1000</f>
        <v>0</v>
      </c>
      <c r="AI11" s="1964">
        <f>(MIN(C33,F33)*time+ABS(F33-C33)*IF(F33&gt;C33,time*(VLOOKUP(G33,List!$E$35:$F$37,2,)),time*(1-(VLOOKUP(G33,List!$E$35:$F$37,2,)))))*N11*methane/1000</f>
        <v>0</v>
      </c>
      <c r="AJ11" s="1964">
        <f>(MIN(C33,D33)*time+ABS(D33-C33)*IF(D33&gt;C33,time*(VLOOKUP(E33,List!$E$35:$F$37,2,)),time*(1-(VLOOKUP(E33,List!$E$35:$F$37,2,)))))*O11*Nitrous/1000</f>
        <v>0</v>
      </c>
      <c r="AK11" s="1964">
        <f>(MIN(C33,F33)*time+ABS(F33-C33)*IF(F33&gt;C33,time*(VLOOKUP(G33,List!$E$35:$F$37,2,)),time*(1-(VLOOKUP(G33,List!$E$35:$F$37,2,)))))*O11*Nitrous/1000</f>
        <v>0</v>
      </c>
      <c r="AL11" s="1964" t="s">
        <v>26</v>
      </c>
      <c r="AM11" s="1964">
        <f>SUM(I32:I45)-SUM(H32:H45)</f>
        <v>0</v>
      </c>
      <c r="AN11" s="1964">
        <f>IF(time=0,0,SUM(AE10:AE23)-SUM(AD10:AD23))</f>
        <v>0</v>
      </c>
      <c r="AO11" s="1964">
        <f>AM11-AN11</f>
        <v>0</v>
      </c>
    </row>
    <row r="12" spans="1:53" ht="13.8" thickBot="1">
      <c r="B12" s="743" t="s">
        <v>1248</v>
      </c>
      <c r="C12" s="936" t="s">
        <v>72</v>
      </c>
      <c r="D12" s="1896" t="str">
        <f>'3.Cropland'!J46</f>
        <v>NO</v>
      </c>
      <c r="E12" s="2274">
        <f>IF('3.Cropland'!T175="",'3.Cropland'!S175,'3.Cropland'!T175)</f>
        <v>1</v>
      </c>
      <c r="F12" s="2276">
        <f>IF('3.Cropland'!P175="",'3.Cropland'!O175,'3.Cropland'!P175)</f>
        <v>10</v>
      </c>
      <c r="G12" s="744">
        <f>VLOOKUP(clim_full,' IPCC'!$A$126:$C$137,3,)</f>
        <v>0</v>
      </c>
      <c r="H12" s="2274">
        <f>IF('3.Cropland'!F175&lt;&gt;"",'3.Cropland'!F175,G12)</f>
        <v>0</v>
      </c>
      <c r="I12" s="745">
        <v>0</v>
      </c>
      <c r="J12" s="2274">
        <f>IF('3.Cropland'!I175&lt;&gt;"",'3.Cropland'!I175,I12)</f>
        <v>0</v>
      </c>
      <c r="K12" s="744">
        <f>HLOOKUP(clim_simple,' IPCC'!$A$598:$F$604,7,)</f>
        <v>0</v>
      </c>
      <c r="L12" s="722" t="s">
        <v>355</v>
      </c>
      <c r="M12" s="2275">
        <f>IF('3.Cropland'!N175="",K12,'3.Cropland'!N175)</f>
        <v>0</v>
      </c>
      <c r="N12" s="744">
        <f t="shared" si="0"/>
        <v>0</v>
      </c>
      <c r="O12" s="746">
        <f t="shared" si="1"/>
        <v>0</v>
      </c>
      <c r="P12" s="1247">
        <f>(N12*methane+O12*Nitrous)/1000</f>
        <v>0</v>
      </c>
      <c r="Q12" s="1901">
        <f>'3.Cropland'!N46</f>
        <v>0</v>
      </c>
      <c r="R12" s="233"/>
      <c r="S12" s="233"/>
      <c r="T12" s="234"/>
      <c r="W12" s="2460"/>
      <c r="Z12" s="1964">
        <f>(MIN(C34,D34)*time_tot+ABS(D34-C34)*IF(D34&gt;C34,time2+time*(VLOOKUP(E34,List!$E$35:$F$37,2,)),time*(1-(VLOOKUP(E34,List!$E$35:$F$37,2,)))))*N12*methane/1000</f>
        <v>0</v>
      </c>
      <c r="AA12" s="1964">
        <f>(($C34*time)+((F34-$C34))*(VLOOKUP(G34,List!$E$35:$F$37,2,)*time)+(F34*time2))*N12*methane/1000</f>
        <v>0</v>
      </c>
      <c r="AB12" s="1964">
        <f>(MIN(C34,D34)*time_tot+ABS(D34-C34)*IF(D34&gt;C34,time2+time*(VLOOKUP(E34,List!$E$35:$F$37,2,)),time*(1-(VLOOKUP(E34,List!$E$35:$F$37,2,)))))*O12*Nitrous/1000</f>
        <v>0</v>
      </c>
      <c r="AC12" s="1964">
        <f>(MIN(C34,F34)*time_tot+ABS(F34-C34)*IF(F34&gt;C34,time2+time*(VLOOKUP(G34,List!$E$35:$F$37,2,)),time*(1-(VLOOKUP(G34,List!$E$35:$F$37,2,)))))*O12*Nitrous/1000</f>
        <v>0</v>
      </c>
      <c r="AD12" s="2470">
        <f>-(MIN(C34,D34)*time+ABS(D34-C34)*IF(D34&gt;C34,(time-1)*(VLOOKUP(E34,List!$E$35:$F$37,2,)),(time-1)*(1-(VLOOKUP(E34,List!$E$35:$F$37,2,)))))*(IF($H12&gt;0,$H12,$G12)+IF($J12&gt;0,$J12,$I12))*(44/12)</f>
        <v>0</v>
      </c>
      <c r="AE12" s="2470">
        <f>-(MIN(C34,F34)*time+ABS(F34-C34)*IF(F34&gt;C34,(time-1)*(VLOOKUP(G34,List!$E$35:$F$37,2,)),(time-1)*(1-(VLOOKUP(G34,List!$E$35:$F$37,2,)))))*(IF($H12&gt;0,$H12,$G12)+IF($J12&gt;0,$J12,$I12))*44/12</f>
        <v>0</v>
      </c>
      <c r="AF12" s="1964">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64">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64">
        <f>(MIN(C34,D34)*time+ABS(D34-C34)*IF(D34&gt;C34,time*(VLOOKUP(E34,List!$E$35:$F$37,2,)),time*(1-(VLOOKUP(E34,List!$E$35:$F$37,2,)))))*N12*methane/1000</f>
        <v>0</v>
      </c>
      <c r="AI12" s="1964">
        <f>(MIN(C34,F34)*time+ABS(F34-C34)*IF(F34&gt;C34,time*(VLOOKUP(G34,List!$E$35:$F$37,2,)),time*(1-(VLOOKUP(G34,List!$E$35:$F$37,2,)))))*N12*methane/1000</f>
        <v>0</v>
      </c>
      <c r="AJ12" s="1964">
        <f>(MIN(C34,D34)*time+ABS(D34-C34)*IF(D34&gt;C34,time*(VLOOKUP(E34,List!$E$35:$F$37,2,)),time*(1-(VLOOKUP(E34,List!$E$35:$F$37,2,)))))*O12*Nitrous/1000</f>
        <v>0</v>
      </c>
      <c r="AK12" s="1964">
        <f>(MIN(C34,F34)*time+ABS(F34-C34)*IF(F34&gt;C34,time*(VLOOKUP(G34,List!$E$35:$F$37,2,)),time*(1-(VLOOKUP(G34,List!$E$35:$F$37,2,)))))*O12*Nitrous/1000</f>
        <v>0</v>
      </c>
      <c r="AL12" s="1964" t="s">
        <v>27</v>
      </c>
      <c r="AM12" s="1964">
        <f>SUM(K32:K45)-SUM(J32:J45)</f>
        <v>0</v>
      </c>
      <c r="AN12" s="1964">
        <f>SUM(AG10:AG23)-SUM(AF10:AF23)</f>
        <v>0</v>
      </c>
      <c r="AO12" s="1964">
        <f>AM12-AN12</f>
        <v>0</v>
      </c>
    </row>
    <row r="13" spans="1:53" ht="13.8" thickBot="1">
      <c r="B13" s="740" t="s">
        <v>1249</v>
      </c>
      <c r="C13" s="936" t="s">
        <v>78</v>
      </c>
      <c r="D13" s="1896" t="str">
        <f>'3.Cropland'!J47</f>
        <v>NO</v>
      </c>
      <c r="E13" s="2274">
        <f>IF('3.Cropland'!T176="",'3.Cropland'!S176,'3.Cropland'!T176)</f>
        <v>1</v>
      </c>
      <c r="F13" s="2276">
        <f>IF('3.Cropland'!P176="",'3.Cropland'!O176,'3.Cropland'!P176)</f>
        <v>10</v>
      </c>
      <c r="G13" s="741">
        <v>0</v>
      </c>
      <c r="H13" s="2274">
        <f>IF('3.Cropland'!F176&lt;&gt;"",'3.Cropland'!F176,G13)</f>
        <v>0</v>
      </c>
      <c r="I13" s="659">
        <v>0</v>
      </c>
      <c r="J13" s="2274">
        <f>IF('3.Cropland'!I176&lt;&gt;"",'3.Cropland'!I176,I13)</f>
        <v>0</v>
      </c>
      <c r="K13" s="741">
        <f>HLOOKUP(clim_simple,' IPCC'!$A$598:$F$604,7,)</f>
        <v>0</v>
      </c>
      <c r="L13" s="722" t="s">
        <v>355</v>
      </c>
      <c r="M13" s="2275">
        <f>IF('3.Cropland'!N176="",K13,'3.Cropland'!N176)</f>
        <v>0</v>
      </c>
      <c r="N13" s="741">
        <f t="shared" si="0"/>
        <v>0</v>
      </c>
      <c r="O13" s="742">
        <f t="shared" si="1"/>
        <v>0</v>
      </c>
      <c r="P13" s="1246">
        <f>(N13*methane+O13*Nitrous)/1000</f>
        <v>0</v>
      </c>
      <c r="Q13" s="1901">
        <f>'3.Cropland'!N47</f>
        <v>0</v>
      </c>
      <c r="R13" s="233"/>
      <c r="S13" s="233"/>
      <c r="T13" s="234"/>
      <c r="U13" s="1534"/>
      <c r="W13" s="2460"/>
      <c r="Z13" s="1964">
        <f>(MIN(C35,D35)*time_tot+ABS(D35-C35)*IF(D35&gt;C35,time2+time*(VLOOKUP(E35,List!$E$35:$F$37,2,)),time*(1-(VLOOKUP(E35,List!$E$35:$F$37,2,)))))*N13*methane/1000</f>
        <v>0</v>
      </c>
      <c r="AA13" s="1964">
        <f>(($C35*time)+((F35-$C35))*(VLOOKUP(G35,List!$E$35:$F$37,2,)*time)+(F35*time2))*N13*methane/1000</f>
        <v>0</v>
      </c>
      <c r="AB13" s="1964">
        <f>(MIN(C35,D35)*time_tot+ABS(D35-C35)*IF(D35&gt;C35,time2+time*(VLOOKUP(E35,List!$E$35:$F$37,2,)),time*(1-(VLOOKUP(E35,List!$E$35:$F$37,2,)))))*O13*Nitrous/1000</f>
        <v>0</v>
      </c>
      <c r="AC13" s="1964">
        <f>(MIN(C35,F35)*time_tot+ABS(F35-C35)*IF(F35&gt;C35,time2+time*(VLOOKUP(G35,List!$E$35:$F$37,2,)),time*(1-(VLOOKUP(G35,List!$E$35:$F$37,2,)))))*O13*Nitrous/1000</f>
        <v>0</v>
      </c>
      <c r="AD13" s="2470">
        <f>-(MIN(C35,D35)*time+ABS(D35-C35)*IF(D35&gt;C35,time*(VLOOKUP(E35,List!$E$35:$F$37,2,)),time*(1-(VLOOKUP(E35,List!$E$35:$F$37,2,)))))*(IF($H13&gt;0,$H13,$G13)+IF($J13&gt;0,$J13,$I13))*(44/12)</f>
        <v>0</v>
      </c>
      <c r="AE13" s="2470">
        <f>-(MIN(C35,F35)*time+ABS(F35-C35)*IF(F35&gt;C35,time*(VLOOKUP(G35,List!$E$35:$F$37,2,)),time*(1-(VLOOKUP(G35,List!$E$35:$F$37,2,)))))*(IF($H13&gt;0,$H13,$G13)+IF($J13&gt;0,$J13,$I13))*44/12</f>
        <v>0</v>
      </c>
      <c r="AF13" s="1964">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64">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64">
        <f>(MIN(C35,D35)*time+ABS(D35-C35)*IF(D35&gt;C35,time*(VLOOKUP(E35,List!$E$35:$F$37,2,)),time*(1-(VLOOKUP(E35,List!$E$35:$F$37,2,)))))*N13*methane/1000</f>
        <v>0</v>
      </c>
      <c r="AI13" s="1964">
        <f>(MIN(C35,F35)*time+ABS(F35-C35)*IF(F35&gt;C35,time*(VLOOKUP(G35,List!$E$35:$F$37,2,)),time*(1-(VLOOKUP(G35,List!$E$35:$F$37,2,)))))*N13*methane/1000</f>
        <v>0</v>
      </c>
      <c r="AJ13" s="1964">
        <f>(MIN(C35,D35)*time+ABS(D35-C35)*IF(D35&gt;C35,time*(VLOOKUP(E35,List!$E$35:$F$37,2,)),time*(1-(VLOOKUP(E35,List!$E$35:$F$37,2,)))))*O13*Nitrous/1000</f>
        <v>0</v>
      </c>
      <c r="AK13" s="1964">
        <f>(MIN(C35,F35)*time+ABS(F35-C35)*IF(F35&gt;C35,time*(VLOOKUP(G35,List!$E$35:$F$37,2,)),time*(1-(VLOOKUP(G35,List!$E$35:$F$37,2,)))))*O13*Nitrous/1000</f>
        <v>0</v>
      </c>
      <c r="AL13" s="1964" t="s">
        <v>337</v>
      </c>
      <c r="AM13" s="1964">
        <f>SUM(AA10:AA23)-SUM(Z10:Z23)</f>
        <v>0</v>
      </c>
      <c r="AN13" s="1964">
        <f>SUM(AI10:AI23)-SUM(AH10:AH23)</f>
        <v>0</v>
      </c>
      <c r="AO13" s="1964">
        <f>AM13-AN13</f>
        <v>0</v>
      </c>
    </row>
    <row r="14" spans="1:53" ht="13.8" thickBot="1">
      <c r="B14" s="596" t="s">
        <v>1128</v>
      </c>
      <c r="C14" s="718"/>
      <c r="D14" s="1896" t="str">
        <f>'3.Cropland'!J52</f>
        <v>NO</v>
      </c>
      <c r="E14" s="2274">
        <f>IF('3.Cropland'!T178="",'3.Cropland'!S178,'3.Cropland'!T178)</f>
        <v>1</v>
      </c>
      <c r="F14" s="2276">
        <f>IF('3.Cropland'!P178="",'3.Cropland'!O178,'3.Cropland'!P178)</f>
        <v>10</v>
      </c>
      <c r="G14" s="650">
        <v>0</v>
      </c>
      <c r="H14" s="2274">
        <f>IF('3.Cropland'!F178&lt;&gt;"",'3.Cropland'!F178,G14)</f>
        <v>0</v>
      </c>
      <c r="I14" s="456">
        <v>0</v>
      </c>
      <c r="J14" s="2274">
        <f>IF('3.Cropland'!I178&lt;&gt;"",'3.Cropland'!I178,I14)</f>
        <v>0</v>
      </c>
      <c r="K14" s="650">
        <f>HLOOKUP(clim_simple,' IPCC'!$A$598:$F$604,7,)</f>
        <v>0</v>
      </c>
      <c r="L14" s="722" t="s">
        <v>355</v>
      </c>
      <c r="M14" s="2275">
        <f>IF('3.Cropland'!N178="",K14,'3.Cropland'!N178)</f>
        <v>0</v>
      </c>
      <c r="N14" s="650">
        <f t="shared" si="0"/>
        <v>0</v>
      </c>
      <c r="O14" s="747">
        <f t="shared" si="1"/>
        <v>0</v>
      </c>
      <c r="P14" s="706">
        <f t="shared" si="2"/>
        <v>0</v>
      </c>
      <c r="Q14" s="1901">
        <f>'3.Cropland'!N52</f>
        <v>0</v>
      </c>
      <c r="R14" s="233"/>
      <c r="S14" s="233"/>
      <c r="T14" s="234"/>
      <c r="U14" s="1534"/>
      <c r="W14" s="2460"/>
      <c r="Z14" s="1964">
        <f>(MIN(C36,D36)*time_tot+ABS(D36-C36)*IF(D36&gt;C36,time2+time*(VLOOKUP(E36,List!$E$35:$F$37,2,)),time*(1-(VLOOKUP(E36,List!$E$35:$F$37,2,)))))*N14*methane/1000</f>
        <v>0</v>
      </c>
      <c r="AA14" s="1964">
        <f>(($C36*time)+((F36-$C36))*(VLOOKUP(G36,List!$E$35:$F$37,2,)*time)+(F36*time2))*N14*methane/1000</f>
        <v>0</v>
      </c>
      <c r="AB14" s="1964">
        <f>(MIN(C36,D36)*time_tot+ABS(D36-C36)*IF(D36&gt;C36,time2+time*(VLOOKUP(E36,List!$E$35:$F$37,2,)),time*(1-(VLOOKUP(E36,List!$E$35:$F$37,2,)))))*O14*Nitrous/1000</f>
        <v>0</v>
      </c>
      <c r="AC14" s="1964">
        <f>(MIN(C36,F36)*time_tot+ABS(F36-C36)*IF(F36&gt;C36,time2+time*(VLOOKUP(G36,List!$E$35:$F$37,2,)),time*(1-(VLOOKUP(G36,List!$E$35:$F$37,2,)))))*O14*Nitrous/1000</f>
        <v>0</v>
      </c>
      <c r="AD14" s="2470">
        <f>-(MIN(C36,D36)*time+ABS(D36-C36)*IF(D36&gt;C36,time*(VLOOKUP(E36,List!$E$35:$F$37,2,)),time*(1-(VLOOKUP(E36,List!$E$35:$F$37,2,)))))*(IF($H14&gt;0,$H14,$G14)+IF($J14&gt;0,$J14,$I14))*(44/12)</f>
        <v>0</v>
      </c>
      <c r="AE14" s="2470">
        <f>-(MIN(C36,F36)*time+ABS(F36-C36)*IF(F36&gt;C36,time*(VLOOKUP(G36,List!$E$35:$F$37,2,)),time*(1-(VLOOKUP(G36,List!$E$35:$F$37,2,)))))*(IF($H14&gt;0,$H14,$G14)+IF($J14&gt;0,$J14,$I14))*44/12</f>
        <v>0</v>
      </c>
      <c r="AF14" s="1964">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64">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64">
        <f>(MIN(C36,D36)*time+ABS(D36-C36)*IF(D36&gt;C36,time*(VLOOKUP(E36,List!$E$35:$F$37,2,)),time*(1-(VLOOKUP(E36,List!$E$35:$F$37,2,)))))*N14*methane/1000</f>
        <v>0</v>
      </c>
      <c r="AI14" s="1964">
        <f>(MIN(C36,F36)*time+ABS(F36-C36)*IF(F36&gt;C36,time*(VLOOKUP(G36,List!$E$35:$F$37,2,)),time*(1-(VLOOKUP(G36,List!$E$35:$F$37,2,)))))*N14*methane/1000</f>
        <v>0</v>
      </c>
      <c r="AJ14" s="1964">
        <f>(MIN(C36,D36)*time+ABS(D36-C36)*IF(D36&gt;C36,time*(VLOOKUP(E36,List!$E$35:$F$37,2,)),time*(1-(VLOOKUP(E36,List!$E$35:$F$37,2,)))))*O14*Nitrous/1000</f>
        <v>0</v>
      </c>
      <c r="AK14" s="1964">
        <f>(MIN(C36,F36)*time+ABS(F36-C36)*IF(F36&gt;C36,time*(VLOOKUP(G36,List!$E$35:$F$37,2,)),time*(1-(VLOOKUP(G36,List!$E$35:$F$37,2,)))))*O14*Nitrous/1000</f>
        <v>0</v>
      </c>
      <c r="AL14" s="1964" t="s">
        <v>338</v>
      </c>
      <c r="AM14" s="1964">
        <f>SUM(AC10:AC23)-SUM(AB10:AB23)</f>
        <v>0</v>
      </c>
      <c r="AN14" s="1964">
        <f>SUM(AK10:AK23)-SUM(AJ10:AJ23)</f>
        <v>0</v>
      </c>
      <c r="AO14" s="1964">
        <f>AM14-AN14</f>
        <v>0</v>
      </c>
    </row>
    <row r="15" spans="1:53" ht="13.8" thickBot="1">
      <c r="B15" s="596" t="s">
        <v>1129</v>
      </c>
      <c r="C15" s="718"/>
      <c r="D15" s="1896" t="str">
        <f>'3.Cropland'!J53</f>
        <v>NO</v>
      </c>
      <c r="E15" s="2274">
        <f>IF('3.Cropland'!T179="",'3.Cropland'!S179,'3.Cropland'!T179)</f>
        <v>1</v>
      </c>
      <c r="F15" s="2276">
        <f>IF('3.Cropland'!P179="",'3.Cropland'!O179,'3.Cropland'!P179)</f>
        <v>10</v>
      </c>
      <c r="G15" s="650">
        <v>0</v>
      </c>
      <c r="H15" s="2274">
        <f>IF('3.Cropland'!F179&lt;&gt;"",'3.Cropland'!F179,G15)</f>
        <v>0</v>
      </c>
      <c r="I15" s="456">
        <v>0</v>
      </c>
      <c r="J15" s="2274">
        <f>IF('3.Cropland'!I179&lt;&gt;"",'3.Cropland'!I179,I15)</f>
        <v>0</v>
      </c>
      <c r="K15" s="650">
        <f>HLOOKUP(clim_simple,' IPCC'!$A$598:$F$604,7,)</f>
        <v>0</v>
      </c>
      <c r="L15" s="722" t="s">
        <v>355</v>
      </c>
      <c r="M15" s="2275">
        <f>IF('3.Cropland'!N179="",K15,'3.Cropland'!N179)</f>
        <v>0</v>
      </c>
      <c r="N15" s="650">
        <f t="shared" si="0"/>
        <v>0</v>
      </c>
      <c r="O15" s="747">
        <f t="shared" si="1"/>
        <v>0</v>
      </c>
      <c r="P15" s="706">
        <f t="shared" si="2"/>
        <v>0</v>
      </c>
      <c r="Q15" s="1901">
        <f>'3.Cropland'!N53</f>
        <v>0</v>
      </c>
      <c r="R15" s="233"/>
      <c r="S15" s="233"/>
      <c r="T15" s="234"/>
      <c r="U15" s="1534"/>
      <c r="W15" s="2460"/>
      <c r="Z15" s="1964">
        <f>(MIN(C37,D37)*time_tot+ABS(D37-C37)*IF(D37&gt;C37,time2+time*(VLOOKUP(E37,List!$E$35:$F$37,2,)),time*(1-(VLOOKUP(E37,List!$E$35:$F$37,2,)))))*N15*methane/1000</f>
        <v>0</v>
      </c>
      <c r="AA15" s="1964">
        <f>(($C37*time)+((F37-$C37))*(VLOOKUP(G37,List!$E$35:$F$37,2,)*time)+(F37*time2))*N15*methane/1000</f>
        <v>0</v>
      </c>
      <c r="AB15" s="1964">
        <f>(MIN(C37,D37)*time_tot+ABS(D37-C37)*IF(D37&gt;C37,time2+time*(VLOOKUP(E37,List!$E$35:$F$37,2,)),time*(1-(VLOOKUP(E37,List!$E$35:$F$37,2,)))))*O15*Nitrous/1000</f>
        <v>0</v>
      </c>
      <c r="AC15" s="1964">
        <f>(MIN(C37,F37)*time_tot+ABS(F37-C37)*IF(F37&gt;C37,time2+time*(VLOOKUP(G37,List!$E$35:$F$37,2,)),time*(1-(VLOOKUP(G37,List!$E$35:$F$37,2,)))))*O15*Nitrous/1000</f>
        <v>0</v>
      </c>
      <c r="AD15" s="2470">
        <f>-(MIN(C37,D37)*time+ABS(D37-C37)*IF(D37&gt;C37,time*(VLOOKUP(E37,List!$E$35:$F$37,2,)),time*(1-(VLOOKUP(E37,List!$E$35:$F$37,2,)))))*(IF($H15&gt;0,$H15,$G15)+IF($J15&gt;0,$J15,$I15))*(44/12)</f>
        <v>0</v>
      </c>
      <c r="AE15" s="2470">
        <f>-(MIN(C37,F37)*time+ABS(F37-C37)*IF(F37&gt;C37,time*(VLOOKUP(G37,List!$E$35:$F$37,2,)),time*(1-(VLOOKUP(G37,List!$E$35:$F$37,2,)))))*(IF($H15&gt;0,$H15,$G15)+IF($J15&gt;0,$J15,$I15))*44/12</f>
        <v>0</v>
      </c>
      <c r="AF15" s="1964">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64">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64">
        <f>(MIN(C37,D37)*time+ABS(D37-C37)*IF(D37&gt;C37,time*(VLOOKUP(E37,List!$E$35:$F$37,2,)),time*(1-(VLOOKUP(E37,List!$E$35:$F$37,2,)))))*N15*methane/1000</f>
        <v>0</v>
      </c>
      <c r="AI15" s="1964">
        <f>(MIN(C37,F37)*time+ABS(F37-C37)*IF(F37&gt;C37,time*(VLOOKUP(G37,List!$E$35:$F$37,2,)),time*(1-(VLOOKUP(G37,List!$E$35:$F$37,2,)))))*N15*methane/1000</f>
        <v>0</v>
      </c>
      <c r="AJ15" s="1964">
        <f>(MIN(C37,D37)*time+ABS(D37-C37)*IF(D37&gt;C37,time*(VLOOKUP(E37,List!$E$35:$F$37,2,)),time*(1-(VLOOKUP(E37,List!$E$35:$F$37,2,)))))*O15*Nitrous/1000</f>
        <v>0</v>
      </c>
      <c r="AK15" s="1964">
        <f>(MIN(C37,F37)*time+ABS(F37-C37)*IF(F37&gt;C37,time*(VLOOKUP(G37,List!$E$35:$F$37,2,)),time*(1-(VLOOKUP(G37,List!$E$35:$F$37,2,)))))*O15*Nitrous/1000</f>
        <v>0</v>
      </c>
      <c r="AL15" s="1964"/>
      <c r="AM15" s="1964">
        <f>SUM(AM11:AM14)</f>
        <v>0</v>
      </c>
      <c r="AN15" s="1964">
        <f>SUM(AN11:AN14)</f>
        <v>0</v>
      </c>
      <c r="AO15" s="1964">
        <f>SUM(AO11:AO14)</f>
        <v>0</v>
      </c>
    </row>
    <row r="16" spans="1:53" ht="13.8" thickBot="1">
      <c r="B16" s="596" t="s">
        <v>1130</v>
      </c>
      <c r="C16" s="718"/>
      <c r="D16" s="1896" t="str">
        <f>'3.Cropland'!J54</f>
        <v>NO</v>
      </c>
      <c r="E16" s="2274">
        <f>IF('3.Cropland'!T180="",'3.Cropland'!S180,'3.Cropland'!T180)</f>
        <v>1</v>
      </c>
      <c r="F16" s="2276">
        <f>IF('3.Cropland'!P180="",'3.Cropland'!O180,'3.Cropland'!P180)</f>
        <v>10</v>
      </c>
      <c r="G16" s="650">
        <v>0</v>
      </c>
      <c r="H16" s="2274">
        <f>IF('3.Cropland'!F180&lt;&gt;"",'3.Cropland'!F180,G16)</f>
        <v>0</v>
      </c>
      <c r="I16" s="456">
        <v>0</v>
      </c>
      <c r="J16" s="2274">
        <f>IF('3.Cropland'!I180&lt;&gt;"",'3.Cropland'!I180,I16)</f>
        <v>0</v>
      </c>
      <c r="K16" s="650">
        <f>HLOOKUP(clim_simple,' IPCC'!$A$598:$F$604,7,)</f>
        <v>0</v>
      </c>
      <c r="L16" s="722" t="s">
        <v>355</v>
      </c>
      <c r="M16" s="2275">
        <f>IF('3.Cropland'!N180="",K16,'3.Cropland'!N180)</f>
        <v>0</v>
      </c>
      <c r="N16" s="650">
        <f t="shared" si="0"/>
        <v>0</v>
      </c>
      <c r="O16" s="747">
        <f t="shared" si="1"/>
        <v>0</v>
      </c>
      <c r="P16" s="706">
        <f t="shared" si="2"/>
        <v>0</v>
      </c>
      <c r="Q16" s="1901">
        <f>'3.Cropland'!N54</f>
        <v>0</v>
      </c>
      <c r="R16" s="233"/>
      <c r="S16" s="233"/>
      <c r="T16" s="234"/>
      <c r="U16" s="1534"/>
      <c r="W16" s="2460"/>
      <c r="Z16" s="1964">
        <f>(MIN(C38,D38)*time_tot+ABS(D38-C38)*IF(D38&gt;C38,time2+time*(VLOOKUP(E38,List!$E$35:$F$37,2,)),time*(1-(VLOOKUP(E38,List!$E$35:$F$37,2,)))))*N16*methane/1000</f>
        <v>0</v>
      </c>
      <c r="AA16" s="1964">
        <f>(($C38*time)+((F38-$C38))*(VLOOKUP(G38,List!$E$35:$F$37,2,)*time)+(F38*time2))*N16*methane/1000</f>
        <v>0</v>
      </c>
      <c r="AB16" s="1964">
        <f>(MIN(C38,D38)*time_tot+ABS(D38-C38)*IF(D38&gt;C38,time2+time*(VLOOKUP(E38,List!$E$35:$F$37,2,)),time*(1-(VLOOKUP(E38,List!$E$35:$F$37,2,)))))*O16*Nitrous/1000</f>
        <v>0</v>
      </c>
      <c r="AC16" s="1964">
        <f>(MIN(C38,F38)*time_tot+ABS(F38-C38)*IF(F38&gt;C38,time2+time*(VLOOKUP(G38,List!$E$35:$F$37,2,)),time*(1-(VLOOKUP(G38,List!$E$35:$F$37,2,)))))*O16*Nitrous/1000</f>
        <v>0</v>
      </c>
      <c r="AD16" s="2470">
        <f>-(MIN(C38,D38)*time+ABS(D38-C38)*IF(D38&gt;C38,time*(VLOOKUP(E38,List!$E$35:$F$37,2,)),time*(1-(VLOOKUP(E38,List!$E$35:$F$37,2,)))))*(IF($H16&gt;0,$H16,$G16)+IF($J16&gt;0,$J16,$I16))*(44/12)</f>
        <v>0</v>
      </c>
      <c r="AE16" s="2470">
        <f>-(MIN(C38,F38)*time+ABS(F38-C38)*IF(F38&gt;C38,time*(VLOOKUP(G38,List!$E$35:$F$37,2,)),time*(1-(VLOOKUP(G38,List!$E$35:$F$37,2,)))))*(IF($H16&gt;0,$H16,$G16)+IF($J16&gt;0,$J16,$I16))*44/12</f>
        <v>0</v>
      </c>
      <c r="AF16" s="1964">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64">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64">
        <f>(MIN(C38,D38)*time+ABS(D38-C38)*IF(D38&gt;C38,time*(VLOOKUP(E38,List!$E$35:$F$37,2,)),time*(1-(VLOOKUP(E38,List!$E$35:$F$37,2,)))))*N16*methane/1000</f>
        <v>0</v>
      </c>
      <c r="AI16" s="1964">
        <f>(MIN(C38,F38)*time+ABS(F38-C38)*IF(F38&gt;C38,time*(VLOOKUP(G38,List!$E$35:$F$37,2,)),time*(1-(VLOOKUP(G38,List!$E$35:$F$37,2,)))))*N16*methane/1000</f>
        <v>0</v>
      </c>
      <c r="AJ16" s="1964">
        <f>(MIN(C38,D38)*time+ABS(D38-C38)*IF(D38&gt;C38,time*(VLOOKUP(E38,List!$E$35:$F$37,2,)),time*(1-(VLOOKUP(E38,List!$E$35:$F$37,2,)))))*O16*Nitrous/1000</f>
        <v>0</v>
      </c>
      <c r="AK16" s="1964">
        <f>(MIN(C38,F38)*time+ABS(F38-C38)*IF(F38&gt;C38,time*(VLOOKUP(G38,List!$E$35:$F$37,2,)),time*(1-(VLOOKUP(G38,List!$E$35:$F$37,2,)))))*O16*Nitrous/1000</f>
        <v>0</v>
      </c>
      <c r="AL16" s="2470"/>
      <c r="AM16" s="2470"/>
      <c r="AN16" s="2470"/>
      <c r="AO16" s="2470"/>
    </row>
    <row r="17" spans="2:41" ht="13.8" thickBot="1">
      <c r="B17" s="596" t="s">
        <v>1131</v>
      </c>
      <c r="C17" s="718"/>
      <c r="D17" s="1896" t="str">
        <f>'3.Cropland'!J55</f>
        <v>NO</v>
      </c>
      <c r="E17" s="2274">
        <f>IF('3.Cropland'!T181="",'3.Cropland'!S181,'3.Cropland'!T181)</f>
        <v>1</v>
      </c>
      <c r="F17" s="2276">
        <f>IF('3.Cropland'!P181="",'3.Cropland'!O181,'3.Cropland'!P181)</f>
        <v>10</v>
      </c>
      <c r="G17" s="650">
        <v>0</v>
      </c>
      <c r="H17" s="2274">
        <f>IF('3.Cropland'!F181&lt;&gt;"",'3.Cropland'!F181,G17)</f>
        <v>0</v>
      </c>
      <c r="I17" s="456">
        <v>0</v>
      </c>
      <c r="J17" s="2274">
        <f>IF('3.Cropland'!I181&lt;&gt;"",'3.Cropland'!I181,I17)</f>
        <v>0</v>
      </c>
      <c r="K17" s="650">
        <f>HLOOKUP(clim_simple,' IPCC'!$A$598:$F$604,7,)</f>
        <v>0</v>
      </c>
      <c r="L17" s="722" t="s">
        <v>355</v>
      </c>
      <c r="M17" s="2275">
        <f>IF('3.Cropland'!N181="",K17,'3.Cropland'!N181)</f>
        <v>0</v>
      </c>
      <c r="N17" s="650">
        <f t="shared" si="0"/>
        <v>0</v>
      </c>
      <c r="O17" s="747">
        <f t="shared" si="1"/>
        <v>0</v>
      </c>
      <c r="P17" s="706">
        <f t="shared" ref="P17:P23" si="3">(N17*methane+O17*Nitrous)/1000</f>
        <v>0</v>
      </c>
      <c r="Q17" s="1901">
        <f>'3.Cropland'!N55</f>
        <v>0</v>
      </c>
      <c r="R17" s="233"/>
      <c r="S17" s="233"/>
      <c r="T17" s="234"/>
      <c r="U17" s="1534"/>
      <c r="W17" s="2460"/>
      <c r="Z17" s="1964">
        <f>(MIN(C39,D39)*time_tot+ABS(D39-C39)*IF(D39&gt;C39,time2+time*(VLOOKUP(E39,List!$E$35:$F$37,2,)),time*(1-(VLOOKUP(E39,List!$E$35:$F$37,2,)))))*N17*methane/1000</f>
        <v>0</v>
      </c>
      <c r="AA17" s="1964">
        <f>(($C39*time)+((F39-$C39))*(VLOOKUP(G39,List!$E$35:$F$37,2,)*time)+(F39*time2))*N17*methane/1000</f>
        <v>0</v>
      </c>
      <c r="AB17" s="1964">
        <f>(MIN(C39,D39)*time_tot+ABS(D39-C39)*IF(D39&gt;C39,time2+time*(VLOOKUP(E39,List!$E$35:$F$37,2,)),time*(1-(VLOOKUP(E39,List!$E$35:$F$37,2,)))))*O17*Nitrous/1000</f>
        <v>0</v>
      </c>
      <c r="AC17" s="1964">
        <f>(MIN(C39,F39)*time_tot+ABS(F39-C39)*IF(F39&gt;C39,time2+time*(VLOOKUP(G39,List!$E$35:$F$37,2,)),time*(1-(VLOOKUP(G39,List!$E$35:$F$37,2,)))))*O17*Nitrous/1000</f>
        <v>0</v>
      </c>
      <c r="AD17" s="2470">
        <f>-(MIN(C39,D39)*time+ABS(D39-C39)*IF(D39&gt;C39,time*(VLOOKUP(E39,List!$E$35:$F$37,2,)),time*(1-(VLOOKUP(E39,List!$E$35:$F$37,2,)))))*(IF($H17&gt;0,$H17,$G17)+IF($J17&gt;0,$J17,$I17))*(44/12)</f>
        <v>0</v>
      </c>
      <c r="AE17" s="2470">
        <f>-(MIN(C39,F39)*time+ABS(F39-C39)*IF(F39&gt;C39,time*(VLOOKUP(G39,List!$E$35:$F$37,2,)),time*(1-(VLOOKUP(G39,List!$E$35:$F$37,2,)))))*(IF($H17&gt;0,$H17,$G17)+IF($J17&gt;0,$J17,$I17))*44/12</f>
        <v>0</v>
      </c>
      <c r="AF17" s="1964">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64">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64">
        <f>(MIN(C39,D39)*time+ABS(D39-C39)*IF(D39&gt;C39,time*(VLOOKUP(E39,List!$E$35:$F$37,2,)),time*(1-(VLOOKUP(E39,List!$E$35:$F$37,2,)))))*N17*methane/1000</f>
        <v>0</v>
      </c>
      <c r="AI17" s="1964">
        <f>(MIN(C39,F39)*time+ABS(F39-C39)*IF(F39&gt;C39,time*(VLOOKUP(G39,List!$E$35:$F$37,2,)),time*(1-(VLOOKUP(G39,List!$E$35:$F$37,2,)))))*N17*methane/1000</f>
        <v>0</v>
      </c>
      <c r="AJ17" s="1964">
        <f>(MIN(C39,D39)*time+ABS(D39-C39)*IF(D39&gt;C39,time*(VLOOKUP(E39,List!$E$35:$F$37,2,)),time*(1-(VLOOKUP(E39,List!$E$35:$F$37,2,)))))*O17*Nitrous/1000</f>
        <v>0</v>
      </c>
      <c r="AK17" s="1964">
        <f>(MIN(C39,F39)*time+ABS(F39-C39)*IF(F39&gt;C39,time*(VLOOKUP(G39,List!$E$35:$F$37,2,)),time*(1-(VLOOKUP(G39,List!$E$35:$F$37,2,)))))*O17*Nitrous/1000</f>
        <v>0</v>
      </c>
      <c r="AL17" s="2470"/>
      <c r="AM17" s="2470"/>
      <c r="AN17" s="2470"/>
      <c r="AO17" s="2470"/>
    </row>
    <row r="18" spans="2:41" ht="13.8" thickBot="1">
      <c r="B18" s="596" t="s">
        <v>1132</v>
      </c>
      <c r="C18" s="718"/>
      <c r="D18" s="1896" t="str">
        <f>'3.Cropland'!J56</f>
        <v>NO</v>
      </c>
      <c r="E18" s="2274">
        <f>IF('3.Cropland'!T182="",'3.Cropland'!S182,'3.Cropland'!T182)</f>
        <v>1</v>
      </c>
      <c r="F18" s="2276">
        <f>IF('3.Cropland'!P182="",'3.Cropland'!O182,'3.Cropland'!P182)</f>
        <v>10</v>
      </c>
      <c r="G18" s="650">
        <v>0</v>
      </c>
      <c r="H18" s="2274">
        <f>IF('3.Cropland'!F182&lt;&gt;"",'3.Cropland'!F182,G18)</f>
        <v>0</v>
      </c>
      <c r="I18" s="456">
        <v>0</v>
      </c>
      <c r="J18" s="2274">
        <f>IF('3.Cropland'!I182&lt;&gt;"",'3.Cropland'!I182,I18)</f>
        <v>0</v>
      </c>
      <c r="K18" s="650">
        <f>HLOOKUP(clim_simple,' IPCC'!$A$598:$F$604,7,)</f>
        <v>0</v>
      </c>
      <c r="L18" s="722" t="s">
        <v>355</v>
      </c>
      <c r="M18" s="2275">
        <f>IF('3.Cropland'!N182="",K18,'3.Cropland'!N182)</f>
        <v>0</v>
      </c>
      <c r="N18" s="650">
        <f t="shared" si="0"/>
        <v>0</v>
      </c>
      <c r="O18" s="747">
        <f t="shared" si="1"/>
        <v>0</v>
      </c>
      <c r="P18" s="706">
        <f t="shared" si="3"/>
        <v>0</v>
      </c>
      <c r="Q18" s="1901">
        <f>'3.Cropland'!N56</f>
        <v>0</v>
      </c>
      <c r="R18" s="233"/>
      <c r="S18" s="233"/>
      <c r="T18" s="234"/>
      <c r="U18" s="1534"/>
      <c r="W18" s="2460"/>
      <c r="Z18" s="1964">
        <f>(MIN(C40,D40)*time_tot+ABS(D40-C40)*IF(D40&gt;C40,time2+time*(VLOOKUP(E40,List!$E$35:$F$37,2,)),time*(1-(VLOOKUP(E40,List!$E$35:$F$37,2,)))))*N18*methane/1000</f>
        <v>0</v>
      </c>
      <c r="AA18" s="1964">
        <f>(($C40*time)+((F40-$C40))*(VLOOKUP(G40,List!$E$35:$F$37,2,)*time)+(F40*time2))*N18*methane/1000</f>
        <v>0</v>
      </c>
      <c r="AB18" s="1964">
        <f>(MIN(C40,D40)*time_tot+ABS(D40-C40)*IF(D40&gt;C40,time2+time*(VLOOKUP(E40,List!$E$35:$F$37,2,)),time*(1-(VLOOKUP(E40,List!$E$35:$F$37,2,)))))*O18*Nitrous/1000</f>
        <v>0</v>
      </c>
      <c r="AC18" s="1964">
        <f>(MIN(C40,F40)*time_tot+ABS(F40-C40)*IF(F40&gt;C40,time2+time*(VLOOKUP(G40,List!$E$35:$F$37,2,)),time*(1-(VLOOKUP(G40,List!$E$35:$F$37,2,)))))*O18*Nitrous/1000</f>
        <v>0</v>
      </c>
      <c r="AD18" s="2470">
        <f>-(MIN(C40,D40)*time+ABS(D40-C40)*IF(D40&gt;C40,time*(VLOOKUP(E40,List!$E$35:$F$37,2,)),time*(1-(VLOOKUP(E40,List!$E$35:$F$37,2,)))))*(IF($H18&gt;0,$H18,$G18)+IF($J18&gt;0,$J18,$I18))*(44/12)</f>
        <v>0</v>
      </c>
      <c r="AE18" s="2470">
        <f>-(MIN(C40,F40)*time+ABS(F40-C40)*IF(F40&gt;C40,time*(VLOOKUP(G40,List!$E$35:$F$37,2,)),time*(1-(VLOOKUP(G40,List!$E$35:$F$37,2,)))))*(IF($H18&gt;0,$H18,$G18)+IF($J18&gt;0,$J18,$I18))*44/12</f>
        <v>0</v>
      </c>
      <c r="AF18" s="1964">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64">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64">
        <f>(MIN(C40,D40)*time+ABS(D40-C40)*IF(D40&gt;C40,time*(VLOOKUP(E40,List!$E$35:$F$37,2,)),time*(1-(VLOOKUP(E40,List!$E$35:$F$37,2,)))))*N18*methane/1000</f>
        <v>0</v>
      </c>
      <c r="AI18" s="1964">
        <f>(MIN(C40,F40)*time+ABS(F40-C40)*IF(F40&gt;C40,time*(VLOOKUP(G40,List!$E$35:$F$37,2,)),time*(1-(VLOOKUP(G40,List!$E$35:$F$37,2,)))))*N18*methane/1000</f>
        <v>0</v>
      </c>
      <c r="AJ18" s="1964">
        <f>(MIN(C40,D40)*time+ABS(D40-C40)*IF(D40&gt;C40,time*(VLOOKUP(E40,List!$E$35:$F$37,2,)),time*(1-(VLOOKUP(E40,List!$E$35:$F$37,2,)))))*O18*Nitrous/1000</f>
        <v>0</v>
      </c>
      <c r="AK18" s="1964">
        <f>(MIN(C40,F40)*time+ABS(F40-C40)*IF(F40&gt;C40,time*(VLOOKUP(G40,List!$E$35:$F$37,2,)),time*(1-(VLOOKUP(G40,List!$E$35:$F$37,2,)))))*O18*Nitrous/1000</f>
        <v>0</v>
      </c>
      <c r="AL18" s="2470"/>
      <c r="AM18" s="2470"/>
      <c r="AN18" s="2470"/>
      <c r="AO18" s="2470"/>
    </row>
    <row r="19" spans="2:41" ht="13.8" thickBot="1">
      <c r="B19" s="596" t="s">
        <v>5548</v>
      </c>
      <c r="C19" s="718"/>
      <c r="D19" s="1896" t="str">
        <f>'3.Cropland'!J57</f>
        <v>NO</v>
      </c>
      <c r="E19" s="2274">
        <f>IF('3.Cropland'!T183="",'3.Cropland'!S183,'3.Cropland'!T183)</f>
        <v>1</v>
      </c>
      <c r="F19" s="2276">
        <f>IF('3.Cropland'!P183="",'3.Cropland'!O183,'3.Cropland'!P183)</f>
        <v>10</v>
      </c>
      <c r="G19" s="650">
        <v>0</v>
      </c>
      <c r="H19" s="2274">
        <f>IF('3.Cropland'!F183&lt;&gt;"",'3.Cropland'!F183,G19)</f>
        <v>0</v>
      </c>
      <c r="I19" s="456">
        <v>0</v>
      </c>
      <c r="J19" s="2274">
        <f>IF('3.Cropland'!I183&lt;&gt;"",'3.Cropland'!I183,I19)</f>
        <v>0</v>
      </c>
      <c r="K19" s="650">
        <f>HLOOKUP(clim_simple,' IPCC'!$A$598:$F$604,7,)</f>
        <v>0</v>
      </c>
      <c r="L19" s="722" t="s">
        <v>355</v>
      </c>
      <c r="M19" s="2275">
        <f>IF('3.Cropland'!N183="",K19,'3.Cropland'!N183)</f>
        <v>0</v>
      </c>
      <c r="N19" s="650">
        <f t="shared" si="0"/>
        <v>0</v>
      </c>
      <c r="O19" s="747">
        <f t="shared" si="1"/>
        <v>0</v>
      </c>
      <c r="P19" s="706">
        <f t="shared" si="3"/>
        <v>0</v>
      </c>
      <c r="Q19" s="1901">
        <f>'3.Cropland'!N57</f>
        <v>0</v>
      </c>
      <c r="R19" s="233"/>
      <c r="S19" s="233"/>
      <c r="T19" s="234"/>
      <c r="U19" s="1534"/>
      <c r="W19" s="2460"/>
      <c r="Z19" s="1964">
        <f>(MIN(C41,D41)*time_tot+ABS(D41-C41)*IF(D41&gt;C41,time2+time*(VLOOKUP(E41,List!$E$35:$F$37,2,)),time*(1-(VLOOKUP(E41,List!$E$35:$F$37,2,)))))*N19*methane/1000</f>
        <v>0</v>
      </c>
      <c r="AA19" s="1964">
        <f>(($C41*time)+((F41-$C41))*(VLOOKUP(G41,List!$E$35:$F$37,2,)*time)+(F41*time2))*N19*methane/1000</f>
        <v>0</v>
      </c>
      <c r="AB19" s="1964">
        <f>(MIN(C41,D41)*time_tot+ABS(D41-C41)*IF(D41&gt;C41,time2+time*(VLOOKUP(E41,List!$E$35:$F$37,2,)),time*(1-(VLOOKUP(E41,List!$E$35:$F$37,2,)))))*O19*Nitrous/1000</f>
        <v>0</v>
      </c>
      <c r="AC19" s="1964">
        <f>(MIN(C41,F41)*time_tot+ABS(F41-C41)*IF(F41&gt;C41,time2+time*(VLOOKUP(G41,List!$E$35:$F$37,2,)),time*(1-(VLOOKUP(G41,List!$E$35:$F$37,2,)))))*O19*Nitrous/1000</f>
        <v>0</v>
      </c>
      <c r="AD19" s="2470">
        <f>-(MIN(C41,D41)*time+ABS(D41-C41)*IF(D41&gt;C41,time*(VLOOKUP(E41,List!$E$35:$F$37,2,)),time*(1-(VLOOKUP(E41,List!$E$35:$F$37,2,)))))*(IF($H19&gt;0,$H19,$G19)+IF($J19&gt;0,$J19,$I19))*(44/12)</f>
        <v>0</v>
      </c>
      <c r="AE19" s="2470">
        <f>-(MIN(C41,F41)*time+ABS(F41-C41)*IF(F41&gt;C41,time*(VLOOKUP(G41,List!$E$35:$F$37,2,)),time*(1-(VLOOKUP(G41,List!$E$35:$F$37,2,)))))*(IF($H19&gt;0,$H19,$G19)+IF($J19&gt;0,$J19,$I19))*44/12</f>
        <v>0</v>
      </c>
      <c r="AF19" s="1964">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64">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64">
        <f>(MIN(C41,D41)*time+ABS(D41-C41)*IF(D41&gt;C41,time*(VLOOKUP(E41,List!$E$35:$F$37,2,)),time*(1-(VLOOKUP(E41,List!$E$35:$F$37,2,)))))*N19*methane/1000</f>
        <v>0</v>
      </c>
      <c r="AI19" s="1964">
        <f>(MIN(C41,F41)*time+ABS(F41-C41)*IF(F41&gt;C41,time*(VLOOKUP(G41,List!$E$35:$F$37,2,)),time*(1-(VLOOKUP(G41,List!$E$35:$F$37,2,)))))*N19*methane/1000</f>
        <v>0</v>
      </c>
      <c r="AJ19" s="1964">
        <f>(MIN(C41,D41)*time+ABS(D41-C41)*IF(D41&gt;C41,time*(VLOOKUP(E41,List!$E$35:$F$37,2,)),time*(1-(VLOOKUP(E41,List!$E$35:$F$37,2,)))))*O19*Nitrous/1000</f>
        <v>0</v>
      </c>
      <c r="AK19" s="1964">
        <f>(MIN(C41,F41)*time+ABS(F41-C41)*IF(F41&gt;C41,time*(VLOOKUP(G41,List!$E$35:$F$37,2,)),time*(1-(VLOOKUP(G41,List!$E$35:$F$37,2,)))))*O19*Nitrous/1000</f>
        <v>0</v>
      </c>
      <c r="AL19" s="2470"/>
      <c r="AM19" s="2470"/>
      <c r="AN19" s="2470"/>
      <c r="AO19" s="2470"/>
    </row>
    <row r="20" spans="2:41" ht="13.8" thickBot="1">
      <c r="B20" s="596" t="s">
        <v>5549</v>
      </c>
      <c r="C20" s="718"/>
      <c r="D20" s="1896" t="str">
        <f>'3.Cropland'!J58</f>
        <v>NO</v>
      </c>
      <c r="E20" s="2274">
        <f>IF('3.Cropland'!T184="",'3.Cropland'!S184,'3.Cropland'!T184)</f>
        <v>1</v>
      </c>
      <c r="F20" s="2276">
        <f>IF('3.Cropland'!P184="",'3.Cropland'!O184,'3.Cropland'!P184)</f>
        <v>10</v>
      </c>
      <c r="G20" s="650">
        <v>0</v>
      </c>
      <c r="H20" s="2274">
        <f>IF('3.Cropland'!F184&lt;&gt;"",'3.Cropland'!F184,G20)</f>
        <v>0</v>
      </c>
      <c r="I20" s="456">
        <v>0</v>
      </c>
      <c r="J20" s="2274">
        <f>IF('3.Cropland'!I184&lt;&gt;"",'3.Cropland'!I184,I20)</f>
        <v>0</v>
      </c>
      <c r="K20" s="650">
        <f>HLOOKUP(clim_simple,' IPCC'!$A$598:$F$604,7,)</f>
        <v>0</v>
      </c>
      <c r="L20" s="722" t="s">
        <v>355</v>
      </c>
      <c r="M20" s="2275">
        <f>IF('3.Cropland'!N184="",K20,'3.Cropland'!N184)</f>
        <v>0</v>
      </c>
      <c r="N20" s="650">
        <f t="shared" si="0"/>
        <v>0</v>
      </c>
      <c r="O20" s="747">
        <f t="shared" si="1"/>
        <v>0</v>
      </c>
      <c r="P20" s="706">
        <f t="shared" si="3"/>
        <v>0</v>
      </c>
      <c r="Q20" s="1901">
        <f>'3.Cropland'!N58</f>
        <v>0</v>
      </c>
      <c r="R20" s="233"/>
      <c r="S20" s="233"/>
      <c r="T20" s="234"/>
      <c r="U20" s="1534"/>
      <c r="W20" s="2460"/>
      <c r="Z20" s="1964">
        <f>(MIN(C42,D42)*time_tot+ABS(D42-C42)*IF(D42&gt;C42,time2+time*(VLOOKUP(E42,List!$E$35:$F$37,2,)),time*(1-(VLOOKUP(E42,List!$E$35:$F$37,2,)))))*N20*methane/1000</f>
        <v>0</v>
      </c>
      <c r="AA20" s="1964">
        <f>(($C42*time)+((F42-$C42))*(VLOOKUP(G42,List!$E$35:$F$37,2,)*time)+(F42*time2))*N20*methane/1000</f>
        <v>0</v>
      </c>
      <c r="AB20" s="1964">
        <f>(MIN(C42,D42)*time_tot+ABS(D42-C42)*IF(D42&gt;C42,time2+time*(VLOOKUP(E42,List!$E$35:$F$37,2,)),time*(1-(VLOOKUP(E42,List!$E$35:$F$37,2,)))))*O20*Nitrous/1000</f>
        <v>0</v>
      </c>
      <c r="AC20" s="1964">
        <f>(MIN(C42,F42)*time_tot+ABS(F42-C42)*IF(F42&gt;C42,time2+time*(VLOOKUP(G42,List!$E$35:$F$37,2,)),time*(1-(VLOOKUP(G42,List!$E$35:$F$37,2,)))))*O20*Nitrous/1000</f>
        <v>0</v>
      </c>
      <c r="AD20" s="2470">
        <f>-(MIN(C42,D42)*time+ABS(D42-C42)*IF(D42&gt;C42,time*(VLOOKUP(E42,List!$E$35:$F$37,2,)),time*(1-(VLOOKUP(E42,List!$E$35:$F$37,2,)))))*(IF($H20&gt;0,$H20,$G20)+IF($J20&gt;0,$J20,$I20))*(44/12)</f>
        <v>0</v>
      </c>
      <c r="AE20" s="2470">
        <f>-(MIN(C42,F42)*time+ABS(F42-C42)*IF(F42&gt;C42,time*(VLOOKUP(G42,List!$E$35:$F$37,2,)),time*(1-(VLOOKUP(G42,List!$E$35:$F$37,2,)))))*(IF($H20&gt;0,$H20,$G20)+IF($J20&gt;0,$J20,$I20))*44/12</f>
        <v>0</v>
      </c>
      <c r="AF20" s="1964">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64">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64">
        <f>(MIN(C42,D42)*time+ABS(D42-C42)*IF(D42&gt;C42,time*(VLOOKUP(E42,List!$E$35:$F$37,2,)),time*(1-(VLOOKUP(E42,List!$E$35:$F$37,2,)))))*N20*methane/1000</f>
        <v>0</v>
      </c>
      <c r="AI20" s="1964">
        <f>(MIN(C42,F42)*time+ABS(F42-C42)*IF(F42&gt;C42,time*(VLOOKUP(G42,List!$E$35:$F$37,2,)),time*(1-(VLOOKUP(G42,List!$E$35:$F$37,2,)))))*N20*methane/1000</f>
        <v>0</v>
      </c>
      <c r="AJ20" s="1964">
        <f>(MIN(C42,D42)*time+ABS(D42-C42)*IF(D42&gt;C42,time*(VLOOKUP(E42,List!$E$35:$F$37,2,)),time*(1-(VLOOKUP(E42,List!$E$35:$F$37,2,)))))*O20*Nitrous/1000</f>
        <v>0</v>
      </c>
      <c r="AK20" s="1964">
        <f>(MIN(C42,F42)*time+ABS(F42-C42)*IF(F42&gt;C42,time*(VLOOKUP(G42,List!$E$35:$F$37,2,)),time*(1-(VLOOKUP(G42,List!$E$35:$F$37,2,)))))*O20*Nitrous/1000</f>
        <v>0</v>
      </c>
      <c r="AL20" s="2470"/>
      <c r="AM20" s="2470"/>
      <c r="AN20" s="2470"/>
      <c r="AO20" s="2470"/>
    </row>
    <row r="21" spans="2:41" ht="13.8" thickBot="1">
      <c r="B21" s="596" t="s">
        <v>5550</v>
      </c>
      <c r="C21" s="718"/>
      <c r="D21" s="1896" t="str">
        <f>'3.Cropland'!J59</f>
        <v>NO</v>
      </c>
      <c r="E21" s="2274">
        <f>IF('3.Cropland'!T185="",'3.Cropland'!S185,'3.Cropland'!T185)</f>
        <v>1</v>
      </c>
      <c r="F21" s="2276">
        <f>IF('3.Cropland'!P185="",'3.Cropland'!O185,'3.Cropland'!P185)</f>
        <v>10</v>
      </c>
      <c r="G21" s="650">
        <v>0</v>
      </c>
      <c r="H21" s="2274">
        <f>IF('3.Cropland'!F185&lt;&gt;"",'3.Cropland'!F185,G21)</f>
        <v>0</v>
      </c>
      <c r="I21" s="456">
        <v>0</v>
      </c>
      <c r="J21" s="2274">
        <f>IF('3.Cropland'!I185&lt;&gt;"",'3.Cropland'!I185,I21)</f>
        <v>0</v>
      </c>
      <c r="K21" s="650">
        <f>HLOOKUP(clim_simple,' IPCC'!$A$598:$F$604,7,)</f>
        <v>0</v>
      </c>
      <c r="L21" s="722" t="s">
        <v>355</v>
      </c>
      <c r="M21" s="2275">
        <f>IF('3.Cropland'!N185="",K21,'3.Cropland'!N185)</f>
        <v>0</v>
      </c>
      <c r="N21" s="650">
        <f t="shared" si="0"/>
        <v>0</v>
      </c>
      <c r="O21" s="747">
        <f t="shared" si="1"/>
        <v>0</v>
      </c>
      <c r="P21" s="706">
        <f t="shared" si="3"/>
        <v>0</v>
      </c>
      <c r="Q21" s="1901">
        <f>'3.Cropland'!N59</f>
        <v>0</v>
      </c>
      <c r="R21" s="233"/>
      <c r="S21" s="233"/>
      <c r="T21" s="234"/>
      <c r="U21" s="1534"/>
      <c r="W21" s="2460"/>
      <c r="Z21" s="1964">
        <f>(MIN(C43,D43)*time_tot+ABS(D43-C43)*IF(D43&gt;C43,time2+time*(VLOOKUP(E43,List!$E$35:$F$37,2,)),time*(1-(VLOOKUP(E43,List!$E$35:$F$37,2,)))))*N21*methane/1000</f>
        <v>0</v>
      </c>
      <c r="AA21" s="1964">
        <f>(($C43*time)+((F43-$C43))*(VLOOKUP(G43,List!$E$35:$F$37,2,)*time)+(F43*time2))*N21*methane/1000</f>
        <v>0</v>
      </c>
      <c r="AB21" s="1964">
        <f>(MIN(C43,D43)*time_tot+ABS(D43-C43)*IF(D43&gt;C43,time2+time*(VLOOKUP(E43,List!$E$35:$F$37,2,)),time*(1-(VLOOKUP(E43,List!$E$35:$F$37,2,)))))*O21*Nitrous/1000</f>
        <v>0</v>
      </c>
      <c r="AC21" s="1964">
        <f>(MIN(C43,F43)*time_tot+ABS(F43-C43)*IF(F43&gt;C43,time2+time*(VLOOKUP(G43,List!$E$35:$F$37,2,)),time*(1-(VLOOKUP(G43,List!$E$35:$F$37,2,)))))*O21*Nitrous/1000</f>
        <v>0</v>
      </c>
      <c r="AD21" s="2470">
        <f>-(MIN(C43,D43)*time+ABS(D43-C43)*IF(D43&gt;C43,time*(VLOOKUP(E43,List!$E$35:$F$37,2,)),time*(1-(VLOOKUP(E43,List!$E$35:$F$37,2,)))))*(IF($H21&gt;0,$H21,$G21)+IF($J21&gt;0,$J21,$I21))*(44/12)</f>
        <v>0</v>
      </c>
      <c r="AE21" s="2470">
        <f>-(MIN(C43,F43)*time+ABS(F43-C43)*IF(F43&gt;C43,time*(VLOOKUP(G43,List!$E$35:$F$37,2,)),time*(1-(VLOOKUP(G43,List!$E$35:$F$37,2,)))))*(IF($H21&gt;0,$H21,$G21)+IF($J21&gt;0,$J21,$I21))*44/12</f>
        <v>0</v>
      </c>
      <c r="AF21" s="1964">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64">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64">
        <f>(MIN(C43,D43)*time+ABS(D43-C43)*IF(D43&gt;C43,time*(VLOOKUP(E43,List!$E$35:$F$37,2,)),time*(1-(VLOOKUP(E43,List!$E$35:$F$37,2,)))))*N21*methane/1000</f>
        <v>0</v>
      </c>
      <c r="AI21" s="1964">
        <f>(MIN(C43,F43)*time+ABS(F43-C43)*IF(F43&gt;C43,time*(VLOOKUP(G43,List!$E$35:$F$37,2,)),time*(1-(VLOOKUP(G43,List!$E$35:$F$37,2,)))))*N21*methane/1000</f>
        <v>0</v>
      </c>
      <c r="AJ21" s="1964">
        <f>(MIN(C43,D43)*time+ABS(D43-C43)*IF(D43&gt;C43,time*(VLOOKUP(E43,List!$E$35:$F$37,2,)),time*(1-(VLOOKUP(E43,List!$E$35:$F$37,2,)))))*O21*Nitrous/1000</f>
        <v>0</v>
      </c>
      <c r="AK21" s="1964">
        <f>(MIN(C43,F43)*time+ABS(F43-C43)*IF(F43&gt;C43,time*(VLOOKUP(G43,List!$E$35:$F$37,2,)),time*(1-(VLOOKUP(G43,List!$E$35:$F$37,2,)))))*O21*Nitrous/1000</f>
        <v>0</v>
      </c>
      <c r="AL21" s="2470"/>
      <c r="AM21" s="2470"/>
      <c r="AN21" s="2470"/>
      <c r="AO21" s="2470"/>
    </row>
    <row r="22" spans="2:41" ht="13.8" thickBot="1">
      <c r="B22" s="596" t="s">
        <v>5551</v>
      </c>
      <c r="C22" s="718"/>
      <c r="D22" s="1896" t="str">
        <f>'3.Cropland'!J60</f>
        <v>NO</v>
      </c>
      <c r="E22" s="2274">
        <f>IF('3.Cropland'!T186="",'3.Cropland'!S186,'3.Cropland'!T186)</f>
        <v>1</v>
      </c>
      <c r="F22" s="2276">
        <f>IF('3.Cropland'!P186="",'3.Cropland'!O186,'3.Cropland'!P186)</f>
        <v>10</v>
      </c>
      <c r="G22" s="650">
        <v>0</v>
      </c>
      <c r="H22" s="2274">
        <f>IF('3.Cropland'!F186&lt;&gt;"",'3.Cropland'!F186,G22)</f>
        <v>0</v>
      </c>
      <c r="I22" s="456">
        <v>0</v>
      </c>
      <c r="J22" s="2274">
        <f>IF('3.Cropland'!I186&lt;&gt;"",'3.Cropland'!I186,I22)</f>
        <v>0</v>
      </c>
      <c r="K22" s="650">
        <f>HLOOKUP(clim_simple,' IPCC'!$A$598:$F$604,7,)</f>
        <v>0</v>
      </c>
      <c r="L22" s="722" t="s">
        <v>355</v>
      </c>
      <c r="M22" s="2275">
        <f>IF('3.Cropland'!N186="",K22,'3.Cropland'!N186)</f>
        <v>0</v>
      </c>
      <c r="N22" s="650">
        <f t="shared" si="0"/>
        <v>0</v>
      </c>
      <c r="O22" s="747">
        <f t="shared" si="1"/>
        <v>0</v>
      </c>
      <c r="P22" s="706">
        <f t="shared" si="3"/>
        <v>0</v>
      </c>
      <c r="Q22" s="1901">
        <f>'3.Cropland'!N60</f>
        <v>0</v>
      </c>
      <c r="R22" s="233"/>
      <c r="S22" s="233"/>
      <c r="T22" s="234"/>
      <c r="U22" s="1534"/>
      <c r="W22" s="2460"/>
      <c r="Z22" s="1964">
        <f>(MIN(C44,D44)*time_tot+ABS(D44-C44)*IF(D44&gt;C44,time2+time*(VLOOKUP(E44,List!$E$35:$F$37,2,)),time*(1-(VLOOKUP(E44,List!$E$35:$F$37,2,)))))*N22*methane/1000</f>
        <v>0</v>
      </c>
      <c r="AA22" s="1964">
        <f>(($C44*time)+((F44-$C44))*(VLOOKUP(G44,List!$E$35:$F$37,2,)*time)+(F44*time2))*N22*methane/1000</f>
        <v>0</v>
      </c>
      <c r="AB22" s="1964">
        <f>(MIN(C44,D44)*time_tot+ABS(D44-C44)*IF(D44&gt;C44,time2+time*(VLOOKUP(E44,List!$E$35:$F$37,2,)),time*(1-(VLOOKUP(E44,List!$E$35:$F$37,2,)))))*O22*Nitrous/1000</f>
        <v>0</v>
      </c>
      <c r="AC22" s="1964">
        <f>(MIN(C44,F44)*time_tot+ABS(F44-C44)*IF(F44&gt;C44,time2+time*(VLOOKUP(G44,List!$E$35:$F$37,2,)),time*(1-(VLOOKUP(G44,List!$E$35:$F$37,2,)))))*O22*Nitrous/1000</f>
        <v>0</v>
      </c>
      <c r="AD22" s="2470">
        <f>-(MIN(C44,D44)*time+ABS(D44-C44)*IF(D44&gt;C44,time*(VLOOKUP(E44,List!$E$35:$F$37,2,)),time*(1-(VLOOKUP(E44,List!$E$35:$F$37,2,)))))*(IF($H22&gt;0,$H22,$G22)+IF($J22&gt;0,$J22,$I22))*(44/12)</f>
        <v>0</v>
      </c>
      <c r="AE22" s="2470">
        <f>-(MIN(C44,F44)*time+ABS(F44-C44)*IF(F44&gt;C44,time*(VLOOKUP(G44,List!$E$35:$F$37,2,)),time*(1-(VLOOKUP(G44,List!$E$35:$F$37,2,)))))*(IF($H22&gt;0,$H22,$G22)+IF($J22&gt;0,$J22,$I22))*44/12</f>
        <v>0</v>
      </c>
      <c r="AF22" s="1964">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64">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64">
        <f>(MIN(C44,D44)*time+ABS(D44-C44)*IF(D44&gt;C44,time*(VLOOKUP(E44,List!$E$35:$F$37,2,)),time*(1-(VLOOKUP(E44,List!$E$35:$F$37,2,)))))*N22*methane/1000</f>
        <v>0</v>
      </c>
      <c r="AI22" s="1964">
        <f>(MIN(C44,F44)*time+ABS(F44-C44)*IF(F44&gt;C44,time*(VLOOKUP(G44,List!$E$35:$F$37,2,)),time*(1-(VLOOKUP(G44,List!$E$35:$F$37,2,)))))*N22*methane/1000</f>
        <v>0</v>
      </c>
      <c r="AJ22" s="1964">
        <f>(MIN(C44,D44)*time+ABS(D44-C44)*IF(D44&gt;C44,time*(VLOOKUP(E44,List!$E$35:$F$37,2,)),time*(1-(VLOOKUP(E44,List!$E$35:$F$37,2,)))))*O22*Nitrous/1000</f>
        <v>0</v>
      </c>
      <c r="AK22" s="1964">
        <f>(MIN(C44,F44)*time+ABS(F44-C44)*IF(F44&gt;C44,time*(VLOOKUP(G44,List!$E$35:$F$37,2,)),time*(1-(VLOOKUP(G44,List!$E$35:$F$37,2,)))))*O22*Nitrous/1000</f>
        <v>0</v>
      </c>
      <c r="AL22" s="1964" t="s">
        <v>25</v>
      </c>
      <c r="AM22" s="1964" t="s">
        <v>690</v>
      </c>
      <c r="AN22" s="1964" t="s">
        <v>691</v>
      </c>
      <c r="AO22" s="1964"/>
    </row>
    <row r="23" spans="2:41" ht="13.8" thickBot="1">
      <c r="B23" s="596" t="s">
        <v>5552</v>
      </c>
      <c r="C23" s="719"/>
      <c r="D23" s="1896" t="str">
        <f>'3.Cropland'!J61</f>
        <v>NO</v>
      </c>
      <c r="E23" s="2274">
        <f>IF('3.Cropland'!T187="",'3.Cropland'!S187,'3.Cropland'!T187)</f>
        <v>1</v>
      </c>
      <c r="F23" s="2276">
        <f>IF('3.Cropland'!P187="",'3.Cropland'!O187,'3.Cropland'!P187)</f>
        <v>10</v>
      </c>
      <c r="G23" s="650">
        <v>0</v>
      </c>
      <c r="H23" s="2274">
        <f>IF('3.Cropland'!F187&lt;&gt;"",'3.Cropland'!F187,G23)</f>
        <v>0</v>
      </c>
      <c r="I23" s="456">
        <v>0</v>
      </c>
      <c r="J23" s="2274">
        <f>IF('3.Cropland'!I187&lt;&gt;"",'3.Cropland'!I187,I23)</f>
        <v>0</v>
      </c>
      <c r="K23" s="650">
        <f>HLOOKUP(clim_simple,' IPCC'!$A$598:$F$604,7,)</f>
        <v>0</v>
      </c>
      <c r="L23" s="722" t="s">
        <v>355</v>
      </c>
      <c r="M23" s="2275">
        <f>IF('3.Cropland'!N187="",K23,'3.Cropland'!N187)</f>
        <v>0</v>
      </c>
      <c r="N23" s="650">
        <f t="shared" si="0"/>
        <v>0</v>
      </c>
      <c r="O23" s="747">
        <f t="shared" si="1"/>
        <v>0</v>
      </c>
      <c r="P23" s="706">
        <f t="shared" si="3"/>
        <v>0</v>
      </c>
      <c r="Q23" s="1901">
        <f>'3.Cropland'!N61</f>
        <v>0</v>
      </c>
      <c r="R23" s="233"/>
      <c r="S23" s="233"/>
      <c r="T23" s="234"/>
      <c r="U23" s="1534"/>
      <c r="W23" s="2460"/>
      <c r="Z23" s="1964">
        <f>(MIN(C45,D45)*time_tot+ABS(D45-C45)*IF(D45&gt;C45,time2+time*(VLOOKUP(E45,List!$E$35:$F$37,2,)),time*(1-(VLOOKUP(E45,List!$E$35:$F$37,2,)))))*N23*methane/1000</f>
        <v>0</v>
      </c>
      <c r="AA23" s="1964">
        <f>(($C45*time)+((F45-$C45))*(VLOOKUP(G45,List!$E$35:$F$37,2,)*time)+(F45*time2))*N23*methane/1000</f>
        <v>0</v>
      </c>
      <c r="AB23" s="1964">
        <f>(MIN(C45,D45)*time_tot+ABS(D45-C45)*IF(D45&gt;C45,time2+time*(VLOOKUP(E45,List!$E$35:$F$37,2,)),time*(1-(VLOOKUP(E45,List!$E$35:$F$37,2,)))))*O23*Nitrous/1000</f>
        <v>0</v>
      </c>
      <c r="AC23" s="1964">
        <f>(MIN(C45,F45)*time_tot+ABS(F45-C45)*IF(F45&gt;C45,time2+time*(VLOOKUP(G45,List!$E$35:$F$37,2,)),time*(1-(VLOOKUP(G45,List!$E$35:$F$37,2,)))))*O23*Nitrous/1000</f>
        <v>0</v>
      </c>
      <c r="AD23" s="2470">
        <f>-(MIN(C45,D45)*time+ABS(D45-C45)*IF(D45&gt;C45,time*(VLOOKUP(E45,List!$E$35:$F$37,2,)),time*(1-(VLOOKUP(E45,List!$E$35:$F$37,2,)))))*(IF($H23&gt;0,$H23,$G23)+IF($J23&gt;0,$J23,$I23))*(44/12)</f>
        <v>0</v>
      </c>
      <c r="AE23" s="2470">
        <f>-(MIN(C45,F45)*time+ABS(F45-C45)*IF(F45&gt;C45,time*(VLOOKUP(G45,List!$E$35:$F$37,2,)),time*(1-(VLOOKUP(G45,List!$E$35:$F$37,2,)))))*(IF($H23&gt;0,$H23,$G23)+IF($J23&gt;0,$J23,$I23))*44/12</f>
        <v>0</v>
      </c>
      <c r="AF23" s="1964">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64">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64">
        <f>(MIN(C45,D45)*time+ABS(D45-C45)*IF(D45&gt;C45,time*(VLOOKUP(E45,List!$E$35:$F$37,2,)),time*(1-(VLOOKUP(E45,List!$E$35:$F$37,2,)))))*N23*methane/1000</f>
        <v>0</v>
      </c>
      <c r="AI23" s="1964">
        <f>(MIN(C45,F45)*time+ABS(F45-C45)*IF(F45&gt;C45,time*(VLOOKUP(G45,List!$E$35:$F$37,2,)),time*(1-(VLOOKUP(G45,List!$E$35:$F$37,2,)))))*N23*methane/1000</f>
        <v>0</v>
      </c>
      <c r="AJ23" s="1964">
        <f>(MIN(C45,D45)*time+ABS(D45-C45)*IF(D45&gt;C45,time*(VLOOKUP(E45,List!$E$35:$F$37,2,)),time*(1-(VLOOKUP(E45,List!$E$35:$F$37,2,)))))*O23*Nitrous/1000</f>
        <v>0</v>
      </c>
      <c r="AK23" s="1964">
        <f>(MIN(C45,F45)*time+ABS(F45-C45)*IF(F45&gt;C45,time*(VLOOKUP(G45,List!$E$35:$F$37,2,)),time*(1-(VLOOKUP(G45,List!$E$35:$F$37,2,)))))*O23*Nitrous/1000</f>
        <v>0</v>
      </c>
      <c r="AL23" s="1964" t="s">
        <v>26</v>
      </c>
      <c r="AM23" s="1964">
        <f>SUM(H32:H45)</f>
        <v>0</v>
      </c>
      <c r="AN23" s="1964">
        <f>SUM(I32:I45)</f>
        <v>0</v>
      </c>
      <c r="AO23" s="1964"/>
    </row>
    <row r="24" spans="2:41">
      <c r="B24" s="241"/>
      <c r="C24" s="241"/>
      <c r="D24" s="241"/>
      <c r="E24" s="242"/>
      <c r="G24" s="233" t="s">
        <v>1126</v>
      </c>
      <c r="J24" s="242"/>
      <c r="K24" s="572" t="s">
        <v>1288</v>
      </c>
      <c r="L24" s="242"/>
      <c r="M24" s="242"/>
      <c r="N24" s="242"/>
      <c r="O24" s="1243"/>
      <c r="Q24" s="233"/>
      <c r="R24" s="233"/>
      <c r="T24" s="234"/>
      <c r="U24" s="1534"/>
      <c r="V24" s="1533"/>
      <c r="Y24" s="2460"/>
      <c r="AL24" s="1964" t="s">
        <v>27</v>
      </c>
      <c r="AM24" s="1964">
        <f>SUM(J32:J45)</f>
        <v>0</v>
      </c>
      <c r="AN24" s="1964">
        <f>SUM(K32:K45)</f>
        <v>0</v>
      </c>
      <c r="AO24" s="1964"/>
    </row>
    <row r="25" spans="2:41">
      <c r="B25" s="241"/>
      <c r="C25" s="241"/>
      <c r="D25" s="241"/>
      <c r="E25" s="242"/>
      <c r="G25" s="233" t="s">
        <v>1127</v>
      </c>
      <c r="J25" s="242"/>
      <c r="K25" s="242"/>
      <c r="L25" s="242"/>
      <c r="M25" s="573"/>
      <c r="U25" s="1534"/>
      <c r="W25" s="2460"/>
      <c r="X25" s="2460"/>
      <c r="Y25" s="2460"/>
      <c r="AL25" s="1964" t="s">
        <v>337</v>
      </c>
      <c r="AM25" s="1964">
        <f>SUM(Z10:Z23)</f>
        <v>0</v>
      </c>
      <c r="AN25" s="1964">
        <f>SUM(AA10:AA23)</f>
        <v>0</v>
      </c>
      <c r="AO25" s="1964"/>
    </row>
    <row r="26" spans="2:41">
      <c r="B26" s="241"/>
      <c r="C26" s="241"/>
      <c r="D26" s="241"/>
      <c r="E26" s="242"/>
      <c r="G26" s="748" t="s">
        <v>1274</v>
      </c>
      <c r="J26" s="242"/>
      <c r="K26" s="242"/>
      <c r="L26" s="242"/>
      <c r="M26" s="573"/>
      <c r="U26" s="1534"/>
      <c r="W26" s="2460"/>
      <c r="X26" s="2460"/>
      <c r="Y26" s="2460"/>
      <c r="AL26" s="1964" t="s">
        <v>338</v>
      </c>
      <c r="AM26" s="1964">
        <f>SUM(AB10:AB23)</f>
        <v>0</v>
      </c>
      <c r="AN26" s="1964">
        <f>SUM(AC10:AC23)</f>
        <v>0</v>
      </c>
      <c r="AO26" s="1964"/>
    </row>
    <row r="27" spans="2:41">
      <c r="J27" s="233"/>
      <c r="U27" s="1534"/>
      <c r="W27" s="2460"/>
      <c r="X27" s="2460"/>
      <c r="Y27" s="2460"/>
      <c r="AL27" s="1964"/>
      <c r="AM27" s="1964">
        <f>SUM(AM23:AM26)</f>
        <v>0</v>
      </c>
      <c r="AN27" s="1964">
        <f>SUM(AN23:AN26)</f>
        <v>0</v>
      </c>
      <c r="AO27" s="1964"/>
    </row>
    <row r="28" spans="2:41">
      <c r="B28" s="625" t="s">
        <v>618</v>
      </c>
      <c r="C28" s="627"/>
      <c r="D28" s="626"/>
      <c r="E28" s="626"/>
      <c r="F28" s="627"/>
      <c r="G28" s="749"/>
      <c r="H28" s="749"/>
      <c r="I28" s="749"/>
      <c r="J28" s="750"/>
      <c r="K28" s="749"/>
      <c r="L28" s="749"/>
      <c r="M28" s="749"/>
      <c r="N28" s="750"/>
      <c r="O28" s="750"/>
      <c r="P28" s="750"/>
      <c r="Q28" s="233"/>
      <c r="R28" s="2087" t="s">
        <v>1513</v>
      </c>
      <c r="S28" s="2083"/>
      <c r="T28" s="2089"/>
      <c r="AD28" s="2460" t="s">
        <v>285</v>
      </c>
    </row>
    <row r="29" spans="2:41" ht="15.6">
      <c r="B29" s="269" t="s">
        <v>499</v>
      </c>
      <c r="C29" s="270" t="s">
        <v>619</v>
      </c>
      <c r="D29" s="270"/>
      <c r="E29" s="751"/>
      <c r="F29" s="751"/>
      <c r="G29" s="751"/>
      <c r="H29" s="752" t="s">
        <v>221</v>
      </c>
      <c r="I29" s="538"/>
      <c r="J29" s="783" t="s">
        <v>222</v>
      </c>
      <c r="K29" s="1384"/>
      <c r="L29" s="269" t="s">
        <v>1275</v>
      </c>
      <c r="M29" s="270"/>
      <c r="N29" s="3104" t="s">
        <v>687</v>
      </c>
      <c r="O29" s="3105"/>
      <c r="P29" s="1244" t="s">
        <v>348</v>
      </c>
      <c r="Q29" s="233"/>
      <c r="R29" s="2082" t="s">
        <v>1514</v>
      </c>
      <c r="S29" s="2079"/>
      <c r="T29" s="2085"/>
    </row>
    <row r="30" spans="2:41">
      <c r="B30" s="271"/>
      <c r="C30" s="259" t="s">
        <v>1291</v>
      </c>
      <c r="D30" s="753" t="s">
        <v>692</v>
      </c>
      <c r="E30" s="754"/>
      <c r="F30" s="909" t="s">
        <v>688</v>
      </c>
      <c r="G30" s="755"/>
      <c r="H30" s="636" t="s">
        <v>690</v>
      </c>
      <c r="I30" s="637" t="s">
        <v>691</v>
      </c>
      <c r="J30" s="1385" t="s">
        <v>690</v>
      </c>
      <c r="K30" s="1386" t="s">
        <v>691</v>
      </c>
      <c r="L30" s="1498" t="s">
        <v>690</v>
      </c>
      <c r="M30" s="1499" t="s">
        <v>691</v>
      </c>
      <c r="N30" s="1500" t="s">
        <v>690</v>
      </c>
      <c r="O30" s="1501" t="s">
        <v>691</v>
      </c>
      <c r="P30" s="1030"/>
      <c r="Q30" s="233"/>
      <c r="R30" s="2086" t="s">
        <v>690</v>
      </c>
      <c r="S30" s="2088" t="s">
        <v>691</v>
      </c>
      <c r="T30" s="2081" t="s">
        <v>348</v>
      </c>
      <c r="Z30" s="2467"/>
      <c r="AA30" s="2460" t="s">
        <v>1602</v>
      </c>
    </row>
    <row r="31" spans="2:41" ht="15.6">
      <c r="B31" s="271"/>
      <c r="C31" s="907" t="s">
        <v>352</v>
      </c>
      <c r="D31" s="639" t="s">
        <v>346</v>
      </c>
      <c r="E31" s="756" t="s">
        <v>353</v>
      </c>
      <c r="F31" s="757" t="s">
        <v>346</v>
      </c>
      <c r="G31" s="758" t="s">
        <v>353</v>
      </c>
      <c r="H31" s="645"/>
      <c r="I31" s="646"/>
      <c r="J31" s="1387"/>
      <c r="K31" s="1388"/>
      <c r="L31" s="1500"/>
      <c r="M31" s="1501"/>
      <c r="N31" s="1500" t="s">
        <v>223</v>
      </c>
      <c r="O31" s="1501" t="s">
        <v>223</v>
      </c>
      <c r="P31" s="917" t="s">
        <v>875</v>
      </c>
      <c r="Q31" s="233"/>
      <c r="R31" s="2090" t="s">
        <v>1461</v>
      </c>
      <c r="S31" s="2091" t="s">
        <v>1461</v>
      </c>
      <c r="T31" s="2080"/>
      <c r="Z31" s="2467"/>
      <c r="AA31" s="2460" t="s">
        <v>690</v>
      </c>
      <c r="AB31" s="2460" t="s">
        <v>691</v>
      </c>
    </row>
    <row r="32" spans="2:41">
      <c r="B32" s="759" t="s">
        <v>1157</v>
      </c>
      <c r="C32" s="910">
        <v>0</v>
      </c>
      <c r="D32" s="760">
        <f>Matrix!G10</f>
        <v>0</v>
      </c>
      <c r="E32" s="761" t="s">
        <v>356</v>
      </c>
      <c r="F32" s="760">
        <f>Matrix!G27</f>
        <v>0</v>
      </c>
      <c r="G32" s="1379" t="s">
        <v>356</v>
      </c>
      <c r="H32" s="1517">
        <f>-(MIN(C32,D32)*time_tot+ABS(D32-C32)*IF(D32&gt;C32,time2+(time-1)*(VLOOKUP(E32,List!$E$35:$F$37,2,)),(time-1)*(1-(VLOOKUP(E32,List!$E$35:$F$37,2,)))))*(IF($H10&gt;0,$H10,$G10)+IF($J10&gt;0,$J10,$I10))*(44/12)</f>
        <v>0</v>
      </c>
      <c r="I32" s="1481">
        <f>-(MIN(C32,F32)*time_tot+ABS(F32-C32)*IF(F32&gt;C32,time2+(time-1)*(VLOOKUP(G32,List!$E$35:$F$37,2,)),(time-1)*(1-(VLOOKUP(G32,List!$E$35:$F$37,2,)))))*(IF($H10&gt;0,$H10,$G10)+IF($J10&gt;0,$J10,$I10))*44/12</f>
        <v>0</v>
      </c>
      <c r="J32" s="1506">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91">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84">
        <f>(MIN(C32,D32)*time_tot+ABS(D32-C32)*IF(D32&gt;C32,time2+time*(VLOOKUP(E32,List!$E$35:$F$37,2,)),time*(1-(VLOOKUP(E32,List!$E$35:$F$37,2,)))))*$P10</f>
        <v>0</v>
      </c>
      <c r="M32" s="1481">
        <f>(MIN(C32,F32)*time_tot+ABS(F32-C32)*IF(F32&gt;C32,time2+time*(VLOOKUP(G32,List!$E$35:$F$37,2,)),time*(1-(VLOOKUP(G32,List!$E$35:$F$37,2,)))))*$P10</f>
        <v>0</v>
      </c>
      <c r="N32" s="1484">
        <f>L32+J32+H32</f>
        <v>0</v>
      </c>
      <c r="O32" s="1481">
        <f>M32+K32+I32</f>
        <v>0</v>
      </c>
      <c r="P32" s="283">
        <f>O32-N32</f>
        <v>0</v>
      </c>
      <c r="Q32" s="233"/>
      <c r="R32" s="2093">
        <f>$Q10*(time*((ABS(D32-C32)*(IF(C32&lt;=D32,VLOOKUP(E32,List!$E$35:$F$37,2,),1-VLOOKUP(E32,List!$E$35:$F$37,2,))))+MIN(D32,C32))+(D32*time2))</f>
        <v>0</v>
      </c>
      <c r="S32" s="2093">
        <f>$Q10*(time*((ABS(F32-C32)*(IF(C32&lt;=F32,VLOOKUP(G32,List!$E$35:$F$37,2,),1-VLOOKUP(G32,List!$E$35:$F$37,2,))))+MIN(F32,C32))+(F32*time2))</f>
        <v>0</v>
      </c>
      <c r="T32" s="2084">
        <f>S32-R32</f>
        <v>0</v>
      </c>
      <c r="Z32" s="2467"/>
      <c r="AA32" s="2460">
        <f t="shared" ref="AA32:AA38" si="4">IF($P10&gt;0,L32/$P10,0)/E10</f>
        <v>0</v>
      </c>
      <c r="AB32" s="2460">
        <f t="shared" ref="AB32:AB38" si="5">IF($P10&gt;0,M32/$P10,0)/E10</f>
        <v>0</v>
      </c>
    </row>
    <row r="33" spans="2:28">
      <c r="B33" s="762" t="s">
        <v>1158</v>
      </c>
      <c r="C33" s="910">
        <f>MAX(Matrix!E29,Matrix!E12)</f>
        <v>0</v>
      </c>
      <c r="D33" s="760">
        <f>MAX(Matrix!E29,Matrix!E12)-Matrix!E12</f>
        <v>0</v>
      </c>
      <c r="E33" s="761" t="s">
        <v>356</v>
      </c>
      <c r="F33" s="760">
        <f>MAX(Matrix!E29,Matrix!E12)-Matrix!E29</f>
        <v>0</v>
      </c>
      <c r="G33" s="1379" t="s">
        <v>356</v>
      </c>
      <c r="H33" s="1517">
        <f>-(MIN(C33,D33)*time_tot+ABS(D33-C33)*IF(D33&gt;C33,time2+time*(VLOOKUP(E33,List!$E$35:$F$37,2,)),time*(1-(VLOOKUP(E33,List!$E$35:$F$37,2,)))))*(IF($H11&gt;0,$H11,$G11)+IF($J11&gt;0,$J11,$I11))*(44/12)</f>
        <v>0</v>
      </c>
      <c r="I33" s="1481">
        <f>-(MIN(C33,F33)*time_tot+ABS(F33-C33)*IF(F33&gt;C33,time2+time*(VLOOKUP(G33,List!$E$35:$F$37,2,)),time*(1-(VLOOKUP(G33,List!$E$35:$F$37,2,)))))*(IF($H11&gt;0,$H11,$G11)+IF($J11&gt;0,$J11,$I11))*44/12</f>
        <v>0</v>
      </c>
      <c r="J33" s="1506">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91">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84">
        <f>(MIN(C33,D33)*time_tot+ABS(D33-C33)*IF(D33&gt;C33,time2+time*(VLOOKUP(E33,List!$E$35:$F$37,2,)),time*(1-(VLOOKUP(E33,List!$E$35:$F$37,2,)))))*$P11</f>
        <v>0</v>
      </c>
      <c r="M33" s="1481">
        <f>(MIN(C33,F33)*time_tot+ABS(F33-C33)*IF(F33&gt;C33,time2+time*(VLOOKUP(G33,List!$E$35:$F$37,2,)),time*(1-(VLOOKUP(G33,List!$E$35:$F$37,2,)))))*$P11</f>
        <v>0</v>
      </c>
      <c r="N33" s="1484">
        <f t="shared" ref="N33:N35" si="6">L33+J33+H33</f>
        <v>0</v>
      </c>
      <c r="O33" s="1481">
        <f t="shared" ref="O33:O35" si="7">M33+K33+I33</f>
        <v>0</v>
      </c>
      <c r="P33" s="284">
        <f t="shared" ref="P33:P35" si="8">O33-N33</f>
        <v>0</v>
      </c>
      <c r="Q33" s="233"/>
      <c r="R33" s="2093">
        <f>$Q11*(time*((ABS(D33-C33)*(IF(C33&lt;=D33,VLOOKUP(E33,List!$E$35:$F$37,2,),1-VLOOKUP(E33,List!$E$35:$F$37,2,))))+MIN(D33,C33))+(D33*time2))</f>
        <v>0</v>
      </c>
      <c r="S33" s="2093">
        <f>$Q11*(time*((ABS(F33-C33)*(IF(C33&lt;=F33,VLOOKUP(G33,List!$E$35:$F$37,2,),1-VLOOKUP(G33,List!$E$35:$F$37,2,))))+MIN(F33,C33))+(F33*time2))</f>
        <v>0</v>
      </c>
      <c r="T33" s="2084">
        <f t="shared" ref="T33:T38" si="9">S33-R33</f>
        <v>0</v>
      </c>
      <c r="Z33" s="2467"/>
      <c r="AA33" s="2460">
        <f t="shared" si="4"/>
        <v>0</v>
      </c>
      <c r="AB33" s="2460">
        <f t="shared" si="5"/>
        <v>0</v>
      </c>
    </row>
    <row r="34" spans="2:28">
      <c r="B34" s="762" t="s">
        <v>1251</v>
      </c>
      <c r="C34" s="910">
        <v>0</v>
      </c>
      <c r="D34" s="760">
        <f>Matrix!AQ22+Matrix!BF22+Matrix!BM22+Matrix!BT22+Matrix!CA22+Matrix!CH22</f>
        <v>0</v>
      </c>
      <c r="E34" s="761" t="s">
        <v>356</v>
      </c>
      <c r="F34" s="760">
        <f>Matrix!CH38+Matrix!CA38+Matrix!BT38+Matrix!BM38+Matrix!BF38+Matrix!AQ38</f>
        <v>0</v>
      </c>
      <c r="G34" s="1379" t="s">
        <v>356</v>
      </c>
      <c r="H34" s="1517">
        <f>-(MIN(C34,D34)*time_tot+ABS(D34-C34)*IF(D34&gt;C34,time2+(time-1)*(VLOOKUP(E34,List!$E$35:$F$37,2,)),(time-1)*(1-(VLOOKUP(E34,List!$E$35:$F$37,2,)))))*(IF($H12&gt;0,$H12,$G12)+IF($J12&gt;0,$J12,$I12))*(44/12)</f>
        <v>0</v>
      </c>
      <c r="I34" s="1481">
        <f>-(MIN(C34,F34)*time_tot+ABS(F34-C34)*IF(F34&gt;C34,time2+(time-1)*(VLOOKUP(G34,List!$E$35:$F$37,2,)),(time-1)*(1-(VLOOKUP(G34,List!$E$35:$F$37,2,)))))*(IF($H12&gt;0,$H12,$G12)+IF($J12&gt;0,$J12,$I12))*44/12</f>
        <v>0</v>
      </c>
      <c r="J34" s="1518">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71">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84">
        <f>(MIN(C34,D34)*time_tot+ABS(D34-C34)*IF(D34&gt;C34,time2+time*(VLOOKUP(E34,List!$E$35:$F$37,2,)),time*(1-(VLOOKUP(E34,List!$E$35:$F$37,2,)))))*$P12</f>
        <v>0</v>
      </c>
      <c r="M34" s="1481">
        <f>(MIN(C34,F34)*time_tot+ABS(F34-C34)*IF(F34&gt;C34,time2+time*(VLOOKUP(G34,List!$E$35:$F$37,2,)),time*(1-(VLOOKUP(G34,List!$E$35:$F$37,2,)))))*$P12</f>
        <v>0</v>
      </c>
      <c r="N34" s="1484">
        <f t="shared" si="6"/>
        <v>0</v>
      </c>
      <c r="O34" s="1481">
        <f t="shared" si="7"/>
        <v>0</v>
      </c>
      <c r="P34" s="284">
        <f t="shared" si="8"/>
        <v>0</v>
      </c>
      <c r="Q34" s="233"/>
      <c r="R34" s="2093">
        <f>$Q12*(time*((ABS(D34-C34)*(IF(C34&lt;=D34,VLOOKUP(E34,List!$E$35:$F$37,2,),1-VLOOKUP(E34,List!$E$35:$F$37,2,))))+MIN(D34,C34))+(D34*time2))</f>
        <v>0</v>
      </c>
      <c r="S34" s="2093">
        <f>$Q12*(time*((ABS(F34-C34)*(IF(C34&lt;=F34,VLOOKUP(G34,List!$E$35:$F$37,2,),1-VLOOKUP(G34,List!$E$35:$F$37,2,))))+MIN(F34,C34))+(F34*time2))</f>
        <v>0</v>
      </c>
      <c r="T34" s="2084">
        <f t="shared" si="9"/>
        <v>0</v>
      </c>
      <c r="Z34" s="2467"/>
      <c r="AA34" s="2460">
        <f t="shared" si="4"/>
        <v>0</v>
      </c>
      <c r="AB34" s="2460">
        <f t="shared" si="5"/>
        <v>0</v>
      </c>
    </row>
    <row r="35" spans="2:28" ht="13.8" thickBot="1">
      <c r="B35" s="763" t="s">
        <v>1252</v>
      </c>
      <c r="C35" s="647">
        <f>MAX(SUM(Matrix!AX22:BC22),SUM(Matrix!AX38:BC38))</f>
        <v>0</v>
      </c>
      <c r="D35" s="911">
        <f>MAX(SUM(Matrix!AX22:BC22),SUM(Matrix!AX38:BC38))-SUM(Matrix!AX22:BC22)</f>
        <v>0</v>
      </c>
      <c r="E35" s="761" t="s">
        <v>356</v>
      </c>
      <c r="F35" s="911">
        <f>MAX(SUM(Matrix!AX22:BC22),SUM(Matrix!AX38:BC38))-SUM(Matrix!AX38:BC38)</f>
        <v>0</v>
      </c>
      <c r="G35" s="1379" t="s">
        <v>356</v>
      </c>
      <c r="H35" s="1517">
        <f>-(MIN(C35,D35)*time_tot+ABS(D35-C35)*IF(D35&gt;C35,time2+time*(VLOOKUP(E35,List!$E$35:$F$37,2,)),time*(1-(VLOOKUP(E35,List!$E$35:$F$37,2,)))))*(IF($H13&gt;0,$H13,$G13)+IF($J13&gt;0,$J13,$I13))*(44/12)</f>
        <v>0</v>
      </c>
      <c r="I35" s="1481">
        <f>-(MIN(C35,F35)*time_tot+ABS(F35-C35)*IF(F35&gt;C35,time2+time*(VLOOKUP(G35,List!$E$35:$F$37,2,)),time*(1-(VLOOKUP(G35,List!$E$35:$F$37,2,)))))*(IF($H13&gt;0,$H13,$G13)+IF($J13&gt;0,$J13,$I13))*44/12</f>
        <v>0</v>
      </c>
      <c r="J35" s="1508">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93">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84">
        <f>(MIN(C35,D35)*time_tot+ABS(D35-C35)*IF(D35&gt;C35,time2+time*(VLOOKUP(E35,List!$E$35:$F$37,2,)),time*(1-(VLOOKUP(E35,List!$E$35:$F$37,2,)))))*$P13</f>
        <v>0</v>
      </c>
      <c r="M35" s="1481">
        <f>(MIN(C35,F35)*time_tot+ABS(F35-C35)*IF(F35&gt;C35,time2+time*(VLOOKUP(G35,List!$E$35:$F$37,2,)),time*(1-(VLOOKUP(G35,List!$E$35:$F$37,2,)))))*$P13</f>
        <v>0</v>
      </c>
      <c r="N35" s="1497">
        <f t="shared" si="6"/>
        <v>0</v>
      </c>
      <c r="O35" s="1476">
        <f t="shared" si="7"/>
        <v>0</v>
      </c>
      <c r="P35" s="284">
        <f t="shared" si="8"/>
        <v>0</v>
      </c>
      <c r="Q35" s="233"/>
      <c r="R35" s="2093">
        <f>$Q13*(time*((ABS(D35-C35)*(IF(C35&lt;=D35,VLOOKUP(E35,List!$E$35:$F$37,2,),1-VLOOKUP(E35,List!$E$35:$F$37,2,))))+MIN(D35,C35))+(D35*time2))</f>
        <v>0</v>
      </c>
      <c r="S35" s="2093">
        <f>$Q13*(time*((ABS(F35-C35)*(IF(C35&lt;=F35,VLOOKUP(G35,List!$E$35:$F$37,2,),1-VLOOKUP(G35,List!$E$35:$F$37,2,))))+MIN(F35,C35))+(F35*time2))</f>
        <v>0</v>
      </c>
      <c r="T35" s="2084">
        <f t="shared" si="9"/>
        <v>0</v>
      </c>
      <c r="Z35" s="2467"/>
      <c r="AA35" s="2460">
        <f t="shared" si="4"/>
        <v>0</v>
      </c>
      <c r="AB35" s="2460">
        <f t="shared" si="5"/>
        <v>0</v>
      </c>
    </row>
    <row r="36" spans="2:28" ht="13.8" thickBot="1">
      <c r="B36" s="764" t="str">
        <f>B14</f>
        <v>Perennial Syst 1</v>
      </c>
      <c r="C36" s="1897">
        <f>'3.Cropland'!O52</f>
        <v>0</v>
      </c>
      <c r="D36" s="1897">
        <f>'3.Cropland'!P52</f>
        <v>0</v>
      </c>
      <c r="E36" s="2236" t="str">
        <f>VLOOKUP('3.Cropland'!Q52,List!$D$35:$E$37,2,)</f>
        <v>Linear</v>
      </c>
      <c r="F36" s="1841">
        <f>'3.Cropland'!R52</f>
        <v>0</v>
      </c>
      <c r="G36" s="2236" t="str">
        <f>VLOOKUP('3.Cropland'!T52,List!$D$35:$E$37,2,)</f>
        <v>Linear</v>
      </c>
      <c r="H36" s="1517">
        <f>-(MIN(C36,D36)*time_tot+ABS(D36-C36)*IF(D36&gt;C36,time2+time*(VLOOKUP(E36,List!$E$35:$F$37,2,)),time*(1-(VLOOKUP(E36,List!$E$35:$F$37,2,)))))*(IF($H14&gt;0,$H14,$G14)+IF($J14&gt;0,$J14,$I14))*(44/12)</f>
        <v>0</v>
      </c>
      <c r="I36" s="1481">
        <f>-(MIN(C36,F36)*time_tot+ABS(F36-C36)*IF(F36&gt;C36,time2+time*(VLOOKUP(G36,List!$E$35:$F$37,2,)),time*(1-(VLOOKUP(G36,List!$E$35:$F$37,2,)))))*(IF($H14&gt;0,$H14,$G14)+IF($J14&gt;0,$J14,$I14))*44/12</f>
        <v>0</v>
      </c>
      <c r="J36" s="1508">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213">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84">
        <f>(MIN(C36,D36)*time_tot+ABS(D36-C36)*IF(D36&gt;C36,time2+time*(VLOOKUP(E36,List!$E$35:$F$37,2,)),time*(1-(VLOOKUP(E36,List!$E$35:$F$37,2,)))))*$P14</f>
        <v>0</v>
      </c>
      <c r="M36" s="1481">
        <f>(MIN(C36,F36)*time_tot+ABS(F36-C36)*IF(F36&gt;C36,time2+time*(VLOOKUP(G36,List!$E$35:$F$37,2,)),time*(1-(VLOOKUP(G36,List!$E$35:$F$37,2,)))))*$P14</f>
        <v>0</v>
      </c>
      <c r="N36" s="1483">
        <f t="shared" ref="N36:O38" si="10">L36+J36+H36</f>
        <v>0</v>
      </c>
      <c r="O36" s="1480">
        <f t="shared" si="10"/>
        <v>0</v>
      </c>
      <c r="P36" s="285">
        <f>O36-N36</f>
        <v>0</v>
      </c>
      <c r="Q36" s="233"/>
      <c r="R36" s="2093">
        <f>$Q14*(time*((ABS(D36-C36)*(IF(C36&lt;=D36,VLOOKUP(E36,List!$E$35:$F$37,2,),1-VLOOKUP(E36,List!$E$35:$F$37,2,))))+MIN(D36,C36))+(D36*time2))</f>
        <v>0</v>
      </c>
      <c r="S36" s="2093">
        <f>$Q14*(time*((ABS(F36-C36)*(IF(C36&lt;=F36,VLOOKUP(G36,List!$E$35:$F$37,2,),1-VLOOKUP(G36,List!$E$35:$F$37,2,))))+MIN(F36,C36))+(F36*time2))</f>
        <v>0</v>
      </c>
      <c r="T36" s="2084">
        <f t="shared" si="9"/>
        <v>0</v>
      </c>
      <c r="Z36" s="2467"/>
      <c r="AA36" s="2460">
        <f t="shared" si="4"/>
        <v>0</v>
      </c>
      <c r="AB36" s="2460">
        <f t="shared" si="5"/>
        <v>0</v>
      </c>
    </row>
    <row r="37" spans="2:28" ht="13.8" thickBot="1">
      <c r="B37" s="764" t="str">
        <f>B15</f>
        <v>Perennial Syst 2</v>
      </c>
      <c r="C37" s="1897">
        <f>'3.Cropland'!O53</f>
        <v>0</v>
      </c>
      <c r="D37" s="1897">
        <f>'3.Cropland'!P53</f>
        <v>0</v>
      </c>
      <c r="E37" s="2236" t="str">
        <f>VLOOKUP('3.Cropland'!Q53,List!$D$35:$E$37,2,)</f>
        <v>Linear</v>
      </c>
      <c r="F37" s="1841">
        <f>'3.Cropland'!R53</f>
        <v>0</v>
      </c>
      <c r="G37" s="2236" t="str">
        <f>VLOOKUP('3.Cropland'!T53,List!$D$35:$E$37,2,)</f>
        <v>Linear</v>
      </c>
      <c r="H37" s="1517">
        <f>-(MIN(C37,D37)*time_tot+ABS(D37-C37)*IF(D37&gt;C37,time2+time*(VLOOKUP(E37,List!$E$35:$F$37,2,)),time*(1-(VLOOKUP(E37,List!$E$35:$F$37,2,)))))*(IF($H15&gt;0,$H15,$G15)+IF($J15&gt;0,$J15,$I15))*(44/12)</f>
        <v>0</v>
      </c>
      <c r="I37" s="1481">
        <f>-(MIN(C37,F37)*time_tot+ABS(F37-C37)*IF(F37&gt;C37,time2+time*(VLOOKUP(G37,List!$E$35:$F$37,2,)),time*(1-(VLOOKUP(G37,List!$E$35:$F$37,2,)))))*(IF($H15&gt;0,$H15,$G15)+IF($J15&gt;0,$J15,$I15))*44/12</f>
        <v>0</v>
      </c>
      <c r="J37" s="1508">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213">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84">
        <f>(MIN(C37,D37)*time_tot+ABS(D37-C37)*IF(D37&gt;C37,time2+time*(VLOOKUP(E37,List!$E$35:$F$37,2,)),time*(1-(VLOOKUP(E37,List!$E$35:$F$37,2,)))))*$P15</f>
        <v>0</v>
      </c>
      <c r="M37" s="1481">
        <f>(MIN(C37,F37)*time_tot+ABS(F37-C37)*IF(F37&gt;C37,time2+time*(VLOOKUP(G37,List!$E$35:$F$37,2,)),time*(1-(VLOOKUP(G37,List!$E$35:$F$37,2,)))))*$P15</f>
        <v>0</v>
      </c>
      <c r="N37" s="1483">
        <f t="shared" si="10"/>
        <v>0</v>
      </c>
      <c r="O37" s="1480">
        <f t="shared" si="10"/>
        <v>0</v>
      </c>
      <c r="P37" s="285">
        <f>O37-N37</f>
        <v>0</v>
      </c>
      <c r="Q37" s="233"/>
      <c r="R37" s="2093">
        <f>$Q15*(time*((ABS(D37-C37)*(IF(C37&lt;=D37,VLOOKUP(E37,List!$E$35:$F$37,2,),1-VLOOKUP(E37,List!$E$35:$F$37,2,))))+MIN(D37,C37))+(D37*time2))</f>
        <v>0</v>
      </c>
      <c r="S37" s="2093">
        <f>$Q15*(time*((ABS(F37-C37)*(IF(C37&lt;=F37,VLOOKUP(G37,List!$E$35:$F$37,2,),1-VLOOKUP(G37,List!$E$35:$F$37,2,))))+MIN(F37,C37))+(F37*time2))</f>
        <v>0</v>
      </c>
      <c r="T37" s="2084">
        <f t="shared" si="9"/>
        <v>0</v>
      </c>
      <c r="Z37" s="2467"/>
      <c r="AA37" s="2460">
        <f t="shared" si="4"/>
        <v>0</v>
      </c>
      <c r="AB37" s="2460">
        <f t="shared" si="5"/>
        <v>0</v>
      </c>
    </row>
    <row r="38" spans="2:28" ht="13.8" thickBot="1">
      <c r="B38" s="764" t="str">
        <f>B16</f>
        <v>Perennial Syst 3</v>
      </c>
      <c r="C38" s="1897">
        <f>'3.Cropland'!O54</f>
        <v>0</v>
      </c>
      <c r="D38" s="1897">
        <f>'3.Cropland'!P54</f>
        <v>0</v>
      </c>
      <c r="E38" s="2236" t="str">
        <f>VLOOKUP('3.Cropland'!Q54,List!$D$35:$E$37,2,)</f>
        <v>Linear</v>
      </c>
      <c r="F38" s="1841">
        <f>'3.Cropland'!R54</f>
        <v>0</v>
      </c>
      <c r="G38" s="2236" t="str">
        <f>VLOOKUP('3.Cropland'!T54,List!$D$35:$E$37,2,)</f>
        <v>Linear</v>
      </c>
      <c r="H38" s="1517">
        <f>-(MIN(C38,D38)*time_tot+ABS(D38-C38)*IF(D38&gt;C38,time2+time*(VLOOKUP(E38,List!$E$35:$F$37,2,)),time*(1-(VLOOKUP(E38,List!$E$35:$F$37,2,)))))*(IF($H16&gt;0,$H16,$G16)+IF($J16&gt;0,$J16,$I16))*(44/12)</f>
        <v>0</v>
      </c>
      <c r="I38" s="1481">
        <f>-(MIN(C38,F38)*time_tot+ABS(F38-C38)*IF(F38&gt;C38,time2+time*(VLOOKUP(G38,List!$E$35:$F$37,2,)),time*(1-(VLOOKUP(G38,List!$E$35:$F$37,2,)))))*(IF($H16&gt;0,$H16,$G16)+IF($J16&gt;0,$J16,$I16))*44/12</f>
        <v>0</v>
      </c>
      <c r="J38" s="1508">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213">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84">
        <f>(MIN(C38,D38)*time_tot+ABS(D38-C38)*IF(D38&gt;C38,time2+time*(VLOOKUP(E38,List!$E$35:$F$37,2,)),time*(1-(VLOOKUP(E38,List!$E$35:$F$37,2,)))))*$P16</f>
        <v>0</v>
      </c>
      <c r="M38" s="1481">
        <f>(MIN(C38,F38)*time_tot+ABS(F38-C38)*IF(F38&gt;C38,time2+time*(VLOOKUP(G38,List!$E$35:$F$37,2,)),time*(1-(VLOOKUP(G38,List!$E$35:$F$37,2,)))))*$P16</f>
        <v>0</v>
      </c>
      <c r="N38" s="1483">
        <f t="shared" si="10"/>
        <v>0</v>
      </c>
      <c r="O38" s="1480">
        <f t="shared" si="10"/>
        <v>0</v>
      </c>
      <c r="P38" s="285">
        <f>O38-N38</f>
        <v>0</v>
      </c>
      <c r="Q38" s="233"/>
      <c r="R38" s="2093">
        <f>$Q16*(time*((ABS(D38-C38)*(IF(C38&lt;=D38,VLOOKUP(E38,List!$E$35:$F$37,2,),1-VLOOKUP(E38,List!$E$35:$F$37,2,))))+MIN(D38,C38))+(D38*time2))</f>
        <v>0</v>
      </c>
      <c r="S38" s="2093">
        <f>$Q16*(time*((ABS(F38-C38)*(IF(C38&lt;=F38,VLOOKUP(G38,List!$E$35:$F$37,2,),1-VLOOKUP(G38,List!$E$35:$F$37,2,))))+MIN(F38,C38))+(F38*time2))</f>
        <v>0</v>
      </c>
      <c r="T38" s="2084">
        <f t="shared" si="9"/>
        <v>0</v>
      </c>
      <c r="Z38" s="2467"/>
      <c r="AA38" s="2460">
        <f t="shared" si="4"/>
        <v>0</v>
      </c>
      <c r="AB38" s="2460">
        <f t="shared" si="5"/>
        <v>0</v>
      </c>
    </row>
    <row r="39" spans="2:28" ht="13.8" thickBot="1">
      <c r="B39" s="764" t="str">
        <f t="shared" ref="B39:B45" si="11">B17</f>
        <v>Perennial Syst 4</v>
      </c>
      <c r="C39" s="1897">
        <f>'3.Cropland'!O55</f>
        <v>0</v>
      </c>
      <c r="D39" s="1897">
        <f>'3.Cropland'!P55</f>
        <v>0</v>
      </c>
      <c r="E39" s="2236" t="str">
        <f>VLOOKUP('3.Cropland'!Q55,List!$D$35:$E$37,2,)</f>
        <v>Linear</v>
      </c>
      <c r="F39" s="1841">
        <f>'3.Cropland'!R55</f>
        <v>0</v>
      </c>
      <c r="G39" s="2236" t="str">
        <f>VLOOKUP('3.Cropland'!T55,List!$D$35:$E$37,2,)</f>
        <v>Linear</v>
      </c>
      <c r="H39" s="1517">
        <f>-(MIN(C39,D39)*time_tot+ABS(D39-C39)*IF(D39&gt;C39,time2+time*(VLOOKUP(E39,List!$E$35:$F$37,2,)),time*(1-(VLOOKUP(E39,List!$E$35:$F$37,2,)))))*(IF($H17&gt;0,$H17,$G17)+IF($J17&gt;0,$J17,$I17))*(44/12)</f>
        <v>0</v>
      </c>
      <c r="I39" s="1481">
        <f>-(MIN(C39,F39)*time_tot+ABS(F39-C39)*IF(F39&gt;C39,time2+time*(VLOOKUP(G39,List!$E$35:$F$37,2,)),time*(1-(VLOOKUP(G39,List!$E$35:$F$37,2,)))))*(IF($H17&gt;0,$H17,$G17)+IF($J17&gt;0,$J17,$I17))*44/12</f>
        <v>0</v>
      </c>
      <c r="J39" s="1508">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990">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84">
        <f>(MIN(C39,D39)*time_tot+ABS(D39-C39)*IF(D39&gt;C39,time2+time*(VLOOKUP(E39,List!$E$35:$F$37,2,)),time*(1-(VLOOKUP(E39,List!$E$35:$F$37,2,)))))*$P17</f>
        <v>0</v>
      </c>
      <c r="M39" s="1481">
        <f>(MIN(C39,F39)*time_tot+ABS(F39-C39)*IF(F39&gt;C39,time2+time*(VLOOKUP(G39,List!$E$35:$F$37,2,)),time*(1-(VLOOKUP(G39,List!$E$35:$F$37,2,)))))*$P17</f>
        <v>0</v>
      </c>
      <c r="N39" s="1483">
        <f t="shared" ref="N39:N45" si="12">L39+J39+H39</f>
        <v>0</v>
      </c>
      <c r="O39" s="1480">
        <f t="shared" ref="O39:O45" si="13">M39+K39+I39</f>
        <v>0</v>
      </c>
      <c r="P39" s="285">
        <f t="shared" ref="P39:P45" si="14">O39-N39</f>
        <v>0</v>
      </c>
      <c r="Q39" s="233"/>
      <c r="R39" s="2093">
        <f>$Q17*(time*((ABS(D39-C39)*(IF(C39&lt;=D39,VLOOKUP(E39,List!$E$35:$F$37,2,),1-VLOOKUP(E39,List!$E$35:$F$37,2,))))+MIN(D39,C39))+(D39*time2))</f>
        <v>0</v>
      </c>
      <c r="S39" s="2093">
        <f>$Q17*(time*((ABS(F39-C39)*(IF(C39&lt;=F39,VLOOKUP(G39,List!$E$35:$F$37,2,),1-VLOOKUP(G39,List!$E$35:$F$37,2,))))+MIN(F39,C39))+(F39*time2))</f>
        <v>0</v>
      </c>
      <c r="T39" s="2084">
        <f t="shared" ref="T39:T45" si="15">S39-R39</f>
        <v>0</v>
      </c>
      <c r="Z39" s="2467"/>
      <c r="AA39" s="2460">
        <f t="shared" ref="AA39:AA45" si="16">IF($P17&gt;0,L39/$P17,0)/E17</f>
        <v>0</v>
      </c>
      <c r="AB39" s="2460">
        <f t="shared" ref="AB39:AB45" si="17">IF($P17&gt;0,M39/$P17,0)/E17</f>
        <v>0</v>
      </c>
    </row>
    <row r="40" spans="2:28" ht="13.8" thickBot="1">
      <c r="B40" s="764" t="str">
        <f t="shared" si="11"/>
        <v>Perennial Syst 5</v>
      </c>
      <c r="C40" s="1897">
        <f>'3.Cropland'!O56</f>
        <v>0</v>
      </c>
      <c r="D40" s="1897">
        <f>'3.Cropland'!P56</f>
        <v>0</v>
      </c>
      <c r="E40" s="2236" t="str">
        <f>VLOOKUP('3.Cropland'!Q56,List!$D$35:$E$37,2,)</f>
        <v>Linear</v>
      </c>
      <c r="F40" s="1841">
        <f>'3.Cropland'!R56</f>
        <v>0</v>
      </c>
      <c r="G40" s="2236" t="str">
        <f>VLOOKUP('3.Cropland'!T56,List!$D$35:$E$37,2,)</f>
        <v>Linear</v>
      </c>
      <c r="H40" s="1517">
        <f>-(MIN(C40,D40)*time_tot+ABS(D40-C40)*IF(D40&gt;C40,time2+time*(VLOOKUP(E40,List!$E$35:$F$37,2,)),time*(1-(VLOOKUP(E40,List!$E$35:$F$37,2,)))))*(IF($H18&gt;0,$H18,$G18)+IF($J18&gt;0,$J18,$I18))*(44/12)</f>
        <v>0</v>
      </c>
      <c r="I40" s="1481">
        <f>-(MIN(C40,F40)*time_tot+ABS(F40-C40)*IF(F40&gt;C40,time2+time*(VLOOKUP(G40,List!$E$35:$F$37,2,)),time*(1-(VLOOKUP(G40,List!$E$35:$F$37,2,)))))*(IF($H18&gt;0,$H18,$G18)+IF($J18&gt;0,$J18,$I18))*44/12</f>
        <v>0</v>
      </c>
      <c r="J40" s="1508">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990">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84">
        <f>(MIN(C40,D40)*time_tot+ABS(D40-C40)*IF(D40&gt;C40,time2+time*(VLOOKUP(E40,List!$E$35:$F$37,2,)),time*(1-(VLOOKUP(E40,List!$E$35:$F$37,2,)))))*$P18</f>
        <v>0</v>
      </c>
      <c r="M40" s="1481">
        <f>(MIN(C40,F40)*time_tot+ABS(F40-C40)*IF(F40&gt;C40,time2+time*(VLOOKUP(G40,List!$E$35:$F$37,2,)),time*(1-(VLOOKUP(G40,List!$E$35:$F$37,2,)))))*$P18</f>
        <v>0</v>
      </c>
      <c r="N40" s="1483">
        <f t="shared" si="12"/>
        <v>0</v>
      </c>
      <c r="O40" s="1480">
        <f t="shared" si="13"/>
        <v>0</v>
      </c>
      <c r="P40" s="285">
        <f t="shared" si="14"/>
        <v>0</v>
      </c>
      <c r="Q40" s="233"/>
      <c r="R40" s="2093">
        <f>$Q18*(time*((ABS(D40-C40)*(IF(C40&lt;=D40,VLOOKUP(E40,List!$E$35:$F$37,2,),1-VLOOKUP(E40,List!$E$35:$F$37,2,))))+MIN(D40,C40))+(D40*time2))</f>
        <v>0</v>
      </c>
      <c r="S40" s="2093">
        <f>$Q18*(time*((ABS(F40-C40)*(IF(C40&lt;=F40,VLOOKUP(G40,List!$E$35:$F$37,2,),1-VLOOKUP(G40,List!$E$35:$F$37,2,))))+MIN(F40,C40))+(F40*time2))</f>
        <v>0</v>
      </c>
      <c r="T40" s="2084">
        <f t="shared" si="15"/>
        <v>0</v>
      </c>
      <c r="Z40" s="2467"/>
      <c r="AA40" s="2460">
        <f t="shared" si="16"/>
        <v>0</v>
      </c>
      <c r="AB40" s="2460">
        <f t="shared" si="17"/>
        <v>0</v>
      </c>
    </row>
    <row r="41" spans="2:28" ht="13.8" thickBot="1">
      <c r="B41" s="764" t="str">
        <f t="shared" si="11"/>
        <v>Perennial Syst 6</v>
      </c>
      <c r="C41" s="1897">
        <f>'3.Cropland'!O57</f>
        <v>0</v>
      </c>
      <c r="D41" s="1897">
        <f>'3.Cropland'!P57</f>
        <v>0</v>
      </c>
      <c r="E41" s="2236" t="str">
        <f>VLOOKUP('3.Cropland'!Q57,List!$D$35:$E$37,2,)</f>
        <v>Linear</v>
      </c>
      <c r="F41" s="1841">
        <f>'3.Cropland'!R57</f>
        <v>0</v>
      </c>
      <c r="G41" s="2236" t="str">
        <f>VLOOKUP('3.Cropland'!T57,List!$D$35:$E$37,2,)</f>
        <v>Linear</v>
      </c>
      <c r="H41" s="1517">
        <f>-(MIN(C41,D41)*time_tot+ABS(D41-C41)*IF(D41&gt;C41,time2+time*(VLOOKUP(E41,List!$E$35:$F$37,2,)),time*(1-(VLOOKUP(E41,List!$E$35:$F$37,2,)))))*(IF($H19&gt;0,$H19,$G19)+IF($J19&gt;0,$J19,$I19))*(44/12)</f>
        <v>0</v>
      </c>
      <c r="I41" s="1481">
        <f>-(MIN(C41,F41)*time_tot+ABS(F41-C41)*IF(F41&gt;C41,time2+time*(VLOOKUP(G41,List!$E$35:$F$37,2,)),time*(1-(VLOOKUP(G41,List!$E$35:$F$37,2,)))))*(IF($H19&gt;0,$H19,$G19)+IF($J19&gt;0,$J19,$I19))*44/12</f>
        <v>0</v>
      </c>
      <c r="J41" s="1508">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990">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84">
        <f>(MIN(C41,D41)*time_tot+ABS(D41-C41)*IF(D41&gt;C41,time2+time*(VLOOKUP(E41,List!$E$35:$F$37,2,)),time*(1-(VLOOKUP(E41,List!$E$35:$F$37,2,)))))*$P19</f>
        <v>0</v>
      </c>
      <c r="M41" s="1481">
        <f>(MIN(C41,F41)*time_tot+ABS(F41-C41)*IF(F41&gt;C41,time2+time*(VLOOKUP(G41,List!$E$35:$F$37,2,)),time*(1-(VLOOKUP(G41,List!$E$35:$F$37,2,)))))*$P19</f>
        <v>0</v>
      </c>
      <c r="N41" s="1483">
        <f t="shared" si="12"/>
        <v>0</v>
      </c>
      <c r="O41" s="1480">
        <f t="shared" si="13"/>
        <v>0</v>
      </c>
      <c r="P41" s="285">
        <f t="shared" si="14"/>
        <v>0</v>
      </c>
      <c r="Q41" s="233"/>
      <c r="R41" s="2093">
        <f>$Q19*(time*((ABS(D41-C41)*(IF(C41&lt;=D41,VLOOKUP(E41,List!$E$35:$F$37,2,),1-VLOOKUP(E41,List!$E$35:$F$37,2,))))+MIN(D41,C41))+(D41*time2))</f>
        <v>0</v>
      </c>
      <c r="S41" s="2093">
        <f>$Q19*(time*((ABS(F41-C41)*(IF(C41&lt;=F41,VLOOKUP(G41,List!$E$35:$F$37,2,),1-VLOOKUP(G41,List!$E$35:$F$37,2,))))+MIN(F41,C41))+(F41*time2))</f>
        <v>0</v>
      </c>
      <c r="T41" s="2084">
        <f t="shared" si="15"/>
        <v>0</v>
      </c>
      <c r="Z41" s="2467"/>
      <c r="AA41" s="2460">
        <f t="shared" si="16"/>
        <v>0</v>
      </c>
      <c r="AB41" s="2460">
        <f t="shared" si="17"/>
        <v>0</v>
      </c>
    </row>
    <row r="42" spans="2:28" ht="13.8" thickBot="1">
      <c r="B42" s="764" t="str">
        <f t="shared" si="11"/>
        <v>Perennial Syst 7</v>
      </c>
      <c r="C42" s="1897">
        <f>'3.Cropland'!O58</f>
        <v>0</v>
      </c>
      <c r="D42" s="1897">
        <f>'3.Cropland'!P58</f>
        <v>0</v>
      </c>
      <c r="E42" s="2236" t="str">
        <f>VLOOKUP('3.Cropland'!Q58,List!$D$35:$E$37,2,)</f>
        <v>Linear</v>
      </c>
      <c r="F42" s="1841">
        <f>'3.Cropland'!R58</f>
        <v>0</v>
      </c>
      <c r="G42" s="2236" t="str">
        <f>VLOOKUP('3.Cropland'!T58,List!$D$35:$E$37,2,)</f>
        <v>Linear</v>
      </c>
      <c r="H42" s="1517">
        <f>-(MIN(C42,D42)*time_tot+ABS(D42-C42)*IF(D42&gt;C42,time2+time*(VLOOKUP(E42,List!$E$35:$F$37,2,)),time*(1-(VLOOKUP(E42,List!$E$35:$F$37,2,)))))*(IF($H20&gt;0,$H20,$G20)+IF($J20&gt;0,$J20,$I20))*(44/12)</f>
        <v>0</v>
      </c>
      <c r="I42" s="1481">
        <f>-(MIN(C42,F42)*time_tot+ABS(F42-C42)*IF(F42&gt;C42,time2+time*(VLOOKUP(G42,List!$E$35:$F$37,2,)),time*(1-(VLOOKUP(G42,List!$E$35:$F$37,2,)))))*(IF($H20&gt;0,$H20,$G20)+IF($J20&gt;0,$J20,$I20))*44/12</f>
        <v>0</v>
      </c>
      <c r="J42" s="1508">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990">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84">
        <f>(MIN(C42,D42)*time_tot+ABS(D42-C42)*IF(D42&gt;C42,time2+time*(VLOOKUP(E42,List!$E$35:$F$37,2,)),time*(1-(VLOOKUP(E42,List!$E$35:$F$37,2,)))))*$P20</f>
        <v>0</v>
      </c>
      <c r="M42" s="1481">
        <f>(MIN(C42,F42)*time_tot+ABS(F42-C42)*IF(F42&gt;C42,time2+time*(VLOOKUP(G42,List!$E$35:$F$37,2,)),time*(1-(VLOOKUP(G42,List!$E$35:$F$37,2,)))))*$P20</f>
        <v>0</v>
      </c>
      <c r="N42" s="1483">
        <f t="shared" si="12"/>
        <v>0</v>
      </c>
      <c r="O42" s="1480">
        <f t="shared" si="13"/>
        <v>0</v>
      </c>
      <c r="P42" s="285">
        <f t="shared" si="14"/>
        <v>0</v>
      </c>
      <c r="Q42" s="233"/>
      <c r="R42" s="2093">
        <f>$Q20*(time*((ABS(D42-C42)*(IF(C42&lt;=D42,VLOOKUP(E42,List!$E$35:$F$37,2,),1-VLOOKUP(E42,List!$E$35:$F$37,2,))))+MIN(D42,C42))+(D42*time2))</f>
        <v>0</v>
      </c>
      <c r="S42" s="2093">
        <f>$Q20*(time*((ABS(F42-C42)*(IF(C42&lt;=F42,VLOOKUP(G42,List!$E$35:$F$37,2,),1-VLOOKUP(G42,List!$E$35:$F$37,2,))))+MIN(F42,C42))+(F42*time2))</f>
        <v>0</v>
      </c>
      <c r="T42" s="2084">
        <f t="shared" si="15"/>
        <v>0</v>
      </c>
      <c r="Z42" s="2467"/>
      <c r="AA42" s="2460">
        <f t="shared" si="16"/>
        <v>0</v>
      </c>
      <c r="AB42" s="2460">
        <f t="shared" si="17"/>
        <v>0</v>
      </c>
    </row>
    <row r="43" spans="2:28" ht="13.8" thickBot="1">
      <c r="B43" s="764" t="str">
        <f t="shared" si="11"/>
        <v>Perennial Syst 8</v>
      </c>
      <c r="C43" s="1897">
        <f>'3.Cropland'!O59</f>
        <v>0</v>
      </c>
      <c r="D43" s="1897">
        <f>'3.Cropland'!P59</f>
        <v>0</v>
      </c>
      <c r="E43" s="2236" t="str">
        <f>VLOOKUP('3.Cropland'!Q59,List!$D$35:$E$37,2,)</f>
        <v>Linear</v>
      </c>
      <c r="F43" s="1841">
        <f>'3.Cropland'!R59</f>
        <v>0</v>
      </c>
      <c r="G43" s="2236" t="str">
        <f>VLOOKUP('3.Cropland'!T59,List!$D$35:$E$37,2,)</f>
        <v>Linear</v>
      </c>
      <c r="H43" s="1517">
        <f>-(MIN(C43,D43)*time_tot+ABS(D43-C43)*IF(D43&gt;C43,time2+time*(VLOOKUP(E43,List!$E$35:$F$37,2,)),time*(1-(VLOOKUP(E43,List!$E$35:$F$37,2,)))))*(IF($H21&gt;0,$H21,$G21)+IF($J21&gt;0,$J21,$I21))*(44/12)</f>
        <v>0</v>
      </c>
      <c r="I43" s="1481">
        <f>-(MIN(C43,F43)*time_tot+ABS(F43-C43)*IF(F43&gt;C43,time2+time*(VLOOKUP(G43,List!$E$35:$F$37,2,)),time*(1-(VLOOKUP(G43,List!$E$35:$F$37,2,)))))*(IF($H21&gt;0,$H21,$G21)+IF($J21&gt;0,$J21,$I21))*44/12</f>
        <v>0</v>
      </c>
      <c r="J43" s="1508">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990">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84">
        <f>(MIN(C43,D43)*time_tot+ABS(D43-C43)*IF(D43&gt;C43,time2+time*(VLOOKUP(E43,List!$E$35:$F$37,2,)),time*(1-(VLOOKUP(E43,List!$E$35:$F$37,2,)))))*$P21</f>
        <v>0</v>
      </c>
      <c r="M43" s="1481">
        <f>(MIN(C43,F43)*time_tot+ABS(F43-C43)*IF(F43&gt;C43,time2+time*(VLOOKUP(G43,List!$E$35:$F$37,2,)),time*(1-(VLOOKUP(G43,List!$E$35:$F$37,2,)))))*$P21</f>
        <v>0</v>
      </c>
      <c r="N43" s="1483">
        <f t="shared" si="12"/>
        <v>0</v>
      </c>
      <c r="O43" s="1480">
        <f t="shared" si="13"/>
        <v>0</v>
      </c>
      <c r="P43" s="285">
        <f t="shared" si="14"/>
        <v>0</v>
      </c>
      <c r="Q43" s="233"/>
      <c r="R43" s="2093">
        <f>$Q21*(time*((ABS(D43-C43)*(IF(C43&lt;=D43,VLOOKUP(E43,List!$E$35:$F$37,2,),1-VLOOKUP(E43,List!$E$35:$F$37,2,))))+MIN(D43,C43))+(D43*time2))</f>
        <v>0</v>
      </c>
      <c r="S43" s="2093">
        <f>$Q21*(time*((ABS(F43-C43)*(IF(C43&lt;=F43,VLOOKUP(G43,List!$E$35:$F$37,2,),1-VLOOKUP(G43,List!$E$35:$F$37,2,))))+MIN(F43,C43))+(F43*time2))</f>
        <v>0</v>
      </c>
      <c r="T43" s="2084">
        <f t="shared" si="15"/>
        <v>0</v>
      </c>
      <c r="Z43" s="2467"/>
      <c r="AA43" s="2460">
        <f t="shared" si="16"/>
        <v>0</v>
      </c>
      <c r="AB43" s="2460">
        <f t="shared" si="17"/>
        <v>0</v>
      </c>
    </row>
    <row r="44" spans="2:28" ht="13.8" thickBot="1">
      <c r="B44" s="764" t="str">
        <f t="shared" si="11"/>
        <v>Perennial Syst 9</v>
      </c>
      <c r="C44" s="1897">
        <f>'3.Cropland'!O60</f>
        <v>0</v>
      </c>
      <c r="D44" s="1897">
        <f>'3.Cropland'!P60</f>
        <v>0</v>
      </c>
      <c r="E44" s="2236" t="str">
        <f>VLOOKUP('3.Cropland'!Q60,List!$D$35:$E$37,2,)</f>
        <v>Linear</v>
      </c>
      <c r="F44" s="1841">
        <f>'3.Cropland'!R60</f>
        <v>0</v>
      </c>
      <c r="G44" s="2236" t="str">
        <f>VLOOKUP('3.Cropland'!T60,List!$D$35:$E$37,2,)</f>
        <v>Linear</v>
      </c>
      <c r="H44" s="1517">
        <f>-(MIN(C44,D44)*time_tot+ABS(D44-C44)*IF(D44&gt;C44,time2+time*(VLOOKUP(E44,List!$E$35:$F$37,2,)),time*(1-(VLOOKUP(E44,List!$E$35:$F$37,2,)))))*(IF($H22&gt;0,$H22,$G22)+IF($J22&gt;0,$J22,$I22))*(44/12)</f>
        <v>0</v>
      </c>
      <c r="I44" s="1481">
        <f>-(MIN(C44,F44)*time_tot+ABS(F44-C44)*IF(F44&gt;C44,time2+time*(VLOOKUP(G44,List!$E$35:$F$37,2,)),time*(1-(VLOOKUP(G44,List!$E$35:$F$37,2,)))))*(IF($H22&gt;0,$H22,$G22)+IF($J22&gt;0,$J22,$I22))*44/12</f>
        <v>0</v>
      </c>
      <c r="J44" s="1508">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990">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84">
        <f>(MIN(C44,D44)*time_tot+ABS(D44-C44)*IF(D44&gt;C44,time2+time*(VLOOKUP(E44,List!$E$35:$F$37,2,)),time*(1-(VLOOKUP(E44,List!$E$35:$F$37,2,)))))*$P22</f>
        <v>0</v>
      </c>
      <c r="M44" s="1481">
        <f>(MIN(C44,F44)*time_tot+ABS(F44-C44)*IF(F44&gt;C44,time2+time*(VLOOKUP(G44,List!$E$35:$F$37,2,)),time*(1-(VLOOKUP(G44,List!$E$35:$F$37,2,)))))*$P22</f>
        <v>0</v>
      </c>
      <c r="N44" s="1483">
        <f t="shared" si="12"/>
        <v>0</v>
      </c>
      <c r="O44" s="1480">
        <f t="shared" si="13"/>
        <v>0</v>
      </c>
      <c r="P44" s="285">
        <f t="shared" si="14"/>
        <v>0</v>
      </c>
      <c r="Q44" s="233"/>
      <c r="R44" s="2093">
        <f>$Q22*(time*((ABS(D44-C44)*(IF(C44&lt;=D44,VLOOKUP(E44,List!$E$35:$F$37,2,),1-VLOOKUP(E44,List!$E$35:$F$37,2,))))+MIN(D44,C44))+(D44*time2))</f>
        <v>0</v>
      </c>
      <c r="S44" s="2093">
        <f>$Q22*(time*((ABS(F44-C44)*(IF(C44&lt;=F44,VLOOKUP(G44,List!$E$35:$F$37,2,),1-VLOOKUP(G44,List!$E$35:$F$37,2,))))+MIN(F44,C44))+(F44*time2))</f>
        <v>0</v>
      </c>
      <c r="T44" s="2084">
        <f t="shared" si="15"/>
        <v>0</v>
      </c>
      <c r="Z44" s="2467"/>
      <c r="AA44" s="2460">
        <f t="shared" si="16"/>
        <v>0</v>
      </c>
      <c r="AB44" s="2460">
        <f t="shared" si="17"/>
        <v>0</v>
      </c>
    </row>
    <row r="45" spans="2:28">
      <c r="B45" s="764" t="str">
        <f t="shared" si="11"/>
        <v>Perennial Syst 10</v>
      </c>
      <c r="C45" s="1897">
        <f>'3.Cropland'!O61</f>
        <v>0</v>
      </c>
      <c r="D45" s="1897">
        <f>'3.Cropland'!P61</f>
        <v>0</v>
      </c>
      <c r="E45" s="2236" t="str">
        <f>VLOOKUP('3.Cropland'!Q61,List!$D$35:$E$37,2,)</f>
        <v>Linear</v>
      </c>
      <c r="F45" s="1841">
        <f>'3.Cropland'!R61</f>
        <v>0</v>
      </c>
      <c r="G45" s="2236" t="str">
        <f>VLOOKUP('3.Cropland'!T61,List!$D$35:$E$37,2,)</f>
        <v>Linear</v>
      </c>
      <c r="H45" s="1517">
        <f>-(MIN(C45,D45)*time_tot+ABS(D45-C45)*IF(D45&gt;C45,time2+time*(VLOOKUP(E45,List!$E$35:$F$37,2,)),time*(1-(VLOOKUP(E45,List!$E$35:$F$37,2,)))))*(IF($H23&gt;0,$H23,$G23)+IF($J23&gt;0,$J23,$I23))*(44/12)</f>
        <v>0</v>
      </c>
      <c r="I45" s="1481">
        <f>-(MIN(C45,F45)*time_tot+ABS(F45-C45)*IF(F45&gt;C45,time2+time*(VLOOKUP(G45,List!$E$35:$F$37,2,)),time*(1-(VLOOKUP(G45,List!$E$35:$F$37,2,)))))*(IF($H23&gt;0,$H23,$G23)+IF($J23&gt;0,$J23,$I23))*44/12</f>
        <v>0</v>
      </c>
      <c r="J45" s="1508">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990">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84">
        <f>(MIN(C45,D45)*time_tot+ABS(D45-C45)*IF(D45&gt;C45,time2+time*(VLOOKUP(E45,List!$E$35:$F$37,2,)),time*(1-(VLOOKUP(E45,List!$E$35:$F$37,2,)))))*$P23</f>
        <v>0</v>
      </c>
      <c r="M45" s="1481">
        <f>(MIN(C45,F45)*time_tot+ABS(F45-C45)*IF(F45&gt;C45,time2+time*(VLOOKUP(G45,List!$E$35:$F$37,2,)),time*(1-(VLOOKUP(G45,List!$E$35:$F$37,2,)))))*$P23</f>
        <v>0</v>
      </c>
      <c r="N45" s="1483">
        <f t="shared" si="12"/>
        <v>0</v>
      </c>
      <c r="O45" s="1480">
        <f t="shared" si="13"/>
        <v>0</v>
      </c>
      <c r="P45" s="285">
        <f t="shared" si="14"/>
        <v>0</v>
      </c>
      <c r="Q45" s="233"/>
      <c r="R45" s="2093">
        <f>$Q23*(time*((ABS(D45-C45)*(IF(C45&lt;=D45,VLOOKUP(E45,List!$E$35:$F$37,2,),1-VLOOKUP(E45,List!$E$35:$F$37,2,))))+MIN(D45,C45))+(D45*time2))</f>
        <v>0</v>
      </c>
      <c r="S45" s="2093">
        <f>$Q23*(time*((ABS(F45-C45)*(IF(C45&lt;=F45,VLOOKUP(G45,List!$E$35:$F$37,2,),1-VLOOKUP(G45,List!$E$35:$F$37,2,))))+MIN(F45,C45))+(F45*time2))</f>
        <v>0</v>
      </c>
      <c r="T45" s="2084">
        <f t="shared" si="15"/>
        <v>0</v>
      </c>
      <c r="Z45" s="2467"/>
      <c r="AA45" s="2460">
        <f t="shared" si="16"/>
        <v>0</v>
      </c>
      <c r="AB45" s="2460">
        <f t="shared" si="17"/>
        <v>0</v>
      </c>
    </row>
    <row r="46" spans="2:28" ht="13.8" thickBot="1">
      <c r="B46" s="765" t="s">
        <v>1292</v>
      </c>
      <c r="C46" s="653">
        <f>SUM(C36:C45)</f>
        <v>0</v>
      </c>
      <c r="D46" s="654">
        <f>SUM(D36:D45)</f>
        <v>0</v>
      </c>
      <c r="E46" s="912"/>
      <c r="F46" s="654">
        <f>SUM(F36:F45)</f>
        <v>0</v>
      </c>
      <c r="G46" s="913" t="str">
        <f>IF(C46=D46,IF(D46=F46,"","Check areas !"),"Check areas !")</f>
        <v/>
      </c>
      <c r="H46" s="530"/>
      <c r="P46" s="1245"/>
      <c r="Q46" s="233"/>
      <c r="U46" s="233"/>
      <c r="V46" s="1533"/>
      <c r="W46" s="2460"/>
      <c r="Z46" s="2467"/>
      <c r="AA46" s="2467"/>
      <c r="AB46" s="2467"/>
    </row>
    <row r="47" spans="2:28" ht="13.8" thickBot="1">
      <c r="K47" s="657" t="s">
        <v>622</v>
      </c>
      <c r="L47" s="658"/>
      <c r="M47" s="659"/>
      <c r="N47" s="660">
        <f>SUM(N32:N45)</f>
        <v>0</v>
      </c>
      <c r="O47" s="661">
        <f>SUM(O32:O45)</f>
        <v>0</v>
      </c>
      <c r="P47" s="918">
        <f>SUM(P32:P45)</f>
        <v>0</v>
      </c>
      <c r="Q47" s="233"/>
      <c r="R47" s="2092">
        <f>SUM(R32:R45)</f>
        <v>0</v>
      </c>
      <c r="S47" s="2092">
        <f>SUM(S32:S45)</f>
        <v>0</v>
      </c>
      <c r="T47" s="2092">
        <f>SUM(T32:T45)</f>
        <v>0</v>
      </c>
      <c r="U47" s="1529"/>
      <c r="V47" s="1533"/>
      <c r="W47" s="2460"/>
      <c r="Z47" s="2467" t="s">
        <v>531</v>
      </c>
      <c r="AA47" s="2470">
        <f>SUM(AA32:AA45)</f>
        <v>0</v>
      </c>
      <c r="AB47" s="2470">
        <f>SUM(AB32:AB45)</f>
        <v>0</v>
      </c>
    </row>
    <row r="48" spans="2:28">
      <c r="I48" s="233"/>
      <c r="K48" s="234"/>
      <c r="Q48" s="233"/>
      <c r="R48" s="233"/>
      <c r="S48" s="233"/>
      <c r="U48" s="1529"/>
      <c r="V48" s="1533"/>
      <c r="Z48" s="2467"/>
      <c r="AA48" s="2467"/>
    </row>
    <row r="49" spans="8:26">
      <c r="H49" s="1383"/>
      <c r="I49" s="233"/>
      <c r="K49" s="234"/>
      <c r="Q49" s="233"/>
      <c r="R49" s="233"/>
      <c r="S49" s="233"/>
      <c r="U49" s="1529"/>
      <c r="V49" s="1533"/>
      <c r="Z49" s="2467"/>
    </row>
    <row r="50" spans="8:26">
      <c r="H50" s="234"/>
      <c r="J50" s="922"/>
      <c r="T50" s="234"/>
      <c r="U50" s="1529"/>
    </row>
    <row r="51" spans="8:26">
      <c r="H51" s="234"/>
      <c r="J51" s="922"/>
      <c r="T51" s="234"/>
    </row>
    <row r="52" spans="8:26">
      <c r="J52" s="922"/>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34</vt:i4>
      </vt:variant>
      <vt:variant>
        <vt:lpstr>Plages nommées</vt:lpstr>
      </vt:variant>
      <vt:variant>
        <vt:i4>108</vt:i4>
      </vt:variant>
    </vt:vector>
  </HeadingPairs>
  <TitlesOfParts>
    <vt:vector size="142" baseType="lpstr">
      <vt:lpstr>0.Start</vt:lpstr>
      <vt:lpstr>1.Description</vt:lpstr>
      <vt:lpstr>2.LUC</vt:lpstr>
      <vt:lpstr>A-R</vt:lpstr>
      <vt:lpstr>non Forest LUC</vt:lpstr>
      <vt:lpstr>Deforestation</vt:lpstr>
      <vt:lpstr>3.Cropland</vt:lpstr>
      <vt:lpstr>Annual</vt:lpstr>
      <vt:lpstr>Perennial</vt:lpstr>
      <vt:lpstr>Irrigated Rice</vt:lpstr>
      <vt:lpstr>Matrix</vt:lpstr>
      <vt:lpstr>Grass</vt:lpstr>
      <vt:lpstr>4.Grassland</vt:lpstr>
      <vt:lpstr>Forest Degradation</vt:lpstr>
      <vt:lpstr>Organic Soils</vt:lpstr>
      <vt:lpstr>Livestock</vt:lpstr>
      <vt:lpstr>5. Degradation</vt:lpstr>
      <vt:lpstr>Inputs</vt:lpstr>
      <vt:lpstr>Other investments</vt:lpstr>
      <vt:lpstr>6. Inputs</vt:lpstr>
      <vt:lpstr>7. Results</vt:lpstr>
      <vt:lpstr>Gross Results</vt:lpstr>
      <vt:lpstr>BALANCE</vt:lpstr>
      <vt:lpstr>Help</vt:lpstr>
      <vt:lpstr>Yield</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continent</vt:lpstr>
      <vt:lpstr>country</vt:lpstr>
      <vt:lpstr>country_type</vt:lpstr>
      <vt:lpstr>deg_evol</vt:lpstr>
      <vt:lpstr>deg_list</vt:lpstr>
      <vt:lpstr>dyn_simple</vt:lpstr>
      <vt:lpstr>finaluse</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grassland_type</vt:lpstr>
      <vt:lpstr>GWP</vt:lpstr>
      <vt:lpstr>input</vt:lpstr>
      <vt:lpstr>irrig_sys</vt:lpstr>
      <vt:lpstr>Item</vt:lpstr>
      <vt:lpstr>Langs</vt:lpstr>
      <vt:lpstr>Livestocks</vt:lpstr>
      <vt:lpstr>LUC_fin</vt:lpstr>
      <vt:lpstr>LUC_ini</vt:lpstr>
      <vt:lpstr>MAT</vt:lpstr>
      <vt:lpstr>methane</vt:lpstr>
      <vt:lpstr>moist_type</vt:lpstr>
      <vt:lpstr>moisture</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Rate</vt:lpstr>
      <vt:lpstr>region</vt:lpstr>
      <vt:lpstr>Region_y</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tillage</vt:lpstr>
      <vt:lpstr>time</vt:lpstr>
      <vt:lpstr>time_tot</vt:lpstr>
      <vt:lpstr>time2</vt:lpstr>
      <vt:lpstr>title</vt:lpstr>
      <vt:lpstr>'A-R'!veg_type</vt:lpstr>
      <vt:lpstr>'non Forest LUC'!veg_type</vt:lpstr>
      <vt:lpstr>veg_type</vt:lpstr>
      <vt:lpstr>Veget_type2</vt:lpstr>
      <vt:lpstr>water</vt:lpstr>
      <vt:lpstr>YES_NO</vt:lpstr>
      <vt:lpstr>Yes_No_Annual</vt:lpstr>
      <vt:lpstr>'1.Description'!Zone_d_impression</vt:lpstr>
      <vt:lpstr>'2.LUC'!Zone_d_impression</vt:lpstr>
      <vt:lpstr>'3.Cropland'!Zone_d_impression</vt:lpstr>
      <vt:lpstr>'4.Grassland'!Zone_d_impression</vt:lpstr>
      <vt:lpstr>'5. Degradation'!Zone_d_impression</vt:lpstr>
      <vt:lpstr>'6. Inputs'!Zone_d_impression</vt:lpstr>
      <vt:lpstr>Annual!Zone_d_impression</vt:lpstr>
      <vt:lpstr>'A-R'!Zone_d_impression</vt:lpstr>
      <vt:lpstr>Grass!Zone_d_impression</vt:lpstr>
      <vt:lpstr>Help!Zone_d_impression</vt:lpstr>
      <vt:lpstr>Inputs!Zone_d_impression</vt:lpstr>
      <vt:lpstr>'Irrigated Rice'!Zone_d_impression</vt:lpstr>
      <vt:lpstr>Livestock!Zone_d_impression</vt:lpstr>
      <vt:lpstr>Matrix!Zone_d_impression</vt:lpstr>
      <vt:lpstr>'non Forest LUC'!Zone_d_impression</vt:lpstr>
      <vt:lpstr>'Other investments'!Zone_d_impression</vt:lpstr>
      <vt:lpstr>Perennial!Zone_d_impression</vt:lpstr>
    </vt:vector>
  </TitlesOfParts>
  <Company>IRD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Martial Bernoux</cp:lastModifiedBy>
  <cp:lastPrinted>2014-09-10T19:48:36Z</cp:lastPrinted>
  <dcterms:created xsi:type="dcterms:W3CDTF">2009-05-21T16:53:20Z</dcterms:created>
  <dcterms:modified xsi:type="dcterms:W3CDTF">2015-05-16T08:44:03Z</dcterms:modified>
</cp:coreProperties>
</file>